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theme/themeOverride16.xml" ContentType="application/vnd.openxmlformats-officedocument.themeOverrid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theme/themeOverride17.xml" ContentType="application/vnd.openxmlformats-officedocument.themeOverrid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heme/themeOverride18.xml" ContentType="application/vnd.openxmlformats-officedocument.themeOverrid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19.xml" ContentType="application/vnd.openxmlformats-officedocument.themeOverrid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theme/themeOverride20.xml" ContentType="application/vnd.openxmlformats-officedocument.themeOverrid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theme/themeOverride21.xml" ContentType="application/vnd.openxmlformats-officedocument.themeOverrid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theme/themeOverride22.xml" ContentType="application/vnd.openxmlformats-officedocument.themeOverride+xml"/>
  <Override PartName="/xl/drawings/drawing3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theme/themeOverride23.xml" ContentType="application/vnd.openxmlformats-officedocument.themeOverrid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theme/themeOverride24.xml" ContentType="application/vnd.openxmlformats-officedocument.themeOverrid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theme/themeOverride25.xml" ContentType="application/vnd.openxmlformats-officedocument.themeOverrid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theme/themeOverride26.xml" ContentType="application/vnd.openxmlformats-officedocument.themeOverrid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theme/themeOverride27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aviationreg.sharepoint.com/sites/EconomicRegulation/Shared Documents/General/NSA/RP3/IrelandRP3PerformancePlan/Consultation-for publication/"/>
    </mc:Choice>
  </mc:AlternateContent>
  <xr:revisionPtr revIDLastSave="5" documentId="8_{83757020-19A0-43FE-8D55-DB4344AD88AB}" xr6:coauthVersionLast="46" xr6:coauthVersionMax="47" xr10:uidLastSave="{7AE6CEBC-5746-4CAF-B068-4BA49FBAA0FE}"/>
  <bookViews>
    <workbookView xWindow="-110" yWindow="-110" windowWidth="19420" windowHeight="10420" tabRatio="905" firstSheet="23" activeTab="25" xr2:uid="{00000000-000D-0000-FFFF-FFFF00000000}"/>
  </bookViews>
  <sheets>
    <sheet name="Summary&gt;&gt;" sheetId="92" r:id="rId1"/>
    <sheet name="Total Costs &amp; Profitability" sheetId="85" r:id="rId2"/>
    <sheet name="Cost Comparison" sheetId="87" r:id="rId3"/>
    <sheet name="DUC &amp; UR" sheetId="86" r:id="rId4"/>
    <sheet name="Misc. Items" sheetId="2" r:id="rId5"/>
    <sheet name="ANSP&gt;&gt;" sheetId="1" r:id="rId6"/>
    <sheet name="ANSP Capex" sheetId="88" r:id="rId7"/>
    <sheet name="ANSP Capex (CAR)" sheetId="89" r:id="rId8"/>
    <sheet name="ANSP WACC" sheetId="34" r:id="rId9"/>
    <sheet name="ANSP WACC (CAR)" sheetId="91" r:id="rId10"/>
    <sheet name="ANSP Opex" sheetId="7" r:id="rId11"/>
    <sheet name="ANSP Opex (CAR-10% SUs)" sheetId="95" r:id="rId12"/>
    <sheet name="ANSP Opex (CAR)" sheetId="90" r:id="rId13"/>
    <sheet name="ANSP Opex (CAR+10% SUs)" sheetId="94" r:id="rId14"/>
    <sheet name="ANSP ERT" sheetId="66" r:id="rId15"/>
    <sheet name="ANSP TRM" sheetId="67" r:id="rId16"/>
    <sheet name="MET&gt;&gt;" sheetId="23" r:id="rId17"/>
    <sheet name="MET Capex" sheetId="36" r:id="rId18"/>
    <sheet name="Met Opex" sheetId="37" r:id="rId19"/>
    <sheet name="MET ERT" sheetId="62" r:id="rId20"/>
    <sheet name="MET TRM" sheetId="63" r:id="rId21"/>
    <sheet name="Supervision&gt;&gt;" sheetId="41" r:id="rId22"/>
    <sheet name="Supervision Capex " sheetId="42" r:id="rId23"/>
    <sheet name="Supervision Opex" sheetId="43" r:id="rId24"/>
    <sheet name="Supervision ERT" sheetId="65" r:id="rId25"/>
    <sheet name="Supervision TRM" sheetId="64" r:id="rId26"/>
    <sheet name="Total DC&gt;&gt;" sheetId="47" r:id="rId27"/>
    <sheet name="ERT DC" sheetId="69" r:id="rId28"/>
    <sheet name="TRM DC" sheetId="70" r:id="rId29"/>
    <sheet name="UR&gt;&gt;" sheetId="71" r:id="rId30"/>
    <sheet name="UR Control" sheetId="60" r:id="rId31"/>
    <sheet name="T3" sheetId="72" r:id="rId32"/>
    <sheet name="ERT ANSP" sheetId="68" r:id="rId33"/>
    <sheet name="TRM ANSP" sheetId="73" r:id="rId34"/>
    <sheet name="ERT MET" sheetId="74" r:id="rId35"/>
    <sheet name="TRM MET" sheetId="79" r:id="rId36"/>
    <sheet name="ERT Supervision" sheetId="80" r:id="rId37"/>
    <sheet name="TRM Supervision" sheetId="81" r:id="rId38"/>
    <sheet name="ERT UR" sheetId="83" r:id="rId39"/>
    <sheet name="TRM UR" sheetId="84" r:id="rId40"/>
  </sheets>
  <externalReferences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" localSheetId="6">#REF!</definedName>
    <definedName name="_" localSheetId="7">#REF!</definedName>
    <definedName name="_" localSheetId="12">#REF!</definedName>
    <definedName name="_" localSheetId="13">#REF!</definedName>
    <definedName name="_" localSheetId="11">#REF!</definedName>
    <definedName name="_" localSheetId="9">#REF!</definedName>
    <definedName name="_" localSheetId="2">#REF!</definedName>
    <definedName name="_" localSheetId="28">#REF!</definedName>
    <definedName name="_" localSheetId="39">#REF!</definedName>
    <definedName name="_" localSheetId="29">#REF!</definedName>
    <definedName name="_">#REF!</definedName>
    <definedName name="____DCn1" localSheetId="6">#REF!</definedName>
    <definedName name="____DCn1" localSheetId="7">#REF!</definedName>
    <definedName name="____DCn1" localSheetId="12">#REF!</definedName>
    <definedName name="____DCn1" localSheetId="13">#REF!</definedName>
    <definedName name="____DCn1" localSheetId="11">#REF!</definedName>
    <definedName name="____DCn1" localSheetId="9">#REF!</definedName>
    <definedName name="____DCn1" localSheetId="2">#REF!</definedName>
    <definedName name="____DCn1" localSheetId="28">#REF!</definedName>
    <definedName name="____DCn1" localSheetId="39">#REF!</definedName>
    <definedName name="____DCn1" localSheetId="29">#REF!</definedName>
    <definedName name="____DCn1">#REF!</definedName>
    <definedName name="____DCn2" localSheetId="6">#REF!</definedName>
    <definedName name="____DCn2" localSheetId="7">#REF!</definedName>
    <definedName name="____DCn2" localSheetId="12">#REF!</definedName>
    <definedName name="____DCn2" localSheetId="13">#REF!</definedName>
    <definedName name="____DCn2" localSheetId="11">#REF!</definedName>
    <definedName name="____DCn2" localSheetId="9">#REF!</definedName>
    <definedName name="____DCn2" localSheetId="2">#REF!</definedName>
    <definedName name="____DCn2" localSheetId="28">#REF!</definedName>
    <definedName name="____DCn2" localSheetId="39">#REF!</definedName>
    <definedName name="____DCn2" localSheetId="29">#REF!</definedName>
    <definedName name="____DCn2">#REF!</definedName>
    <definedName name="____EZ2" localSheetId="6" hidden="1">{#N/A,#N/A,TRUE,"Page de garde";#N/A,#N/A,TRUE,"Récap";#N/A,#N/A,TRUE,"2001";#N/A,#N/A,TRUE,"2002";#N/A,#N/A,TRUE,"MN";#N/A,#N/A,TRUE,"CB-CN ";#N/A,#N/A,TRUE,"Point TVA (avec ES)"}</definedName>
    <definedName name="____EZ2" localSheetId="7" hidden="1">{#N/A,#N/A,TRUE,"Page de garde";#N/A,#N/A,TRUE,"Récap";#N/A,#N/A,TRUE,"2001";#N/A,#N/A,TRUE,"2002";#N/A,#N/A,TRUE,"MN";#N/A,#N/A,TRUE,"CB-CN ";#N/A,#N/A,TRUE,"Point TVA (avec ES)"}</definedName>
    <definedName name="____EZ2" localSheetId="14" hidden="1">{#N/A,#N/A,TRUE,"Page de garde";#N/A,#N/A,TRUE,"Récap";#N/A,#N/A,TRUE,"2001";#N/A,#N/A,TRUE,"2002";#N/A,#N/A,TRUE,"MN";#N/A,#N/A,TRUE,"CB-CN ";#N/A,#N/A,TRUE,"Point TVA (avec ES)"}</definedName>
    <definedName name="____EZ2" localSheetId="12" hidden="1">{#N/A,#N/A,TRUE,"Page de garde";#N/A,#N/A,TRUE,"Récap";#N/A,#N/A,TRUE,"2001";#N/A,#N/A,TRUE,"2002";#N/A,#N/A,TRUE,"MN";#N/A,#N/A,TRUE,"CB-CN ";#N/A,#N/A,TRUE,"Point TVA (avec ES)"}</definedName>
    <definedName name="____EZ2" localSheetId="13" hidden="1">{#N/A,#N/A,TRUE,"Page de garde";#N/A,#N/A,TRUE,"Récap";#N/A,#N/A,TRUE,"2001";#N/A,#N/A,TRUE,"2002";#N/A,#N/A,TRUE,"MN";#N/A,#N/A,TRUE,"CB-CN ";#N/A,#N/A,TRUE,"Point TVA (avec ES)"}</definedName>
    <definedName name="____EZ2" localSheetId="11" hidden="1">{#N/A,#N/A,TRUE,"Page de garde";#N/A,#N/A,TRUE,"Récap";#N/A,#N/A,TRUE,"2001";#N/A,#N/A,TRUE,"2002";#N/A,#N/A,TRUE,"MN";#N/A,#N/A,TRUE,"CB-CN ";#N/A,#N/A,TRUE,"Point TVA (avec ES)"}</definedName>
    <definedName name="____EZ2" localSheetId="15" hidden="1">{#N/A,#N/A,TRUE,"Page de garde";#N/A,#N/A,TRUE,"Récap";#N/A,#N/A,TRUE,"2001";#N/A,#N/A,TRUE,"2002";#N/A,#N/A,TRUE,"MN";#N/A,#N/A,TRUE,"CB-CN ";#N/A,#N/A,TRUE,"Point TVA (avec ES)"}</definedName>
    <definedName name="____EZ2" localSheetId="32" hidden="1">{#N/A,#N/A,TRUE,"Page de garde";#N/A,#N/A,TRUE,"Récap";#N/A,#N/A,TRUE,"2001";#N/A,#N/A,TRUE,"2002";#N/A,#N/A,TRUE,"MN";#N/A,#N/A,TRUE,"CB-CN ";#N/A,#N/A,TRUE,"Point TVA (avec ES)"}</definedName>
    <definedName name="____EZ2" localSheetId="27" hidden="1">{#N/A,#N/A,TRUE,"Page de garde";#N/A,#N/A,TRUE,"Récap";#N/A,#N/A,TRUE,"2001";#N/A,#N/A,TRUE,"2002";#N/A,#N/A,TRUE,"MN";#N/A,#N/A,TRUE,"CB-CN ";#N/A,#N/A,TRUE,"Point TVA (avec ES)"}</definedName>
    <definedName name="____EZ2" localSheetId="34" hidden="1">{#N/A,#N/A,TRUE,"Page de garde";#N/A,#N/A,TRUE,"Récap";#N/A,#N/A,TRUE,"2001";#N/A,#N/A,TRUE,"2002";#N/A,#N/A,TRUE,"MN";#N/A,#N/A,TRUE,"CB-CN ";#N/A,#N/A,TRUE,"Point TVA (avec ES)"}</definedName>
    <definedName name="____EZ2" localSheetId="36" hidden="1">{#N/A,#N/A,TRUE,"Page de garde";#N/A,#N/A,TRUE,"Récap";#N/A,#N/A,TRUE,"2001";#N/A,#N/A,TRUE,"2002";#N/A,#N/A,TRUE,"MN";#N/A,#N/A,TRUE,"CB-CN ";#N/A,#N/A,TRUE,"Point TVA (avec ES)"}</definedName>
    <definedName name="____EZ2" localSheetId="38" hidden="1">{#N/A,#N/A,TRUE,"Page de garde";#N/A,#N/A,TRUE,"Récap";#N/A,#N/A,TRUE,"2001";#N/A,#N/A,TRUE,"2002";#N/A,#N/A,TRUE,"MN";#N/A,#N/A,TRUE,"CB-CN ";#N/A,#N/A,TRUE,"Point TVA (avec ES)"}</definedName>
    <definedName name="____EZ2" localSheetId="19" hidden="1">{#N/A,#N/A,TRUE,"Page de garde";#N/A,#N/A,TRUE,"Récap";#N/A,#N/A,TRUE,"2001";#N/A,#N/A,TRUE,"2002";#N/A,#N/A,TRUE,"MN";#N/A,#N/A,TRUE,"CB-CN ";#N/A,#N/A,TRUE,"Point TVA (avec ES)"}</definedName>
    <definedName name="____EZ2" localSheetId="20" hidden="1">{#N/A,#N/A,TRUE,"Page de garde";#N/A,#N/A,TRUE,"Récap";#N/A,#N/A,TRUE,"2001";#N/A,#N/A,TRUE,"2002";#N/A,#N/A,TRUE,"MN";#N/A,#N/A,TRUE,"CB-CN ";#N/A,#N/A,TRUE,"Point TVA (avec ES)"}</definedName>
    <definedName name="____EZ2" localSheetId="24" hidden="1">{#N/A,#N/A,TRUE,"Page de garde";#N/A,#N/A,TRUE,"Récap";#N/A,#N/A,TRUE,"2001";#N/A,#N/A,TRUE,"2002";#N/A,#N/A,TRUE,"MN";#N/A,#N/A,TRUE,"CB-CN ";#N/A,#N/A,TRUE,"Point TVA (avec ES)"}</definedName>
    <definedName name="____EZ2" localSheetId="25" hidden="1">{#N/A,#N/A,TRUE,"Page de garde";#N/A,#N/A,TRUE,"Récap";#N/A,#N/A,TRUE,"2001";#N/A,#N/A,TRUE,"2002";#N/A,#N/A,TRUE,"MN";#N/A,#N/A,TRUE,"CB-CN ";#N/A,#N/A,TRUE,"Point TVA (avec ES)"}</definedName>
    <definedName name="____EZ2" localSheetId="31" hidden="1">{#N/A,#N/A,TRUE,"Page de garde";#N/A,#N/A,TRUE,"Récap";#N/A,#N/A,TRUE,"2001";#N/A,#N/A,TRUE,"2002";#N/A,#N/A,TRUE,"MN";#N/A,#N/A,TRUE,"CB-CN ";#N/A,#N/A,TRUE,"Point TVA (avec ES)"}</definedName>
    <definedName name="____EZ2" localSheetId="33" hidden="1">{#N/A,#N/A,TRUE,"Page de garde";#N/A,#N/A,TRUE,"Récap";#N/A,#N/A,TRUE,"2001";#N/A,#N/A,TRUE,"2002";#N/A,#N/A,TRUE,"MN";#N/A,#N/A,TRUE,"CB-CN ";#N/A,#N/A,TRUE,"Point TVA (avec ES)"}</definedName>
    <definedName name="____EZ2" localSheetId="28" hidden="1">{#N/A,#N/A,TRUE,"Page de garde";#N/A,#N/A,TRUE,"Récap";#N/A,#N/A,TRUE,"2001";#N/A,#N/A,TRUE,"2002";#N/A,#N/A,TRUE,"MN";#N/A,#N/A,TRUE,"CB-CN ";#N/A,#N/A,TRUE,"Point TVA (avec ES)"}</definedName>
    <definedName name="____EZ2" localSheetId="35" hidden="1">{#N/A,#N/A,TRUE,"Page de garde";#N/A,#N/A,TRUE,"Récap";#N/A,#N/A,TRUE,"2001";#N/A,#N/A,TRUE,"2002";#N/A,#N/A,TRUE,"MN";#N/A,#N/A,TRUE,"CB-CN ";#N/A,#N/A,TRUE,"Point TVA (avec ES)"}</definedName>
    <definedName name="____EZ2" localSheetId="37" hidden="1">{#N/A,#N/A,TRUE,"Page de garde";#N/A,#N/A,TRUE,"Récap";#N/A,#N/A,TRUE,"2001";#N/A,#N/A,TRUE,"2002";#N/A,#N/A,TRUE,"MN";#N/A,#N/A,TRUE,"CB-CN ";#N/A,#N/A,TRUE,"Point TVA (avec ES)"}</definedName>
    <definedName name="____EZ2" localSheetId="39" hidden="1">{#N/A,#N/A,TRUE,"Page de garde";#N/A,#N/A,TRUE,"Récap";#N/A,#N/A,TRUE,"2001";#N/A,#N/A,TRUE,"2002";#N/A,#N/A,TRUE,"MN";#N/A,#N/A,TRUE,"CB-CN ";#N/A,#N/A,TRUE,"Point TVA (avec ES)"}</definedName>
    <definedName name="____EZ2" hidden="1">{#N/A,#N/A,TRUE,"Page de garde";#N/A,#N/A,TRUE,"Récap";#N/A,#N/A,TRUE,"2001";#N/A,#N/A,TRUE,"2002";#N/A,#N/A,TRUE,"MN";#N/A,#N/A,TRUE,"CB-CN ";#N/A,#N/A,TRUE,"Point TVA (avec ES)"}</definedName>
    <definedName name="____qry2000" localSheetId="6">#REF!</definedName>
    <definedName name="____qry2000" localSheetId="7">#REF!</definedName>
    <definedName name="____qry2000" localSheetId="12">#REF!</definedName>
    <definedName name="____qry2000" localSheetId="13">#REF!</definedName>
    <definedName name="____qry2000" localSheetId="11">#REF!</definedName>
    <definedName name="____qry2000" localSheetId="9">#REF!</definedName>
    <definedName name="____qry2000" localSheetId="2">#REF!</definedName>
    <definedName name="____qry2000" localSheetId="28">#REF!</definedName>
    <definedName name="____qry2000" localSheetId="39">#REF!</definedName>
    <definedName name="____qry2000" localSheetId="29">#REF!</definedName>
    <definedName name="____qry2000">#REF!</definedName>
    <definedName name="___EZ2" localSheetId="6" hidden="1">{#N/A,#N/A,TRUE,"Page de garde";#N/A,#N/A,TRUE,"Récap";#N/A,#N/A,TRUE,"2001";#N/A,#N/A,TRUE,"2002";#N/A,#N/A,TRUE,"MN";#N/A,#N/A,TRUE,"CB-CN ";#N/A,#N/A,TRUE,"Point TVA (avec ES)"}</definedName>
    <definedName name="___EZ2" localSheetId="7" hidden="1">{#N/A,#N/A,TRUE,"Page de garde";#N/A,#N/A,TRUE,"Récap";#N/A,#N/A,TRUE,"2001";#N/A,#N/A,TRUE,"2002";#N/A,#N/A,TRUE,"MN";#N/A,#N/A,TRUE,"CB-CN ";#N/A,#N/A,TRUE,"Point TVA (avec ES)"}</definedName>
    <definedName name="___EZ2" localSheetId="14" hidden="1">{#N/A,#N/A,TRUE,"Page de garde";#N/A,#N/A,TRUE,"Récap";#N/A,#N/A,TRUE,"2001";#N/A,#N/A,TRUE,"2002";#N/A,#N/A,TRUE,"MN";#N/A,#N/A,TRUE,"CB-CN ";#N/A,#N/A,TRUE,"Point TVA (avec ES)"}</definedName>
    <definedName name="___EZ2" localSheetId="12" hidden="1">{#N/A,#N/A,TRUE,"Page de garde";#N/A,#N/A,TRUE,"Récap";#N/A,#N/A,TRUE,"2001";#N/A,#N/A,TRUE,"2002";#N/A,#N/A,TRUE,"MN";#N/A,#N/A,TRUE,"CB-CN ";#N/A,#N/A,TRUE,"Point TVA (avec ES)"}</definedName>
    <definedName name="___EZ2" localSheetId="13" hidden="1">{#N/A,#N/A,TRUE,"Page de garde";#N/A,#N/A,TRUE,"Récap";#N/A,#N/A,TRUE,"2001";#N/A,#N/A,TRUE,"2002";#N/A,#N/A,TRUE,"MN";#N/A,#N/A,TRUE,"CB-CN ";#N/A,#N/A,TRUE,"Point TVA (avec ES)"}</definedName>
    <definedName name="___EZ2" localSheetId="11" hidden="1">{#N/A,#N/A,TRUE,"Page de garde";#N/A,#N/A,TRUE,"Récap";#N/A,#N/A,TRUE,"2001";#N/A,#N/A,TRUE,"2002";#N/A,#N/A,TRUE,"MN";#N/A,#N/A,TRUE,"CB-CN ";#N/A,#N/A,TRUE,"Point TVA (avec ES)"}</definedName>
    <definedName name="___EZ2" localSheetId="15" hidden="1">{#N/A,#N/A,TRUE,"Page de garde";#N/A,#N/A,TRUE,"Récap";#N/A,#N/A,TRUE,"2001";#N/A,#N/A,TRUE,"2002";#N/A,#N/A,TRUE,"MN";#N/A,#N/A,TRUE,"CB-CN ";#N/A,#N/A,TRUE,"Point TVA (avec ES)"}</definedName>
    <definedName name="___EZ2" localSheetId="32" hidden="1">{#N/A,#N/A,TRUE,"Page de garde";#N/A,#N/A,TRUE,"Récap";#N/A,#N/A,TRUE,"2001";#N/A,#N/A,TRUE,"2002";#N/A,#N/A,TRUE,"MN";#N/A,#N/A,TRUE,"CB-CN ";#N/A,#N/A,TRUE,"Point TVA (avec ES)"}</definedName>
    <definedName name="___EZ2" localSheetId="27" hidden="1">{#N/A,#N/A,TRUE,"Page de garde";#N/A,#N/A,TRUE,"Récap";#N/A,#N/A,TRUE,"2001";#N/A,#N/A,TRUE,"2002";#N/A,#N/A,TRUE,"MN";#N/A,#N/A,TRUE,"CB-CN ";#N/A,#N/A,TRUE,"Point TVA (avec ES)"}</definedName>
    <definedName name="___EZ2" localSheetId="34" hidden="1">{#N/A,#N/A,TRUE,"Page de garde";#N/A,#N/A,TRUE,"Récap";#N/A,#N/A,TRUE,"2001";#N/A,#N/A,TRUE,"2002";#N/A,#N/A,TRUE,"MN";#N/A,#N/A,TRUE,"CB-CN ";#N/A,#N/A,TRUE,"Point TVA (avec ES)"}</definedName>
    <definedName name="___EZ2" localSheetId="36" hidden="1">{#N/A,#N/A,TRUE,"Page de garde";#N/A,#N/A,TRUE,"Récap";#N/A,#N/A,TRUE,"2001";#N/A,#N/A,TRUE,"2002";#N/A,#N/A,TRUE,"MN";#N/A,#N/A,TRUE,"CB-CN ";#N/A,#N/A,TRUE,"Point TVA (avec ES)"}</definedName>
    <definedName name="___EZ2" localSheetId="38" hidden="1">{#N/A,#N/A,TRUE,"Page de garde";#N/A,#N/A,TRUE,"Récap";#N/A,#N/A,TRUE,"2001";#N/A,#N/A,TRUE,"2002";#N/A,#N/A,TRUE,"MN";#N/A,#N/A,TRUE,"CB-CN ";#N/A,#N/A,TRUE,"Point TVA (avec ES)"}</definedName>
    <definedName name="___EZ2" localSheetId="19" hidden="1">{#N/A,#N/A,TRUE,"Page de garde";#N/A,#N/A,TRUE,"Récap";#N/A,#N/A,TRUE,"2001";#N/A,#N/A,TRUE,"2002";#N/A,#N/A,TRUE,"MN";#N/A,#N/A,TRUE,"CB-CN ";#N/A,#N/A,TRUE,"Point TVA (avec ES)"}</definedName>
    <definedName name="___EZ2" localSheetId="20" hidden="1">{#N/A,#N/A,TRUE,"Page de garde";#N/A,#N/A,TRUE,"Récap";#N/A,#N/A,TRUE,"2001";#N/A,#N/A,TRUE,"2002";#N/A,#N/A,TRUE,"MN";#N/A,#N/A,TRUE,"CB-CN ";#N/A,#N/A,TRUE,"Point TVA (avec ES)"}</definedName>
    <definedName name="___EZ2" localSheetId="24" hidden="1">{#N/A,#N/A,TRUE,"Page de garde";#N/A,#N/A,TRUE,"Récap";#N/A,#N/A,TRUE,"2001";#N/A,#N/A,TRUE,"2002";#N/A,#N/A,TRUE,"MN";#N/A,#N/A,TRUE,"CB-CN ";#N/A,#N/A,TRUE,"Point TVA (avec ES)"}</definedName>
    <definedName name="___EZ2" localSheetId="25" hidden="1">{#N/A,#N/A,TRUE,"Page de garde";#N/A,#N/A,TRUE,"Récap";#N/A,#N/A,TRUE,"2001";#N/A,#N/A,TRUE,"2002";#N/A,#N/A,TRUE,"MN";#N/A,#N/A,TRUE,"CB-CN ";#N/A,#N/A,TRUE,"Point TVA (avec ES)"}</definedName>
    <definedName name="___EZ2" localSheetId="31" hidden="1">{#N/A,#N/A,TRUE,"Page de garde";#N/A,#N/A,TRUE,"Récap";#N/A,#N/A,TRUE,"2001";#N/A,#N/A,TRUE,"2002";#N/A,#N/A,TRUE,"MN";#N/A,#N/A,TRUE,"CB-CN ";#N/A,#N/A,TRUE,"Point TVA (avec ES)"}</definedName>
    <definedName name="___EZ2" localSheetId="33" hidden="1">{#N/A,#N/A,TRUE,"Page de garde";#N/A,#N/A,TRUE,"Récap";#N/A,#N/A,TRUE,"2001";#N/A,#N/A,TRUE,"2002";#N/A,#N/A,TRUE,"MN";#N/A,#N/A,TRUE,"CB-CN ";#N/A,#N/A,TRUE,"Point TVA (avec ES)"}</definedName>
    <definedName name="___EZ2" localSheetId="28" hidden="1">{#N/A,#N/A,TRUE,"Page de garde";#N/A,#N/A,TRUE,"Récap";#N/A,#N/A,TRUE,"2001";#N/A,#N/A,TRUE,"2002";#N/A,#N/A,TRUE,"MN";#N/A,#N/A,TRUE,"CB-CN ";#N/A,#N/A,TRUE,"Point TVA (avec ES)"}</definedName>
    <definedName name="___EZ2" localSheetId="35" hidden="1">{#N/A,#N/A,TRUE,"Page de garde";#N/A,#N/A,TRUE,"Récap";#N/A,#N/A,TRUE,"2001";#N/A,#N/A,TRUE,"2002";#N/A,#N/A,TRUE,"MN";#N/A,#N/A,TRUE,"CB-CN ";#N/A,#N/A,TRUE,"Point TVA (avec ES)"}</definedName>
    <definedName name="___EZ2" localSheetId="37" hidden="1">{#N/A,#N/A,TRUE,"Page de garde";#N/A,#N/A,TRUE,"Récap";#N/A,#N/A,TRUE,"2001";#N/A,#N/A,TRUE,"2002";#N/A,#N/A,TRUE,"MN";#N/A,#N/A,TRUE,"CB-CN ";#N/A,#N/A,TRUE,"Point TVA (avec ES)"}</definedName>
    <definedName name="___EZ2" localSheetId="39" hidden="1">{#N/A,#N/A,TRUE,"Page de garde";#N/A,#N/A,TRUE,"Récap";#N/A,#N/A,TRUE,"2001";#N/A,#N/A,TRUE,"2002";#N/A,#N/A,TRUE,"MN";#N/A,#N/A,TRUE,"CB-CN ";#N/A,#N/A,TRUE,"Point TVA (avec ES)"}</definedName>
    <definedName name="___EZ2" hidden="1">{#N/A,#N/A,TRUE,"Page de garde";#N/A,#N/A,TRUE,"Récap";#N/A,#N/A,TRUE,"2001";#N/A,#N/A,TRUE,"2002";#N/A,#N/A,TRUE,"MN";#N/A,#N/A,TRUE,"CB-CN ";#N/A,#N/A,TRUE,"Point TVA (avec ES)"}</definedName>
    <definedName name="___qry2000" localSheetId="6">#REF!</definedName>
    <definedName name="___qry2000" localSheetId="7">#REF!</definedName>
    <definedName name="___qry2000" localSheetId="12">#REF!</definedName>
    <definedName name="___qry2000" localSheetId="13">#REF!</definedName>
    <definedName name="___qry2000" localSheetId="11">#REF!</definedName>
    <definedName name="___qry2000" localSheetId="9">#REF!</definedName>
    <definedName name="___qry2000" localSheetId="2">#REF!</definedName>
    <definedName name="___qry2000" localSheetId="28">#REF!</definedName>
    <definedName name="___qry2000" localSheetId="39">#REF!</definedName>
    <definedName name="___qry2000" localSheetId="29">#REF!</definedName>
    <definedName name="___qry2000">#REF!</definedName>
    <definedName name="__EZ2" localSheetId="6" hidden="1">{#N/A,#N/A,TRUE,"Page de garde";#N/A,#N/A,TRUE,"Récap";#N/A,#N/A,TRUE,"2001";#N/A,#N/A,TRUE,"2002";#N/A,#N/A,TRUE,"MN";#N/A,#N/A,TRUE,"CB-CN ";#N/A,#N/A,TRUE,"Point TVA (avec ES)"}</definedName>
    <definedName name="__EZ2" localSheetId="7" hidden="1">{#N/A,#N/A,TRUE,"Page de garde";#N/A,#N/A,TRUE,"Récap";#N/A,#N/A,TRUE,"2001";#N/A,#N/A,TRUE,"2002";#N/A,#N/A,TRUE,"MN";#N/A,#N/A,TRUE,"CB-CN ";#N/A,#N/A,TRUE,"Point TVA (avec ES)"}</definedName>
    <definedName name="__EZ2" localSheetId="14" hidden="1">{#N/A,#N/A,TRUE,"Page de garde";#N/A,#N/A,TRUE,"Récap";#N/A,#N/A,TRUE,"2001";#N/A,#N/A,TRUE,"2002";#N/A,#N/A,TRUE,"MN";#N/A,#N/A,TRUE,"CB-CN ";#N/A,#N/A,TRUE,"Point TVA (avec ES)"}</definedName>
    <definedName name="__EZ2" localSheetId="12" hidden="1">{#N/A,#N/A,TRUE,"Page de garde";#N/A,#N/A,TRUE,"Récap";#N/A,#N/A,TRUE,"2001";#N/A,#N/A,TRUE,"2002";#N/A,#N/A,TRUE,"MN";#N/A,#N/A,TRUE,"CB-CN ";#N/A,#N/A,TRUE,"Point TVA (avec ES)"}</definedName>
    <definedName name="__EZ2" localSheetId="13" hidden="1">{#N/A,#N/A,TRUE,"Page de garde";#N/A,#N/A,TRUE,"Récap";#N/A,#N/A,TRUE,"2001";#N/A,#N/A,TRUE,"2002";#N/A,#N/A,TRUE,"MN";#N/A,#N/A,TRUE,"CB-CN ";#N/A,#N/A,TRUE,"Point TVA (avec ES)"}</definedName>
    <definedName name="__EZ2" localSheetId="11" hidden="1">{#N/A,#N/A,TRUE,"Page de garde";#N/A,#N/A,TRUE,"Récap";#N/A,#N/A,TRUE,"2001";#N/A,#N/A,TRUE,"2002";#N/A,#N/A,TRUE,"MN";#N/A,#N/A,TRUE,"CB-CN ";#N/A,#N/A,TRUE,"Point TVA (avec ES)"}</definedName>
    <definedName name="__EZ2" localSheetId="15" hidden="1">{#N/A,#N/A,TRUE,"Page de garde";#N/A,#N/A,TRUE,"Récap";#N/A,#N/A,TRUE,"2001";#N/A,#N/A,TRUE,"2002";#N/A,#N/A,TRUE,"MN";#N/A,#N/A,TRUE,"CB-CN ";#N/A,#N/A,TRUE,"Point TVA (avec ES)"}</definedName>
    <definedName name="__EZ2" localSheetId="32" hidden="1">{#N/A,#N/A,TRUE,"Page de garde";#N/A,#N/A,TRUE,"Récap";#N/A,#N/A,TRUE,"2001";#N/A,#N/A,TRUE,"2002";#N/A,#N/A,TRUE,"MN";#N/A,#N/A,TRUE,"CB-CN ";#N/A,#N/A,TRUE,"Point TVA (avec ES)"}</definedName>
    <definedName name="__EZ2" localSheetId="27" hidden="1">{#N/A,#N/A,TRUE,"Page de garde";#N/A,#N/A,TRUE,"Récap";#N/A,#N/A,TRUE,"2001";#N/A,#N/A,TRUE,"2002";#N/A,#N/A,TRUE,"MN";#N/A,#N/A,TRUE,"CB-CN ";#N/A,#N/A,TRUE,"Point TVA (avec ES)"}</definedName>
    <definedName name="__EZ2" localSheetId="34" hidden="1">{#N/A,#N/A,TRUE,"Page de garde";#N/A,#N/A,TRUE,"Récap";#N/A,#N/A,TRUE,"2001";#N/A,#N/A,TRUE,"2002";#N/A,#N/A,TRUE,"MN";#N/A,#N/A,TRUE,"CB-CN ";#N/A,#N/A,TRUE,"Point TVA (avec ES)"}</definedName>
    <definedName name="__EZ2" localSheetId="36" hidden="1">{#N/A,#N/A,TRUE,"Page de garde";#N/A,#N/A,TRUE,"Récap";#N/A,#N/A,TRUE,"2001";#N/A,#N/A,TRUE,"2002";#N/A,#N/A,TRUE,"MN";#N/A,#N/A,TRUE,"CB-CN ";#N/A,#N/A,TRUE,"Point TVA (avec ES)"}</definedName>
    <definedName name="__EZ2" localSheetId="38" hidden="1">{#N/A,#N/A,TRUE,"Page de garde";#N/A,#N/A,TRUE,"Récap";#N/A,#N/A,TRUE,"2001";#N/A,#N/A,TRUE,"2002";#N/A,#N/A,TRUE,"MN";#N/A,#N/A,TRUE,"CB-CN ";#N/A,#N/A,TRUE,"Point TVA (avec ES)"}</definedName>
    <definedName name="__EZ2" localSheetId="19" hidden="1">{#N/A,#N/A,TRUE,"Page de garde";#N/A,#N/A,TRUE,"Récap";#N/A,#N/A,TRUE,"2001";#N/A,#N/A,TRUE,"2002";#N/A,#N/A,TRUE,"MN";#N/A,#N/A,TRUE,"CB-CN ";#N/A,#N/A,TRUE,"Point TVA (avec ES)"}</definedName>
    <definedName name="__EZ2" localSheetId="20" hidden="1">{#N/A,#N/A,TRUE,"Page de garde";#N/A,#N/A,TRUE,"Récap";#N/A,#N/A,TRUE,"2001";#N/A,#N/A,TRUE,"2002";#N/A,#N/A,TRUE,"MN";#N/A,#N/A,TRUE,"CB-CN ";#N/A,#N/A,TRUE,"Point TVA (avec ES)"}</definedName>
    <definedName name="__EZ2" localSheetId="24" hidden="1">{#N/A,#N/A,TRUE,"Page de garde";#N/A,#N/A,TRUE,"Récap";#N/A,#N/A,TRUE,"2001";#N/A,#N/A,TRUE,"2002";#N/A,#N/A,TRUE,"MN";#N/A,#N/A,TRUE,"CB-CN ";#N/A,#N/A,TRUE,"Point TVA (avec ES)"}</definedName>
    <definedName name="__EZ2" localSheetId="25" hidden="1">{#N/A,#N/A,TRUE,"Page de garde";#N/A,#N/A,TRUE,"Récap";#N/A,#N/A,TRUE,"2001";#N/A,#N/A,TRUE,"2002";#N/A,#N/A,TRUE,"MN";#N/A,#N/A,TRUE,"CB-CN ";#N/A,#N/A,TRUE,"Point TVA (avec ES)"}</definedName>
    <definedName name="__EZ2" localSheetId="31" hidden="1">{#N/A,#N/A,TRUE,"Page de garde";#N/A,#N/A,TRUE,"Récap";#N/A,#N/A,TRUE,"2001";#N/A,#N/A,TRUE,"2002";#N/A,#N/A,TRUE,"MN";#N/A,#N/A,TRUE,"CB-CN ";#N/A,#N/A,TRUE,"Point TVA (avec ES)"}</definedName>
    <definedName name="__EZ2" localSheetId="33" hidden="1">{#N/A,#N/A,TRUE,"Page de garde";#N/A,#N/A,TRUE,"Récap";#N/A,#N/A,TRUE,"2001";#N/A,#N/A,TRUE,"2002";#N/A,#N/A,TRUE,"MN";#N/A,#N/A,TRUE,"CB-CN ";#N/A,#N/A,TRUE,"Point TVA (avec ES)"}</definedName>
    <definedName name="__EZ2" localSheetId="28" hidden="1">{#N/A,#N/A,TRUE,"Page de garde";#N/A,#N/A,TRUE,"Récap";#N/A,#N/A,TRUE,"2001";#N/A,#N/A,TRUE,"2002";#N/A,#N/A,TRUE,"MN";#N/A,#N/A,TRUE,"CB-CN ";#N/A,#N/A,TRUE,"Point TVA (avec ES)"}</definedName>
    <definedName name="__EZ2" localSheetId="35" hidden="1">{#N/A,#N/A,TRUE,"Page de garde";#N/A,#N/A,TRUE,"Récap";#N/A,#N/A,TRUE,"2001";#N/A,#N/A,TRUE,"2002";#N/A,#N/A,TRUE,"MN";#N/A,#N/A,TRUE,"CB-CN ";#N/A,#N/A,TRUE,"Point TVA (avec ES)"}</definedName>
    <definedName name="__EZ2" localSheetId="37" hidden="1">{#N/A,#N/A,TRUE,"Page de garde";#N/A,#N/A,TRUE,"Récap";#N/A,#N/A,TRUE,"2001";#N/A,#N/A,TRUE,"2002";#N/A,#N/A,TRUE,"MN";#N/A,#N/A,TRUE,"CB-CN ";#N/A,#N/A,TRUE,"Point TVA (avec ES)"}</definedName>
    <definedName name="__EZ2" localSheetId="39" hidden="1">{#N/A,#N/A,TRUE,"Page de garde";#N/A,#N/A,TRUE,"Récap";#N/A,#N/A,TRUE,"2001";#N/A,#N/A,TRUE,"2002";#N/A,#N/A,TRUE,"MN";#N/A,#N/A,TRUE,"CB-CN ";#N/A,#N/A,TRUE,"Point TVA (avec ES)"}</definedName>
    <definedName name="__EZ2" hidden="1">{#N/A,#N/A,TRUE,"Page de garde";#N/A,#N/A,TRUE,"Récap";#N/A,#N/A,TRUE,"2001";#N/A,#N/A,TRUE,"2002";#N/A,#N/A,TRUE,"MN";#N/A,#N/A,TRUE,"CB-CN ";#N/A,#N/A,TRUE,"Point TVA (avec ES)"}</definedName>
    <definedName name="__gry2000" localSheetId="6">#REF!</definedName>
    <definedName name="__gry2000" localSheetId="7">#REF!</definedName>
    <definedName name="__gry2000" localSheetId="12">#REF!</definedName>
    <definedName name="__gry2000" localSheetId="13">#REF!</definedName>
    <definedName name="__gry2000" localSheetId="11">#REF!</definedName>
    <definedName name="__gry2000" localSheetId="9">#REF!</definedName>
    <definedName name="__gry2000" localSheetId="2">#REF!</definedName>
    <definedName name="__gry2000" localSheetId="28">#REF!</definedName>
    <definedName name="__gry2000" localSheetId="39">#REF!</definedName>
    <definedName name="__gry2000" localSheetId="29">#REF!</definedName>
    <definedName name="__gry2000">#REF!</definedName>
    <definedName name="__qry2000" localSheetId="6">#REF!</definedName>
    <definedName name="__qry2000" localSheetId="7">#REF!</definedName>
    <definedName name="__qry2000" localSheetId="12">#REF!</definedName>
    <definedName name="__qry2000" localSheetId="13">#REF!</definedName>
    <definedName name="__qry2000" localSheetId="11">#REF!</definedName>
    <definedName name="__qry2000" localSheetId="9">#REF!</definedName>
    <definedName name="__qry2000" localSheetId="2">#REF!</definedName>
    <definedName name="__qry2000" localSheetId="28">#REF!</definedName>
    <definedName name="__qry2000" localSheetId="39">#REF!</definedName>
    <definedName name="__qry2000" localSheetId="29">#REF!</definedName>
    <definedName name="__qry2000">#REF!</definedName>
    <definedName name="_a" localSheetId="6">#REF!</definedName>
    <definedName name="_a" localSheetId="7">#REF!</definedName>
    <definedName name="_a" localSheetId="12">#REF!</definedName>
    <definedName name="_a" localSheetId="13">#REF!</definedName>
    <definedName name="_a" localSheetId="11">#REF!</definedName>
    <definedName name="_a" localSheetId="9">#REF!</definedName>
    <definedName name="_a" localSheetId="2">#REF!</definedName>
    <definedName name="_a" localSheetId="28">#REF!</definedName>
    <definedName name="_a" localSheetId="39">#REF!</definedName>
    <definedName name="_a" localSheetId="29">#REF!</definedName>
    <definedName name="_a">#REF!</definedName>
    <definedName name="_BQ4.2" localSheetId="6" hidden="1">#REF!</definedName>
    <definedName name="_BQ4.2" localSheetId="7" hidden="1">#REF!</definedName>
    <definedName name="_BQ4.2" localSheetId="14" hidden="1">#REF!</definedName>
    <definedName name="_BQ4.2" localSheetId="12" hidden="1">#REF!</definedName>
    <definedName name="_BQ4.2" localSheetId="13" hidden="1">#REF!</definedName>
    <definedName name="_BQ4.2" localSheetId="11" hidden="1">#REF!</definedName>
    <definedName name="_BQ4.2" localSheetId="8" hidden="1">#REF!</definedName>
    <definedName name="_BQ4.2" localSheetId="9" hidden="1">#REF!</definedName>
    <definedName name="_BQ4.2" localSheetId="2" hidden="1">#REF!</definedName>
    <definedName name="_BQ4.2" localSheetId="32" hidden="1">#REF!</definedName>
    <definedName name="_BQ4.2" localSheetId="27" hidden="1">#REF!</definedName>
    <definedName name="_BQ4.2" localSheetId="34" hidden="1">#REF!</definedName>
    <definedName name="_BQ4.2" localSheetId="36" hidden="1">#REF!</definedName>
    <definedName name="_BQ4.2" localSheetId="38" hidden="1">#REF!</definedName>
    <definedName name="_BQ4.2" localSheetId="17" hidden="1">#REF!</definedName>
    <definedName name="_BQ4.2" localSheetId="19" hidden="1">#REF!</definedName>
    <definedName name="_BQ4.2" localSheetId="18" hidden="1">#REF!</definedName>
    <definedName name="_BQ4.2" localSheetId="22" hidden="1">#REF!</definedName>
    <definedName name="_BQ4.2" localSheetId="24" hidden="1">#REF!</definedName>
    <definedName name="_BQ4.2" localSheetId="23" hidden="1">#REF!</definedName>
    <definedName name="_BQ4.2" localSheetId="31" hidden="1">#REF!</definedName>
    <definedName name="_BQ4.2" localSheetId="26" hidden="1">#REF!</definedName>
    <definedName name="_BQ4.2" localSheetId="33" hidden="1">#REF!</definedName>
    <definedName name="_BQ4.2" localSheetId="28" hidden="1">#REF!</definedName>
    <definedName name="_BQ4.2" localSheetId="35" hidden="1">#REF!</definedName>
    <definedName name="_BQ4.2" localSheetId="37" hidden="1">#REF!</definedName>
    <definedName name="_BQ4.2" localSheetId="39" hidden="1">#REF!</definedName>
    <definedName name="_BQ4.2" localSheetId="29" hidden="1">#REF!</definedName>
    <definedName name="_BQ4.2" hidden="1">#REF!</definedName>
    <definedName name="_BQ4.3" localSheetId="6" hidden="1">#REF!</definedName>
    <definedName name="_BQ4.3" localSheetId="7" hidden="1">#REF!</definedName>
    <definedName name="_BQ4.3" localSheetId="12" hidden="1">#REF!</definedName>
    <definedName name="_BQ4.3" localSheetId="13" hidden="1">#REF!</definedName>
    <definedName name="_BQ4.3" localSheetId="11" hidden="1">#REF!</definedName>
    <definedName name="_BQ4.3" localSheetId="8" hidden="1">#REF!</definedName>
    <definedName name="_BQ4.3" localSheetId="9" hidden="1">#REF!</definedName>
    <definedName name="_BQ4.3" localSheetId="2" hidden="1">#REF!</definedName>
    <definedName name="_BQ4.3" localSheetId="17" hidden="1">#REF!</definedName>
    <definedName name="_BQ4.3" localSheetId="18" hidden="1">#REF!</definedName>
    <definedName name="_BQ4.3" localSheetId="22" hidden="1">#REF!</definedName>
    <definedName name="_BQ4.3" localSheetId="23" hidden="1">#REF!</definedName>
    <definedName name="_BQ4.3" localSheetId="26" hidden="1">#REF!</definedName>
    <definedName name="_BQ4.3" localSheetId="28" hidden="1">#REF!</definedName>
    <definedName name="_BQ4.3" localSheetId="39" hidden="1">#REF!</definedName>
    <definedName name="_BQ4.3" localSheetId="29" hidden="1">#REF!</definedName>
    <definedName name="_BQ4.3" hidden="1">#REF!</definedName>
    <definedName name="_BQ4.4" localSheetId="6" hidden="1">#REF!</definedName>
    <definedName name="_BQ4.4" localSheetId="7" hidden="1">#REF!</definedName>
    <definedName name="_BQ4.4" localSheetId="12" hidden="1">#REF!</definedName>
    <definedName name="_BQ4.4" localSheetId="13" hidden="1">#REF!</definedName>
    <definedName name="_BQ4.4" localSheetId="11" hidden="1">#REF!</definedName>
    <definedName name="_BQ4.4" localSheetId="8" hidden="1">#REF!</definedName>
    <definedName name="_BQ4.4" localSheetId="9" hidden="1">#REF!</definedName>
    <definedName name="_BQ4.4" localSheetId="2" hidden="1">#REF!</definedName>
    <definedName name="_BQ4.4" localSheetId="17" hidden="1">#REF!</definedName>
    <definedName name="_BQ4.4" localSheetId="18" hidden="1">#REF!</definedName>
    <definedName name="_BQ4.4" localSheetId="22" hidden="1">#REF!</definedName>
    <definedName name="_BQ4.4" localSheetId="23" hidden="1">#REF!</definedName>
    <definedName name="_BQ4.4" localSheetId="26" hidden="1">#REF!</definedName>
    <definedName name="_BQ4.4" localSheetId="28" hidden="1">#REF!</definedName>
    <definedName name="_BQ4.4" localSheetId="39" hidden="1">#REF!</definedName>
    <definedName name="_BQ4.4" localSheetId="29" hidden="1">#REF!</definedName>
    <definedName name="_BQ4.4" hidden="1">#REF!</definedName>
    <definedName name="_EZ2" localSheetId="6" hidden="1">{#N/A,#N/A,TRUE,"Page de garde";#N/A,#N/A,TRUE,"Récap";#N/A,#N/A,TRUE,"2001";#N/A,#N/A,TRUE,"2002";#N/A,#N/A,TRUE,"MN";#N/A,#N/A,TRUE,"CB-CN ";#N/A,#N/A,TRUE,"Point TVA (avec ES)"}</definedName>
    <definedName name="_EZ2" localSheetId="7" hidden="1">{#N/A,#N/A,TRUE,"Page de garde";#N/A,#N/A,TRUE,"Récap";#N/A,#N/A,TRUE,"2001";#N/A,#N/A,TRUE,"2002";#N/A,#N/A,TRUE,"MN";#N/A,#N/A,TRUE,"CB-CN ";#N/A,#N/A,TRUE,"Point TVA (avec ES)"}</definedName>
    <definedName name="_EZ2" localSheetId="14" hidden="1">{#N/A,#N/A,TRUE,"Page de garde";#N/A,#N/A,TRUE,"Récap";#N/A,#N/A,TRUE,"2001";#N/A,#N/A,TRUE,"2002";#N/A,#N/A,TRUE,"MN";#N/A,#N/A,TRUE,"CB-CN ";#N/A,#N/A,TRUE,"Point TVA (avec ES)"}</definedName>
    <definedName name="_EZ2" localSheetId="12" hidden="1">{#N/A,#N/A,TRUE,"Page de garde";#N/A,#N/A,TRUE,"Récap";#N/A,#N/A,TRUE,"2001";#N/A,#N/A,TRUE,"2002";#N/A,#N/A,TRUE,"MN";#N/A,#N/A,TRUE,"CB-CN ";#N/A,#N/A,TRUE,"Point TVA (avec ES)"}</definedName>
    <definedName name="_EZ2" localSheetId="13" hidden="1">{#N/A,#N/A,TRUE,"Page de garde";#N/A,#N/A,TRUE,"Récap";#N/A,#N/A,TRUE,"2001";#N/A,#N/A,TRUE,"2002";#N/A,#N/A,TRUE,"MN";#N/A,#N/A,TRUE,"CB-CN ";#N/A,#N/A,TRUE,"Point TVA (avec ES)"}</definedName>
    <definedName name="_EZ2" localSheetId="11" hidden="1">{#N/A,#N/A,TRUE,"Page de garde";#N/A,#N/A,TRUE,"Récap";#N/A,#N/A,TRUE,"2001";#N/A,#N/A,TRUE,"2002";#N/A,#N/A,TRUE,"MN";#N/A,#N/A,TRUE,"CB-CN ";#N/A,#N/A,TRUE,"Point TVA (avec ES)"}</definedName>
    <definedName name="_EZ2" localSheetId="15" hidden="1">{#N/A,#N/A,TRUE,"Page de garde";#N/A,#N/A,TRUE,"Récap";#N/A,#N/A,TRUE,"2001";#N/A,#N/A,TRUE,"2002";#N/A,#N/A,TRUE,"MN";#N/A,#N/A,TRUE,"CB-CN ";#N/A,#N/A,TRUE,"Point TVA (avec ES)"}</definedName>
    <definedName name="_EZ2" localSheetId="32" hidden="1">{#N/A,#N/A,TRUE,"Page de garde";#N/A,#N/A,TRUE,"Récap";#N/A,#N/A,TRUE,"2001";#N/A,#N/A,TRUE,"2002";#N/A,#N/A,TRUE,"MN";#N/A,#N/A,TRUE,"CB-CN ";#N/A,#N/A,TRUE,"Point TVA (avec ES)"}</definedName>
    <definedName name="_EZ2" localSheetId="27" hidden="1">{#N/A,#N/A,TRUE,"Page de garde";#N/A,#N/A,TRUE,"Récap";#N/A,#N/A,TRUE,"2001";#N/A,#N/A,TRUE,"2002";#N/A,#N/A,TRUE,"MN";#N/A,#N/A,TRUE,"CB-CN ";#N/A,#N/A,TRUE,"Point TVA (avec ES)"}</definedName>
    <definedName name="_EZ2" localSheetId="34" hidden="1">{#N/A,#N/A,TRUE,"Page de garde";#N/A,#N/A,TRUE,"Récap";#N/A,#N/A,TRUE,"2001";#N/A,#N/A,TRUE,"2002";#N/A,#N/A,TRUE,"MN";#N/A,#N/A,TRUE,"CB-CN ";#N/A,#N/A,TRUE,"Point TVA (avec ES)"}</definedName>
    <definedName name="_EZ2" localSheetId="36" hidden="1">{#N/A,#N/A,TRUE,"Page de garde";#N/A,#N/A,TRUE,"Récap";#N/A,#N/A,TRUE,"2001";#N/A,#N/A,TRUE,"2002";#N/A,#N/A,TRUE,"MN";#N/A,#N/A,TRUE,"CB-CN ";#N/A,#N/A,TRUE,"Point TVA (avec ES)"}</definedName>
    <definedName name="_EZ2" localSheetId="38" hidden="1">{#N/A,#N/A,TRUE,"Page de garde";#N/A,#N/A,TRUE,"Récap";#N/A,#N/A,TRUE,"2001";#N/A,#N/A,TRUE,"2002";#N/A,#N/A,TRUE,"MN";#N/A,#N/A,TRUE,"CB-CN ";#N/A,#N/A,TRUE,"Point TVA (avec ES)"}</definedName>
    <definedName name="_EZ2" localSheetId="19" hidden="1">{#N/A,#N/A,TRUE,"Page de garde";#N/A,#N/A,TRUE,"Récap";#N/A,#N/A,TRUE,"2001";#N/A,#N/A,TRUE,"2002";#N/A,#N/A,TRUE,"MN";#N/A,#N/A,TRUE,"CB-CN ";#N/A,#N/A,TRUE,"Point TVA (avec ES)"}</definedName>
    <definedName name="_EZ2" localSheetId="20" hidden="1">{#N/A,#N/A,TRUE,"Page de garde";#N/A,#N/A,TRUE,"Récap";#N/A,#N/A,TRUE,"2001";#N/A,#N/A,TRUE,"2002";#N/A,#N/A,TRUE,"MN";#N/A,#N/A,TRUE,"CB-CN ";#N/A,#N/A,TRUE,"Point TVA (avec ES)"}</definedName>
    <definedName name="_EZ2" localSheetId="24" hidden="1">{#N/A,#N/A,TRUE,"Page de garde";#N/A,#N/A,TRUE,"Récap";#N/A,#N/A,TRUE,"2001";#N/A,#N/A,TRUE,"2002";#N/A,#N/A,TRUE,"MN";#N/A,#N/A,TRUE,"CB-CN ";#N/A,#N/A,TRUE,"Point TVA (avec ES)"}</definedName>
    <definedName name="_EZ2" localSheetId="25" hidden="1">{#N/A,#N/A,TRUE,"Page de garde";#N/A,#N/A,TRUE,"Récap";#N/A,#N/A,TRUE,"2001";#N/A,#N/A,TRUE,"2002";#N/A,#N/A,TRUE,"MN";#N/A,#N/A,TRUE,"CB-CN ";#N/A,#N/A,TRUE,"Point TVA (avec ES)"}</definedName>
    <definedName name="_EZ2" localSheetId="31" hidden="1">{#N/A,#N/A,TRUE,"Page de garde";#N/A,#N/A,TRUE,"Récap";#N/A,#N/A,TRUE,"2001";#N/A,#N/A,TRUE,"2002";#N/A,#N/A,TRUE,"MN";#N/A,#N/A,TRUE,"CB-CN ";#N/A,#N/A,TRUE,"Point TVA (avec ES)"}</definedName>
    <definedName name="_EZ2" localSheetId="33" hidden="1">{#N/A,#N/A,TRUE,"Page de garde";#N/A,#N/A,TRUE,"Récap";#N/A,#N/A,TRUE,"2001";#N/A,#N/A,TRUE,"2002";#N/A,#N/A,TRUE,"MN";#N/A,#N/A,TRUE,"CB-CN ";#N/A,#N/A,TRUE,"Point TVA (avec ES)"}</definedName>
    <definedName name="_EZ2" localSheetId="28" hidden="1">{#N/A,#N/A,TRUE,"Page de garde";#N/A,#N/A,TRUE,"Récap";#N/A,#N/A,TRUE,"2001";#N/A,#N/A,TRUE,"2002";#N/A,#N/A,TRUE,"MN";#N/A,#N/A,TRUE,"CB-CN ";#N/A,#N/A,TRUE,"Point TVA (avec ES)"}</definedName>
    <definedName name="_EZ2" localSheetId="35" hidden="1">{#N/A,#N/A,TRUE,"Page de garde";#N/A,#N/A,TRUE,"Récap";#N/A,#N/A,TRUE,"2001";#N/A,#N/A,TRUE,"2002";#N/A,#N/A,TRUE,"MN";#N/A,#N/A,TRUE,"CB-CN ";#N/A,#N/A,TRUE,"Point TVA (avec ES)"}</definedName>
    <definedName name="_EZ2" localSheetId="37" hidden="1">{#N/A,#N/A,TRUE,"Page de garde";#N/A,#N/A,TRUE,"Récap";#N/A,#N/A,TRUE,"2001";#N/A,#N/A,TRUE,"2002";#N/A,#N/A,TRUE,"MN";#N/A,#N/A,TRUE,"CB-CN ";#N/A,#N/A,TRUE,"Point TVA (avec ES)"}</definedName>
    <definedName name="_EZ2" localSheetId="39" hidden="1">{#N/A,#N/A,TRUE,"Page de garde";#N/A,#N/A,TRUE,"Récap";#N/A,#N/A,TRUE,"2001";#N/A,#N/A,TRUE,"2002";#N/A,#N/A,TRUE,"MN";#N/A,#N/A,TRUE,"CB-CN ";#N/A,#N/A,TRUE,"Point TVA (avec ES)"}</definedName>
    <definedName name="_EZ2" hidden="1">{#N/A,#N/A,TRUE,"Page de garde";#N/A,#N/A,TRUE,"Récap";#N/A,#N/A,TRUE,"2001";#N/A,#N/A,TRUE,"2002";#N/A,#N/A,TRUE,"MN";#N/A,#N/A,TRUE,"CB-CN ";#N/A,#N/A,TRUE,"Point TVA (avec ES)"}</definedName>
    <definedName name="_xlnm._FilterDatabase" localSheetId="6" hidden="1">'ANSP Capex'!$B$347:$F$645</definedName>
    <definedName name="_xlnm._FilterDatabase" localSheetId="7" hidden="1">'ANSP Capex (CAR)'!$D$351:$D$649</definedName>
    <definedName name="_xlnm._FilterDatabase" localSheetId="31" hidden="1">'T3'!$A$11:$J$175</definedName>
    <definedName name="_qry1999" localSheetId="6">#REF!</definedName>
    <definedName name="_qry1999" localSheetId="7">#REF!</definedName>
    <definedName name="_qry1999" localSheetId="12">#REF!</definedName>
    <definedName name="_qry1999" localSheetId="13">#REF!</definedName>
    <definedName name="_qry1999" localSheetId="11">#REF!</definedName>
    <definedName name="_qry1999" localSheetId="9">#REF!</definedName>
    <definedName name="_qry1999" localSheetId="2">#REF!</definedName>
    <definedName name="_qry1999" localSheetId="28">#REF!</definedName>
    <definedName name="_qry1999" localSheetId="39">#REF!</definedName>
    <definedName name="_qry1999" localSheetId="29">#REF!</definedName>
    <definedName name="_qry1999">#REF!</definedName>
    <definedName name="_qry2000" localSheetId="6">#REF!</definedName>
    <definedName name="_qry2000" localSheetId="7">#REF!</definedName>
    <definedName name="_qry2000" localSheetId="12">#REF!</definedName>
    <definedName name="_qry2000" localSheetId="13">#REF!</definedName>
    <definedName name="_qry2000" localSheetId="11">#REF!</definedName>
    <definedName name="_qry2000" localSheetId="9">#REF!</definedName>
    <definedName name="_qry2000" localSheetId="2">#REF!</definedName>
    <definedName name="_qry2000" localSheetId="28">#REF!</definedName>
    <definedName name="_qry2000" localSheetId="39">#REF!</definedName>
    <definedName name="_qry2000" localSheetId="29">#REF!</definedName>
    <definedName name="_qry2000">#REF!</definedName>
    <definedName name="_tblType" localSheetId="6">#REF!</definedName>
    <definedName name="_tblType" localSheetId="7">#REF!</definedName>
    <definedName name="_tblType" localSheetId="12">#REF!</definedName>
    <definedName name="_tblType" localSheetId="13">#REF!</definedName>
    <definedName name="_tblType" localSheetId="11">#REF!</definedName>
    <definedName name="_tblType" localSheetId="9">#REF!</definedName>
    <definedName name="_tblType" localSheetId="2">#REF!</definedName>
    <definedName name="_tblType" localSheetId="28">#REF!</definedName>
    <definedName name="_tblType" localSheetId="39">#REF!</definedName>
    <definedName name="_tblType" localSheetId="29">#REF!</definedName>
    <definedName name="_tblType">#REF!</definedName>
    <definedName name="aa" localSheetId="6">#REF!</definedName>
    <definedName name="aa" localSheetId="7">#REF!</definedName>
    <definedName name="aa" localSheetId="12">#REF!</definedName>
    <definedName name="aa" localSheetId="13">#REF!</definedName>
    <definedName name="aa" localSheetId="11">#REF!</definedName>
    <definedName name="aa" localSheetId="9">#REF!</definedName>
    <definedName name="aa" localSheetId="2">#REF!</definedName>
    <definedName name="aa" localSheetId="28">#REF!</definedName>
    <definedName name="aa" localSheetId="39">#REF!</definedName>
    <definedName name="aa" localSheetId="29">#REF!</definedName>
    <definedName name="aa">#REF!</definedName>
    <definedName name="aaa">[1]BEF!$F$8</definedName>
    <definedName name="AINFn1" localSheetId="6">#REF!</definedName>
    <definedName name="AINFn1" localSheetId="7">#REF!</definedName>
    <definedName name="AINFn1" localSheetId="12">#REF!</definedName>
    <definedName name="AINFn1" localSheetId="13">#REF!</definedName>
    <definedName name="AINFn1" localSheetId="11">#REF!</definedName>
    <definedName name="AINFn1" localSheetId="9">#REF!</definedName>
    <definedName name="AINFn1" localSheetId="2">#REF!</definedName>
    <definedName name="AINFn1" localSheetId="28">#REF!</definedName>
    <definedName name="AINFn1" localSheetId="39">#REF!</definedName>
    <definedName name="AINFn1" localSheetId="29">#REF!</definedName>
    <definedName name="AINFn1">#REF!</definedName>
    <definedName name="AINFn2" localSheetId="6">#REF!</definedName>
    <definedName name="AINFn2" localSheetId="7">#REF!</definedName>
    <definedName name="AINFn2" localSheetId="12">#REF!</definedName>
    <definedName name="AINFn2" localSheetId="13">#REF!</definedName>
    <definedName name="AINFn2" localSheetId="11">#REF!</definedName>
    <definedName name="AINFn2" localSheetId="9">#REF!</definedName>
    <definedName name="AINFn2" localSheetId="2">#REF!</definedName>
    <definedName name="AINFn2" localSheetId="28">#REF!</definedName>
    <definedName name="AINFn2" localSheetId="39">#REF!</definedName>
    <definedName name="AINFn2" localSheetId="29">#REF!</definedName>
    <definedName name="AINFn2">#REF!</definedName>
    <definedName name="Antal">'[2]Indata Flygskolor'!$A$6:$A$25</definedName>
    <definedName name="Bel" localSheetId="6">#REF!</definedName>
    <definedName name="Bel" localSheetId="7">#REF!</definedName>
    <definedName name="Bel" localSheetId="12">#REF!</definedName>
    <definedName name="Bel" localSheetId="13">#REF!</definedName>
    <definedName name="Bel" localSheetId="11">#REF!</definedName>
    <definedName name="Bel" localSheetId="9">#REF!</definedName>
    <definedName name="Bel" localSheetId="2">#REF!</definedName>
    <definedName name="Bel" localSheetId="28">#REF!</definedName>
    <definedName name="Bel" localSheetId="39">#REF!</definedName>
    <definedName name="Bel" localSheetId="29">#REF!</definedName>
    <definedName name="Bel">#REF!</definedName>
    <definedName name="Belux" localSheetId="6">#REF!</definedName>
    <definedName name="Belux" localSheetId="7">#REF!</definedName>
    <definedName name="Belux" localSheetId="12">#REF!</definedName>
    <definedName name="Belux" localSheetId="13">#REF!</definedName>
    <definedName name="Belux" localSheetId="11">#REF!</definedName>
    <definedName name="Belux" localSheetId="9">#REF!</definedName>
    <definedName name="Belux" localSheetId="2">#REF!</definedName>
    <definedName name="Belux" localSheetId="28">#REF!</definedName>
    <definedName name="Belux" localSheetId="39">#REF!</definedName>
    <definedName name="Belux" localSheetId="29">#REF!</definedName>
    <definedName name="Belux">#REF!</definedName>
    <definedName name="beu" localSheetId="6" hidden="1">{#N/A,#N/A,TRUE,"Page de garde";#N/A,#N/A,TRUE,"Récap";#N/A,#N/A,TRUE,"2001";#N/A,#N/A,TRUE,"2002";#N/A,#N/A,TRUE,"MN";#N/A,#N/A,TRUE,"CB-CN ";#N/A,#N/A,TRUE,"Point TVA (avec ES)"}</definedName>
    <definedName name="beu" localSheetId="7" hidden="1">{#N/A,#N/A,TRUE,"Page de garde";#N/A,#N/A,TRUE,"Récap";#N/A,#N/A,TRUE,"2001";#N/A,#N/A,TRUE,"2002";#N/A,#N/A,TRUE,"MN";#N/A,#N/A,TRUE,"CB-CN ";#N/A,#N/A,TRUE,"Point TVA (avec ES)"}</definedName>
    <definedName name="beu" localSheetId="14" hidden="1">{#N/A,#N/A,TRUE,"Page de garde";#N/A,#N/A,TRUE,"Récap";#N/A,#N/A,TRUE,"2001";#N/A,#N/A,TRUE,"2002";#N/A,#N/A,TRUE,"MN";#N/A,#N/A,TRUE,"CB-CN ";#N/A,#N/A,TRUE,"Point TVA (avec ES)"}</definedName>
    <definedName name="beu" localSheetId="12" hidden="1">{#N/A,#N/A,TRUE,"Page de garde";#N/A,#N/A,TRUE,"Récap";#N/A,#N/A,TRUE,"2001";#N/A,#N/A,TRUE,"2002";#N/A,#N/A,TRUE,"MN";#N/A,#N/A,TRUE,"CB-CN ";#N/A,#N/A,TRUE,"Point TVA (avec ES)"}</definedName>
    <definedName name="beu" localSheetId="13" hidden="1">{#N/A,#N/A,TRUE,"Page de garde";#N/A,#N/A,TRUE,"Récap";#N/A,#N/A,TRUE,"2001";#N/A,#N/A,TRUE,"2002";#N/A,#N/A,TRUE,"MN";#N/A,#N/A,TRUE,"CB-CN ";#N/A,#N/A,TRUE,"Point TVA (avec ES)"}</definedName>
    <definedName name="beu" localSheetId="11" hidden="1">{#N/A,#N/A,TRUE,"Page de garde";#N/A,#N/A,TRUE,"Récap";#N/A,#N/A,TRUE,"2001";#N/A,#N/A,TRUE,"2002";#N/A,#N/A,TRUE,"MN";#N/A,#N/A,TRUE,"CB-CN ";#N/A,#N/A,TRUE,"Point TVA (avec ES)"}</definedName>
    <definedName name="beu" localSheetId="15" hidden="1">{#N/A,#N/A,TRUE,"Page de garde";#N/A,#N/A,TRUE,"Récap";#N/A,#N/A,TRUE,"2001";#N/A,#N/A,TRUE,"2002";#N/A,#N/A,TRUE,"MN";#N/A,#N/A,TRUE,"CB-CN ";#N/A,#N/A,TRUE,"Point TVA (avec ES)"}</definedName>
    <definedName name="beu" localSheetId="32" hidden="1">{#N/A,#N/A,TRUE,"Page de garde";#N/A,#N/A,TRUE,"Récap";#N/A,#N/A,TRUE,"2001";#N/A,#N/A,TRUE,"2002";#N/A,#N/A,TRUE,"MN";#N/A,#N/A,TRUE,"CB-CN ";#N/A,#N/A,TRUE,"Point TVA (avec ES)"}</definedName>
    <definedName name="beu" localSheetId="27" hidden="1">{#N/A,#N/A,TRUE,"Page de garde";#N/A,#N/A,TRUE,"Récap";#N/A,#N/A,TRUE,"2001";#N/A,#N/A,TRUE,"2002";#N/A,#N/A,TRUE,"MN";#N/A,#N/A,TRUE,"CB-CN ";#N/A,#N/A,TRUE,"Point TVA (avec ES)"}</definedName>
    <definedName name="beu" localSheetId="34" hidden="1">{#N/A,#N/A,TRUE,"Page de garde";#N/A,#N/A,TRUE,"Récap";#N/A,#N/A,TRUE,"2001";#N/A,#N/A,TRUE,"2002";#N/A,#N/A,TRUE,"MN";#N/A,#N/A,TRUE,"CB-CN ";#N/A,#N/A,TRUE,"Point TVA (avec ES)"}</definedName>
    <definedName name="beu" localSheetId="36" hidden="1">{#N/A,#N/A,TRUE,"Page de garde";#N/A,#N/A,TRUE,"Récap";#N/A,#N/A,TRUE,"2001";#N/A,#N/A,TRUE,"2002";#N/A,#N/A,TRUE,"MN";#N/A,#N/A,TRUE,"CB-CN ";#N/A,#N/A,TRUE,"Point TVA (avec ES)"}</definedName>
    <definedName name="beu" localSheetId="38" hidden="1">{#N/A,#N/A,TRUE,"Page de garde";#N/A,#N/A,TRUE,"Récap";#N/A,#N/A,TRUE,"2001";#N/A,#N/A,TRUE,"2002";#N/A,#N/A,TRUE,"MN";#N/A,#N/A,TRUE,"CB-CN ";#N/A,#N/A,TRUE,"Point TVA (avec ES)"}</definedName>
    <definedName name="beu" localSheetId="19" hidden="1">{#N/A,#N/A,TRUE,"Page de garde";#N/A,#N/A,TRUE,"Récap";#N/A,#N/A,TRUE,"2001";#N/A,#N/A,TRUE,"2002";#N/A,#N/A,TRUE,"MN";#N/A,#N/A,TRUE,"CB-CN ";#N/A,#N/A,TRUE,"Point TVA (avec ES)"}</definedName>
    <definedName name="beu" localSheetId="20" hidden="1">{#N/A,#N/A,TRUE,"Page de garde";#N/A,#N/A,TRUE,"Récap";#N/A,#N/A,TRUE,"2001";#N/A,#N/A,TRUE,"2002";#N/A,#N/A,TRUE,"MN";#N/A,#N/A,TRUE,"CB-CN ";#N/A,#N/A,TRUE,"Point TVA (avec ES)"}</definedName>
    <definedName name="beu" localSheetId="24" hidden="1">{#N/A,#N/A,TRUE,"Page de garde";#N/A,#N/A,TRUE,"Récap";#N/A,#N/A,TRUE,"2001";#N/A,#N/A,TRUE,"2002";#N/A,#N/A,TRUE,"MN";#N/A,#N/A,TRUE,"CB-CN ";#N/A,#N/A,TRUE,"Point TVA (avec ES)"}</definedName>
    <definedName name="beu" localSheetId="25" hidden="1">{#N/A,#N/A,TRUE,"Page de garde";#N/A,#N/A,TRUE,"Récap";#N/A,#N/A,TRUE,"2001";#N/A,#N/A,TRUE,"2002";#N/A,#N/A,TRUE,"MN";#N/A,#N/A,TRUE,"CB-CN ";#N/A,#N/A,TRUE,"Point TVA (avec ES)"}</definedName>
    <definedName name="beu" localSheetId="31" hidden="1">{#N/A,#N/A,TRUE,"Page de garde";#N/A,#N/A,TRUE,"Récap";#N/A,#N/A,TRUE,"2001";#N/A,#N/A,TRUE,"2002";#N/A,#N/A,TRUE,"MN";#N/A,#N/A,TRUE,"CB-CN ";#N/A,#N/A,TRUE,"Point TVA (avec ES)"}</definedName>
    <definedName name="beu" localSheetId="33" hidden="1">{#N/A,#N/A,TRUE,"Page de garde";#N/A,#N/A,TRUE,"Récap";#N/A,#N/A,TRUE,"2001";#N/A,#N/A,TRUE,"2002";#N/A,#N/A,TRUE,"MN";#N/A,#N/A,TRUE,"CB-CN ";#N/A,#N/A,TRUE,"Point TVA (avec ES)"}</definedName>
    <definedName name="beu" localSheetId="28" hidden="1">{#N/A,#N/A,TRUE,"Page de garde";#N/A,#N/A,TRUE,"Récap";#N/A,#N/A,TRUE,"2001";#N/A,#N/A,TRUE,"2002";#N/A,#N/A,TRUE,"MN";#N/A,#N/A,TRUE,"CB-CN ";#N/A,#N/A,TRUE,"Point TVA (avec ES)"}</definedName>
    <definedName name="beu" localSheetId="35" hidden="1">{#N/A,#N/A,TRUE,"Page de garde";#N/A,#N/A,TRUE,"Récap";#N/A,#N/A,TRUE,"2001";#N/A,#N/A,TRUE,"2002";#N/A,#N/A,TRUE,"MN";#N/A,#N/A,TRUE,"CB-CN ";#N/A,#N/A,TRUE,"Point TVA (avec ES)"}</definedName>
    <definedName name="beu" localSheetId="37" hidden="1">{#N/A,#N/A,TRUE,"Page de garde";#N/A,#N/A,TRUE,"Récap";#N/A,#N/A,TRUE,"2001";#N/A,#N/A,TRUE,"2002";#N/A,#N/A,TRUE,"MN";#N/A,#N/A,TRUE,"CB-CN ";#N/A,#N/A,TRUE,"Point TVA (avec ES)"}</definedName>
    <definedName name="beu" localSheetId="39" hidden="1">{#N/A,#N/A,TRUE,"Page de garde";#N/A,#N/A,TRUE,"Récap";#N/A,#N/A,TRUE,"2001";#N/A,#N/A,TRUE,"2002";#N/A,#N/A,TRUE,"MN";#N/A,#N/A,TRUE,"CB-CN ";#N/A,#N/A,TRUE,"Point TVA (avec ES)"}</definedName>
    <definedName name="beu" hidden="1">{#N/A,#N/A,TRUE,"Page de garde";#N/A,#N/A,TRUE,"Récap";#N/A,#N/A,TRUE,"2001";#N/A,#N/A,TRUE,"2002";#N/A,#N/A,TRUE,"MN";#N/A,#N/A,TRUE,"CB-CN ";#N/A,#N/A,TRUE,"Point TVA (avec ES)"}</definedName>
    <definedName name="buiohno" localSheetId="6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7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4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2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3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1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5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2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7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4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6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8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19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0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4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5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1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3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28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5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7" hidden="1">{#N/A,#N/A,FALSE,"Synthèse";#N/A,#N/A,FALSE,"Evolution de la TVA";#N/A,#N/A,FALSE,"Ventilation DGI-Douanes";#N/A,#N/A,FALSE,"prévision hors constaté ";#N/A,#N/A,FALSE,"recettes et écart à la prévisio"}</definedName>
    <definedName name="buiohno" localSheetId="39" hidden="1">{#N/A,#N/A,FALSE,"Synthèse";#N/A,#N/A,FALSE,"Evolution de la TVA";#N/A,#N/A,FALSE,"Ventilation DGI-Douanes";#N/A,#N/A,FALSE,"prévision hors constaté ";#N/A,#N/A,FALSE,"recettes et écart à la prévisio"}</definedName>
    <definedName name="buiohno" hidden="1">{#N/A,#N/A,FALSE,"Synthèse";#N/A,#N/A,FALSE,"Evolution de la TVA";#N/A,#N/A,FALSE,"Ventilation DGI-Douanes";#N/A,#N/A,FALSE,"prévision hors constaté ";#N/A,#N/A,FALSE,"recettes et écart à la prévisio"}</definedName>
    <definedName name="ceats" localSheetId="6">#REF!</definedName>
    <definedName name="ceats" localSheetId="7">#REF!</definedName>
    <definedName name="ceats" localSheetId="12">#REF!</definedName>
    <definedName name="ceats" localSheetId="13">#REF!</definedName>
    <definedName name="ceats" localSheetId="11">#REF!</definedName>
    <definedName name="ceats" localSheetId="9">#REF!</definedName>
    <definedName name="ceats" localSheetId="2">#REF!</definedName>
    <definedName name="ceats" localSheetId="28">#REF!</definedName>
    <definedName name="ceats" localSheetId="39">#REF!</definedName>
    <definedName name="ceats" localSheetId="29">#REF!</definedName>
    <definedName name="ceats">#REF!</definedName>
    <definedName name="ceats2" localSheetId="6">#REF!</definedName>
    <definedName name="ceats2" localSheetId="7">#REF!</definedName>
    <definedName name="ceats2" localSheetId="12">#REF!</definedName>
    <definedName name="ceats2" localSheetId="13">#REF!</definedName>
    <definedName name="ceats2" localSheetId="11">#REF!</definedName>
    <definedName name="ceats2" localSheetId="9">#REF!</definedName>
    <definedName name="ceats2" localSheetId="2">#REF!</definedName>
    <definedName name="ceats2" localSheetId="28">#REF!</definedName>
    <definedName name="ceats2" localSheetId="39">#REF!</definedName>
    <definedName name="ceats2" localSheetId="29">#REF!</definedName>
    <definedName name="ceats2">#REF!</definedName>
    <definedName name="ceats234" localSheetId="6">#REF!</definedName>
    <definedName name="ceats234" localSheetId="7">#REF!</definedName>
    <definedName name="ceats234" localSheetId="12">#REF!</definedName>
    <definedName name="ceats234" localSheetId="13">#REF!</definedName>
    <definedName name="ceats234" localSheetId="11">#REF!</definedName>
    <definedName name="ceats234" localSheetId="9">#REF!</definedName>
    <definedName name="ceats234" localSheetId="2">#REF!</definedName>
    <definedName name="ceats234" localSheetId="28">#REF!</definedName>
    <definedName name="ceats234" localSheetId="39">#REF!</definedName>
    <definedName name="ceats234" localSheetId="29">#REF!</definedName>
    <definedName name="ceats234">#REF!</definedName>
    <definedName name="COPIE" localSheetId="6" hidden="1">{#N/A,#N/A,TRUE,"Page de garde";#N/A,#N/A,TRUE,"Récap";#N/A,#N/A,TRUE,"2001";#N/A,#N/A,TRUE,"2002";#N/A,#N/A,TRUE,"MN";#N/A,#N/A,TRUE,"CB-CN ";#N/A,#N/A,TRUE,"Point TVA (avec ES)"}</definedName>
    <definedName name="COPIE" localSheetId="7" hidden="1">{#N/A,#N/A,TRUE,"Page de garde";#N/A,#N/A,TRUE,"Récap";#N/A,#N/A,TRUE,"2001";#N/A,#N/A,TRUE,"2002";#N/A,#N/A,TRUE,"MN";#N/A,#N/A,TRUE,"CB-CN ";#N/A,#N/A,TRUE,"Point TVA (avec ES)"}</definedName>
    <definedName name="COPIE" localSheetId="14" hidden="1">{#N/A,#N/A,TRUE,"Page de garde";#N/A,#N/A,TRUE,"Récap";#N/A,#N/A,TRUE,"2001";#N/A,#N/A,TRUE,"2002";#N/A,#N/A,TRUE,"MN";#N/A,#N/A,TRUE,"CB-CN ";#N/A,#N/A,TRUE,"Point TVA (avec ES)"}</definedName>
    <definedName name="COPIE" localSheetId="12" hidden="1">{#N/A,#N/A,TRUE,"Page de garde";#N/A,#N/A,TRUE,"Récap";#N/A,#N/A,TRUE,"2001";#N/A,#N/A,TRUE,"2002";#N/A,#N/A,TRUE,"MN";#N/A,#N/A,TRUE,"CB-CN ";#N/A,#N/A,TRUE,"Point TVA (avec ES)"}</definedName>
    <definedName name="COPIE" localSheetId="13" hidden="1">{#N/A,#N/A,TRUE,"Page de garde";#N/A,#N/A,TRUE,"Récap";#N/A,#N/A,TRUE,"2001";#N/A,#N/A,TRUE,"2002";#N/A,#N/A,TRUE,"MN";#N/A,#N/A,TRUE,"CB-CN ";#N/A,#N/A,TRUE,"Point TVA (avec ES)"}</definedName>
    <definedName name="COPIE" localSheetId="11" hidden="1">{#N/A,#N/A,TRUE,"Page de garde";#N/A,#N/A,TRUE,"Récap";#N/A,#N/A,TRUE,"2001";#N/A,#N/A,TRUE,"2002";#N/A,#N/A,TRUE,"MN";#N/A,#N/A,TRUE,"CB-CN ";#N/A,#N/A,TRUE,"Point TVA (avec ES)"}</definedName>
    <definedName name="COPIE" localSheetId="15" hidden="1">{#N/A,#N/A,TRUE,"Page de garde";#N/A,#N/A,TRUE,"Récap";#N/A,#N/A,TRUE,"2001";#N/A,#N/A,TRUE,"2002";#N/A,#N/A,TRUE,"MN";#N/A,#N/A,TRUE,"CB-CN ";#N/A,#N/A,TRUE,"Point TVA (avec ES)"}</definedName>
    <definedName name="COPIE" localSheetId="32" hidden="1">{#N/A,#N/A,TRUE,"Page de garde";#N/A,#N/A,TRUE,"Récap";#N/A,#N/A,TRUE,"2001";#N/A,#N/A,TRUE,"2002";#N/A,#N/A,TRUE,"MN";#N/A,#N/A,TRUE,"CB-CN ";#N/A,#N/A,TRUE,"Point TVA (avec ES)"}</definedName>
    <definedName name="COPIE" localSheetId="27" hidden="1">{#N/A,#N/A,TRUE,"Page de garde";#N/A,#N/A,TRUE,"Récap";#N/A,#N/A,TRUE,"2001";#N/A,#N/A,TRUE,"2002";#N/A,#N/A,TRUE,"MN";#N/A,#N/A,TRUE,"CB-CN ";#N/A,#N/A,TRUE,"Point TVA (avec ES)"}</definedName>
    <definedName name="COPIE" localSheetId="34" hidden="1">{#N/A,#N/A,TRUE,"Page de garde";#N/A,#N/A,TRUE,"Récap";#N/A,#N/A,TRUE,"2001";#N/A,#N/A,TRUE,"2002";#N/A,#N/A,TRUE,"MN";#N/A,#N/A,TRUE,"CB-CN ";#N/A,#N/A,TRUE,"Point TVA (avec ES)"}</definedName>
    <definedName name="COPIE" localSheetId="36" hidden="1">{#N/A,#N/A,TRUE,"Page de garde";#N/A,#N/A,TRUE,"Récap";#N/A,#N/A,TRUE,"2001";#N/A,#N/A,TRUE,"2002";#N/A,#N/A,TRUE,"MN";#N/A,#N/A,TRUE,"CB-CN ";#N/A,#N/A,TRUE,"Point TVA (avec ES)"}</definedName>
    <definedName name="COPIE" localSheetId="38" hidden="1">{#N/A,#N/A,TRUE,"Page de garde";#N/A,#N/A,TRUE,"Récap";#N/A,#N/A,TRUE,"2001";#N/A,#N/A,TRUE,"2002";#N/A,#N/A,TRUE,"MN";#N/A,#N/A,TRUE,"CB-CN ";#N/A,#N/A,TRUE,"Point TVA (avec ES)"}</definedName>
    <definedName name="COPIE" localSheetId="19" hidden="1">{#N/A,#N/A,TRUE,"Page de garde";#N/A,#N/A,TRUE,"Récap";#N/A,#N/A,TRUE,"2001";#N/A,#N/A,TRUE,"2002";#N/A,#N/A,TRUE,"MN";#N/A,#N/A,TRUE,"CB-CN ";#N/A,#N/A,TRUE,"Point TVA (avec ES)"}</definedName>
    <definedName name="COPIE" localSheetId="20" hidden="1">{#N/A,#N/A,TRUE,"Page de garde";#N/A,#N/A,TRUE,"Récap";#N/A,#N/A,TRUE,"2001";#N/A,#N/A,TRUE,"2002";#N/A,#N/A,TRUE,"MN";#N/A,#N/A,TRUE,"CB-CN ";#N/A,#N/A,TRUE,"Point TVA (avec ES)"}</definedName>
    <definedName name="COPIE" localSheetId="24" hidden="1">{#N/A,#N/A,TRUE,"Page de garde";#N/A,#N/A,TRUE,"Récap";#N/A,#N/A,TRUE,"2001";#N/A,#N/A,TRUE,"2002";#N/A,#N/A,TRUE,"MN";#N/A,#N/A,TRUE,"CB-CN ";#N/A,#N/A,TRUE,"Point TVA (avec ES)"}</definedName>
    <definedName name="COPIE" localSheetId="25" hidden="1">{#N/A,#N/A,TRUE,"Page de garde";#N/A,#N/A,TRUE,"Récap";#N/A,#N/A,TRUE,"2001";#N/A,#N/A,TRUE,"2002";#N/A,#N/A,TRUE,"MN";#N/A,#N/A,TRUE,"CB-CN ";#N/A,#N/A,TRUE,"Point TVA (avec ES)"}</definedName>
    <definedName name="COPIE" localSheetId="31" hidden="1">{#N/A,#N/A,TRUE,"Page de garde";#N/A,#N/A,TRUE,"Récap";#N/A,#N/A,TRUE,"2001";#N/A,#N/A,TRUE,"2002";#N/A,#N/A,TRUE,"MN";#N/A,#N/A,TRUE,"CB-CN ";#N/A,#N/A,TRUE,"Point TVA (avec ES)"}</definedName>
    <definedName name="COPIE" localSheetId="33" hidden="1">{#N/A,#N/A,TRUE,"Page de garde";#N/A,#N/A,TRUE,"Récap";#N/A,#N/A,TRUE,"2001";#N/A,#N/A,TRUE,"2002";#N/A,#N/A,TRUE,"MN";#N/A,#N/A,TRUE,"CB-CN ";#N/A,#N/A,TRUE,"Point TVA (avec ES)"}</definedName>
    <definedName name="COPIE" localSheetId="28" hidden="1">{#N/A,#N/A,TRUE,"Page de garde";#N/A,#N/A,TRUE,"Récap";#N/A,#N/A,TRUE,"2001";#N/A,#N/A,TRUE,"2002";#N/A,#N/A,TRUE,"MN";#N/A,#N/A,TRUE,"CB-CN ";#N/A,#N/A,TRUE,"Point TVA (avec ES)"}</definedName>
    <definedName name="COPIE" localSheetId="35" hidden="1">{#N/A,#N/A,TRUE,"Page de garde";#N/A,#N/A,TRUE,"Récap";#N/A,#N/A,TRUE,"2001";#N/A,#N/A,TRUE,"2002";#N/A,#N/A,TRUE,"MN";#N/A,#N/A,TRUE,"CB-CN ";#N/A,#N/A,TRUE,"Point TVA (avec ES)"}</definedName>
    <definedName name="COPIE" localSheetId="37" hidden="1">{#N/A,#N/A,TRUE,"Page de garde";#N/A,#N/A,TRUE,"Récap";#N/A,#N/A,TRUE,"2001";#N/A,#N/A,TRUE,"2002";#N/A,#N/A,TRUE,"MN";#N/A,#N/A,TRUE,"CB-CN ";#N/A,#N/A,TRUE,"Point TVA (avec ES)"}</definedName>
    <definedName name="COPIE" localSheetId="39" hidden="1">{#N/A,#N/A,TRUE,"Page de garde";#N/A,#N/A,TRUE,"Récap";#N/A,#N/A,TRUE,"2001";#N/A,#N/A,TRUE,"2002";#N/A,#N/A,TRUE,"MN";#N/A,#N/A,TRUE,"CB-CN ";#N/A,#N/A,TRUE,"Point TVA (avec ES)"}</definedName>
    <definedName name="COPIE" hidden="1">{#N/A,#N/A,TRUE,"Page de garde";#N/A,#N/A,TRUE,"Récap";#N/A,#N/A,TRUE,"2001";#N/A,#N/A,TRUE,"2002";#N/A,#N/A,TRUE,"MN";#N/A,#N/A,TRUE,"CB-CN ";#N/A,#N/A,TRUE,"Point TVA (avec ES)"}</definedName>
    <definedName name="COURANT" localSheetId="6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7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4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2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3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1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5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2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7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4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6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8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19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0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4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5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1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3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28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5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7" hidden="1">{#N/A,#N/A,FALSE,"Synthèse";#N/A,#N/A,FALSE,"Evolution de la TVA";#N/A,#N/A,FALSE,"Ventilation DGI-Douanes";#N/A,#N/A,FALSE,"prévision hors constaté ";#N/A,#N/A,FALSE,"recettes et écart à la prévisio"}</definedName>
    <definedName name="COURANT" localSheetId="39" hidden="1">{#N/A,#N/A,FALSE,"Synthèse";#N/A,#N/A,FALSE,"Evolution de la TVA";#N/A,#N/A,FALSE,"Ventilation DGI-Douanes";#N/A,#N/A,FALSE,"prévision hors constaté ";#N/A,#N/A,FALSE,"recettes et écart à la prévisio"}</definedName>
    <definedName name="COURANT" hidden="1">{#N/A,#N/A,FALSE,"Synthèse";#N/A,#N/A,FALSE,"Evolution de la TVA";#N/A,#N/A,FALSE,"Ventilation DGI-Douanes";#N/A,#N/A,FALSE,"prévision hors constaté ";#N/A,#N/A,FALSE,"recettes et écart à la prévisio"}</definedName>
    <definedName name="_xlnm.Database" localSheetId="6">#REF!</definedName>
    <definedName name="_xlnm.Database" localSheetId="7">#REF!</definedName>
    <definedName name="_xlnm.Database" localSheetId="12">#REF!</definedName>
    <definedName name="_xlnm.Database" localSheetId="13">#REF!</definedName>
    <definedName name="_xlnm.Database" localSheetId="11">#REF!</definedName>
    <definedName name="_xlnm.Database" localSheetId="9">#REF!</definedName>
    <definedName name="_xlnm.Database" localSheetId="2">#REF!</definedName>
    <definedName name="_xlnm.Database" localSheetId="28">#REF!</definedName>
    <definedName name="_xlnm.Database" localSheetId="39">#REF!</definedName>
    <definedName name="_xlnm.Database" localSheetId="29">#REF!</definedName>
    <definedName name="_xlnm.Database">#REF!</definedName>
    <definedName name="DC" localSheetId="6">#REF!</definedName>
    <definedName name="DC" localSheetId="7">#REF!</definedName>
    <definedName name="DC" localSheetId="12">#REF!</definedName>
    <definedName name="DC" localSheetId="13">#REF!</definedName>
    <definedName name="DC" localSheetId="11">#REF!</definedName>
    <definedName name="DC" localSheetId="9">#REF!</definedName>
    <definedName name="DC" localSheetId="2">#REF!</definedName>
    <definedName name="DC" localSheetId="28">#REF!</definedName>
    <definedName name="DC" localSheetId="39">#REF!</definedName>
    <definedName name="DC" localSheetId="29">#REF!</definedName>
    <definedName name="DC">#REF!</definedName>
    <definedName name="ddb" localSheetId="6">#REF!</definedName>
    <definedName name="ddb" localSheetId="7">#REF!</definedName>
    <definedName name="ddb" localSheetId="12">#REF!</definedName>
    <definedName name="ddb" localSheetId="13">#REF!</definedName>
    <definedName name="ddb" localSheetId="11">#REF!</definedName>
    <definedName name="ddb" localSheetId="9">#REF!</definedName>
    <definedName name="ddb" localSheetId="2">#REF!</definedName>
    <definedName name="ddb" localSheetId="28">#REF!</definedName>
    <definedName name="ddb" localSheetId="39">#REF!</definedName>
    <definedName name="ddb" localSheetId="29">#REF!</definedName>
    <definedName name="ddb">#REF!</definedName>
    <definedName name="ddc" localSheetId="6">#REF!</definedName>
    <definedName name="ddc" localSheetId="7">#REF!</definedName>
    <definedName name="ddc" localSheetId="12">#REF!</definedName>
    <definedName name="ddc" localSheetId="13">#REF!</definedName>
    <definedName name="ddc" localSheetId="11">#REF!</definedName>
    <definedName name="ddc" localSheetId="9">#REF!</definedName>
    <definedName name="ddc" localSheetId="2">#REF!</definedName>
    <definedName name="ddc" localSheetId="28">#REF!</definedName>
    <definedName name="ddc" localSheetId="39">#REF!</definedName>
    <definedName name="ddc" localSheetId="29">#REF!</definedName>
    <definedName name="ddc">#REF!</definedName>
    <definedName name="ddd" localSheetId="6">#REF!</definedName>
    <definedName name="ddd" localSheetId="7">#REF!</definedName>
    <definedName name="ddd" localSheetId="12">#REF!</definedName>
    <definedName name="ddd" localSheetId="13">#REF!</definedName>
    <definedName name="ddd" localSheetId="11">#REF!</definedName>
    <definedName name="ddd" localSheetId="9">#REF!</definedName>
    <definedName name="ddd" localSheetId="2">#REF!</definedName>
    <definedName name="ddd" localSheetId="28">#REF!</definedName>
    <definedName name="ddd" localSheetId="39">#REF!</definedName>
    <definedName name="ddd" localSheetId="29">#REF!</definedName>
    <definedName name="ddd">#REF!</definedName>
    <definedName name="dqfqq" localSheetId="6" hidden="1">{#N/A,#N/A,TRUE,"Page de garde";#N/A,#N/A,TRUE,"Récap";#N/A,#N/A,TRUE,"2001";#N/A,#N/A,TRUE,"2002";#N/A,#N/A,TRUE,"MN";#N/A,#N/A,TRUE,"CB-CN ";#N/A,#N/A,TRUE,"Point TVA (avec ES)"}</definedName>
    <definedName name="dqfqq" localSheetId="7" hidden="1">{#N/A,#N/A,TRUE,"Page de garde";#N/A,#N/A,TRUE,"Récap";#N/A,#N/A,TRUE,"2001";#N/A,#N/A,TRUE,"2002";#N/A,#N/A,TRUE,"MN";#N/A,#N/A,TRUE,"CB-CN ";#N/A,#N/A,TRUE,"Point TVA (avec ES)"}</definedName>
    <definedName name="dqfqq" localSheetId="14" hidden="1">{#N/A,#N/A,TRUE,"Page de garde";#N/A,#N/A,TRUE,"Récap";#N/A,#N/A,TRUE,"2001";#N/A,#N/A,TRUE,"2002";#N/A,#N/A,TRUE,"MN";#N/A,#N/A,TRUE,"CB-CN ";#N/A,#N/A,TRUE,"Point TVA (avec ES)"}</definedName>
    <definedName name="dqfqq" localSheetId="12" hidden="1">{#N/A,#N/A,TRUE,"Page de garde";#N/A,#N/A,TRUE,"Récap";#N/A,#N/A,TRUE,"2001";#N/A,#N/A,TRUE,"2002";#N/A,#N/A,TRUE,"MN";#N/A,#N/A,TRUE,"CB-CN ";#N/A,#N/A,TRUE,"Point TVA (avec ES)"}</definedName>
    <definedName name="dqfqq" localSheetId="13" hidden="1">{#N/A,#N/A,TRUE,"Page de garde";#N/A,#N/A,TRUE,"Récap";#N/A,#N/A,TRUE,"2001";#N/A,#N/A,TRUE,"2002";#N/A,#N/A,TRUE,"MN";#N/A,#N/A,TRUE,"CB-CN ";#N/A,#N/A,TRUE,"Point TVA (avec ES)"}</definedName>
    <definedName name="dqfqq" localSheetId="11" hidden="1">{#N/A,#N/A,TRUE,"Page de garde";#N/A,#N/A,TRUE,"Récap";#N/A,#N/A,TRUE,"2001";#N/A,#N/A,TRUE,"2002";#N/A,#N/A,TRUE,"MN";#N/A,#N/A,TRUE,"CB-CN ";#N/A,#N/A,TRUE,"Point TVA (avec ES)"}</definedName>
    <definedName name="dqfqq" localSheetId="15" hidden="1">{#N/A,#N/A,TRUE,"Page de garde";#N/A,#N/A,TRUE,"Récap";#N/A,#N/A,TRUE,"2001";#N/A,#N/A,TRUE,"2002";#N/A,#N/A,TRUE,"MN";#N/A,#N/A,TRUE,"CB-CN ";#N/A,#N/A,TRUE,"Point TVA (avec ES)"}</definedName>
    <definedName name="dqfqq" localSheetId="32" hidden="1">{#N/A,#N/A,TRUE,"Page de garde";#N/A,#N/A,TRUE,"Récap";#N/A,#N/A,TRUE,"2001";#N/A,#N/A,TRUE,"2002";#N/A,#N/A,TRUE,"MN";#N/A,#N/A,TRUE,"CB-CN ";#N/A,#N/A,TRUE,"Point TVA (avec ES)"}</definedName>
    <definedName name="dqfqq" localSheetId="27" hidden="1">{#N/A,#N/A,TRUE,"Page de garde";#N/A,#N/A,TRUE,"Récap";#N/A,#N/A,TRUE,"2001";#N/A,#N/A,TRUE,"2002";#N/A,#N/A,TRUE,"MN";#N/A,#N/A,TRUE,"CB-CN ";#N/A,#N/A,TRUE,"Point TVA (avec ES)"}</definedName>
    <definedName name="dqfqq" localSheetId="34" hidden="1">{#N/A,#N/A,TRUE,"Page de garde";#N/A,#N/A,TRUE,"Récap";#N/A,#N/A,TRUE,"2001";#N/A,#N/A,TRUE,"2002";#N/A,#N/A,TRUE,"MN";#N/A,#N/A,TRUE,"CB-CN ";#N/A,#N/A,TRUE,"Point TVA (avec ES)"}</definedName>
    <definedName name="dqfqq" localSheetId="36" hidden="1">{#N/A,#N/A,TRUE,"Page de garde";#N/A,#N/A,TRUE,"Récap";#N/A,#N/A,TRUE,"2001";#N/A,#N/A,TRUE,"2002";#N/A,#N/A,TRUE,"MN";#N/A,#N/A,TRUE,"CB-CN ";#N/A,#N/A,TRUE,"Point TVA (avec ES)"}</definedName>
    <definedName name="dqfqq" localSheetId="38" hidden="1">{#N/A,#N/A,TRUE,"Page de garde";#N/A,#N/A,TRUE,"Récap";#N/A,#N/A,TRUE,"2001";#N/A,#N/A,TRUE,"2002";#N/A,#N/A,TRUE,"MN";#N/A,#N/A,TRUE,"CB-CN ";#N/A,#N/A,TRUE,"Point TVA (avec ES)"}</definedName>
    <definedName name="dqfqq" localSheetId="19" hidden="1">{#N/A,#N/A,TRUE,"Page de garde";#N/A,#N/A,TRUE,"Récap";#N/A,#N/A,TRUE,"2001";#N/A,#N/A,TRUE,"2002";#N/A,#N/A,TRUE,"MN";#N/A,#N/A,TRUE,"CB-CN ";#N/A,#N/A,TRUE,"Point TVA (avec ES)"}</definedName>
    <definedName name="dqfqq" localSheetId="20" hidden="1">{#N/A,#N/A,TRUE,"Page de garde";#N/A,#N/A,TRUE,"Récap";#N/A,#N/A,TRUE,"2001";#N/A,#N/A,TRUE,"2002";#N/A,#N/A,TRUE,"MN";#N/A,#N/A,TRUE,"CB-CN ";#N/A,#N/A,TRUE,"Point TVA (avec ES)"}</definedName>
    <definedName name="dqfqq" localSheetId="24" hidden="1">{#N/A,#N/A,TRUE,"Page de garde";#N/A,#N/A,TRUE,"Récap";#N/A,#N/A,TRUE,"2001";#N/A,#N/A,TRUE,"2002";#N/A,#N/A,TRUE,"MN";#N/A,#N/A,TRUE,"CB-CN ";#N/A,#N/A,TRUE,"Point TVA (avec ES)"}</definedName>
    <definedName name="dqfqq" localSheetId="25" hidden="1">{#N/A,#N/A,TRUE,"Page de garde";#N/A,#N/A,TRUE,"Récap";#N/A,#N/A,TRUE,"2001";#N/A,#N/A,TRUE,"2002";#N/A,#N/A,TRUE,"MN";#N/A,#N/A,TRUE,"CB-CN ";#N/A,#N/A,TRUE,"Point TVA (avec ES)"}</definedName>
    <definedName name="dqfqq" localSheetId="31" hidden="1">{#N/A,#N/A,TRUE,"Page de garde";#N/A,#N/A,TRUE,"Récap";#N/A,#N/A,TRUE,"2001";#N/A,#N/A,TRUE,"2002";#N/A,#N/A,TRUE,"MN";#N/A,#N/A,TRUE,"CB-CN ";#N/A,#N/A,TRUE,"Point TVA (avec ES)"}</definedName>
    <definedName name="dqfqq" localSheetId="33" hidden="1">{#N/A,#N/A,TRUE,"Page de garde";#N/A,#N/A,TRUE,"Récap";#N/A,#N/A,TRUE,"2001";#N/A,#N/A,TRUE,"2002";#N/A,#N/A,TRUE,"MN";#N/A,#N/A,TRUE,"CB-CN ";#N/A,#N/A,TRUE,"Point TVA (avec ES)"}</definedName>
    <definedName name="dqfqq" localSheetId="28" hidden="1">{#N/A,#N/A,TRUE,"Page de garde";#N/A,#N/A,TRUE,"Récap";#N/A,#N/A,TRUE,"2001";#N/A,#N/A,TRUE,"2002";#N/A,#N/A,TRUE,"MN";#N/A,#N/A,TRUE,"CB-CN ";#N/A,#N/A,TRUE,"Point TVA (avec ES)"}</definedName>
    <definedName name="dqfqq" localSheetId="35" hidden="1">{#N/A,#N/A,TRUE,"Page de garde";#N/A,#N/A,TRUE,"Récap";#N/A,#N/A,TRUE,"2001";#N/A,#N/A,TRUE,"2002";#N/A,#N/A,TRUE,"MN";#N/A,#N/A,TRUE,"CB-CN ";#N/A,#N/A,TRUE,"Point TVA (avec ES)"}</definedName>
    <definedName name="dqfqq" localSheetId="37" hidden="1">{#N/A,#N/A,TRUE,"Page de garde";#N/A,#N/A,TRUE,"Récap";#N/A,#N/A,TRUE,"2001";#N/A,#N/A,TRUE,"2002";#N/A,#N/A,TRUE,"MN";#N/A,#N/A,TRUE,"CB-CN ";#N/A,#N/A,TRUE,"Point TVA (avec ES)"}</definedName>
    <definedName name="dqfqq" localSheetId="39" hidden="1">{#N/A,#N/A,TRUE,"Page de garde";#N/A,#N/A,TRUE,"Récap";#N/A,#N/A,TRUE,"2001";#N/A,#N/A,TRUE,"2002";#N/A,#N/A,TRUE,"MN";#N/A,#N/A,TRUE,"CB-CN ";#N/A,#N/A,TRUE,"Point TVA (avec ES)"}</definedName>
    <definedName name="dqfqq" hidden="1">{#N/A,#N/A,TRUE,"Page de garde";#N/A,#N/A,TRUE,"Récap";#N/A,#N/A,TRUE,"2001";#N/A,#N/A,TRUE,"2002";#N/A,#N/A,TRUE,"MN";#N/A,#N/A,TRUE,"CB-CN ";#N/A,#N/A,TRUE,"Point TVA (avec ES)"}</definedName>
    <definedName name="E2FUT" localSheetId="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2FUT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3FUT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efqsd" localSheetId="6" hidden="1">{#N/A,#N/A,TRUE,"Page de garde";#N/A,#N/A,TRUE,"Récap";#N/A,#N/A,TRUE,"2001";#N/A,#N/A,TRUE,"2002";#N/A,#N/A,TRUE,"MN";#N/A,#N/A,TRUE,"CB-CN ";#N/A,#N/A,TRUE,"Point TVA (avec ES)"}</definedName>
    <definedName name="efqsd" localSheetId="7" hidden="1">{#N/A,#N/A,TRUE,"Page de garde";#N/A,#N/A,TRUE,"Récap";#N/A,#N/A,TRUE,"2001";#N/A,#N/A,TRUE,"2002";#N/A,#N/A,TRUE,"MN";#N/A,#N/A,TRUE,"CB-CN ";#N/A,#N/A,TRUE,"Point TVA (avec ES)"}</definedName>
    <definedName name="efqsd" localSheetId="14" hidden="1">{#N/A,#N/A,TRUE,"Page de garde";#N/A,#N/A,TRUE,"Récap";#N/A,#N/A,TRUE,"2001";#N/A,#N/A,TRUE,"2002";#N/A,#N/A,TRUE,"MN";#N/A,#N/A,TRUE,"CB-CN ";#N/A,#N/A,TRUE,"Point TVA (avec ES)"}</definedName>
    <definedName name="efqsd" localSheetId="12" hidden="1">{#N/A,#N/A,TRUE,"Page de garde";#N/A,#N/A,TRUE,"Récap";#N/A,#N/A,TRUE,"2001";#N/A,#N/A,TRUE,"2002";#N/A,#N/A,TRUE,"MN";#N/A,#N/A,TRUE,"CB-CN ";#N/A,#N/A,TRUE,"Point TVA (avec ES)"}</definedName>
    <definedName name="efqsd" localSheetId="13" hidden="1">{#N/A,#N/A,TRUE,"Page de garde";#N/A,#N/A,TRUE,"Récap";#N/A,#N/A,TRUE,"2001";#N/A,#N/A,TRUE,"2002";#N/A,#N/A,TRUE,"MN";#N/A,#N/A,TRUE,"CB-CN ";#N/A,#N/A,TRUE,"Point TVA (avec ES)"}</definedName>
    <definedName name="efqsd" localSheetId="11" hidden="1">{#N/A,#N/A,TRUE,"Page de garde";#N/A,#N/A,TRUE,"Récap";#N/A,#N/A,TRUE,"2001";#N/A,#N/A,TRUE,"2002";#N/A,#N/A,TRUE,"MN";#N/A,#N/A,TRUE,"CB-CN ";#N/A,#N/A,TRUE,"Point TVA (avec ES)"}</definedName>
    <definedName name="efqsd" localSheetId="15" hidden="1">{#N/A,#N/A,TRUE,"Page de garde";#N/A,#N/A,TRUE,"Récap";#N/A,#N/A,TRUE,"2001";#N/A,#N/A,TRUE,"2002";#N/A,#N/A,TRUE,"MN";#N/A,#N/A,TRUE,"CB-CN ";#N/A,#N/A,TRUE,"Point TVA (avec ES)"}</definedName>
    <definedName name="efqsd" localSheetId="32" hidden="1">{#N/A,#N/A,TRUE,"Page de garde";#N/A,#N/A,TRUE,"Récap";#N/A,#N/A,TRUE,"2001";#N/A,#N/A,TRUE,"2002";#N/A,#N/A,TRUE,"MN";#N/A,#N/A,TRUE,"CB-CN ";#N/A,#N/A,TRUE,"Point TVA (avec ES)"}</definedName>
    <definedName name="efqsd" localSheetId="27" hidden="1">{#N/A,#N/A,TRUE,"Page de garde";#N/A,#N/A,TRUE,"Récap";#N/A,#N/A,TRUE,"2001";#N/A,#N/A,TRUE,"2002";#N/A,#N/A,TRUE,"MN";#N/A,#N/A,TRUE,"CB-CN ";#N/A,#N/A,TRUE,"Point TVA (avec ES)"}</definedName>
    <definedName name="efqsd" localSheetId="34" hidden="1">{#N/A,#N/A,TRUE,"Page de garde";#N/A,#N/A,TRUE,"Récap";#N/A,#N/A,TRUE,"2001";#N/A,#N/A,TRUE,"2002";#N/A,#N/A,TRUE,"MN";#N/A,#N/A,TRUE,"CB-CN ";#N/A,#N/A,TRUE,"Point TVA (avec ES)"}</definedName>
    <definedName name="efqsd" localSheetId="36" hidden="1">{#N/A,#N/A,TRUE,"Page de garde";#N/A,#N/A,TRUE,"Récap";#N/A,#N/A,TRUE,"2001";#N/A,#N/A,TRUE,"2002";#N/A,#N/A,TRUE,"MN";#N/A,#N/A,TRUE,"CB-CN ";#N/A,#N/A,TRUE,"Point TVA (avec ES)"}</definedName>
    <definedName name="efqsd" localSheetId="38" hidden="1">{#N/A,#N/A,TRUE,"Page de garde";#N/A,#N/A,TRUE,"Récap";#N/A,#N/A,TRUE,"2001";#N/A,#N/A,TRUE,"2002";#N/A,#N/A,TRUE,"MN";#N/A,#N/A,TRUE,"CB-CN ";#N/A,#N/A,TRUE,"Point TVA (avec ES)"}</definedName>
    <definedName name="efqsd" localSheetId="19" hidden="1">{#N/A,#N/A,TRUE,"Page de garde";#N/A,#N/A,TRUE,"Récap";#N/A,#N/A,TRUE,"2001";#N/A,#N/A,TRUE,"2002";#N/A,#N/A,TRUE,"MN";#N/A,#N/A,TRUE,"CB-CN ";#N/A,#N/A,TRUE,"Point TVA (avec ES)"}</definedName>
    <definedName name="efqsd" localSheetId="20" hidden="1">{#N/A,#N/A,TRUE,"Page de garde";#N/A,#N/A,TRUE,"Récap";#N/A,#N/A,TRUE,"2001";#N/A,#N/A,TRUE,"2002";#N/A,#N/A,TRUE,"MN";#N/A,#N/A,TRUE,"CB-CN ";#N/A,#N/A,TRUE,"Point TVA (avec ES)"}</definedName>
    <definedName name="efqsd" localSheetId="24" hidden="1">{#N/A,#N/A,TRUE,"Page de garde";#N/A,#N/A,TRUE,"Récap";#N/A,#N/A,TRUE,"2001";#N/A,#N/A,TRUE,"2002";#N/A,#N/A,TRUE,"MN";#N/A,#N/A,TRUE,"CB-CN ";#N/A,#N/A,TRUE,"Point TVA (avec ES)"}</definedName>
    <definedName name="efqsd" localSheetId="25" hidden="1">{#N/A,#N/A,TRUE,"Page de garde";#N/A,#N/A,TRUE,"Récap";#N/A,#N/A,TRUE,"2001";#N/A,#N/A,TRUE,"2002";#N/A,#N/A,TRUE,"MN";#N/A,#N/A,TRUE,"CB-CN ";#N/A,#N/A,TRUE,"Point TVA (avec ES)"}</definedName>
    <definedName name="efqsd" localSheetId="31" hidden="1">{#N/A,#N/A,TRUE,"Page de garde";#N/A,#N/A,TRUE,"Récap";#N/A,#N/A,TRUE,"2001";#N/A,#N/A,TRUE,"2002";#N/A,#N/A,TRUE,"MN";#N/A,#N/A,TRUE,"CB-CN ";#N/A,#N/A,TRUE,"Point TVA (avec ES)"}</definedName>
    <definedName name="efqsd" localSheetId="33" hidden="1">{#N/A,#N/A,TRUE,"Page de garde";#N/A,#N/A,TRUE,"Récap";#N/A,#N/A,TRUE,"2001";#N/A,#N/A,TRUE,"2002";#N/A,#N/A,TRUE,"MN";#N/A,#N/A,TRUE,"CB-CN ";#N/A,#N/A,TRUE,"Point TVA (avec ES)"}</definedName>
    <definedName name="efqsd" localSheetId="28" hidden="1">{#N/A,#N/A,TRUE,"Page de garde";#N/A,#N/A,TRUE,"Récap";#N/A,#N/A,TRUE,"2001";#N/A,#N/A,TRUE,"2002";#N/A,#N/A,TRUE,"MN";#N/A,#N/A,TRUE,"CB-CN ";#N/A,#N/A,TRUE,"Point TVA (avec ES)"}</definedName>
    <definedName name="efqsd" localSheetId="35" hidden="1">{#N/A,#N/A,TRUE,"Page de garde";#N/A,#N/A,TRUE,"Récap";#N/A,#N/A,TRUE,"2001";#N/A,#N/A,TRUE,"2002";#N/A,#N/A,TRUE,"MN";#N/A,#N/A,TRUE,"CB-CN ";#N/A,#N/A,TRUE,"Point TVA (avec ES)"}</definedName>
    <definedName name="efqsd" localSheetId="37" hidden="1">{#N/A,#N/A,TRUE,"Page de garde";#N/A,#N/A,TRUE,"Récap";#N/A,#N/A,TRUE,"2001";#N/A,#N/A,TRUE,"2002";#N/A,#N/A,TRUE,"MN";#N/A,#N/A,TRUE,"CB-CN ";#N/A,#N/A,TRUE,"Point TVA (avec ES)"}</definedName>
    <definedName name="efqsd" localSheetId="39" hidden="1">{#N/A,#N/A,TRUE,"Page de garde";#N/A,#N/A,TRUE,"Récap";#N/A,#N/A,TRUE,"2001";#N/A,#N/A,TRUE,"2002";#N/A,#N/A,TRUE,"MN";#N/A,#N/A,TRUE,"CB-CN ";#N/A,#N/A,TRUE,"Point TVA (avec ES)"}</definedName>
    <definedName name="efqsd" hidden="1">{#N/A,#N/A,TRUE,"Page de garde";#N/A,#N/A,TRUE,"Récap";#N/A,#N/A,TRUE,"2001";#N/A,#N/A,TRUE,"2002";#N/A,#N/A,TRUE,"MN";#N/A,#N/A,TRUE,"CB-CN ";#N/A,#N/A,TRUE,"Point TVA (avec ES)"}</definedName>
    <definedName name="establ_fr" localSheetId="6">#REF!</definedName>
    <definedName name="establ_fr" localSheetId="7">#REF!</definedName>
    <definedName name="establ_fr" localSheetId="12">#REF!</definedName>
    <definedName name="establ_fr" localSheetId="13">#REF!</definedName>
    <definedName name="establ_fr" localSheetId="11">#REF!</definedName>
    <definedName name="establ_fr" localSheetId="9">#REF!</definedName>
    <definedName name="establ_fr" localSheetId="2">#REF!</definedName>
    <definedName name="establ_fr" localSheetId="28">#REF!</definedName>
    <definedName name="establ_fr" localSheetId="39">#REF!</definedName>
    <definedName name="establ_fr" localSheetId="29">#REF!</definedName>
    <definedName name="establ_fr">#REF!</definedName>
    <definedName name="establishment" localSheetId="6">#REF!</definedName>
    <definedName name="establishment" localSheetId="7">#REF!</definedName>
    <definedName name="establishment" localSheetId="12">#REF!</definedName>
    <definedName name="establishment" localSheetId="13">#REF!</definedName>
    <definedName name="establishment" localSheetId="11">#REF!</definedName>
    <definedName name="establishment" localSheetId="9">#REF!</definedName>
    <definedName name="establishment" localSheetId="2">#REF!</definedName>
    <definedName name="establishment" localSheetId="28">#REF!</definedName>
    <definedName name="establishment" localSheetId="39">#REF!</definedName>
    <definedName name="establishment" localSheetId="29">#REF!</definedName>
    <definedName name="establishment">#REF!</definedName>
    <definedName name="EUR">[3]BEF!$F$8</definedName>
    <definedName name="EV__LASTREFTIME__" hidden="1">39363.6565856481</definedName>
    <definedName name="exchnp6" localSheetId="7">[4]Tables!#REF!</definedName>
    <definedName name="exchnp6" localSheetId="12">[4]Tables!#REF!</definedName>
    <definedName name="exchnp6" localSheetId="13">[4]Tables!#REF!</definedName>
    <definedName name="exchnp6" localSheetId="11">[4]Tables!#REF!</definedName>
    <definedName name="exchnp6" localSheetId="9">[4]Tables!#REF!</definedName>
    <definedName name="exchnp6" localSheetId="2">[4]Tables!#REF!</definedName>
    <definedName name="exchnp6" localSheetId="39">[4]Tables!#REF!</definedName>
    <definedName name="exchnp6" localSheetId="29">[4]Tables!#REF!</definedName>
    <definedName name="exchnp6">[4]Tables!#REF!</definedName>
    <definedName name="EZ" localSheetId="6" hidden="1">{#N/A,#N/A,TRUE,"Page de garde";#N/A,#N/A,TRUE,"Récap";#N/A,#N/A,TRUE,"2001";#N/A,#N/A,TRUE,"2002";#N/A,#N/A,TRUE,"MN";#N/A,#N/A,TRUE,"CB-CN ";#N/A,#N/A,TRUE,"Point TVA (avec ES)"}</definedName>
    <definedName name="EZ" localSheetId="7" hidden="1">{#N/A,#N/A,TRUE,"Page de garde";#N/A,#N/A,TRUE,"Récap";#N/A,#N/A,TRUE,"2001";#N/A,#N/A,TRUE,"2002";#N/A,#N/A,TRUE,"MN";#N/A,#N/A,TRUE,"CB-CN ";#N/A,#N/A,TRUE,"Point TVA (avec ES)"}</definedName>
    <definedName name="EZ" localSheetId="14" hidden="1">{#N/A,#N/A,TRUE,"Page de garde";#N/A,#N/A,TRUE,"Récap";#N/A,#N/A,TRUE,"2001";#N/A,#N/A,TRUE,"2002";#N/A,#N/A,TRUE,"MN";#N/A,#N/A,TRUE,"CB-CN ";#N/A,#N/A,TRUE,"Point TVA (avec ES)"}</definedName>
    <definedName name="EZ" localSheetId="12" hidden="1">{#N/A,#N/A,TRUE,"Page de garde";#N/A,#N/A,TRUE,"Récap";#N/A,#N/A,TRUE,"2001";#N/A,#N/A,TRUE,"2002";#N/A,#N/A,TRUE,"MN";#N/A,#N/A,TRUE,"CB-CN ";#N/A,#N/A,TRUE,"Point TVA (avec ES)"}</definedName>
    <definedName name="EZ" localSheetId="13" hidden="1">{#N/A,#N/A,TRUE,"Page de garde";#N/A,#N/A,TRUE,"Récap";#N/A,#N/A,TRUE,"2001";#N/A,#N/A,TRUE,"2002";#N/A,#N/A,TRUE,"MN";#N/A,#N/A,TRUE,"CB-CN ";#N/A,#N/A,TRUE,"Point TVA (avec ES)"}</definedName>
    <definedName name="EZ" localSheetId="11" hidden="1">{#N/A,#N/A,TRUE,"Page de garde";#N/A,#N/A,TRUE,"Récap";#N/A,#N/A,TRUE,"2001";#N/A,#N/A,TRUE,"2002";#N/A,#N/A,TRUE,"MN";#N/A,#N/A,TRUE,"CB-CN ";#N/A,#N/A,TRUE,"Point TVA (avec ES)"}</definedName>
    <definedName name="EZ" localSheetId="15" hidden="1">{#N/A,#N/A,TRUE,"Page de garde";#N/A,#N/A,TRUE,"Récap";#N/A,#N/A,TRUE,"2001";#N/A,#N/A,TRUE,"2002";#N/A,#N/A,TRUE,"MN";#N/A,#N/A,TRUE,"CB-CN ";#N/A,#N/A,TRUE,"Point TVA (avec ES)"}</definedName>
    <definedName name="EZ" localSheetId="32" hidden="1">{#N/A,#N/A,TRUE,"Page de garde";#N/A,#N/A,TRUE,"Récap";#N/A,#N/A,TRUE,"2001";#N/A,#N/A,TRUE,"2002";#N/A,#N/A,TRUE,"MN";#N/A,#N/A,TRUE,"CB-CN ";#N/A,#N/A,TRUE,"Point TVA (avec ES)"}</definedName>
    <definedName name="EZ" localSheetId="27" hidden="1">{#N/A,#N/A,TRUE,"Page de garde";#N/A,#N/A,TRUE,"Récap";#N/A,#N/A,TRUE,"2001";#N/A,#N/A,TRUE,"2002";#N/A,#N/A,TRUE,"MN";#N/A,#N/A,TRUE,"CB-CN ";#N/A,#N/A,TRUE,"Point TVA (avec ES)"}</definedName>
    <definedName name="EZ" localSheetId="34" hidden="1">{#N/A,#N/A,TRUE,"Page de garde";#N/A,#N/A,TRUE,"Récap";#N/A,#N/A,TRUE,"2001";#N/A,#N/A,TRUE,"2002";#N/A,#N/A,TRUE,"MN";#N/A,#N/A,TRUE,"CB-CN ";#N/A,#N/A,TRUE,"Point TVA (avec ES)"}</definedName>
    <definedName name="EZ" localSheetId="36" hidden="1">{#N/A,#N/A,TRUE,"Page de garde";#N/A,#N/A,TRUE,"Récap";#N/A,#N/A,TRUE,"2001";#N/A,#N/A,TRUE,"2002";#N/A,#N/A,TRUE,"MN";#N/A,#N/A,TRUE,"CB-CN ";#N/A,#N/A,TRUE,"Point TVA (avec ES)"}</definedName>
    <definedName name="EZ" localSheetId="38" hidden="1">{#N/A,#N/A,TRUE,"Page de garde";#N/A,#N/A,TRUE,"Récap";#N/A,#N/A,TRUE,"2001";#N/A,#N/A,TRUE,"2002";#N/A,#N/A,TRUE,"MN";#N/A,#N/A,TRUE,"CB-CN ";#N/A,#N/A,TRUE,"Point TVA (avec ES)"}</definedName>
    <definedName name="EZ" localSheetId="19" hidden="1">{#N/A,#N/A,TRUE,"Page de garde";#N/A,#N/A,TRUE,"Récap";#N/A,#N/A,TRUE,"2001";#N/A,#N/A,TRUE,"2002";#N/A,#N/A,TRUE,"MN";#N/A,#N/A,TRUE,"CB-CN ";#N/A,#N/A,TRUE,"Point TVA (avec ES)"}</definedName>
    <definedName name="EZ" localSheetId="20" hidden="1">{#N/A,#N/A,TRUE,"Page de garde";#N/A,#N/A,TRUE,"Récap";#N/A,#N/A,TRUE,"2001";#N/A,#N/A,TRUE,"2002";#N/A,#N/A,TRUE,"MN";#N/A,#N/A,TRUE,"CB-CN ";#N/A,#N/A,TRUE,"Point TVA (avec ES)"}</definedName>
    <definedName name="EZ" localSheetId="24" hidden="1">{#N/A,#N/A,TRUE,"Page de garde";#N/A,#N/A,TRUE,"Récap";#N/A,#N/A,TRUE,"2001";#N/A,#N/A,TRUE,"2002";#N/A,#N/A,TRUE,"MN";#N/A,#N/A,TRUE,"CB-CN ";#N/A,#N/A,TRUE,"Point TVA (avec ES)"}</definedName>
    <definedName name="EZ" localSheetId="25" hidden="1">{#N/A,#N/A,TRUE,"Page de garde";#N/A,#N/A,TRUE,"Récap";#N/A,#N/A,TRUE,"2001";#N/A,#N/A,TRUE,"2002";#N/A,#N/A,TRUE,"MN";#N/A,#N/A,TRUE,"CB-CN ";#N/A,#N/A,TRUE,"Point TVA (avec ES)"}</definedName>
    <definedName name="EZ" localSheetId="31" hidden="1">{#N/A,#N/A,TRUE,"Page de garde";#N/A,#N/A,TRUE,"Récap";#N/A,#N/A,TRUE,"2001";#N/A,#N/A,TRUE,"2002";#N/A,#N/A,TRUE,"MN";#N/A,#N/A,TRUE,"CB-CN ";#N/A,#N/A,TRUE,"Point TVA (avec ES)"}</definedName>
    <definedName name="EZ" localSheetId="33" hidden="1">{#N/A,#N/A,TRUE,"Page de garde";#N/A,#N/A,TRUE,"Récap";#N/A,#N/A,TRUE,"2001";#N/A,#N/A,TRUE,"2002";#N/A,#N/A,TRUE,"MN";#N/A,#N/A,TRUE,"CB-CN ";#N/A,#N/A,TRUE,"Point TVA (avec ES)"}</definedName>
    <definedName name="EZ" localSheetId="28" hidden="1">{#N/A,#N/A,TRUE,"Page de garde";#N/A,#N/A,TRUE,"Récap";#N/A,#N/A,TRUE,"2001";#N/A,#N/A,TRUE,"2002";#N/A,#N/A,TRUE,"MN";#N/A,#N/A,TRUE,"CB-CN ";#N/A,#N/A,TRUE,"Point TVA (avec ES)"}</definedName>
    <definedName name="EZ" localSheetId="35" hidden="1">{#N/A,#N/A,TRUE,"Page de garde";#N/A,#N/A,TRUE,"Récap";#N/A,#N/A,TRUE,"2001";#N/A,#N/A,TRUE,"2002";#N/A,#N/A,TRUE,"MN";#N/A,#N/A,TRUE,"CB-CN ";#N/A,#N/A,TRUE,"Point TVA (avec ES)"}</definedName>
    <definedName name="EZ" localSheetId="37" hidden="1">{#N/A,#N/A,TRUE,"Page de garde";#N/A,#N/A,TRUE,"Récap";#N/A,#N/A,TRUE,"2001";#N/A,#N/A,TRUE,"2002";#N/A,#N/A,TRUE,"MN";#N/A,#N/A,TRUE,"CB-CN ";#N/A,#N/A,TRUE,"Point TVA (avec ES)"}</definedName>
    <definedName name="EZ" localSheetId="39" hidden="1">{#N/A,#N/A,TRUE,"Page de garde";#N/A,#N/A,TRUE,"Récap";#N/A,#N/A,TRUE,"2001";#N/A,#N/A,TRUE,"2002";#N/A,#N/A,TRUE,"MN";#N/A,#N/A,TRUE,"CB-CN ";#N/A,#N/A,TRUE,"Point TVA (avec ES)"}</definedName>
    <definedName name="EZ" hidden="1">{#N/A,#N/A,TRUE,"Page de garde";#N/A,#N/A,TRUE,"Récap";#N/A,#N/A,TRUE,"2001";#N/A,#N/A,TRUE,"2002";#N/A,#N/A,TRUE,"MN";#N/A,#N/A,TRUE,"CB-CN ";#N/A,#N/A,TRUE,"Point TVA (avec ES)"}</definedName>
    <definedName name="fd" localSheetId="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d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FINFn1" localSheetId="6">#REF!</definedName>
    <definedName name="FINFn1" localSheetId="7">#REF!</definedName>
    <definedName name="FINFn1" localSheetId="12">#REF!</definedName>
    <definedName name="FINFn1" localSheetId="13">#REF!</definedName>
    <definedName name="FINFn1" localSheetId="11">#REF!</definedName>
    <definedName name="FINFn1" localSheetId="9">#REF!</definedName>
    <definedName name="FINFn1" localSheetId="2">#REF!</definedName>
    <definedName name="FINFn1" localSheetId="28">#REF!</definedName>
    <definedName name="FINFn1" localSheetId="39">#REF!</definedName>
    <definedName name="FINFn1" localSheetId="29">#REF!</definedName>
    <definedName name="FINFn1">#REF!</definedName>
    <definedName name="FINFn2" localSheetId="6">#REF!</definedName>
    <definedName name="FINFn2" localSheetId="7">#REF!</definedName>
    <definedName name="FINFn2" localSheetId="12">#REF!</definedName>
    <definedName name="FINFn2" localSheetId="13">#REF!</definedName>
    <definedName name="FINFn2" localSheetId="11">#REF!</definedName>
    <definedName name="FINFn2" localSheetId="9">#REF!</definedName>
    <definedName name="FINFn2" localSheetId="2">#REF!</definedName>
    <definedName name="FINFn2" localSheetId="28">#REF!</definedName>
    <definedName name="FINFn2" localSheetId="39">#REF!</definedName>
    <definedName name="FINFn2" localSheetId="29">#REF!</definedName>
    <definedName name="FINFn2">#REF!</definedName>
    <definedName name="fvr" localSheetId="6" hidden="1">{#N/A,#N/A,TRUE,"Page de garde";#N/A,#N/A,TRUE,"Récap";#N/A,#N/A,TRUE,"2001";#N/A,#N/A,TRUE,"2002";#N/A,#N/A,TRUE,"MN";#N/A,#N/A,TRUE,"CB-CN ";#N/A,#N/A,TRUE,"Point TVA (avec ES)"}</definedName>
    <definedName name="fvr" localSheetId="7" hidden="1">{#N/A,#N/A,TRUE,"Page de garde";#N/A,#N/A,TRUE,"Récap";#N/A,#N/A,TRUE,"2001";#N/A,#N/A,TRUE,"2002";#N/A,#N/A,TRUE,"MN";#N/A,#N/A,TRUE,"CB-CN ";#N/A,#N/A,TRUE,"Point TVA (avec ES)"}</definedName>
    <definedName name="fvr" localSheetId="14" hidden="1">{#N/A,#N/A,TRUE,"Page de garde";#N/A,#N/A,TRUE,"Récap";#N/A,#N/A,TRUE,"2001";#N/A,#N/A,TRUE,"2002";#N/A,#N/A,TRUE,"MN";#N/A,#N/A,TRUE,"CB-CN ";#N/A,#N/A,TRUE,"Point TVA (avec ES)"}</definedName>
    <definedName name="fvr" localSheetId="12" hidden="1">{#N/A,#N/A,TRUE,"Page de garde";#N/A,#N/A,TRUE,"Récap";#N/A,#N/A,TRUE,"2001";#N/A,#N/A,TRUE,"2002";#N/A,#N/A,TRUE,"MN";#N/A,#N/A,TRUE,"CB-CN ";#N/A,#N/A,TRUE,"Point TVA (avec ES)"}</definedName>
    <definedName name="fvr" localSheetId="13" hidden="1">{#N/A,#N/A,TRUE,"Page de garde";#N/A,#N/A,TRUE,"Récap";#N/A,#N/A,TRUE,"2001";#N/A,#N/A,TRUE,"2002";#N/A,#N/A,TRUE,"MN";#N/A,#N/A,TRUE,"CB-CN ";#N/A,#N/A,TRUE,"Point TVA (avec ES)"}</definedName>
    <definedName name="fvr" localSheetId="11" hidden="1">{#N/A,#N/A,TRUE,"Page de garde";#N/A,#N/A,TRUE,"Récap";#N/A,#N/A,TRUE,"2001";#N/A,#N/A,TRUE,"2002";#N/A,#N/A,TRUE,"MN";#N/A,#N/A,TRUE,"CB-CN ";#N/A,#N/A,TRUE,"Point TVA (avec ES)"}</definedName>
    <definedName name="fvr" localSheetId="15" hidden="1">{#N/A,#N/A,TRUE,"Page de garde";#N/A,#N/A,TRUE,"Récap";#N/A,#N/A,TRUE,"2001";#N/A,#N/A,TRUE,"2002";#N/A,#N/A,TRUE,"MN";#N/A,#N/A,TRUE,"CB-CN ";#N/A,#N/A,TRUE,"Point TVA (avec ES)"}</definedName>
    <definedName name="fvr" localSheetId="32" hidden="1">{#N/A,#N/A,TRUE,"Page de garde";#N/A,#N/A,TRUE,"Récap";#N/A,#N/A,TRUE,"2001";#N/A,#N/A,TRUE,"2002";#N/A,#N/A,TRUE,"MN";#N/A,#N/A,TRUE,"CB-CN ";#N/A,#N/A,TRUE,"Point TVA (avec ES)"}</definedName>
    <definedName name="fvr" localSheetId="27" hidden="1">{#N/A,#N/A,TRUE,"Page de garde";#N/A,#N/A,TRUE,"Récap";#N/A,#N/A,TRUE,"2001";#N/A,#N/A,TRUE,"2002";#N/A,#N/A,TRUE,"MN";#N/A,#N/A,TRUE,"CB-CN ";#N/A,#N/A,TRUE,"Point TVA (avec ES)"}</definedName>
    <definedName name="fvr" localSheetId="34" hidden="1">{#N/A,#N/A,TRUE,"Page de garde";#N/A,#N/A,TRUE,"Récap";#N/A,#N/A,TRUE,"2001";#N/A,#N/A,TRUE,"2002";#N/A,#N/A,TRUE,"MN";#N/A,#N/A,TRUE,"CB-CN ";#N/A,#N/A,TRUE,"Point TVA (avec ES)"}</definedName>
    <definedName name="fvr" localSheetId="36" hidden="1">{#N/A,#N/A,TRUE,"Page de garde";#N/A,#N/A,TRUE,"Récap";#N/A,#N/A,TRUE,"2001";#N/A,#N/A,TRUE,"2002";#N/A,#N/A,TRUE,"MN";#N/A,#N/A,TRUE,"CB-CN ";#N/A,#N/A,TRUE,"Point TVA (avec ES)"}</definedName>
    <definedName name="fvr" localSheetId="38" hidden="1">{#N/A,#N/A,TRUE,"Page de garde";#N/A,#N/A,TRUE,"Récap";#N/A,#N/A,TRUE,"2001";#N/A,#N/A,TRUE,"2002";#N/A,#N/A,TRUE,"MN";#N/A,#N/A,TRUE,"CB-CN ";#N/A,#N/A,TRUE,"Point TVA (avec ES)"}</definedName>
    <definedName name="fvr" localSheetId="19" hidden="1">{#N/A,#N/A,TRUE,"Page de garde";#N/A,#N/A,TRUE,"Récap";#N/A,#N/A,TRUE,"2001";#N/A,#N/A,TRUE,"2002";#N/A,#N/A,TRUE,"MN";#N/A,#N/A,TRUE,"CB-CN ";#N/A,#N/A,TRUE,"Point TVA (avec ES)"}</definedName>
    <definedName name="fvr" localSheetId="20" hidden="1">{#N/A,#N/A,TRUE,"Page de garde";#N/A,#N/A,TRUE,"Récap";#N/A,#N/A,TRUE,"2001";#N/A,#N/A,TRUE,"2002";#N/A,#N/A,TRUE,"MN";#N/A,#N/A,TRUE,"CB-CN ";#N/A,#N/A,TRUE,"Point TVA (avec ES)"}</definedName>
    <definedName name="fvr" localSheetId="24" hidden="1">{#N/A,#N/A,TRUE,"Page de garde";#N/A,#N/A,TRUE,"Récap";#N/A,#N/A,TRUE,"2001";#N/A,#N/A,TRUE,"2002";#N/A,#N/A,TRUE,"MN";#N/A,#N/A,TRUE,"CB-CN ";#N/A,#N/A,TRUE,"Point TVA (avec ES)"}</definedName>
    <definedName name="fvr" localSheetId="25" hidden="1">{#N/A,#N/A,TRUE,"Page de garde";#N/A,#N/A,TRUE,"Récap";#N/A,#N/A,TRUE,"2001";#N/A,#N/A,TRUE,"2002";#N/A,#N/A,TRUE,"MN";#N/A,#N/A,TRUE,"CB-CN ";#N/A,#N/A,TRUE,"Point TVA (avec ES)"}</definedName>
    <definedName name="fvr" localSheetId="31" hidden="1">{#N/A,#N/A,TRUE,"Page de garde";#N/A,#N/A,TRUE,"Récap";#N/A,#N/A,TRUE,"2001";#N/A,#N/A,TRUE,"2002";#N/A,#N/A,TRUE,"MN";#N/A,#N/A,TRUE,"CB-CN ";#N/A,#N/A,TRUE,"Point TVA (avec ES)"}</definedName>
    <definedName name="fvr" localSheetId="33" hidden="1">{#N/A,#N/A,TRUE,"Page de garde";#N/A,#N/A,TRUE,"Récap";#N/A,#N/A,TRUE,"2001";#N/A,#N/A,TRUE,"2002";#N/A,#N/A,TRUE,"MN";#N/A,#N/A,TRUE,"CB-CN ";#N/A,#N/A,TRUE,"Point TVA (avec ES)"}</definedName>
    <definedName name="fvr" localSheetId="28" hidden="1">{#N/A,#N/A,TRUE,"Page de garde";#N/A,#N/A,TRUE,"Récap";#N/A,#N/A,TRUE,"2001";#N/A,#N/A,TRUE,"2002";#N/A,#N/A,TRUE,"MN";#N/A,#N/A,TRUE,"CB-CN ";#N/A,#N/A,TRUE,"Point TVA (avec ES)"}</definedName>
    <definedName name="fvr" localSheetId="35" hidden="1">{#N/A,#N/A,TRUE,"Page de garde";#N/A,#N/A,TRUE,"Récap";#N/A,#N/A,TRUE,"2001";#N/A,#N/A,TRUE,"2002";#N/A,#N/A,TRUE,"MN";#N/A,#N/A,TRUE,"CB-CN ";#N/A,#N/A,TRUE,"Point TVA (avec ES)"}</definedName>
    <definedName name="fvr" localSheetId="37" hidden="1">{#N/A,#N/A,TRUE,"Page de garde";#N/A,#N/A,TRUE,"Récap";#N/A,#N/A,TRUE,"2001";#N/A,#N/A,TRUE,"2002";#N/A,#N/A,TRUE,"MN";#N/A,#N/A,TRUE,"CB-CN ";#N/A,#N/A,TRUE,"Point TVA (avec ES)"}</definedName>
    <definedName name="fvr" localSheetId="39" hidden="1">{#N/A,#N/A,TRUE,"Page de garde";#N/A,#N/A,TRUE,"Récap";#N/A,#N/A,TRUE,"2001";#N/A,#N/A,TRUE,"2002";#N/A,#N/A,TRUE,"MN";#N/A,#N/A,TRUE,"CB-CN ";#N/A,#N/A,TRUE,"Point TVA (avec ES)"}</definedName>
    <definedName name="fvr" hidden="1">{#N/A,#N/A,TRUE,"Page de garde";#N/A,#N/A,TRUE,"Récap";#N/A,#N/A,TRUE,"2001";#N/A,#N/A,TRUE,"2002";#N/A,#N/A,TRUE,"MN";#N/A,#N/A,TRUE,"CB-CN ";#N/A,#N/A,TRUE,"Point TVA (avec ES)"}</definedName>
    <definedName name="General" localSheetId="6">#REF!</definedName>
    <definedName name="General" localSheetId="7">#REF!</definedName>
    <definedName name="General" localSheetId="12">#REF!</definedName>
    <definedName name="General" localSheetId="13">#REF!</definedName>
    <definedName name="General" localSheetId="11">#REF!</definedName>
    <definedName name="General" localSheetId="9">#REF!</definedName>
    <definedName name="General" localSheetId="2">#REF!</definedName>
    <definedName name="General" localSheetId="28">#REF!</definedName>
    <definedName name="General" localSheetId="39">#REF!</definedName>
    <definedName name="General" localSheetId="29">#REF!</definedName>
    <definedName name="General">#REF!</definedName>
    <definedName name="gfq" localSheetId="6" hidden="1">{#N/A,#N/A,TRUE,"Page de garde";#N/A,#N/A,TRUE,"Récap";#N/A,#N/A,TRUE,"2001";#N/A,#N/A,TRUE,"2002";#N/A,#N/A,TRUE,"MN";#N/A,#N/A,TRUE,"CB-CN ";#N/A,#N/A,TRUE,"Point TVA (avec ES)"}</definedName>
    <definedName name="gfq" localSheetId="7" hidden="1">{#N/A,#N/A,TRUE,"Page de garde";#N/A,#N/A,TRUE,"Récap";#N/A,#N/A,TRUE,"2001";#N/A,#N/A,TRUE,"2002";#N/A,#N/A,TRUE,"MN";#N/A,#N/A,TRUE,"CB-CN ";#N/A,#N/A,TRUE,"Point TVA (avec ES)"}</definedName>
    <definedName name="gfq" localSheetId="14" hidden="1">{#N/A,#N/A,TRUE,"Page de garde";#N/A,#N/A,TRUE,"Récap";#N/A,#N/A,TRUE,"2001";#N/A,#N/A,TRUE,"2002";#N/A,#N/A,TRUE,"MN";#N/A,#N/A,TRUE,"CB-CN ";#N/A,#N/A,TRUE,"Point TVA (avec ES)"}</definedName>
    <definedName name="gfq" localSheetId="12" hidden="1">{#N/A,#N/A,TRUE,"Page de garde";#N/A,#N/A,TRUE,"Récap";#N/A,#N/A,TRUE,"2001";#N/A,#N/A,TRUE,"2002";#N/A,#N/A,TRUE,"MN";#N/A,#N/A,TRUE,"CB-CN ";#N/A,#N/A,TRUE,"Point TVA (avec ES)"}</definedName>
    <definedName name="gfq" localSheetId="13" hidden="1">{#N/A,#N/A,TRUE,"Page de garde";#N/A,#N/A,TRUE,"Récap";#N/A,#N/A,TRUE,"2001";#N/A,#N/A,TRUE,"2002";#N/A,#N/A,TRUE,"MN";#N/A,#N/A,TRUE,"CB-CN ";#N/A,#N/A,TRUE,"Point TVA (avec ES)"}</definedName>
    <definedName name="gfq" localSheetId="11" hidden="1">{#N/A,#N/A,TRUE,"Page de garde";#N/A,#N/A,TRUE,"Récap";#N/A,#N/A,TRUE,"2001";#N/A,#N/A,TRUE,"2002";#N/A,#N/A,TRUE,"MN";#N/A,#N/A,TRUE,"CB-CN ";#N/A,#N/A,TRUE,"Point TVA (avec ES)"}</definedName>
    <definedName name="gfq" localSheetId="15" hidden="1">{#N/A,#N/A,TRUE,"Page de garde";#N/A,#N/A,TRUE,"Récap";#N/A,#N/A,TRUE,"2001";#N/A,#N/A,TRUE,"2002";#N/A,#N/A,TRUE,"MN";#N/A,#N/A,TRUE,"CB-CN ";#N/A,#N/A,TRUE,"Point TVA (avec ES)"}</definedName>
    <definedName name="gfq" localSheetId="32" hidden="1">{#N/A,#N/A,TRUE,"Page de garde";#N/A,#N/A,TRUE,"Récap";#N/A,#N/A,TRUE,"2001";#N/A,#N/A,TRUE,"2002";#N/A,#N/A,TRUE,"MN";#N/A,#N/A,TRUE,"CB-CN ";#N/A,#N/A,TRUE,"Point TVA (avec ES)"}</definedName>
    <definedName name="gfq" localSheetId="27" hidden="1">{#N/A,#N/A,TRUE,"Page de garde";#N/A,#N/A,TRUE,"Récap";#N/A,#N/A,TRUE,"2001";#N/A,#N/A,TRUE,"2002";#N/A,#N/A,TRUE,"MN";#N/A,#N/A,TRUE,"CB-CN ";#N/A,#N/A,TRUE,"Point TVA (avec ES)"}</definedName>
    <definedName name="gfq" localSheetId="34" hidden="1">{#N/A,#N/A,TRUE,"Page de garde";#N/A,#N/A,TRUE,"Récap";#N/A,#N/A,TRUE,"2001";#N/A,#N/A,TRUE,"2002";#N/A,#N/A,TRUE,"MN";#N/A,#N/A,TRUE,"CB-CN ";#N/A,#N/A,TRUE,"Point TVA (avec ES)"}</definedName>
    <definedName name="gfq" localSheetId="36" hidden="1">{#N/A,#N/A,TRUE,"Page de garde";#N/A,#N/A,TRUE,"Récap";#N/A,#N/A,TRUE,"2001";#N/A,#N/A,TRUE,"2002";#N/A,#N/A,TRUE,"MN";#N/A,#N/A,TRUE,"CB-CN ";#N/A,#N/A,TRUE,"Point TVA (avec ES)"}</definedName>
    <definedName name="gfq" localSheetId="38" hidden="1">{#N/A,#N/A,TRUE,"Page de garde";#N/A,#N/A,TRUE,"Récap";#N/A,#N/A,TRUE,"2001";#N/A,#N/A,TRUE,"2002";#N/A,#N/A,TRUE,"MN";#N/A,#N/A,TRUE,"CB-CN ";#N/A,#N/A,TRUE,"Point TVA (avec ES)"}</definedName>
    <definedName name="gfq" localSheetId="19" hidden="1">{#N/A,#N/A,TRUE,"Page de garde";#N/A,#N/A,TRUE,"Récap";#N/A,#N/A,TRUE,"2001";#N/A,#N/A,TRUE,"2002";#N/A,#N/A,TRUE,"MN";#N/A,#N/A,TRUE,"CB-CN ";#N/A,#N/A,TRUE,"Point TVA (avec ES)"}</definedName>
    <definedName name="gfq" localSheetId="20" hidden="1">{#N/A,#N/A,TRUE,"Page de garde";#N/A,#N/A,TRUE,"Récap";#N/A,#N/A,TRUE,"2001";#N/A,#N/A,TRUE,"2002";#N/A,#N/A,TRUE,"MN";#N/A,#N/A,TRUE,"CB-CN ";#N/A,#N/A,TRUE,"Point TVA (avec ES)"}</definedName>
    <definedName name="gfq" localSheetId="24" hidden="1">{#N/A,#N/A,TRUE,"Page de garde";#N/A,#N/A,TRUE,"Récap";#N/A,#N/A,TRUE,"2001";#N/A,#N/A,TRUE,"2002";#N/A,#N/A,TRUE,"MN";#N/A,#N/A,TRUE,"CB-CN ";#N/A,#N/A,TRUE,"Point TVA (avec ES)"}</definedName>
    <definedName name="gfq" localSheetId="25" hidden="1">{#N/A,#N/A,TRUE,"Page de garde";#N/A,#N/A,TRUE,"Récap";#N/A,#N/A,TRUE,"2001";#N/A,#N/A,TRUE,"2002";#N/A,#N/A,TRUE,"MN";#N/A,#N/A,TRUE,"CB-CN ";#N/A,#N/A,TRUE,"Point TVA (avec ES)"}</definedName>
    <definedName name="gfq" localSheetId="31" hidden="1">{#N/A,#N/A,TRUE,"Page de garde";#N/A,#N/A,TRUE,"Récap";#N/A,#N/A,TRUE,"2001";#N/A,#N/A,TRUE,"2002";#N/A,#N/A,TRUE,"MN";#N/A,#N/A,TRUE,"CB-CN ";#N/A,#N/A,TRUE,"Point TVA (avec ES)"}</definedName>
    <definedName name="gfq" localSheetId="33" hidden="1">{#N/A,#N/A,TRUE,"Page de garde";#N/A,#N/A,TRUE,"Récap";#N/A,#N/A,TRUE,"2001";#N/A,#N/A,TRUE,"2002";#N/A,#N/A,TRUE,"MN";#N/A,#N/A,TRUE,"CB-CN ";#N/A,#N/A,TRUE,"Point TVA (avec ES)"}</definedName>
    <definedName name="gfq" localSheetId="28" hidden="1">{#N/A,#N/A,TRUE,"Page de garde";#N/A,#N/A,TRUE,"Récap";#N/A,#N/A,TRUE,"2001";#N/A,#N/A,TRUE,"2002";#N/A,#N/A,TRUE,"MN";#N/A,#N/A,TRUE,"CB-CN ";#N/A,#N/A,TRUE,"Point TVA (avec ES)"}</definedName>
    <definedName name="gfq" localSheetId="35" hidden="1">{#N/A,#N/A,TRUE,"Page de garde";#N/A,#N/A,TRUE,"Récap";#N/A,#N/A,TRUE,"2001";#N/A,#N/A,TRUE,"2002";#N/A,#N/A,TRUE,"MN";#N/A,#N/A,TRUE,"CB-CN ";#N/A,#N/A,TRUE,"Point TVA (avec ES)"}</definedName>
    <definedName name="gfq" localSheetId="37" hidden="1">{#N/A,#N/A,TRUE,"Page de garde";#N/A,#N/A,TRUE,"Récap";#N/A,#N/A,TRUE,"2001";#N/A,#N/A,TRUE,"2002";#N/A,#N/A,TRUE,"MN";#N/A,#N/A,TRUE,"CB-CN ";#N/A,#N/A,TRUE,"Point TVA (avec ES)"}</definedName>
    <definedName name="gfq" localSheetId="39" hidden="1">{#N/A,#N/A,TRUE,"Page de garde";#N/A,#N/A,TRUE,"Récap";#N/A,#N/A,TRUE,"2001";#N/A,#N/A,TRUE,"2002";#N/A,#N/A,TRUE,"MN";#N/A,#N/A,TRUE,"CB-CN ";#N/A,#N/A,TRUE,"Point TVA (avec ES)"}</definedName>
    <definedName name="gfq" hidden="1">{#N/A,#N/A,TRUE,"Page de garde";#N/A,#N/A,TRUE,"Récap";#N/A,#N/A,TRUE,"2001";#N/A,#N/A,TRUE,"2002";#N/A,#N/A,TRUE,"MN";#N/A,#N/A,TRUE,"CB-CN ";#N/A,#N/A,TRUE,"Point TVA (avec ES)"}</definedName>
    <definedName name="ghcfyhj" localSheetId="6" hidden="1">{#N/A,#N/A,TRUE,"Page de garde";#N/A,#N/A,TRUE,"Récap";#N/A,#N/A,TRUE,"2001";#N/A,#N/A,TRUE,"2002";#N/A,#N/A,TRUE,"MN";#N/A,#N/A,TRUE,"CB-CN ";#N/A,#N/A,TRUE,"Point TVA (avec ES)"}</definedName>
    <definedName name="ghcfyhj" localSheetId="7" hidden="1">{#N/A,#N/A,TRUE,"Page de garde";#N/A,#N/A,TRUE,"Récap";#N/A,#N/A,TRUE,"2001";#N/A,#N/A,TRUE,"2002";#N/A,#N/A,TRUE,"MN";#N/A,#N/A,TRUE,"CB-CN ";#N/A,#N/A,TRUE,"Point TVA (avec ES)"}</definedName>
    <definedName name="ghcfyhj" localSheetId="14" hidden="1">{#N/A,#N/A,TRUE,"Page de garde";#N/A,#N/A,TRUE,"Récap";#N/A,#N/A,TRUE,"2001";#N/A,#N/A,TRUE,"2002";#N/A,#N/A,TRUE,"MN";#N/A,#N/A,TRUE,"CB-CN ";#N/A,#N/A,TRUE,"Point TVA (avec ES)"}</definedName>
    <definedName name="ghcfyhj" localSheetId="12" hidden="1">{#N/A,#N/A,TRUE,"Page de garde";#N/A,#N/A,TRUE,"Récap";#N/A,#N/A,TRUE,"2001";#N/A,#N/A,TRUE,"2002";#N/A,#N/A,TRUE,"MN";#N/A,#N/A,TRUE,"CB-CN ";#N/A,#N/A,TRUE,"Point TVA (avec ES)"}</definedName>
    <definedName name="ghcfyhj" localSheetId="13" hidden="1">{#N/A,#N/A,TRUE,"Page de garde";#N/A,#N/A,TRUE,"Récap";#N/A,#N/A,TRUE,"2001";#N/A,#N/A,TRUE,"2002";#N/A,#N/A,TRUE,"MN";#N/A,#N/A,TRUE,"CB-CN ";#N/A,#N/A,TRUE,"Point TVA (avec ES)"}</definedName>
    <definedName name="ghcfyhj" localSheetId="11" hidden="1">{#N/A,#N/A,TRUE,"Page de garde";#N/A,#N/A,TRUE,"Récap";#N/A,#N/A,TRUE,"2001";#N/A,#N/A,TRUE,"2002";#N/A,#N/A,TRUE,"MN";#N/A,#N/A,TRUE,"CB-CN ";#N/A,#N/A,TRUE,"Point TVA (avec ES)"}</definedName>
    <definedName name="ghcfyhj" localSheetId="15" hidden="1">{#N/A,#N/A,TRUE,"Page de garde";#N/A,#N/A,TRUE,"Récap";#N/A,#N/A,TRUE,"2001";#N/A,#N/A,TRUE,"2002";#N/A,#N/A,TRUE,"MN";#N/A,#N/A,TRUE,"CB-CN ";#N/A,#N/A,TRUE,"Point TVA (avec ES)"}</definedName>
    <definedName name="ghcfyhj" localSheetId="32" hidden="1">{#N/A,#N/A,TRUE,"Page de garde";#N/A,#N/A,TRUE,"Récap";#N/A,#N/A,TRUE,"2001";#N/A,#N/A,TRUE,"2002";#N/A,#N/A,TRUE,"MN";#N/A,#N/A,TRUE,"CB-CN ";#N/A,#N/A,TRUE,"Point TVA (avec ES)"}</definedName>
    <definedName name="ghcfyhj" localSheetId="27" hidden="1">{#N/A,#N/A,TRUE,"Page de garde";#N/A,#N/A,TRUE,"Récap";#N/A,#N/A,TRUE,"2001";#N/A,#N/A,TRUE,"2002";#N/A,#N/A,TRUE,"MN";#N/A,#N/A,TRUE,"CB-CN ";#N/A,#N/A,TRUE,"Point TVA (avec ES)"}</definedName>
    <definedName name="ghcfyhj" localSheetId="34" hidden="1">{#N/A,#N/A,TRUE,"Page de garde";#N/A,#N/A,TRUE,"Récap";#N/A,#N/A,TRUE,"2001";#N/A,#N/A,TRUE,"2002";#N/A,#N/A,TRUE,"MN";#N/A,#N/A,TRUE,"CB-CN ";#N/A,#N/A,TRUE,"Point TVA (avec ES)"}</definedName>
    <definedName name="ghcfyhj" localSheetId="36" hidden="1">{#N/A,#N/A,TRUE,"Page de garde";#N/A,#N/A,TRUE,"Récap";#N/A,#N/A,TRUE,"2001";#N/A,#N/A,TRUE,"2002";#N/A,#N/A,TRUE,"MN";#N/A,#N/A,TRUE,"CB-CN ";#N/A,#N/A,TRUE,"Point TVA (avec ES)"}</definedName>
    <definedName name="ghcfyhj" localSheetId="38" hidden="1">{#N/A,#N/A,TRUE,"Page de garde";#N/A,#N/A,TRUE,"Récap";#N/A,#N/A,TRUE,"2001";#N/A,#N/A,TRUE,"2002";#N/A,#N/A,TRUE,"MN";#N/A,#N/A,TRUE,"CB-CN ";#N/A,#N/A,TRUE,"Point TVA (avec ES)"}</definedName>
    <definedName name="ghcfyhj" localSheetId="19" hidden="1">{#N/A,#N/A,TRUE,"Page de garde";#N/A,#N/A,TRUE,"Récap";#N/A,#N/A,TRUE,"2001";#N/A,#N/A,TRUE,"2002";#N/A,#N/A,TRUE,"MN";#N/A,#N/A,TRUE,"CB-CN ";#N/A,#N/A,TRUE,"Point TVA (avec ES)"}</definedName>
    <definedName name="ghcfyhj" localSheetId="20" hidden="1">{#N/A,#N/A,TRUE,"Page de garde";#N/A,#N/A,TRUE,"Récap";#N/A,#N/A,TRUE,"2001";#N/A,#N/A,TRUE,"2002";#N/A,#N/A,TRUE,"MN";#N/A,#N/A,TRUE,"CB-CN ";#N/A,#N/A,TRUE,"Point TVA (avec ES)"}</definedName>
    <definedName name="ghcfyhj" localSheetId="24" hidden="1">{#N/A,#N/A,TRUE,"Page de garde";#N/A,#N/A,TRUE,"Récap";#N/A,#N/A,TRUE,"2001";#N/A,#N/A,TRUE,"2002";#N/A,#N/A,TRUE,"MN";#N/A,#N/A,TRUE,"CB-CN ";#N/A,#N/A,TRUE,"Point TVA (avec ES)"}</definedName>
    <definedName name="ghcfyhj" localSheetId="25" hidden="1">{#N/A,#N/A,TRUE,"Page de garde";#N/A,#N/A,TRUE,"Récap";#N/A,#N/A,TRUE,"2001";#N/A,#N/A,TRUE,"2002";#N/A,#N/A,TRUE,"MN";#N/A,#N/A,TRUE,"CB-CN ";#N/A,#N/A,TRUE,"Point TVA (avec ES)"}</definedName>
    <definedName name="ghcfyhj" localSheetId="31" hidden="1">{#N/A,#N/A,TRUE,"Page de garde";#N/A,#N/A,TRUE,"Récap";#N/A,#N/A,TRUE,"2001";#N/A,#N/A,TRUE,"2002";#N/A,#N/A,TRUE,"MN";#N/A,#N/A,TRUE,"CB-CN ";#N/A,#N/A,TRUE,"Point TVA (avec ES)"}</definedName>
    <definedName name="ghcfyhj" localSheetId="33" hidden="1">{#N/A,#N/A,TRUE,"Page de garde";#N/A,#N/A,TRUE,"Récap";#N/A,#N/A,TRUE,"2001";#N/A,#N/A,TRUE,"2002";#N/A,#N/A,TRUE,"MN";#N/A,#N/A,TRUE,"CB-CN ";#N/A,#N/A,TRUE,"Point TVA (avec ES)"}</definedName>
    <definedName name="ghcfyhj" localSheetId="28" hidden="1">{#N/A,#N/A,TRUE,"Page de garde";#N/A,#N/A,TRUE,"Récap";#N/A,#N/A,TRUE,"2001";#N/A,#N/A,TRUE,"2002";#N/A,#N/A,TRUE,"MN";#N/A,#N/A,TRUE,"CB-CN ";#N/A,#N/A,TRUE,"Point TVA (avec ES)"}</definedName>
    <definedName name="ghcfyhj" localSheetId="35" hidden="1">{#N/A,#N/A,TRUE,"Page de garde";#N/A,#N/A,TRUE,"Récap";#N/A,#N/A,TRUE,"2001";#N/A,#N/A,TRUE,"2002";#N/A,#N/A,TRUE,"MN";#N/A,#N/A,TRUE,"CB-CN ";#N/A,#N/A,TRUE,"Point TVA (avec ES)"}</definedName>
    <definedName name="ghcfyhj" localSheetId="37" hidden="1">{#N/A,#N/A,TRUE,"Page de garde";#N/A,#N/A,TRUE,"Récap";#N/A,#N/A,TRUE,"2001";#N/A,#N/A,TRUE,"2002";#N/A,#N/A,TRUE,"MN";#N/A,#N/A,TRUE,"CB-CN ";#N/A,#N/A,TRUE,"Point TVA (avec ES)"}</definedName>
    <definedName name="ghcfyhj" localSheetId="39" hidden="1">{#N/A,#N/A,TRUE,"Page de garde";#N/A,#N/A,TRUE,"Récap";#N/A,#N/A,TRUE,"2001";#N/A,#N/A,TRUE,"2002";#N/A,#N/A,TRUE,"MN";#N/A,#N/A,TRUE,"CB-CN ";#N/A,#N/A,TRUE,"Point TVA (avec ES)"}</definedName>
    <definedName name="ghcfyhj" hidden="1">{#N/A,#N/A,TRUE,"Page de garde";#N/A,#N/A,TRUE,"Récap";#N/A,#N/A,TRUE,"2001";#N/A,#N/A,TRUE,"2002";#N/A,#N/A,TRUE,"MN";#N/A,#N/A,TRUE,"CB-CN ";#N/A,#N/A,TRUE,"Point TVA (avec ES)"}</definedName>
    <definedName name="GRT" localSheetId="6" hidden="1">{#N/A,#N/A,FALSE,"Synthèse";#N/A,#N/A,FALSE,"Evolution de la TVA";#N/A,#N/A,FALSE,"Ventilation DGI-Douanes";#N/A,#N/A,FALSE,"prévision hors constaté ";#N/A,#N/A,FALSE,"recettes et écart à la prévisio"}</definedName>
    <definedName name="GRT" localSheetId="7" hidden="1">{#N/A,#N/A,FALSE,"Synthèse";#N/A,#N/A,FALSE,"Evolution de la TVA";#N/A,#N/A,FALSE,"Ventilation DGI-Douanes";#N/A,#N/A,FALSE,"prévision hors constaté ";#N/A,#N/A,FALSE,"recettes et écart à la prévisio"}</definedName>
    <definedName name="GRT" localSheetId="14" hidden="1">{#N/A,#N/A,FALSE,"Synthèse";#N/A,#N/A,FALSE,"Evolution de la TVA";#N/A,#N/A,FALSE,"Ventilation DGI-Douanes";#N/A,#N/A,FALSE,"prévision hors constaté ";#N/A,#N/A,FALSE,"recettes et écart à la prévisio"}</definedName>
    <definedName name="GRT" localSheetId="12" hidden="1">{#N/A,#N/A,FALSE,"Synthèse";#N/A,#N/A,FALSE,"Evolution de la TVA";#N/A,#N/A,FALSE,"Ventilation DGI-Douanes";#N/A,#N/A,FALSE,"prévision hors constaté ";#N/A,#N/A,FALSE,"recettes et écart à la prévisio"}</definedName>
    <definedName name="GRT" localSheetId="13" hidden="1">{#N/A,#N/A,FALSE,"Synthèse";#N/A,#N/A,FALSE,"Evolution de la TVA";#N/A,#N/A,FALSE,"Ventilation DGI-Douanes";#N/A,#N/A,FALSE,"prévision hors constaté ";#N/A,#N/A,FALSE,"recettes et écart à la prévisio"}</definedName>
    <definedName name="GRT" localSheetId="11" hidden="1">{#N/A,#N/A,FALSE,"Synthèse";#N/A,#N/A,FALSE,"Evolution de la TVA";#N/A,#N/A,FALSE,"Ventilation DGI-Douanes";#N/A,#N/A,FALSE,"prévision hors constaté ";#N/A,#N/A,FALSE,"recettes et écart à la prévisio"}</definedName>
    <definedName name="GRT" localSheetId="15" hidden="1">{#N/A,#N/A,FALSE,"Synthèse";#N/A,#N/A,FALSE,"Evolution de la TVA";#N/A,#N/A,FALSE,"Ventilation DGI-Douanes";#N/A,#N/A,FALSE,"prévision hors constaté ";#N/A,#N/A,FALSE,"recettes et écart à la prévisio"}</definedName>
    <definedName name="GRT" localSheetId="32" hidden="1">{#N/A,#N/A,FALSE,"Synthèse";#N/A,#N/A,FALSE,"Evolution de la TVA";#N/A,#N/A,FALSE,"Ventilation DGI-Douanes";#N/A,#N/A,FALSE,"prévision hors constaté ";#N/A,#N/A,FALSE,"recettes et écart à la prévisio"}</definedName>
    <definedName name="GRT" localSheetId="27" hidden="1">{#N/A,#N/A,FALSE,"Synthèse";#N/A,#N/A,FALSE,"Evolution de la TVA";#N/A,#N/A,FALSE,"Ventilation DGI-Douanes";#N/A,#N/A,FALSE,"prévision hors constaté ";#N/A,#N/A,FALSE,"recettes et écart à la prévisio"}</definedName>
    <definedName name="GRT" localSheetId="34" hidden="1">{#N/A,#N/A,FALSE,"Synthèse";#N/A,#N/A,FALSE,"Evolution de la TVA";#N/A,#N/A,FALSE,"Ventilation DGI-Douanes";#N/A,#N/A,FALSE,"prévision hors constaté ";#N/A,#N/A,FALSE,"recettes et écart à la prévisio"}</definedName>
    <definedName name="GRT" localSheetId="36" hidden="1">{#N/A,#N/A,FALSE,"Synthèse";#N/A,#N/A,FALSE,"Evolution de la TVA";#N/A,#N/A,FALSE,"Ventilation DGI-Douanes";#N/A,#N/A,FALSE,"prévision hors constaté ";#N/A,#N/A,FALSE,"recettes et écart à la prévisio"}</definedName>
    <definedName name="GRT" localSheetId="38" hidden="1">{#N/A,#N/A,FALSE,"Synthèse";#N/A,#N/A,FALSE,"Evolution de la TVA";#N/A,#N/A,FALSE,"Ventilation DGI-Douanes";#N/A,#N/A,FALSE,"prévision hors constaté ";#N/A,#N/A,FALSE,"recettes et écart à la prévisio"}</definedName>
    <definedName name="GRT" localSheetId="19" hidden="1">{#N/A,#N/A,FALSE,"Synthèse";#N/A,#N/A,FALSE,"Evolution de la TVA";#N/A,#N/A,FALSE,"Ventilation DGI-Douanes";#N/A,#N/A,FALSE,"prévision hors constaté ";#N/A,#N/A,FALSE,"recettes et écart à la prévisio"}</definedName>
    <definedName name="GRT" localSheetId="20" hidden="1">{#N/A,#N/A,FALSE,"Synthèse";#N/A,#N/A,FALSE,"Evolution de la TVA";#N/A,#N/A,FALSE,"Ventilation DGI-Douanes";#N/A,#N/A,FALSE,"prévision hors constaté ";#N/A,#N/A,FALSE,"recettes et écart à la prévisio"}</definedName>
    <definedName name="GRT" localSheetId="24" hidden="1">{#N/A,#N/A,FALSE,"Synthèse";#N/A,#N/A,FALSE,"Evolution de la TVA";#N/A,#N/A,FALSE,"Ventilation DGI-Douanes";#N/A,#N/A,FALSE,"prévision hors constaté ";#N/A,#N/A,FALSE,"recettes et écart à la prévisio"}</definedName>
    <definedName name="GRT" localSheetId="25" hidden="1">{#N/A,#N/A,FALSE,"Synthèse";#N/A,#N/A,FALSE,"Evolution de la TVA";#N/A,#N/A,FALSE,"Ventilation DGI-Douanes";#N/A,#N/A,FALSE,"prévision hors constaté ";#N/A,#N/A,FALSE,"recettes et écart à la prévisio"}</definedName>
    <definedName name="GRT" localSheetId="31" hidden="1">{#N/A,#N/A,FALSE,"Synthèse";#N/A,#N/A,FALSE,"Evolution de la TVA";#N/A,#N/A,FALSE,"Ventilation DGI-Douanes";#N/A,#N/A,FALSE,"prévision hors constaté ";#N/A,#N/A,FALSE,"recettes et écart à la prévisio"}</definedName>
    <definedName name="GRT" localSheetId="33" hidden="1">{#N/A,#N/A,FALSE,"Synthèse";#N/A,#N/A,FALSE,"Evolution de la TVA";#N/A,#N/A,FALSE,"Ventilation DGI-Douanes";#N/A,#N/A,FALSE,"prévision hors constaté ";#N/A,#N/A,FALSE,"recettes et écart à la prévisio"}</definedName>
    <definedName name="GRT" localSheetId="28" hidden="1">{#N/A,#N/A,FALSE,"Synthèse";#N/A,#N/A,FALSE,"Evolution de la TVA";#N/A,#N/A,FALSE,"Ventilation DGI-Douanes";#N/A,#N/A,FALSE,"prévision hors constaté ";#N/A,#N/A,FALSE,"recettes et écart à la prévisio"}</definedName>
    <definedName name="GRT" localSheetId="35" hidden="1">{#N/A,#N/A,FALSE,"Synthèse";#N/A,#N/A,FALSE,"Evolution de la TVA";#N/A,#N/A,FALSE,"Ventilation DGI-Douanes";#N/A,#N/A,FALSE,"prévision hors constaté ";#N/A,#N/A,FALSE,"recettes et écart à la prévisio"}</definedName>
    <definedName name="GRT" localSheetId="37" hidden="1">{#N/A,#N/A,FALSE,"Synthèse";#N/A,#N/A,FALSE,"Evolution de la TVA";#N/A,#N/A,FALSE,"Ventilation DGI-Douanes";#N/A,#N/A,FALSE,"prévision hors constaté ";#N/A,#N/A,FALSE,"recettes et écart à la prévisio"}</definedName>
    <definedName name="GRT" localSheetId="39" hidden="1">{#N/A,#N/A,FALSE,"Synthèse";#N/A,#N/A,FALSE,"Evolution de la TVA";#N/A,#N/A,FALSE,"Ventilation DGI-Douanes";#N/A,#N/A,FALSE,"prévision hors constaté ";#N/A,#N/A,FALSE,"recettes et écart à la prévisio"}</definedName>
    <definedName name="GRT" hidden="1">{#N/A,#N/A,FALSE,"Synthèse";#N/A,#N/A,FALSE,"Evolution de la TVA";#N/A,#N/A,FALSE,"Ventilation DGI-Douanes";#N/A,#N/A,FALSE,"prévision hors constaté ";#N/A,#N/A,FALSE,"recettes et écart à la prévisio"}</definedName>
    <definedName name="gvq" localSheetId="6" hidden="1">{#N/A,#N/A,TRUE,"Page de garde";#N/A,#N/A,TRUE,"Récap";#N/A,#N/A,TRUE,"2001";#N/A,#N/A,TRUE,"2002";#N/A,#N/A,TRUE,"MN";#N/A,#N/A,TRUE,"CB-CN ";#N/A,#N/A,TRUE,"Point TVA (avec ES)"}</definedName>
    <definedName name="gvq" localSheetId="7" hidden="1">{#N/A,#N/A,TRUE,"Page de garde";#N/A,#N/A,TRUE,"Récap";#N/A,#N/A,TRUE,"2001";#N/A,#N/A,TRUE,"2002";#N/A,#N/A,TRUE,"MN";#N/A,#N/A,TRUE,"CB-CN ";#N/A,#N/A,TRUE,"Point TVA (avec ES)"}</definedName>
    <definedName name="gvq" localSheetId="14" hidden="1">{#N/A,#N/A,TRUE,"Page de garde";#N/A,#N/A,TRUE,"Récap";#N/A,#N/A,TRUE,"2001";#N/A,#N/A,TRUE,"2002";#N/A,#N/A,TRUE,"MN";#N/A,#N/A,TRUE,"CB-CN ";#N/A,#N/A,TRUE,"Point TVA (avec ES)"}</definedName>
    <definedName name="gvq" localSheetId="12" hidden="1">{#N/A,#N/A,TRUE,"Page de garde";#N/A,#N/A,TRUE,"Récap";#N/A,#N/A,TRUE,"2001";#N/A,#N/A,TRUE,"2002";#N/A,#N/A,TRUE,"MN";#N/A,#N/A,TRUE,"CB-CN ";#N/A,#N/A,TRUE,"Point TVA (avec ES)"}</definedName>
    <definedName name="gvq" localSheetId="13" hidden="1">{#N/A,#N/A,TRUE,"Page de garde";#N/A,#N/A,TRUE,"Récap";#N/A,#N/A,TRUE,"2001";#N/A,#N/A,TRUE,"2002";#N/A,#N/A,TRUE,"MN";#N/A,#N/A,TRUE,"CB-CN ";#N/A,#N/A,TRUE,"Point TVA (avec ES)"}</definedName>
    <definedName name="gvq" localSheetId="11" hidden="1">{#N/A,#N/A,TRUE,"Page de garde";#N/A,#N/A,TRUE,"Récap";#N/A,#N/A,TRUE,"2001";#N/A,#N/A,TRUE,"2002";#N/A,#N/A,TRUE,"MN";#N/A,#N/A,TRUE,"CB-CN ";#N/A,#N/A,TRUE,"Point TVA (avec ES)"}</definedName>
    <definedName name="gvq" localSheetId="15" hidden="1">{#N/A,#N/A,TRUE,"Page de garde";#N/A,#N/A,TRUE,"Récap";#N/A,#N/A,TRUE,"2001";#N/A,#N/A,TRUE,"2002";#N/A,#N/A,TRUE,"MN";#N/A,#N/A,TRUE,"CB-CN ";#N/A,#N/A,TRUE,"Point TVA (avec ES)"}</definedName>
    <definedName name="gvq" localSheetId="32" hidden="1">{#N/A,#N/A,TRUE,"Page de garde";#N/A,#N/A,TRUE,"Récap";#N/A,#N/A,TRUE,"2001";#N/A,#N/A,TRUE,"2002";#N/A,#N/A,TRUE,"MN";#N/A,#N/A,TRUE,"CB-CN ";#N/A,#N/A,TRUE,"Point TVA (avec ES)"}</definedName>
    <definedName name="gvq" localSheetId="27" hidden="1">{#N/A,#N/A,TRUE,"Page de garde";#N/A,#N/A,TRUE,"Récap";#N/A,#N/A,TRUE,"2001";#N/A,#N/A,TRUE,"2002";#N/A,#N/A,TRUE,"MN";#N/A,#N/A,TRUE,"CB-CN ";#N/A,#N/A,TRUE,"Point TVA (avec ES)"}</definedName>
    <definedName name="gvq" localSheetId="34" hidden="1">{#N/A,#N/A,TRUE,"Page de garde";#N/A,#N/A,TRUE,"Récap";#N/A,#N/A,TRUE,"2001";#N/A,#N/A,TRUE,"2002";#N/A,#N/A,TRUE,"MN";#N/A,#N/A,TRUE,"CB-CN ";#N/A,#N/A,TRUE,"Point TVA (avec ES)"}</definedName>
    <definedName name="gvq" localSheetId="36" hidden="1">{#N/A,#N/A,TRUE,"Page de garde";#N/A,#N/A,TRUE,"Récap";#N/A,#N/A,TRUE,"2001";#N/A,#N/A,TRUE,"2002";#N/A,#N/A,TRUE,"MN";#N/A,#N/A,TRUE,"CB-CN ";#N/A,#N/A,TRUE,"Point TVA (avec ES)"}</definedName>
    <definedName name="gvq" localSheetId="38" hidden="1">{#N/A,#N/A,TRUE,"Page de garde";#N/A,#N/A,TRUE,"Récap";#N/A,#N/A,TRUE,"2001";#N/A,#N/A,TRUE,"2002";#N/A,#N/A,TRUE,"MN";#N/A,#N/A,TRUE,"CB-CN ";#N/A,#N/A,TRUE,"Point TVA (avec ES)"}</definedName>
    <definedName name="gvq" localSheetId="19" hidden="1">{#N/A,#N/A,TRUE,"Page de garde";#N/A,#N/A,TRUE,"Récap";#N/A,#N/A,TRUE,"2001";#N/A,#N/A,TRUE,"2002";#N/A,#N/A,TRUE,"MN";#N/A,#N/A,TRUE,"CB-CN ";#N/A,#N/A,TRUE,"Point TVA (avec ES)"}</definedName>
    <definedName name="gvq" localSheetId="20" hidden="1">{#N/A,#N/A,TRUE,"Page de garde";#N/A,#N/A,TRUE,"Récap";#N/A,#N/A,TRUE,"2001";#N/A,#N/A,TRUE,"2002";#N/A,#N/A,TRUE,"MN";#N/A,#N/A,TRUE,"CB-CN ";#N/A,#N/A,TRUE,"Point TVA (avec ES)"}</definedName>
    <definedName name="gvq" localSheetId="24" hidden="1">{#N/A,#N/A,TRUE,"Page de garde";#N/A,#N/A,TRUE,"Récap";#N/A,#N/A,TRUE,"2001";#N/A,#N/A,TRUE,"2002";#N/A,#N/A,TRUE,"MN";#N/A,#N/A,TRUE,"CB-CN ";#N/A,#N/A,TRUE,"Point TVA (avec ES)"}</definedName>
    <definedName name="gvq" localSheetId="25" hidden="1">{#N/A,#N/A,TRUE,"Page de garde";#N/A,#N/A,TRUE,"Récap";#N/A,#N/A,TRUE,"2001";#N/A,#N/A,TRUE,"2002";#N/A,#N/A,TRUE,"MN";#N/A,#N/A,TRUE,"CB-CN ";#N/A,#N/A,TRUE,"Point TVA (avec ES)"}</definedName>
    <definedName name="gvq" localSheetId="31" hidden="1">{#N/A,#N/A,TRUE,"Page de garde";#N/A,#N/A,TRUE,"Récap";#N/A,#N/A,TRUE,"2001";#N/A,#N/A,TRUE,"2002";#N/A,#N/A,TRUE,"MN";#N/A,#N/A,TRUE,"CB-CN ";#N/A,#N/A,TRUE,"Point TVA (avec ES)"}</definedName>
    <definedName name="gvq" localSheetId="33" hidden="1">{#N/A,#N/A,TRUE,"Page de garde";#N/A,#N/A,TRUE,"Récap";#N/A,#N/A,TRUE,"2001";#N/A,#N/A,TRUE,"2002";#N/A,#N/A,TRUE,"MN";#N/A,#N/A,TRUE,"CB-CN ";#N/A,#N/A,TRUE,"Point TVA (avec ES)"}</definedName>
    <definedName name="gvq" localSheetId="28" hidden="1">{#N/A,#N/A,TRUE,"Page de garde";#N/A,#N/A,TRUE,"Récap";#N/A,#N/A,TRUE,"2001";#N/A,#N/A,TRUE,"2002";#N/A,#N/A,TRUE,"MN";#N/A,#N/A,TRUE,"CB-CN ";#N/A,#N/A,TRUE,"Point TVA (avec ES)"}</definedName>
    <definedName name="gvq" localSheetId="35" hidden="1">{#N/A,#N/A,TRUE,"Page de garde";#N/A,#N/A,TRUE,"Récap";#N/A,#N/A,TRUE,"2001";#N/A,#N/A,TRUE,"2002";#N/A,#N/A,TRUE,"MN";#N/A,#N/A,TRUE,"CB-CN ";#N/A,#N/A,TRUE,"Point TVA (avec ES)"}</definedName>
    <definedName name="gvq" localSheetId="37" hidden="1">{#N/A,#N/A,TRUE,"Page de garde";#N/A,#N/A,TRUE,"Récap";#N/A,#N/A,TRUE,"2001";#N/A,#N/A,TRUE,"2002";#N/A,#N/A,TRUE,"MN";#N/A,#N/A,TRUE,"CB-CN ";#N/A,#N/A,TRUE,"Point TVA (avec ES)"}</definedName>
    <definedName name="gvq" localSheetId="39" hidden="1">{#N/A,#N/A,TRUE,"Page de garde";#N/A,#N/A,TRUE,"Récap";#N/A,#N/A,TRUE,"2001";#N/A,#N/A,TRUE,"2002";#N/A,#N/A,TRUE,"MN";#N/A,#N/A,TRUE,"CB-CN ";#N/A,#N/A,TRUE,"Point TVA (avec ES)"}</definedName>
    <definedName name="gvq" hidden="1">{#N/A,#N/A,TRUE,"Page de garde";#N/A,#N/A,TRUE,"Récap";#N/A,#N/A,TRUE,"2001";#N/A,#N/A,TRUE,"2002";#N/A,#N/A,TRUE,"MN";#N/A,#N/A,TRUE,"CB-CN ";#N/A,#N/A,TRUE,"Point TVA (avec ES)"}</definedName>
    <definedName name="hjdf" localSheetId="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jdf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HTML_CodePage" hidden="1">1252</definedName>
    <definedName name="HTML_Control" localSheetId="6" hidden="1">{"'TBADMI (Annexe 3)'!$B$164:$G$189"}</definedName>
    <definedName name="HTML_Control" localSheetId="7" hidden="1">{"'TBADMI (Annexe 3)'!$B$164:$G$189"}</definedName>
    <definedName name="HTML_Control" localSheetId="14" hidden="1">{"'TBADMI (Annexe 3)'!$B$164:$G$189"}</definedName>
    <definedName name="HTML_Control" localSheetId="12" hidden="1">{"'TBADMI (Annexe 3)'!$B$164:$G$189"}</definedName>
    <definedName name="HTML_Control" localSheetId="13" hidden="1">{"'TBADMI (Annexe 3)'!$B$164:$G$189"}</definedName>
    <definedName name="HTML_Control" localSheetId="11" hidden="1">{"'TBADMI (Annexe 3)'!$B$164:$G$189"}</definedName>
    <definedName name="HTML_Control" localSheetId="15" hidden="1">{"'TBADMI (Annexe 3)'!$B$164:$G$189"}</definedName>
    <definedName name="HTML_Control" localSheetId="32" hidden="1">{"'TBADMI (Annexe 3)'!$B$164:$G$189"}</definedName>
    <definedName name="HTML_Control" localSheetId="27" hidden="1">{"'TBADMI (Annexe 3)'!$B$164:$G$189"}</definedName>
    <definedName name="HTML_Control" localSheetId="34" hidden="1">{"'TBADMI (Annexe 3)'!$B$164:$G$189"}</definedName>
    <definedName name="HTML_Control" localSheetId="36" hidden="1">{"'TBADMI (Annexe 3)'!$B$164:$G$189"}</definedName>
    <definedName name="HTML_Control" localSheetId="38" hidden="1">{"'TBADMI (Annexe 3)'!$B$164:$G$189"}</definedName>
    <definedName name="HTML_Control" localSheetId="19" hidden="1">{"'TBADMI (Annexe 3)'!$B$164:$G$189"}</definedName>
    <definedName name="HTML_Control" localSheetId="20" hidden="1">{"'TBADMI (Annexe 3)'!$B$164:$G$189"}</definedName>
    <definedName name="HTML_Control" localSheetId="24" hidden="1">{"'TBADMI (Annexe 3)'!$B$164:$G$189"}</definedName>
    <definedName name="HTML_Control" localSheetId="25" hidden="1">{"'TBADMI (Annexe 3)'!$B$164:$G$189"}</definedName>
    <definedName name="HTML_Control" localSheetId="31" hidden="1">{"'TBADMI (Annexe 3)'!$B$164:$G$189"}</definedName>
    <definedName name="HTML_Control" localSheetId="33" hidden="1">{"'TBADMI (Annexe 3)'!$B$164:$G$189"}</definedName>
    <definedName name="HTML_Control" localSheetId="28" hidden="1">{"'TBADMI (Annexe 3)'!$B$164:$G$189"}</definedName>
    <definedName name="HTML_Control" localSheetId="35" hidden="1">{"'TBADMI (Annexe 3)'!$B$164:$G$189"}</definedName>
    <definedName name="HTML_Control" localSheetId="37" hidden="1">{"'TBADMI (Annexe 3)'!$B$164:$G$189"}</definedName>
    <definedName name="HTML_Control" localSheetId="39" hidden="1">{"'TBADMI (Annexe 3)'!$B$164:$G$189"}</definedName>
    <definedName name="HTML_Control" hidden="1">{"'TBADMI (Annexe 3)'!$B$164:$G$189"}</definedName>
    <definedName name="HTML_Description" hidden="1">""</definedName>
    <definedName name="HTML_Email" hidden="1">""</definedName>
    <definedName name="HTML_Header" hidden="1">"TBADMI (Annexe 3)"</definedName>
    <definedName name="HTML_LastUpdate" hidden="1">"22/09/2000"</definedName>
    <definedName name="HTML_LineAfter" hidden="1">FALSE</definedName>
    <definedName name="HTML_LineBefore" hidden="1">FALSE</definedName>
    <definedName name="HTML_Name" hidden="1">"Alain NICOLAS"</definedName>
    <definedName name="HTML_OBDlg2" hidden="1">TRUE</definedName>
    <definedName name="HTML_OBDlg4" hidden="1">TRUE</definedName>
    <definedName name="HTML_OS" hidden="1">0</definedName>
    <definedName name="HTML_PathFile" hidden="1">"D:\Mes documents\MonHTML.htm"</definedName>
    <definedName name="HTML_Title" hidden="1">"DSG - TBADMI_V2"</definedName>
    <definedName name="ib" localSheetId="6" hidden="1">{#N/A,#N/A,TRUE,"Page de garde";#N/A,#N/A,TRUE,"Récap";#N/A,#N/A,TRUE,"2001";#N/A,#N/A,TRUE,"2002";#N/A,#N/A,TRUE,"MN";#N/A,#N/A,TRUE,"CB-CN ";#N/A,#N/A,TRUE,"Point TVA (avec ES)"}</definedName>
    <definedName name="ib" localSheetId="7" hidden="1">{#N/A,#N/A,TRUE,"Page de garde";#N/A,#N/A,TRUE,"Récap";#N/A,#N/A,TRUE,"2001";#N/A,#N/A,TRUE,"2002";#N/A,#N/A,TRUE,"MN";#N/A,#N/A,TRUE,"CB-CN ";#N/A,#N/A,TRUE,"Point TVA (avec ES)"}</definedName>
    <definedName name="ib" localSheetId="14" hidden="1">{#N/A,#N/A,TRUE,"Page de garde";#N/A,#N/A,TRUE,"Récap";#N/A,#N/A,TRUE,"2001";#N/A,#N/A,TRUE,"2002";#N/A,#N/A,TRUE,"MN";#N/A,#N/A,TRUE,"CB-CN ";#N/A,#N/A,TRUE,"Point TVA (avec ES)"}</definedName>
    <definedName name="ib" localSheetId="12" hidden="1">{#N/A,#N/A,TRUE,"Page de garde";#N/A,#N/A,TRUE,"Récap";#N/A,#N/A,TRUE,"2001";#N/A,#N/A,TRUE,"2002";#N/A,#N/A,TRUE,"MN";#N/A,#N/A,TRUE,"CB-CN ";#N/A,#N/A,TRUE,"Point TVA (avec ES)"}</definedName>
    <definedName name="ib" localSheetId="13" hidden="1">{#N/A,#N/A,TRUE,"Page de garde";#N/A,#N/A,TRUE,"Récap";#N/A,#N/A,TRUE,"2001";#N/A,#N/A,TRUE,"2002";#N/A,#N/A,TRUE,"MN";#N/A,#N/A,TRUE,"CB-CN ";#N/A,#N/A,TRUE,"Point TVA (avec ES)"}</definedName>
    <definedName name="ib" localSheetId="11" hidden="1">{#N/A,#N/A,TRUE,"Page de garde";#N/A,#N/A,TRUE,"Récap";#N/A,#N/A,TRUE,"2001";#N/A,#N/A,TRUE,"2002";#N/A,#N/A,TRUE,"MN";#N/A,#N/A,TRUE,"CB-CN ";#N/A,#N/A,TRUE,"Point TVA (avec ES)"}</definedName>
    <definedName name="ib" localSheetId="15" hidden="1">{#N/A,#N/A,TRUE,"Page de garde";#N/A,#N/A,TRUE,"Récap";#N/A,#N/A,TRUE,"2001";#N/A,#N/A,TRUE,"2002";#N/A,#N/A,TRUE,"MN";#N/A,#N/A,TRUE,"CB-CN ";#N/A,#N/A,TRUE,"Point TVA (avec ES)"}</definedName>
    <definedName name="ib" localSheetId="32" hidden="1">{#N/A,#N/A,TRUE,"Page de garde";#N/A,#N/A,TRUE,"Récap";#N/A,#N/A,TRUE,"2001";#N/A,#N/A,TRUE,"2002";#N/A,#N/A,TRUE,"MN";#N/A,#N/A,TRUE,"CB-CN ";#N/A,#N/A,TRUE,"Point TVA (avec ES)"}</definedName>
    <definedName name="ib" localSheetId="27" hidden="1">{#N/A,#N/A,TRUE,"Page de garde";#N/A,#N/A,TRUE,"Récap";#N/A,#N/A,TRUE,"2001";#N/A,#N/A,TRUE,"2002";#N/A,#N/A,TRUE,"MN";#N/A,#N/A,TRUE,"CB-CN ";#N/A,#N/A,TRUE,"Point TVA (avec ES)"}</definedName>
    <definedName name="ib" localSheetId="34" hidden="1">{#N/A,#N/A,TRUE,"Page de garde";#N/A,#N/A,TRUE,"Récap";#N/A,#N/A,TRUE,"2001";#N/A,#N/A,TRUE,"2002";#N/A,#N/A,TRUE,"MN";#N/A,#N/A,TRUE,"CB-CN ";#N/A,#N/A,TRUE,"Point TVA (avec ES)"}</definedName>
    <definedName name="ib" localSheetId="36" hidden="1">{#N/A,#N/A,TRUE,"Page de garde";#N/A,#N/A,TRUE,"Récap";#N/A,#N/A,TRUE,"2001";#N/A,#N/A,TRUE,"2002";#N/A,#N/A,TRUE,"MN";#N/A,#N/A,TRUE,"CB-CN ";#N/A,#N/A,TRUE,"Point TVA (avec ES)"}</definedName>
    <definedName name="ib" localSheetId="38" hidden="1">{#N/A,#N/A,TRUE,"Page de garde";#N/A,#N/A,TRUE,"Récap";#N/A,#N/A,TRUE,"2001";#N/A,#N/A,TRUE,"2002";#N/A,#N/A,TRUE,"MN";#N/A,#N/A,TRUE,"CB-CN ";#N/A,#N/A,TRUE,"Point TVA (avec ES)"}</definedName>
    <definedName name="ib" localSheetId="19" hidden="1">{#N/A,#N/A,TRUE,"Page de garde";#N/A,#N/A,TRUE,"Récap";#N/A,#N/A,TRUE,"2001";#N/A,#N/A,TRUE,"2002";#N/A,#N/A,TRUE,"MN";#N/A,#N/A,TRUE,"CB-CN ";#N/A,#N/A,TRUE,"Point TVA (avec ES)"}</definedName>
    <definedName name="ib" localSheetId="20" hidden="1">{#N/A,#N/A,TRUE,"Page de garde";#N/A,#N/A,TRUE,"Récap";#N/A,#N/A,TRUE,"2001";#N/A,#N/A,TRUE,"2002";#N/A,#N/A,TRUE,"MN";#N/A,#N/A,TRUE,"CB-CN ";#N/A,#N/A,TRUE,"Point TVA (avec ES)"}</definedName>
    <definedName name="ib" localSheetId="24" hidden="1">{#N/A,#N/A,TRUE,"Page de garde";#N/A,#N/A,TRUE,"Récap";#N/A,#N/A,TRUE,"2001";#N/A,#N/A,TRUE,"2002";#N/A,#N/A,TRUE,"MN";#N/A,#N/A,TRUE,"CB-CN ";#N/A,#N/A,TRUE,"Point TVA (avec ES)"}</definedName>
    <definedName name="ib" localSheetId="25" hidden="1">{#N/A,#N/A,TRUE,"Page de garde";#N/A,#N/A,TRUE,"Récap";#N/A,#N/A,TRUE,"2001";#N/A,#N/A,TRUE,"2002";#N/A,#N/A,TRUE,"MN";#N/A,#N/A,TRUE,"CB-CN ";#N/A,#N/A,TRUE,"Point TVA (avec ES)"}</definedName>
    <definedName name="ib" localSheetId="31" hidden="1">{#N/A,#N/A,TRUE,"Page de garde";#N/A,#N/A,TRUE,"Récap";#N/A,#N/A,TRUE,"2001";#N/A,#N/A,TRUE,"2002";#N/A,#N/A,TRUE,"MN";#N/A,#N/A,TRUE,"CB-CN ";#N/A,#N/A,TRUE,"Point TVA (avec ES)"}</definedName>
    <definedName name="ib" localSheetId="33" hidden="1">{#N/A,#N/A,TRUE,"Page de garde";#N/A,#N/A,TRUE,"Récap";#N/A,#N/A,TRUE,"2001";#N/A,#N/A,TRUE,"2002";#N/A,#N/A,TRUE,"MN";#N/A,#N/A,TRUE,"CB-CN ";#N/A,#N/A,TRUE,"Point TVA (avec ES)"}</definedName>
    <definedName name="ib" localSheetId="28" hidden="1">{#N/A,#N/A,TRUE,"Page de garde";#N/A,#N/A,TRUE,"Récap";#N/A,#N/A,TRUE,"2001";#N/A,#N/A,TRUE,"2002";#N/A,#N/A,TRUE,"MN";#N/A,#N/A,TRUE,"CB-CN ";#N/A,#N/A,TRUE,"Point TVA (avec ES)"}</definedName>
    <definedName name="ib" localSheetId="35" hidden="1">{#N/A,#N/A,TRUE,"Page de garde";#N/A,#N/A,TRUE,"Récap";#N/A,#N/A,TRUE,"2001";#N/A,#N/A,TRUE,"2002";#N/A,#N/A,TRUE,"MN";#N/A,#N/A,TRUE,"CB-CN ";#N/A,#N/A,TRUE,"Point TVA (avec ES)"}</definedName>
    <definedName name="ib" localSheetId="37" hidden="1">{#N/A,#N/A,TRUE,"Page de garde";#N/A,#N/A,TRUE,"Récap";#N/A,#N/A,TRUE,"2001";#N/A,#N/A,TRUE,"2002";#N/A,#N/A,TRUE,"MN";#N/A,#N/A,TRUE,"CB-CN ";#N/A,#N/A,TRUE,"Point TVA (avec ES)"}</definedName>
    <definedName name="ib" localSheetId="39" hidden="1">{#N/A,#N/A,TRUE,"Page de garde";#N/A,#N/A,TRUE,"Récap";#N/A,#N/A,TRUE,"2001";#N/A,#N/A,TRUE,"2002";#N/A,#N/A,TRUE,"MN";#N/A,#N/A,TRUE,"CB-CN ";#N/A,#N/A,TRUE,"Point TVA (avec ES)"}</definedName>
    <definedName name="ib" hidden="1">{#N/A,#N/A,TRUE,"Page de garde";#N/A,#N/A,TRUE,"Récap";#N/A,#N/A,TRUE,"2001";#N/A,#N/A,TRUE,"2002";#N/A,#N/A,TRUE,"MN";#N/A,#N/A,TRUE,"CB-CN ";#N/A,#N/A,TRUE,"Point TVA (avec ES)"}</definedName>
    <definedName name="jdgj" localSheetId="6" hidden="1">{#N/A,#N/A,FALSE,"A2C";#N/A,#N/A,FALSE,"A3C";#N/A,#N/A,FALSE,"A4C";#N/A,#N/A,FALSE,"A5C";#N/A,#N/A,FALSE,"A3PRIVAT";#N/A,#N/A,FALSE,"A4LFI";#N/A,#N/A,FALSE,"A5LFI";#N/A,#N/A,FALSE,"C2C"}</definedName>
    <definedName name="jdgj" localSheetId="7" hidden="1">{#N/A,#N/A,FALSE,"A2C";#N/A,#N/A,FALSE,"A3C";#N/A,#N/A,FALSE,"A4C";#N/A,#N/A,FALSE,"A5C";#N/A,#N/A,FALSE,"A3PRIVAT";#N/A,#N/A,FALSE,"A4LFI";#N/A,#N/A,FALSE,"A5LFI";#N/A,#N/A,FALSE,"C2C"}</definedName>
    <definedName name="jdgj" localSheetId="14" hidden="1">{#N/A,#N/A,FALSE,"A2C";#N/A,#N/A,FALSE,"A3C";#N/A,#N/A,FALSE,"A4C";#N/A,#N/A,FALSE,"A5C";#N/A,#N/A,FALSE,"A3PRIVAT";#N/A,#N/A,FALSE,"A4LFI";#N/A,#N/A,FALSE,"A5LFI";#N/A,#N/A,FALSE,"C2C"}</definedName>
    <definedName name="jdgj" localSheetId="12" hidden="1">{#N/A,#N/A,FALSE,"A2C";#N/A,#N/A,FALSE,"A3C";#N/A,#N/A,FALSE,"A4C";#N/A,#N/A,FALSE,"A5C";#N/A,#N/A,FALSE,"A3PRIVAT";#N/A,#N/A,FALSE,"A4LFI";#N/A,#N/A,FALSE,"A5LFI";#N/A,#N/A,FALSE,"C2C"}</definedName>
    <definedName name="jdgj" localSheetId="13" hidden="1">{#N/A,#N/A,FALSE,"A2C";#N/A,#N/A,FALSE,"A3C";#N/A,#N/A,FALSE,"A4C";#N/A,#N/A,FALSE,"A5C";#N/A,#N/A,FALSE,"A3PRIVAT";#N/A,#N/A,FALSE,"A4LFI";#N/A,#N/A,FALSE,"A5LFI";#N/A,#N/A,FALSE,"C2C"}</definedName>
    <definedName name="jdgj" localSheetId="11" hidden="1">{#N/A,#N/A,FALSE,"A2C";#N/A,#N/A,FALSE,"A3C";#N/A,#N/A,FALSE,"A4C";#N/A,#N/A,FALSE,"A5C";#N/A,#N/A,FALSE,"A3PRIVAT";#N/A,#N/A,FALSE,"A4LFI";#N/A,#N/A,FALSE,"A5LFI";#N/A,#N/A,FALSE,"C2C"}</definedName>
    <definedName name="jdgj" localSheetId="15" hidden="1">{#N/A,#N/A,FALSE,"A2C";#N/A,#N/A,FALSE,"A3C";#N/A,#N/A,FALSE,"A4C";#N/A,#N/A,FALSE,"A5C";#N/A,#N/A,FALSE,"A3PRIVAT";#N/A,#N/A,FALSE,"A4LFI";#N/A,#N/A,FALSE,"A5LFI";#N/A,#N/A,FALSE,"C2C"}</definedName>
    <definedName name="jdgj" localSheetId="32" hidden="1">{#N/A,#N/A,FALSE,"A2C";#N/A,#N/A,FALSE,"A3C";#N/A,#N/A,FALSE,"A4C";#N/A,#N/A,FALSE,"A5C";#N/A,#N/A,FALSE,"A3PRIVAT";#N/A,#N/A,FALSE,"A4LFI";#N/A,#N/A,FALSE,"A5LFI";#N/A,#N/A,FALSE,"C2C"}</definedName>
    <definedName name="jdgj" localSheetId="27" hidden="1">{#N/A,#N/A,FALSE,"A2C";#N/A,#N/A,FALSE,"A3C";#N/A,#N/A,FALSE,"A4C";#N/A,#N/A,FALSE,"A5C";#N/A,#N/A,FALSE,"A3PRIVAT";#N/A,#N/A,FALSE,"A4LFI";#N/A,#N/A,FALSE,"A5LFI";#N/A,#N/A,FALSE,"C2C"}</definedName>
    <definedName name="jdgj" localSheetId="34" hidden="1">{#N/A,#N/A,FALSE,"A2C";#N/A,#N/A,FALSE,"A3C";#N/A,#N/A,FALSE,"A4C";#N/A,#N/A,FALSE,"A5C";#N/A,#N/A,FALSE,"A3PRIVAT";#N/A,#N/A,FALSE,"A4LFI";#N/A,#N/A,FALSE,"A5LFI";#N/A,#N/A,FALSE,"C2C"}</definedName>
    <definedName name="jdgj" localSheetId="36" hidden="1">{#N/A,#N/A,FALSE,"A2C";#N/A,#N/A,FALSE,"A3C";#N/A,#N/A,FALSE,"A4C";#N/A,#N/A,FALSE,"A5C";#N/A,#N/A,FALSE,"A3PRIVAT";#N/A,#N/A,FALSE,"A4LFI";#N/A,#N/A,FALSE,"A5LFI";#N/A,#N/A,FALSE,"C2C"}</definedName>
    <definedName name="jdgj" localSheetId="38" hidden="1">{#N/A,#N/A,FALSE,"A2C";#N/A,#N/A,FALSE,"A3C";#N/A,#N/A,FALSE,"A4C";#N/A,#N/A,FALSE,"A5C";#N/A,#N/A,FALSE,"A3PRIVAT";#N/A,#N/A,FALSE,"A4LFI";#N/A,#N/A,FALSE,"A5LFI";#N/A,#N/A,FALSE,"C2C"}</definedName>
    <definedName name="jdgj" localSheetId="19" hidden="1">{#N/A,#N/A,FALSE,"A2C";#N/A,#N/A,FALSE,"A3C";#N/A,#N/A,FALSE,"A4C";#N/A,#N/A,FALSE,"A5C";#N/A,#N/A,FALSE,"A3PRIVAT";#N/A,#N/A,FALSE,"A4LFI";#N/A,#N/A,FALSE,"A5LFI";#N/A,#N/A,FALSE,"C2C"}</definedName>
    <definedName name="jdgj" localSheetId="20" hidden="1">{#N/A,#N/A,FALSE,"A2C";#N/A,#N/A,FALSE,"A3C";#N/A,#N/A,FALSE,"A4C";#N/A,#N/A,FALSE,"A5C";#N/A,#N/A,FALSE,"A3PRIVAT";#N/A,#N/A,FALSE,"A4LFI";#N/A,#N/A,FALSE,"A5LFI";#N/A,#N/A,FALSE,"C2C"}</definedName>
    <definedName name="jdgj" localSheetId="24" hidden="1">{#N/A,#N/A,FALSE,"A2C";#N/A,#N/A,FALSE,"A3C";#N/A,#N/A,FALSE,"A4C";#N/A,#N/A,FALSE,"A5C";#N/A,#N/A,FALSE,"A3PRIVAT";#N/A,#N/A,FALSE,"A4LFI";#N/A,#N/A,FALSE,"A5LFI";#N/A,#N/A,FALSE,"C2C"}</definedName>
    <definedName name="jdgj" localSheetId="25" hidden="1">{#N/A,#N/A,FALSE,"A2C";#N/A,#N/A,FALSE,"A3C";#N/A,#N/A,FALSE,"A4C";#N/A,#N/A,FALSE,"A5C";#N/A,#N/A,FALSE,"A3PRIVAT";#N/A,#N/A,FALSE,"A4LFI";#N/A,#N/A,FALSE,"A5LFI";#N/A,#N/A,FALSE,"C2C"}</definedName>
    <definedName name="jdgj" localSheetId="31" hidden="1">{#N/A,#N/A,FALSE,"A2C";#N/A,#N/A,FALSE,"A3C";#N/A,#N/A,FALSE,"A4C";#N/A,#N/A,FALSE,"A5C";#N/A,#N/A,FALSE,"A3PRIVAT";#N/A,#N/A,FALSE,"A4LFI";#N/A,#N/A,FALSE,"A5LFI";#N/A,#N/A,FALSE,"C2C"}</definedName>
    <definedName name="jdgj" localSheetId="33" hidden="1">{#N/A,#N/A,FALSE,"A2C";#N/A,#N/A,FALSE,"A3C";#N/A,#N/A,FALSE,"A4C";#N/A,#N/A,FALSE,"A5C";#N/A,#N/A,FALSE,"A3PRIVAT";#N/A,#N/A,FALSE,"A4LFI";#N/A,#N/A,FALSE,"A5LFI";#N/A,#N/A,FALSE,"C2C"}</definedName>
    <definedName name="jdgj" localSheetId="28" hidden="1">{#N/A,#N/A,FALSE,"A2C";#N/A,#N/A,FALSE,"A3C";#N/A,#N/A,FALSE,"A4C";#N/A,#N/A,FALSE,"A5C";#N/A,#N/A,FALSE,"A3PRIVAT";#N/A,#N/A,FALSE,"A4LFI";#N/A,#N/A,FALSE,"A5LFI";#N/A,#N/A,FALSE,"C2C"}</definedName>
    <definedName name="jdgj" localSheetId="35" hidden="1">{#N/A,#N/A,FALSE,"A2C";#N/A,#N/A,FALSE,"A3C";#N/A,#N/A,FALSE,"A4C";#N/A,#N/A,FALSE,"A5C";#N/A,#N/A,FALSE,"A3PRIVAT";#N/A,#N/A,FALSE,"A4LFI";#N/A,#N/A,FALSE,"A5LFI";#N/A,#N/A,FALSE,"C2C"}</definedName>
    <definedName name="jdgj" localSheetId="37" hidden="1">{#N/A,#N/A,FALSE,"A2C";#N/A,#N/A,FALSE,"A3C";#N/A,#N/A,FALSE,"A4C";#N/A,#N/A,FALSE,"A5C";#N/A,#N/A,FALSE,"A3PRIVAT";#N/A,#N/A,FALSE,"A4LFI";#N/A,#N/A,FALSE,"A5LFI";#N/A,#N/A,FALSE,"C2C"}</definedName>
    <definedName name="jdgj" localSheetId="39" hidden="1">{#N/A,#N/A,FALSE,"A2C";#N/A,#N/A,FALSE,"A3C";#N/A,#N/A,FALSE,"A4C";#N/A,#N/A,FALSE,"A5C";#N/A,#N/A,FALSE,"A3PRIVAT";#N/A,#N/A,FALSE,"A4LFI";#N/A,#N/A,FALSE,"A5LFI";#N/A,#N/A,FALSE,"C2C"}</definedName>
    <definedName name="jdgj" hidden="1">{#N/A,#N/A,FALSE,"A2C";#N/A,#N/A,FALSE,"A3C";#N/A,#N/A,FALSE,"A4C";#N/A,#N/A,FALSE,"A5C";#N/A,#N/A,FALSE,"A3PRIVAT";#N/A,#N/A,FALSE,"A4LFI";#N/A,#N/A,FALSE,"A5LFI";#N/A,#N/A,FALSE,"C2C"}</definedName>
    <definedName name="mapperDesc" localSheetId="6">#REF!</definedName>
    <definedName name="mapperDesc" localSheetId="7">#REF!</definedName>
    <definedName name="mapperDesc" localSheetId="12">#REF!</definedName>
    <definedName name="mapperDesc" localSheetId="13">#REF!</definedName>
    <definedName name="mapperDesc" localSheetId="11">#REF!</definedName>
    <definedName name="mapperDesc" localSheetId="9">#REF!</definedName>
    <definedName name="mapperDesc" localSheetId="2">#REF!</definedName>
    <definedName name="mapperDesc" localSheetId="28">#REF!</definedName>
    <definedName name="mapperDesc" localSheetId="39">#REF!</definedName>
    <definedName name="mapperDesc" localSheetId="29">#REF!</definedName>
    <definedName name="mapperDesc">#REF!</definedName>
    <definedName name="mm" localSheetId="6" hidden="1">{#N/A,#N/A,TRUE,"Page de garde";#N/A,#N/A,TRUE,"Récap";#N/A,#N/A,TRUE,"2001";#N/A,#N/A,TRUE,"2002";#N/A,#N/A,TRUE,"MN";#N/A,#N/A,TRUE,"CB-CN ";#N/A,#N/A,TRUE,"Point TVA (avec ES)"}</definedName>
    <definedName name="mm" localSheetId="7" hidden="1">{#N/A,#N/A,TRUE,"Page de garde";#N/A,#N/A,TRUE,"Récap";#N/A,#N/A,TRUE,"2001";#N/A,#N/A,TRUE,"2002";#N/A,#N/A,TRUE,"MN";#N/A,#N/A,TRUE,"CB-CN ";#N/A,#N/A,TRUE,"Point TVA (avec ES)"}</definedName>
    <definedName name="mm" localSheetId="14" hidden="1">{#N/A,#N/A,TRUE,"Page de garde";#N/A,#N/A,TRUE,"Récap";#N/A,#N/A,TRUE,"2001";#N/A,#N/A,TRUE,"2002";#N/A,#N/A,TRUE,"MN";#N/A,#N/A,TRUE,"CB-CN ";#N/A,#N/A,TRUE,"Point TVA (avec ES)"}</definedName>
    <definedName name="mm" localSheetId="12" hidden="1">{#N/A,#N/A,TRUE,"Page de garde";#N/A,#N/A,TRUE,"Récap";#N/A,#N/A,TRUE,"2001";#N/A,#N/A,TRUE,"2002";#N/A,#N/A,TRUE,"MN";#N/A,#N/A,TRUE,"CB-CN ";#N/A,#N/A,TRUE,"Point TVA (avec ES)"}</definedName>
    <definedName name="mm" localSheetId="13" hidden="1">{#N/A,#N/A,TRUE,"Page de garde";#N/A,#N/A,TRUE,"Récap";#N/A,#N/A,TRUE,"2001";#N/A,#N/A,TRUE,"2002";#N/A,#N/A,TRUE,"MN";#N/A,#N/A,TRUE,"CB-CN ";#N/A,#N/A,TRUE,"Point TVA (avec ES)"}</definedName>
    <definedName name="mm" localSheetId="11" hidden="1">{#N/A,#N/A,TRUE,"Page de garde";#N/A,#N/A,TRUE,"Récap";#N/A,#N/A,TRUE,"2001";#N/A,#N/A,TRUE,"2002";#N/A,#N/A,TRUE,"MN";#N/A,#N/A,TRUE,"CB-CN ";#N/A,#N/A,TRUE,"Point TVA (avec ES)"}</definedName>
    <definedName name="mm" localSheetId="15" hidden="1">{#N/A,#N/A,TRUE,"Page de garde";#N/A,#N/A,TRUE,"Récap";#N/A,#N/A,TRUE,"2001";#N/A,#N/A,TRUE,"2002";#N/A,#N/A,TRUE,"MN";#N/A,#N/A,TRUE,"CB-CN ";#N/A,#N/A,TRUE,"Point TVA (avec ES)"}</definedName>
    <definedName name="mm" localSheetId="32" hidden="1">{#N/A,#N/A,TRUE,"Page de garde";#N/A,#N/A,TRUE,"Récap";#N/A,#N/A,TRUE,"2001";#N/A,#N/A,TRUE,"2002";#N/A,#N/A,TRUE,"MN";#N/A,#N/A,TRUE,"CB-CN ";#N/A,#N/A,TRUE,"Point TVA (avec ES)"}</definedName>
    <definedName name="mm" localSheetId="27" hidden="1">{#N/A,#N/A,TRUE,"Page de garde";#N/A,#N/A,TRUE,"Récap";#N/A,#N/A,TRUE,"2001";#N/A,#N/A,TRUE,"2002";#N/A,#N/A,TRUE,"MN";#N/A,#N/A,TRUE,"CB-CN ";#N/A,#N/A,TRUE,"Point TVA (avec ES)"}</definedName>
    <definedName name="mm" localSheetId="34" hidden="1">{#N/A,#N/A,TRUE,"Page de garde";#N/A,#N/A,TRUE,"Récap";#N/A,#N/A,TRUE,"2001";#N/A,#N/A,TRUE,"2002";#N/A,#N/A,TRUE,"MN";#N/A,#N/A,TRUE,"CB-CN ";#N/A,#N/A,TRUE,"Point TVA (avec ES)"}</definedName>
    <definedName name="mm" localSheetId="36" hidden="1">{#N/A,#N/A,TRUE,"Page de garde";#N/A,#N/A,TRUE,"Récap";#N/A,#N/A,TRUE,"2001";#N/A,#N/A,TRUE,"2002";#N/A,#N/A,TRUE,"MN";#N/A,#N/A,TRUE,"CB-CN ";#N/A,#N/A,TRUE,"Point TVA (avec ES)"}</definedName>
    <definedName name="mm" localSheetId="38" hidden="1">{#N/A,#N/A,TRUE,"Page de garde";#N/A,#N/A,TRUE,"Récap";#N/A,#N/A,TRUE,"2001";#N/A,#N/A,TRUE,"2002";#N/A,#N/A,TRUE,"MN";#N/A,#N/A,TRUE,"CB-CN ";#N/A,#N/A,TRUE,"Point TVA (avec ES)"}</definedName>
    <definedName name="mm" localSheetId="19" hidden="1">{#N/A,#N/A,TRUE,"Page de garde";#N/A,#N/A,TRUE,"Récap";#N/A,#N/A,TRUE,"2001";#N/A,#N/A,TRUE,"2002";#N/A,#N/A,TRUE,"MN";#N/A,#N/A,TRUE,"CB-CN ";#N/A,#N/A,TRUE,"Point TVA (avec ES)"}</definedName>
    <definedName name="mm" localSheetId="20" hidden="1">{#N/A,#N/A,TRUE,"Page de garde";#N/A,#N/A,TRUE,"Récap";#N/A,#N/A,TRUE,"2001";#N/A,#N/A,TRUE,"2002";#N/A,#N/A,TRUE,"MN";#N/A,#N/A,TRUE,"CB-CN ";#N/A,#N/A,TRUE,"Point TVA (avec ES)"}</definedName>
    <definedName name="mm" localSheetId="24" hidden="1">{#N/A,#N/A,TRUE,"Page de garde";#N/A,#N/A,TRUE,"Récap";#N/A,#N/A,TRUE,"2001";#N/A,#N/A,TRUE,"2002";#N/A,#N/A,TRUE,"MN";#N/A,#N/A,TRUE,"CB-CN ";#N/A,#N/A,TRUE,"Point TVA (avec ES)"}</definedName>
    <definedName name="mm" localSheetId="25" hidden="1">{#N/A,#N/A,TRUE,"Page de garde";#N/A,#N/A,TRUE,"Récap";#N/A,#N/A,TRUE,"2001";#N/A,#N/A,TRUE,"2002";#N/A,#N/A,TRUE,"MN";#N/A,#N/A,TRUE,"CB-CN ";#N/A,#N/A,TRUE,"Point TVA (avec ES)"}</definedName>
    <definedName name="mm" localSheetId="31" hidden="1">{#N/A,#N/A,TRUE,"Page de garde";#N/A,#N/A,TRUE,"Récap";#N/A,#N/A,TRUE,"2001";#N/A,#N/A,TRUE,"2002";#N/A,#N/A,TRUE,"MN";#N/A,#N/A,TRUE,"CB-CN ";#N/A,#N/A,TRUE,"Point TVA (avec ES)"}</definedName>
    <definedName name="mm" localSheetId="33" hidden="1">{#N/A,#N/A,TRUE,"Page de garde";#N/A,#N/A,TRUE,"Récap";#N/A,#N/A,TRUE,"2001";#N/A,#N/A,TRUE,"2002";#N/A,#N/A,TRUE,"MN";#N/A,#N/A,TRUE,"CB-CN ";#N/A,#N/A,TRUE,"Point TVA (avec ES)"}</definedName>
    <definedName name="mm" localSheetId="28" hidden="1">{#N/A,#N/A,TRUE,"Page de garde";#N/A,#N/A,TRUE,"Récap";#N/A,#N/A,TRUE,"2001";#N/A,#N/A,TRUE,"2002";#N/A,#N/A,TRUE,"MN";#N/A,#N/A,TRUE,"CB-CN ";#N/A,#N/A,TRUE,"Point TVA (avec ES)"}</definedName>
    <definedName name="mm" localSheetId="35" hidden="1">{#N/A,#N/A,TRUE,"Page de garde";#N/A,#N/A,TRUE,"Récap";#N/A,#N/A,TRUE,"2001";#N/A,#N/A,TRUE,"2002";#N/A,#N/A,TRUE,"MN";#N/A,#N/A,TRUE,"CB-CN ";#N/A,#N/A,TRUE,"Point TVA (avec ES)"}</definedName>
    <definedName name="mm" localSheetId="37" hidden="1">{#N/A,#N/A,TRUE,"Page de garde";#N/A,#N/A,TRUE,"Récap";#N/A,#N/A,TRUE,"2001";#N/A,#N/A,TRUE,"2002";#N/A,#N/A,TRUE,"MN";#N/A,#N/A,TRUE,"CB-CN ";#N/A,#N/A,TRUE,"Point TVA (avec ES)"}</definedName>
    <definedName name="mm" localSheetId="39" hidden="1">{#N/A,#N/A,TRUE,"Page de garde";#N/A,#N/A,TRUE,"Récap";#N/A,#N/A,TRUE,"2001";#N/A,#N/A,TRUE,"2002";#N/A,#N/A,TRUE,"MN";#N/A,#N/A,TRUE,"CB-CN ";#N/A,#N/A,TRUE,"Point TVA (avec ES)"}</definedName>
    <definedName name="mm" hidden="1">{#N/A,#N/A,TRUE,"Page de garde";#N/A,#N/A,TRUE,"Récap";#N/A,#N/A,TRUE,"2001";#N/A,#N/A,TRUE,"2002";#N/A,#N/A,TRUE,"MN";#N/A,#N/A,TRUE,"CB-CN ";#N/A,#N/A,TRUE,"Point TVA (avec ES)"}</definedName>
    <definedName name="mmmmm" localSheetId="6" hidden="1">{#N/A,#N/A,FALSE,"Synthèse";#N/A,#N/A,FALSE,"Evolution de la TVA";#N/A,#N/A,FALSE,"Ventilation DGI-Douanes";#N/A,#N/A,FALSE,"prévision hors constaté ";#N/A,#N/A,FALSE,"recettes et écart à la prévisio"}</definedName>
    <definedName name="mmmmm" localSheetId="7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4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2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3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1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5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2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7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4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6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8" hidden="1">{#N/A,#N/A,FALSE,"Synthèse";#N/A,#N/A,FALSE,"Evolution de la TVA";#N/A,#N/A,FALSE,"Ventilation DGI-Douanes";#N/A,#N/A,FALSE,"prévision hors constaté ";#N/A,#N/A,FALSE,"recettes et écart à la prévisio"}</definedName>
    <definedName name="mmmmm" localSheetId="19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0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4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5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1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3" hidden="1">{#N/A,#N/A,FALSE,"Synthèse";#N/A,#N/A,FALSE,"Evolution de la TVA";#N/A,#N/A,FALSE,"Ventilation DGI-Douanes";#N/A,#N/A,FALSE,"prévision hors constaté ";#N/A,#N/A,FALSE,"recettes et écart à la prévisio"}</definedName>
    <definedName name="mmmmm" localSheetId="28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5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7" hidden="1">{#N/A,#N/A,FALSE,"Synthèse";#N/A,#N/A,FALSE,"Evolution de la TVA";#N/A,#N/A,FALSE,"Ventilation DGI-Douanes";#N/A,#N/A,FALSE,"prévision hors constaté ";#N/A,#N/A,FALSE,"recettes et écart à la prévisio"}</definedName>
    <definedName name="mmmmm" localSheetId="39" hidden="1">{#N/A,#N/A,FALSE,"Synthèse";#N/A,#N/A,FALSE,"Evolution de la TVA";#N/A,#N/A,FALSE,"Ventilation DGI-Douanes";#N/A,#N/A,FALSE,"prévision hors constaté ";#N/A,#N/A,FALSE,"recettes et écart à la prévisio"}</definedName>
    <definedName name="mmmmm" hidden="1">{#N/A,#N/A,FALSE,"Synthèse";#N/A,#N/A,FALSE,"Evolution de la TVA";#N/A,#N/A,FALSE,"Ventilation DGI-Douanes";#N/A,#N/A,FALSE,"prévision hors constaté ";#N/A,#N/A,FALSE,"recettes et écart à la prévisio"}</definedName>
    <definedName name="outturn1999" localSheetId="6">#REF!</definedName>
    <definedName name="outturn1999" localSheetId="7">#REF!</definedName>
    <definedName name="outturn1999" localSheetId="12">#REF!</definedName>
    <definedName name="outturn1999" localSheetId="13">#REF!</definedName>
    <definedName name="outturn1999" localSheetId="11">#REF!</definedName>
    <definedName name="outturn1999" localSheetId="9">#REF!</definedName>
    <definedName name="outturn1999" localSheetId="2">#REF!</definedName>
    <definedName name="outturn1999" localSheetId="28">#REF!</definedName>
    <definedName name="outturn1999" localSheetId="39">#REF!</definedName>
    <definedName name="outturn1999" localSheetId="29">#REF!</definedName>
    <definedName name="outturn1999">#REF!</definedName>
    <definedName name="Phasing1999" localSheetId="6">#REF!</definedName>
    <definedName name="Phasing1999" localSheetId="7">#REF!</definedName>
    <definedName name="Phasing1999" localSheetId="12">#REF!</definedName>
    <definedName name="Phasing1999" localSheetId="13">#REF!</definedName>
    <definedName name="Phasing1999" localSheetId="11">#REF!</definedName>
    <definedName name="Phasing1999" localSheetId="9">#REF!</definedName>
    <definedName name="Phasing1999" localSheetId="2">#REF!</definedName>
    <definedName name="Phasing1999" localSheetId="28">#REF!</definedName>
    <definedName name="Phasing1999" localSheetId="39">#REF!</definedName>
    <definedName name="Phasing1999" localSheetId="29">#REF!</definedName>
    <definedName name="Phasing1999">#REF!</definedName>
    <definedName name="_xlnm.Print_Area" localSheetId="14">'ANSP ERT'!$A$1:$N$77</definedName>
    <definedName name="_xlnm.Print_Area" localSheetId="15">'ANSP TRM'!$A$1:$N$77</definedName>
    <definedName name="_xlnm.Print_Area" localSheetId="32">'ERT ANSP'!$A$1:$F$106</definedName>
    <definedName name="_xlnm.Print_Area" localSheetId="27">'ERT DC'!$A$1:$M$76</definedName>
    <definedName name="_xlnm.Print_Area" localSheetId="34">'ERT MET'!$A$1:$F$106</definedName>
    <definedName name="_xlnm.Print_Area" localSheetId="36">'ERT Supervision'!$A$1:$F$106</definedName>
    <definedName name="_xlnm.Print_Area" localSheetId="38">'ERT UR'!$A$1:$F$106</definedName>
    <definedName name="_xlnm.Print_Area" localSheetId="19">'MET ERT'!$A$1:$N$77</definedName>
    <definedName name="_xlnm.Print_Area" localSheetId="20">'MET TRM'!$A$1:$N$77</definedName>
    <definedName name="_xlnm.Print_Area" localSheetId="24">'Supervision ERT'!$A$1:$N$77</definedName>
    <definedName name="_xlnm.Print_Area" localSheetId="25">'Supervision TRM'!$A$1:$N$77</definedName>
    <definedName name="_xlnm.Print_Area" localSheetId="31">'T3'!$C$1:$J$182</definedName>
    <definedName name="_xlnm.Print_Area" localSheetId="33">'TRM ANSP'!$A$1:$F$106</definedName>
    <definedName name="_xlnm.Print_Area" localSheetId="28">'TRM DC'!$A$1:$M$76</definedName>
    <definedName name="_xlnm.Print_Area" localSheetId="35">'TRM MET'!$A$1:$F$106</definedName>
    <definedName name="_xlnm.Print_Area" localSheetId="37">'TRM Supervision'!$A$1:$F$106</definedName>
    <definedName name="_xlnm.Print_Area" localSheetId="39">'TRM UR'!$A$1:$F$106</definedName>
    <definedName name="qry1999Cats" localSheetId="6">#REF!</definedName>
    <definedName name="qry1999Cats" localSheetId="7">#REF!</definedName>
    <definedName name="qry1999Cats" localSheetId="12">#REF!</definedName>
    <definedName name="qry1999Cats" localSheetId="13">#REF!</definedName>
    <definedName name="qry1999Cats" localSheetId="11">#REF!</definedName>
    <definedName name="qry1999Cats" localSheetId="9">#REF!</definedName>
    <definedName name="qry1999Cats" localSheetId="2">#REF!</definedName>
    <definedName name="qry1999Cats" localSheetId="28">#REF!</definedName>
    <definedName name="qry1999Cats" localSheetId="39">#REF!</definedName>
    <definedName name="qry1999Cats" localSheetId="29">#REF!</definedName>
    <definedName name="qry1999Cats">#REF!</definedName>
    <definedName name="qry1999Rephasing" localSheetId="6">#REF!</definedName>
    <definedName name="qry1999Rephasing" localSheetId="7">#REF!</definedName>
    <definedName name="qry1999Rephasing" localSheetId="12">#REF!</definedName>
    <definedName name="qry1999Rephasing" localSheetId="13">#REF!</definedName>
    <definedName name="qry1999Rephasing" localSheetId="11">#REF!</definedName>
    <definedName name="qry1999Rephasing" localSheetId="9">#REF!</definedName>
    <definedName name="qry1999Rephasing" localSheetId="2">#REF!</definedName>
    <definedName name="qry1999Rephasing" localSheetId="28">#REF!</definedName>
    <definedName name="qry1999Rephasing" localSheetId="39">#REF!</definedName>
    <definedName name="qry1999Rephasing" localSheetId="29">#REF!</definedName>
    <definedName name="qry1999Rephasing">#REF!</definedName>
    <definedName name="qry2000Categories" localSheetId="6">#REF!</definedName>
    <definedName name="qry2000Categories" localSheetId="7">#REF!</definedName>
    <definedName name="qry2000Categories" localSheetId="12">#REF!</definedName>
    <definedName name="qry2000Categories" localSheetId="13">#REF!</definedName>
    <definedName name="qry2000Categories" localSheetId="11">#REF!</definedName>
    <definedName name="qry2000Categories" localSheetId="9">#REF!</definedName>
    <definedName name="qry2000Categories" localSheetId="2">#REF!</definedName>
    <definedName name="qry2000Categories" localSheetId="28">#REF!</definedName>
    <definedName name="qry2000Categories" localSheetId="39">#REF!</definedName>
    <definedName name="qry2000Categories" localSheetId="29">#REF!</definedName>
    <definedName name="qry2000Categories">#REF!</definedName>
    <definedName name="qry2000Cats" localSheetId="6">#REF!</definedName>
    <definedName name="qry2000Cats" localSheetId="7">#REF!</definedName>
    <definedName name="qry2000Cats" localSheetId="12">#REF!</definedName>
    <definedName name="qry2000Cats" localSheetId="13">#REF!</definedName>
    <definedName name="qry2000Cats" localSheetId="11">#REF!</definedName>
    <definedName name="qry2000Cats" localSheetId="9">#REF!</definedName>
    <definedName name="qry2000Cats" localSheetId="2">#REF!</definedName>
    <definedName name="qry2000Cats" localSheetId="28">#REF!</definedName>
    <definedName name="qry2000Cats" localSheetId="39">#REF!</definedName>
    <definedName name="qry2000Cats" localSheetId="29">#REF!</definedName>
    <definedName name="qry2000Cats">#REF!</definedName>
    <definedName name="qry2000type" localSheetId="6">#REF!</definedName>
    <definedName name="qry2000type" localSheetId="7">#REF!</definedName>
    <definedName name="qry2000type" localSheetId="12">#REF!</definedName>
    <definedName name="qry2000type" localSheetId="13">#REF!</definedName>
    <definedName name="qry2000type" localSheetId="11">#REF!</definedName>
    <definedName name="qry2000type" localSheetId="9">#REF!</definedName>
    <definedName name="qry2000type" localSheetId="2">#REF!</definedName>
    <definedName name="qry2000type" localSheetId="28">#REF!</definedName>
    <definedName name="qry2000type" localSheetId="39">#REF!</definedName>
    <definedName name="qry2000type" localSheetId="29">#REF!</definedName>
    <definedName name="qry2000type">#REF!</definedName>
    <definedName name="qry2001Categories" localSheetId="6">#REF!</definedName>
    <definedName name="qry2001Categories" localSheetId="7">#REF!</definedName>
    <definedName name="qry2001Categories" localSheetId="12">#REF!</definedName>
    <definedName name="qry2001Categories" localSheetId="13">#REF!</definedName>
    <definedName name="qry2001Categories" localSheetId="11">#REF!</definedName>
    <definedName name="qry2001Categories" localSheetId="9">#REF!</definedName>
    <definedName name="qry2001Categories" localSheetId="2">#REF!</definedName>
    <definedName name="qry2001Categories" localSheetId="28">#REF!</definedName>
    <definedName name="qry2001Categories" localSheetId="39">#REF!</definedName>
    <definedName name="qry2001Categories" localSheetId="29">#REF!</definedName>
    <definedName name="qry2001Categories">#REF!</definedName>
    <definedName name="qry2001type" localSheetId="6">#REF!</definedName>
    <definedName name="qry2001type" localSheetId="7">#REF!</definedName>
    <definedName name="qry2001type" localSheetId="12">#REF!</definedName>
    <definedName name="qry2001type" localSheetId="13">#REF!</definedName>
    <definedName name="qry2001type" localSheetId="11">#REF!</definedName>
    <definedName name="qry2001type" localSheetId="9">#REF!</definedName>
    <definedName name="qry2001type" localSheetId="2">#REF!</definedName>
    <definedName name="qry2001type" localSheetId="28">#REF!</definedName>
    <definedName name="qry2001type" localSheetId="39">#REF!</definedName>
    <definedName name="qry2001type" localSheetId="29">#REF!</definedName>
    <definedName name="qry2001type">#REF!</definedName>
    <definedName name="qry99OutturnCategories">'[5]Eurocontrol detail'!$A$1:$B$7</definedName>
    <definedName name="qryCATtotals" localSheetId="6">#REF!</definedName>
    <definedName name="qryCATtotals" localSheetId="7">#REF!</definedName>
    <definedName name="qryCATtotals" localSheetId="12">#REF!</definedName>
    <definedName name="qryCATtotals" localSheetId="13">#REF!</definedName>
    <definedName name="qryCATtotals" localSheetId="11">#REF!</definedName>
    <definedName name="qryCATtotals" localSheetId="9">#REF!</definedName>
    <definedName name="qryCATtotals" localSheetId="2">#REF!</definedName>
    <definedName name="qryCATtotals" localSheetId="28">#REF!</definedName>
    <definedName name="qryCATtotals" localSheetId="39">#REF!</definedName>
    <definedName name="qryCATtotals" localSheetId="29">#REF!</definedName>
    <definedName name="qryCATtotals">#REF!</definedName>
    <definedName name="qs" localSheetId="6" hidden="1">{#N/A,#N/A,TRUE,"Page de garde";#N/A,#N/A,TRUE,"Récap";#N/A,#N/A,TRUE,"2001";#N/A,#N/A,TRUE,"2002";#N/A,#N/A,TRUE,"MN";#N/A,#N/A,TRUE,"CB-CN ";#N/A,#N/A,TRUE,"Point TVA (avec ES)"}</definedName>
    <definedName name="qs" localSheetId="7" hidden="1">{#N/A,#N/A,TRUE,"Page de garde";#N/A,#N/A,TRUE,"Récap";#N/A,#N/A,TRUE,"2001";#N/A,#N/A,TRUE,"2002";#N/A,#N/A,TRUE,"MN";#N/A,#N/A,TRUE,"CB-CN ";#N/A,#N/A,TRUE,"Point TVA (avec ES)"}</definedName>
    <definedName name="qs" localSheetId="14" hidden="1">{#N/A,#N/A,TRUE,"Page de garde";#N/A,#N/A,TRUE,"Récap";#N/A,#N/A,TRUE,"2001";#N/A,#N/A,TRUE,"2002";#N/A,#N/A,TRUE,"MN";#N/A,#N/A,TRUE,"CB-CN ";#N/A,#N/A,TRUE,"Point TVA (avec ES)"}</definedName>
    <definedName name="qs" localSheetId="12" hidden="1">{#N/A,#N/A,TRUE,"Page de garde";#N/A,#N/A,TRUE,"Récap";#N/A,#N/A,TRUE,"2001";#N/A,#N/A,TRUE,"2002";#N/A,#N/A,TRUE,"MN";#N/A,#N/A,TRUE,"CB-CN ";#N/A,#N/A,TRUE,"Point TVA (avec ES)"}</definedName>
    <definedName name="qs" localSheetId="13" hidden="1">{#N/A,#N/A,TRUE,"Page de garde";#N/A,#N/A,TRUE,"Récap";#N/A,#N/A,TRUE,"2001";#N/A,#N/A,TRUE,"2002";#N/A,#N/A,TRUE,"MN";#N/A,#N/A,TRUE,"CB-CN ";#N/A,#N/A,TRUE,"Point TVA (avec ES)"}</definedName>
    <definedName name="qs" localSheetId="11" hidden="1">{#N/A,#N/A,TRUE,"Page de garde";#N/A,#N/A,TRUE,"Récap";#N/A,#N/A,TRUE,"2001";#N/A,#N/A,TRUE,"2002";#N/A,#N/A,TRUE,"MN";#N/A,#N/A,TRUE,"CB-CN ";#N/A,#N/A,TRUE,"Point TVA (avec ES)"}</definedName>
    <definedName name="qs" localSheetId="15" hidden="1">{#N/A,#N/A,TRUE,"Page de garde";#N/A,#N/A,TRUE,"Récap";#N/A,#N/A,TRUE,"2001";#N/A,#N/A,TRUE,"2002";#N/A,#N/A,TRUE,"MN";#N/A,#N/A,TRUE,"CB-CN ";#N/A,#N/A,TRUE,"Point TVA (avec ES)"}</definedName>
    <definedName name="qs" localSheetId="32" hidden="1">{#N/A,#N/A,TRUE,"Page de garde";#N/A,#N/A,TRUE,"Récap";#N/A,#N/A,TRUE,"2001";#N/A,#N/A,TRUE,"2002";#N/A,#N/A,TRUE,"MN";#N/A,#N/A,TRUE,"CB-CN ";#N/A,#N/A,TRUE,"Point TVA (avec ES)"}</definedName>
    <definedName name="qs" localSheetId="27" hidden="1">{#N/A,#N/A,TRUE,"Page de garde";#N/A,#N/A,TRUE,"Récap";#N/A,#N/A,TRUE,"2001";#N/A,#N/A,TRUE,"2002";#N/A,#N/A,TRUE,"MN";#N/A,#N/A,TRUE,"CB-CN ";#N/A,#N/A,TRUE,"Point TVA (avec ES)"}</definedName>
    <definedName name="qs" localSheetId="34" hidden="1">{#N/A,#N/A,TRUE,"Page de garde";#N/A,#N/A,TRUE,"Récap";#N/A,#N/A,TRUE,"2001";#N/A,#N/A,TRUE,"2002";#N/A,#N/A,TRUE,"MN";#N/A,#N/A,TRUE,"CB-CN ";#N/A,#N/A,TRUE,"Point TVA (avec ES)"}</definedName>
    <definedName name="qs" localSheetId="36" hidden="1">{#N/A,#N/A,TRUE,"Page de garde";#N/A,#N/A,TRUE,"Récap";#N/A,#N/A,TRUE,"2001";#N/A,#N/A,TRUE,"2002";#N/A,#N/A,TRUE,"MN";#N/A,#N/A,TRUE,"CB-CN ";#N/A,#N/A,TRUE,"Point TVA (avec ES)"}</definedName>
    <definedName name="qs" localSheetId="38" hidden="1">{#N/A,#N/A,TRUE,"Page de garde";#N/A,#N/A,TRUE,"Récap";#N/A,#N/A,TRUE,"2001";#N/A,#N/A,TRUE,"2002";#N/A,#N/A,TRUE,"MN";#N/A,#N/A,TRUE,"CB-CN ";#N/A,#N/A,TRUE,"Point TVA (avec ES)"}</definedName>
    <definedName name="qs" localSheetId="19" hidden="1">{#N/A,#N/A,TRUE,"Page de garde";#N/A,#N/A,TRUE,"Récap";#N/A,#N/A,TRUE,"2001";#N/A,#N/A,TRUE,"2002";#N/A,#N/A,TRUE,"MN";#N/A,#N/A,TRUE,"CB-CN ";#N/A,#N/A,TRUE,"Point TVA (avec ES)"}</definedName>
    <definedName name="qs" localSheetId="20" hidden="1">{#N/A,#N/A,TRUE,"Page de garde";#N/A,#N/A,TRUE,"Récap";#N/A,#N/A,TRUE,"2001";#N/A,#N/A,TRUE,"2002";#N/A,#N/A,TRUE,"MN";#N/A,#N/A,TRUE,"CB-CN ";#N/A,#N/A,TRUE,"Point TVA (avec ES)"}</definedName>
    <definedName name="qs" localSheetId="24" hidden="1">{#N/A,#N/A,TRUE,"Page de garde";#N/A,#N/A,TRUE,"Récap";#N/A,#N/A,TRUE,"2001";#N/A,#N/A,TRUE,"2002";#N/A,#N/A,TRUE,"MN";#N/A,#N/A,TRUE,"CB-CN ";#N/A,#N/A,TRUE,"Point TVA (avec ES)"}</definedName>
    <definedName name="qs" localSheetId="25" hidden="1">{#N/A,#N/A,TRUE,"Page de garde";#N/A,#N/A,TRUE,"Récap";#N/A,#N/A,TRUE,"2001";#N/A,#N/A,TRUE,"2002";#N/A,#N/A,TRUE,"MN";#N/A,#N/A,TRUE,"CB-CN ";#N/A,#N/A,TRUE,"Point TVA (avec ES)"}</definedName>
    <definedName name="qs" localSheetId="31" hidden="1">{#N/A,#N/A,TRUE,"Page de garde";#N/A,#N/A,TRUE,"Récap";#N/A,#N/A,TRUE,"2001";#N/A,#N/A,TRUE,"2002";#N/A,#N/A,TRUE,"MN";#N/A,#N/A,TRUE,"CB-CN ";#N/A,#N/A,TRUE,"Point TVA (avec ES)"}</definedName>
    <definedName name="qs" localSheetId="33" hidden="1">{#N/A,#N/A,TRUE,"Page de garde";#N/A,#N/A,TRUE,"Récap";#N/A,#N/A,TRUE,"2001";#N/A,#N/A,TRUE,"2002";#N/A,#N/A,TRUE,"MN";#N/A,#N/A,TRUE,"CB-CN ";#N/A,#N/A,TRUE,"Point TVA (avec ES)"}</definedName>
    <definedName name="qs" localSheetId="28" hidden="1">{#N/A,#N/A,TRUE,"Page de garde";#N/A,#N/A,TRUE,"Récap";#N/A,#N/A,TRUE,"2001";#N/A,#N/A,TRUE,"2002";#N/A,#N/A,TRUE,"MN";#N/A,#N/A,TRUE,"CB-CN ";#N/A,#N/A,TRUE,"Point TVA (avec ES)"}</definedName>
    <definedName name="qs" localSheetId="35" hidden="1">{#N/A,#N/A,TRUE,"Page de garde";#N/A,#N/A,TRUE,"Récap";#N/A,#N/A,TRUE,"2001";#N/A,#N/A,TRUE,"2002";#N/A,#N/A,TRUE,"MN";#N/A,#N/A,TRUE,"CB-CN ";#N/A,#N/A,TRUE,"Point TVA (avec ES)"}</definedName>
    <definedName name="qs" localSheetId="37" hidden="1">{#N/A,#N/A,TRUE,"Page de garde";#N/A,#N/A,TRUE,"Récap";#N/A,#N/A,TRUE,"2001";#N/A,#N/A,TRUE,"2002";#N/A,#N/A,TRUE,"MN";#N/A,#N/A,TRUE,"CB-CN ";#N/A,#N/A,TRUE,"Point TVA (avec ES)"}</definedName>
    <definedName name="qs" localSheetId="39" hidden="1">{#N/A,#N/A,TRUE,"Page de garde";#N/A,#N/A,TRUE,"Récap";#N/A,#N/A,TRUE,"2001";#N/A,#N/A,TRUE,"2002";#N/A,#N/A,TRUE,"MN";#N/A,#N/A,TRUE,"CB-CN ";#N/A,#N/A,TRUE,"Point TVA (avec ES)"}</definedName>
    <definedName name="qs" hidden="1">{#N/A,#N/A,TRUE,"Page de garde";#N/A,#N/A,TRUE,"Récap";#N/A,#N/A,TRUE,"2001";#N/A,#N/A,TRUE,"2002";#N/A,#N/A,TRUE,"MN";#N/A,#N/A,TRUE,"CB-CN ";#N/A,#N/A,TRUE,"Point TVA (avec ES)"}</definedName>
    <definedName name="_xlnm.Recorder" localSheetId="6">#REF!</definedName>
    <definedName name="_xlnm.Recorder" localSheetId="7">#REF!</definedName>
    <definedName name="_xlnm.Recorder" localSheetId="12">#REF!</definedName>
    <definedName name="_xlnm.Recorder" localSheetId="13">#REF!</definedName>
    <definedName name="_xlnm.Recorder" localSheetId="11">#REF!</definedName>
    <definedName name="_xlnm.Recorder" localSheetId="9">#REF!</definedName>
    <definedName name="_xlnm.Recorder" localSheetId="2">#REF!</definedName>
    <definedName name="_xlnm.Recorder" localSheetId="28">#REF!</definedName>
    <definedName name="_xlnm.Recorder" localSheetId="39">#REF!</definedName>
    <definedName name="_xlnm.Recorder" localSheetId="29">#REF!</definedName>
    <definedName name="_xlnm.Recorder">#REF!</definedName>
    <definedName name="SAPBEXdnldView" hidden="1">"D3P6O4JMXIHFGVEM2GX1TIU40"</definedName>
    <definedName name="SAPBEXsysID" hidden="1">"BWP"</definedName>
    <definedName name="sdqv" localSheetId="6" hidden="1">{#N/A,#N/A,TRUE,"Page de garde";#N/A,#N/A,TRUE,"Récap";#N/A,#N/A,TRUE,"2001";#N/A,#N/A,TRUE,"2002";#N/A,#N/A,TRUE,"MN";#N/A,#N/A,TRUE,"CB-CN ";#N/A,#N/A,TRUE,"Point TVA (avec ES)"}</definedName>
    <definedName name="sdqv" localSheetId="7" hidden="1">{#N/A,#N/A,TRUE,"Page de garde";#N/A,#N/A,TRUE,"Récap";#N/A,#N/A,TRUE,"2001";#N/A,#N/A,TRUE,"2002";#N/A,#N/A,TRUE,"MN";#N/A,#N/A,TRUE,"CB-CN ";#N/A,#N/A,TRUE,"Point TVA (avec ES)"}</definedName>
    <definedName name="sdqv" localSheetId="14" hidden="1">{#N/A,#N/A,TRUE,"Page de garde";#N/A,#N/A,TRUE,"Récap";#N/A,#N/A,TRUE,"2001";#N/A,#N/A,TRUE,"2002";#N/A,#N/A,TRUE,"MN";#N/A,#N/A,TRUE,"CB-CN ";#N/A,#N/A,TRUE,"Point TVA (avec ES)"}</definedName>
    <definedName name="sdqv" localSheetId="12" hidden="1">{#N/A,#N/A,TRUE,"Page de garde";#N/A,#N/A,TRUE,"Récap";#N/A,#N/A,TRUE,"2001";#N/A,#N/A,TRUE,"2002";#N/A,#N/A,TRUE,"MN";#N/A,#N/A,TRUE,"CB-CN ";#N/A,#N/A,TRUE,"Point TVA (avec ES)"}</definedName>
    <definedName name="sdqv" localSheetId="13" hidden="1">{#N/A,#N/A,TRUE,"Page de garde";#N/A,#N/A,TRUE,"Récap";#N/A,#N/A,TRUE,"2001";#N/A,#N/A,TRUE,"2002";#N/A,#N/A,TRUE,"MN";#N/A,#N/A,TRUE,"CB-CN ";#N/A,#N/A,TRUE,"Point TVA (avec ES)"}</definedName>
    <definedName name="sdqv" localSheetId="11" hidden="1">{#N/A,#N/A,TRUE,"Page de garde";#N/A,#N/A,TRUE,"Récap";#N/A,#N/A,TRUE,"2001";#N/A,#N/A,TRUE,"2002";#N/A,#N/A,TRUE,"MN";#N/A,#N/A,TRUE,"CB-CN ";#N/A,#N/A,TRUE,"Point TVA (avec ES)"}</definedName>
    <definedName name="sdqv" localSheetId="15" hidden="1">{#N/A,#N/A,TRUE,"Page de garde";#N/A,#N/A,TRUE,"Récap";#N/A,#N/A,TRUE,"2001";#N/A,#N/A,TRUE,"2002";#N/A,#N/A,TRUE,"MN";#N/A,#N/A,TRUE,"CB-CN ";#N/A,#N/A,TRUE,"Point TVA (avec ES)"}</definedName>
    <definedName name="sdqv" localSheetId="32" hidden="1">{#N/A,#N/A,TRUE,"Page de garde";#N/A,#N/A,TRUE,"Récap";#N/A,#N/A,TRUE,"2001";#N/A,#N/A,TRUE,"2002";#N/A,#N/A,TRUE,"MN";#N/A,#N/A,TRUE,"CB-CN ";#N/A,#N/A,TRUE,"Point TVA (avec ES)"}</definedName>
    <definedName name="sdqv" localSheetId="27" hidden="1">{#N/A,#N/A,TRUE,"Page de garde";#N/A,#N/A,TRUE,"Récap";#N/A,#N/A,TRUE,"2001";#N/A,#N/A,TRUE,"2002";#N/A,#N/A,TRUE,"MN";#N/A,#N/A,TRUE,"CB-CN ";#N/A,#N/A,TRUE,"Point TVA (avec ES)"}</definedName>
    <definedName name="sdqv" localSheetId="34" hidden="1">{#N/A,#N/A,TRUE,"Page de garde";#N/A,#N/A,TRUE,"Récap";#N/A,#N/A,TRUE,"2001";#N/A,#N/A,TRUE,"2002";#N/A,#N/A,TRUE,"MN";#N/A,#N/A,TRUE,"CB-CN ";#N/A,#N/A,TRUE,"Point TVA (avec ES)"}</definedName>
    <definedName name="sdqv" localSheetId="36" hidden="1">{#N/A,#N/A,TRUE,"Page de garde";#N/A,#N/A,TRUE,"Récap";#N/A,#N/A,TRUE,"2001";#N/A,#N/A,TRUE,"2002";#N/A,#N/A,TRUE,"MN";#N/A,#N/A,TRUE,"CB-CN ";#N/A,#N/A,TRUE,"Point TVA (avec ES)"}</definedName>
    <definedName name="sdqv" localSheetId="38" hidden="1">{#N/A,#N/A,TRUE,"Page de garde";#N/A,#N/A,TRUE,"Récap";#N/A,#N/A,TRUE,"2001";#N/A,#N/A,TRUE,"2002";#N/A,#N/A,TRUE,"MN";#N/A,#N/A,TRUE,"CB-CN ";#N/A,#N/A,TRUE,"Point TVA (avec ES)"}</definedName>
    <definedName name="sdqv" localSheetId="19" hidden="1">{#N/A,#N/A,TRUE,"Page de garde";#N/A,#N/A,TRUE,"Récap";#N/A,#N/A,TRUE,"2001";#N/A,#N/A,TRUE,"2002";#N/A,#N/A,TRUE,"MN";#N/A,#N/A,TRUE,"CB-CN ";#N/A,#N/A,TRUE,"Point TVA (avec ES)"}</definedName>
    <definedName name="sdqv" localSheetId="20" hidden="1">{#N/A,#N/A,TRUE,"Page de garde";#N/A,#N/A,TRUE,"Récap";#N/A,#N/A,TRUE,"2001";#N/A,#N/A,TRUE,"2002";#N/A,#N/A,TRUE,"MN";#N/A,#N/A,TRUE,"CB-CN ";#N/A,#N/A,TRUE,"Point TVA (avec ES)"}</definedName>
    <definedName name="sdqv" localSheetId="24" hidden="1">{#N/A,#N/A,TRUE,"Page de garde";#N/A,#N/A,TRUE,"Récap";#N/A,#N/A,TRUE,"2001";#N/A,#N/A,TRUE,"2002";#N/A,#N/A,TRUE,"MN";#N/A,#N/A,TRUE,"CB-CN ";#N/A,#N/A,TRUE,"Point TVA (avec ES)"}</definedName>
    <definedName name="sdqv" localSheetId="25" hidden="1">{#N/A,#N/A,TRUE,"Page de garde";#N/A,#N/A,TRUE,"Récap";#N/A,#N/A,TRUE,"2001";#N/A,#N/A,TRUE,"2002";#N/A,#N/A,TRUE,"MN";#N/A,#N/A,TRUE,"CB-CN ";#N/A,#N/A,TRUE,"Point TVA (avec ES)"}</definedName>
    <definedName name="sdqv" localSheetId="31" hidden="1">{#N/A,#N/A,TRUE,"Page de garde";#N/A,#N/A,TRUE,"Récap";#N/A,#N/A,TRUE,"2001";#N/A,#N/A,TRUE,"2002";#N/A,#N/A,TRUE,"MN";#N/A,#N/A,TRUE,"CB-CN ";#N/A,#N/A,TRUE,"Point TVA (avec ES)"}</definedName>
    <definedName name="sdqv" localSheetId="33" hidden="1">{#N/A,#N/A,TRUE,"Page de garde";#N/A,#N/A,TRUE,"Récap";#N/A,#N/A,TRUE,"2001";#N/A,#N/A,TRUE,"2002";#N/A,#N/A,TRUE,"MN";#N/A,#N/A,TRUE,"CB-CN ";#N/A,#N/A,TRUE,"Point TVA (avec ES)"}</definedName>
    <definedName name="sdqv" localSheetId="28" hidden="1">{#N/A,#N/A,TRUE,"Page de garde";#N/A,#N/A,TRUE,"Récap";#N/A,#N/A,TRUE,"2001";#N/A,#N/A,TRUE,"2002";#N/A,#N/A,TRUE,"MN";#N/A,#N/A,TRUE,"CB-CN ";#N/A,#N/A,TRUE,"Point TVA (avec ES)"}</definedName>
    <definedName name="sdqv" localSheetId="35" hidden="1">{#N/A,#N/A,TRUE,"Page de garde";#N/A,#N/A,TRUE,"Récap";#N/A,#N/A,TRUE,"2001";#N/A,#N/A,TRUE,"2002";#N/A,#N/A,TRUE,"MN";#N/A,#N/A,TRUE,"CB-CN ";#N/A,#N/A,TRUE,"Point TVA (avec ES)"}</definedName>
    <definedName name="sdqv" localSheetId="37" hidden="1">{#N/A,#N/A,TRUE,"Page de garde";#N/A,#N/A,TRUE,"Récap";#N/A,#N/A,TRUE,"2001";#N/A,#N/A,TRUE,"2002";#N/A,#N/A,TRUE,"MN";#N/A,#N/A,TRUE,"CB-CN ";#N/A,#N/A,TRUE,"Point TVA (avec ES)"}</definedName>
    <definedName name="sdqv" localSheetId="39" hidden="1">{#N/A,#N/A,TRUE,"Page de garde";#N/A,#N/A,TRUE,"Récap";#N/A,#N/A,TRUE,"2001";#N/A,#N/A,TRUE,"2002";#N/A,#N/A,TRUE,"MN";#N/A,#N/A,TRUE,"CB-CN ";#N/A,#N/A,TRUE,"Point TVA (avec ES)"}</definedName>
    <definedName name="sdqv" hidden="1">{#N/A,#N/A,TRUE,"Page de garde";#N/A,#N/A,TRUE,"Récap";#N/A,#N/A,TRUE,"2001";#N/A,#N/A,TRUE,"2002";#N/A,#N/A,TRUE,"MN";#N/A,#N/A,TRUE,"CB-CN ";#N/A,#N/A,TRUE,"Point TVA (avec ES)"}</definedName>
    <definedName name="section" localSheetId="6">#REF!</definedName>
    <definedName name="section" localSheetId="7">#REF!</definedName>
    <definedName name="section" localSheetId="12">#REF!</definedName>
    <definedName name="section" localSheetId="13">#REF!</definedName>
    <definedName name="section" localSheetId="11">#REF!</definedName>
    <definedName name="section" localSheetId="9">#REF!</definedName>
    <definedName name="section" localSheetId="2">#REF!</definedName>
    <definedName name="section" localSheetId="28">#REF!</definedName>
    <definedName name="section" localSheetId="39">#REF!</definedName>
    <definedName name="section" localSheetId="29">#REF!</definedName>
    <definedName name="section">#REF!</definedName>
    <definedName name="Solde" localSheetId="6" hidden="1">{#N/A,#N/A,TRUE,"Page de garde";#N/A,#N/A,TRUE,"Récap";#N/A,#N/A,TRUE,"2001";#N/A,#N/A,TRUE,"2002";#N/A,#N/A,TRUE,"MN";#N/A,#N/A,TRUE,"CB-CN ";#N/A,#N/A,TRUE,"Point TVA (avec ES)"}</definedName>
    <definedName name="Solde" localSheetId="7" hidden="1">{#N/A,#N/A,TRUE,"Page de garde";#N/A,#N/A,TRUE,"Récap";#N/A,#N/A,TRUE,"2001";#N/A,#N/A,TRUE,"2002";#N/A,#N/A,TRUE,"MN";#N/A,#N/A,TRUE,"CB-CN ";#N/A,#N/A,TRUE,"Point TVA (avec ES)"}</definedName>
    <definedName name="Solde" localSheetId="14" hidden="1">{#N/A,#N/A,TRUE,"Page de garde";#N/A,#N/A,TRUE,"Récap";#N/A,#N/A,TRUE,"2001";#N/A,#N/A,TRUE,"2002";#N/A,#N/A,TRUE,"MN";#N/A,#N/A,TRUE,"CB-CN ";#N/A,#N/A,TRUE,"Point TVA (avec ES)"}</definedName>
    <definedName name="Solde" localSheetId="12" hidden="1">{#N/A,#N/A,TRUE,"Page de garde";#N/A,#N/A,TRUE,"Récap";#N/A,#N/A,TRUE,"2001";#N/A,#N/A,TRUE,"2002";#N/A,#N/A,TRUE,"MN";#N/A,#N/A,TRUE,"CB-CN ";#N/A,#N/A,TRUE,"Point TVA (avec ES)"}</definedName>
    <definedName name="Solde" localSheetId="13" hidden="1">{#N/A,#N/A,TRUE,"Page de garde";#N/A,#N/A,TRUE,"Récap";#N/A,#N/A,TRUE,"2001";#N/A,#N/A,TRUE,"2002";#N/A,#N/A,TRUE,"MN";#N/A,#N/A,TRUE,"CB-CN ";#N/A,#N/A,TRUE,"Point TVA (avec ES)"}</definedName>
    <definedName name="Solde" localSheetId="11" hidden="1">{#N/A,#N/A,TRUE,"Page de garde";#N/A,#N/A,TRUE,"Récap";#N/A,#N/A,TRUE,"2001";#N/A,#N/A,TRUE,"2002";#N/A,#N/A,TRUE,"MN";#N/A,#N/A,TRUE,"CB-CN ";#N/A,#N/A,TRUE,"Point TVA (avec ES)"}</definedName>
    <definedName name="Solde" localSheetId="15" hidden="1">{#N/A,#N/A,TRUE,"Page de garde";#N/A,#N/A,TRUE,"Récap";#N/A,#N/A,TRUE,"2001";#N/A,#N/A,TRUE,"2002";#N/A,#N/A,TRUE,"MN";#N/A,#N/A,TRUE,"CB-CN ";#N/A,#N/A,TRUE,"Point TVA (avec ES)"}</definedName>
    <definedName name="Solde" localSheetId="32" hidden="1">{#N/A,#N/A,TRUE,"Page de garde";#N/A,#N/A,TRUE,"Récap";#N/A,#N/A,TRUE,"2001";#N/A,#N/A,TRUE,"2002";#N/A,#N/A,TRUE,"MN";#N/A,#N/A,TRUE,"CB-CN ";#N/A,#N/A,TRUE,"Point TVA (avec ES)"}</definedName>
    <definedName name="Solde" localSheetId="27" hidden="1">{#N/A,#N/A,TRUE,"Page de garde";#N/A,#N/A,TRUE,"Récap";#N/A,#N/A,TRUE,"2001";#N/A,#N/A,TRUE,"2002";#N/A,#N/A,TRUE,"MN";#N/A,#N/A,TRUE,"CB-CN ";#N/A,#N/A,TRUE,"Point TVA (avec ES)"}</definedName>
    <definedName name="Solde" localSheetId="34" hidden="1">{#N/A,#N/A,TRUE,"Page de garde";#N/A,#N/A,TRUE,"Récap";#N/A,#N/A,TRUE,"2001";#N/A,#N/A,TRUE,"2002";#N/A,#N/A,TRUE,"MN";#N/A,#N/A,TRUE,"CB-CN ";#N/A,#N/A,TRUE,"Point TVA (avec ES)"}</definedName>
    <definedName name="Solde" localSheetId="36" hidden="1">{#N/A,#N/A,TRUE,"Page de garde";#N/A,#N/A,TRUE,"Récap";#N/A,#N/A,TRUE,"2001";#N/A,#N/A,TRUE,"2002";#N/A,#N/A,TRUE,"MN";#N/A,#N/A,TRUE,"CB-CN ";#N/A,#N/A,TRUE,"Point TVA (avec ES)"}</definedName>
    <definedName name="Solde" localSheetId="38" hidden="1">{#N/A,#N/A,TRUE,"Page de garde";#N/A,#N/A,TRUE,"Récap";#N/A,#N/A,TRUE,"2001";#N/A,#N/A,TRUE,"2002";#N/A,#N/A,TRUE,"MN";#N/A,#N/A,TRUE,"CB-CN ";#N/A,#N/A,TRUE,"Point TVA (avec ES)"}</definedName>
    <definedName name="Solde" localSheetId="19" hidden="1">{#N/A,#N/A,TRUE,"Page de garde";#N/A,#N/A,TRUE,"Récap";#N/A,#N/A,TRUE,"2001";#N/A,#N/A,TRUE,"2002";#N/A,#N/A,TRUE,"MN";#N/A,#N/A,TRUE,"CB-CN ";#N/A,#N/A,TRUE,"Point TVA (avec ES)"}</definedName>
    <definedName name="Solde" localSheetId="20" hidden="1">{#N/A,#N/A,TRUE,"Page de garde";#N/A,#N/A,TRUE,"Récap";#N/A,#N/A,TRUE,"2001";#N/A,#N/A,TRUE,"2002";#N/A,#N/A,TRUE,"MN";#N/A,#N/A,TRUE,"CB-CN ";#N/A,#N/A,TRUE,"Point TVA (avec ES)"}</definedName>
    <definedName name="Solde" localSheetId="24" hidden="1">{#N/A,#N/A,TRUE,"Page de garde";#N/A,#N/A,TRUE,"Récap";#N/A,#N/A,TRUE,"2001";#N/A,#N/A,TRUE,"2002";#N/A,#N/A,TRUE,"MN";#N/A,#N/A,TRUE,"CB-CN ";#N/A,#N/A,TRUE,"Point TVA (avec ES)"}</definedName>
    <definedName name="Solde" localSheetId="25" hidden="1">{#N/A,#N/A,TRUE,"Page de garde";#N/A,#N/A,TRUE,"Récap";#N/A,#N/A,TRUE,"2001";#N/A,#N/A,TRUE,"2002";#N/A,#N/A,TRUE,"MN";#N/A,#N/A,TRUE,"CB-CN ";#N/A,#N/A,TRUE,"Point TVA (avec ES)"}</definedName>
    <definedName name="Solde" localSheetId="31" hidden="1">{#N/A,#N/A,TRUE,"Page de garde";#N/A,#N/A,TRUE,"Récap";#N/A,#N/A,TRUE,"2001";#N/A,#N/A,TRUE,"2002";#N/A,#N/A,TRUE,"MN";#N/A,#N/A,TRUE,"CB-CN ";#N/A,#N/A,TRUE,"Point TVA (avec ES)"}</definedName>
    <definedName name="Solde" localSheetId="33" hidden="1">{#N/A,#N/A,TRUE,"Page de garde";#N/A,#N/A,TRUE,"Récap";#N/A,#N/A,TRUE,"2001";#N/A,#N/A,TRUE,"2002";#N/A,#N/A,TRUE,"MN";#N/A,#N/A,TRUE,"CB-CN ";#N/A,#N/A,TRUE,"Point TVA (avec ES)"}</definedName>
    <definedName name="Solde" localSheetId="28" hidden="1">{#N/A,#N/A,TRUE,"Page de garde";#N/A,#N/A,TRUE,"Récap";#N/A,#N/A,TRUE,"2001";#N/A,#N/A,TRUE,"2002";#N/A,#N/A,TRUE,"MN";#N/A,#N/A,TRUE,"CB-CN ";#N/A,#N/A,TRUE,"Point TVA (avec ES)"}</definedName>
    <definedName name="Solde" localSheetId="35" hidden="1">{#N/A,#N/A,TRUE,"Page de garde";#N/A,#N/A,TRUE,"Récap";#N/A,#N/A,TRUE,"2001";#N/A,#N/A,TRUE,"2002";#N/A,#N/A,TRUE,"MN";#N/A,#N/A,TRUE,"CB-CN ";#N/A,#N/A,TRUE,"Point TVA (avec ES)"}</definedName>
    <definedName name="Solde" localSheetId="37" hidden="1">{#N/A,#N/A,TRUE,"Page de garde";#N/A,#N/A,TRUE,"Récap";#N/A,#N/A,TRUE,"2001";#N/A,#N/A,TRUE,"2002";#N/A,#N/A,TRUE,"MN";#N/A,#N/A,TRUE,"CB-CN ";#N/A,#N/A,TRUE,"Point TVA (avec ES)"}</definedName>
    <definedName name="Solde" localSheetId="39" hidden="1">{#N/A,#N/A,TRUE,"Page de garde";#N/A,#N/A,TRUE,"Récap";#N/A,#N/A,TRUE,"2001";#N/A,#N/A,TRUE,"2002";#N/A,#N/A,TRUE,"MN";#N/A,#N/A,TRUE,"CB-CN ";#N/A,#N/A,TRUE,"Point TVA (avec ES)"}</definedName>
    <definedName name="Solde" hidden="1">{#N/A,#N/A,TRUE,"Page de garde";#N/A,#N/A,TRUE,"Récap";#N/A,#N/A,TRUE,"2001";#N/A,#N/A,TRUE,"2002";#N/A,#N/A,TRUE,"MN";#N/A,#N/A,TRUE,"CB-CN ";#N/A,#N/A,TRUE,"Point TVA (avec ES)"}</definedName>
    <definedName name="sqdf" localSheetId="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qdf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ss" localSheetId="6">#REF!</definedName>
    <definedName name="ss" localSheetId="7">#REF!</definedName>
    <definedName name="ss" localSheetId="12">#REF!</definedName>
    <definedName name="ss" localSheetId="13">#REF!</definedName>
    <definedName name="ss" localSheetId="11">#REF!</definedName>
    <definedName name="ss" localSheetId="9">#REF!</definedName>
    <definedName name="ss" localSheetId="2">#REF!</definedName>
    <definedName name="ss" localSheetId="28">#REF!</definedName>
    <definedName name="ss" localSheetId="39">#REF!</definedName>
    <definedName name="ss" localSheetId="29">#REF!</definedName>
    <definedName name="ss">#REF!</definedName>
    <definedName name="sss" localSheetId="6" hidden="1">{#N/A,#N/A,TRUE,"Page de garde";#N/A,#N/A,TRUE,"Récap";#N/A,#N/A,TRUE,"2001";#N/A,#N/A,TRUE,"2002";#N/A,#N/A,TRUE,"MN";#N/A,#N/A,TRUE,"CB-CN ";#N/A,#N/A,TRUE,"Point TVA (avec ES)"}</definedName>
    <definedName name="sss" localSheetId="7" hidden="1">{#N/A,#N/A,TRUE,"Page de garde";#N/A,#N/A,TRUE,"Récap";#N/A,#N/A,TRUE,"2001";#N/A,#N/A,TRUE,"2002";#N/A,#N/A,TRUE,"MN";#N/A,#N/A,TRUE,"CB-CN ";#N/A,#N/A,TRUE,"Point TVA (avec ES)"}</definedName>
    <definedName name="sss" localSheetId="14" hidden="1">{#N/A,#N/A,TRUE,"Page de garde";#N/A,#N/A,TRUE,"Récap";#N/A,#N/A,TRUE,"2001";#N/A,#N/A,TRUE,"2002";#N/A,#N/A,TRUE,"MN";#N/A,#N/A,TRUE,"CB-CN ";#N/A,#N/A,TRUE,"Point TVA (avec ES)"}</definedName>
    <definedName name="sss" localSheetId="12" hidden="1">{#N/A,#N/A,TRUE,"Page de garde";#N/A,#N/A,TRUE,"Récap";#N/A,#N/A,TRUE,"2001";#N/A,#N/A,TRUE,"2002";#N/A,#N/A,TRUE,"MN";#N/A,#N/A,TRUE,"CB-CN ";#N/A,#N/A,TRUE,"Point TVA (avec ES)"}</definedName>
    <definedName name="sss" localSheetId="13" hidden="1">{#N/A,#N/A,TRUE,"Page de garde";#N/A,#N/A,TRUE,"Récap";#N/A,#N/A,TRUE,"2001";#N/A,#N/A,TRUE,"2002";#N/A,#N/A,TRUE,"MN";#N/A,#N/A,TRUE,"CB-CN ";#N/A,#N/A,TRUE,"Point TVA (avec ES)"}</definedName>
    <definedName name="sss" localSheetId="11" hidden="1">{#N/A,#N/A,TRUE,"Page de garde";#N/A,#N/A,TRUE,"Récap";#N/A,#N/A,TRUE,"2001";#N/A,#N/A,TRUE,"2002";#N/A,#N/A,TRUE,"MN";#N/A,#N/A,TRUE,"CB-CN ";#N/A,#N/A,TRUE,"Point TVA (avec ES)"}</definedName>
    <definedName name="sss" localSheetId="15" hidden="1">{#N/A,#N/A,TRUE,"Page de garde";#N/A,#N/A,TRUE,"Récap";#N/A,#N/A,TRUE,"2001";#N/A,#N/A,TRUE,"2002";#N/A,#N/A,TRUE,"MN";#N/A,#N/A,TRUE,"CB-CN ";#N/A,#N/A,TRUE,"Point TVA (avec ES)"}</definedName>
    <definedName name="sss" localSheetId="32" hidden="1">{#N/A,#N/A,TRUE,"Page de garde";#N/A,#N/A,TRUE,"Récap";#N/A,#N/A,TRUE,"2001";#N/A,#N/A,TRUE,"2002";#N/A,#N/A,TRUE,"MN";#N/A,#N/A,TRUE,"CB-CN ";#N/A,#N/A,TRUE,"Point TVA (avec ES)"}</definedName>
    <definedName name="sss" localSheetId="27" hidden="1">{#N/A,#N/A,TRUE,"Page de garde";#N/A,#N/A,TRUE,"Récap";#N/A,#N/A,TRUE,"2001";#N/A,#N/A,TRUE,"2002";#N/A,#N/A,TRUE,"MN";#N/A,#N/A,TRUE,"CB-CN ";#N/A,#N/A,TRUE,"Point TVA (avec ES)"}</definedName>
    <definedName name="sss" localSheetId="34" hidden="1">{#N/A,#N/A,TRUE,"Page de garde";#N/A,#N/A,TRUE,"Récap";#N/A,#N/A,TRUE,"2001";#N/A,#N/A,TRUE,"2002";#N/A,#N/A,TRUE,"MN";#N/A,#N/A,TRUE,"CB-CN ";#N/A,#N/A,TRUE,"Point TVA (avec ES)"}</definedName>
    <definedName name="sss" localSheetId="36" hidden="1">{#N/A,#N/A,TRUE,"Page de garde";#N/A,#N/A,TRUE,"Récap";#N/A,#N/A,TRUE,"2001";#N/A,#N/A,TRUE,"2002";#N/A,#N/A,TRUE,"MN";#N/A,#N/A,TRUE,"CB-CN ";#N/A,#N/A,TRUE,"Point TVA (avec ES)"}</definedName>
    <definedName name="sss" localSheetId="38" hidden="1">{#N/A,#N/A,TRUE,"Page de garde";#N/A,#N/A,TRUE,"Récap";#N/A,#N/A,TRUE,"2001";#N/A,#N/A,TRUE,"2002";#N/A,#N/A,TRUE,"MN";#N/A,#N/A,TRUE,"CB-CN ";#N/A,#N/A,TRUE,"Point TVA (avec ES)"}</definedName>
    <definedName name="sss" localSheetId="19" hidden="1">{#N/A,#N/A,TRUE,"Page de garde";#N/A,#N/A,TRUE,"Récap";#N/A,#N/A,TRUE,"2001";#N/A,#N/A,TRUE,"2002";#N/A,#N/A,TRUE,"MN";#N/A,#N/A,TRUE,"CB-CN ";#N/A,#N/A,TRUE,"Point TVA (avec ES)"}</definedName>
    <definedName name="sss" localSheetId="20" hidden="1">{#N/A,#N/A,TRUE,"Page de garde";#N/A,#N/A,TRUE,"Récap";#N/A,#N/A,TRUE,"2001";#N/A,#N/A,TRUE,"2002";#N/A,#N/A,TRUE,"MN";#N/A,#N/A,TRUE,"CB-CN ";#N/A,#N/A,TRUE,"Point TVA (avec ES)"}</definedName>
    <definedName name="sss" localSheetId="24" hidden="1">{#N/A,#N/A,TRUE,"Page de garde";#N/A,#N/A,TRUE,"Récap";#N/A,#N/A,TRUE,"2001";#N/A,#N/A,TRUE,"2002";#N/A,#N/A,TRUE,"MN";#N/A,#N/A,TRUE,"CB-CN ";#N/A,#N/A,TRUE,"Point TVA (avec ES)"}</definedName>
    <definedName name="sss" localSheetId="25" hidden="1">{#N/A,#N/A,TRUE,"Page de garde";#N/A,#N/A,TRUE,"Récap";#N/A,#N/A,TRUE,"2001";#N/A,#N/A,TRUE,"2002";#N/A,#N/A,TRUE,"MN";#N/A,#N/A,TRUE,"CB-CN ";#N/A,#N/A,TRUE,"Point TVA (avec ES)"}</definedName>
    <definedName name="sss" localSheetId="31" hidden="1">{#N/A,#N/A,TRUE,"Page de garde";#N/A,#N/A,TRUE,"Récap";#N/A,#N/A,TRUE,"2001";#N/A,#N/A,TRUE,"2002";#N/A,#N/A,TRUE,"MN";#N/A,#N/A,TRUE,"CB-CN ";#N/A,#N/A,TRUE,"Point TVA (avec ES)"}</definedName>
    <definedName name="sss" localSheetId="33" hidden="1">{#N/A,#N/A,TRUE,"Page de garde";#N/A,#N/A,TRUE,"Récap";#N/A,#N/A,TRUE,"2001";#N/A,#N/A,TRUE,"2002";#N/A,#N/A,TRUE,"MN";#N/A,#N/A,TRUE,"CB-CN ";#N/A,#N/A,TRUE,"Point TVA (avec ES)"}</definedName>
    <definedName name="sss" localSheetId="28" hidden="1">{#N/A,#N/A,TRUE,"Page de garde";#N/A,#N/A,TRUE,"Récap";#N/A,#N/A,TRUE,"2001";#N/A,#N/A,TRUE,"2002";#N/A,#N/A,TRUE,"MN";#N/A,#N/A,TRUE,"CB-CN ";#N/A,#N/A,TRUE,"Point TVA (avec ES)"}</definedName>
    <definedName name="sss" localSheetId="35" hidden="1">{#N/A,#N/A,TRUE,"Page de garde";#N/A,#N/A,TRUE,"Récap";#N/A,#N/A,TRUE,"2001";#N/A,#N/A,TRUE,"2002";#N/A,#N/A,TRUE,"MN";#N/A,#N/A,TRUE,"CB-CN ";#N/A,#N/A,TRUE,"Point TVA (avec ES)"}</definedName>
    <definedName name="sss" localSheetId="37" hidden="1">{#N/A,#N/A,TRUE,"Page de garde";#N/A,#N/A,TRUE,"Récap";#N/A,#N/A,TRUE,"2001";#N/A,#N/A,TRUE,"2002";#N/A,#N/A,TRUE,"MN";#N/A,#N/A,TRUE,"CB-CN ";#N/A,#N/A,TRUE,"Point TVA (avec ES)"}</definedName>
    <definedName name="sss" localSheetId="39" hidden="1">{#N/A,#N/A,TRUE,"Page de garde";#N/A,#N/A,TRUE,"Récap";#N/A,#N/A,TRUE,"2001";#N/A,#N/A,TRUE,"2002";#N/A,#N/A,TRUE,"MN";#N/A,#N/A,TRUE,"CB-CN ";#N/A,#N/A,TRUE,"Point TVA (avec ES)"}</definedName>
    <definedName name="sss" hidden="1">{#N/A,#N/A,TRUE,"Page de garde";#N/A,#N/A,TRUE,"Récap";#N/A,#N/A,TRUE,"2001";#N/A,#N/A,TRUE,"2002";#N/A,#N/A,TRUE,"MN";#N/A,#N/A,TRUE,"CB-CN ";#N/A,#N/A,TRUE,"Point TVA (avec ES)"}</definedName>
    <definedName name="suivi" localSheetId="6" hidden="1">{#N/A,#N/A,FALSE,"Synthèse";#N/A,#N/A,FALSE,"Evolution de la TVA";#N/A,#N/A,FALSE,"Ventilation DGI-Douanes";#N/A,#N/A,FALSE,"prévision hors constaté ";#N/A,#N/A,FALSE,"recettes et écart à la prévisio"}</definedName>
    <definedName name="suivi" localSheetId="7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4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2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3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1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5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2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7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4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6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8" hidden="1">{#N/A,#N/A,FALSE,"Synthèse";#N/A,#N/A,FALSE,"Evolution de la TVA";#N/A,#N/A,FALSE,"Ventilation DGI-Douanes";#N/A,#N/A,FALSE,"prévision hors constaté ";#N/A,#N/A,FALSE,"recettes et écart à la prévisio"}</definedName>
    <definedName name="suivi" localSheetId="19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0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4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5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1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3" hidden="1">{#N/A,#N/A,FALSE,"Synthèse";#N/A,#N/A,FALSE,"Evolution de la TVA";#N/A,#N/A,FALSE,"Ventilation DGI-Douanes";#N/A,#N/A,FALSE,"prévision hors constaté ";#N/A,#N/A,FALSE,"recettes et écart à la prévisio"}</definedName>
    <definedName name="suivi" localSheetId="28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5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7" hidden="1">{#N/A,#N/A,FALSE,"Synthèse";#N/A,#N/A,FALSE,"Evolution de la TVA";#N/A,#N/A,FALSE,"Ventilation DGI-Douanes";#N/A,#N/A,FALSE,"prévision hors constaté ";#N/A,#N/A,FALSE,"recettes et écart à la prévisio"}</definedName>
    <definedName name="suivi" localSheetId="39" hidden="1">{#N/A,#N/A,FALSE,"Synthèse";#N/A,#N/A,FALSE,"Evolution de la TVA";#N/A,#N/A,FALSE,"Ventilation DGI-Douanes";#N/A,#N/A,FALSE,"prévision hors constaté ";#N/A,#N/A,FALSE,"recettes et écart à la prévisio"}</definedName>
    <definedName name="suivi" hidden="1">{#N/A,#N/A,FALSE,"Synthèse";#N/A,#N/A,FALSE,"Evolution de la TVA";#N/A,#N/A,FALSE,"Ventilation DGI-Douanes";#N/A,#N/A,FALSE,"prévision hors constaté ";#N/A,#N/A,FALSE,"recettes et écart à la prévisio"}</definedName>
    <definedName name="table" localSheetId="6">#REF!</definedName>
    <definedName name="table" localSheetId="7">#REF!</definedName>
    <definedName name="table" localSheetId="12">#REF!</definedName>
    <definedName name="table" localSheetId="13">#REF!</definedName>
    <definedName name="table" localSheetId="11">#REF!</definedName>
    <definedName name="table" localSheetId="9">#REF!</definedName>
    <definedName name="table" localSheetId="2">#REF!</definedName>
    <definedName name="table" localSheetId="28">#REF!</definedName>
    <definedName name="table" localSheetId="39">#REF!</definedName>
    <definedName name="table" localSheetId="29">#REF!</definedName>
    <definedName name="table">#REF!</definedName>
    <definedName name="tblMapDescriptions" localSheetId="6">#REF!</definedName>
    <definedName name="tblMapDescriptions" localSheetId="7">#REF!</definedName>
    <definedName name="tblMapDescriptions" localSheetId="12">#REF!</definedName>
    <definedName name="tblMapDescriptions" localSheetId="13">#REF!</definedName>
    <definedName name="tblMapDescriptions" localSheetId="11">#REF!</definedName>
    <definedName name="tblMapDescriptions" localSheetId="9">#REF!</definedName>
    <definedName name="tblMapDescriptions" localSheetId="2">#REF!</definedName>
    <definedName name="tblMapDescriptions" localSheetId="28">#REF!</definedName>
    <definedName name="tblMapDescriptions" localSheetId="39">#REF!</definedName>
    <definedName name="tblMapDescriptions" localSheetId="29">#REF!</definedName>
    <definedName name="tblMapDescriptions">#REF!</definedName>
    <definedName name="test" localSheetId="6">#REF!</definedName>
    <definedName name="test" localSheetId="7">#REF!</definedName>
    <definedName name="test" localSheetId="12">#REF!</definedName>
    <definedName name="test" localSheetId="13">#REF!</definedName>
    <definedName name="test" localSheetId="11">#REF!</definedName>
    <definedName name="test" localSheetId="9">#REF!</definedName>
    <definedName name="test" localSheetId="2">#REF!</definedName>
    <definedName name="test" localSheetId="28">#REF!</definedName>
    <definedName name="test" localSheetId="39">#REF!</definedName>
    <definedName name="test" localSheetId="29">#REF!</definedName>
    <definedName name="test">#REF!</definedName>
    <definedName name="Teuro" localSheetId="6">#REF!</definedName>
    <definedName name="Teuro" localSheetId="7">#REF!</definedName>
    <definedName name="Teuro" localSheetId="12">#REF!</definedName>
    <definedName name="Teuro" localSheetId="13">#REF!</definedName>
    <definedName name="Teuro" localSheetId="11">#REF!</definedName>
    <definedName name="Teuro" localSheetId="8">#REF!</definedName>
    <definedName name="Teuro" localSheetId="9">#REF!</definedName>
    <definedName name="Teuro" localSheetId="2">#REF!</definedName>
    <definedName name="Teuro" localSheetId="17">#REF!</definedName>
    <definedName name="Teuro" localSheetId="18">#REF!</definedName>
    <definedName name="Teuro" localSheetId="22">#REF!</definedName>
    <definedName name="Teuro" localSheetId="23">#REF!</definedName>
    <definedName name="Teuro" localSheetId="26">#REF!</definedName>
    <definedName name="Teuro" localSheetId="28">#REF!</definedName>
    <definedName name="Teuro" localSheetId="39">#REF!</definedName>
    <definedName name="Teuro" localSheetId="29">#REF!</definedName>
    <definedName name="Teuro">#REF!</definedName>
    <definedName name="tghth" localSheetId="6" hidden="1">{"'TBADMI (Annexe 3)'!$B$164:$G$189"}</definedName>
    <definedName name="tghth" localSheetId="7" hidden="1">{"'TBADMI (Annexe 3)'!$B$164:$G$189"}</definedName>
    <definedName name="tghth" localSheetId="14" hidden="1">{"'TBADMI (Annexe 3)'!$B$164:$G$189"}</definedName>
    <definedName name="tghth" localSheetId="12" hidden="1">{"'TBADMI (Annexe 3)'!$B$164:$G$189"}</definedName>
    <definedName name="tghth" localSheetId="13" hidden="1">{"'TBADMI (Annexe 3)'!$B$164:$G$189"}</definedName>
    <definedName name="tghth" localSheetId="11" hidden="1">{"'TBADMI (Annexe 3)'!$B$164:$G$189"}</definedName>
    <definedName name="tghth" localSheetId="15" hidden="1">{"'TBADMI (Annexe 3)'!$B$164:$G$189"}</definedName>
    <definedName name="tghth" localSheetId="32" hidden="1">{"'TBADMI (Annexe 3)'!$B$164:$G$189"}</definedName>
    <definedName name="tghth" localSheetId="27" hidden="1">{"'TBADMI (Annexe 3)'!$B$164:$G$189"}</definedName>
    <definedName name="tghth" localSheetId="34" hidden="1">{"'TBADMI (Annexe 3)'!$B$164:$G$189"}</definedName>
    <definedName name="tghth" localSheetId="36" hidden="1">{"'TBADMI (Annexe 3)'!$B$164:$G$189"}</definedName>
    <definedName name="tghth" localSheetId="38" hidden="1">{"'TBADMI (Annexe 3)'!$B$164:$G$189"}</definedName>
    <definedName name="tghth" localSheetId="19" hidden="1">{"'TBADMI (Annexe 3)'!$B$164:$G$189"}</definedName>
    <definedName name="tghth" localSheetId="20" hidden="1">{"'TBADMI (Annexe 3)'!$B$164:$G$189"}</definedName>
    <definedName name="tghth" localSheetId="24" hidden="1">{"'TBADMI (Annexe 3)'!$B$164:$G$189"}</definedName>
    <definedName name="tghth" localSheetId="25" hidden="1">{"'TBADMI (Annexe 3)'!$B$164:$G$189"}</definedName>
    <definedName name="tghth" localSheetId="31" hidden="1">{"'TBADMI (Annexe 3)'!$B$164:$G$189"}</definedName>
    <definedName name="tghth" localSheetId="33" hidden="1">{"'TBADMI (Annexe 3)'!$B$164:$G$189"}</definedName>
    <definedName name="tghth" localSheetId="28" hidden="1">{"'TBADMI (Annexe 3)'!$B$164:$G$189"}</definedName>
    <definedName name="tghth" localSheetId="35" hidden="1">{"'TBADMI (Annexe 3)'!$B$164:$G$189"}</definedName>
    <definedName name="tghth" localSheetId="37" hidden="1">{"'TBADMI (Annexe 3)'!$B$164:$G$189"}</definedName>
    <definedName name="tghth" localSheetId="39" hidden="1">{"'TBADMI (Annexe 3)'!$B$164:$G$189"}</definedName>
    <definedName name="tghth" hidden="1">{"'TBADMI (Annexe 3)'!$B$164:$G$189"}</definedName>
    <definedName name="TITLE2" localSheetId="6">#REF!</definedName>
    <definedName name="TITLE2" localSheetId="7">#REF!</definedName>
    <definedName name="TITLE2" localSheetId="12">#REF!</definedName>
    <definedName name="TITLE2" localSheetId="13">#REF!</definedName>
    <definedName name="TITLE2" localSheetId="11">#REF!</definedName>
    <definedName name="TITLE2" localSheetId="9">#REF!</definedName>
    <definedName name="TITLE2" localSheetId="2">#REF!</definedName>
    <definedName name="TITLE2" localSheetId="28">#REF!</definedName>
    <definedName name="TITLE2" localSheetId="39">#REF!</definedName>
    <definedName name="TITLE2" localSheetId="29">#REF!</definedName>
    <definedName name="TITLE2">#REF!</definedName>
    <definedName name="TITRE1" localSheetId="6">#REF!</definedName>
    <definedName name="TITRE1" localSheetId="7">#REF!</definedName>
    <definedName name="TITRE1" localSheetId="12">#REF!</definedName>
    <definedName name="TITRE1" localSheetId="13">#REF!</definedName>
    <definedName name="TITRE1" localSheetId="11">#REF!</definedName>
    <definedName name="TITRE1" localSheetId="9">#REF!</definedName>
    <definedName name="TITRE1" localSheetId="2">#REF!</definedName>
    <definedName name="TITRE1" localSheetId="28">#REF!</definedName>
    <definedName name="TITRE1" localSheetId="39">#REF!</definedName>
    <definedName name="TITRE1" localSheetId="29">#REF!</definedName>
    <definedName name="TITRE1">#REF!</definedName>
    <definedName name="TITRE2" localSheetId="6">#REF!</definedName>
    <definedName name="TITRE2" localSheetId="7">#REF!</definedName>
    <definedName name="TITRE2" localSheetId="12">#REF!</definedName>
    <definedName name="TITRE2" localSheetId="13">#REF!</definedName>
    <definedName name="TITRE2" localSheetId="11">#REF!</definedName>
    <definedName name="TITRE2" localSheetId="9">#REF!</definedName>
    <definedName name="TITRE2" localSheetId="2">#REF!</definedName>
    <definedName name="TITRE2" localSheetId="28">#REF!</definedName>
    <definedName name="TITRE2" localSheetId="39">#REF!</definedName>
    <definedName name="TITRE2" localSheetId="29">#REF!</definedName>
    <definedName name="TITRE2">#REF!</definedName>
    <definedName name="tot" localSheetId="6">#REF!</definedName>
    <definedName name="tot" localSheetId="7">#REF!</definedName>
    <definedName name="tot" localSheetId="12">#REF!</definedName>
    <definedName name="tot" localSheetId="13">#REF!</definedName>
    <definedName name="tot" localSheetId="11">#REF!</definedName>
    <definedName name="tot" localSheetId="9">#REF!</definedName>
    <definedName name="tot" localSheetId="2">#REF!</definedName>
    <definedName name="tot" localSheetId="28">#REF!</definedName>
    <definedName name="tot" localSheetId="39">#REF!</definedName>
    <definedName name="tot" localSheetId="29">#REF!</definedName>
    <definedName name="tot">#REF!</definedName>
    <definedName name="tota" localSheetId="6">#REF!</definedName>
    <definedName name="tota" localSheetId="7">#REF!</definedName>
    <definedName name="tota" localSheetId="12">#REF!</definedName>
    <definedName name="tota" localSheetId="13">#REF!</definedName>
    <definedName name="tota" localSheetId="11">#REF!</definedName>
    <definedName name="tota" localSheetId="9">#REF!</definedName>
    <definedName name="tota" localSheetId="2">#REF!</definedName>
    <definedName name="tota" localSheetId="28">#REF!</definedName>
    <definedName name="tota" localSheetId="39">#REF!</definedName>
    <definedName name="tota" localSheetId="29">#REF!</definedName>
    <definedName name="tota">#REF!</definedName>
    <definedName name="totb" localSheetId="6">#REF!</definedName>
    <definedName name="totb" localSheetId="7">#REF!</definedName>
    <definedName name="totb" localSheetId="12">#REF!</definedName>
    <definedName name="totb" localSheetId="13">#REF!</definedName>
    <definedName name="totb" localSheetId="11">#REF!</definedName>
    <definedName name="totb" localSheetId="9">#REF!</definedName>
    <definedName name="totb" localSheetId="2">#REF!</definedName>
    <definedName name="totb" localSheetId="28">#REF!</definedName>
    <definedName name="totb" localSheetId="39">#REF!</definedName>
    <definedName name="totb" localSheetId="29">#REF!</definedName>
    <definedName name="totb">#REF!</definedName>
    <definedName name="totc" localSheetId="6">#REF!</definedName>
    <definedName name="totc" localSheetId="7">#REF!</definedName>
    <definedName name="totc" localSheetId="12">#REF!</definedName>
    <definedName name="totc" localSheetId="13">#REF!</definedName>
    <definedName name="totc" localSheetId="11">#REF!</definedName>
    <definedName name="totc" localSheetId="9">#REF!</definedName>
    <definedName name="totc" localSheetId="2">#REF!</definedName>
    <definedName name="totc" localSheetId="28">#REF!</definedName>
    <definedName name="totc" localSheetId="39">#REF!</definedName>
    <definedName name="totc" localSheetId="29">#REF!</definedName>
    <definedName name="totc">#REF!</definedName>
    <definedName name="totd" localSheetId="6">#REF!</definedName>
    <definedName name="totd" localSheetId="7">#REF!</definedName>
    <definedName name="totd" localSheetId="12">#REF!</definedName>
    <definedName name="totd" localSheetId="13">#REF!</definedName>
    <definedName name="totd" localSheetId="11">#REF!</definedName>
    <definedName name="totd" localSheetId="9">#REF!</definedName>
    <definedName name="totd" localSheetId="2">#REF!</definedName>
    <definedName name="totd" localSheetId="28">#REF!</definedName>
    <definedName name="totd" localSheetId="39">#REF!</definedName>
    <definedName name="totd" localSheetId="29">#REF!</definedName>
    <definedName name="totd">#REF!</definedName>
    <definedName name="wrn.Dossier." localSheetId="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2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6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1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0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4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1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3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28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5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7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localSheetId="39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" hidden="1">{#N/A,#N/A,FALSE,"couv";#N/A,#N/A,FALSE,"A1";#N/A,#N/A,FALSE,"B1";#N/A,#N/A,FALSE,"B2";#N/A,#N/A,FALSE,"C1";#N/A,#N/A,FALSE,"C3";#N/A,#N/A,FALSE,"C4";#N/A,#N/A,FALSE,"D1";#N/A,#N/A,FALSE,"D2";#N/A,#N/A,FALSE,"D3";#N/A,#N/A,FALSE,"E";#N/A,#N/A,FALSE,"E1A";#N/A,#N/A,FALSE,"E1B";#N/A,#N/A,FALSE,"E2";#N/A,#N/A,FALSE,"E3A ";#N/A,#N/A,FALSE,"E3B";#N/A,#N/A,FALSE,"E4";#N/A,#N/A,FALSE,"F1"}</definedName>
    <definedName name="wrn.Dossier._.BEH._.2000." localSheetId="6" hidden="1">{#N/A,#N/A,TRUE,"Page de garde";#N/A,#N/A,TRUE,"Récap";#N/A,#N/A,TRUE,"2001";#N/A,#N/A,TRUE,"2002";#N/A,#N/A,TRUE,"MN";#N/A,#N/A,TRUE,"CB-CN ";#N/A,#N/A,TRUE,"Point TVA (avec ES)"}</definedName>
    <definedName name="wrn.Dossier._.BEH._.2000." localSheetId="7" hidden="1">{#N/A,#N/A,TRUE,"Page de garde";#N/A,#N/A,TRUE,"Récap";#N/A,#N/A,TRUE,"2001";#N/A,#N/A,TRUE,"2002";#N/A,#N/A,TRUE,"MN";#N/A,#N/A,TRUE,"CB-CN ";#N/A,#N/A,TRUE,"Point TVA (avec ES)"}</definedName>
    <definedName name="wrn.Dossier._.BEH._.2000." localSheetId="14" hidden="1">{#N/A,#N/A,TRUE,"Page de garde";#N/A,#N/A,TRUE,"Récap";#N/A,#N/A,TRUE,"2001";#N/A,#N/A,TRUE,"2002";#N/A,#N/A,TRUE,"MN";#N/A,#N/A,TRUE,"CB-CN ";#N/A,#N/A,TRUE,"Point TVA (avec ES)"}</definedName>
    <definedName name="wrn.Dossier._.BEH._.2000." localSheetId="12" hidden="1">{#N/A,#N/A,TRUE,"Page de garde";#N/A,#N/A,TRUE,"Récap";#N/A,#N/A,TRUE,"2001";#N/A,#N/A,TRUE,"2002";#N/A,#N/A,TRUE,"MN";#N/A,#N/A,TRUE,"CB-CN ";#N/A,#N/A,TRUE,"Point TVA (avec ES)"}</definedName>
    <definedName name="wrn.Dossier._.BEH._.2000." localSheetId="13" hidden="1">{#N/A,#N/A,TRUE,"Page de garde";#N/A,#N/A,TRUE,"Récap";#N/A,#N/A,TRUE,"2001";#N/A,#N/A,TRUE,"2002";#N/A,#N/A,TRUE,"MN";#N/A,#N/A,TRUE,"CB-CN ";#N/A,#N/A,TRUE,"Point TVA (avec ES)"}</definedName>
    <definedName name="wrn.Dossier._.BEH._.2000." localSheetId="11" hidden="1">{#N/A,#N/A,TRUE,"Page de garde";#N/A,#N/A,TRUE,"Récap";#N/A,#N/A,TRUE,"2001";#N/A,#N/A,TRUE,"2002";#N/A,#N/A,TRUE,"MN";#N/A,#N/A,TRUE,"CB-CN ";#N/A,#N/A,TRUE,"Point TVA (avec ES)"}</definedName>
    <definedName name="wrn.Dossier._.BEH._.2000." localSheetId="15" hidden="1">{#N/A,#N/A,TRUE,"Page de garde";#N/A,#N/A,TRUE,"Récap";#N/A,#N/A,TRUE,"2001";#N/A,#N/A,TRUE,"2002";#N/A,#N/A,TRUE,"MN";#N/A,#N/A,TRUE,"CB-CN ";#N/A,#N/A,TRUE,"Point TVA (avec ES)"}</definedName>
    <definedName name="wrn.Dossier._.BEH._.2000." localSheetId="32" hidden="1">{#N/A,#N/A,TRUE,"Page de garde";#N/A,#N/A,TRUE,"Récap";#N/A,#N/A,TRUE,"2001";#N/A,#N/A,TRUE,"2002";#N/A,#N/A,TRUE,"MN";#N/A,#N/A,TRUE,"CB-CN ";#N/A,#N/A,TRUE,"Point TVA (avec ES)"}</definedName>
    <definedName name="wrn.Dossier._.BEH._.2000." localSheetId="27" hidden="1">{#N/A,#N/A,TRUE,"Page de garde";#N/A,#N/A,TRUE,"Récap";#N/A,#N/A,TRUE,"2001";#N/A,#N/A,TRUE,"2002";#N/A,#N/A,TRUE,"MN";#N/A,#N/A,TRUE,"CB-CN ";#N/A,#N/A,TRUE,"Point TVA (avec ES)"}</definedName>
    <definedName name="wrn.Dossier._.BEH._.2000." localSheetId="34" hidden="1">{#N/A,#N/A,TRUE,"Page de garde";#N/A,#N/A,TRUE,"Récap";#N/A,#N/A,TRUE,"2001";#N/A,#N/A,TRUE,"2002";#N/A,#N/A,TRUE,"MN";#N/A,#N/A,TRUE,"CB-CN ";#N/A,#N/A,TRUE,"Point TVA (avec ES)"}</definedName>
    <definedName name="wrn.Dossier._.BEH._.2000." localSheetId="36" hidden="1">{#N/A,#N/A,TRUE,"Page de garde";#N/A,#N/A,TRUE,"Récap";#N/A,#N/A,TRUE,"2001";#N/A,#N/A,TRUE,"2002";#N/A,#N/A,TRUE,"MN";#N/A,#N/A,TRUE,"CB-CN ";#N/A,#N/A,TRUE,"Point TVA (avec ES)"}</definedName>
    <definedName name="wrn.Dossier._.BEH._.2000." localSheetId="38" hidden="1">{#N/A,#N/A,TRUE,"Page de garde";#N/A,#N/A,TRUE,"Récap";#N/A,#N/A,TRUE,"2001";#N/A,#N/A,TRUE,"2002";#N/A,#N/A,TRUE,"MN";#N/A,#N/A,TRUE,"CB-CN ";#N/A,#N/A,TRUE,"Point TVA (avec ES)"}</definedName>
    <definedName name="wrn.Dossier._.BEH._.2000." localSheetId="19" hidden="1">{#N/A,#N/A,TRUE,"Page de garde";#N/A,#N/A,TRUE,"Récap";#N/A,#N/A,TRUE,"2001";#N/A,#N/A,TRUE,"2002";#N/A,#N/A,TRUE,"MN";#N/A,#N/A,TRUE,"CB-CN ";#N/A,#N/A,TRUE,"Point TVA (avec ES)"}</definedName>
    <definedName name="wrn.Dossier._.BEH._.2000." localSheetId="20" hidden="1">{#N/A,#N/A,TRUE,"Page de garde";#N/A,#N/A,TRUE,"Récap";#N/A,#N/A,TRUE,"2001";#N/A,#N/A,TRUE,"2002";#N/A,#N/A,TRUE,"MN";#N/A,#N/A,TRUE,"CB-CN ";#N/A,#N/A,TRUE,"Point TVA (avec ES)"}</definedName>
    <definedName name="wrn.Dossier._.BEH._.2000." localSheetId="24" hidden="1">{#N/A,#N/A,TRUE,"Page de garde";#N/A,#N/A,TRUE,"Récap";#N/A,#N/A,TRUE,"2001";#N/A,#N/A,TRUE,"2002";#N/A,#N/A,TRUE,"MN";#N/A,#N/A,TRUE,"CB-CN ";#N/A,#N/A,TRUE,"Point TVA (avec ES)"}</definedName>
    <definedName name="wrn.Dossier._.BEH._.2000." localSheetId="25" hidden="1">{#N/A,#N/A,TRUE,"Page de garde";#N/A,#N/A,TRUE,"Récap";#N/A,#N/A,TRUE,"2001";#N/A,#N/A,TRUE,"2002";#N/A,#N/A,TRUE,"MN";#N/A,#N/A,TRUE,"CB-CN ";#N/A,#N/A,TRUE,"Point TVA (avec ES)"}</definedName>
    <definedName name="wrn.Dossier._.BEH._.2000." localSheetId="31" hidden="1">{#N/A,#N/A,TRUE,"Page de garde";#N/A,#N/A,TRUE,"Récap";#N/A,#N/A,TRUE,"2001";#N/A,#N/A,TRUE,"2002";#N/A,#N/A,TRUE,"MN";#N/A,#N/A,TRUE,"CB-CN ";#N/A,#N/A,TRUE,"Point TVA (avec ES)"}</definedName>
    <definedName name="wrn.Dossier._.BEH._.2000." localSheetId="33" hidden="1">{#N/A,#N/A,TRUE,"Page de garde";#N/A,#N/A,TRUE,"Récap";#N/A,#N/A,TRUE,"2001";#N/A,#N/A,TRUE,"2002";#N/A,#N/A,TRUE,"MN";#N/A,#N/A,TRUE,"CB-CN ";#N/A,#N/A,TRUE,"Point TVA (avec ES)"}</definedName>
    <definedName name="wrn.Dossier._.BEH._.2000." localSheetId="28" hidden="1">{#N/A,#N/A,TRUE,"Page de garde";#N/A,#N/A,TRUE,"Récap";#N/A,#N/A,TRUE,"2001";#N/A,#N/A,TRUE,"2002";#N/A,#N/A,TRUE,"MN";#N/A,#N/A,TRUE,"CB-CN ";#N/A,#N/A,TRUE,"Point TVA (avec ES)"}</definedName>
    <definedName name="wrn.Dossier._.BEH._.2000." localSheetId="35" hidden="1">{#N/A,#N/A,TRUE,"Page de garde";#N/A,#N/A,TRUE,"Récap";#N/A,#N/A,TRUE,"2001";#N/A,#N/A,TRUE,"2002";#N/A,#N/A,TRUE,"MN";#N/A,#N/A,TRUE,"CB-CN ";#N/A,#N/A,TRUE,"Point TVA (avec ES)"}</definedName>
    <definedName name="wrn.Dossier._.BEH._.2000." localSheetId="37" hidden="1">{#N/A,#N/A,TRUE,"Page de garde";#N/A,#N/A,TRUE,"Récap";#N/A,#N/A,TRUE,"2001";#N/A,#N/A,TRUE,"2002";#N/A,#N/A,TRUE,"MN";#N/A,#N/A,TRUE,"CB-CN ";#N/A,#N/A,TRUE,"Point TVA (avec ES)"}</definedName>
    <definedName name="wrn.Dossier._.BEH._.2000." localSheetId="39" hidden="1">{#N/A,#N/A,TRUE,"Page de garde";#N/A,#N/A,TRUE,"Récap";#N/A,#N/A,TRUE,"2001";#N/A,#N/A,TRUE,"2002";#N/A,#N/A,TRUE,"MN";#N/A,#N/A,TRUE,"CB-CN ";#N/A,#N/A,TRUE,"Point TVA (avec ES)"}</definedName>
    <definedName name="wrn.Dossier._.BEH._.2000." hidden="1">{#N/A,#N/A,TRUE,"Page de garde";#N/A,#N/A,TRUE,"Récap";#N/A,#N/A,TRUE,"2001";#N/A,#N/A,TRUE,"2002";#N/A,#N/A,TRUE,"MN";#N/A,#N/A,TRUE,"CB-CN ";#N/A,#N/A,TRUE,"Point TVA (avec ES)"}</definedName>
    <definedName name="wrn.Dossier._.janvier." localSheetId="6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7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4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2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3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1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5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2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7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4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6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8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19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0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4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5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1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3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28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5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7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localSheetId="39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janvier." hidden="1">{#N/A,#N/A,FALSE,"c_janv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6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7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4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2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3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1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5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2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7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4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6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8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19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0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4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5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1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3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28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5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7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localSheetId="39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Dossier._.Sénat." hidden="1">{#N/A,#N/A,FALSE,"c_sénat";#N/A,#N/A,FALSE,"A1";#N/A,#N/A,FALSE,"B1";#N/A,#N/A,FALSE,"B2";#N/A,#N/A,FALSE,"C1";#N/A,#N/A,FALSE,"C3";#N/A,#N/A,FALSE,"C4";#N/A,#N/A,FALSE,"D1";#N/A,#N/A,FALSE,"D2";#N/A,#N/A,FALSE,"D3";#N/A,#N/A,FALSE,"E1A";#N/A,#N/A,FALSE,"E1B";#N/A,#N/A,FALSE,"E2";#N/A,#N/A,FALSE,"E3A ";#N/A,#N/A,FALSE,"E3B";#N/A,#N/A,FALSE,"E4";#N/A,#N/A,FALSE,"F1"}</definedName>
    <definedName name="wrn.sh_coul." localSheetId="6" hidden="1">{#N/A,#N/A,FALSE,"A2C";#N/A,#N/A,FALSE,"A3C";#N/A,#N/A,FALSE,"A4C";#N/A,#N/A,FALSE,"A5C";#N/A,#N/A,FALSE,"A3PRIVAT";#N/A,#N/A,FALSE,"A4LFI";#N/A,#N/A,FALSE,"A5LFI";#N/A,#N/A,FALSE,"C2C"}</definedName>
    <definedName name="wrn.sh_coul." localSheetId="7" hidden="1">{#N/A,#N/A,FALSE,"A2C";#N/A,#N/A,FALSE,"A3C";#N/A,#N/A,FALSE,"A4C";#N/A,#N/A,FALSE,"A5C";#N/A,#N/A,FALSE,"A3PRIVAT";#N/A,#N/A,FALSE,"A4LFI";#N/A,#N/A,FALSE,"A5LFI";#N/A,#N/A,FALSE,"C2C"}</definedName>
    <definedName name="wrn.sh_coul." localSheetId="14" hidden="1">{#N/A,#N/A,FALSE,"A2C";#N/A,#N/A,FALSE,"A3C";#N/A,#N/A,FALSE,"A4C";#N/A,#N/A,FALSE,"A5C";#N/A,#N/A,FALSE,"A3PRIVAT";#N/A,#N/A,FALSE,"A4LFI";#N/A,#N/A,FALSE,"A5LFI";#N/A,#N/A,FALSE,"C2C"}</definedName>
    <definedName name="wrn.sh_coul." localSheetId="12" hidden="1">{#N/A,#N/A,FALSE,"A2C";#N/A,#N/A,FALSE,"A3C";#N/A,#N/A,FALSE,"A4C";#N/A,#N/A,FALSE,"A5C";#N/A,#N/A,FALSE,"A3PRIVAT";#N/A,#N/A,FALSE,"A4LFI";#N/A,#N/A,FALSE,"A5LFI";#N/A,#N/A,FALSE,"C2C"}</definedName>
    <definedName name="wrn.sh_coul." localSheetId="13" hidden="1">{#N/A,#N/A,FALSE,"A2C";#N/A,#N/A,FALSE,"A3C";#N/A,#N/A,FALSE,"A4C";#N/A,#N/A,FALSE,"A5C";#N/A,#N/A,FALSE,"A3PRIVAT";#N/A,#N/A,FALSE,"A4LFI";#N/A,#N/A,FALSE,"A5LFI";#N/A,#N/A,FALSE,"C2C"}</definedName>
    <definedName name="wrn.sh_coul." localSheetId="11" hidden="1">{#N/A,#N/A,FALSE,"A2C";#N/A,#N/A,FALSE,"A3C";#N/A,#N/A,FALSE,"A4C";#N/A,#N/A,FALSE,"A5C";#N/A,#N/A,FALSE,"A3PRIVAT";#N/A,#N/A,FALSE,"A4LFI";#N/A,#N/A,FALSE,"A5LFI";#N/A,#N/A,FALSE,"C2C"}</definedName>
    <definedName name="wrn.sh_coul." localSheetId="15" hidden="1">{#N/A,#N/A,FALSE,"A2C";#N/A,#N/A,FALSE,"A3C";#N/A,#N/A,FALSE,"A4C";#N/A,#N/A,FALSE,"A5C";#N/A,#N/A,FALSE,"A3PRIVAT";#N/A,#N/A,FALSE,"A4LFI";#N/A,#N/A,FALSE,"A5LFI";#N/A,#N/A,FALSE,"C2C"}</definedName>
    <definedName name="wrn.sh_coul." localSheetId="32" hidden="1">{#N/A,#N/A,FALSE,"A2C";#N/A,#N/A,FALSE,"A3C";#N/A,#N/A,FALSE,"A4C";#N/A,#N/A,FALSE,"A5C";#N/A,#N/A,FALSE,"A3PRIVAT";#N/A,#N/A,FALSE,"A4LFI";#N/A,#N/A,FALSE,"A5LFI";#N/A,#N/A,FALSE,"C2C"}</definedName>
    <definedName name="wrn.sh_coul." localSheetId="27" hidden="1">{#N/A,#N/A,FALSE,"A2C";#N/A,#N/A,FALSE,"A3C";#N/A,#N/A,FALSE,"A4C";#N/A,#N/A,FALSE,"A5C";#N/A,#N/A,FALSE,"A3PRIVAT";#N/A,#N/A,FALSE,"A4LFI";#N/A,#N/A,FALSE,"A5LFI";#N/A,#N/A,FALSE,"C2C"}</definedName>
    <definedName name="wrn.sh_coul." localSheetId="34" hidden="1">{#N/A,#N/A,FALSE,"A2C";#N/A,#N/A,FALSE,"A3C";#N/A,#N/A,FALSE,"A4C";#N/A,#N/A,FALSE,"A5C";#N/A,#N/A,FALSE,"A3PRIVAT";#N/A,#N/A,FALSE,"A4LFI";#N/A,#N/A,FALSE,"A5LFI";#N/A,#N/A,FALSE,"C2C"}</definedName>
    <definedName name="wrn.sh_coul." localSheetId="36" hidden="1">{#N/A,#N/A,FALSE,"A2C";#N/A,#N/A,FALSE,"A3C";#N/A,#N/A,FALSE,"A4C";#N/A,#N/A,FALSE,"A5C";#N/A,#N/A,FALSE,"A3PRIVAT";#N/A,#N/A,FALSE,"A4LFI";#N/A,#N/A,FALSE,"A5LFI";#N/A,#N/A,FALSE,"C2C"}</definedName>
    <definedName name="wrn.sh_coul." localSheetId="38" hidden="1">{#N/A,#N/A,FALSE,"A2C";#N/A,#N/A,FALSE,"A3C";#N/A,#N/A,FALSE,"A4C";#N/A,#N/A,FALSE,"A5C";#N/A,#N/A,FALSE,"A3PRIVAT";#N/A,#N/A,FALSE,"A4LFI";#N/A,#N/A,FALSE,"A5LFI";#N/A,#N/A,FALSE,"C2C"}</definedName>
    <definedName name="wrn.sh_coul." localSheetId="19" hidden="1">{#N/A,#N/A,FALSE,"A2C";#N/A,#N/A,FALSE,"A3C";#N/A,#N/A,FALSE,"A4C";#N/A,#N/A,FALSE,"A5C";#N/A,#N/A,FALSE,"A3PRIVAT";#N/A,#N/A,FALSE,"A4LFI";#N/A,#N/A,FALSE,"A5LFI";#N/A,#N/A,FALSE,"C2C"}</definedName>
    <definedName name="wrn.sh_coul." localSheetId="20" hidden="1">{#N/A,#N/A,FALSE,"A2C";#N/A,#N/A,FALSE,"A3C";#N/A,#N/A,FALSE,"A4C";#N/A,#N/A,FALSE,"A5C";#N/A,#N/A,FALSE,"A3PRIVAT";#N/A,#N/A,FALSE,"A4LFI";#N/A,#N/A,FALSE,"A5LFI";#N/A,#N/A,FALSE,"C2C"}</definedName>
    <definedName name="wrn.sh_coul." localSheetId="24" hidden="1">{#N/A,#N/A,FALSE,"A2C";#N/A,#N/A,FALSE,"A3C";#N/A,#N/A,FALSE,"A4C";#N/A,#N/A,FALSE,"A5C";#N/A,#N/A,FALSE,"A3PRIVAT";#N/A,#N/A,FALSE,"A4LFI";#N/A,#N/A,FALSE,"A5LFI";#N/A,#N/A,FALSE,"C2C"}</definedName>
    <definedName name="wrn.sh_coul." localSheetId="25" hidden="1">{#N/A,#N/A,FALSE,"A2C";#N/A,#N/A,FALSE,"A3C";#N/A,#N/A,FALSE,"A4C";#N/A,#N/A,FALSE,"A5C";#N/A,#N/A,FALSE,"A3PRIVAT";#N/A,#N/A,FALSE,"A4LFI";#N/A,#N/A,FALSE,"A5LFI";#N/A,#N/A,FALSE,"C2C"}</definedName>
    <definedName name="wrn.sh_coul." localSheetId="31" hidden="1">{#N/A,#N/A,FALSE,"A2C";#N/A,#N/A,FALSE,"A3C";#N/A,#N/A,FALSE,"A4C";#N/A,#N/A,FALSE,"A5C";#N/A,#N/A,FALSE,"A3PRIVAT";#N/A,#N/A,FALSE,"A4LFI";#N/A,#N/A,FALSE,"A5LFI";#N/A,#N/A,FALSE,"C2C"}</definedName>
    <definedName name="wrn.sh_coul." localSheetId="33" hidden="1">{#N/A,#N/A,FALSE,"A2C";#N/A,#N/A,FALSE,"A3C";#N/A,#N/A,FALSE,"A4C";#N/A,#N/A,FALSE,"A5C";#N/A,#N/A,FALSE,"A3PRIVAT";#N/A,#N/A,FALSE,"A4LFI";#N/A,#N/A,FALSE,"A5LFI";#N/A,#N/A,FALSE,"C2C"}</definedName>
    <definedName name="wrn.sh_coul." localSheetId="28" hidden="1">{#N/A,#N/A,FALSE,"A2C";#N/A,#N/A,FALSE,"A3C";#N/A,#N/A,FALSE,"A4C";#N/A,#N/A,FALSE,"A5C";#N/A,#N/A,FALSE,"A3PRIVAT";#N/A,#N/A,FALSE,"A4LFI";#N/A,#N/A,FALSE,"A5LFI";#N/A,#N/A,FALSE,"C2C"}</definedName>
    <definedName name="wrn.sh_coul." localSheetId="35" hidden="1">{#N/A,#N/A,FALSE,"A2C";#N/A,#N/A,FALSE,"A3C";#N/A,#N/A,FALSE,"A4C";#N/A,#N/A,FALSE,"A5C";#N/A,#N/A,FALSE,"A3PRIVAT";#N/A,#N/A,FALSE,"A4LFI";#N/A,#N/A,FALSE,"A5LFI";#N/A,#N/A,FALSE,"C2C"}</definedName>
    <definedName name="wrn.sh_coul." localSheetId="37" hidden="1">{#N/A,#N/A,FALSE,"A2C";#N/A,#N/A,FALSE,"A3C";#N/A,#N/A,FALSE,"A4C";#N/A,#N/A,FALSE,"A5C";#N/A,#N/A,FALSE,"A3PRIVAT";#N/A,#N/A,FALSE,"A4LFI";#N/A,#N/A,FALSE,"A5LFI";#N/A,#N/A,FALSE,"C2C"}</definedName>
    <definedName name="wrn.sh_coul." localSheetId="39" hidden="1">{#N/A,#N/A,FALSE,"A2C";#N/A,#N/A,FALSE,"A3C";#N/A,#N/A,FALSE,"A4C";#N/A,#N/A,FALSE,"A5C";#N/A,#N/A,FALSE,"A3PRIVAT";#N/A,#N/A,FALSE,"A4LFI";#N/A,#N/A,FALSE,"A5LFI";#N/A,#N/A,FALSE,"C2C"}</definedName>
    <definedName name="wrn.sh_coul." hidden="1">{#N/A,#N/A,FALSE,"A2C";#N/A,#N/A,FALSE,"A3C";#N/A,#N/A,FALSE,"A4C";#N/A,#N/A,FALSE,"A5C";#N/A,#N/A,FALSE,"A3PRIVAT";#N/A,#N/A,FALSE,"A4LFI";#N/A,#N/A,FALSE,"A5LFI";#N/A,#N/A,FALSE,"C2C"}</definedName>
    <definedName name="wrn.sh_nb." localSheetId="6" hidden="1">{#N/A,#N/A,FALSE,"A2";#N/A,#N/A,FALSE,"A3";#N/A,#N/A,FALSE,"A4";#N/A,#N/A,FALSE,"A5";#N/A,#N/A,FALSE,"C2"}</definedName>
    <definedName name="wrn.sh_nb." localSheetId="7" hidden="1">{#N/A,#N/A,FALSE,"A2";#N/A,#N/A,FALSE,"A3";#N/A,#N/A,FALSE,"A4";#N/A,#N/A,FALSE,"A5";#N/A,#N/A,FALSE,"C2"}</definedName>
    <definedName name="wrn.sh_nb." localSheetId="14" hidden="1">{#N/A,#N/A,FALSE,"A2";#N/A,#N/A,FALSE,"A3";#N/A,#N/A,FALSE,"A4";#N/A,#N/A,FALSE,"A5";#N/A,#N/A,FALSE,"C2"}</definedName>
    <definedName name="wrn.sh_nb." localSheetId="12" hidden="1">{#N/A,#N/A,FALSE,"A2";#N/A,#N/A,FALSE,"A3";#N/A,#N/A,FALSE,"A4";#N/A,#N/A,FALSE,"A5";#N/A,#N/A,FALSE,"C2"}</definedName>
    <definedName name="wrn.sh_nb." localSheetId="13" hidden="1">{#N/A,#N/A,FALSE,"A2";#N/A,#N/A,FALSE,"A3";#N/A,#N/A,FALSE,"A4";#N/A,#N/A,FALSE,"A5";#N/A,#N/A,FALSE,"C2"}</definedName>
    <definedName name="wrn.sh_nb." localSheetId="11" hidden="1">{#N/A,#N/A,FALSE,"A2";#N/A,#N/A,FALSE,"A3";#N/A,#N/A,FALSE,"A4";#N/A,#N/A,FALSE,"A5";#N/A,#N/A,FALSE,"C2"}</definedName>
    <definedName name="wrn.sh_nb." localSheetId="15" hidden="1">{#N/A,#N/A,FALSE,"A2";#N/A,#N/A,FALSE,"A3";#N/A,#N/A,FALSE,"A4";#N/A,#N/A,FALSE,"A5";#N/A,#N/A,FALSE,"C2"}</definedName>
    <definedName name="wrn.sh_nb." localSheetId="32" hidden="1">{#N/A,#N/A,FALSE,"A2";#N/A,#N/A,FALSE,"A3";#N/A,#N/A,FALSE,"A4";#N/A,#N/A,FALSE,"A5";#N/A,#N/A,FALSE,"C2"}</definedName>
    <definedName name="wrn.sh_nb." localSheetId="27" hidden="1">{#N/A,#N/A,FALSE,"A2";#N/A,#N/A,FALSE,"A3";#N/A,#N/A,FALSE,"A4";#N/A,#N/A,FALSE,"A5";#N/A,#N/A,FALSE,"C2"}</definedName>
    <definedName name="wrn.sh_nb." localSheetId="34" hidden="1">{#N/A,#N/A,FALSE,"A2";#N/A,#N/A,FALSE,"A3";#N/A,#N/A,FALSE,"A4";#N/A,#N/A,FALSE,"A5";#N/A,#N/A,FALSE,"C2"}</definedName>
    <definedName name="wrn.sh_nb." localSheetId="36" hidden="1">{#N/A,#N/A,FALSE,"A2";#N/A,#N/A,FALSE,"A3";#N/A,#N/A,FALSE,"A4";#N/A,#N/A,FALSE,"A5";#N/A,#N/A,FALSE,"C2"}</definedName>
    <definedName name="wrn.sh_nb." localSheetId="38" hidden="1">{#N/A,#N/A,FALSE,"A2";#N/A,#N/A,FALSE,"A3";#N/A,#N/A,FALSE,"A4";#N/A,#N/A,FALSE,"A5";#N/A,#N/A,FALSE,"C2"}</definedName>
    <definedName name="wrn.sh_nb." localSheetId="19" hidden="1">{#N/A,#N/A,FALSE,"A2";#N/A,#N/A,FALSE,"A3";#N/A,#N/A,FALSE,"A4";#N/A,#N/A,FALSE,"A5";#N/A,#N/A,FALSE,"C2"}</definedName>
    <definedName name="wrn.sh_nb." localSheetId="20" hidden="1">{#N/A,#N/A,FALSE,"A2";#N/A,#N/A,FALSE,"A3";#N/A,#N/A,FALSE,"A4";#N/A,#N/A,FALSE,"A5";#N/A,#N/A,FALSE,"C2"}</definedName>
    <definedName name="wrn.sh_nb." localSheetId="24" hidden="1">{#N/A,#N/A,FALSE,"A2";#N/A,#N/A,FALSE,"A3";#N/A,#N/A,FALSE,"A4";#N/A,#N/A,FALSE,"A5";#N/A,#N/A,FALSE,"C2"}</definedName>
    <definedName name="wrn.sh_nb." localSheetId="25" hidden="1">{#N/A,#N/A,FALSE,"A2";#N/A,#N/A,FALSE,"A3";#N/A,#N/A,FALSE,"A4";#N/A,#N/A,FALSE,"A5";#N/A,#N/A,FALSE,"C2"}</definedName>
    <definedName name="wrn.sh_nb." localSheetId="31" hidden="1">{#N/A,#N/A,FALSE,"A2";#N/A,#N/A,FALSE,"A3";#N/A,#N/A,FALSE,"A4";#N/A,#N/A,FALSE,"A5";#N/A,#N/A,FALSE,"C2"}</definedName>
    <definedName name="wrn.sh_nb." localSheetId="33" hidden="1">{#N/A,#N/A,FALSE,"A2";#N/A,#N/A,FALSE,"A3";#N/A,#N/A,FALSE,"A4";#N/A,#N/A,FALSE,"A5";#N/A,#N/A,FALSE,"C2"}</definedName>
    <definedName name="wrn.sh_nb." localSheetId="28" hidden="1">{#N/A,#N/A,FALSE,"A2";#N/A,#N/A,FALSE,"A3";#N/A,#N/A,FALSE,"A4";#N/A,#N/A,FALSE,"A5";#N/A,#N/A,FALSE,"C2"}</definedName>
    <definedName name="wrn.sh_nb." localSheetId="35" hidden="1">{#N/A,#N/A,FALSE,"A2";#N/A,#N/A,FALSE,"A3";#N/A,#N/A,FALSE,"A4";#N/A,#N/A,FALSE,"A5";#N/A,#N/A,FALSE,"C2"}</definedName>
    <definedName name="wrn.sh_nb." localSheetId="37" hidden="1">{#N/A,#N/A,FALSE,"A2";#N/A,#N/A,FALSE,"A3";#N/A,#N/A,FALSE,"A4";#N/A,#N/A,FALSE,"A5";#N/A,#N/A,FALSE,"C2"}</definedName>
    <definedName name="wrn.sh_nb." localSheetId="39" hidden="1">{#N/A,#N/A,FALSE,"A2";#N/A,#N/A,FALSE,"A3";#N/A,#N/A,FALSE,"A4";#N/A,#N/A,FALSE,"A5";#N/A,#N/A,FALSE,"C2"}</definedName>
    <definedName name="wrn.sh_nb." hidden="1">{#N/A,#N/A,FALSE,"A2";#N/A,#N/A,FALSE,"A3";#N/A,#N/A,FALSE,"A4";#N/A,#N/A,FALSE,"A5";#N/A,#N/A,FALSE,"C2"}</definedName>
    <definedName name="wrn.Suivi._.mensuel." localSheetId="6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7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4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2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3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1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5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2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7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4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6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8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19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0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4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5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1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3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28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5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7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localSheetId="39" hidden="1">{#N/A,#N/A,FALSE,"Synthèse";#N/A,#N/A,FALSE,"Evolution de la TVA";#N/A,#N/A,FALSE,"Ventilation DGI-Douanes";#N/A,#N/A,FALSE,"prévision hors constaté ";#N/A,#N/A,FALSE,"recettes et écart à la prévisio"}</definedName>
    <definedName name="wrn.Suivi._.mensuel." hidden="1">{#N/A,#N/A,FALSE,"Synthèse";#N/A,#N/A,FALSE,"Evolution de la TVA";#N/A,#N/A,FALSE,"Ventilation DGI-Douanes";#N/A,#N/A,FALSE,"prévision hors constaté ";#N/A,#N/A,FALSE,"recettes et écart à la prévisio"}</definedName>
    <definedName name="x">"Chart 4"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16" i="85" l="1"/>
  <c r="AH22" i="85"/>
  <c r="AI19" i="85"/>
  <c r="AB178" i="87"/>
  <c r="J198" i="87"/>
  <c r="AB198" i="87" s="1"/>
  <c r="AK17" i="85"/>
  <c r="AK16" i="85"/>
  <c r="AK15" i="85"/>
  <c r="AJ19" i="85"/>
  <c r="AJ17" i="85"/>
  <c r="AJ16" i="85"/>
  <c r="AJ15" i="85"/>
  <c r="AI18" i="85"/>
  <c r="AI17" i="85"/>
  <c r="AI15" i="85"/>
  <c r="F56" i="86" l="1"/>
  <c r="I89" i="86" l="1"/>
  <c r="K72" i="86"/>
  <c r="H72" i="86"/>
  <c r="J72" i="86"/>
  <c r="J89" i="86"/>
  <c r="L72" i="86"/>
  <c r="H89" i="86"/>
  <c r="K89" i="86"/>
  <c r="L89" i="86"/>
  <c r="I72" i="86"/>
  <c r="U98" i="94"/>
  <c r="T98" i="94"/>
  <c r="S98" i="94"/>
  <c r="R98" i="94"/>
  <c r="Q98" i="94"/>
  <c r="P98" i="94"/>
  <c r="P77" i="94"/>
  <c r="Q77" i="94"/>
  <c r="R77" i="94"/>
  <c r="U77" i="94"/>
  <c r="T77" i="94"/>
  <c r="S77" i="94"/>
  <c r="U77" i="95"/>
  <c r="T77" i="95"/>
  <c r="S77" i="95"/>
  <c r="U98" i="95"/>
  <c r="T98" i="95"/>
  <c r="S98" i="95"/>
  <c r="P98" i="95"/>
  <c r="R98" i="95"/>
  <c r="Q98" i="95"/>
  <c r="R77" i="95"/>
  <c r="Q77" i="95"/>
  <c r="P77" i="95"/>
  <c r="J17" i="87"/>
  <c r="U2" i="86"/>
  <c r="S2" i="87"/>
  <c r="T2" i="87" s="1"/>
  <c r="V2" i="85"/>
  <c r="A6" i="67"/>
  <c r="B6" i="67" s="1"/>
  <c r="A6" i="66"/>
  <c r="B6" i="66" s="1"/>
  <c r="F32" i="2"/>
  <c r="R36" i="2" s="1"/>
  <c r="AE228" i="95"/>
  <c r="AD228" i="95"/>
  <c r="AC228" i="95"/>
  <c r="AB228" i="95"/>
  <c r="AA228" i="95"/>
  <c r="Z228" i="95"/>
  <c r="Y228" i="95"/>
  <c r="X228" i="95"/>
  <c r="W228" i="95"/>
  <c r="V228" i="95"/>
  <c r="U228" i="95"/>
  <c r="T228" i="95"/>
  <c r="S228" i="95"/>
  <c r="R228" i="95"/>
  <c r="Q228" i="95"/>
  <c r="P228" i="95"/>
  <c r="O228" i="95"/>
  <c r="N228" i="95"/>
  <c r="M228" i="95"/>
  <c r="L228" i="95"/>
  <c r="C222" i="95"/>
  <c r="C221" i="95"/>
  <c r="C220" i="95"/>
  <c r="C219" i="95"/>
  <c r="C218" i="95"/>
  <c r="C217" i="95"/>
  <c r="C216" i="95"/>
  <c r="C215" i="95"/>
  <c r="C214" i="95"/>
  <c r="C213" i="95"/>
  <c r="C212" i="95"/>
  <c r="C211" i="95"/>
  <c r="C210" i="95"/>
  <c r="C209" i="95"/>
  <c r="C208" i="95"/>
  <c r="C207" i="95"/>
  <c r="C206" i="95"/>
  <c r="C205" i="95"/>
  <c r="C204" i="95"/>
  <c r="C203" i="95"/>
  <c r="C202" i="95"/>
  <c r="C201" i="95"/>
  <c r="C200" i="95"/>
  <c r="C199" i="95"/>
  <c r="C198" i="95"/>
  <c r="C197" i="95"/>
  <c r="C196" i="95"/>
  <c r="C195" i="95"/>
  <c r="C194" i="95"/>
  <c r="C193" i="95"/>
  <c r="C192" i="95"/>
  <c r="C191" i="95"/>
  <c r="AE186" i="95"/>
  <c r="AD186" i="95"/>
  <c r="AC186" i="95"/>
  <c r="AB186" i="95"/>
  <c r="AA186" i="95"/>
  <c r="Z186" i="95"/>
  <c r="Y186" i="95"/>
  <c r="X186" i="95"/>
  <c r="W186" i="95"/>
  <c r="V186" i="95"/>
  <c r="U186" i="95"/>
  <c r="T186" i="95"/>
  <c r="S186" i="95"/>
  <c r="R186" i="95"/>
  <c r="Q186" i="95"/>
  <c r="P186" i="95"/>
  <c r="O186" i="95"/>
  <c r="N186" i="95"/>
  <c r="M186" i="95"/>
  <c r="L186" i="95"/>
  <c r="C180" i="95"/>
  <c r="C179" i="95"/>
  <c r="C178" i="95"/>
  <c r="C177" i="95"/>
  <c r="C176" i="95"/>
  <c r="C175" i="95"/>
  <c r="C174" i="95"/>
  <c r="C173" i="95"/>
  <c r="C172" i="95"/>
  <c r="C171" i="95"/>
  <c r="C170" i="95"/>
  <c r="C169" i="95"/>
  <c r="C168" i="95"/>
  <c r="C167" i="95"/>
  <c r="C166" i="95"/>
  <c r="C165" i="95"/>
  <c r="C164" i="95"/>
  <c r="C163" i="95"/>
  <c r="C162" i="95"/>
  <c r="C161" i="95"/>
  <c r="C160" i="95"/>
  <c r="C159" i="95"/>
  <c r="C158" i="95"/>
  <c r="C157" i="95"/>
  <c r="C156" i="95"/>
  <c r="C155" i="95"/>
  <c r="C154" i="95"/>
  <c r="C153" i="95"/>
  <c r="C152" i="95"/>
  <c r="C151" i="95"/>
  <c r="C150" i="95"/>
  <c r="C149" i="95"/>
  <c r="AE143" i="95"/>
  <c r="AD143" i="95"/>
  <c r="AC143" i="95"/>
  <c r="AB143" i="95"/>
  <c r="AA143" i="95"/>
  <c r="Z143" i="95"/>
  <c r="Y143" i="95"/>
  <c r="X143" i="95"/>
  <c r="W143" i="95"/>
  <c r="V143" i="95"/>
  <c r="U143" i="95"/>
  <c r="T143" i="95"/>
  <c r="S143" i="95"/>
  <c r="R143" i="95"/>
  <c r="Q143" i="95"/>
  <c r="P143" i="95"/>
  <c r="O143" i="95"/>
  <c r="N143" i="95"/>
  <c r="M143" i="95"/>
  <c r="L143" i="95"/>
  <c r="H141" i="95"/>
  <c r="H140" i="95"/>
  <c r="H139" i="95"/>
  <c r="H138" i="95"/>
  <c r="H137" i="95"/>
  <c r="H136" i="95"/>
  <c r="H134" i="95"/>
  <c r="H133" i="95"/>
  <c r="H132" i="95"/>
  <c r="H131" i="95"/>
  <c r="H130" i="95"/>
  <c r="H129" i="95"/>
  <c r="H128" i="95"/>
  <c r="H126" i="95"/>
  <c r="H122" i="95"/>
  <c r="H119" i="95"/>
  <c r="H118" i="95"/>
  <c r="H117" i="95"/>
  <c r="H116" i="95"/>
  <c r="H115" i="95"/>
  <c r="H112" i="95"/>
  <c r="H110" i="95"/>
  <c r="H111" i="95" s="1"/>
  <c r="AE102" i="95"/>
  <c r="AD102" i="95"/>
  <c r="AC102" i="95"/>
  <c r="AB102" i="95"/>
  <c r="AA102" i="95"/>
  <c r="Z102" i="95"/>
  <c r="Y102" i="95"/>
  <c r="X102" i="95"/>
  <c r="W102" i="95"/>
  <c r="V102" i="95"/>
  <c r="O102" i="95"/>
  <c r="N102" i="95"/>
  <c r="M102" i="95"/>
  <c r="L102" i="95"/>
  <c r="AE101" i="95"/>
  <c r="AD101" i="95"/>
  <c r="AC101" i="95"/>
  <c r="AB101" i="95"/>
  <c r="AA101" i="95"/>
  <c r="Z101" i="95"/>
  <c r="Y101" i="95"/>
  <c r="X101" i="95"/>
  <c r="W101" i="95"/>
  <c r="V101" i="95"/>
  <c r="U101" i="95"/>
  <c r="T101" i="95"/>
  <c r="S101" i="95"/>
  <c r="R101" i="95"/>
  <c r="Q101" i="95"/>
  <c r="P101" i="95"/>
  <c r="O101" i="95"/>
  <c r="N101" i="95"/>
  <c r="M101" i="95"/>
  <c r="L101" i="95"/>
  <c r="C94" i="95"/>
  <c r="C93" i="95"/>
  <c r="AE81" i="95"/>
  <c r="AD81" i="95"/>
  <c r="AC81" i="95"/>
  <c r="AB81" i="95"/>
  <c r="AA81" i="95"/>
  <c r="Z81" i="95"/>
  <c r="Y81" i="95"/>
  <c r="X81" i="95"/>
  <c r="W81" i="95"/>
  <c r="V81" i="95"/>
  <c r="O81" i="95"/>
  <c r="N81" i="95"/>
  <c r="M81" i="95"/>
  <c r="L81" i="95"/>
  <c r="AE80" i="95"/>
  <c r="AD80" i="95"/>
  <c r="AC80" i="95"/>
  <c r="AB80" i="95"/>
  <c r="AA80" i="95"/>
  <c r="Z80" i="95"/>
  <c r="Y80" i="95"/>
  <c r="X80" i="95"/>
  <c r="W80" i="95"/>
  <c r="V80" i="95"/>
  <c r="U80" i="95"/>
  <c r="T80" i="95"/>
  <c r="S80" i="95"/>
  <c r="R80" i="95"/>
  <c r="Q80" i="95"/>
  <c r="P80" i="95"/>
  <c r="O80" i="95"/>
  <c r="N80" i="95"/>
  <c r="M80" i="95"/>
  <c r="L80" i="95"/>
  <c r="C71" i="95"/>
  <c r="C92" i="95" s="1"/>
  <c r="C70" i="95"/>
  <c r="C91" i="95" s="1"/>
  <c r="C69" i="95"/>
  <c r="C90" i="95" s="1"/>
  <c r="C68" i="95"/>
  <c r="C89" i="95" s="1"/>
  <c r="C67" i="95"/>
  <c r="C88" i="95" s="1"/>
  <c r="C66" i="95"/>
  <c r="C87" i="95" s="1"/>
  <c r="C65" i="95"/>
  <c r="C86" i="95" s="1"/>
  <c r="AE57" i="95"/>
  <c r="AD57" i="95"/>
  <c r="AC57" i="95"/>
  <c r="AB57" i="95"/>
  <c r="AA57" i="95"/>
  <c r="Z57" i="95"/>
  <c r="Y57" i="95"/>
  <c r="X57" i="95"/>
  <c r="W57" i="95"/>
  <c r="V57" i="95"/>
  <c r="U57" i="95"/>
  <c r="T57" i="95"/>
  <c r="S57" i="95"/>
  <c r="R57" i="95"/>
  <c r="Q57" i="95"/>
  <c r="P57" i="95"/>
  <c r="O57" i="95"/>
  <c r="N57" i="95"/>
  <c r="M57" i="95"/>
  <c r="L57" i="95"/>
  <c r="AE56" i="95"/>
  <c r="AD56" i="95"/>
  <c r="AC56" i="95"/>
  <c r="AB56" i="95"/>
  <c r="AA56" i="95"/>
  <c r="Z56" i="95"/>
  <c r="Y56" i="95"/>
  <c r="X56" i="95"/>
  <c r="W56" i="95"/>
  <c r="V56" i="95"/>
  <c r="U56" i="95"/>
  <c r="T56" i="95"/>
  <c r="S56" i="95"/>
  <c r="R56" i="95"/>
  <c r="Q56" i="95"/>
  <c r="P56" i="95"/>
  <c r="O56" i="95"/>
  <c r="N56" i="95"/>
  <c r="M56" i="95"/>
  <c r="L56" i="95"/>
  <c r="AE55" i="95"/>
  <c r="AD55" i="95"/>
  <c r="AC55" i="95"/>
  <c r="AB55" i="95"/>
  <c r="AA55" i="95"/>
  <c r="Z55" i="95"/>
  <c r="Y55" i="95"/>
  <c r="X55" i="95"/>
  <c r="W55" i="95"/>
  <c r="V55" i="95"/>
  <c r="U55" i="95"/>
  <c r="T55" i="95"/>
  <c r="S55" i="95"/>
  <c r="R55" i="95"/>
  <c r="Q55" i="95"/>
  <c r="P55" i="95"/>
  <c r="O55" i="95"/>
  <c r="N55" i="95"/>
  <c r="M55" i="95"/>
  <c r="L55" i="95"/>
  <c r="AE54" i="95"/>
  <c r="AD54" i="95"/>
  <c r="AC54" i="95"/>
  <c r="AB54" i="95"/>
  <c r="AA54" i="95"/>
  <c r="Z54" i="95"/>
  <c r="Y54" i="95"/>
  <c r="X54" i="95"/>
  <c r="W54" i="95"/>
  <c r="V54" i="95"/>
  <c r="U54" i="95"/>
  <c r="T54" i="95"/>
  <c r="S54" i="95"/>
  <c r="R54" i="95"/>
  <c r="Q54" i="95"/>
  <c r="P54" i="95"/>
  <c r="O54" i="95"/>
  <c r="N54" i="95"/>
  <c r="M54" i="95"/>
  <c r="L54" i="95"/>
  <c r="AE53" i="95"/>
  <c r="AD53" i="95"/>
  <c r="AC53" i="95"/>
  <c r="AB53" i="95"/>
  <c r="AA53" i="95"/>
  <c r="Z53" i="95"/>
  <c r="Y53" i="95"/>
  <c r="X53" i="95"/>
  <c r="W53" i="95"/>
  <c r="V53" i="95"/>
  <c r="U53" i="95"/>
  <c r="T53" i="95"/>
  <c r="S53" i="95"/>
  <c r="R53" i="95"/>
  <c r="Q53" i="95"/>
  <c r="P53" i="95"/>
  <c r="O53" i="95"/>
  <c r="N53" i="95"/>
  <c r="M53" i="95"/>
  <c r="L53" i="95"/>
  <c r="AE52" i="95"/>
  <c r="AD52" i="95"/>
  <c r="AC52" i="95"/>
  <c r="AB52" i="95"/>
  <c r="AA52" i="95"/>
  <c r="Z52" i="95"/>
  <c r="Y52" i="95"/>
  <c r="X52" i="95"/>
  <c r="W52" i="95"/>
  <c r="V52" i="95"/>
  <c r="U52" i="95"/>
  <c r="T52" i="95"/>
  <c r="S52" i="95"/>
  <c r="R52" i="95"/>
  <c r="Q52" i="95"/>
  <c r="P52" i="95"/>
  <c r="O52" i="95"/>
  <c r="N52" i="95"/>
  <c r="M52" i="95"/>
  <c r="L52" i="95"/>
  <c r="AE51" i="95"/>
  <c r="AD51" i="95"/>
  <c r="AC51" i="95"/>
  <c r="AB51" i="95"/>
  <c r="AA51" i="95"/>
  <c r="Z51" i="95"/>
  <c r="Y51" i="95"/>
  <c r="X51" i="95"/>
  <c r="W51" i="95"/>
  <c r="V51" i="95"/>
  <c r="U51" i="95"/>
  <c r="T51" i="95"/>
  <c r="S51" i="95"/>
  <c r="R51" i="95"/>
  <c r="Q51" i="95"/>
  <c r="P51" i="95"/>
  <c r="O51" i="95"/>
  <c r="N51" i="95"/>
  <c r="M51" i="95"/>
  <c r="L51" i="95"/>
  <c r="AE50" i="95"/>
  <c r="AD50" i="95"/>
  <c r="AC50" i="95"/>
  <c r="AB50" i="95"/>
  <c r="AA50" i="95"/>
  <c r="Z50" i="95"/>
  <c r="Y50" i="95"/>
  <c r="X50" i="95"/>
  <c r="W50" i="95"/>
  <c r="V50" i="95"/>
  <c r="U50" i="95"/>
  <c r="T50" i="95"/>
  <c r="S50" i="95"/>
  <c r="R50" i="95"/>
  <c r="Q50" i="95"/>
  <c r="P50" i="95"/>
  <c r="O50" i="95"/>
  <c r="N50" i="95"/>
  <c r="M50" i="95"/>
  <c r="L50" i="95"/>
  <c r="AE49" i="95"/>
  <c r="AD49" i="95"/>
  <c r="AC49" i="95"/>
  <c r="AB49" i="95"/>
  <c r="AA49" i="95"/>
  <c r="Z49" i="95"/>
  <c r="Y49" i="95"/>
  <c r="X49" i="95"/>
  <c r="W49" i="95"/>
  <c r="V49" i="95"/>
  <c r="U49" i="95"/>
  <c r="T49" i="95"/>
  <c r="S49" i="95"/>
  <c r="R49" i="95"/>
  <c r="Q49" i="95"/>
  <c r="P49" i="95"/>
  <c r="O49" i="95"/>
  <c r="N49" i="95"/>
  <c r="M49" i="95"/>
  <c r="L49" i="95"/>
  <c r="AE46" i="95"/>
  <c r="AD46" i="95"/>
  <c r="AC46" i="95"/>
  <c r="AB46" i="95"/>
  <c r="AA46" i="95"/>
  <c r="Z46" i="95"/>
  <c r="Y46" i="95"/>
  <c r="X46" i="95"/>
  <c r="W46" i="95"/>
  <c r="V46" i="95"/>
  <c r="U46" i="95"/>
  <c r="T46" i="95"/>
  <c r="T81" i="95" s="1"/>
  <c r="S46" i="95"/>
  <c r="R46" i="95"/>
  <c r="R81" i="95" s="1"/>
  <c r="Q46" i="95"/>
  <c r="P46" i="95"/>
  <c r="P102" i="95" s="1"/>
  <c r="O46" i="95"/>
  <c r="N46" i="95"/>
  <c r="M46" i="95"/>
  <c r="L46" i="95"/>
  <c r="AE45" i="95"/>
  <c r="AD45" i="95"/>
  <c r="AC45" i="95"/>
  <c r="AB45" i="95"/>
  <c r="AA45" i="95"/>
  <c r="Z45" i="95"/>
  <c r="Y45" i="95"/>
  <c r="X45" i="95"/>
  <c r="W45" i="95"/>
  <c r="V45" i="95"/>
  <c r="U45" i="95"/>
  <c r="T45" i="95"/>
  <c r="S45" i="95"/>
  <c r="R45" i="95"/>
  <c r="Q45" i="95"/>
  <c r="P45" i="95"/>
  <c r="O45" i="95"/>
  <c r="N45" i="95"/>
  <c r="M45" i="95"/>
  <c r="L45" i="95"/>
  <c r="C42" i="95"/>
  <c r="C57" i="95" s="1"/>
  <c r="C41" i="95"/>
  <c r="C56" i="95" s="1"/>
  <c r="C40" i="95"/>
  <c r="C55" i="95" s="1"/>
  <c r="C39" i="95"/>
  <c r="C54" i="95" s="1"/>
  <c r="J38" i="95"/>
  <c r="I38" i="95"/>
  <c r="C38" i="95"/>
  <c r="C53" i="95" s="1"/>
  <c r="I37" i="95"/>
  <c r="J37" i="95" s="1"/>
  <c r="C37" i="95"/>
  <c r="C52" i="95" s="1"/>
  <c r="I36" i="95"/>
  <c r="J36" i="95" s="1"/>
  <c r="C36" i="95"/>
  <c r="C51" i="95" s="1"/>
  <c r="I35" i="95"/>
  <c r="J35" i="95" s="1"/>
  <c r="C35" i="95"/>
  <c r="C50" i="95" s="1"/>
  <c r="I34" i="95"/>
  <c r="J34" i="95" s="1"/>
  <c r="C34" i="95"/>
  <c r="C49" i="95" s="1"/>
  <c r="AE31" i="95"/>
  <c r="AE60" i="95" s="1"/>
  <c r="AD31" i="95"/>
  <c r="AD60" i="95" s="1"/>
  <c r="AC31" i="95"/>
  <c r="AC60" i="95" s="1"/>
  <c r="AB31" i="95"/>
  <c r="AB60" i="95" s="1"/>
  <c r="AA31" i="95"/>
  <c r="AA60" i="95" s="1"/>
  <c r="Z31" i="95"/>
  <c r="Z60" i="95" s="1"/>
  <c r="Y31" i="95"/>
  <c r="Y60" i="95" s="1"/>
  <c r="X31" i="95"/>
  <c r="X60" i="95" s="1"/>
  <c r="W31" i="95"/>
  <c r="W60" i="95" s="1"/>
  <c r="V31" i="95"/>
  <c r="V60" i="95" s="1"/>
  <c r="U31" i="95"/>
  <c r="U60" i="95" s="1"/>
  <c r="T31" i="95"/>
  <c r="T60" i="95" s="1"/>
  <c r="S31" i="95"/>
  <c r="S60" i="95" s="1"/>
  <c r="R31" i="95"/>
  <c r="Q31" i="95"/>
  <c r="Q60" i="95" s="1"/>
  <c r="P31" i="95"/>
  <c r="P60" i="95" s="1"/>
  <c r="O31" i="95"/>
  <c r="O60" i="95" s="1"/>
  <c r="N31" i="95"/>
  <c r="N60" i="95" s="1"/>
  <c r="M31" i="95"/>
  <c r="M60" i="95" s="1"/>
  <c r="L31" i="95"/>
  <c r="L60" i="95" s="1"/>
  <c r="AE228" i="94"/>
  <c r="AD228" i="94"/>
  <c r="AC228" i="94"/>
  <c r="AB228" i="94"/>
  <c r="AA228" i="94"/>
  <c r="Z228" i="94"/>
  <c r="Y228" i="94"/>
  <c r="X228" i="94"/>
  <c r="W228" i="94"/>
  <c r="V228" i="94"/>
  <c r="U228" i="94"/>
  <c r="T228" i="94"/>
  <c r="S228" i="94"/>
  <c r="R228" i="94"/>
  <c r="Q228" i="94"/>
  <c r="P228" i="94"/>
  <c r="O228" i="94"/>
  <c r="N228" i="94"/>
  <c r="M228" i="94"/>
  <c r="L228" i="94"/>
  <c r="C222" i="94"/>
  <c r="C221" i="94"/>
  <c r="C220" i="94"/>
  <c r="C219" i="94"/>
  <c r="C218" i="94"/>
  <c r="C217" i="94"/>
  <c r="C216" i="94"/>
  <c r="C215" i="94"/>
  <c r="C214" i="94"/>
  <c r="C213" i="94"/>
  <c r="C212" i="94"/>
  <c r="C211" i="94"/>
  <c r="C210" i="94"/>
  <c r="C209" i="94"/>
  <c r="C208" i="94"/>
  <c r="C207" i="94"/>
  <c r="C206" i="94"/>
  <c r="C205" i="94"/>
  <c r="C204" i="94"/>
  <c r="C203" i="94"/>
  <c r="C202" i="94"/>
  <c r="C201" i="94"/>
  <c r="C200" i="94"/>
  <c r="C199" i="94"/>
  <c r="C198" i="94"/>
  <c r="C197" i="94"/>
  <c r="C196" i="94"/>
  <c r="C195" i="94"/>
  <c r="C194" i="94"/>
  <c r="C193" i="94"/>
  <c r="C192" i="94"/>
  <c r="C191" i="94"/>
  <c r="AE186" i="94"/>
  <c r="AD186" i="94"/>
  <c r="AC186" i="94"/>
  <c r="AB186" i="94"/>
  <c r="AA186" i="94"/>
  <c r="Z186" i="94"/>
  <c r="Y186" i="94"/>
  <c r="X186" i="94"/>
  <c r="W186" i="94"/>
  <c r="V186" i="94"/>
  <c r="U186" i="94"/>
  <c r="T186" i="94"/>
  <c r="S186" i="94"/>
  <c r="R186" i="94"/>
  <c r="Q186" i="94"/>
  <c r="P186" i="94"/>
  <c r="O186" i="94"/>
  <c r="N186" i="94"/>
  <c r="M186" i="94"/>
  <c r="L186" i="94"/>
  <c r="C180" i="94"/>
  <c r="C179" i="94"/>
  <c r="C178" i="94"/>
  <c r="C177" i="94"/>
  <c r="C176" i="94"/>
  <c r="C175" i="94"/>
  <c r="C174" i="94"/>
  <c r="C173" i="94"/>
  <c r="C172" i="94"/>
  <c r="C171" i="94"/>
  <c r="C170" i="94"/>
  <c r="C169" i="94"/>
  <c r="C168" i="94"/>
  <c r="C167" i="94"/>
  <c r="C166" i="94"/>
  <c r="C165" i="94"/>
  <c r="C164" i="94"/>
  <c r="C163" i="94"/>
  <c r="C162" i="94"/>
  <c r="C161" i="94"/>
  <c r="C160" i="94"/>
  <c r="C159" i="94"/>
  <c r="C158" i="94"/>
  <c r="C157" i="94"/>
  <c r="C156" i="94"/>
  <c r="C155" i="94"/>
  <c r="C154" i="94"/>
  <c r="C153" i="94"/>
  <c r="C152" i="94"/>
  <c r="C151" i="94"/>
  <c r="C150" i="94"/>
  <c r="C149" i="94"/>
  <c r="AE143" i="94"/>
  <c r="AD143" i="94"/>
  <c r="AC143" i="94"/>
  <c r="AB143" i="94"/>
  <c r="AA143" i="94"/>
  <c r="Z143" i="94"/>
  <c r="Y143" i="94"/>
  <c r="X143" i="94"/>
  <c r="W143" i="94"/>
  <c r="V143" i="94"/>
  <c r="U143" i="94"/>
  <c r="T143" i="94"/>
  <c r="S143" i="94"/>
  <c r="R143" i="94"/>
  <c r="Q143" i="94"/>
  <c r="P143" i="94"/>
  <c r="O143" i="94"/>
  <c r="N143" i="94"/>
  <c r="M143" i="94"/>
  <c r="L143" i="94"/>
  <c r="H141" i="94"/>
  <c r="H140" i="94"/>
  <c r="H139" i="94"/>
  <c r="H138" i="94"/>
  <c r="H137" i="94"/>
  <c r="H136" i="94"/>
  <c r="H134" i="94"/>
  <c r="H133" i="94"/>
  <c r="H132" i="94"/>
  <c r="H131" i="94"/>
  <c r="H130" i="94"/>
  <c r="H129" i="94"/>
  <c r="H128" i="94"/>
  <c r="H126" i="94"/>
  <c r="H122" i="94"/>
  <c r="H119" i="94"/>
  <c r="H118" i="94"/>
  <c r="H117" i="94"/>
  <c r="H116" i="94"/>
  <c r="H115" i="94"/>
  <c r="H112" i="94"/>
  <c r="H111" i="94"/>
  <c r="H110" i="94"/>
  <c r="AE102" i="94"/>
  <c r="AD102" i="94"/>
  <c r="AC102" i="94"/>
  <c r="AB102" i="94"/>
  <c r="AA102" i="94"/>
  <c r="Z102" i="94"/>
  <c r="Y102" i="94"/>
  <c r="X102" i="94"/>
  <c r="W102" i="94"/>
  <c r="V102" i="94"/>
  <c r="O102" i="94"/>
  <c r="N102" i="94"/>
  <c r="M102" i="94"/>
  <c r="L102" i="94"/>
  <c r="AE101" i="94"/>
  <c r="AD101" i="94"/>
  <c r="AC101" i="94"/>
  <c r="AB101" i="94"/>
  <c r="AA101" i="94"/>
  <c r="Z101" i="94"/>
  <c r="Y101" i="94"/>
  <c r="X101" i="94"/>
  <c r="W101" i="94"/>
  <c r="V101" i="94"/>
  <c r="U101" i="94"/>
  <c r="T101" i="94"/>
  <c r="S101" i="94"/>
  <c r="R101" i="94"/>
  <c r="Q101" i="94"/>
  <c r="P101" i="94"/>
  <c r="O101" i="94"/>
  <c r="N101" i="94"/>
  <c r="M101" i="94"/>
  <c r="L101" i="94"/>
  <c r="C94" i="94"/>
  <c r="C93" i="94"/>
  <c r="AE81" i="94"/>
  <c r="AD81" i="94"/>
  <c r="AC81" i="94"/>
  <c r="AB81" i="94"/>
  <c r="AA81" i="94"/>
  <c r="Z81" i="94"/>
  <c r="Y81" i="94"/>
  <c r="X81" i="94"/>
  <c r="W81" i="94"/>
  <c r="V81" i="94"/>
  <c r="O81" i="94"/>
  <c r="N81" i="94"/>
  <c r="M81" i="94"/>
  <c r="L81" i="94"/>
  <c r="AE80" i="94"/>
  <c r="AD80" i="94"/>
  <c r="AC80" i="94"/>
  <c r="AB80" i="94"/>
  <c r="AA80" i="94"/>
  <c r="Z80" i="94"/>
  <c r="Y80" i="94"/>
  <c r="X80" i="94"/>
  <c r="W80" i="94"/>
  <c r="V80" i="94"/>
  <c r="U80" i="94"/>
  <c r="T80" i="94"/>
  <c r="S80" i="94"/>
  <c r="R80" i="94"/>
  <c r="Q80" i="94"/>
  <c r="P80" i="94"/>
  <c r="O80" i="94"/>
  <c r="N80" i="94"/>
  <c r="M80" i="94"/>
  <c r="L80" i="94"/>
  <c r="C71" i="94"/>
  <c r="C92" i="94" s="1"/>
  <c r="C70" i="94"/>
  <c r="C91" i="94" s="1"/>
  <c r="C69" i="94"/>
  <c r="C90" i="94" s="1"/>
  <c r="C68" i="94"/>
  <c r="C89" i="94" s="1"/>
  <c r="C67" i="94"/>
  <c r="C88" i="94" s="1"/>
  <c r="C66" i="94"/>
  <c r="C87" i="94" s="1"/>
  <c r="C65" i="94"/>
  <c r="C86" i="94" s="1"/>
  <c r="AE57" i="94"/>
  <c r="AD57" i="94"/>
  <c r="AC57" i="94"/>
  <c r="AB57" i="94"/>
  <c r="AA57" i="94"/>
  <c r="Z57" i="94"/>
  <c r="Y57" i="94"/>
  <c r="X57" i="94"/>
  <c r="W57" i="94"/>
  <c r="V57" i="94"/>
  <c r="U57" i="94"/>
  <c r="T57" i="94"/>
  <c r="S57" i="94"/>
  <c r="R57" i="94"/>
  <c r="Q57" i="94"/>
  <c r="P57" i="94"/>
  <c r="O57" i="94"/>
  <c r="N57" i="94"/>
  <c r="M57" i="94"/>
  <c r="L57" i="94"/>
  <c r="AE56" i="94"/>
  <c r="AD56" i="94"/>
  <c r="AC56" i="94"/>
  <c r="AB56" i="94"/>
  <c r="AA56" i="94"/>
  <c r="Z56" i="94"/>
  <c r="Y56" i="94"/>
  <c r="X56" i="94"/>
  <c r="W56" i="94"/>
  <c r="V56" i="94"/>
  <c r="U56" i="94"/>
  <c r="T56" i="94"/>
  <c r="S56" i="94"/>
  <c r="R56" i="94"/>
  <c r="Q56" i="94"/>
  <c r="P56" i="94"/>
  <c r="O56" i="94"/>
  <c r="N56" i="94"/>
  <c r="M56" i="94"/>
  <c r="L56" i="94"/>
  <c r="AE55" i="94"/>
  <c r="AD55" i="94"/>
  <c r="AC55" i="94"/>
  <c r="AB55" i="94"/>
  <c r="AA55" i="94"/>
  <c r="Z55" i="94"/>
  <c r="Y55" i="94"/>
  <c r="X55" i="94"/>
  <c r="W55" i="94"/>
  <c r="V55" i="94"/>
  <c r="U55" i="94"/>
  <c r="T55" i="94"/>
  <c r="S55" i="94"/>
  <c r="R55" i="94"/>
  <c r="Q55" i="94"/>
  <c r="P55" i="94"/>
  <c r="O55" i="94"/>
  <c r="N55" i="94"/>
  <c r="M55" i="94"/>
  <c r="L55" i="94"/>
  <c r="AE54" i="94"/>
  <c r="AD54" i="94"/>
  <c r="AC54" i="94"/>
  <c r="AB54" i="94"/>
  <c r="AA54" i="94"/>
  <c r="Z54" i="94"/>
  <c r="Y54" i="94"/>
  <c r="X54" i="94"/>
  <c r="W54" i="94"/>
  <c r="V54" i="94"/>
  <c r="U54" i="94"/>
  <c r="T54" i="94"/>
  <c r="S54" i="94"/>
  <c r="R54" i="94"/>
  <c r="Q54" i="94"/>
  <c r="P54" i="94"/>
  <c r="O54" i="94"/>
  <c r="N54" i="94"/>
  <c r="M54" i="94"/>
  <c r="L54" i="94"/>
  <c r="AE53" i="94"/>
  <c r="AD53" i="94"/>
  <c r="AC53" i="94"/>
  <c r="AB53" i="94"/>
  <c r="AA53" i="94"/>
  <c r="Z53" i="94"/>
  <c r="Y53" i="94"/>
  <c r="X53" i="94"/>
  <c r="W53" i="94"/>
  <c r="V53" i="94"/>
  <c r="U53" i="94"/>
  <c r="T53" i="94"/>
  <c r="S53" i="94"/>
  <c r="R53" i="94"/>
  <c r="Q53" i="94"/>
  <c r="P53" i="94"/>
  <c r="O53" i="94"/>
  <c r="N53" i="94"/>
  <c r="M53" i="94"/>
  <c r="L53" i="94"/>
  <c r="AE52" i="94"/>
  <c r="AD52" i="94"/>
  <c r="AC52" i="94"/>
  <c r="AB52" i="94"/>
  <c r="AA52" i="94"/>
  <c r="Z52" i="94"/>
  <c r="Y52" i="94"/>
  <c r="X52" i="94"/>
  <c r="W52" i="94"/>
  <c r="V52" i="94"/>
  <c r="U52" i="94"/>
  <c r="T52" i="94"/>
  <c r="S52" i="94"/>
  <c r="R52" i="94"/>
  <c r="Q52" i="94"/>
  <c r="P52" i="94"/>
  <c r="O52" i="94"/>
  <c r="N52" i="94"/>
  <c r="M52" i="94"/>
  <c r="L52" i="94"/>
  <c r="AE51" i="94"/>
  <c r="AD51" i="94"/>
  <c r="AC51" i="94"/>
  <c r="AB51" i="94"/>
  <c r="AA51" i="94"/>
  <c r="Z51" i="94"/>
  <c r="Y51" i="94"/>
  <c r="X51" i="94"/>
  <c r="W51" i="94"/>
  <c r="V51" i="94"/>
  <c r="U51" i="94"/>
  <c r="T51" i="94"/>
  <c r="S51" i="94"/>
  <c r="R51" i="94"/>
  <c r="Q51" i="94"/>
  <c r="P51" i="94"/>
  <c r="O51" i="94"/>
  <c r="N51" i="94"/>
  <c r="M51" i="94"/>
  <c r="L51" i="94"/>
  <c r="AE50" i="94"/>
  <c r="AD50" i="94"/>
  <c r="AC50" i="94"/>
  <c r="AB50" i="94"/>
  <c r="AA50" i="94"/>
  <c r="Z50" i="94"/>
  <c r="Y50" i="94"/>
  <c r="X50" i="94"/>
  <c r="W50" i="94"/>
  <c r="V50" i="94"/>
  <c r="U50" i="94"/>
  <c r="T50" i="94"/>
  <c r="S50" i="94"/>
  <c r="R50" i="94"/>
  <c r="Q50" i="94"/>
  <c r="P50" i="94"/>
  <c r="O50" i="94"/>
  <c r="N50" i="94"/>
  <c r="M50" i="94"/>
  <c r="L50" i="94"/>
  <c r="AE49" i="94"/>
  <c r="AD49" i="94"/>
  <c r="AC49" i="94"/>
  <c r="AB49" i="94"/>
  <c r="AA49" i="94"/>
  <c r="Z49" i="94"/>
  <c r="Y49" i="94"/>
  <c r="X49" i="94"/>
  <c r="W49" i="94"/>
  <c r="V49" i="94"/>
  <c r="U49" i="94"/>
  <c r="T49" i="94"/>
  <c r="S49" i="94"/>
  <c r="R49" i="94"/>
  <c r="Q49" i="94"/>
  <c r="P49" i="94"/>
  <c r="O49" i="94"/>
  <c r="N49" i="94"/>
  <c r="M49" i="94"/>
  <c r="L49" i="94"/>
  <c r="AE46" i="94"/>
  <c r="AD46" i="94"/>
  <c r="AC46" i="94"/>
  <c r="AB46" i="94"/>
  <c r="AA46" i="94"/>
  <c r="Z46" i="94"/>
  <c r="Y46" i="94"/>
  <c r="X46" i="94"/>
  <c r="W46" i="94"/>
  <c r="V46" i="94"/>
  <c r="U46" i="94"/>
  <c r="U102" i="94" s="1"/>
  <c r="T46" i="94"/>
  <c r="T102" i="94" s="1"/>
  <c r="S46" i="94"/>
  <c r="R46" i="94"/>
  <c r="R81" i="94" s="1"/>
  <c r="Q46" i="94"/>
  <c r="P46" i="94"/>
  <c r="P102" i="94" s="1"/>
  <c r="O46" i="94"/>
  <c r="N46" i="94"/>
  <c r="M46" i="94"/>
  <c r="L46" i="94"/>
  <c r="AE45" i="94"/>
  <c r="AD45" i="94"/>
  <c r="AC45" i="94"/>
  <c r="AB45" i="94"/>
  <c r="AA45" i="94"/>
  <c r="Z45" i="94"/>
  <c r="Y45" i="94"/>
  <c r="Y59" i="94" s="1"/>
  <c r="X45" i="94"/>
  <c r="W45" i="94"/>
  <c r="V45" i="94"/>
  <c r="U45" i="94"/>
  <c r="T45" i="94"/>
  <c r="S45" i="94"/>
  <c r="R45" i="94"/>
  <c r="Q45" i="94"/>
  <c r="Q59" i="94" s="1"/>
  <c r="P45" i="94"/>
  <c r="O45" i="94"/>
  <c r="N45" i="94"/>
  <c r="M45" i="94"/>
  <c r="L45" i="94"/>
  <c r="C42" i="94"/>
  <c r="C57" i="94" s="1"/>
  <c r="C41" i="94"/>
  <c r="C56" i="94" s="1"/>
  <c r="C40" i="94"/>
  <c r="C55" i="94" s="1"/>
  <c r="C39" i="94"/>
  <c r="C54" i="94" s="1"/>
  <c r="I38" i="94"/>
  <c r="J38" i="94" s="1"/>
  <c r="C38" i="94"/>
  <c r="C53" i="94" s="1"/>
  <c r="I37" i="94"/>
  <c r="J37" i="94" s="1"/>
  <c r="C37" i="94"/>
  <c r="C52" i="94" s="1"/>
  <c r="I36" i="94"/>
  <c r="J36" i="94" s="1"/>
  <c r="C36" i="94"/>
  <c r="C51" i="94" s="1"/>
  <c r="I35" i="94"/>
  <c r="J35" i="94" s="1"/>
  <c r="C35" i="94"/>
  <c r="C50" i="94" s="1"/>
  <c r="I34" i="94"/>
  <c r="J34" i="94" s="1"/>
  <c r="C34" i="94"/>
  <c r="C49" i="94" s="1"/>
  <c r="AE31" i="94"/>
  <c r="AE60" i="94" s="1"/>
  <c r="AD31" i="94"/>
  <c r="AD60" i="94" s="1"/>
  <c r="AC31" i="94"/>
  <c r="AC60" i="94" s="1"/>
  <c r="AB31" i="94"/>
  <c r="AB60" i="94" s="1"/>
  <c r="AA31" i="94"/>
  <c r="AA60" i="94" s="1"/>
  <c r="Z31" i="94"/>
  <c r="Z59" i="94" s="1"/>
  <c r="Y31" i="94"/>
  <c r="Y60" i="94" s="1"/>
  <c r="X31" i="94"/>
  <c r="X60" i="94" s="1"/>
  <c r="W31" i="94"/>
  <c r="W60" i="94" s="1"/>
  <c r="V31" i="94"/>
  <c r="V60" i="94" s="1"/>
  <c r="U31" i="94"/>
  <c r="U60" i="94" s="1"/>
  <c r="T31" i="94"/>
  <c r="T60" i="94" s="1"/>
  <c r="S31" i="94"/>
  <c r="S60" i="94" s="1"/>
  <c r="R31" i="94"/>
  <c r="R60" i="94" s="1"/>
  <c r="Q31" i="94"/>
  <c r="Q60" i="94" s="1"/>
  <c r="P31" i="94"/>
  <c r="P60" i="94" s="1"/>
  <c r="O31" i="94"/>
  <c r="O60" i="94" s="1"/>
  <c r="N31" i="94"/>
  <c r="N59" i="94" s="1"/>
  <c r="M31" i="94"/>
  <c r="M60" i="94" s="1"/>
  <c r="L31" i="94"/>
  <c r="L60" i="94" s="1"/>
  <c r="C33" i="7"/>
  <c r="C34" i="7"/>
  <c r="C35" i="7"/>
  <c r="C36" i="7"/>
  <c r="C37" i="7"/>
  <c r="C38" i="7"/>
  <c r="C39" i="7"/>
  <c r="E37" i="87" s="1"/>
  <c r="U78" i="7"/>
  <c r="R78" i="7"/>
  <c r="C40" i="90"/>
  <c r="I34" i="43"/>
  <c r="AA59" i="94" l="1"/>
  <c r="S81" i="94"/>
  <c r="H113" i="94"/>
  <c r="H114" i="94" s="1"/>
  <c r="O59" i="95"/>
  <c r="W59" i="95"/>
  <c r="AE59" i="95"/>
  <c r="Y59" i="95"/>
  <c r="X59" i="95"/>
  <c r="M59" i="94"/>
  <c r="U59" i="94"/>
  <c r="AC59" i="94"/>
  <c r="Q102" i="94"/>
  <c r="S59" i="95"/>
  <c r="AA59" i="95"/>
  <c r="R102" i="94"/>
  <c r="AB59" i="94"/>
  <c r="L59" i="95"/>
  <c r="AB59" i="95"/>
  <c r="T59" i="94"/>
  <c r="O59" i="94"/>
  <c r="W59" i="94"/>
  <c r="AE59" i="94"/>
  <c r="M59" i="95"/>
  <c r="AC59" i="95"/>
  <c r="Q102" i="95"/>
  <c r="L59" i="94"/>
  <c r="P59" i="94"/>
  <c r="X59" i="94"/>
  <c r="U102" i="95"/>
  <c r="S102" i="95"/>
  <c r="L44" i="87"/>
  <c r="M47" i="87"/>
  <c r="K45" i="87"/>
  <c r="L48" i="87"/>
  <c r="J46" i="87"/>
  <c r="N46" i="87"/>
  <c r="M44" i="87"/>
  <c r="L45" i="87"/>
  <c r="K46" i="87"/>
  <c r="J47" i="87"/>
  <c r="N47" i="87"/>
  <c r="M48" i="87"/>
  <c r="J44" i="87"/>
  <c r="N44" i="87"/>
  <c r="M45" i="87"/>
  <c r="L46" i="87"/>
  <c r="K47" i="87"/>
  <c r="J48" i="87"/>
  <c r="N48" i="87"/>
  <c r="K44" i="87"/>
  <c r="J45" i="87"/>
  <c r="N45" i="87"/>
  <c r="M46" i="87"/>
  <c r="L47" i="87"/>
  <c r="K48" i="87"/>
  <c r="Q37" i="2"/>
  <c r="Q36" i="2"/>
  <c r="R37" i="2"/>
  <c r="P37" i="2"/>
  <c r="P36" i="2"/>
  <c r="I143" i="95"/>
  <c r="J143" i="95"/>
  <c r="R59" i="95"/>
  <c r="P59" i="95"/>
  <c r="T59" i="95"/>
  <c r="Q59" i="95"/>
  <c r="U59" i="95"/>
  <c r="R102" i="95"/>
  <c r="I143" i="94"/>
  <c r="J143" i="94"/>
  <c r="S59" i="94"/>
  <c r="N59" i="95"/>
  <c r="V59" i="95"/>
  <c r="AD59" i="95"/>
  <c r="R60" i="95"/>
  <c r="S81" i="95"/>
  <c r="P81" i="95"/>
  <c r="H113" i="95"/>
  <c r="H114" i="95" s="1"/>
  <c r="Q81" i="95"/>
  <c r="U81" i="95"/>
  <c r="T102" i="95"/>
  <c r="Z59" i="95"/>
  <c r="R59" i="94"/>
  <c r="AD59" i="94"/>
  <c r="P81" i="94"/>
  <c r="T81" i="94"/>
  <c r="S102" i="94"/>
  <c r="V59" i="94"/>
  <c r="N60" i="94"/>
  <c r="Z60" i="94"/>
  <c r="Q81" i="94"/>
  <c r="U81" i="94"/>
  <c r="U80" i="90"/>
  <c r="AE101" i="90"/>
  <c r="AD101" i="90"/>
  <c r="AC101" i="90"/>
  <c r="AB101" i="90"/>
  <c r="AA101" i="90"/>
  <c r="Z101" i="90"/>
  <c r="Y101" i="90"/>
  <c r="X101" i="90"/>
  <c r="W101" i="90"/>
  <c r="V101" i="90"/>
  <c r="O101" i="90"/>
  <c r="N101" i="90"/>
  <c r="M101" i="90"/>
  <c r="L101" i="90"/>
  <c r="AE80" i="90"/>
  <c r="AD80" i="90"/>
  <c r="AC80" i="90"/>
  <c r="AB80" i="90"/>
  <c r="AA80" i="90"/>
  <c r="Z80" i="90"/>
  <c r="Y80" i="90"/>
  <c r="X80" i="90"/>
  <c r="W80" i="90"/>
  <c r="V80" i="90"/>
  <c r="T80" i="90"/>
  <c r="S80" i="90"/>
  <c r="R80" i="90"/>
  <c r="Q80" i="90"/>
  <c r="P80" i="90"/>
  <c r="O80" i="90"/>
  <c r="N80" i="90"/>
  <c r="M80" i="90"/>
  <c r="L80" i="90"/>
  <c r="I109" i="7"/>
  <c r="J109" i="7" s="1"/>
  <c r="I110" i="7"/>
  <c r="J110" i="7" s="1"/>
  <c r="I111" i="7"/>
  <c r="J111" i="7" s="1"/>
  <c r="I112" i="7"/>
  <c r="J112" i="7" s="1"/>
  <c r="I113" i="7"/>
  <c r="J113" i="7" s="1"/>
  <c r="I114" i="7"/>
  <c r="J114" i="7" s="1"/>
  <c r="I115" i="7"/>
  <c r="J115" i="7" s="1"/>
  <c r="I116" i="7"/>
  <c r="J116" i="7" s="1"/>
  <c r="I117" i="7"/>
  <c r="J117" i="7" s="1"/>
  <c r="I118" i="7"/>
  <c r="J118" i="7" s="1"/>
  <c r="I119" i="7"/>
  <c r="J119" i="7" s="1"/>
  <c r="I120" i="7"/>
  <c r="J120" i="7" s="1"/>
  <c r="I121" i="7"/>
  <c r="J121" i="7" s="1"/>
  <c r="I122" i="7"/>
  <c r="J122" i="7" s="1"/>
  <c r="I123" i="7"/>
  <c r="J123" i="7" s="1"/>
  <c r="I124" i="7"/>
  <c r="J124" i="7" s="1"/>
  <c r="I125" i="7"/>
  <c r="J125" i="7" s="1"/>
  <c r="I126" i="7"/>
  <c r="J126" i="7" s="1"/>
  <c r="I127" i="7"/>
  <c r="J127" i="7" s="1"/>
  <c r="I128" i="7"/>
  <c r="J128" i="7" s="1"/>
  <c r="I129" i="7"/>
  <c r="J129" i="7" s="1"/>
  <c r="I130" i="7"/>
  <c r="J130" i="7" s="1"/>
  <c r="I131" i="7"/>
  <c r="J131" i="7" s="1"/>
  <c r="I132" i="7"/>
  <c r="J132" i="7" s="1"/>
  <c r="I133" i="7"/>
  <c r="J133" i="7" s="1"/>
  <c r="I108" i="7"/>
  <c r="J108" i="7" s="1"/>
  <c r="BL166" i="89"/>
  <c r="BK166" i="89"/>
  <c r="BJ166" i="89"/>
  <c r="BI166" i="89"/>
  <c r="BH166" i="89"/>
  <c r="BL165" i="89"/>
  <c r="BK165" i="89"/>
  <c r="BJ165" i="89"/>
  <c r="BI165" i="89"/>
  <c r="BH165" i="89"/>
  <c r="BL164" i="89"/>
  <c r="BK164" i="89"/>
  <c r="BJ164" i="89"/>
  <c r="BI164" i="89"/>
  <c r="BH164" i="89"/>
  <c r="BL163" i="89"/>
  <c r="BK163" i="89"/>
  <c r="BJ163" i="89"/>
  <c r="BI163" i="89"/>
  <c r="BH163" i="89"/>
  <c r="BL162" i="89"/>
  <c r="BK162" i="89"/>
  <c r="BJ162" i="89"/>
  <c r="BI162" i="89"/>
  <c r="BH162" i="89"/>
  <c r="BL161" i="89"/>
  <c r="BK161" i="89"/>
  <c r="BJ161" i="89"/>
  <c r="BI161" i="89"/>
  <c r="BH161" i="89"/>
  <c r="BL160" i="89"/>
  <c r="BK160" i="89"/>
  <c r="BJ160" i="89"/>
  <c r="BI160" i="89"/>
  <c r="BH160" i="89"/>
  <c r="BL159" i="89"/>
  <c r="BK159" i="89"/>
  <c r="BJ159" i="89"/>
  <c r="BI159" i="89"/>
  <c r="BH159" i="89"/>
  <c r="BL158" i="89"/>
  <c r="BK158" i="89"/>
  <c r="BJ158" i="89"/>
  <c r="BI158" i="89"/>
  <c r="BH158" i="89"/>
  <c r="BL157" i="89"/>
  <c r="BK157" i="89"/>
  <c r="BJ157" i="89"/>
  <c r="BI157" i="89"/>
  <c r="BH157" i="89"/>
  <c r="BL156" i="89"/>
  <c r="BK156" i="89"/>
  <c r="BJ156" i="89"/>
  <c r="BI156" i="89"/>
  <c r="BH156" i="89"/>
  <c r="BL155" i="89"/>
  <c r="BK155" i="89"/>
  <c r="BJ155" i="89"/>
  <c r="BI155" i="89"/>
  <c r="BH155" i="89"/>
  <c r="BL154" i="89"/>
  <c r="BK154" i="89"/>
  <c r="BJ154" i="89"/>
  <c r="BI154" i="89"/>
  <c r="BH154" i="89"/>
  <c r="BL153" i="89"/>
  <c r="BK153" i="89"/>
  <c r="BJ153" i="89"/>
  <c r="BH153" i="89"/>
  <c r="BI153" i="89"/>
  <c r="H120" i="95" l="1"/>
  <c r="H121" i="95" s="1"/>
  <c r="H120" i="94"/>
  <c r="BF22" i="88"/>
  <c r="BG22" i="88" s="1"/>
  <c r="BH22" i="88" s="1"/>
  <c r="BI22" i="88" s="1"/>
  <c r="BJ22" i="88" s="1"/>
  <c r="BF18" i="88"/>
  <c r="BG18" i="88" s="1"/>
  <c r="BH18" i="88" s="1"/>
  <c r="BI18" i="88" s="1"/>
  <c r="BJ18" i="88" s="1"/>
  <c r="BF14" i="88"/>
  <c r="BG14" i="88" s="1"/>
  <c r="BH14" i="88" s="1"/>
  <c r="BI14" i="88" s="1"/>
  <c r="BJ14" i="88" s="1"/>
  <c r="BA346" i="89"/>
  <c r="BA345" i="89"/>
  <c r="BA344" i="89"/>
  <c r="BA343" i="89"/>
  <c r="BA342" i="89"/>
  <c r="BA341" i="89"/>
  <c r="BA340" i="89"/>
  <c r="BA339" i="89"/>
  <c r="BA338" i="89"/>
  <c r="BA337" i="89"/>
  <c r="BA336" i="89"/>
  <c r="BA335" i="89"/>
  <c r="BA334" i="89"/>
  <c r="BA333" i="89"/>
  <c r="BA332" i="89"/>
  <c r="BA331" i="89"/>
  <c r="BA330" i="89"/>
  <c r="BA329" i="89"/>
  <c r="BA328" i="89"/>
  <c r="BA327" i="89"/>
  <c r="BA326" i="89"/>
  <c r="BA325" i="89"/>
  <c r="BA324" i="89"/>
  <c r="BA323" i="89"/>
  <c r="BA322" i="89"/>
  <c r="BA321" i="89"/>
  <c r="BA320" i="89"/>
  <c r="BA319" i="89"/>
  <c r="BA318" i="89"/>
  <c r="BA317" i="89"/>
  <c r="BA316" i="89"/>
  <c r="BA315" i="89"/>
  <c r="BA314" i="89"/>
  <c r="BA313" i="89"/>
  <c r="BA312" i="89"/>
  <c r="BA311" i="89"/>
  <c r="BA310" i="89"/>
  <c r="BA309" i="89"/>
  <c r="BA308" i="89"/>
  <c r="BA307" i="89"/>
  <c r="BA306" i="89"/>
  <c r="BA305" i="89"/>
  <c r="BA304" i="89"/>
  <c r="BA303" i="89"/>
  <c r="BA302" i="89"/>
  <c r="BA301" i="89"/>
  <c r="BA300" i="89"/>
  <c r="BA299" i="89"/>
  <c r="BA298" i="89"/>
  <c r="BA297" i="89"/>
  <c r="BA296" i="89"/>
  <c r="BA295" i="89"/>
  <c r="BA294" i="89"/>
  <c r="BA293" i="89"/>
  <c r="BA292" i="89"/>
  <c r="BA291" i="89"/>
  <c r="BA290" i="89"/>
  <c r="BA289" i="89"/>
  <c r="BA288" i="89"/>
  <c r="BA287" i="89"/>
  <c r="BA286" i="89"/>
  <c r="BA285" i="89"/>
  <c r="BA284" i="89"/>
  <c r="BA283" i="89"/>
  <c r="BA282" i="89"/>
  <c r="BA281" i="89"/>
  <c r="BA280" i="89"/>
  <c r="BA279" i="89"/>
  <c r="BA278" i="89"/>
  <c r="BA277" i="89"/>
  <c r="BA276" i="89"/>
  <c r="BA275" i="89"/>
  <c r="BA274" i="89"/>
  <c r="BA273" i="89"/>
  <c r="BA272" i="89"/>
  <c r="BA271" i="89"/>
  <c r="BA270" i="89"/>
  <c r="BA269" i="89"/>
  <c r="BA268" i="89"/>
  <c r="BA267" i="89"/>
  <c r="BA266" i="89"/>
  <c r="BA265" i="89"/>
  <c r="BA264" i="89"/>
  <c r="BA263" i="89"/>
  <c r="BA262" i="89"/>
  <c r="BA261" i="89"/>
  <c r="BA260" i="89"/>
  <c r="BA259" i="89"/>
  <c r="BA258" i="89"/>
  <c r="BA257" i="89"/>
  <c r="BA256" i="89"/>
  <c r="BA255" i="89"/>
  <c r="BA254" i="89"/>
  <c r="BA253" i="89"/>
  <c r="BA252" i="89"/>
  <c r="BA251" i="89"/>
  <c r="BA250" i="89"/>
  <c r="BA249" i="89"/>
  <c r="BA248" i="89"/>
  <c r="BA247" i="89"/>
  <c r="BA246" i="89"/>
  <c r="BA245" i="89"/>
  <c r="BA244" i="89"/>
  <c r="BA243" i="89"/>
  <c r="BA242" i="89"/>
  <c r="BA241" i="89"/>
  <c r="BA240" i="89"/>
  <c r="BA239" i="89"/>
  <c r="BA238" i="89"/>
  <c r="BA237" i="89"/>
  <c r="BA236" i="89"/>
  <c r="BA235" i="89"/>
  <c r="BA234" i="89"/>
  <c r="BA233" i="89"/>
  <c r="BA232" i="89"/>
  <c r="BA231" i="89"/>
  <c r="BA230" i="89"/>
  <c r="BA229" i="89"/>
  <c r="BA228" i="89"/>
  <c r="BA227" i="89"/>
  <c r="BA226" i="89"/>
  <c r="BA225" i="89"/>
  <c r="BA224" i="89"/>
  <c r="BA223" i="89"/>
  <c r="BA222" i="89"/>
  <c r="BA221" i="89"/>
  <c r="BA220" i="89"/>
  <c r="BA219" i="89"/>
  <c r="BA218" i="89"/>
  <c r="BA217" i="89"/>
  <c r="BA216" i="89"/>
  <c r="BA215" i="89"/>
  <c r="BA214" i="89"/>
  <c r="BA213" i="89"/>
  <c r="BA212" i="89"/>
  <c r="BA211" i="89"/>
  <c r="BA210" i="89"/>
  <c r="BA209" i="89"/>
  <c r="BA208" i="89"/>
  <c r="BA207" i="89"/>
  <c r="BA206" i="89"/>
  <c r="BA205" i="89"/>
  <c r="BA204" i="89"/>
  <c r="BA203" i="89"/>
  <c r="BA202" i="89"/>
  <c r="BA201" i="89"/>
  <c r="BA200" i="89"/>
  <c r="BA199" i="89"/>
  <c r="BA198" i="89"/>
  <c r="BA197" i="89"/>
  <c r="BA196" i="89"/>
  <c r="BA195" i="89"/>
  <c r="BA194" i="89"/>
  <c r="BA193" i="89"/>
  <c r="BA192" i="89"/>
  <c r="BA191" i="89"/>
  <c r="BA190" i="89"/>
  <c r="BA189" i="89"/>
  <c r="BA188" i="89"/>
  <c r="BA187" i="89"/>
  <c r="BA186" i="89"/>
  <c r="BA185" i="89"/>
  <c r="BA184" i="89"/>
  <c r="BA183" i="89"/>
  <c r="BA182" i="89"/>
  <c r="BA181" i="89"/>
  <c r="BA180" i="89"/>
  <c r="BA179" i="89"/>
  <c r="BA178" i="89"/>
  <c r="BA177" i="89"/>
  <c r="BA176" i="89"/>
  <c r="BA175" i="89"/>
  <c r="BA174" i="89"/>
  <c r="BA173" i="89"/>
  <c r="BA172" i="89"/>
  <c r="BA171" i="89"/>
  <c r="BA170" i="89"/>
  <c r="BA169" i="89"/>
  <c r="BA168" i="89"/>
  <c r="BA167" i="89"/>
  <c r="BA166" i="89"/>
  <c r="BA165" i="89"/>
  <c r="BA164" i="89"/>
  <c r="BA163" i="89"/>
  <c r="BA162" i="89"/>
  <c r="BA161" i="89"/>
  <c r="BA160" i="89"/>
  <c r="BA159" i="89"/>
  <c r="BA158" i="89"/>
  <c r="BA157" i="89"/>
  <c r="BA156" i="89"/>
  <c r="BA155" i="89"/>
  <c r="BA154" i="89"/>
  <c r="BA153" i="89"/>
  <c r="BA152" i="89"/>
  <c r="BA151" i="89"/>
  <c r="BA150" i="89"/>
  <c r="BA149" i="89"/>
  <c r="BA148" i="89"/>
  <c r="BA147" i="89"/>
  <c r="BA146" i="89"/>
  <c r="BA145" i="89"/>
  <c r="BA144" i="89"/>
  <c r="BA143" i="89"/>
  <c r="BA142" i="89"/>
  <c r="BA141" i="89"/>
  <c r="BA140" i="89"/>
  <c r="BA139" i="89"/>
  <c r="BA138" i="89"/>
  <c r="BA137" i="89"/>
  <c r="BA136" i="89"/>
  <c r="BA135" i="89"/>
  <c r="BA134" i="89"/>
  <c r="BA133" i="89"/>
  <c r="BA132" i="89"/>
  <c r="BA131" i="89"/>
  <c r="BA130" i="89"/>
  <c r="BA129" i="89"/>
  <c r="BA128" i="89"/>
  <c r="BA127" i="89"/>
  <c r="BA126" i="89"/>
  <c r="BA125" i="89"/>
  <c r="BA124" i="89"/>
  <c r="BA123" i="89"/>
  <c r="BA122" i="89"/>
  <c r="BA121" i="89"/>
  <c r="BA120" i="89"/>
  <c r="BA119" i="89"/>
  <c r="BA118" i="89"/>
  <c r="BA117" i="89"/>
  <c r="BA116" i="89"/>
  <c r="BA115" i="89"/>
  <c r="BA114" i="89"/>
  <c r="BA113" i="89"/>
  <c r="BA112" i="89"/>
  <c r="BA111" i="89"/>
  <c r="BA110" i="89"/>
  <c r="BA109" i="89"/>
  <c r="BA108" i="89"/>
  <c r="BA107" i="89"/>
  <c r="BA106" i="89"/>
  <c r="BA105" i="89"/>
  <c r="BA104" i="89"/>
  <c r="BA103" i="89"/>
  <c r="BA102" i="89"/>
  <c r="BA101" i="89"/>
  <c r="BA100" i="89"/>
  <c r="BA99" i="89"/>
  <c r="BA98" i="89"/>
  <c r="BA97" i="89"/>
  <c r="BA96" i="89"/>
  <c r="BA95" i="89"/>
  <c r="BA94" i="89"/>
  <c r="BA93" i="89"/>
  <c r="BA92" i="89"/>
  <c r="BA91" i="89"/>
  <c r="BA90" i="89"/>
  <c r="BA89" i="89"/>
  <c r="BA88" i="89"/>
  <c r="BA87" i="89"/>
  <c r="BA86" i="89"/>
  <c r="BA85" i="89"/>
  <c r="BA84" i="89"/>
  <c r="BA83" i="89"/>
  <c r="BA82" i="89"/>
  <c r="BA81" i="89"/>
  <c r="BA80" i="89"/>
  <c r="BA79" i="89"/>
  <c r="BA78" i="89"/>
  <c r="BA77" i="89"/>
  <c r="BA76" i="89"/>
  <c r="BA75" i="89"/>
  <c r="BA74" i="89"/>
  <c r="BA73" i="89"/>
  <c r="BA72" i="89"/>
  <c r="BA71" i="89"/>
  <c r="BA70" i="89"/>
  <c r="BA69" i="89"/>
  <c r="BA68" i="89"/>
  <c r="BA67" i="89"/>
  <c r="BA66" i="89"/>
  <c r="BA65" i="89"/>
  <c r="BA64" i="89"/>
  <c r="BA63" i="89"/>
  <c r="BA62" i="89"/>
  <c r="BA61" i="89"/>
  <c r="BA60" i="89"/>
  <c r="BA59" i="89"/>
  <c r="BA58" i="89"/>
  <c r="BA57" i="89"/>
  <c r="BA56" i="89"/>
  <c r="BA55" i="89"/>
  <c r="BA54" i="89"/>
  <c r="BA53" i="89"/>
  <c r="BA52" i="89"/>
  <c r="BA51" i="89"/>
  <c r="BA50" i="89"/>
  <c r="BA49" i="89"/>
  <c r="AY50" i="89"/>
  <c r="AY51" i="89"/>
  <c r="AY52" i="89"/>
  <c r="AY53" i="89"/>
  <c r="AY54" i="89"/>
  <c r="AY55" i="89"/>
  <c r="AY56" i="89"/>
  <c r="AY57" i="89"/>
  <c r="AY58" i="89"/>
  <c r="AY59" i="89"/>
  <c r="AY60" i="89"/>
  <c r="AY61" i="89"/>
  <c r="AY62" i="89"/>
  <c r="AY63" i="89"/>
  <c r="AY64" i="89"/>
  <c r="AY65" i="89"/>
  <c r="AY66" i="89"/>
  <c r="AY67" i="89"/>
  <c r="AY68" i="89"/>
  <c r="AY69" i="89"/>
  <c r="AY70" i="89"/>
  <c r="AY71" i="89"/>
  <c r="AY72" i="89"/>
  <c r="AY73" i="89"/>
  <c r="AY74" i="89"/>
  <c r="AY75" i="89"/>
  <c r="AY76" i="89"/>
  <c r="AY77" i="89"/>
  <c r="AY78" i="89"/>
  <c r="AY79" i="89"/>
  <c r="AY80" i="89"/>
  <c r="AY81" i="89"/>
  <c r="AY82" i="89"/>
  <c r="AY83" i="89"/>
  <c r="AY84" i="89"/>
  <c r="AY85" i="89"/>
  <c r="AY86" i="89"/>
  <c r="AY87" i="89"/>
  <c r="AY88" i="89"/>
  <c r="AY89" i="89"/>
  <c r="AY90" i="89"/>
  <c r="AY91" i="89"/>
  <c r="AY92" i="89"/>
  <c r="AY93" i="89"/>
  <c r="AY94" i="89"/>
  <c r="AY95" i="89"/>
  <c r="AY96" i="89"/>
  <c r="AY97" i="89"/>
  <c r="AY98" i="89"/>
  <c r="AY99" i="89"/>
  <c r="AY100" i="89"/>
  <c r="AY101" i="89"/>
  <c r="AY102" i="89"/>
  <c r="AY103" i="89"/>
  <c r="AY104" i="89"/>
  <c r="AY105" i="89"/>
  <c r="AY106" i="89"/>
  <c r="AY107" i="89"/>
  <c r="AY108" i="89"/>
  <c r="AY109" i="89"/>
  <c r="AY110" i="89"/>
  <c r="AY111" i="89"/>
  <c r="AY112" i="89"/>
  <c r="AY113" i="89"/>
  <c r="AY114" i="89"/>
  <c r="AY115" i="89"/>
  <c r="AY116" i="89"/>
  <c r="AY117" i="89"/>
  <c r="AY118" i="89"/>
  <c r="AY119" i="89"/>
  <c r="AY120" i="89"/>
  <c r="AY121" i="89"/>
  <c r="AY122" i="89"/>
  <c r="AY123" i="89"/>
  <c r="AY124" i="89"/>
  <c r="AY125" i="89"/>
  <c r="AY126" i="89"/>
  <c r="AY127" i="89"/>
  <c r="AY128" i="89"/>
  <c r="AY129" i="89"/>
  <c r="AY130" i="89"/>
  <c r="AY131" i="89"/>
  <c r="AY132" i="89"/>
  <c r="AY133" i="89"/>
  <c r="AY134" i="89"/>
  <c r="AY135" i="89"/>
  <c r="AY136" i="89"/>
  <c r="AY137" i="89"/>
  <c r="AY138" i="89"/>
  <c r="AY139" i="89"/>
  <c r="AY140" i="89"/>
  <c r="AY141" i="89"/>
  <c r="AY142" i="89"/>
  <c r="AY143" i="89"/>
  <c r="AY144" i="89"/>
  <c r="AY145" i="89"/>
  <c r="AY146" i="89"/>
  <c r="AY147" i="89"/>
  <c r="AY148" i="89"/>
  <c r="AY149" i="89"/>
  <c r="AY150" i="89"/>
  <c r="AY151" i="89"/>
  <c r="AY152" i="89"/>
  <c r="AY153" i="89"/>
  <c r="AY154" i="89"/>
  <c r="AY155" i="89"/>
  <c r="AY156" i="89"/>
  <c r="AY157" i="89"/>
  <c r="AY158" i="89"/>
  <c r="AY159" i="89"/>
  <c r="AY160" i="89"/>
  <c r="AY161" i="89"/>
  <c r="AY162" i="89"/>
  <c r="AY163" i="89"/>
  <c r="AY164" i="89"/>
  <c r="AY165" i="89"/>
  <c r="AY166" i="89"/>
  <c r="AY167" i="89"/>
  <c r="AY168" i="89"/>
  <c r="AY169" i="89"/>
  <c r="AY170" i="89"/>
  <c r="AY171" i="89"/>
  <c r="AY172" i="89"/>
  <c r="AY173" i="89"/>
  <c r="AY174" i="89"/>
  <c r="AY175" i="89"/>
  <c r="AY176" i="89"/>
  <c r="AY177" i="89"/>
  <c r="AY178" i="89"/>
  <c r="AY179" i="89"/>
  <c r="AY180" i="89"/>
  <c r="AY181" i="89"/>
  <c r="AY182" i="89"/>
  <c r="AY183" i="89"/>
  <c r="AY184" i="89"/>
  <c r="AY185" i="89"/>
  <c r="AY186" i="89"/>
  <c r="AY187" i="89"/>
  <c r="AY188" i="89"/>
  <c r="AY189" i="89"/>
  <c r="AY190" i="89"/>
  <c r="AY191" i="89"/>
  <c r="AY192" i="89"/>
  <c r="AY193" i="89"/>
  <c r="AY194" i="89"/>
  <c r="AY195" i="89"/>
  <c r="AY196" i="89"/>
  <c r="AY197" i="89"/>
  <c r="AY198" i="89"/>
  <c r="AY199" i="89"/>
  <c r="AY200" i="89"/>
  <c r="AY201" i="89"/>
  <c r="AY202" i="89"/>
  <c r="AY203" i="89"/>
  <c r="AY204" i="89"/>
  <c r="AY205" i="89"/>
  <c r="AY206" i="89"/>
  <c r="AY207" i="89"/>
  <c r="AY208" i="89"/>
  <c r="AY209" i="89"/>
  <c r="AY210" i="89"/>
  <c r="AY211" i="89"/>
  <c r="AY212" i="89"/>
  <c r="AY213" i="89"/>
  <c r="AY214" i="89"/>
  <c r="AY215" i="89"/>
  <c r="AY216" i="89"/>
  <c r="AY217" i="89"/>
  <c r="AY218" i="89"/>
  <c r="AY219" i="89"/>
  <c r="AY220" i="89"/>
  <c r="AY221" i="89"/>
  <c r="AY222" i="89"/>
  <c r="AY223" i="89"/>
  <c r="AY224" i="89"/>
  <c r="AY225" i="89"/>
  <c r="AY226" i="89"/>
  <c r="AY227" i="89"/>
  <c r="AY228" i="89"/>
  <c r="AY229" i="89"/>
  <c r="AY230" i="89"/>
  <c r="AY231" i="89"/>
  <c r="AY232" i="89"/>
  <c r="AY233" i="89"/>
  <c r="AY234" i="89"/>
  <c r="AY235" i="89"/>
  <c r="AY236" i="89"/>
  <c r="AY237" i="89"/>
  <c r="AY238" i="89"/>
  <c r="AY239" i="89"/>
  <c r="AY240" i="89"/>
  <c r="AY241" i="89"/>
  <c r="AY242" i="89"/>
  <c r="AY243" i="89"/>
  <c r="AY244" i="89"/>
  <c r="AY245" i="89"/>
  <c r="AY246" i="89"/>
  <c r="AY247" i="89"/>
  <c r="AY248" i="89"/>
  <c r="AY249" i="89"/>
  <c r="AY250" i="89"/>
  <c r="AY251" i="89"/>
  <c r="AY252" i="89"/>
  <c r="AY253" i="89"/>
  <c r="AY254" i="89"/>
  <c r="AY255" i="89"/>
  <c r="AY256" i="89"/>
  <c r="AY257" i="89"/>
  <c r="AY258" i="89"/>
  <c r="AY259" i="89"/>
  <c r="AY260" i="89"/>
  <c r="AY261" i="89"/>
  <c r="AY262" i="89"/>
  <c r="AY263" i="89"/>
  <c r="AY264" i="89"/>
  <c r="AY265" i="89"/>
  <c r="AY266" i="89"/>
  <c r="AY267" i="89"/>
  <c r="AY268" i="89"/>
  <c r="AY269" i="89"/>
  <c r="AY270" i="89"/>
  <c r="AY271" i="89"/>
  <c r="AY272" i="89"/>
  <c r="AY273" i="89"/>
  <c r="AY274" i="89"/>
  <c r="AY275" i="89"/>
  <c r="AY276" i="89"/>
  <c r="AY277" i="89"/>
  <c r="AY278" i="89"/>
  <c r="AY279" i="89"/>
  <c r="AY280" i="89"/>
  <c r="AY281" i="89"/>
  <c r="AY282" i="89"/>
  <c r="AY283" i="89"/>
  <c r="AY284" i="89"/>
  <c r="AY285" i="89"/>
  <c r="AY286" i="89"/>
  <c r="AY287" i="89"/>
  <c r="AY288" i="89"/>
  <c r="AY289" i="89"/>
  <c r="AY290" i="89"/>
  <c r="AY291" i="89"/>
  <c r="AY292" i="89"/>
  <c r="AY293" i="89"/>
  <c r="AY294" i="89"/>
  <c r="AY295" i="89"/>
  <c r="AY296" i="89"/>
  <c r="AY297" i="89"/>
  <c r="AY298" i="89"/>
  <c r="AY299" i="89"/>
  <c r="AY300" i="89"/>
  <c r="AY301" i="89"/>
  <c r="AY302" i="89"/>
  <c r="AY303" i="89"/>
  <c r="AY304" i="89"/>
  <c r="AY305" i="89"/>
  <c r="AY306" i="89"/>
  <c r="AY307" i="89"/>
  <c r="AY308" i="89"/>
  <c r="AY309" i="89"/>
  <c r="AY310" i="89"/>
  <c r="AY311" i="89"/>
  <c r="AY312" i="89"/>
  <c r="AY313" i="89"/>
  <c r="AY314" i="89"/>
  <c r="AY315" i="89"/>
  <c r="AY316" i="89"/>
  <c r="AY317" i="89"/>
  <c r="AY318" i="89"/>
  <c r="AY319" i="89"/>
  <c r="AY320" i="89"/>
  <c r="AY321" i="89"/>
  <c r="AY322" i="89"/>
  <c r="AY323" i="89"/>
  <c r="AY324" i="89"/>
  <c r="AY325" i="89"/>
  <c r="AY326" i="89"/>
  <c r="AY327" i="89"/>
  <c r="AY328" i="89"/>
  <c r="AY329" i="89"/>
  <c r="AY330" i="89"/>
  <c r="AY331" i="89"/>
  <c r="AY332" i="89"/>
  <c r="AY333" i="89"/>
  <c r="AY334" i="89"/>
  <c r="AY335" i="89"/>
  <c r="AY336" i="89"/>
  <c r="AY337" i="89"/>
  <c r="AY338" i="89"/>
  <c r="AY339" i="89"/>
  <c r="AY340" i="89"/>
  <c r="AY341" i="89"/>
  <c r="AY342" i="89"/>
  <c r="AY343" i="89"/>
  <c r="AY344" i="89"/>
  <c r="AY345" i="89"/>
  <c r="AY346" i="89"/>
  <c r="AY49" i="89"/>
  <c r="H123" i="95" l="1"/>
  <c r="H121" i="94"/>
  <c r="O95" i="85"/>
  <c r="J50" i="89"/>
  <c r="L50" i="89" s="1"/>
  <c r="J51" i="89"/>
  <c r="L51" i="89" s="1"/>
  <c r="J52" i="89"/>
  <c r="L52" i="89" s="1"/>
  <c r="J53" i="89"/>
  <c r="L53" i="89" s="1"/>
  <c r="J54" i="89"/>
  <c r="L54" i="89" s="1"/>
  <c r="J55" i="89"/>
  <c r="L55" i="89" s="1"/>
  <c r="J56" i="89"/>
  <c r="L56" i="89" s="1"/>
  <c r="J57" i="89"/>
  <c r="L57" i="89" s="1"/>
  <c r="J58" i="89"/>
  <c r="L58" i="89" s="1"/>
  <c r="J59" i="89"/>
  <c r="L59" i="89" s="1"/>
  <c r="J60" i="89"/>
  <c r="L60" i="89" s="1"/>
  <c r="J61" i="89"/>
  <c r="L61" i="89" s="1"/>
  <c r="J62" i="89"/>
  <c r="L62" i="89" s="1"/>
  <c r="J63" i="89"/>
  <c r="L63" i="89" s="1"/>
  <c r="J64" i="89"/>
  <c r="L64" i="89" s="1"/>
  <c r="J65" i="89"/>
  <c r="L65" i="89" s="1"/>
  <c r="J66" i="89"/>
  <c r="L66" i="89" s="1"/>
  <c r="J67" i="89"/>
  <c r="L67" i="89" s="1"/>
  <c r="J68" i="89"/>
  <c r="L68" i="89" s="1"/>
  <c r="J69" i="89"/>
  <c r="L69" i="89" s="1"/>
  <c r="J70" i="89"/>
  <c r="L70" i="89" s="1"/>
  <c r="J71" i="89"/>
  <c r="L71" i="89" s="1"/>
  <c r="J72" i="89"/>
  <c r="L72" i="89" s="1"/>
  <c r="J73" i="89"/>
  <c r="L73" i="89" s="1"/>
  <c r="J74" i="89"/>
  <c r="L74" i="89" s="1"/>
  <c r="J75" i="89"/>
  <c r="L75" i="89" s="1"/>
  <c r="J76" i="89"/>
  <c r="L76" i="89" s="1"/>
  <c r="J77" i="89"/>
  <c r="L77" i="89" s="1"/>
  <c r="J78" i="89"/>
  <c r="L78" i="89" s="1"/>
  <c r="J79" i="89"/>
  <c r="L79" i="89" s="1"/>
  <c r="J80" i="89"/>
  <c r="L80" i="89" s="1"/>
  <c r="J81" i="89"/>
  <c r="L81" i="89" s="1"/>
  <c r="J82" i="89"/>
  <c r="L82" i="89" s="1"/>
  <c r="J83" i="89"/>
  <c r="L83" i="89" s="1"/>
  <c r="J84" i="89"/>
  <c r="L84" i="89" s="1"/>
  <c r="J85" i="89"/>
  <c r="L85" i="89" s="1"/>
  <c r="J86" i="89"/>
  <c r="L86" i="89" s="1"/>
  <c r="J87" i="89"/>
  <c r="L87" i="89" s="1"/>
  <c r="J88" i="89"/>
  <c r="L88" i="89" s="1"/>
  <c r="J89" i="89"/>
  <c r="L89" i="89" s="1"/>
  <c r="J90" i="89"/>
  <c r="L90" i="89" s="1"/>
  <c r="J91" i="89"/>
  <c r="L91" i="89" s="1"/>
  <c r="J92" i="89"/>
  <c r="L92" i="89" s="1"/>
  <c r="J93" i="89"/>
  <c r="L93" i="89" s="1"/>
  <c r="J94" i="89"/>
  <c r="L94" i="89" s="1"/>
  <c r="J95" i="89"/>
  <c r="L95" i="89" s="1"/>
  <c r="J96" i="89"/>
  <c r="L96" i="89" s="1"/>
  <c r="J97" i="89"/>
  <c r="L97" i="89" s="1"/>
  <c r="J98" i="89"/>
  <c r="L98" i="89" s="1"/>
  <c r="J99" i="89"/>
  <c r="L99" i="89" s="1"/>
  <c r="J100" i="89"/>
  <c r="L100" i="89" s="1"/>
  <c r="J101" i="89"/>
  <c r="L101" i="89" s="1"/>
  <c r="J102" i="89"/>
  <c r="L102" i="89" s="1"/>
  <c r="J103" i="89"/>
  <c r="L103" i="89" s="1"/>
  <c r="J104" i="89"/>
  <c r="L104" i="89" s="1"/>
  <c r="J105" i="89"/>
  <c r="L105" i="89" s="1"/>
  <c r="J106" i="89"/>
  <c r="L106" i="89" s="1"/>
  <c r="J107" i="89"/>
  <c r="L107" i="89" s="1"/>
  <c r="J108" i="89"/>
  <c r="L108" i="89" s="1"/>
  <c r="J109" i="89"/>
  <c r="L109" i="89" s="1"/>
  <c r="J110" i="89"/>
  <c r="L110" i="89" s="1"/>
  <c r="J111" i="89"/>
  <c r="L111" i="89" s="1"/>
  <c r="J112" i="89"/>
  <c r="L112" i="89" s="1"/>
  <c r="J113" i="89"/>
  <c r="L113" i="89" s="1"/>
  <c r="J114" i="89"/>
  <c r="L114" i="89" s="1"/>
  <c r="J115" i="89"/>
  <c r="L115" i="89" s="1"/>
  <c r="J116" i="89"/>
  <c r="L116" i="89" s="1"/>
  <c r="J117" i="89"/>
  <c r="L117" i="89" s="1"/>
  <c r="J118" i="89"/>
  <c r="L118" i="89" s="1"/>
  <c r="J119" i="89"/>
  <c r="L119" i="89" s="1"/>
  <c r="J120" i="89"/>
  <c r="L120" i="89" s="1"/>
  <c r="J121" i="89"/>
  <c r="L121" i="89" s="1"/>
  <c r="J122" i="89"/>
  <c r="L122" i="89" s="1"/>
  <c r="J123" i="89"/>
  <c r="L123" i="89" s="1"/>
  <c r="J124" i="89"/>
  <c r="L124" i="89" s="1"/>
  <c r="J125" i="89"/>
  <c r="L125" i="89" s="1"/>
  <c r="J126" i="89"/>
  <c r="L126" i="89" s="1"/>
  <c r="J127" i="89"/>
  <c r="L127" i="89" s="1"/>
  <c r="J128" i="89"/>
  <c r="L128" i="89" s="1"/>
  <c r="J129" i="89"/>
  <c r="L129" i="89" s="1"/>
  <c r="J130" i="89"/>
  <c r="L130" i="89" s="1"/>
  <c r="J131" i="89"/>
  <c r="L131" i="89" s="1"/>
  <c r="J132" i="89"/>
  <c r="L132" i="89" s="1"/>
  <c r="J133" i="89"/>
  <c r="L133" i="89" s="1"/>
  <c r="J134" i="89"/>
  <c r="L134" i="89" s="1"/>
  <c r="J135" i="89"/>
  <c r="L135" i="89" s="1"/>
  <c r="J136" i="89"/>
  <c r="L136" i="89" s="1"/>
  <c r="J137" i="89"/>
  <c r="L137" i="89" s="1"/>
  <c r="J138" i="89"/>
  <c r="L138" i="89" s="1"/>
  <c r="J139" i="89"/>
  <c r="L139" i="89" s="1"/>
  <c r="J140" i="89"/>
  <c r="L140" i="89" s="1"/>
  <c r="J141" i="89"/>
  <c r="L141" i="89" s="1"/>
  <c r="J142" i="89"/>
  <c r="L142" i="89" s="1"/>
  <c r="J143" i="89"/>
  <c r="L143" i="89" s="1"/>
  <c r="J144" i="89"/>
  <c r="L144" i="89" s="1"/>
  <c r="J145" i="89"/>
  <c r="L145" i="89" s="1"/>
  <c r="J146" i="89"/>
  <c r="L146" i="89" s="1"/>
  <c r="J147" i="89"/>
  <c r="L147" i="89" s="1"/>
  <c r="J148" i="89"/>
  <c r="L148" i="89" s="1"/>
  <c r="J149" i="89"/>
  <c r="L149" i="89" s="1"/>
  <c r="J150" i="89"/>
  <c r="L150" i="89" s="1"/>
  <c r="J151" i="89"/>
  <c r="L151" i="89" s="1"/>
  <c r="J152" i="89"/>
  <c r="L152" i="89" s="1"/>
  <c r="J153" i="89"/>
  <c r="L153" i="89" s="1"/>
  <c r="J154" i="89"/>
  <c r="L154" i="89" s="1"/>
  <c r="J155" i="89"/>
  <c r="L155" i="89" s="1"/>
  <c r="J156" i="89"/>
  <c r="L156" i="89" s="1"/>
  <c r="J157" i="89"/>
  <c r="L157" i="89" s="1"/>
  <c r="J158" i="89"/>
  <c r="L158" i="89" s="1"/>
  <c r="J159" i="89"/>
  <c r="L159" i="89" s="1"/>
  <c r="J160" i="89"/>
  <c r="L160" i="89" s="1"/>
  <c r="J161" i="89"/>
  <c r="L161" i="89" s="1"/>
  <c r="J162" i="89"/>
  <c r="L162" i="89" s="1"/>
  <c r="J163" i="89"/>
  <c r="L163" i="89" s="1"/>
  <c r="J164" i="89"/>
  <c r="L164" i="89" s="1"/>
  <c r="J165" i="89"/>
  <c r="L165" i="89" s="1"/>
  <c r="J166" i="89"/>
  <c r="L166" i="89" s="1"/>
  <c r="J167" i="89"/>
  <c r="L167" i="89" s="1"/>
  <c r="J168" i="89"/>
  <c r="L168" i="89" s="1"/>
  <c r="J169" i="89"/>
  <c r="L169" i="89" s="1"/>
  <c r="J170" i="89"/>
  <c r="L170" i="89" s="1"/>
  <c r="J171" i="89"/>
  <c r="L171" i="89" s="1"/>
  <c r="J172" i="89"/>
  <c r="L172" i="89" s="1"/>
  <c r="J173" i="89"/>
  <c r="L173" i="89" s="1"/>
  <c r="J174" i="89"/>
  <c r="L174" i="89" s="1"/>
  <c r="J175" i="89"/>
  <c r="L175" i="89" s="1"/>
  <c r="J176" i="89"/>
  <c r="L176" i="89" s="1"/>
  <c r="J177" i="89"/>
  <c r="L177" i="89" s="1"/>
  <c r="J178" i="89"/>
  <c r="L178" i="89" s="1"/>
  <c r="J179" i="89"/>
  <c r="L179" i="89" s="1"/>
  <c r="J180" i="89"/>
  <c r="L180" i="89" s="1"/>
  <c r="J181" i="89"/>
  <c r="L181" i="89" s="1"/>
  <c r="J182" i="89"/>
  <c r="L182" i="89" s="1"/>
  <c r="J183" i="89"/>
  <c r="L183" i="89" s="1"/>
  <c r="J184" i="89"/>
  <c r="L184" i="89" s="1"/>
  <c r="J185" i="89"/>
  <c r="L185" i="89" s="1"/>
  <c r="J186" i="89"/>
  <c r="L186" i="89" s="1"/>
  <c r="J187" i="89"/>
  <c r="L187" i="89" s="1"/>
  <c r="J188" i="89"/>
  <c r="L188" i="89" s="1"/>
  <c r="J189" i="89"/>
  <c r="L189" i="89" s="1"/>
  <c r="J190" i="89"/>
  <c r="L190" i="89" s="1"/>
  <c r="J191" i="89"/>
  <c r="L191" i="89" s="1"/>
  <c r="J192" i="89"/>
  <c r="L192" i="89" s="1"/>
  <c r="J193" i="89"/>
  <c r="L193" i="89" s="1"/>
  <c r="J194" i="89"/>
  <c r="L194" i="89" s="1"/>
  <c r="J195" i="89"/>
  <c r="L195" i="89" s="1"/>
  <c r="J196" i="89"/>
  <c r="L196" i="89" s="1"/>
  <c r="J197" i="89"/>
  <c r="L197" i="89" s="1"/>
  <c r="J198" i="89"/>
  <c r="L198" i="89" s="1"/>
  <c r="J199" i="89"/>
  <c r="L199" i="89" s="1"/>
  <c r="J200" i="89"/>
  <c r="L200" i="89" s="1"/>
  <c r="J201" i="89"/>
  <c r="L201" i="89" s="1"/>
  <c r="J202" i="89"/>
  <c r="L202" i="89" s="1"/>
  <c r="J203" i="89"/>
  <c r="L203" i="89" s="1"/>
  <c r="J204" i="89"/>
  <c r="L204" i="89" s="1"/>
  <c r="J205" i="89"/>
  <c r="L205" i="89" s="1"/>
  <c r="J206" i="89"/>
  <c r="L206" i="89" s="1"/>
  <c r="J207" i="89"/>
  <c r="L207" i="89" s="1"/>
  <c r="J208" i="89"/>
  <c r="L208" i="89" s="1"/>
  <c r="J209" i="89"/>
  <c r="L209" i="89" s="1"/>
  <c r="J210" i="89"/>
  <c r="L210" i="89" s="1"/>
  <c r="J211" i="89"/>
  <c r="L211" i="89" s="1"/>
  <c r="J212" i="89"/>
  <c r="L212" i="89" s="1"/>
  <c r="J213" i="89"/>
  <c r="L213" i="89" s="1"/>
  <c r="J214" i="89"/>
  <c r="L214" i="89" s="1"/>
  <c r="J215" i="89"/>
  <c r="L215" i="89" s="1"/>
  <c r="J216" i="89"/>
  <c r="L216" i="89" s="1"/>
  <c r="J217" i="89"/>
  <c r="L217" i="89" s="1"/>
  <c r="J218" i="89"/>
  <c r="L218" i="89" s="1"/>
  <c r="J219" i="89"/>
  <c r="L219" i="89" s="1"/>
  <c r="J220" i="89"/>
  <c r="L220" i="89" s="1"/>
  <c r="J221" i="89"/>
  <c r="L221" i="89" s="1"/>
  <c r="J222" i="89"/>
  <c r="L222" i="89" s="1"/>
  <c r="J223" i="89"/>
  <c r="L223" i="89" s="1"/>
  <c r="J224" i="89"/>
  <c r="L224" i="89" s="1"/>
  <c r="J225" i="89"/>
  <c r="L225" i="89" s="1"/>
  <c r="J226" i="89"/>
  <c r="L226" i="89" s="1"/>
  <c r="J227" i="89"/>
  <c r="L227" i="89" s="1"/>
  <c r="J228" i="89"/>
  <c r="L228" i="89" s="1"/>
  <c r="J229" i="89"/>
  <c r="L229" i="89" s="1"/>
  <c r="J230" i="89"/>
  <c r="L230" i="89" s="1"/>
  <c r="J231" i="89"/>
  <c r="L231" i="89" s="1"/>
  <c r="J232" i="89"/>
  <c r="L232" i="89" s="1"/>
  <c r="J233" i="89"/>
  <c r="L233" i="89" s="1"/>
  <c r="J234" i="89"/>
  <c r="L234" i="89" s="1"/>
  <c r="J235" i="89"/>
  <c r="L235" i="89" s="1"/>
  <c r="J236" i="89"/>
  <c r="L236" i="89" s="1"/>
  <c r="J237" i="89"/>
  <c r="L237" i="89" s="1"/>
  <c r="J238" i="89"/>
  <c r="L238" i="89" s="1"/>
  <c r="J239" i="89"/>
  <c r="L239" i="89" s="1"/>
  <c r="J240" i="89"/>
  <c r="L240" i="89" s="1"/>
  <c r="J241" i="89"/>
  <c r="L241" i="89" s="1"/>
  <c r="J242" i="89"/>
  <c r="L242" i="89" s="1"/>
  <c r="J243" i="89"/>
  <c r="L243" i="89" s="1"/>
  <c r="J244" i="89"/>
  <c r="L244" i="89" s="1"/>
  <c r="J245" i="89"/>
  <c r="L245" i="89" s="1"/>
  <c r="J246" i="89"/>
  <c r="L246" i="89" s="1"/>
  <c r="J247" i="89"/>
  <c r="L247" i="89" s="1"/>
  <c r="J248" i="89"/>
  <c r="L248" i="89" s="1"/>
  <c r="J249" i="89"/>
  <c r="L249" i="89" s="1"/>
  <c r="J250" i="89"/>
  <c r="L250" i="89" s="1"/>
  <c r="J251" i="89"/>
  <c r="L251" i="89" s="1"/>
  <c r="J252" i="89"/>
  <c r="L252" i="89" s="1"/>
  <c r="J253" i="89"/>
  <c r="L253" i="89" s="1"/>
  <c r="J254" i="89"/>
  <c r="L254" i="89" s="1"/>
  <c r="J255" i="89"/>
  <c r="L255" i="89" s="1"/>
  <c r="J256" i="89"/>
  <c r="L256" i="89" s="1"/>
  <c r="J257" i="89"/>
  <c r="L257" i="89" s="1"/>
  <c r="J258" i="89"/>
  <c r="L258" i="89" s="1"/>
  <c r="J259" i="89"/>
  <c r="L259" i="89" s="1"/>
  <c r="J260" i="89"/>
  <c r="L260" i="89" s="1"/>
  <c r="J261" i="89"/>
  <c r="L261" i="89" s="1"/>
  <c r="J262" i="89"/>
  <c r="L262" i="89" s="1"/>
  <c r="J263" i="89"/>
  <c r="L263" i="89" s="1"/>
  <c r="J264" i="89"/>
  <c r="L264" i="89" s="1"/>
  <c r="J265" i="89"/>
  <c r="L265" i="89" s="1"/>
  <c r="J266" i="89"/>
  <c r="L266" i="89" s="1"/>
  <c r="J267" i="89"/>
  <c r="L267" i="89" s="1"/>
  <c r="J268" i="89"/>
  <c r="L268" i="89" s="1"/>
  <c r="J269" i="89"/>
  <c r="L269" i="89" s="1"/>
  <c r="J270" i="89"/>
  <c r="L270" i="89" s="1"/>
  <c r="J271" i="89"/>
  <c r="L271" i="89" s="1"/>
  <c r="J272" i="89"/>
  <c r="L272" i="89" s="1"/>
  <c r="J273" i="89"/>
  <c r="L273" i="89" s="1"/>
  <c r="J274" i="89"/>
  <c r="L274" i="89" s="1"/>
  <c r="J275" i="89"/>
  <c r="L275" i="89" s="1"/>
  <c r="J276" i="89"/>
  <c r="L276" i="89" s="1"/>
  <c r="J277" i="89"/>
  <c r="L277" i="89" s="1"/>
  <c r="J278" i="89"/>
  <c r="L278" i="89" s="1"/>
  <c r="J279" i="89"/>
  <c r="L279" i="89" s="1"/>
  <c r="J280" i="89"/>
  <c r="L280" i="89" s="1"/>
  <c r="J281" i="89"/>
  <c r="L281" i="89" s="1"/>
  <c r="J282" i="89"/>
  <c r="L282" i="89" s="1"/>
  <c r="J283" i="89"/>
  <c r="L283" i="89" s="1"/>
  <c r="J284" i="89"/>
  <c r="L284" i="89" s="1"/>
  <c r="J285" i="89"/>
  <c r="L285" i="89" s="1"/>
  <c r="J286" i="89"/>
  <c r="L286" i="89" s="1"/>
  <c r="J287" i="89"/>
  <c r="L287" i="89" s="1"/>
  <c r="J288" i="89"/>
  <c r="L288" i="89" s="1"/>
  <c r="J289" i="89"/>
  <c r="L289" i="89" s="1"/>
  <c r="J290" i="89"/>
  <c r="L290" i="89" s="1"/>
  <c r="J291" i="89"/>
  <c r="L291" i="89" s="1"/>
  <c r="J292" i="89"/>
  <c r="L292" i="89" s="1"/>
  <c r="J293" i="89"/>
  <c r="L293" i="89" s="1"/>
  <c r="J294" i="89"/>
  <c r="L294" i="89" s="1"/>
  <c r="J295" i="89"/>
  <c r="L295" i="89" s="1"/>
  <c r="J296" i="89"/>
  <c r="L296" i="89" s="1"/>
  <c r="J297" i="89"/>
  <c r="L297" i="89" s="1"/>
  <c r="J298" i="89"/>
  <c r="L298" i="89" s="1"/>
  <c r="J299" i="89"/>
  <c r="L299" i="89" s="1"/>
  <c r="J300" i="89"/>
  <c r="L300" i="89" s="1"/>
  <c r="J301" i="89"/>
  <c r="L301" i="89" s="1"/>
  <c r="J302" i="89"/>
  <c r="L302" i="89" s="1"/>
  <c r="J303" i="89"/>
  <c r="L303" i="89" s="1"/>
  <c r="J304" i="89"/>
  <c r="L304" i="89" s="1"/>
  <c r="J305" i="89"/>
  <c r="L305" i="89" s="1"/>
  <c r="J306" i="89"/>
  <c r="L306" i="89" s="1"/>
  <c r="J307" i="89"/>
  <c r="L307" i="89" s="1"/>
  <c r="J308" i="89"/>
  <c r="L308" i="89" s="1"/>
  <c r="J309" i="89"/>
  <c r="L309" i="89" s="1"/>
  <c r="J310" i="89"/>
  <c r="L310" i="89" s="1"/>
  <c r="J311" i="89"/>
  <c r="L311" i="89" s="1"/>
  <c r="J312" i="89"/>
  <c r="L312" i="89" s="1"/>
  <c r="J313" i="89"/>
  <c r="L313" i="89" s="1"/>
  <c r="J314" i="89"/>
  <c r="L314" i="89" s="1"/>
  <c r="J315" i="89"/>
  <c r="L315" i="89" s="1"/>
  <c r="J316" i="89"/>
  <c r="L316" i="89" s="1"/>
  <c r="J317" i="89"/>
  <c r="L317" i="89" s="1"/>
  <c r="J318" i="89"/>
  <c r="L318" i="89" s="1"/>
  <c r="J319" i="89"/>
  <c r="L319" i="89" s="1"/>
  <c r="J320" i="89"/>
  <c r="L320" i="89" s="1"/>
  <c r="J321" i="89"/>
  <c r="L321" i="89" s="1"/>
  <c r="J322" i="89"/>
  <c r="L322" i="89" s="1"/>
  <c r="J323" i="89"/>
  <c r="L323" i="89" s="1"/>
  <c r="J324" i="89"/>
  <c r="L324" i="89" s="1"/>
  <c r="J325" i="89"/>
  <c r="L325" i="89" s="1"/>
  <c r="J326" i="89"/>
  <c r="L326" i="89" s="1"/>
  <c r="J327" i="89"/>
  <c r="L327" i="89" s="1"/>
  <c r="J328" i="89"/>
  <c r="L328" i="89" s="1"/>
  <c r="J329" i="89"/>
  <c r="L329" i="89" s="1"/>
  <c r="J330" i="89"/>
  <c r="L330" i="89" s="1"/>
  <c r="J331" i="89"/>
  <c r="L331" i="89" s="1"/>
  <c r="J332" i="89"/>
  <c r="L332" i="89" s="1"/>
  <c r="J333" i="89"/>
  <c r="L333" i="89" s="1"/>
  <c r="J334" i="89"/>
  <c r="L334" i="89" s="1"/>
  <c r="J335" i="89"/>
  <c r="L335" i="89" s="1"/>
  <c r="J336" i="89"/>
  <c r="L336" i="89" s="1"/>
  <c r="J337" i="89"/>
  <c r="L337" i="89" s="1"/>
  <c r="J338" i="89"/>
  <c r="L338" i="89" s="1"/>
  <c r="J339" i="89"/>
  <c r="L339" i="89" s="1"/>
  <c r="J340" i="89"/>
  <c r="L340" i="89" s="1"/>
  <c r="J341" i="89"/>
  <c r="L341" i="89" s="1"/>
  <c r="J342" i="89"/>
  <c r="L342" i="89" s="1"/>
  <c r="J343" i="89"/>
  <c r="L343" i="89" s="1"/>
  <c r="J344" i="89"/>
  <c r="L344" i="89" s="1"/>
  <c r="J345" i="89"/>
  <c r="L345" i="89" s="1"/>
  <c r="J346" i="89"/>
  <c r="L346" i="89" s="1"/>
  <c r="J49" i="89"/>
  <c r="L49" i="89" s="1"/>
  <c r="AQ346" i="89"/>
  <c r="AQ345" i="89"/>
  <c r="AQ344" i="89"/>
  <c r="AQ343" i="89"/>
  <c r="AQ342" i="89"/>
  <c r="AQ341" i="89"/>
  <c r="AQ340" i="89"/>
  <c r="AQ339" i="89"/>
  <c r="AQ338" i="89"/>
  <c r="AQ337" i="89"/>
  <c r="AQ336" i="89"/>
  <c r="AQ335" i="89"/>
  <c r="AQ334" i="89"/>
  <c r="AQ333" i="89"/>
  <c r="AQ332" i="89"/>
  <c r="AQ331" i="89"/>
  <c r="AQ330" i="89"/>
  <c r="AQ329" i="89"/>
  <c r="AQ328" i="89"/>
  <c r="AQ327" i="89"/>
  <c r="AQ326" i="89"/>
  <c r="AQ325" i="89"/>
  <c r="AQ324" i="89"/>
  <c r="AQ323" i="89"/>
  <c r="AQ322" i="89"/>
  <c r="AQ321" i="89"/>
  <c r="AQ320" i="89"/>
  <c r="AQ319" i="89"/>
  <c r="AQ318" i="89"/>
  <c r="AQ317" i="89"/>
  <c r="AQ316" i="89"/>
  <c r="AQ315" i="89"/>
  <c r="AQ314" i="89"/>
  <c r="AQ313" i="89"/>
  <c r="AQ312" i="89"/>
  <c r="AQ311" i="89"/>
  <c r="AQ310" i="89"/>
  <c r="AQ309" i="89"/>
  <c r="AQ308" i="89"/>
  <c r="AQ307" i="89"/>
  <c r="AQ306" i="89"/>
  <c r="AQ305" i="89"/>
  <c r="AQ304" i="89"/>
  <c r="AQ303" i="89"/>
  <c r="AQ302" i="89"/>
  <c r="AQ301" i="89"/>
  <c r="AQ300" i="89"/>
  <c r="AQ299" i="89"/>
  <c r="AQ298" i="89"/>
  <c r="AQ297" i="89"/>
  <c r="AQ296" i="89"/>
  <c r="AQ295" i="89"/>
  <c r="AQ294" i="89"/>
  <c r="AQ293" i="89"/>
  <c r="AQ292" i="89"/>
  <c r="AQ291" i="89"/>
  <c r="AQ290" i="89"/>
  <c r="AQ289" i="89"/>
  <c r="AQ288" i="89"/>
  <c r="AQ287" i="89"/>
  <c r="AQ286" i="89"/>
  <c r="AQ285" i="89"/>
  <c r="AQ284" i="89"/>
  <c r="AQ283" i="89"/>
  <c r="AQ282" i="89"/>
  <c r="AQ281" i="89"/>
  <c r="AQ280" i="89"/>
  <c r="AQ279" i="89"/>
  <c r="AQ278" i="89"/>
  <c r="AQ277" i="89"/>
  <c r="AQ276" i="89"/>
  <c r="AQ275" i="89"/>
  <c r="AQ274" i="89"/>
  <c r="AQ273" i="89"/>
  <c r="AQ272" i="89"/>
  <c r="AQ271" i="89"/>
  <c r="AQ270" i="89"/>
  <c r="AQ269" i="89"/>
  <c r="AQ268" i="89"/>
  <c r="AQ267" i="89"/>
  <c r="AQ266" i="89"/>
  <c r="AQ265" i="89"/>
  <c r="AQ264" i="89"/>
  <c r="AQ263" i="89"/>
  <c r="AQ262" i="89"/>
  <c r="AQ261" i="89"/>
  <c r="AQ260" i="89"/>
  <c r="AQ259" i="89"/>
  <c r="AQ258" i="89"/>
  <c r="AQ257" i="89"/>
  <c r="AQ256" i="89"/>
  <c r="AQ255" i="89"/>
  <c r="AQ254" i="89"/>
  <c r="AQ253" i="89"/>
  <c r="AQ252" i="89"/>
  <c r="AQ251" i="89"/>
  <c r="AQ250" i="89"/>
  <c r="AQ249" i="89"/>
  <c r="AQ248" i="89"/>
  <c r="AQ247" i="89"/>
  <c r="AQ246" i="89"/>
  <c r="AQ245" i="89"/>
  <c r="AQ244" i="89"/>
  <c r="AQ243" i="89"/>
  <c r="AQ242" i="89"/>
  <c r="AQ241" i="89"/>
  <c r="AQ240" i="89"/>
  <c r="AQ239" i="89"/>
  <c r="AQ238" i="89"/>
  <c r="AQ237" i="89"/>
  <c r="AQ236" i="89"/>
  <c r="AQ235" i="89"/>
  <c r="AQ234" i="89"/>
  <c r="AQ233" i="89"/>
  <c r="AQ232" i="89"/>
  <c r="AQ231" i="89"/>
  <c r="AQ230" i="89"/>
  <c r="AQ229" i="89"/>
  <c r="AQ228" i="89"/>
  <c r="AQ227" i="89"/>
  <c r="AQ226" i="89"/>
  <c r="AQ225" i="89"/>
  <c r="AQ224" i="89"/>
  <c r="AQ223" i="89"/>
  <c r="AQ222" i="89"/>
  <c r="AQ221" i="89"/>
  <c r="AQ220" i="89"/>
  <c r="AQ219" i="89"/>
  <c r="AQ218" i="89"/>
  <c r="AQ217" i="89"/>
  <c r="AQ216" i="89"/>
  <c r="AQ215" i="89"/>
  <c r="AQ214" i="89"/>
  <c r="AQ213" i="89"/>
  <c r="AQ212" i="89"/>
  <c r="AQ211" i="89"/>
  <c r="AQ210" i="89"/>
  <c r="AQ209" i="89"/>
  <c r="AQ208" i="89"/>
  <c r="AQ207" i="89"/>
  <c r="AQ206" i="89"/>
  <c r="AQ205" i="89"/>
  <c r="AQ204" i="89"/>
  <c r="AQ203" i="89"/>
  <c r="AQ202" i="89"/>
  <c r="AQ201" i="89"/>
  <c r="AQ200" i="89"/>
  <c r="AQ199" i="89"/>
  <c r="AQ198" i="89"/>
  <c r="AQ197" i="89"/>
  <c r="AQ196" i="89"/>
  <c r="AQ195" i="89"/>
  <c r="AQ194" i="89"/>
  <c r="AQ193" i="89"/>
  <c r="AQ192" i="89"/>
  <c r="AQ191" i="89"/>
  <c r="AQ190" i="89"/>
  <c r="AQ189" i="89"/>
  <c r="AQ188" i="89"/>
  <c r="AQ187" i="89"/>
  <c r="AQ186" i="89"/>
  <c r="AQ185" i="89"/>
  <c r="AQ184" i="89"/>
  <c r="AQ183" i="89"/>
  <c r="AQ182" i="89"/>
  <c r="AQ181" i="89"/>
  <c r="AQ180" i="89"/>
  <c r="AQ179" i="89"/>
  <c r="AQ178" i="89"/>
  <c r="AQ177" i="89"/>
  <c r="AQ176" i="89"/>
  <c r="AQ175" i="89"/>
  <c r="AQ174" i="89"/>
  <c r="AQ173" i="89"/>
  <c r="AQ172" i="89"/>
  <c r="AQ171" i="89"/>
  <c r="AQ170" i="89"/>
  <c r="AQ169" i="89"/>
  <c r="AQ168" i="89"/>
  <c r="AQ167" i="89"/>
  <c r="AQ166" i="89"/>
  <c r="AQ165" i="89"/>
  <c r="AQ164" i="89"/>
  <c r="AQ163" i="89"/>
  <c r="AQ162" i="89"/>
  <c r="AQ161" i="89"/>
  <c r="AQ160" i="89"/>
  <c r="AQ159" i="89"/>
  <c r="AQ158" i="89"/>
  <c r="AQ157" i="89"/>
  <c r="AQ156" i="89"/>
  <c r="AQ155" i="89"/>
  <c r="AQ154" i="89"/>
  <c r="AQ153" i="89"/>
  <c r="AQ152" i="89"/>
  <c r="AQ151" i="89"/>
  <c r="AQ150" i="89"/>
  <c r="AQ149" i="89"/>
  <c r="AQ148" i="89"/>
  <c r="AQ147" i="89"/>
  <c r="AQ146" i="89"/>
  <c r="AQ145" i="89"/>
  <c r="AQ144" i="89"/>
  <c r="AQ143" i="89"/>
  <c r="AQ142" i="89"/>
  <c r="AQ141" i="89"/>
  <c r="AQ140" i="89"/>
  <c r="AQ139" i="89"/>
  <c r="AQ138" i="89"/>
  <c r="AQ137" i="89"/>
  <c r="AQ136" i="89"/>
  <c r="AQ135" i="89"/>
  <c r="AQ134" i="89"/>
  <c r="AQ133" i="89"/>
  <c r="AQ132" i="89"/>
  <c r="AQ131" i="89"/>
  <c r="AQ130" i="89"/>
  <c r="AQ129" i="89"/>
  <c r="AQ128" i="89"/>
  <c r="AQ127" i="89"/>
  <c r="AQ126" i="89"/>
  <c r="AQ125" i="89"/>
  <c r="AQ124" i="89"/>
  <c r="AQ123" i="89"/>
  <c r="AQ122" i="89"/>
  <c r="AQ121" i="89"/>
  <c r="AQ120" i="89"/>
  <c r="AQ119" i="89"/>
  <c r="AQ118" i="89"/>
  <c r="AQ117" i="89"/>
  <c r="AQ116" i="89"/>
  <c r="AQ115" i="89"/>
  <c r="AQ114" i="89"/>
  <c r="AQ113" i="89"/>
  <c r="AQ112" i="89"/>
  <c r="AQ111" i="89"/>
  <c r="AQ110" i="89"/>
  <c r="AQ109" i="89"/>
  <c r="AQ108" i="89"/>
  <c r="AQ107" i="89"/>
  <c r="AQ106" i="89"/>
  <c r="AQ105" i="89"/>
  <c r="AQ104" i="89"/>
  <c r="AQ103" i="89"/>
  <c r="AQ102" i="89"/>
  <c r="AQ101" i="89"/>
  <c r="AQ100" i="89"/>
  <c r="AQ99" i="89"/>
  <c r="AQ98" i="89"/>
  <c r="AQ97" i="89"/>
  <c r="AQ96" i="89"/>
  <c r="AQ95" i="89"/>
  <c r="AQ94" i="89"/>
  <c r="AQ93" i="89"/>
  <c r="AQ92" i="89"/>
  <c r="AQ91" i="89"/>
  <c r="AQ90" i="89"/>
  <c r="AQ89" i="89"/>
  <c r="AQ88" i="89"/>
  <c r="AQ87" i="89"/>
  <c r="AQ86" i="89"/>
  <c r="AQ85" i="89"/>
  <c r="AQ84" i="89"/>
  <c r="AQ83" i="89"/>
  <c r="AQ82" i="89"/>
  <c r="AQ81" i="89"/>
  <c r="AQ80" i="89"/>
  <c r="AQ79" i="89"/>
  <c r="AQ78" i="89"/>
  <c r="AQ77" i="89"/>
  <c r="AQ76" i="89"/>
  <c r="AQ75" i="89"/>
  <c r="AQ74" i="89"/>
  <c r="AQ73" i="89"/>
  <c r="AQ72" i="89"/>
  <c r="AQ71" i="89"/>
  <c r="AQ70" i="89"/>
  <c r="AQ69" i="89"/>
  <c r="AQ68" i="89"/>
  <c r="AQ67" i="89"/>
  <c r="AQ66" i="89"/>
  <c r="AQ65" i="89"/>
  <c r="AQ64" i="89"/>
  <c r="AQ63" i="89"/>
  <c r="AQ62" i="89"/>
  <c r="AQ61" i="89"/>
  <c r="AQ60" i="89"/>
  <c r="AQ59" i="89"/>
  <c r="AQ58" i="89"/>
  <c r="AQ57" i="89"/>
  <c r="AQ56" i="89"/>
  <c r="AQ55" i="89"/>
  <c r="AQ54" i="89"/>
  <c r="AQ53" i="89"/>
  <c r="AQ52" i="89"/>
  <c r="AQ51" i="89"/>
  <c r="AQ50" i="89"/>
  <c r="AW50" i="89" s="1"/>
  <c r="AQ49" i="89"/>
  <c r="AJ346" i="89"/>
  <c r="AJ345" i="89"/>
  <c r="AJ344" i="89"/>
  <c r="AJ343" i="89"/>
  <c r="AJ342" i="89"/>
  <c r="AJ341" i="89"/>
  <c r="AJ340" i="89"/>
  <c r="AJ339" i="89"/>
  <c r="AJ338" i="89"/>
  <c r="AJ337" i="89"/>
  <c r="AJ336" i="89"/>
  <c r="AJ335" i="89"/>
  <c r="AJ334" i="89"/>
  <c r="AJ333" i="89"/>
  <c r="AJ332" i="89"/>
  <c r="AJ331" i="89"/>
  <c r="AJ330" i="89"/>
  <c r="AJ329" i="89"/>
  <c r="AJ328" i="89"/>
  <c r="AJ327" i="89"/>
  <c r="AJ326" i="89"/>
  <c r="AJ325" i="89"/>
  <c r="AJ324" i="89"/>
  <c r="AJ323" i="89"/>
  <c r="AJ322" i="89"/>
  <c r="AJ321" i="89"/>
  <c r="AJ320" i="89"/>
  <c r="AJ319" i="89"/>
  <c r="AJ318" i="89"/>
  <c r="AJ317" i="89"/>
  <c r="AJ316" i="89"/>
  <c r="AJ315" i="89"/>
  <c r="AJ314" i="89"/>
  <c r="AJ313" i="89"/>
  <c r="AJ312" i="89"/>
  <c r="AJ311" i="89"/>
  <c r="AJ310" i="89"/>
  <c r="AJ309" i="89"/>
  <c r="AJ308" i="89"/>
  <c r="AJ307" i="89"/>
  <c r="AJ306" i="89"/>
  <c r="AJ305" i="89"/>
  <c r="AJ304" i="89"/>
  <c r="AJ303" i="89"/>
  <c r="AJ302" i="89"/>
  <c r="AJ301" i="89"/>
  <c r="AJ300" i="89"/>
  <c r="AJ299" i="89"/>
  <c r="AJ298" i="89"/>
  <c r="AJ297" i="89"/>
  <c r="AJ296" i="89"/>
  <c r="AJ295" i="89"/>
  <c r="AJ294" i="89"/>
  <c r="AJ293" i="89"/>
  <c r="AJ292" i="89"/>
  <c r="AJ291" i="89"/>
  <c r="AJ290" i="89"/>
  <c r="AJ289" i="89"/>
  <c r="AJ288" i="89"/>
  <c r="AJ287" i="89"/>
  <c r="AJ286" i="89"/>
  <c r="AJ285" i="89"/>
  <c r="AJ284" i="89"/>
  <c r="AJ283" i="89"/>
  <c r="AJ282" i="89"/>
  <c r="AJ281" i="89"/>
  <c r="AJ280" i="89"/>
  <c r="AJ279" i="89"/>
  <c r="AJ278" i="89"/>
  <c r="AJ277" i="89"/>
  <c r="AJ276" i="89"/>
  <c r="AJ275" i="89"/>
  <c r="AJ274" i="89"/>
  <c r="AJ273" i="89"/>
  <c r="AJ272" i="89"/>
  <c r="AJ271" i="89"/>
  <c r="AJ270" i="89"/>
  <c r="AJ269" i="89"/>
  <c r="AJ268" i="89"/>
  <c r="AJ267" i="89"/>
  <c r="AJ266" i="89"/>
  <c r="AJ265" i="89"/>
  <c r="AJ264" i="89"/>
  <c r="AJ263" i="89"/>
  <c r="AJ262" i="89"/>
  <c r="AJ261" i="89"/>
  <c r="AJ260" i="89"/>
  <c r="AJ259" i="89"/>
  <c r="AJ258" i="89"/>
  <c r="AJ257" i="89"/>
  <c r="AJ256" i="89"/>
  <c r="AJ255" i="89"/>
  <c r="AJ254" i="89"/>
  <c r="AJ253" i="89"/>
  <c r="AJ252" i="89"/>
  <c r="AJ251" i="89"/>
  <c r="AJ250" i="89"/>
  <c r="AJ249" i="89"/>
  <c r="AJ248" i="89"/>
  <c r="AJ247" i="89"/>
  <c r="AJ246" i="89"/>
  <c r="AJ245" i="89"/>
  <c r="AJ244" i="89"/>
  <c r="AJ243" i="89"/>
  <c r="AJ242" i="89"/>
  <c r="AJ241" i="89"/>
  <c r="AJ240" i="89"/>
  <c r="AJ239" i="89"/>
  <c r="AJ238" i="89"/>
  <c r="AJ237" i="89"/>
  <c r="AJ236" i="89"/>
  <c r="AJ235" i="89"/>
  <c r="AJ234" i="89"/>
  <c r="AJ233" i="89"/>
  <c r="AJ232" i="89"/>
  <c r="AJ231" i="89"/>
  <c r="AJ230" i="89"/>
  <c r="AJ229" i="89"/>
  <c r="AJ228" i="89"/>
  <c r="AJ227" i="89"/>
  <c r="AJ226" i="89"/>
  <c r="AJ225" i="89"/>
  <c r="AJ224" i="89"/>
  <c r="AJ223" i="89"/>
  <c r="AJ222" i="89"/>
  <c r="AJ221" i="89"/>
  <c r="AJ220" i="89"/>
  <c r="AJ219" i="89"/>
  <c r="AJ218" i="89"/>
  <c r="AJ217" i="89"/>
  <c r="AJ216" i="89"/>
  <c r="AJ215" i="89"/>
  <c r="AJ214" i="89"/>
  <c r="AJ213" i="89"/>
  <c r="AJ212" i="89"/>
  <c r="AJ211" i="89"/>
  <c r="AJ210" i="89"/>
  <c r="AJ209" i="89"/>
  <c r="AJ208" i="89"/>
  <c r="AJ207" i="89"/>
  <c r="AJ206" i="89"/>
  <c r="AJ205" i="89"/>
  <c r="AJ204" i="89"/>
  <c r="AJ203" i="89"/>
  <c r="AJ202" i="89"/>
  <c r="AJ201" i="89"/>
  <c r="AJ200" i="89"/>
  <c r="AJ199" i="89"/>
  <c r="AJ198" i="89"/>
  <c r="AJ197" i="89"/>
  <c r="AJ196" i="89"/>
  <c r="AJ195" i="89"/>
  <c r="AJ194" i="89"/>
  <c r="AJ193" i="89"/>
  <c r="AJ192" i="89"/>
  <c r="AJ191" i="89"/>
  <c r="AJ190" i="89"/>
  <c r="AJ189" i="89"/>
  <c r="AJ188" i="89"/>
  <c r="AJ187" i="89"/>
  <c r="AJ186" i="89"/>
  <c r="AJ185" i="89"/>
  <c r="AJ184" i="89"/>
  <c r="AJ183" i="89"/>
  <c r="AJ182" i="89"/>
  <c r="AJ181" i="89"/>
  <c r="AJ180" i="89"/>
  <c r="AJ179" i="89"/>
  <c r="AJ178" i="89"/>
  <c r="AJ177" i="89"/>
  <c r="AJ176" i="89"/>
  <c r="AJ175" i="89"/>
  <c r="AJ174" i="89"/>
  <c r="AJ173" i="89"/>
  <c r="AJ172" i="89"/>
  <c r="AJ171" i="89"/>
  <c r="AJ170" i="89"/>
  <c r="AJ169" i="89"/>
  <c r="AJ168" i="89"/>
  <c r="AJ167" i="89"/>
  <c r="AJ166" i="89"/>
  <c r="AJ165" i="89"/>
  <c r="AJ164" i="89"/>
  <c r="AJ163" i="89"/>
  <c r="AJ162" i="89"/>
  <c r="AJ161" i="89"/>
  <c r="AJ160" i="89"/>
  <c r="AJ159" i="89"/>
  <c r="AJ158" i="89"/>
  <c r="AJ157" i="89"/>
  <c r="AJ156" i="89"/>
  <c r="AJ155" i="89"/>
  <c r="AJ154" i="89"/>
  <c r="AJ153" i="89"/>
  <c r="AJ152" i="89"/>
  <c r="AJ151" i="89"/>
  <c r="AJ150" i="89"/>
  <c r="AJ149" i="89"/>
  <c r="AJ148" i="89"/>
  <c r="AJ147" i="89"/>
  <c r="AJ146" i="89"/>
  <c r="AJ145" i="89"/>
  <c r="AJ144" i="89"/>
  <c r="AJ143" i="89"/>
  <c r="AJ142" i="89"/>
  <c r="AJ141" i="89"/>
  <c r="AJ140" i="89"/>
  <c r="AJ139" i="89"/>
  <c r="AJ138" i="89"/>
  <c r="AJ137" i="89"/>
  <c r="AJ136" i="89"/>
  <c r="AJ135" i="89"/>
  <c r="AJ134" i="89"/>
  <c r="AJ133" i="89"/>
  <c r="AJ132" i="89"/>
  <c r="AJ131" i="89"/>
  <c r="AJ130" i="89"/>
  <c r="AJ129" i="89"/>
  <c r="AJ128" i="89"/>
  <c r="AJ127" i="89"/>
  <c r="AJ126" i="89"/>
  <c r="AJ125" i="89"/>
  <c r="AJ124" i="89"/>
  <c r="AJ123" i="89"/>
  <c r="AJ122" i="89"/>
  <c r="AJ121" i="89"/>
  <c r="AJ120" i="89"/>
  <c r="AJ119" i="89"/>
  <c r="AJ118" i="89"/>
  <c r="AJ117" i="89"/>
  <c r="AJ116" i="89"/>
  <c r="AJ115" i="89"/>
  <c r="AJ114" i="89"/>
  <c r="AJ113" i="89"/>
  <c r="AJ112" i="89"/>
  <c r="AJ111" i="89"/>
  <c r="AJ110" i="89"/>
  <c r="AJ109" i="89"/>
  <c r="AJ108" i="89"/>
  <c r="AJ107" i="89"/>
  <c r="AJ106" i="89"/>
  <c r="AJ105" i="89"/>
  <c r="AJ104" i="89"/>
  <c r="AJ103" i="89"/>
  <c r="AJ102" i="89"/>
  <c r="AJ101" i="89"/>
  <c r="AJ100" i="89"/>
  <c r="AJ99" i="89"/>
  <c r="AJ98" i="89"/>
  <c r="AJ97" i="89"/>
  <c r="AJ96" i="89"/>
  <c r="AJ95" i="89"/>
  <c r="AJ94" i="89"/>
  <c r="AJ93" i="89"/>
  <c r="AJ92" i="89"/>
  <c r="AJ91" i="89"/>
  <c r="AJ90" i="89"/>
  <c r="AJ89" i="89"/>
  <c r="AJ88" i="89"/>
  <c r="AJ87" i="89"/>
  <c r="AJ86" i="89"/>
  <c r="AJ85" i="89"/>
  <c r="AJ84" i="89"/>
  <c r="AJ83" i="89"/>
  <c r="AJ82" i="89"/>
  <c r="AJ81" i="89"/>
  <c r="AJ80" i="89"/>
  <c r="AJ79" i="89"/>
  <c r="AJ78" i="89"/>
  <c r="AJ77" i="89"/>
  <c r="AJ76" i="89"/>
  <c r="AJ75" i="89"/>
  <c r="AJ74" i="89"/>
  <c r="AJ73" i="89"/>
  <c r="AJ72" i="89"/>
  <c r="AJ71" i="89"/>
  <c r="AJ70" i="89"/>
  <c r="AJ69" i="89"/>
  <c r="AJ68" i="89"/>
  <c r="AJ67" i="89"/>
  <c r="AJ66" i="89"/>
  <c r="AJ65" i="89"/>
  <c r="AJ64" i="89"/>
  <c r="AJ63" i="89"/>
  <c r="AJ62" i="89"/>
  <c r="AJ61" i="89"/>
  <c r="AJ60" i="89"/>
  <c r="AJ59" i="89"/>
  <c r="AJ58" i="89"/>
  <c r="AJ57" i="89"/>
  <c r="AJ56" i="89"/>
  <c r="AJ55" i="89"/>
  <c r="AJ54" i="89"/>
  <c r="AJ53" i="89"/>
  <c r="AJ52" i="89"/>
  <c r="AJ51" i="89"/>
  <c r="AJ50" i="89"/>
  <c r="AV50" i="89" s="1"/>
  <c r="AJ49" i="89"/>
  <c r="AC346" i="89"/>
  <c r="AC345" i="89"/>
  <c r="AC344" i="89"/>
  <c r="AC343" i="89"/>
  <c r="AC342" i="89"/>
  <c r="AC341" i="89"/>
  <c r="AC340" i="89"/>
  <c r="AC339" i="89"/>
  <c r="AC338" i="89"/>
  <c r="AC337" i="89"/>
  <c r="AC336" i="89"/>
  <c r="AC335" i="89"/>
  <c r="AC334" i="89"/>
  <c r="AC333" i="89"/>
  <c r="AC332" i="89"/>
  <c r="AC331" i="89"/>
  <c r="AC330" i="89"/>
  <c r="AC329" i="89"/>
  <c r="AC328" i="89"/>
  <c r="AC327" i="89"/>
  <c r="AC326" i="89"/>
  <c r="AC325" i="89"/>
  <c r="AC324" i="89"/>
  <c r="AC323" i="89"/>
  <c r="AC322" i="89"/>
  <c r="AC321" i="89"/>
  <c r="AC320" i="89"/>
  <c r="AC319" i="89"/>
  <c r="AC318" i="89"/>
  <c r="AC317" i="89"/>
  <c r="AC316" i="89"/>
  <c r="AC315" i="89"/>
  <c r="AC314" i="89"/>
  <c r="AC313" i="89"/>
  <c r="AC312" i="89"/>
  <c r="AC311" i="89"/>
  <c r="AC310" i="89"/>
  <c r="AC309" i="89"/>
  <c r="AC308" i="89"/>
  <c r="AC307" i="89"/>
  <c r="AC306" i="89"/>
  <c r="AC305" i="89"/>
  <c r="AC304" i="89"/>
  <c r="AC303" i="89"/>
  <c r="AC302" i="89"/>
  <c r="AC301" i="89"/>
  <c r="AC300" i="89"/>
  <c r="AC299" i="89"/>
  <c r="AC298" i="89"/>
  <c r="AC297" i="89"/>
  <c r="AC296" i="89"/>
  <c r="AC295" i="89"/>
  <c r="AC294" i="89"/>
  <c r="AC293" i="89"/>
  <c r="AC292" i="89"/>
  <c r="AC291" i="89"/>
  <c r="AC290" i="89"/>
  <c r="AC289" i="89"/>
  <c r="AC288" i="89"/>
  <c r="AC287" i="89"/>
  <c r="AC286" i="89"/>
  <c r="AC285" i="89"/>
  <c r="AC284" i="89"/>
  <c r="AC283" i="89"/>
  <c r="AC282" i="89"/>
  <c r="AC281" i="89"/>
  <c r="AC280" i="89"/>
  <c r="AC279" i="89"/>
  <c r="AC278" i="89"/>
  <c r="AC277" i="89"/>
  <c r="AC276" i="89"/>
  <c r="AC275" i="89"/>
  <c r="AC274" i="89"/>
  <c r="AC273" i="89"/>
  <c r="AC272" i="89"/>
  <c r="AC271" i="89"/>
  <c r="AC270" i="89"/>
  <c r="AC269" i="89"/>
  <c r="AC268" i="89"/>
  <c r="AC267" i="89"/>
  <c r="AC266" i="89"/>
  <c r="AC265" i="89"/>
  <c r="AC264" i="89"/>
  <c r="AC263" i="89"/>
  <c r="AC262" i="89"/>
  <c r="AC261" i="89"/>
  <c r="AC260" i="89"/>
  <c r="AC259" i="89"/>
  <c r="AC258" i="89"/>
  <c r="AC257" i="89"/>
  <c r="AC256" i="89"/>
  <c r="AC255" i="89"/>
  <c r="AC254" i="89"/>
  <c r="AC253" i="89"/>
  <c r="AC252" i="89"/>
  <c r="AC251" i="89"/>
  <c r="AC250" i="89"/>
  <c r="AC249" i="89"/>
  <c r="AC248" i="89"/>
  <c r="AC247" i="89"/>
  <c r="AC246" i="89"/>
  <c r="AC245" i="89"/>
  <c r="AC244" i="89"/>
  <c r="AC243" i="89"/>
  <c r="AC242" i="89"/>
  <c r="AC241" i="89"/>
  <c r="AC240" i="89"/>
  <c r="AC239" i="89"/>
  <c r="AC238" i="89"/>
  <c r="AC237" i="89"/>
  <c r="AC236" i="89"/>
  <c r="AC235" i="89"/>
  <c r="AC234" i="89"/>
  <c r="AC233" i="89"/>
  <c r="AC232" i="89"/>
  <c r="AC231" i="89"/>
  <c r="AC230" i="89"/>
  <c r="AC229" i="89"/>
  <c r="AC228" i="89"/>
  <c r="AC227" i="89"/>
  <c r="AC226" i="89"/>
  <c r="AC225" i="89"/>
  <c r="AC224" i="89"/>
  <c r="AC223" i="89"/>
  <c r="AC222" i="89"/>
  <c r="AC221" i="89"/>
  <c r="AC220" i="89"/>
  <c r="AC219" i="89"/>
  <c r="AC218" i="89"/>
  <c r="AC217" i="89"/>
  <c r="AC216" i="89"/>
  <c r="AC215" i="89"/>
  <c r="AC214" i="89"/>
  <c r="AC213" i="89"/>
  <c r="AC212" i="89"/>
  <c r="AC211" i="89"/>
  <c r="AC210" i="89"/>
  <c r="AC209" i="89"/>
  <c r="AC208" i="89"/>
  <c r="AC207" i="89"/>
  <c r="AC206" i="89"/>
  <c r="AC205" i="89"/>
  <c r="AC204" i="89"/>
  <c r="AC203" i="89"/>
  <c r="AC202" i="89"/>
  <c r="AC201" i="89"/>
  <c r="AC200" i="89"/>
  <c r="AC199" i="89"/>
  <c r="AC198" i="89"/>
  <c r="AC197" i="89"/>
  <c r="AC196" i="89"/>
  <c r="AC195" i="89"/>
  <c r="AC194" i="89"/>
  <c r="AC193" i="89"/>
  <c r="AC192" i="89"/>
  <c r="AC191" i="89"/>
  <c r="AC190" i="89"/>
  <c r="AC189" i="89"/>
  <c r="AC188" i="89"/>
  <c r="AC187" i="89"/>
  <c r="AC186" i="89"/>
  <c r="AC185" i="89"/>
  <c r="AC184" i="89"/>
  <c r="AC183" i="89"/>
  <c r="AC182" i="89"/>
  <c r="AC181" i="89"/>
  <c r="AC180" i="89"/>
  <c r="AC179" i="89"/>
  <c r="AC178" i="89"/>
  <c r="AC177" i="89"/>
  <c r="AC176" i="89"/>
  <c r="AC175" i="89"/>
  <c r="AC174" i="89"/>
  <c r="AC173" i="89"/>
  <c r="AC172" i="89"/>
  <c r="AC171" i="89"/>
  <c r="AC170" i="89"/>
  <c r="AC169" i="89"/>
  <c r="AC168" i="89"/>
  <c r="AC167" i="89"/>
  <c r="AC166" i="89"/>
  <c r="AC165" i="89"/>
  <c r="AC164" i="89"/>
  <c r="AC163" i="89"/>
  <c r="AC162" i="89"/>
  <c r="AC161" i="89"/>
  <c r="AC160" i="89"/>
  <c r="AC159" i="89"/>
  <c r="AC158" i="89"/>
  <c r="AC157" i="89"/>
  <c r="AC156" i="89"/>
  <c r="AC155" i="89"/>
  <c r="AC154" i="89"/>
  <c r="AC153" i="89"/>
  <c r="AC152" i="89"/>
  <c r="AC151" i="89"/>
  <c r="AC150" i="89"/>
  <c r="AC149" i="89"/>
  <c r="AC148" i="89"/>
  <c r="AC147" i="89"/>
  <c r="AC146" i="89"/>
  <c r="AC145" i="89"/>
  <c r="AC144" i="89"/>
  <c r="AC143" i="89"/>
  <c r="AC142" i="89"/>
  <c r="AC141" i="89"/>
  <c r="AC140" i="89"/>
  <c r="AC139" i="89"/>
  <c r="AC138" i="89"/>
  <c r="AC137" i="89"/>
  <c r="AC136" i="89"/>
  <c r="AC135" i="89"/>
  <c r="AC134" i="89"/>
  <c r="AC133" i="89"/>
  <c r="AC132" i="89"/>
  <c r="AC131" i="89"/>
  <c r="AC130" i="89"/>
  <c r="AC129" i="89"/>
  <c r="AC128" i="89"/>
  <c r="AC127" i="89"/>
  <c r="AC126" i="89"/>
  <c r="AC125" i="89"/>
  <c r="AC124" i="89"/>
  <c r="AC123" i="89"/>
  <c r="AC122" i="89"/>
  <c r="AC121" i="89"/>
  <c r="AC120" i="89"/>
  <c r="AC119" i="89"/>
  <c r="AC118" i="89"/>
  <c r="AC117" i="89"/>
  <c r="AC116" i="89"/>
  <c r="AC115" i="89"/>
  <c r="AC114" i="89"/>
  <c r="AC113" i="89"/>
  <c r="AC112" i="89"/>
  <c r="AC111" i="89"/>
  <c r="AC110" i="89"/>
  <c r="AC109" i="89"/>
  <c r="AC108" i="89"/>
  <c r="AC107" i="89"/>
  <c r="AC106" i="89"/>
  <c r="AC105" i="89"/>
  <c r="AC104" i="89"/>
  <c r="AC103" i="89"/>
  <c r="AC102" i="89"/>
  <c r="AC101" i="89"/>
  <c r="AC100" i="89"/>
  <c r="AC99" i="89"/>
  <c r="AC98" i="89"/>
  <c r="AC97" i="89"/>
  <c r="AC96" i="89"/>
  <c r="AC95" i="89"/>
  <c r="AC94" i="89"/>
  <c r="AC93" i="89"/>
  <c r="AC92" i="89"/>
  <c r="AC91" i="89"/>
  <c r="AC90" i="89"/>
  <c r="AC89" i="89"/>
  <c r="AC88" i="89"/>
  <c r="AC87" i="89"/>
  <c r="AC86" i="89"/>
  <c r="AC85" i="89"/>
  <c r="AC84" i="89"/>
  <c r="AC83" i="89"/>
  <c r="AC82" i="89"/>
  <c r="AC81" i="89"/>
  <c r="AC80" i="89"/>
  <c r="AC79" i="89"/>
  <c r="AC78" i="89"/>
  <c r="AC77" i="89"/>
  <c r="AC76" i="89"/>
  <c r="AC75" i="89"/>
  <c r="AC74" i="89"/>
  <c r="AC73" i="89"/>
  <c r="AC72" i="89"/>
  <c r="AC71" i="89"/>
  <c r="AC70" i="89"/>
  <c r="AC69" i="89"/>
  <c r="AC68" i="89"/>
  <c r="AC67" i="89"/>
  <c r="AC66" i="89"/>
  <c r="AC65" i="89"/>
  <c r="AC64" i="89"/>
  <c r="AC63" i="89"/>
  <c r="AC62" i="89"/>
  <c r="AC61" i="89"/>
  <c r="AC60" i="89"/>
  <c r="AC59" i="89"/>
  <c r="AC58" i="89"/>
  <c r="AC57" i="89"/>
  <c r="AC56" i="89"/>
  <c r="AC55" i="89"/>
  <c r="AC54" i="89"/>
  <c r="AC53" i="89"/>
  <c r="AC52" i="89"/>
  <c r="AC51" i="89"/>
  <c r="AC50" i="89"/>
  <c r="AU50" i="89" s="1"/>
  <c r="AC49" i="89"/>
  <c r="V346" i="89"/>
  <c r="V345" i="89"/>
  <c r="V344" i="89"/>
  <c r="V343" i="89"/>
  <c r="V342" i="89"/>
  <c r="V341" i="89"/>
  <c r="V340" i="89"/>
  <c r="V339" i="89"/>
  <c r="V338" i="89"/>
  <c r="V337" i="89"/>
  <c r="V336" i="89"/>
  <c r="V335" i="89"/>
  <c r="V334" i="89"/>
  <c r="V333" i="89"/>
  <c r="V332" i="89"/>
  <c r="V331" i="89"/>
  <c r="V330" i="89"/>
  <c r="V329" i="89"/>
  <c r="V328" i="89"/>
  <c r="V327" i="89"/>
  <c r="V326" i="89"/>
  <c r="V325" i="89"/>
  <c r="V324" i="89"/>
  <c r="V323" i="89"/>
  <c r="V322" i="89"/>
  <c r="V321" i="89"/>
  <c r="V320" i="89"/>
  <c r="V319" i="89"/>
  <c r="V318" i="89"/>
  <c r="V317" i="89"/>
  <c r="V316" i="89"/>
  <c r="V315" i="89"/>
  <c r="V314" i="89"/>
  <c r="V313" i="89"/>
  <c r="V312" i="89"/>
  <c r="V311" i="89"/>
  <c r="V310" i="89"/>
  <c r="V309" i="89"/>
  <c r="V308" i="89"/>
  <c r="V307" i="89"/>
  <c r="V306" i="89"/>
  <c r="V305" i="89"/>
  <c r="V304" i="89"/>
  <c r="V303" i="89"/>
  <c r="V302" i="89"/>
  <c r="V301" i="89"/>
  <c r="V300" i="89"/>
  <c r="V299" i="89"/>
  <c r="V298" i="89"/>
  <c r="V297" i="89"/>
  <c r="V296" i="89"/>
  <c r="V295" i="89"/>
  <c r="V294" i="89"/>
  <c r="V293" i="89"/>
  <c r="V292" i="89"/>
  <c r="V291" i="89"/>
  <c r="V290" i="89"/>
  <c r="V289" i="89"/>
  <c r="V288" i="89"/>
  <c r="V287" i="89"/>
  <c r="V286" i="89"/>
  <c r="V285" i="89"/>
  <c r="V284" i="89"/>
  <c r="V283" i="89"/>
  <c r="V282" i="89"/>
  <c r="V281" i="89"/>
  <c r="V280" i="89"/>
  <c r="V279" i="89"/>
  <c r="V278" i="89"/>
  <c r="V277" i="89"/>
  <c r="V276" i="89"/>
  <c r="V275" i="89"/>
  <c r="V274" i="89"/>
  <c r="V273" i="89"/>
  <c r="V272" i="89"/>
  <c r="V271" i="89"/>
  <c r="V270" i="89"/>
  <c r="V269" i="89"/>
  <c r="V268" i="89"/>
  <c r="V267" i="89"/>
  <c r="V266" i="89"/>
  <c r="V265" i="89"/>
  <c r="V264" i="89"/>
  <c r="V263" i="89"/>
  <c r="V262" i="89"/>
  <c r="V261" i="89"/>
  <c r="V260" i="89"/>
  <c r="V259" i="89"/>
  <c r="V258" i="89"/>
  <c r="V257" i="89"/>
  <c r="V256" i="89"/>
  <c r="V255" i="89"/>
  <c r="V254" i="89"/>
  <c r="V253" i="89"/>
  <c r="V252" i="89"/>
  <c r="V251" i="89"/>
  <c r="V250" i="89"/>
  <c r="V249" i="89"/>
  <c r="V248" i="89"/>
  <c r="V247" i="89"/>
  <c r="V246" i="89"/>
  <c r="V245" i="89"/>
  <c r="V244" i="89"/>
  <c r="V243" i="89"/>
  <c r="V242" i="89"/>
  <c r="V241" i="89"/>
  <c r="V240" i="89"/>
  <c r="V239" i="89"/>
  <c r="V238" i="89"/>
  <c r="V237" i="89"/>
  <c r="V236" i="89"/>
  <c r="V235" i="89"/>
  <c r="V234" i="89"/>
  <c r="V233" i="89"/>
  <c r="V232" i="89"/>
  <c r="V231" i="89"/>
  <c r="V230" i="89"/>
  <c r="V229" i="89"/>
  <c r="V228" i="89"/>
  <c r="V227" i="89"/>
  <c r="V226" i="89"/>
  <c r="V225" i="89"/>
  <c r="V224" i="89"/>
  <c r="V223" i="89"/>
  <c r="V222" i="89"/>
  <c r="V221" i="89"/>
  <c r="V220" i="89"/>
  <c r="V219" i="89"/>
  <c r="V218" i="89"/>
  <c r="V217" i="89"/>
  <c r="V216" i="89"/>
  <c r="V215" i="89"/>
  <c r="V214" i="89"/>
  <c r="V213" i="89"/>
  <c r="V212" i="89"/>
  <c r="V211" i="89"/>
  <c r="V210" i="89"/>
  <c r="V209" i="89"/>
  <c r="V208" i="89"/>
  <c r="V207" i="89"/>
  <c r="V206" i="89"/>
  <c r="V205" i="89"/>
  <c r="V204" i="89"/>
  <c r="V203" i="89"/>
  <c r="V202" i="89"/>
  <c r="V201" i="89"/>
  <c r="V200" i="89"/>
  <c r="V199" i="89"/>
  <c r="V198" i="89"/>
  <c r="V197" i="89"/>
  <c r="V196" i="89"/>
  <c r="V195" i="89"/>
  <c r="V194" i="89"/>
  <c r="V193" i="89"/>
  <c r="V192" i="89"/>
  <c r="V191" i="89"/>
  <c r="V190" i="89"/>
  <c r="V189" i="89"/>
  <c r="V188" i="89"/>
  <c r="V187" i="89"/>
  <c r="V186" i="89"/>
  <c r="V185" i="89"/>
  <c r="V184" i="89"/>
  <c r="V183" i="89"/>
  <c r="V182" i="89"/>
  <c r="V181" i="89"/>
  <c r="V180" i="89"/>
  <c r="V179" i="89"/>
  <c r="V178" i="89"/>
  <c r="V177" i="89"/>
  <c r="V176" i="89"/>
  <c r="V175" i="89"/>
  <c r="V174" i="89"/>
  <c r="V173" i="89"/>
  <c r="V172" i="89"/>
  <c r="V171" i="89"/>
  <c r="V170" i="89"/>
  <c r="V169" i="89"/>
  <c r="V168" i="89"/>
  <c r="V167" i="89"/>
  <c r="V166" i="89"/>
  <c r="V165" i="89"/>
  <c r="V164" i="89"/>
  <c r="V163" i="89"/>
  <c r="V162" i="89"/>
  <c r="V161" i="89"/>
  <c r="V160" i="89"/>
  <c r="V159" i="89"/>
  <c r="V158" i="89"/>
  <c r="V157" i="89"/>
  <c r="V156" i="89"/>
  <c r="V155" i="89"/>
  <c r="V154" i="89"/>
  <c r="V153" i="89"/>
  <c r="V152" i="89"/>
  <c r="V151" i="89"/>
  <c r="V150" i="89"/>
  <c r="V149" i="89"/>
  <c r="V148" i="89"/>
  <c r="V147" i="89"/>
  <c r="V146" i="89"/>
  <c r="V145" i="89"/>
  <c r="V144" i="89"/>
  <c r="V143" i="89"/>
  <c r="V142" i="89"/>
  <c r="V141" i="89"/>
  <c r="V140" i="89"/>
  <c r="V139" i="89"/>
  <c r="V138" i="89"/>
  <c r="V137" i="89"/>
  <c r="V136" i="89"/>
  <c r="V135" i="89"/>
  <c r="V134" i="89"/>
  <c r="V133" i="89"/>
  <c r="V132" i="89"/>
  <c r="V131" i="89"/>
  <c r="V130" i="89"/>
  <c r="V129" i="89"/>
  <c r="V128" i="89"/>
  <c r="V127" i="89"/>
  <c r="V126" i="89"/>
  <c r="V125" i="89"/>
  <c r="V124" i="89"/>
  <c r="V123" i="89"/>
  <c r="V122" i="89"/>
  <c r="V121" i="89"/>
  <c r="V120" i="89"/>
  <c r="V119" i="89"/>
  <c r="V118" i="89"/>
  <c r="V117" i="89"/>
  <c r="V116" i="89"/>
  <c r="V115" i="89"/>
  <c r="V114" i="89"/>
  <c r="V113" i="89"/>
  <c r="V112" i="89"/>
  <c r="V111" i="89"/>
  <c r="V110" i="89"/>
  <c r="V109" i="89"/>
  <c r="V108" i="89"/>
  <c r="V107" i="89"/>
  <c r="V106" i="89"/>
  <c r="V105" i="89"/>
  <c r="V104" i="89"/>
  <c r="V103" i="89"/>
  <c r="V102" i="89"/>
  <c r="V101" i="89"/>
  <c r="V100" i="89"/>
  <c r="V99" i="89"/>
  <c r="V98" i="89"/>
  <c r="V97" i="89"/>
  <c r="V96" i="89"/>
  <c r="V95" i="89"/>
  <c r="V94" i="89"/>
  <c r="V93" i="89"/>
  <c r="V92" i="89"/>
  <c r="V91" i="89"/>
  <c r="V90" i="89"/>
  <c r="V89" i="89"/>
  <c r="V88" i="89"/>
  <c r="V87" i="89"/>
  <c r="V86" i="89"/>
  <c r="V85" i="89"/>
  <c r="V84" i="89"/>
  <c r="V83" i="89"/>
  <c r="V82" i="89"/>
  <c r="V81" i="89"/>
  <c r="V80" i="89"/>
  <c r="V79" i="89"/>
  <c r="V78" i="89"/>
  <c r="V77" i="89"/>
  <c r="V76" i="89"/>
  <c r="V75" i="89"/>
  <c r="V74" i="89"/>
  <c r="V73" i="89"/>
  <c r="V72" i="89"/>
  <c r="V71" i="89"/>
  <c r="V70" i="89"/>
  <c r="V69" i="89"/>
  <c r="V68" i="89"/>
  <c r="V67" i="89"/>
  <c r="V66" i="89"/>
  <c r="V65" i="89"/>
  <c r="V64" i="89"/>
  <c r="V63" i="89"/>
  <c r="V62" i="89"/>
  <c r="V61" i="89"/>
  <c r="V60" i="89"/>
  <c r="V59" i="89"/>
  <c r="V58" i="89"/>
  <c r="V57" i="89"/>
  <c r="V56" i="89"/>
  <c r="V55" i="89"/>
  <c r="V54" i="89"/>
  <c r="V53" i="89"/>
  <c r="V52" i="89"/>
  <c r="V51" i="89"/>
  <c r="V50" i="89"/>
  <c r="AT50" i="89" s="1"/>
  <c r="V49" i="89"/>
  <c r="O50" i="89"/>
  <c r="AS50" i="89" s="1"/>
  <c r="O51" i="89"/>
  <c r="O52" i="89"/>
  <c r="O53" i="89"/>
  <c r="O54" i="89"/>
  <c r="O55" i="89"/>
  <c r="O56" i="89"/>
  <c r="O57" i="89"/>
  <c r="O58" i="89"/>
  <c r="O59" i="89"/>
  <c r="O60" i="89"/>
  <c r="O61" i="89"/>
  <c r="O62" i="89"/>
  <c r="O63" i="89"/>
  <c r="O64" i="89"/>
  <c r="O65" i="89"/>
  <c r="O66" i="89"/>
  <c r="O67" i="89"/>
  <c r="O68" i="89"/>
  <c r="O69" i="89"/>
  <c r="O70" i="89"/>
  <c r="O71" i="89"/>
  <c r="O72" i="89"/>
  <c r="O73" i="89"/>
  <c r="O74" i="89"/>
  <c r="O75" i="89"/>
  <c r="O76" i="89"/>
  <c r="O77" i="89"/>
  <c r="O78" i="89"/>
  <c r="O79" i="89"/>
  <c r="O80" i="89"/>
  <c r="O81" i="89"/>
  <c r="O82" i="89"/>
  <c r="O83" i="89"/>
  <c r="O84" i="89"/>
  <c r="O85" i="89"/>
  <c r="O86" i="89"/>
  <c r="O87" i="89"/>
  <c r="O88" i="89"/>
  <c r="O89" i="89"/>
  <c r="O90" i="89"/>
  <c r="O92" i="89"/>
  <c r="O93" i="89"/>
  <c r="O94" i="89"/>
  <c r="O95" i="89"/>
  <c r="O96" i="89"/>
  <c r="O97" i="89"/>
  <c r="O98" i="89"/>
  <c r="O99" i="89"/>
  <c r="O100" i="89"/>
  <c r="O101" i="89"/>
  <c r="O102" i="89"/>
  <c r="O103" i="89"/>
  <c r="O104" i="89"/>
  <c r="O105" i="89"/>
  <c r="O106" i="89"/>
  <c r="O107" i="89"/>
  <c r="O108" i="89"/>
  <c r="O109" i="89"/>
  <c r="O110" i="89"/>
  <c r="O111" i="89"/>
  <c r="O112" i="89"/>
  <c r="O113" i="89"/>
  <c r="O114" i="89"/>
  <c r="O115" i="89"/>
  <c r="O116" i="89"/>
  <c r="O117" i="89"/>
  <c r="O118" i="89"/>
  <c r="O119" i="89"/>
  <c r="O120" i="89"/>
  <c r="O121" i="89"/>
  <c r="O122" i="89"/>
  <c r="O123" i="89"/>
  <c r="O124" i="89"/>
  <c r="O125" i="89"/>
  <c r="O126" i="89"/>
  <c r="O127" i="89"/>
  <c r="O128" i="89"/>
  <c r="O129" i="89"/>
  <c r="O130" i="89"/>
  <c r="O131" i="89"/>
  <c r="O132" i="89"/>
  <c r="O133" i="89"/>
  <c r="O134" i="89"/>
  <c r="O135" i="89"/>
  <c r="O136" i="89"/>
  <c r="O137" i="89"/>
  <c r="O138" i="89"/>
  <c r="O139" i="89"/>
  <c r="O140" i="89"/>
  <c r="O141" i="89"/>
  <c r="O142" i="89"/>
  <c r="O143" i="89"/>
  <c r="O144" i="89"/>
  <c r="O145" i="89"/>
  <c r="O146" i="89"/>
  <c r="O147" i="89"/>
  <c r="O148" i="89"/>
  <c r="O149" i="89"/>
  <c r="O150" i="89"/>
  <c r="O151" i="89"/>
  <c r="O152" i="89"/>
  <c r="O153" i="89"/>
  <c r="O154" i="89"/>
  <c r="O155" i="89"/>
  <c r="O156" i="89"/>
  <c r="O157" i="89"/>
  <c r="O158" i="89"/>
  <c r="O159" i="89"/>
  <c r="O160" i="89"/>
  <c r="O161" i="89"/>
  <c r="O162" i="89"/>
  <c r="O163" i="89"/>
  <c r="O164" i="89"/>
  <c r="O165" i="89"/>
  <c r="O166" i="89"/>
  <c r="O167" i="89"/>
  <c r="O168" i="89"/>
  <c r="O169" i="89"/>
  <c r="O170" i="89"/>
  <c r="O171" i="89"/>
  <c r="O172" i="89"/>
  <c r="O173" i="89"/>
  <c r="O174" i="89"/>
  <c r="O175" i="89"/>
  <c r="O176" i="89"/>
  <c r="O177" i="89"/>
  <c r="O178" i="89"/>
  <c r="O179" i="89"/>
  <c r="O180" i="89"/>
  <c r="O181" i="89"/>
  <c r="O182" i="89"/>
  <c r="O183" i="89"/>
  <c r="O184" i="89"/>
  <c r="O185" i="89"/>
  <c r="O186" i="89"/>
  <c r="O187" i="89"/>
  <c r="O188" i="89"/>
  <c r="O189" i="89"/>
  <c r="O190" i="89"/>
  <c r="O191" i="89"/>
  <c r="O192" i="89"/>
  <c r="O193" i="89"/>
  <c r="O194" i="89"/>
  <c r="O195" i="89"/>
  <c r="O196" i="89"/>
  <c r="O197" i="89"/>
  <c r="O198" i="89"/>
  <c r="O199" i="89"/>
  <c r="O200" i="89"/>
  <c r="O201" i="89"/>
  <c r="O202" i="89"/>
  <c r="O203" i="89"/>
  <c r="O204" i="89"/>
  <c r="O205" i="89"/>
  <c r="O206" i="89"/>
  <c r="O207" i="89"/>
  <c r="O208" i="89"/>
  <c r="O209" i="89"/>
  <c r="O210" i="89"/>
  <c r="O211" i="89"/>
  <c r="O212" i="89"/>
  <c r="O213" i="89"/>
  <c r="O214" i="89"/>
  <c r="O215" i="89"/>
  <c r="O216" i="89"/>
  <c r="O217" i="89"/>
  <c r="O218" i="89"/>
  <c r="O219" i="89"/>
  <c r="O220" i="89"/>
  <c r="O221" i="89"/>
  <c r="O222" i="89"/>
  <c r="O223" i="89"/>
  <c r="O224" i="89"/>
  <c r="O225" i="89"/>
  <c r="O226" i="89"/>
  <c r="O227" i="89"/>
  <c r="O228" i="89"/>
  <c r="O229" i="89"/>
  <c r="O230" i="89"/>
  <c r="O231" i="89"/>
  <c r="O232" i="89"/>
  <c r="O233" i="89"/>
  <c r="O234" i="89"/>
  <c r="O235" i="89"/>
  <c r="O236" i="89"/>
  <c r="O237" i="89"/>
  <c r="O238" i="89"/>
  <c r="O239" i="89"/>
  <c r="O240" i="89"/>
  <c r="O241" i="89"/>
  <c r="O242" i="89"/>
  <c r="O243" i="89"/>
  <c r="O244" i="89"/>
  <c r="O245" i="89"/>
  <c r="O246" i="89"/>
  <c r="O247" i="89"/>
  <c r="O248" i="89"/>
  <c r="O249" i="89"/>
  <c r="O250" i="89"/>
  <c r="O251" i="89"/>
  <c r="O252" i="89"/>
  <c r="O253" i="89"/>
  <c r="O254" i="89"/>
  <c r="O255" i="89"/>
  <c r="O256" i="89"/>
  <c r="O257" i="89"/>
  <c r="O258" i="89"/>
  <c r="O259" i="89"/>
  <c r="O260" i="89"/>
  <c r="O261" i="89"/>
  <c r="O262" i="89"/>
  <c r="O263" i="89"/>
  <c r="O264" i="89"/>
  <c r="O265" i="89"/>
  <c r="O266" i="89"/>
  <c r="O267" i="89"/>
  <c r="O268" i="89"/>
  <c r="O269" i="89"/>
  <c r="O270" i="89"/>
  <c r="O271" i="89"/>
  <c r="O272" i="89"/>
  <c r="O273" i="89"/>
  <c r="O274" i="89"/>
  <c r="O275" i="89"/>
  <c r="O276" i="89"/>
  <c r="O277" i="89"/>
  <c r="O278" i="89"/>
  <c r="O279" i="89"/>
  <c r="O280" i="89"/>
  <c r="O281" i="89"/>
  <c r="O282" i="89"/>
  <c r="O283" i="89"/>
  <c r="O284" i="89"/>
  <c r="O285" i="89"/>
  <c r="O286" i="89"/>
  <c r="O287" i="89"/>
  <c r="O288" i="89"/>
  <c r="O289" i="89"/>
  <c r="O290" i="89"/>
  <c r="O291" i="89"/>
  <c r="O292" i="89"/>
  <c r="O293" i="89"/>
  <c r="O294" i="89"/>
  <c r="O295" i="89"/>
  <c r="O296" i="89"/>
  <c r="O297" i="89"/>
  <c r="O298" i="89"/>
  <c r="O299" i="89"/>
  <c r="O300" i="89"/>
  <c r="O301" i="89"/>
  <c r="O302" i="89"/>
  <c r="O303" i="89"/>
  <c r="O304" i="89"/>
  <c r="O305" i="89"/>
  <c r="O306" i="89"/>
  <c r="O307" i="89"/>
  <c r="O308" i="89"/>
  <c r="O309" i="89"/>
  <c r="O310" i="89"/>
  <c r="O311" i="89"/>
  <c r="O312" i="89"/>
  <c r="O313" i="89"/>
  <c r="O314" i="89"/>
  <c r="O315" i="89"/>
  <c r="O316" i="89"/>
  <c r="O317" i="89"/>
  <c r="O318" i="89"/>
  <c r="O319" i="89"/>
  <c r="O320" i="89"/>
  <c r="O321" i="89"/>
  <c r="O322" i="89"/>
  <c r="O323" i="89"/>
  <c r="O324" i="89"/>
  <c r="O325" i="89"/>
  <c r="O326" i="89"/>
  <c r="O327" i="89"/>
  <c r="O328" i="89"/>
  <c r="O329" i="89"/>
  <c r="O330" i="89"/>
  <c r="O331" i="89"/>
  <c r="O332" i="89"/>
  <c r="O333" i="89"/>
  <c r="O334" i="89"/>
  <c r="O335" i="89"/>
  <c r="O336" i="89"/>
  <c r="O337" i="89"/>
  <c r="O338" i="89"/>
  <c r="O339" i="89"/>
  <c r="O340" i="89"/>
  <c r="O341" i="89"/>
  <c r="O342" i="89"/>
  <c r="O343" i="89"/>
  <c r="O344" i="89"/>
  <c r="O345" i="89"/>
  <c r="O346" i="89"/>
  <c r="O49" i="89"/>
  <c r="AB149" i="88"/>
  <c r="AB150" i="88"/>
  <c r="AB151" i="88"/>
  <c r="AB153" i="88"/>
  <c r="AB155" i="88"/>
  <c r="AB157" i="88"/>
  <c r="AB158" i="88"/>
  <c r="AB159" i="88"/>
  <c r="AB160" i="88"/>
  <c r="AB162" i="88"/>
  <c r="AB163" i="88"/>
  <c r="AB164" i="88"/>
  <c r="AB167" i="88"/>
  <c r="AB168" i="88"/>
  <c r="AB169" i="88"/>
  <c r="AB170" i="88"/>
  <c r="AB171" i="88"/>
  <c r="AB174" i="88"/>
  <c r="AB175" i="88"/>
  <c r="AB176" i="88"/>
  <c r="AB178" i="88"/>
  <c r="AB179" i="88"/>
  <c r="AB182" i="88"/>
  <c r="AB183" i="88"/>
  <c r="AB185" i="88"/>
  <c r="AB186" i="88"/>
  <c r="AB187" i="88"/>
  <c r="AB188" i="88"/>
  <c r="AB190" i="88"/>
  <c r="AB191" i="88"/>
  <c r="AB192" i="88"/>
  <c r="AB194" i="88"/>
  <c r="AB195" i="88"/>
  <c r="AB196" i="88"/>
  <c r="AB197" i="88"/>
  <c r="AB199" i="88"/>
  <c r="AB201" i="88"/>
  <c r="AB203" i="88"/>
  <c r="AB205" i="88"/>
  <c r="AB208" i="88"/>
  <c r="AB209" i="88"/>
  <c r="AB211" i="88"/>
  <c r="AB212" i="88"/>
  <c r="AB217" i="88"/>
  <c r="AB218" i="88"/>
  <c r="AB221" i="88"/>
  <c r="AB222" i="88"/>
  <c r="AB223" i="88"/>
  <c r="AB227" i="88"/>
  <c r="AB228" i="88"/>
  <c r="AB230" i="88"/>
  <c r="AB233" i="88"/>
  <c r="AB234" i="88"/>
  <c r="AB235" i="88"/>
  <c r="AB241" i="88"/>
  <c r="AB243" i="88"/>
  <c r="AB246" i="88"/>
  <c r="AB247" i="88"/>
  <c r="AB251" i="88"/>
  <c r="AB255" i="88"/>
  <c r="AB256" i="88"/>
  <c r="AB257" i="88"/>
  <c r="AB258" i="88"/>
  <c r="AB260" i="88"/>
  <c r="AB261" i="88"/>
  <c r="AB262" i="88"/>
  <c r="AB263" i="88"/>
  <c r="AB264" i="88"/>
  <c r="AB265" i="88"/>
  <c r="AB267" i="88"/>
  <c r="AB269" i="88"/>
  <c r="AB270" i="88"/>
  <c r="AB271" i="88"/>
  <c r="AB273" i="88"/>
  <c r="AB274" i="88"/>
  <c r="AB275" i="88"/>
  <c r="AB276" i="88"/>
  <c r="AB277" i="88"/>
  <c r="AB278" i="88"/>
  <c r="AB281" i="88"/>
  <c r="AB282" i="88"/>
  <c r="AB283" i="88"/>
  <c r="AB284" i="88"/>
  <c r="AB285" i="88"/>
  <c r="AB290" i="88"/>
  <c r="AB291" i="88"/>
  <c r="AB292" i="88"/>
  <c r="AB293" i="88"/>
  <c r="AB295" i="88"/>
  <c r="AB298" i="88"/>
  <c r="AB299" i="88"/>
  <c r="AB300" i="88"/>
  <c r="AB301" i="88"/>
  <c r="AB302" i="88"/>
  <c r="AB307" i="88"/>
  <c r="AB309" i="88"/>
  <c r="AB310" i="88"/>
  <c r="AB311" i="88"/>
  <c r="AB312" i="88"/>
  <c r="AB314" i="88"/>
  <c r="AB315" i="88"/>
  <c r="AB316" i="88"/>
  <c r="AB317" i="88"/>
  <c r="AB319" i="88"/>
  <c r="AB322" i="88"/>
  <c r="AB324" i="88"/>
  <c r="AB325" i="88"/>
  <c r="AB326" i="88"/>
  <c r="AB327" i="88"/>
  <c r="AB328" i="88"/>
  <c r="AB329" i="88"/>
  <c r="AB331" i="88"/>
  <c r="AB332" i="88"/>
  <c r="AB333" i="88"/>
  <c r="AB335" i="88"/>
  <c r="AB336" i="88"/>
  <c r="AB337" i="88"/>
  <c r="AB342" i="88"/>
  <c r="V160" i="88"/>
  <c r="AQ160" i="88"/>
  <c r="AR160" i="88"/>
  <c r="AS160" i="88"/>
  <c r="AT160" i="88"/>
  <c r="AU160" i="88"/>
  <c r="AC160" i="88"/>
  <c r="W160" i="88"/>
  <c r="K160" i="88"/>
  <c r="J160" i="88"/>
  <c r="BG463" i="88" s="1"/>
  <c r="D50" i="89"/>
  <c r="D353" i="89" s="1"/>
  <c r="D700" i="89" s="1"/>
  <c r="D1017" i="89" s="1"/>
  <c r="D51" i="89"/>
  <c r="D52" i="89"/>
  <c r="D355" i="89" s="1"/>
  <c r="D702" i="89" s="1"/>
  <c r="D1019" i="89" s="1"/>
  <c r="D53" i="89"/>
  <c r="D356" i="89" s="1"/>
  <c r="D703" i="89" s="1"/>
  <c r="D1020" i="89" s="1"/>
  <c r="D54" i="89"/>
  <c r="D357" i="89" s="1"/>
  <c r="D704" i="89" s="1"/>
  <c r="D1021" i="89" s="1"/>
  <c r="D55" i="89"/>
  <c r="D56" i="89"/>
  <c r="D359" i="89" s="1"/>
  <c r="D706" i="89" s="1"/>
  <c r="D1023" i="89" s="1"/>
  <c r="D57" i="89"/>
  <c r="D360" i="89" s="1"/>
  <c r="D707" i="89" s="1"/>
  <c r="D1024" i="89" s="1"/>
  <c r="D58" i="89"/>
  <c r="D361" i="89" s="1"/>
  <c r="D708" i="89" s="1"/>
  <c r="D1025" i="89" s="1"/>
  <c r="D59" i="89"/>
  <c r="D60" i="89"/>
  <c r="D363" i="89" s="1"/>
  <c r="D710" i="89" s="1"/>
  <c r="D1027" i="89" s="1"/>
  <c r="D61" i="89"/>
  <c r="D364" i="89" s="1"/>
  <c r="D711" i="89" s="1"/>
  <c r="D1028" i="89" s="1"/>
  <c r="D62" i="89"/>
  <c r="D365" i="89" s="1"/>
  <c r="D712" i="89" s="1"/>
  <c r="D1029" i="89" s="1"/>
  <c r="D63" i="89"/>
  <c r="D64" i="89"/>
  <c r="D367" i="89" s="1"/>
  <c r="D714" i="89" s="1"/>
  <c r="D1031" i="89" s="1"/>
  <c r="D65" i="89"/>
  <c r="D368" i="89" s="1"/>
  <c r="D715" i="89" s="1"/>
  <c r="D1032" i="89" s="1"/>
  <c r="D66" i="89"/>
  <c r="D369" i="89" s="1"/>
  <c r="D716" i="89" s="1"/>
  <c r="D1033" i="89" s="1"/>
  <c r="D67" i="89"/>
  <c r="D68" i="89"/>
  <c r="D69" i="89"/>
  <c r="D372" i="89" s="1"/>
  <c r="D719" i="89" s="1"/>
  <c r="D1036" i="89" s="1"/>
  <c r="D70" i="89"/>
  <c r="D373" i="89" s="1"/>
  <c r="D720" i="89" s="1"/>
  <c r="D1037" i="89" s="1"/>
  <c r="D71" i="89"/>
  <c r="D72" i="89"/>
  <c r="D375" i="89" s="1"/>
  <c r="D722" i="89" s="1"/>
  <c r="D1039" i="89" s="1"/>
  <c r="D73" i="89"/>
  <c r="D376" i="89" s="1"/>
  <c r="D723" i="89" s="1"/>
  <c r="D1040" i="89" s="1"/>
  <c r="D74" i="89"/>
  <c r="D377" i="89" s="1"/>
  <c r="D724" i="89" s="1"/>
  <c r="D1041" i="89" s="1"/>
  <c r="D75" i="89"/>
  <c r="D76" i="89"/>
  <c r="D379" i="89" s="1"/>
  <c r="D726" i="89" s="1"/>
  <c r="D1043" i="89" s="1"/>
  <c r="D77" i="89"/>
  <c r="D380" i="89" s="1"/>
  <c r="D727" i="89" s="1"/>
  <c r="D1044" i="89" s="1"/>
  <c r="D78" i="89"/>
  <c r="D381" i="89" s="1"/>
  <c r="D728" i="89" s="1"/>
  <c r="D1045" i="89" s="1"/>
  <c r="D79" i="89"/>
  <c r="D80" i="89"/>
  <c r="D383" i="89" s="1"/>
  <c r="D730" i="89" s="1"/>
  <c r="D1047" i="89" s="1"/>
  <c r="D81" i="89"/>
  <c r="D384" i="89" s="1"/>
  <c r="D731" i="89" s="1"/>
  <c r="D1048" i="89" s="1"/>
  <c r="D82" i="89"/>
  <c r="D385" i="89" s="1"/>
  <c r="D732" i="89" s="1"/>
  <c r="D1049" i="89" s="1"/>
  <c r="D83" i="89"/>
  <c r="D84" i="89"/>
  <c r="D387" i="89" s="1"/>
  <c r="D734" i="89" s="1"/>
  <c r="D1051" i="89" s="1"/>
  <c r="D85" i="89"/>
  <c r="D388" i="89" s="1"/>
  <c r="D735" i="89" s="1"/>
  <c r="D1052" i="89" s="1"/>
  <c r="D86" i="89"/>
  <c r="D389" i="89" s="1"/>
  <c r="D736" i="89" s="1"/>
  <c r="D1053" i="89" s="1"/>
  <c r="D87" i="89"/>
  <c r="D88" i="89"/>
  <c r="D391" i="89" s="1"/>
  <c r="D738" i="89" s="1"/>
  <c r="D1055" i="89" s="1"/>
  <c r="D89" i="89"/>
  <c r="D392" i="89" s="1"/>
  <c r="D739" i="89" s="1"/>
  <c r="D1056" i="89" s="1"/>
  <c r="D90" i="89"/>
  <c r="D393" i="89" s="1"/>
  <c r="D740" i="89" s="1"/>
  <c r="D1057" i="89" s="1"/>
  <c r="D91" i="89"/>
  <c r="D92" i="89"/>
  <c r="D395" i="89" s="1"/>
  <c r="D742" i="89" s="1"/>
  <c r="D1059" i="89" s="1"/>
  <c r="D93" i="89"/>
  <c r="D396" i="89" s="1"/>
  <c r="D743" i="89" s="1"/>
  <c r="D1060" i="89" s="1"/>
  <c r="D94" i="89"/>
  <c r="D397" i="89" s="1"/>
  <c r="D744" i="89" s="1"/>
  <c r="D1061" i="89" s="1"/>
  <c r="D95" i="89"/>
  <c r="D96" i="89"/>
  <c r="D399" i="89" s="1"/>
  <c r="D746" i="89" s="1"/>
  <c r="D1063" i="89" s="1"/>
  <c r="D97" i="89"/>
  <c r="D400" i="89" s="1"/>
  <c r="D747" i="89" s="1"/>
  <c r="D1064" i="89" s="1"/>
  <c r="D98" i="89"/>
  <c r="D401" i="89" s="1"/>
  <c r="D748" i="89" s="1"/>
  <c r="D1065" i="89" s="1"/>
  <c r="D99" i="89"/>
  <c r="D100" i="89"/>
  <c r="D403" i="89" s="1"/>
  <c r="D750" i="89" s="1"/>
  <c r="D1067" i="89" s="1"/>
  <c r="D101" i="89"/>
  <c r="D404" i="89" s="1"/>
  <c r="D751" i="89" s="1"/>
  <c r="D1068" i="89" s="1"/>
  <c r="D102" i="89"/>
  <c r="D405" i="89" s="1"/>
  <c r="D752" i="89" s="1"/>
  <c r="D1069" i="89" s="1"/>
  <c r="D103" i="89"/>
  <c r="D104" i="89"/>
  <c r="D105" i="89"/>
  <c r="D408" i="89" s="1"/>
  <c r="D755" i="89" s="1"/>
  <c r="D1072" i="89" s="1"/>
  <c r="D106" i="89"/>
  <c r="D409" i="89" s="1"/>
  <c r="D756" i="89" s="1"/>
  <c r="D1073" i="89" s="1"/>
  <c r="D107" i="89"/>
  <c r="D108" i="89"/>
  <c r="D411" i="89" s="1"/>
  <c r="D758" i="89" s="1"/>
  <c r="D1075" i="89" s="1"/>
  <c r="D109" i="89"/>
  <c r="D412" i="89" s="1"/>
  <c r="D759" i="89" s="1"/>
  <c r="D1076" i="89" s="1"/>
  <c r="D110" i="89"/>
  <c r="D413" i="89" s="1"/>
  <c r="D760" i="89" s="1"/>
  <c r="D1077" i="89" s="1"/>
  <c r="D111" i="89"/>
  <c r="D112" i="89"/>
  <c r="D415" i="89" s="1"/>
  <c r="D762" i="89" s="1"/>
  <c r="D1079" i="89" s="1"/>
  <c r="D113" i="89"/>
  <c r="D416" i="89" s="1"/>
  <c r="D763" i="89" s="1"/>
  <c r="D1080" i="89" s="1"/>
  <c r="D114" i="89"/>
  <c r="D417" i="89" s="1"/>
  <c r="D764" i="89" s="1"/>
  <c r="D1081" i="89" s="1"/>
  <c r="D115" i="89"/>
  <c r="D116" i="89"/>
  <c r="D419" i="89" s="1"/>
  <c r="D766" i="89" s="1"/>
  <c r="D1083" i="89" s="1"/>
  <c r="D117" i="89"/>
  <c r="D420" i="89" s="1"/>
  <c r="D767" i="89" s="1"/>
  <c r="D1084" i="89" s="1"/>
  <c r="D118" i="89"/>
  <c r="D421" i="89" s="1"/>
  <c r="D768" i="89" s="1"/>
  <c r="D1085" i="89" s="1"/>
  <c r="D119" i="89"/>
  <c r="D120" i="89"/>
  <c r="D423" i="89" s="1"/>
  <c r="D770" i="89" s="1"/>
  <c r="D1087" i="89" s="1"/>
  <c r="D121" i="89"/>
  <c r="D424" i="89" s="1"/>
  <c r="D771" i="89" s="1"/>
  <c r="D1088" i="89" s="1"/>
  <c r="D122" i="89"/>
  <c r="D425" i="89" s="1"/>
  <c r="D772" i="89" s="1"/>
  <c r="D1089" i="89" s="1"/>
  <c r="D123" i="89"/>
  <c r="D124" i="89"/>
  <c r="D427" i="89" s="1"/>
  <c r="D774" i="89" s="1"/>
  <c r="D1091" i="89" s="1"/>
  <c r="D125" i="89"/>
  <c r="D428" i="89" s="1"/>
  <c r="D775" i="89" s="1"/>
  <c r="D1092" i="89" s="1"/>
  <c r="D126" i="89"/>
  <c r="D429" i="89" s="1"/>
  <c r="D776" i="89" s="1"/>
  <c r="D1093" i="89" s="1"/>
  <c r="D127" i="89"/>
  <c r="D128" i="89"/>
  <c r="D431" i="89" s="1"/>
  <c r="D778" i="89" s="1"/>
  <c r="D1095" i="89" s="1"/>
  <c r="D129" i="89"/>
  <c r="D432" i="89" s="1"/>
  <c r="D779" i="89" s="1"/>
  <c r="D1096" i="89" s="1"/>
  <c r="D130" i="89"/>
  <c r="D433" i="89" s="1"/>
  <c r="D780" i="89" s="1"/>
  <c r="D1097" i="89" s="1"/>
  <c r="D131" i="89"/>
  <c r="D132" i="89"/>
  <c r="D435" i="89" s="1"/>
  <c r="D782" i="89" s="1"/>
  <c r="D1099" i="89" s="1"/>
  <c r="D133" i="89"/>
  <c r="D436" i="89" s="1"/>
  <c r="D783" i="89" s="1"/>
  <c r="D1100" i="89" s="1"/>
  <c r="D134" i="89"/>
  <c r="D135" i="89"/>
  <c r="D136" i="89"/>
  <c r="D439" i="89" s="1"/>
  <c r="D786" i="89" s="1"/>
  <c r="D1103" i="89" s="1"/>
  <c r="D137" i="89"/>
  <c r="D440" i="89" s="1"/>
  <c r="D787" i="89" s="1"/>
  <c r="D1104" i="89" s="1"/>
  <c r="D138" i="89"/>
  <c r="D441" i="89" s="1"/>
  <c r="D788" i="89" s="1"/>
  <c r="D1105" i="89" s="1"/>
  <c r="D139" i="89"/>
  <c r="D140" i="89"/>
  <c r="D443" i="89" s="1"/>
  <c r="D790" i="89" s="1"/>
  <c r="D1107" i="89" s="1"/>
  <c r="D141" i="89"/>
  <c r="D444" i="89" s="1"/>
  <c r="D791" i="89" s="1"/>
  <c r="D1108" i="89" s="1"/>
  <c r="D142" i="89"/>
  <c r="D445" i="89" s="1"/>
  <c r="D792" i="89" s="1"/>
  <c r="D1109" i="89" s="1"/>
  <c r="D143" i="89"/>
  <c r="D144" i="89"/>
  <c r="D447" i="89" s="1"/>
  <c r="D794" i="89" s="1"/>
  <c r="D1111" i="89" s="1"/>
  <c r="D145" i="89"/>
  <c r="D448" i="89" s="1"/>
  <c r="D795" i="89" s="1"/>
  <c r="D1112" i="89" s="1"/>
  <c r="D146" i="89"/>
  <c r="D449" i="89" s="1"/>
  <c r="D796" i="89" s="1"/>
  <c r="D1113" i="89" s="1"/>
  <c r="D147" i="89"/>
  <c r="D148" i="89"/>
  <c r="D451" i="89" s="1"/>
  <c r="D798" i="89" s="1"/>
  <c r="D1115" i="89" s="1"/>
  <c r="D149" i="89"/>
  <c r="D452" i="89" s="1"/>
  <c r="D799" i="89" s="1"/>
  <c r="D1116" i="89" s="1"/>
  <c r="D150" i="89"/>
  <c r="D453" i="89" s="1"/>
  <c r="D800" i="89" s="1"/>
  <c r="D1117" i="89" s="1"/>
  <c r="D151" i="89"/>
  <c r="D152" i="89"/>
  <c r="D455" i="89" s="1"/>
  <c r="D802" i="89" s="1"/>
  <c r="D1119" i="89" s="1"/>
  <c r="D153" i="89"/>
  <c r="D456" i="89" s="1"/>
  <c r="D803" i="89" s="1"/>
  <c r="D1120" i="89" s="1"/>
  <c r="D154" i="89"/>
  <c r="D457" i="89" s="1"/>
  <c r="D804" i="89" s="1"/>
  <c r="D1121" i="89" s="1"/>
  <c r="D155" i="89"/>
  <c r="D156" i="89"/>
  <c r="D459" i="89" s="1"/>
  <c r="D806" i="89" s="1"/>
  <c r="D1123" i="89" s="1"/>
  <c r="D157" i="89"/>
  <c r="D460" i="89" s="1"/>
  <c r="D807" i="89" s="1"/>
  <c r="D1124" i="89" s="1"/>
  <c r="D158" i="89"/>
  <c r="D461" i="89" s="1"/>
  <c r="D808" i="89" s="1"/>
  <c r="D1125" i="89" s="1"/>
  <c r="D159" i="89"/>
  <c r="D160" i="89"/>
  <c r="D463" i="89" s="1"/>
  <c r="D810" i="89" s="1"/>
  <c r="D1127" i="89" s="1"/>
  <c r="D161" i="89"/>
  <c r="D464" i="89" s="1"/>
  <c r="D811" i="89" s="1"/>
  <c r="D1128" i="89" s="1"/>
  <c r="D162" i="89"/>
  <c r="D465" i="89" s="1"/>
  <c r="D812" i="89" s="1"/>
  <c r="D1129" i="89" s="1"/>
  <c r="D163" i="89"/>
  <c r="D164" i="89"/>
  <c r="D467" i="89" s="1"/>
  <c r="D814" i="89" s="1"/>
  <c r="D1131" i="89" s="1"/>
  <c r="D165" i="89"/>
  <c r="D468" i="89" s="1"/>
  <c r="D815" i="89" s="1"/>
  <c r="D1132" i="89" s="1"/>
  <c r="D166" i="89"/>
  <c r="D469" i="89" s="1"/>
  <c r="D816" i="89" s="1"/>
  <c r="D1133" i="89" s="1"/>
  <c r="D167" i="89"/>
  <c r="D470" i="89" s="1"/>
  <c r="D817" i="89" s="1"/>
  <c r="D1134" i="89" s="1"/>
  <c r="D168" i="89"/>
  <c r="D471" i="89" s="1"/>
  <c r="D818" i="89" s="1"/>
  <c r="D1135" i="89" s="1"/>
  <c r="D169" i="89"/>
  <c r="D472" i="89" s="1"/>
  <c r="D819" i="89" s="1"/>
  <c r="D1136" i="89" s="1"/>
  <c r="D170" i="89"/>
  <c r="D473" i="89" s="1"/>
  <c r="D820" i="89" s="1"/>
  <c r="D1137" i="89" s="1"/>
  <c r="D171" i="89"/>
  <c r="D172" i="89"/>
  <c r="D475" i="89" s="1"/>
  <c r="D822" i="89" s="1"/>
  <c r="D1139" i="89" s="1"/>
  <c r="D173" i="89"/>
  <c r="D476" i="89" s="1"/>
  <c r="D823" i="89" s="1"/>
  <c r="D1140" i="89" s="1"/>
  <c r="D174" i="89"/>
  <c r="D477" i="89" s="1"/>
  <c r="D824" i="89" s="1"/>
  <c r="D1141" i="89" s="1"/>
  <c r="D175" i="89"/>
  <c r="D176" i="89"/>
  <c r="D479" i="89" s="1"/>
  <c r="D826" i="89" s="1"/>
  <c r="D1143" i="89" s="1"/>
  <c r="D177" i="89"/>
  <c r="D480" i="89" s="1"/>
  <c r="D827" i="89" s="1"/>
  <c r="D1144" i="89" s="1"/>
  <c r="D178" i="89"/>
  <c r="D481" i="89" s="1"/>
  <c r="D828" i="89" s="1"/>
  <c r="D1145" i="89" s="1"/>
  <c r="D179" i="89"/>
  <c r="D180" i="89"/>
  <c r="D483" i="89" s="1"/>
  <c r="D830" i="89" s="1"/>
  <c r="D1147" i="89" s="1"/>
  <c r="D181" i="89"/>
  <c r="D484" i="89" s="1"/>
  <c r="D831" i="89" s="1"/>
  <c r="D1148" i="89" s="1"/>
  <c r="D182" i="89"/>
  <c r="D485" i="89" s="1"/>
  <c r="D832" i="89" s="1"/>
  <c r="D1149" i="89" s="1"/>
  <c r="D183" i="89"/>
  <c r="D486" i="89" s="1"/>
  <c r="D833" i="89" s="1"/>
  <c r="D1150" i="89" s="1"/>
  <c r="D184" i="89"/>
  <c r="D487" i="89" s="1"/>
  <c r="D834" i="89" s="1"/>
  <c r="D1151" i="89" s="1"/>
  <c r="D185" i="89"/>
  <c r="D488" i="89" s="1"/>
  <c r="D835" i="89" s="1"/>
  <c r="D1152" i="89" s="1"/>
  <c r="D186" i="89"/>
  <c r="D489" i="89" s="1"/>
  <c r="D836" i="89" s="1"/>
  <c r="D1153" i="89" s="1"/>
  <c r="D187" i="89"/>
  <c r="D188" i="89"/>
  <c r="D491" i="89" s="1"/>
  <c r="D838" i="89" s="1"/>
  <c r="D1155" i="89" s="1"/>
  <c r="D189" i="89"/>
  <c r="D492" i="89" s="1"/>
  <c r="D839" i="89" s="1"/>
  <c r="D1156" i="89" s="1"/>
  <c r="D190" i="89"/>
  <c r="D493" i="89" s="1"/>
  <c r="D840" i="89" s="1"/>
  <c r="D1157" i="89" s="1"/>
  <c r="D191" i="89"/>
  <c r="D494" i="89" s="1"/>
  <c r="D841" i="89" s="1"/>
  <c r="D1158" i="89" s="1"/>
  <c r="D192" i="89"/>
  <c r="D495" i="89" s="1"/>
  <c r="D842" i="89" s="1"/>
  <c r="D1159" i="89" s="1"/>
  <c r="D193" i="89"/>
  <c r="D496" i="89" s="1"/>
  <c r="D843" i="89" s="1"/>
  <c r="D1160" i="89" s="1"/>
  <c r="D194" i="89"/>
  <c r="D497" i="89" s="1"/>
  <c r="D844" i="89" s="1"/>
  <c r="D1161" i="89" s="1"/>
  <c r="D195" i="89"/>
  <c r="D196" i="89"/>
  <c r="D197" i="89"/>
  <c r="D500" i="89" s="1"/>
  <c r="D847" i="89" s="1"/>
  <c r="D1164" i="89" s="1"/>
  <c r="D198" i="89"/>
  <c r="D199" i="89"/>
  <c r="D200" i="89"/>
  <c r="D503" i="89" s="1"/>
  <c r="D850" i="89" s="1"/>
  <c r="D1167" i="89" s="1"/>
  <c r="D201" i="89"/>
  <c r="D504" i="89" s="1"/>
  <c r="D851" i="89" s="1"/>
  <c r="D1168" i="89" s="1"/>
  <c r="D202" i="89"/>
  <c r="D505" i="89" s="1"/>
  <c r="D852" i="89" s="1"/>
  <c r="D1169" i="89" s="1"/>
  <c r="D203" i="89"/>
  <c r="D204" i="89"/>
  <c r="D507" i="89" s="1"/>
  <c r="D854" i="89" s="1"/>
  <c r="D1171" i="89" s="1"/>
  <c r="D205" i="89"/>
  <c r="D508" i="89" s="1"/>
  <c r="D855" i="89" s="1"/>
  <c r="D1172" i="89" s="1"/>
  <c r="D206" i="89"/>
  <c r="D509" i="89" s="1"/>
  <c r="D856" i="89" s="1"/>
  <c r="D1173" i="89" s="1"/>
  <c r="D207" i="89"/>
  <c r="D510" i="89" s="1"/>
  <c r="D857" i="89" s="1"/>
  <c r="D1174" i="89" s="1"/>
  <c r="D208" i="89"/>
  <c r="D511" i="89" s="1"/>
  <c r="D858" i="89" s="1"/>
  <c r="D1175" i="89" s="1"/>
  <c r="D209" i="89"/>
  <c r="D512" i="89" s="1"/>
  <c r="D859" i="89" s="1"/>
  <c r="D1176" i="89" s="1"/>
  <c r="D210" i="89"/>
  <c r="D513" i="89" s="1"/>
  <c r="D860" i="89" s="1"/>
  <c r="D1177" i="89" s="1"/>
  <c r="D211" i="89"/>
  <c r="D212" i="89"/>
  <c r="D515" i="89" s="1"/>
  <c r="D862" i="89" s="1"/>
  <c r="D1179" i="89" s="1"/>
  <c r="D213" i="89"/>
  <c r="D516" i="89" s="1"/>
  <c r="D863" i="89" s="1"/>
  <c r="D1180" i="89" s="1"/>
  <c r="D214" i="89"/>
  <c r="D517" i="89" s="1"/>
  <c r="D864" i="89" s="1"/>
  <c r="D1181" i="89" s="1"/>
  <c r="D215" i="89"/>
  <c r="D518" i="89" s="1"/>
  <c r="D865" i="89" s="1"/>
  <c r="D1182" i="89" s="1"/>
  <c r="D216" i="89"/>
  <c r="D519" i="89" s="1"/>
  <c r="D866" i="89" s="1"/>
  <c r="D1183" i="89" s="1"/>
  <c r="D217" i="89"/>
  <c r="D520" i="89" s="1"/>
  <c r="D867" i="89" s="1"/>
  <c r="D1184" i="89" s="1"/>
  <c r="D218" i="89"/>
  <c r="D521" i="89" s="1"/>
  <c r="D868" i="89" s="1"/>
  <c r="D1185" i="89" s="1"/>
  <c r="D219" i="89"/>
  <c r="D220" i="89"/>
  <c r="D523" i="89" s="1"/>
  <c r="D870" i="89" s="1"/>
  <c r="D1187" i="89" s="1"/>
  <c r="D221" i="89"/>
  <c r="D524" i="89" s="1"/>
  <c r="D871" i="89" s="1"/>
  <c r="D1188" i="89" s="1"/>
  <c r="D222" i="89"/>
  <c r="D525" i="89" s="1"/>
  <c r="D872" i="89" s="1"/>
  <c r="D1189" i="89" s="1"/>
  <c r="D223" i="89"/>
  <c r="D526" i="89" s="1"/>
  <c r="D873" i="89" s="1"/>
  <c r="D1190" i="89" s="1"/>
  <c r="D224" i="89"/>
  <c r="D527" i="89" s="1"/>
  <c r="D874" i="89" s="1"/>
  <c r="D1191" i="89" s="1"/>
  <c r="D225" i="89"/>
  <c r="D528" i="89" s="1"/>
  <c r="D875" i="89" s="1"/>
  <c r="D1192" i="89" s="1"/>
  <c r="D226" i="89"/>
  <c r="D529" i="89" s="1"/>
  <c r="D876" i="89" s="1"/>
  <c r="D1193" i="89" s="1"/>
  <c r="D227" i="89"/>
  <c r="D228" i="89"/>
  <c r="D531" i="89" s="1"/>
  <c r="D878" i="89" s="1"/>
  <c r="D1195" i="89" s="1"/>
  <c r="D229" i="89"/>
  <c r="D532" i="89" s="1"/>
  <c r="D879" i="89" s="1"/>
  <c r="D1196" i="89" s="1"/>
  <c r="D230" i="89"/>
  <c r="D533" i="89" s="1"/>
  <c r="D880" i="89" s="1"/>
  <c r="D1197" i="89" s="1"/>
  <c r="D231" i="89"/>
  <c r="D534" i="89" s="1"/>
  <c r="D881" i="89" s="1"/>
  <c r="D1198" i="89" s="1"/>
  <c r="D232" i="89"/>
  <c r="D233" i="89"/>
  <c r="D536" i="89" s="1"/>
  <c r="D883" i="89" s="1"/>
  <c r="D1200" i="89" s="1"/>
  <c r="D234" i="89"/>
  <c r="D537" i="89" s="1"/>
  <c r="D884" i="89" s="1"/>
  <c r="D1201" i="89" s="1"/>
  <c r="D235" i="89"/>
  <c r="D236" i="89"/>
  <c r="D539" i="89" s="1"/>
  <c r="D886" i="89" s="1"/>
  <c r="D1203" i="89" s="1"/>
  <c r="D237" i="89"/>
  <c r="D540" i="89" s="1"/>
  <c r="D887" i="89" s="1"/>
  <c r="D1204" i="89" s="1"/>
  <c r="D238" i="89"/>
  <c r="D541" i="89" s="1"/>
  <c r="D888" i="89" s="1"/>
  <c r="D1205" i="89" s="1"/>
  <c r="D239" i="89"/>
  <c r="D542" i="89" s="1"/>
  <c r="D889" i="89" s="1"/>
  <c r="D1206" i="89" s="1"/>
  <c r="D240" i="89"/>
  <c r="D543" i="89" s="1"/>
  <c r="D890" i="89" s="1"/>
  <c r="D1207" i="89" s="1"/>
  <c r="D241" i="89"/>
  <c r="D544" i="89" s="1"/>
  <c r="D891" i="89" s="1"/>
  <c r="D1208" i="89" s="1"/>
  <c r="D242" i="89"/>
  <c r="D545" i="89" s="1"/>
  <c r="D892" i="89" s="1"/>
  <c r="D1209" i="89" s="1"/>
  <c r="D243" i="89"/>
  <c r="D244" i="89"/>
  <c r="D547" i="89" s="1"/>
  <c r="D894" i="89" s="1"/>
  <c r="D1211" i="89" s="1"/>
  <c r="D245" i="89"/>
  <c r="D548" i="89" s="1"/>
  <c r="D895" i="89" s="1"/>
  <c r="D1212" i="89" s="1"/>
  <c r="D246" i="89"/>
  <c r="D549" i="89" s="1"/>
  <c r="D896" i="89" s="1"/>
  <c r="D1213" i="89" s="1"/>
  <c r="D247" i="89"/>
  <c r="D550" i="89" s="1"/>
  <c r="D897" i="89" s="1"/>
  <c r="D1214" i="89" s="1"/>
  <c r="D248" i="89"/>
  <c r="D551" i="89" s="1"/>
  <c r="D898" i="89" s="1"/>
  <c r="D1215" i="89" s="1"/>
  <c r="D249" i="89"/>
  <c r="D552" i="89" s="1"/>
  <c r="D899" i="89" s="1"/>
  <c r="D1216" i="89" s="1"/>
  <c r="D250" i="89"/>
  <c r="D553" i="89" s="1"/>
  <c r="D900" i="89" s="1"/>
  <c r="D1217" i="89" s="1"/>
  <c r="D251" i="89"/>
  <c r="D252" i="89"/>
  <c r="D555" i="89" s="1"/>
  <c r="D902" i="89" s="1"/>
  <c r="D1219" i="89" s="1"/>
  <c r="D253" i="89"/>
  <c r="D556" i="89" s="1"/>
  <c r="D903" i="89" s="1"/>
  <c r="D1220" i="89" s="1"/>
  <c r="D254" i="89"/>
  <c r="D557" i="89" s="1"/>
  <c r="D904" i="89" s="1"/>
  <c r="D1221" i="89" s="1"/>
  <c r="D255" i="89"/>
  <c r="D256" i="89"/>
  <c r="D559" i="89" s="1"/>
  <c r="D906" i="89" s="1"/>
  <c r="D1223" i="89" s="1"/>
  <c r="D257" i="89"/>
  <c r="D560" i="89" s="1"/>
  <c r="D907" i="89" s="1"/>
  <c r="D1224" i="89" s="1"/>
  <c r="D258" i="89"/>
  <c r="D561" i="89" s="1"/>
  <c r="D908" i="89" s="1"/>
  <c r="D1225" i="89" s="1"/>
  <c r="D259" i="89"/>
  <c r="D260" i="89"/>
  <c r="D563" i="89" s="1"/>
  <c r="D910" i="89" s="1"/>
  <c r="D1227" i="89" s="1"/>
  <c r="D261" i="89"/>
  <c r="D564" i="89" s="1"/>
  <c r="D911" i="89" s="1"/>
  <c r="D1228" i="89" s="1"/>
  <c r="D262" i="89"/>
  <c r="D565" i="89" s="1"/>
  <c r="D912" i="89" s="1"/>
  <c r="D1229" i="89" s="1"/>
  <c r="D263" i="89"/>
  <c r="D264" i="89"/>
  <c r="D567" i="89" s="1"/>
  <c r="D914" i="89" s="1"/>
  <c r="D1231" i="89" s="1"/>
  <c r="D265" i="89"/>
  <c r="D568" i="89" s="1"/>
  <c r="D915" i="89" s="1"/>
  <c r="D1232" i="89" s="1"/>
  <c r="D266" i="89"/>
  <c r="D569" i="89" s="1"/>
  <c r="D916" i="89" s="1"/>
  <c r="D1233" i="89" s="1"/>
  <c r="D267" i="89"/>
  <c r="D268" i="89"/>
  <c r="D571" i="89" s="1"/>
  <c r="D918" i="89" s="1"/>
  <c r="D1235" i="89" s="1"/>
  <c r="D269" i="89"/>
  <c r="D572" i="89" s="1"/>
  <c r="D919" i="89" s="1"/>
  <c r="D1236" i="89" s="1"/>
  <c r="D270" i="89"/>
  <c r="D573" i="89" s="1"/>
  <c r="D920" i="89" s="1"/>
  <c r="D1237" i="89" s="1"/>
  <c r="D271" i="89"/>
  <c r="D574" i="89" s="1"/>
  <c r="D921" i="89" s="1"/>
  <c r="D1238" i="89" s="1"/>
  <c r="D272" i="89"/>
  <c r="D575" i="89" s="1"/>
  <c r="D922" i="89" s="1"/>
  <c r="D1239" i="89" s="1"/>
  <c r="D273" i="89"/>
  <c r="D576" i="89" s="1"/>
  <c r="D923" i="89" s="1"/>
  <c r="D1240" i="89" s="1"/>
  <c r="D274" i="89"/>
  <c r="D577" i="89" s="1"/>
  <c r="D924" i="89" s="1"/>
  <c r="D1241" i="89" s="1"/>
  <c r="D275" i="89"/>
  <c r="D276" i="89"/>
  <c r="D579" i="89" s="1"/>
  <c r="D926" i="89" s="1"/>
  <c r="D1243" i="89" s="1"/>
  <c r="D277" i="89"/>
  <c r="D580" i="89" s="1"/>
  <c r="D927" i="89" s="1"/>
  <c r="D1244" i="89" s="1"/>
  <c r="D278" i="89"/>
  <c r="D581" i="89" s="1"/>
  <c r="D928" i="89" s="1"/>
  <c r="D1245" i="89" s="1"/>
  <c r="D279" i="89"/>
  <c r="D582" i="89" s="1"/>
  <c r="D929" i="89" s="1"/>
  <c r="D1246" i="89" s="1"/>
  <c r="D280" i="89"/>
  <c r="D583" i="89" s="1"/>
  <c r="D930" i="89" s="1"/>
  <c r="D1247" i="89" s="1"/>
  <c r="D281" i="89"/>
  <c r="D584" i="89" s="1"/>
  <c r="D931" i="89" s="1"/>
  <c r="D1248" i="89" s="1"/>
  <c r="D282" i="89"/>
  <c r="D585" i="89" s="1"/>
  <c r="D932" i="89" s="1"/>
  <c r="D1249" i="89" s="1"/>
  <c r="D283" i="89"/>
  <c r="D284" i="89"/>
  <c r="D587" i="89" s="1"/>
  <c r="D934" i="89" s="1"/>
  <c r="D1251" i="89" s="1"/>
  <c r="D285" i="89"/>
  <c r="D588" i="89" s="1"/>
  <c r="D935" i="89" s="1"/>
  <c r="D1252" i="89" s="1"/>
  <c r="D286" i="89"/>
  <c r="D589" i="89" s="1"/>
  <c r="D936" i="89" s="1"/>
  <c r="D1253" i="89" s="1"/>
  <c r="D287" i="89"/>
  <c r="D590" i="89" s="1"/>
  <c r="D937" i="89" s="1"/>
  <c r="D1254" i="89" s="1"/>
  <c r="D288" i="89"/>
  <c r="D591" i="89" s="1"/>
  <c r="D938" i="89" s="1"/>
  <c r="D1255" i="89" s="1"/>
  <c r="D289" i="89"/>
  <c r="D592" i="89" s="1"/>
  <c r="D939" i="89" s="1"/>
  <c r="D1256" i="89" s="1"/>
  <c r="D290" i="89"/>
  <c r="D593" i="89" s="1"/>
  <c r="D940" i="89" s="1"/>
  <c r="D1257" i="89" s="1"/>
  <c r="D291" i="89"/>
  <c r="D292" i="89"/>
  <c r="D595" i="89" s="1"/>
  <c r="D942" i="89" s="1"/>
  <c r="D1259" i="89" s="1"/>
  <c r="D293" i="89"/>
  <c r="D596" i="89" s="1"/>
  <c r="D943" i="89" s="1"/>
  <c r="D1260" i="89" s="1"/>
  <c r="D294" i="89"/>
  <c r="D295" i="89"/>
  <c r="D598" i="89" s="1"/>
  <c r="D945" i="89" s="1"/>
  <c r="D1262" i="89" s="1"/>
  <c r="D296" i="89"/>
  <c r="D599" i="89" s="1"/>
  <c r="D946" i="89" s="1"/>
  <c r="D1263" i="89" s="1"/>
  <c r="D297" i="89"/>
  <c r="D600" i="89" s="1"/>
  <c r="D947" i="89" s="1"/>
  <c r="D1264" i="89" s="1"/>
  <c r="D298" i="89"/>
  <c r="D601" i="89" s="1"/>
  <c r="D948" i="89" s="1"/>
  <c r="D1265" i="89" s="1"/>
  <c r="D299" i="89"/>
  <c r="D300" i="89"/>
  <c r="D603" i="89" s="1"/>
  <c r="D950" i="89" s="1"/>
  <c r="D1267" i="89" s="1"/>
  <c r="D301" i="89"/>
  <c r="D604" i="89" s="1"/>
  <c r="D951" i="89" s="1"/>
  <c r="D1268" i="89" s="1"/>
  <c r="D302" i="89"/>
  <c r="D605" i="89" s="1"/>
  <c r="D952" i="89" s="1"/>
  <c r="D1269" i="89" s="1"/>
  <c r="D303" i="89"/>
  <c r="D606" i="89" s="1"/>
  <c r="D953" i="89" s="1"/>
  <c r="D1270" i="89" s="1"/>
  <c r="D304" i="89"/>
  <c r="D607" i="89" s="1"/>
  <c r="D954" i="89" s="1"/>
  <c r="D1271" i="89" s="1"/>
  <c r="D305" i="89"/>
  <c r="D608" i="89" s="1"/>
  <c r="D955" i="89" s="1"/>
  <c r="D1272" i="89" s="1"/>
  <c r="D306" i="89"/>
  <c r="D609" i="89" s="1"/>
  <c r="D956" i="89" s="1"/>
  <c r="D1273" i="89" s="1"/>
  <c r="D307" i="89"/>
  <c r="D308" i="89"/>
  <c r="D611" i="89" s="1"/>
  <c r="D958" i="89" s="1"/>
  <c r="D1275" i="89" s="1"/>
  <c r="D309" i="89"/>
  <c r="D612" i="89" s="1"/>
  <c r="D959" i="89" s="1"/>
  <c r="D1276" i="89" s="1"/>
  <c r="D310" i="89"/>
  <c r="D613" i="89" s="1"/>
  <c r="D960" i="89" s="1"/>
  <c r="D1277" i="89" s="1"/>
  <c r="D311" i="89"/>
  <c r="D312" i="89"/>
  <c r="D615" i="89" s="1"/>
  <c r="D962" i="89" s="1"/>
  <c r="D1279" i="89" s="1"/>
  <c r="D313" i="89"/>
  <c r="D616" i="89" s="1"/>
  <c r="D963" i="89" s="1"/>
  <c r="D1280" i="89" s="1"/>
  <c r="D314" i="89"/>
  <c r="D617" i="89" s="1"/>
  <c r="D964" i="89" s="1"/>
  <c r="D1281" i="89" s="1"/>
  <c r="D315" i="89"/>
  <c r="D316" i="89"/>
  <c r="D619" i="89" s="1"/>
  <c r="D966" i="89" s="1"/>
  <c r="D1283" i="89" s="1"/>
  <c r="D317" i="89"/>
  <c r="D620" i="89" s="1"/>
  <c r="D967" i="89" s="1"/>
  <c r="D1284" i="89" s="1"/>
  <c r="D318" i="89"/>
  <c r="D621" i="89" s="1"/>
  <c r="D968" i="89" s="1"/>
  <c r="D1285" i="89" s="1"/>
  <c r="D319" i="89"/>
  <c r="D622" i="89" s="1"/>
  <c r="D969" i="89" s="1"/>
  <c r="D1286" i="89" s="1"/>
  <c r="D320" i="89"/>
  <c r="D623" i="89" s="1"/>
  <c r="D970" i="89" s="1"/>
  <c r="D1287" i="89" s="1"/>
  <c r="D321" i="89"/>
  <c r="D624" i="89" s="1"/>
  <c r="D971" i="89" s="1"/>
  <c r="D1288" i="89" s="1"/>
  <c r="D322" i="89"/>
  <c r="D625" i="89" s="1"/>
  <c r="D972" i="89" s="1"/>
  <c r="D1289" i="89" s="1"/>
  <c r="D323" i="89"/>
  <c r="D324" i="89"/>
  <c r="D627" i="89" s="1"/>
  <c r="D974" i="89" s="1"/>
  <c r="D1291" i="89" s="1"/>
  <c r="D325" i="89"/>
  <c r="D628" i="89" s="1"/>
  <c r="D975" i="89" s="1"/>
  <c r="D1292" i="89" s="1"/>
  <c r="D326" i="89"/>
  <c r="D629" i="89" s="1"/>
  <c r="D976" i="89" s="1"/>
  <c r="D1293" i="89" s="1"/>
  <c r="D327" i="89"/>
  <c r="D630" i="89" s="1"/>
  <c r="D977" i="89" s="1"/>
  <c r="D1294" i="89" s="1"/>
  <c r="D328" i="89"/>
  <c r="D631" i="89" s="1"/>
  <c r="D978" i="89" s="1"/>
  <c r="D1295" i="89" s="1"/>
  <c r="D329" i="89"/>
  <c r="D632" i="89" s="1"/>
  <c r="D979" i="89" s="1"/>
  <c r="D1296" i="89" s="1"/>
  <c r="D330" i="89"/>
  <c r="D633" i="89" s="1"/>
  <c r="D980" i="89" s="1"/>
  <c r="D1297" i="89" s="1"/>
  <c r="D331" i="89"/>
  <c r="D332" i="89"/>
  <c r="D635" i="89" s="1"/>
  <c r="D982" i="89" s="1"/>
  <c r="D1299" i="89" s="1"/>
  <c r="D333" i="89"/>
  <c r="D636" i="89" s="1"/>
  <c r="D983" i="89" s="1"/>
  <c r="D1300" i="89" s="1"/>
  <c r="D334" i="89"/>
  <c r="D637" i="89" s="1"/>
  <c r="D984" i="89" s="1"/>
  <c r="D1301" i="89" s="1"/>
  <c r="D335" i="89"/>
  <c r="D638" i="89" s="1"/>
  <c r="D985" i="89" s="1"/>
  <c r="D1302" i="89" s="1"/>
  <c r="D336" i="89"/>
  <c r="D639" i="89" s="1"/>
  <c r="D986" i="89" s="1"/>
  <c r="D1303" i="89" s="1"/>
  <c r="D337" i="89"/>
  <c r="D640" i="89" s="1"/>
  <c r="D987" i="89" s="1"/>
  <c r="D1304" i="89" s="1"/>
  <c r="D338" i="89"/>
  <c r="D641" i="89" s="1"/>
  <c r="D988" i="89" s="1"/>
  <c r="D1305" i="89" s="1"/>
  <c r="D339" i="89"/>
  <c r="D340" i="89"/>
  <c r="D643" i="89" s="1"/>
  <c r="D990" i="89" s="1"/>
  <c r="D1307" i="89" s="1"/>
  <c r="D341" i="89"/>
  <c r="D644" i="89" s="1"/>
  <c r="D991" i="89" s="1"/>
  <c r="D1308" i="89" s="1"/>
  <c r="D342" i="89"/>
  <c r="D645" i="89" s="1"/>
  <c r="D992" i="89" s="1"/>
  <c r="D1309" i="89" s="1"/>
  <c r="D343" i="89"/>
  <c r="D344" i="89"/>
  <c r="D647" i="89" s="1"/>
  <c r="D994" i="89" s="1"/>
  <c r="D1311" i="89" s="1"/>
  <c r="D345" i="89"/>
  <c r="D648" i="89" s="1"/>
  <c r="D995" i="89" s="1"/>
  <c r="D1312" i="89" s="1"/>
  <c r="D346" i="89"/>
  <c r="D649" i="89" s="1"/>
  <c r="D996" i="89" s="1"/>
  <c r="D1313" i="89" s="1"/>
  <c r="H346" i="89"/>
  <c r="F346" i="89"/>
  <c r="E346" i="89"/>
  <c r="E649" i="89" s="1"/>
  <c r="E996" i="89" s="1"/>
  <c r="E1313" i="89" s="1"/>
  <c r="C346" i="89"/>
  <c r="C649" i="89" s="1"/>
  <c r="C996" i="89" s="1"/>
  <c r="C1313" i="89" s="1"/>
  <c r="H345" i="89"/>
  <c r="F345" i="89"/>
  <c r="E345" i="89"/>
  <c r="E648" i="89" s="1"/>
  <c r="E995" i="89" s="1"/>
  <c r="E1312" i="89" s="1"/>
  <c r="C345" i="89"/>
  <c r="C648" i="89" s="1"/>
  <c r="C995" i="89" s="1"/>
  <c r="C1312" i="89" s="1"/>
  <c r="H344" i="89"/>
  <c r="F344" i="89"/>
  <c r="E344" i="89"/>
  <c r="E647" i="89" s="1"/>
  <c r="E994" i="89" s="1"/>
  <c r="E1311" i="89" s="1"/>
  <c r="C344" i="89"/>
  <c r="C647" i="89" s="1"/>
  <c r="C994" i="89" s="1"/>
  <c r="C1311" i="89" s="1"/>
  <c r="H343" i="89"/>
  <c r="F343" i="89"/>
  <c r="E343" i="89"/>
  <c r="E646" i="89" s="1"/>
  <c r="E993" i="89" s="1"/>
  <c r="E1310" i="89" s="1"/>
  <c r="D646" i="89"/>
  <c r="D993" i="89" s="1"/>
  <c r="D1310" i="89" s="1"/>
  <c r="C343" i="89"/>
  <c r="C646" i="89" s="1"/>
  <c r="C993" i="89" s="1"/>
  <c r="C1310" i="89" s="1"/>
  <c r="H342" i="89"/>
  <c r="F342" i="89"/>
  <c r="E342" i="89"/>
  <c r="E645" i="89" s="1"/>
  <c r="E992" i="89" s="1"/>
  <c r="E1309" i="89" s="1"/>
  <c r="C342" i="89"/>
  <c r="C645" i="89" s="1"/>
  <c r="C992" i="89" s="1"/>
  <c r="C1309" i="89" s="1"/>
  <c r="H341" i="89"/>
  <c r="F341" i="89"/>
  <c r="E341" i="89"/>
  <c r="E644" i="89" s="1"/>
  <c r="E991" i="89" s="1"/>
  <c r="E1308" i="89" s="1"/>
  <c r="C341" i="89"/>
  <c r="C644" i="89" s="1"/>
  <c r="C991" i="89" s="1"/>
  <c r="C1308" i="89" s="1"/>
  <c r="H340" i="89"/>
  <c r="F340" i="89"/>
  <c r="E340" i="89"/>
  <c r="E643" i="89" s="1"/>
  <c r="E990" i="89" s="1"/>
  <c r="E1307" i="89" s="1"/>
  <c r="C340" i="89"/>
  <c r="C643" i="89" s="1"/>
  <c r="C990" i="89" s="1"/>
  <c r="C1307" i="89" s="1"/>
  <c r="H339" i="89"/>
  <c r="F339" i="89"/>
  <c r="E339" i="89"/>
  <c r="E642" i="89" s="1"/>
  <c r="E989" i="89" s="1"/>
  <c r="E1306" i="89" s="1"/>
  <c r="D642" i="89"/>
  <c r="D989" i="89" s="1"/>
  <c r="D1306" i="89" s="1"/>
  <c r="C339" i="89"/>
  <c r="C642" i="89" s="1"/>
  <c r="C989" i="89" s="1"/>
  <c r="C1306" i="89" s="1"/>
  <c r="H338" i="89"/>
  <c r="F338" i="89"/>
  <c r="E338" i="89"/>
  <c r="E641" i="89" s="1"/>
  <c r="E988" i="89" s="1"/>
  <c r="E1305" i="89" s="1"/>
  <c r="C338" i="89"/>
  <c r="C641" i="89" s="1"/>
  <c r="C988" i="89" s="1"/>
  <c r="C1305" i="89" s="1"/>
  <c r="H337" i="89"/>
  <c r="F337" i="89"/>
  <c r="E337" i="89"/>
  <c r="E640" i="89" s="1"/>
  <c r="E987" i="89" s="1"/>
  <c r="E1304" i="89" s="1"/>
  <c r="C337" i="89"/>
  <c r="C640" i="89" s="1"/>
  <c r="C987" i="89" s="1"/>
  <c r="C1304" i="89" s="1"/>
  <c r="H336" i="89"/>
  <c r="F336" i="89"/>
  <c r="E336" i="89"/>
  <c r="E639" i="89" s="1"/>
  <c r="E986" i="89" s="1"/>
  <c r="E1303" i="89" s="1"/>
  <c r="C336" i="89"/>
  <c r="C639" i="89" s="1"/>
  <c r="C986" i="89" s="1"/>
  <c r="C1303" i="89" s="1"/>
  <c r="H335" i="89"/>
  <c r="F335" i="89"/>
  <c r="E335" i="89"/>
  <c r="E638" i="89" s="1"/>
  <c r="E985" i="89" s="1"/>
  <c r="E1302" i="89" s="1"/>
  <c r="C335" i="89"/>
  <c r="C638" i="89" s="1"/>
  <c r="C985" i="89" s="1"/>
  <c r="C1302" i="89" s="1"/>
  <c r="H334" i="89"/>
  <c r="F334" i="89"/>
  <c r="E334" i="89"/>
  <c r="E637" i="89" s="1"/>
  <c r="E984" i="89" s="1"/>
  <c r="E1301" i="89" s="1"/>
  <c r="C334" i="89"/>
  <c r="C637" i="89" s="1"/>
  <c r="C984" i="89" s="1"/>
  <c r="C1301" i="89" s="1"/>
  <c r="H333" i="89"/>
  <c r="F333" i="89"/>
  <c r="E333" i="89"/>
  <c r="E636" i="89" s="1"/>
  <c r="E983" i="89" s="1"/>
  <c r="E1300" i="89" s="1"/>
  <c r="C333" i="89"/>
  <c r="C636" i="89" s="1"/>
  <c r="C983" i="89" s="1"/>
  <c r="C1300" i="89" s="1"/>
  <c r="H332" i="89"/>
  <c r="F332" i="89"/>
  <c r="E332" i="89"/>
  <c r="E635" i="89" s="1"/>
  <c r="E982" i="89" s="1"/>
  <c r="E1299" i="89" s="1"/>
  <c r="C332" i="89"/>
  <c r="C635" i="89" s="1"/>
  <c r="C982" i="89" s="1"/>
  <c r="C1299" i="89" s="1"/>
  <c r="H331" i="89"/>
  <c r="F331" i="89"/>
  <c r="E331" i="89"/>
  <c r="E634" i="89" s="1"/>
  <c r="E981" i="89" s="1"/>
  <c r="E1298" i="89" s="1"/>
  <c r="D634" i="89"/>
  <c r="D981" i="89" s="1"/>
  <c r="D1298" i="89" s="1"/>
  <c r="C331" i="89"/>
  <c r="C634" i="89" s="1"/>
  <c r="C981" i="89" s="1"/>
  <c r="C1298" i="89" s="1"/>
  <c r="H330" i="89"/>
  <c r="F330" i="89"/>
  <c r="E330" i="89"/>
  <c r="E633" i="89" s="1"/>
  <c r="E980" i="89" s="1"/>
  <c r="E1297" i="89" s="1"/>
  <c r="C330" i="89"/>
  <c r="C633" i="89" s="1"/>
  <c r="C980" i="89" s="1"/>
  <c r="C1297" i="89" s="1"/>
  <c r="H329" i="89"/>
  <c r="F329" i="89"/>
  <c r="E329" i="89"/>
  <c r="E632" i="89" s="1"/>
  <c r="E979" i="89" s="1"/>
  <c r="E1296" i="89" s="1"/>
  <c r="C329" i="89"/>
  <c r="C632" i="89" s="1"/>
  <c r="C979" i="89" s="1"/>
  <c r="C1296" i="89" s="1"/>
  <c r="H328" i="89"/>
  <c r="F328" i="89"/>
  <c r="E328" i="89"/>
  <c r="E631" i="89" s="1"/>
  <c r="E978" i="89" s="1"/>
  <c r="E1295" i="89" s="1"/>
  <c r="C328" i="89"/>
  <c r="C631" i="89" s="1"/>
  <c r="C978" i="89" s="1"/>
  <c r="C1295" i="89" s="1"/>
  <c r="H327" i="89"/>
  <c r="F327" i="89"/>
  <c r="E327" i="89"/>
  <c r="E630" i="89" s="1"/>
  <c r="E977" i="89" s="1"/>
  <c r="E1294" i="89" s="1"/>
  <c r="C327" i="89"/>
  <c r="C630" i="89" s="1"/>
  <c r="C977" i="89" s="1"/>
  <c r="C1294" i="89" s="1"/>
  <c r="H326" i="89"/>
  <c r="F326" i="89"/>
  <c r="E326" i="89"/>
  <c r="E629" i="89" s="1"/>
  <c r="E976" i="89" s="1"/>
  <c r="E1293" i="89" s="1"/>
  <c r="C326" i="89"/>
  <c r="C629" i="89" s="1"/>
  <c r="C976" i="89" s="1"/>
  <c r="C1293" i="89" s="1"/>
  <c r="H325" i="89"/>
  <c r="F325" i="89"/>
  <c r="E325" i="89"/>
  <c r="E628" i="89" s="1"/>
  <c r="E975" i="89" s="1"/>
  <c r="E1292" i="89" s="1"/>
  <c r="C325" i="89"/>
  <c r="C628" i="89" s="1"/>
  <c r="C975" i="89" s="1"/>
  <c r="C1292" i="89" s="1"/>
  <c r="H324" i="89"/>
  <c r="F324" i="89"/>
  <c r="E324" i="89"/>
  <c r="E627" i="89" s="1"/>
  <c r="E974" i="89" s="1"/>
  <c r="E1291" i="89" s="1"/>
  <c r="C324" i="89"/>
  <c r="C627" i="89" s="1"/>
  <c r="C974" i="89" s="1"/>
  <c r="C1291" i="89" s="1"/>
  <c r="H323" i="89"/>
  <c r="F323" i="89"/>
  <c r="E323" i="89"/>
  <c r="E626" i="89" s="1"/>
  <c r="E973" i="89" s="1"/>
  <c r="E1290" i="89" s="1"/>
  <c r="D626" i="89"/>
  <c r="D973" i="89" s="1"/>
  <c r="D1290" i="89" s="1"/>
  <c r="C323" i="89"/>
  <c r="C626" i="89" s="1"/>
  <c r="C973" i="89" s="1"/>
  <c r="C1290" i="89" s="1"/>
  <c r="H322" i="89"/>
  <c r="F322" i="89"/>
  <c r="E322" i="89"/>
  <c r="E625" i="89" s="1"/>
  <c r="E972" i="89" s="1"/>
  <c r="E1289" i="89" s="1"/>
  <c r="C322" i="89"/>
  <c r="C625" i="89" s="1"/>
  <c r="C972" i="89" s="1"/>
  <c r="C1289" i="89" s="1"/>
  <c r="H321" i="89"/>
  <c r="F321" i="89"/>
  <c r="E321" i="89"/>
  <c r="E624" i="89" s="1"/>
  <c r="E971" i="89" s="1"/>
  <c r="E1288" i="89" s="1"/>
  <c r="C321" i="89"/>
  <c r="C624" i="89" s="1"/>
  <c r="C971" i="89" s="1"/>
  <c r="C1288" i="89" s="1"/>
  <c r="H320" i="89"/>
  <c r="F320" i="89"/>
  <c r="E320" i="89"/>
  <c r="E623" i="89" s="1"/>
  <c r="E970" i="89" s="1"/>
  <c r="E1287" i="89" s="1"/>
  <c r="C320" i="89"/>
  <c r="C623" i="89" s="1"/>
  <c r="C970" i="89" s="1"/>
  <c r="C1287" i="89" s="1"/>
  <c r="H319" i="89"/>
  <c r="F319" i="89"/>
  <c r="E319" i="89"/>
  <c r="E622" i="89" s="1"/>
  <c r="E969" i="89" s="1"/>
  <c r="E1286" i="89" s="1"/>
  <c r="C319" i="89"/>
  <c r="C622" i="89" s="1"/>
  <c r="C969" i="89" s="1"/>
  <c r="C1286" i="89" s="1"/>
  <c r="H318" i="89"/>
  <c r="F318" i="89"/>
  <c r="E318" i="89"/>
  <c r="E621" i="89" s="1"/>
  <c r="E968" i="89" s="1"/>
  <c r="E1285" i="89" s="1"/>
  <c r="C318" i="89"/>
  <c r="C621" i="89" s="1"/>
  <c r="C968" i="89" s="1"/>
  <c r="C1285" i="89" s="1"/>
  <c r="H317" i="89"/>
  <c r="F317" i="89"/>
  <c r="E317" i="89"/>
  <c r="E620" i="89" s="1"/>
  <c r="E967" i="89" s="1"/>
  <c r="E1284" i="89" s="1"/>
  <c r="C317" i="89"/>
  <c r="C620" i="89" s="1"/>
  <c r="C967" i="89" s="1"/>
  <c r="C1284" i="89" s="1"/>
  <c r="H316" i="89"/>
  <c r="F316" i="89"/>
  <c r="E316" i="89"/>
  <c r="E619" i="89" s="1"/>
  <c r="E966" i="89" s="1"/>
  <c r="E1283" i="89" s="1"/>
  <c r="C316" i="89"/>
  <c r="C619" i="89" s="1"/>
  <c r="C966" i="89" s="1"/>
  <c r="C1283" i="89" s="1"/>
  <c r="H315" i="89"/>
  <c r="F315" i="89"/>
  <c r="E315" i="89"/>
  <c r="E618" i="89" s="1"/>
  <c r="E965" i="89" s="1"/>
  <c r="E1282" i="89" s="1"/>
  <c r="D618" i="89"/>
  <c r="D965" i="89" s="1"/>
  <c r="D1282" i="89" s="1"/>
  <c r="C315" i="89"/>
  <c r="C618" i="89" s="1"/>
  <c r="C965" i="89" s="1"/>
  <c r="C1282" i="89" s="1"/>
  <c r="H314" i="89"/>
  <c r="F314" i="89"/>
  <c r="E314" i="89"/>
  <c r="E617" i="89" s="1"/>
  <c r="E964" i="89" s="1"/>
  <c r="E1281" i="89" s="1"/>
  <c r="C314" i="89"/>
  <c r="C617" i="89" s="1"/>
  <c r="C964" i="89" s="1"/>
  <c r="C1281" i="89" s="1"/>
  <c r="H313" i="89"/>
  <c r="F313" i="89"/>
  <c r="E313" i="89"/>
  <c r="E616" i="89" s="1"/>
  <c r="E963" i="89" s="1"/>
  <c r="E1280" i="89" s="1"/>
  <c r="C313" i="89"/>
  <c r="C616" i="89" s="1"/>
  <c r="C963" i="89" s="1"/>
  <c r="C1280" i="89" s="1"/>
  <c r="H312" i="89"/>
  <c r="F312" i="89"/>
  <c r="E312" i="89"/>
  <c r="E615" i="89" s="1"/>
  <c r="E962" i="89" s="1"/>
  <c r="E1279" i="89" s="1"/>
  <c r="C312" i="89"/>
  <c r="C615" i="89" s="1"/>
  <c r="C962" i="89" s="1"/>
  <c r="C1279" i="89" s="1"/>
  <c r="H311" i="89"/>
  <c r="F311" i="89"/>
  <c r="E311" i="89"/>
  <c r="E614" i="89" s="1"/>
  <c r="E961" i="89" s="1"/>
  <c r="E1278" i="89" s="1"/>
  <c r="D614" i="89"/>
  <c r="D961" i="89" s="1"/>
  <c r="D1278" i="89" s="1"/>
  <c r="C311" i="89"/>
  <c r="C614" i="89" s="1"/>
  <c r="C961" i="89" s="1"/>
  <c r="C1278" i="89" s="1"/>
  <c r="H310" i="89"/>
  <c r="F310" i="89"/>
  <c r="E310" i="89"/>
  <c r="E613" i="89" s="1"/>
  <c r="E960" i="89" s="1"/>
  <c r="E1277" i="89" s="1"/>
  <c r="C310" i="89"/>
  <c r="C613" i="89" s="1"/>
  <c r="C960" i="89" s="1"/>
  <c r="C1277" i="89" s="1"/>
  <c r="H309" i="89"/>
  <c r="F309" i="89"/>
  <c r="E309" i="89"/>
  <c r="E612" i="89" s="1"/>
  <c r="E959" i="89" s="1"/>
  <c r="E1276" i="89" s="1"/>
  <c r="C309" i="89"/>
  <c r="C612" i="89" s="1"/>
  <c r="C959" i="89" s="1"/>
  <c r="C1276" i="89" s="1"/>
  <c r="H308" i="89"/>
  <c r="F308" i="89"/>
  <c r="E308" i="89"/>
  <c r="E611" i="89" s="1"/>
  <c r="E958" i="89" s="1"/>
  <c r="E1275" i="89" s="1"/>
  <c r="C308" i="89"/>
  <c r="C611" i="89" s="1"/>
  <c r="C958" i="89" s="1"/>
  <c r="C1275" i="89" s="1"/>
  <c r="H307" i="89"/>
  <c r="F307" i="89"/>
  <c r="E307" i="89"/>
  <c r="E610" i="89" s="1"/>
  <c r="E957" i="89" s="1"/>
  <c r="E1274" i="89" s="1"/>
  <c r="D610" i="89"/>
  <c r="D957" i="89" s="1"/>
  <c r="D1274" i="89" s="1"/>
  <c r="C307" i="89"/>
  <c r="C610" i="89" s="1"/>
  <c r="C957" i="89" s="1"/>
  <c r="C1274" i="89" s="1"/>
  <c r="H306" i="89"/>
  <c r="F306" i="89"/>
  <c r="E306" i="89"/>
  <c r="E609" i="89" s="1"/>
  <c r="E956" i="89" s="1"/>
  <c r="E1273" i="89" s="1"/>
  <c r="C306" i="89"/>
  <c r="C609" i="89" s="1"/>
  <c r="C956" i="89" s="1"/>
  <c r="C1273" i="89" s="1"/>
  <c r="H305" i="89"/>
  <c r="F305" i="89"/>
  <c r="E305" i="89"/>
  <c r="E608" i="89" s="1"/>
  <c r="E955" i="89" s="1"/>
  <c r="E1272" i="89" s="1"/>
  <c r="C305" i="89"/>
  <c r="C608" i="89" s="1"/>
  <c r="C955" i="89" s="1"/>
  <c r="C1272" i="89" s="1"/>
  <c r="H304" i="89"/>
  <c r="F304" i="89"/>
  <c r="E304" i="89"/>
  <c r="E607" i="89" s="1"/>
  <c r="E954" i="89" s="1"/>
  <c r="E1271" i="89" s="1"/>
  <c r="C304" i="89"/>
  <c r="C607" i="89" s="1"/>
  <c r="C954" i="89" s="1"/>
  <c r="C1271" i="89" s="1"/>
  <c r="H303" i="89"/>
  <c r="F303" i="89"/>
  <c r="E303" i="89"/>
  <c r="E606" i="89" s="1"/>
  <c r="E953" i="89" s="1"/>
  <c r="E1270" i="89" s="1"/>
  <c r="C303" i="89"/>
  <c r="C606" i="89" s="1"/>
  <c r="C953" i="89" s="1"/>
  <c r="C1270" i="89" s="1"/>
  <c r="H302" i="89"/>
  <c r="F302" i="89"/>
  <c r="E302" i="89"/>
  <c r="E605" i="89" s="1"/>
  <c r="E952" i="89" s="1"/>
  <c r="E1269" i="89" s="1"/>
  <c r="C302" i="89"/>
  <c r="C605" i="89" s="1"/>
  <c r="C952" i="89" s="1"/>
  <c r="C1269" i="89" s="1"/>
  <c r="H301" i="89"/>
  <c r="F301" i="89"/>
  <c r="E301" i="89"/>
  <c r="E604" i="89" s="1"/>
  <c r="E951" i="89" s="1"/>
  <c r="E1268" i="89" s="1"/>
  <c r="C301" i="89"/>
  <c r="C604" i="89" s="1"/>
  <c r="C951" i="89" s="1"/>
  <c r="C1268" i="89" s="1"/>
  <c r="H300" i="89"/>
  <c r="F300" i="89"/>
  <c r="E300" i="89"/>
  <c r="E603" i="89" s="1"/>
  <c r="E950" i="89" s="1"/>
  <c r="E1267" i="89" s="1"/>
  <c r="C300" i="89"/>
  <c r="C603" i="89" s="1"/>
  <c r="C950" i="89" s="1"/>
  <c r="C1267" i="89" s="1"/>
  <c r="H299" i="89"/>
  <c r="F299" i="89"/>
  <c r="E299" i="89"/>
  <c r="E602" i="89" s="1"/>
  <c r="E949" i="89" s="1"/>
  <c r="E1266" i="89" s="1"/>
  <c r="D602" i="89"/>
  <c r="D949" i="89" s="1"/>
  <c r="D1266" i="89" s="1"/>
  <c r="C299" i="89"/>
  <c r="C602" i="89" s="1"/>
  <c r="C949" i="89" s="1"/>
  <c r="C1266" i="89" s="1"/>
  <c r="H298" i="89"/>
  <c r="F298" i="89"/>
  <c r="E298" i="89"/>
  <c r="E601" i="89" s="1"/>
  <c r="E948" i="89" s="1"/>
  <c r="E1265" i="89" s="1"/>
  <c r="C298" i="89"/>
  <c r="C601" i="89" s="1"/>
  <c r="C948" i="89" s="1"/>
  <c r="C1265" i="89" s="1"/>
  <c r="H297" i="89"/>
  <c r="F297" i="89"/>
  <c r="E297" i="89"/>
  <c r="E600" i="89" s="1"/>
  <c r="E947" i="89" s="1"/>
  <c r="E1264" i="89" s="1"/>
  <c r="C297" i="89"/>
  <c r="C600" i="89" s="1"/>
  <c r="C947" i="89" s="1"/>
  <c r="C1264" i="89" s="1"/>
  <c r="H296" i="89"/>
  <c r="F296" i="89"/>
  <c r="E296" i="89"/>
  <c r="E599" i="89" s="1"/>
  <c r="E946" i="89" s="1"/>
  <c r="E1263" i="89" s="1"/>
  <c r="C296" i="89"/>
  <c r="C599" i="89" s="1"/>
  <c r="C946" i="89" s="1"/>
  <c r="C1263" i="89" s="1"/>
  <c r="H295" i="89"/>
  <c r="F295" i="89"/>
  <c r="E295" i="89"/>
  <c r="E598" i="89" s="1"/>
  <c r="E945" i="89" s="1"/>
  <c r="E1262" i="89" s="1"/>
  <c r="C295" i="89"/>
  <c r="C598" i="89" s="1"/>
  <c r="C945" i="89" s="1"/>
  <c r="C1262" i="89" s="1"/>
  <c r="H294" i="89"/>
  <c r="F294" i="89"/>
  <c r="E294" i="89"/>
  <c r="E597" i="89" s="1"/>
  <c r="E944" i="89" s="1"/>
  <c r="E1261" i="89" s="1"/>
  <c r="D597" i="89"/>
  <c r="D944" i="89" s="1"/>
  <c r="D1261" i="89" s="1"/>
  <c r="C294" i="89"/>
  <c r="C597" i="89" s="1"/>
  <c r="C944" i="89" s="1"/>
  <c r="C1261" i="89" s="1"/>
  <c r="H293" i="89"/>
  <c r="F293" i="89"/>
  <c r="E293" i="89"/>
  <c r="E596" i="89" s="1"/>
  <c r="E943" i="89" s="1"/>
  <c r="E1260" i="89" s="1"/>
  <c r="C293" i="89"/>
  <c r="C596" i="89" s="1"/>
  <c r="C943" i="89" s="1"/>
  <c r="C1260" i="89" s="1"/>
  <c r="H292" i="89"/>
  <c r="F292" i="89"/>
  <c r="E292" i="89"/>
  <c r="E595" i="89" s="1"/>
  <c r="E942" i="89" s="1"/>
  <c r="E1259" i="89" s="1"/>
  <c r="C292" i="89"/>
  <c r="C595" i="89" s="1"/>
  <c r="C942" i="89" s="1"/>
  <c r="C1259" i="89" s="1"/>
  <c r="H291" i="89"/>
  <c r="F291" i="89"/>
  <c r="E291" i="89"/>
  <c r="E594" i="89" s="1"/>
  <c r="E941" i="89" s="1"/>
  <c r="E1258" i="89" s="1"/>
  <c r="D594" i="89"/>
  <c r="D941" i="89" s="1"/>
  <c r="D1258" i="89" s="1"/>
  <c r="C291" i="89"/>
  <c r="C594" i="89" s="1"/>
  <c r="C941" i="89" s="1"/>
  <c r="C1258" i="89" s="1"/>
  <c r="H290" i="89"/>
  <c r="F290" i="89"/>
  <c r="E290" i="89"/>
  <c r="E593" i="89" s="1"/>
  <c r="E940" i="89" s="1"/>
  <c r="E1257" i="89" s="1"/>
  <c r="C290" i="89"/>
  <c r="C593" i="89" s="1"/>
  <c r="C940" i="89" s="1"/>
  <c r="C1257" i="89" s="1"/>
  <c r="H289" i="89"/>
  <c r="F289" i="89"/>
  <c r="E289" i="89"/>
  <c r="E592" i="89" s="1"/>
  <c r="E939" i="89" s="1"/>
  <c r="E1256" i="89" s="1"/>
  <c r="C289" i="89"/>
  <c r="C592" i="89" s="1"/>
  <c r="C939" i="89" s="1"/>
  <c r="C1256" i="89" s="1"/>
  <c r="H288" i="89"/>
  <c r="F288" i="89"/>
  <c r="E288" i="89"/>
  <c r="E591" i="89" s="1"/>
  <c r="E938" i="89" s="1"/>
  <c r="E1255" i="89" s="1"/>
  <c r="C288" i="89"/>
  <c r="C591" i="89" s="1"/>
  <c r="C938" i="89" s="1"/>
  <c r="C1255" i="89" s="1"/>
  <c r="H287" i="89"/>
  <c r="F287" i="89"/>
  <c r="E287" i="89"/>
  <c r="E590" i="89" s="1"/>
  <c r="E937" i="89" s="1"/>
  <c r="E1254" i="89" s="1"/>
  <c r="C287" i="89"/>
  <c r="C590" i="89" s="1"/>
  <c r="C937" i="89" s="1"/>
  <c r="C1254" i="89" s="1"/>
  <c r="H286" i="89"/>
  <c r="F286" i="89"/>
  <c r="E286" i="89"/>
  <c r="E589" i="89" s="1"/>
  <c r="E936" i="89" s="1"/>
  <c r="E1253" i="89" s="1"/>
  <c r="C286" i="89"/>
  <c r="C589" i="89" s="1"/>
  <c r="C936" i="89" s="1"/>
  <c r="C1253" i="89" s="1"/>
  <c r="H285" i="89"/>
  <c r="F285" i="89"/>
  <c r="E285" i="89"/>
  <c r="E588" i="89" s="1"/>
  <c r="E935" i="89" s="1"/>
  <c r="E1252" i="89" s="1"/>
  <c r="C285" i="89"/>
  <c r="C588" i="89" s="1"/>
  <c r="C935" i="89" s="1"/>
  <c r="C1252" i="89" s="1"/>
  <c r="H284" i="89"/>
  <c r="F284" i="89"/>
  <c r="E284" i="89"/>
  <c r="E587" i="89" s="1"/>
  <c r="E934" i="89" s="1"/>
  <c r="E1251" i="89" s="1"/>
  <c r="C284" i="89"/>
  <c r="C587" i="89" s="1"/>
  <c r="C934" i="89" s="1"/>
  <c r="C1251" i="89" s="1"/>
  <c r="H283" i="89"/>
  <c r="F283" i="89"/>
  <c r="E283" i="89"/>
  <c r="E586" i="89" s="1"/>
  <c r="E933" i="89" s="1"/>
  <c r="E1250" i="89" s="1"/>
  <c r="D586" i="89"/>
  <c r="D933" i="89" s="1"/>
  <c r="D1250" i="89" s="1"/>
  <c r="C283" i="89"/>
  <c r="C586" i="89" s="1"/>
  <c r="C933" i="89" s="1"/>
  <c r="C1250" i="89" s="1"/>
  <c r="H282" i="89"/>
  <c r="F282" i="89"/>
  <c r="E282" i="89"/>
  <c r="E585" i="89" s="1"/>
  <c r="E932" i="89" s="1"/>
  <c r="E1249" i="89" s="1"/>
  <c r="C282" i="89"/>
  <c r="C585" i="89" s="1"/>
  <c r="C932" i="89" s="1"/>
  <c r="C1249" i="89" s="1"/>
  <c r="H281" i="89"/>
  <c r="F281" i="89"/>
  <c r="E281" i="89"/>
  <c r="E584" i="89" s="1"/>
  <c r="E931" i="89" s="1"/>
  <c r="E1248" i="89" s="1"/>
  <c r="C281" i="89"/>
  <c r="C584" i="89" s="1"/>
  <c r="C931" i="89" s="1"/>
  <c r="C1248" i="89" s="1"/>
  <c r="H280" i="89"/>
  <c r="F280" i="89"/>
  <c r="E280" i="89"/>
  <c r="E583" i="89" s="1"/>
  <c r="E930" i="89" s="1"/>
  <c r="E1247" i="89" s="1"/>
  <c r="C280" i="89"/>
  <c r="C583" i="89" s="1"/>
  <c r="C930" i="89" s="1"/>
  <c r="C1247" i="89" s="1"/>
  <c r="H279" i="89"/>
  <c r="F279" i="89"/>
  <c r="E279" i="89"/>
  <c r="E582" i="89" s="1"/>
  <c r="E929" i="89" s="1"/>
  <c r="E1246" i="89" s="1"/>
  <c r="C279" i="89"/>
  <c r="C582" i="89" s="1"/>
  <c r="C929" i="89" s="1"/>
  <c r="C1246" i="89" s="1"/>
  <c r="H278" i="89"/>
  <c r="F278" i="89"/>
  <c r="E278" i="89"/>
  <c r="E581" i="89" s="1"/>
  <c r="E928" i="89" s="1"/>
  <c r="E1245" i="89" s="1"/>
  <c r="C278" i="89"/>
  <c r="C581" i="89" s="1"/>
  <c r="C928" i="89" s="1"/>
  <c r="C1245" i="89" s="1"/>
  <c r="H277" i="89"/>
  <c r="F277" i="89"/>
  <c r="E277" i="89"/>
  <c r="E580" i="89" s="1"/>
  <c r="E927" i="89" s="1"/>
  <c r="E1244" i="89" s="1"/>
  <c r="C277" i="89"/>
  <c r="C580" i="89" s="1"/>
  <c r="C927" i="89" s="1"/>
  <c r="C1244" i="89" s="1"/>
  <c r="H276" i="89"/>
  <c r="F276" i="89"/>
  <c r="E276" i="89"/>
  <c r="E579" i="89" s="1"/>
  <c r="E926" i="89" s="1"/>
  <c r="E1243" i="89" s="1"/>
  <c r="C276" i="89"/>
  <c r="C579" i="89" s="1"/>
  <c r="C926" i="89" s="1"/>
  <c r="C1243" i="89" s="1"/>
  <c r="H275" i="89"/>
  <c r="F275" i="89"/>
  <c r="E275" i="89"/>
  <c r="E578" i="89" s="1"/>
  <c r="E925" i="89" s="1"/>
  <c r="E1242" i="89" s="1"/>
  <c r="D578" i="89"/>
  <c r="D925" i="89" s="1"/>
  <c r="D1242" i="89" s="1"/>
  <c r="C275" i="89"/>
  <c r="C578" i="89" s="1"/>
  <c r="C925" i="89" s="1"/>
  <c r="C1242" i="89" s="1"/>
  <c r="H274" i="89"/>
  <c r="F274" i="89"/>
  <c r="E274" i="89"/>
  <c r="E577" i="89" s="1"/>
  <c r="E924" i="89" s="1"/>
  <c r="E1241" i="89" s="1"/>
  <c r="C274" i="89"/>
  <c r="C577" i="89" s="1"/>
  <c r="C924" i="89" s="1"/>
  <c r="C1241" i="89" s="1"/>
  <c r="H273" i="89"/>
  <c r="F273" i="89"/>
  <c r="E273" i="89"/>
  <c r="E576" i="89" s="1"/>
  <c r="E923" i="89" s="1"/>
  <c r="E1240" i="89" s="1"/>
  <c r="C273" i="89"/>
  <c r="C576" i="89" s="1"/>
  <c r="C923" i="89" s="1"/>
  <c r="C1240" i="89" s="1"/>
  <c r="H272" i="89"/>
  <c r="F272" i="89"/>
  <c r="E272" i="89"/>
  <c r="E575" i="89" s="1"/>
  <c r="E922" i="89" s="1"/>
  <c r="E1239" i="89" s="1"/>
  <c r="C272" i="89"/>
  <c r="C575" i="89" s="1"/>
  <c r="C922" i="89" s="1"/>
  <c r="C1239" i="89" s="1"/>
  <c r="H271" i="89"/>
  <c r="F271" i="89"/>
  <c r="E271" i="89"/>
  <c r="E574" i="89" s="1"/>
  <c r="E921" i="89" s="1"/>
  <c r="E1238" i="89" s="1"/>
  <c r="C271" i="89"/>
  <c r="C574" i="89" s="1"/>
  <c r="C921" i="89" s="1"/>
  <c r="C1238" i="89" s="1"/>
  <c r="H270" i="89"/>
  <c r="F270" i="89"/>
  <c r="E270" i="89"/>
  <c r="E573" i="89" s="1"/>
  <c r="E920" i="89" s="1"/>
  <c r="E1237" i="89" s="1"/>
  <c r="C270" i="89"/>
  <c r="C573" i="89" s="1"/>
  <c r="C920" i="89" s="1"/>
  <c r="C1237" i="89" s="1"/>
  <c r="H269" i="89"/>
  <c r="F269" i="89"/>
  <c r="E269" i="89"/>
  <c r="E572" i="89" s="1"/>
  <c r="E919" i="89" s="1"/>
  <c r="E1236" i="89" s="1"/>
  <c r="C269" i="89"/>
  <c r="C572" i="89" s="1"/>
  <c r="C919" i="89" s="1"/>
  <c r="C1236" i="89" s="1"/>
  <c r="H268" i="89"/>
  <c r="F268" i="89"/>
  <c r="E268" i="89"/>
  <c r="E571" i="89" s="1"/>
  <c r="E918" i="89" s="1"/>
  <c r="E1235" i="89" s="1"/>
  <c r="C268" i="89"/>
  <c r="C571" i="89" s="1"/>
  <c r="C918" i="89" s="1"/>
  <c r="C1235" i="89" s="1"/>
  <c r="H267" i="89"/>
  <c r="F267" i="89"/>
  <c r="E267" i="89"/>
  <c r="E570" i="89" s="1"/>
  <c r="E917" i="89" s="1"/>
  <c r="E1234" i="89" s="1"/>
  <c r="D570" i="89"/>
  <c r="D917" i="89" s="1"/>
  <c r="D1234" i="89" s="1"/>
  <c r="C267" i="89"/>
  <c r="C570" i="89" s="1"/>
  <c r="C917" i="89" s="1"/>
  <c r="C1234" i="89" s="1"/>
  <c r="H266" i="89"/>
  <c r="F266" i="89"/>
  <c r="E266" i="89"/>
  <c r="E569" i="89" s="1"/>
  <c r="E916" i="89" s="1"/>
  <c r="E1233" i="89" s="1"/>
  <c r="C266" i="89"/>
  <c r="C569" i="89" s="1"/>
  <c r="C916" i="89" s="1"/>
  <c r="C1233" i="89" s="1"/>
  <c r="H265" i="89"/>
  <c r="F265" i="89"/>
  <c r="E265" i="89"/>
  <c r="E568" i="89" s="1"/>
  <c r="E915" i="89" s="1"/>
  <c r="E1232" i="89" s="1"/>
  <c r="C265" i="89"/>
  <c r="C568" i="89" s="1"/>
  <c r="C915" i="89" s="1"/>
  <c r="C1232" i="89" s="1"/>
  <c r="H264" i="89"/>
  <c r="F264" i="89"/>
  <c r="E264" i="89"/>
  <c r="E567" i="89" s="1"/>
  <c r="E914" i="89" s="1"/>
  <c r="E1231" i="89" s="1"/>
  <c r="C264" i="89"/>
  <c r="C567" i="89" s="1"/>
  <c r="C914" i="89" s="1"/>
  <c r="C1231" i="89" s="1"/>
  <c r="H263" i="89"/>
  <c r="F263" i="89"/>
  <c r="E263" i="89"/>
  <c r="E566" i="89" s="1"/>
  <c r="E913" i="89" s="1"/>
  <c r="E1230" i="89" s="1"/>
  <c r="D566" i="89"/>
  <c r="D913" i="89" s="1"/>
  <c r="D1230" i="89" s="1"/>
  <c r="C263" i="89"/>
  <c r="C566" i="89" s="1"/>
  <c r="C913" i="89" s="1"/>
  <c r="C1230" i="89" s="1"/>
  <c r="H262" i="89"/>
  <c r="F262" i="89"/>
  <c r="E262" i="89"/>
  <c r="E565" i="89" s="1"/>
  <c r="E912" i="89" s="1"/>
  <c r="E1229" i="89" s="1"/>
  <c r="C262" i="89"/>
  <c r="C565" i="89" s="1"/>
  <c r="C912" i="89" s="1"/>
  <c r="C1229" i="89" s="1"/>
  <c r="H261" i="89"/>
  <c r="F261" i="89"/>
  <c r="E261" i="89"/>
  <c r="E564" i="89" s="1"/>
  <c r="E911" i="89" s="1"/>
  <c r="E1228" i="89" s="1"/>
  <c r="C261" i="89"/>
  <c r="C564" i="89" s="1"/>
  <c r="C911" i="89" s="1"/>
  <c r="C1228" i="89" s="1"/>
  <c r="H260" i="89"/>
  <c r="F260" i="89"/>
  <c r="E260" i="89"/>
  <c r="E563" i="89" s="1"/>
  <c r="E910" i="89" s="1"/>
  <c r="E1227" i="89" s="1"/>
  <c r="C260" i="89"/>
  <c r="C563" i="89" s="1"/>
  <c r="C910" i="89" s="1"/>
  <c r="C1227" i="89" s="1"/>
  <c r="H259" i="89"/>
  <c r="F259" i="89"/>
  <c r="E259" i="89"/>
  <c r="E562" i="89" s="1"/>
  <c r="E909" i="89" s="1"/>
  <c r="E1226" i="89" s="1"/>
  <c r="D562" i="89"/>
  <c r="D909" i="89" s="1"/>
  <c r="D1226" i="89" s="1"/>
  <c r="C259" i="89"/>
  <c r="C562" i="89" s="1"/>
  <c r="C909" i="89" s="1"/>
  <c r="C1226" i="89" s="1"/>
  <c r="H258" i="89"/>
  <c r="F258" i="89"/>
  <c r="E258" i="89"/>
  <c r="E561" i="89" s="1"/>
  <c r="E908" i="89" s="1"/>
  <c r="E1225" i="89" s="1"/>
  <c r="C258" i="89"/>
  <c r="C561" i="89" s="1"/>
  <c r="C908" i="89" s="1"/>
  <c r="C1225" i="89" s="1"/>
  <c r="H257" i="89"/>
  <c r="F257" i="89"/>
  <c r="E257" i="89"/>
  <c r="E560" i="89" s="1"/>
  <c r="E907" i="89" s="1"/>
  <c r="E1224" i="89" s="1"/>
  <c r="C257" i="89"/>
  <c r="C560" i="89" s="1"/>
  <c r="C907" i="89" s="1"/>
  <c r="C1224" i="89" s="1"/>
  <c r="H256" i="89"/>
  <c r="F256" i="89"/>
  <c r="E256" i="89"/>
  <c r="E559" i="89" s="1"/>
  <c r="E906" i="89" s="1"/>
  <c r="E1223" i="89" s="1"/>
  <c r="C256" i="89"/>
  <c r="C559" i="89" s="1"/>
  <c r="C906" i="89" s="1"/>
  <c r="C1223" i="89" s="1"/>
  <c r="H255" i="89"/>
  <c r="F255" i="89"/>
  <c r="E255" i="89"/>
  <c r="E558" i="89" s="1"/>
  <c r="E905" i="89" s="1"/>
  <c r="E1222" i="89" s="1"/>
  <c r="D558" i="89"/>
  <c r="D905" i="89" s="1"/>
  <c r="D1222" i="89" s="1"/>
  <c r="C255" i="89"/>
  <c r="C558" i="89" s="1"/>
  <c r="C905" i="89" s="1"/>
  <c r="C1222" i="89" s="1"/>
  <c r="H254" i="89"/>
  <c r="F254" i="89"/>
  <c r="E254" i="89"/>
  <c r="E557" i="89" s="1"/>
  <c r="E904" i="89" s="1"/>
  <c r="E1221" i="89" s="1"/>
  <c r="C254" i="89"/>
  <c r="C557" i="89" s="1"/>
  <c r="C904" i="89" s="1"/>
  <c r="C1221" i="89" s="1"/>
  <c r="H253" i="89"/>
  <c r="F253" i="89"/>
  <c r="E253" i="89"/>
  <c r="E556" i="89" s="1"/>
  <c r="E903" i="89" s="1"/>
  <c r="E1220" i="89" s="1"/>
  <c r="C253" i="89"/>
  <c r="C556" i="89" s="1"/>
  <c r="C903" i="89" s="1"/>
  <c r="C1220" i="89" s="1"/>
  <c r="H252" i="89"/>
  <c r="F252" i="89"/>
  <c r="E252" i="89"/>
  <c r="E555" i="89" s="1"/>
  <c r="E902" i="89" s="1"/>
  <c r="E1219" i="89" s="1"/>
  <c r="C252" i="89"/>
  <c r="C555" i="89" s="1"/>
  <c r="C902" i="89" s="1"/>
  <c r="C1219" i="89" s="1"/>
  <c r="H251" i="89"/>
  <c r="F251" i="89"/>
  <c r="E251" i="89"/>
  <c r="E554" i="89" s="1"/>
  <c r="E901" i="89" s="1"/>
  <c r="E1218" i="89" s="1"/>
  <c r="D554" i="89"/>
  <c r="D901" i="89" s="1"/>
  <c r="D1218" i="89" s="1"/>
  <c r="C251" i="89"/>
  <c r="C554" i="89" s="1"/>
  <c r="C901" i="89" s="1"/>
  <c r="C1218" i="89" s="1"/>
  <c r="H250" i="89"/>
  <c r="F250" i="89"/>
  <c r="E250" i="89"/>
  <c r="E553" i="89" s="1"/>
  <c r="E900" i="89" s="1"/>
  <c r="E1217" i="89" s="1"/>
  <c r="C250" i="89"/>
  <c r="C553" i="89" s="1"/>
  <c r="C900" i="89" s="1"/>
  <c r="C1217" i="89" s="1"/>
  <c r="H249" i="89"/>
  <c r="F249" i="89"/>
  <c r="E249" i="89"/>
  <c r="E552" i="89" s="1"/>
  <c r="E899" i="89" s="1"/>
  <c r="E1216" i="89" s="1"/>
  <c r="C249" i="89"/>
  <c r="C552" i="89" s="1"/>
  <c r="C899" i="89" s="1"/>
  <c r="C1216" i="89" s="1"/>
  <c r="H248" i="89"/>
  <c r="F248" i="89"/>
  <c r="E248" i="89"/>
  <c r="E551" i="89" s="1"/>
  <c r="E898" i="89" s="1"/>
  <c r="E1215" i="89" s="1"/>
  <c r="C248" i="89"/>
  <c r="C551" i="89" s="1"/>
  <c r="C898" i="89" s="1"/>
  <c r="C1215" i="89" s="1"/>
  <c r="H247" i="89"/>
  <c r="F247" i="89"/>
  <c r="E247" i="89"/>
  <c r="E550" i="89" s="1"/>
  <c r="E897" i="89" s="1"/>
  <c r="E1214" i="89" s="1"/>
  <c r="C247" i="89"/>
  <c r="C550" i="89" s="1"/>
  <c r="C897" i="89" s="1"/>
  <c r="C1214" i="89" s="1"/>
  <c r="H246" i="89"/>
  <c r="F246" i="89"/>
  <c r="E246" i="89"/>
  <c r="E549" i="89" s="1"/>
  <c r="E896" i="89" s="1"/>
  <c r="E1213" i="89" s="1"/>
  <c r="C246" i="89"/>
  <c r="C549" i="89" s="1"/>
  <c r="C896" i="89" s="1"/>
  <c r="C1213" i="89" s="1"/>
  <c r="H245" i="89"/>
  <c r="F245" i="89"/>
  <c r="E245" i="89"/>
  <c r="E548" i="89" s="1"/>
  <c r="E895" i="89" s="1"/>
  <c r="E1212" i="89" s="1"/>
  <c r="C245" i="89"/>
  <c r="C548" i="89" s="1"/>
  <c r="C895" i="89" s="1"/>
  <c r="C1212" i="89" s="1"/>
  <c r="H244" i="89"/>
  <c r="F244" i="89"/>
  <c r="E244" i="89"/>
  <c r="E547" i="89" s="1"/>
  <c r="E894" i="89" s="1"/>
  <c r="E1211" i="89" s="1"/>
  <c r="C244" i="89"/>
  <c r="C547" i="89" s="1"/>
  <c r="C894" i="89" s="1"/>
  <c r="C1211" i="89" s="1"/>
  <c r="H243" i="89"/>
  <c r="F243" i="89"/>
  <c r="E243" i="89"/>
  <c r="E546" i="89" s="1"/>
  <c r="E893" i="89" s="1"/>
  <c r="E1210" i="89" s="1"/>
  <c r="D546" i="89"/>
  <c r="D893" i="89" s="1"/>
  <c r="D1210" i="89" s="1"/>
  <c r="C243" i="89"/>
  <c r="C546" i="89" s="1"/>
  <c r="C893" i="89" s="1"/>
  <c r="C1210" i="89" s="1"/>
  <c r="H242" i="89"/>
  <c r="F242" i="89"/>
  <c r="E242" i="89"/>
  <c r="E545" i="89" s="1"/>
  <c r="E892" i="89" s="1"/>
  <c r="E1209" i="89" s="1"/>
  <c r="C242" i="89"/>
  <c r="C545" i="89" s="1"/>
  <c r="C892" i="89" s="1"/>
  <c r="C1209" i="89" s="1"/>
  <c r="H241" i="89"/>
  <c r="F241" i="89"/>
  <c r="E241" i="89"/>
  <c r="E544" i="89" s="1"/>
  <c r="E891" i="89" s="1"/>
  <c r="E1208" i="89" s="1"/>
  <c r="C241" i="89"/>
  <c r="C544" i="89" s="1"/>
  <c r="C891" i="89" s="1"/>
  <c r="C1208" i="89" s="1"/>
  <c r="H240" i="89"/>
  <c r="F240" i="89"/>
  <c r="E240" i="89"/>
  <c r="E543" i="89" s="1"/>
  <c r="E890" i="89" s="1"/>
  <c r="E1207" i="89" s="1"/>
  <c r="C240" i="89"/>
  <c r="C543" i="89" s="1"/>
  <c r="C890" i="89" s="1"/>
  <c r="C1207" i="89" s="1"/>
  <c r="H239" i="89"/>
  <c r="F239" i="89"/>
  <c r="E239" i="89"/>
  <c r="E542" i="89" s="1"/>
  <c r="E889" i="89" s="1"/>
  <c r="E1206" i="89" s="1"/>
  <c r="C239" i="89"/>
  <c r="C542" i="89" s="1"/>
  <c r="C889" i="89" s="1"/>
  <c r="C1206" i="89" s="1"/>
  <c r="H238" i="89"/>
  <c r="F238" i="89"/>
  <c r="E238" i="89"/>
  <c r="E541" i="89" s="1"/>
  <c r="E888" i="89" s="1"/>
  <c r="E1205" i="89" s="1"/>
  <c r="C238" i="89"/>
  <c r="C541" i="89" s="1"/>
  <c r="C888" i="89" s="1"/>
  <c r="C1205" i="89" s="1"/>
  <c r="H237" i="89"/>
  <c r="F237" i="89"/>
  <c r="E237" i="89"/>
  <c r="E540" i="89" s="1"/>
  <c r="E887" i="89" s="1"/>
  <c r="E1204" i="89" s="1"/>
  <c r="C237" i="89"/>
  <c r="C540" i="89" s="1"/>
  <c r="C887" i="89" s="1"/>
  <c r="C1204" i="89" s="1"/>
  <c r="H236" i="89"/>
  <c r="F236" i="89"/>
  <c r="E236" i="89"/>
  <c r="E539" i="89" s="1"/>
  <c r="E886" i="89" s="1"/>
  <c r="E1203" i="89" s="1"/>
  <c r="C236" i="89"/>
  <c r="C539" i="89" s="1"/>
  <c r="C886" i="89" s="1"/>
  <c r="C1203" i="89" s="1"/>
  <c r="H235" i="89"/>
  <c r="F235" i="89"/>
  <c r="E235" i="89"/>
  <c r="E538" i="89" s="1"/>
  <c r="E885" i="89" s="1"/>
  <c r="E1202" i="89" s="1"/>
  <c r="D538" i="89"/>
  <c r="D885" i="89" s="1"/>
  <c r="D1202" i="89" s="1"/>
  <c r="C235" i="89"/>
  <c r="C538" i="89" s="1"/>
  <c r="C885" i="89" s="1"/>
  <c r="C1202" i="89" s="1"/>
  <c r="H234" i="89"/>
  <c r="F234" i="89"/>
  <c r="E234" i="89"/>
  <c r="E537" i="89" s="1"/>
  <c r="E884" i="89" s="1"/>
  <c r="E1201" i="89" s="1"/>
  <c r="C234" i="89"/>
  <c r="C537" i="89" s="1"/>
  <c r="C884" i="89" s="1"/>
  <c r="C1201" i="89" s="1"/>
  <c r="H233" i="89"/>
  <c r="F233" i="89"/>
  <c r="E233" i="89"/>
  <c r="E536" i="89" s="1"/>
  <c r="E883" i="89" s="1"/>
  <c r="E1200" i="89" s="1"/>
  <c r="C233" i="89"/>
  <c r="C536" i="89" s="1"/>
  <c r="C883" i="89" s="1"/>
  <c r="C1200" i="89" s="1"/>
  <c r="H232" i="89"/>
  <c r="F232" i="89"/>
  <c r="E232" i="89"/>
  <c r="E535" i="89" s="1"/>
  <c r="E882" i="89" s="1"/>
  <c r="E1199" i="89" s="1"/>
  <c r="D535" i="89"/>
  <c r="D882" i="89" s="1"/>
  <c r="D1199" i="89" s="1"/>
  <c r="C232" i="89"/>
  <c r="C535" i="89" s="1"/>
  <c r="C882" i="89" s="1"/>
  <c r="C1199" i="89" s="1"/>
  <c r="H231" i="89"/>
  <c r="F231" i="89"/>
  <c r="E231" i="89"/>
  <c r="E534" i="89" s="1"/>
  <c r="E881" i="89" s="1"/>
  <c r="E1198" i="89" s="1"/>
  <c r="C231" i="89"/>
  <c r="C534" i="89" s="1"/>
  <c r="C881" i="89" s="1"/>
  <c r="C1198" i="89" s="1"/>
  <c r="H230" i="89"/>
  <c r="F230" i="89"/>
  <c r="E230" i="89"/>
  <c r="E533" i="89" s="1"/>
  <c r="E880" i="89" s="1"/>
  <c r="E1197" i="89" s="1"/>
  <c r="C230" i="89"/>
  <c r="C533" i="89" s="1"/>
  <c r="C880" i="89" s="1"/>
  <c r="C1197" i="89" s="1"/>
  <c r="H229" i="89"/>
  <c r="F229" i="89"/>
  <c r="E229" i="89"/>
  <c r="E532" i="89" s="1"/>
  <c r="E879" i="89" s="1"/>
  <c r="E1196" i="89" s="1"/>
  <c r="C229" i="89"/>
  <c r="C532" i="89" s="1"/>
  <c r="C879" i="89" s="1"/>
  <c r="C1196" i="89" s="1"/>
  <c r="H228" i="89"/>
  <c r="F228" i="89"/>
  <c r="E228" i="89"/>
  <c r="E531" i="89" s="1"/>
  <c r="E878" i="89" s="1"/>
  <c r="E1195" i="89" s="1"/>
  <c r="C228" i="89"/>
  <c r="C531" i="89" s="1"/>
  <c r="C878" i="89" s="1"/>
  <c r="C1195" i="89" s="1"/>
  <c r="H227" i="89"/>
  <c r="F227" i="89"/>
  <c r="E227" i="89"/>
  <c r="E530" i="89" s="1"/>
  <c r="E877" i="89" s="1"/>
  <c r="E1194" i="89" s="1"/>
  <c r="D530" i="89"/>
  <c r="D877" i="89" s="1"/>
  <c r="D1194" i="89" s="1"/>
  <c r="C227" i="89"/>
  <c r="C530" i="89" s="1"/>
  <c r="C877" i="89" s="1"/>
  <c r="C1194" i="89" s="1"/>
  <c r="H226" i="89"/>
  <c r="F226" i="89"/>
  <c r="E226" i="89"/>
  <c r="E529" i="89" s="1"/>
  <c r="E876" i="89" s="1"/>
  <c r="E1193" i="89" s="1"/>
  <c r="C226" i="89"/>
  <c r="C529" i="89" s="1"/>
  <c r="C876" i="89" s="1"/>
  <c r="C1193" i="89" s="1"/>
  <c r="H225" i="89"/>
  <c r="F225" i="89"/>
  <c r="E225" i="89"/>
  <c r="E528" i="89" s="1"/>
  <c r="E875" i="89" s="1"/>
  <c r="E1192" i="89" s="1"/>
  <c r="C225" i="89"/>
  <c r="C528" i="89" s="1"/>
  <c r="C875" i="89" s="1"/>
  <c r="C1192" i="89" s="1"/>
  <c r="H224" i="89"/>
  <c r="F224" i="89"/>
  <c r="E224" i="89"/>
  <c r="E527" i="89" s="1"/>
  <c r="E874" i="89" s="1"/>
  <c r="E1191" i="89" s="1"/>
  <c r="C224" i="89"/>
  <c r="C527" i="89" s="1"/>
  <c r="C874" i="89" s="1"/>
  <c r="C1191" i="89" s="1"/>
  <c r="H223" i="89"/>
  <c r="F223" i="89"/>
  <c r="E223" i="89"/>
  <c r="E526" i="89" s="1"/>
  <c r="E873" i="89" s="1"/>
  <c r="E1190" i="89" s="1"/>
  <c r="C223" i="89"/>
  <c r="C526" i="89" s="1"/>
  <c r="C873" i="89" s="1"/>
  <c r="C1190" i="89" s="1"/>
  <c r="H222" i="89"/>
  <c r="F222" i="89"/>
  <c r="E222" i="89"/>
  <c r="E525" i="89" s="1"/>
  <c r="E872" i="89" s="1"/>
  <c r="E1189" i="89" s="1"/>
  <c r="C222" i="89"/>
  <c r="C525" i="89" s="1"/>
  <c r="C872" i="89" s="1"/>
  <c r="C1189" i="89" s="1"/>
  <c r="H221" i="89"/>
  <c r="F221" i="89"/>
  <c r="E221" i="89"/>
  <c r="E524" i="89" s="1"/>
  <c r="E871" i="89" s="1"/>
  <c r="E1188" i="89" s="1"/>
  <c r="C221" i="89"/>
  <c r="C524" i="89" s="1"/>
  <c r="C871" i="89" s="1"/>
  <c r="C1188" i="89" s="1"/>
  <c r="H220" i="89"/>
  <c r="F220" i="89"/>
  <c r="E220" i="89"/>
  <c r="E523" i="89" s="1"/>
  <c r="E870" i="89" s="1"/>
  <c r="E1187" i="89" s="1"/>
  <c r="C220" i="89"/>
  <c r="C523" i="89" s="1"/>
  <c r="C870" i="89" s="1"/>
  <c r="C1187" i="89" s="1"/>
  <c r="H219" i="89"/>
  <c r="F219" i="89"/>
  <c r="E219" i="89"/>
  <c r="E522" i="89" s="1"/>
  <c r="E869" i="89" s="1"/>
  <c r="E1186" i="89" s="1"/>
  <c r="D522" i="89"/>
  <c r="D869" i="89" s="1"/>
  <c r="D1186" i="89" s="1"/>
  <c r="C219" i="89"/>
  <c r="C522" i="89" s="1"/>
  <c r="C869" i="89" s="1"/>
  <c r="C1186" i="89" s="1"/>
  <c r="H218" i="89"/>
  <c r="F218" i="89"/>
  <c r="E218" i="89"/>
  <c r="E521" i="89" s="1"/>
  <c r="E868" i="89" s="1"/>
  <c r="E1185" i="89" s="1"/>
  <c r="C218" i="89"/>
  <c r="C521" i="89" s="1"/>
  <c r="C868" i="89" s="1"/>
  <c r="C1185" i="89" s="1"/>
  <c r="H217" i="89"/>
  <c r="F217" i="89"/>
  <c r="E217" i="89"/>
  <c r="E520" i="89" s="1"/>
  <c r="E867" i="89" s="1"/>
  <c r="E1184" i="89" s="1"/>
  <c r="C217" i="89"/>
  <c r="C520" i="89" s="1"/>
  <c r="C867" i="89" s="1"/>
  <c r="C1184" i="89" s="1"/>
  <c r="H216" i="89"/>
  <c r="F216" i="89"/>
  <c r="E216" i="89"/>
  <c r="E519" i="89" s="1"/>
  <c r="E866" i="89" s="1"/>
  <c r="E1183" i="89" s="1"/>
  <c r="C216" i="89"/>
  <c r="C519" i="89" s="1"/>
  <c r="C866" i="89" s="1"/>
  <c r="C1183" i="89" s="1"/>
  <c r="H215" i="89"/>
  <c r="F215" i="89"/>
  <c r="E215" i="89"/>
  <c r="E518" i="89" s="1"/>
  <c r="E865" i="89" s="1"/>
  <c r="E1182" i="89" s="1"/>
  <c r="C215" i="89"/>
  <c r="C518" i="89" s="1"/>
  <c r="C865" i="89" s="1"/>
  <c r="C1182" i="89" s="1"/>
  <c r="H214" i="89"/>
  <c r="F214" i="89"/>
  <c r="E214" i="89"/>
  <c r="E517" i="89" s="1"/>
  <c r="E864" i="89" s="1"/>
  <c r="E1181" i="89" s="1"/>
  <c r="C214" i="89"/>
  <c r="C517" i="89" s="1"/>
  <c r="C864" i="89" s="1"/>
  <c r="C1181" i="89" s="1"/>
  <c r="H213" i="89"/>
  <c r="F213" i="89"/>
  <c r="E213" i="89"/>
  <c r="E516" i="89" s="1"/>
  <c r="E863" i="89" s="1"/>
  <c r="E1180" i="89" s="1"/>
  <c r="C213" i="89"/>
  <c r="C516" i="89" s="1"/>
  <c r="C863" i="89" s="1"/>
  <c r="C1180" i="89" s="1"/>
  <c r="H212" i="89"/>
  <c r="F212" i="89"/>
  <c r="E212" i="89"/>
  <c r="E515" i="89" s="1"/>
  <c r="E862" i="89" s="1"/>
  <c r="E1179" i="89" s="1"/>
  <c r="C212" i="89"/>
  <c r="C515" i="89" s="1"/>
  <c r="C862" i="89" s="1"/>
  <c r="C1179" i="89" s="1"/>
  <c r="H211" i="89"/>
  <c r="F211" i="89"/>
  <c r="E211" i="89"/>
  <c r="E514" i="89" s="1"/>
  <c r="E861" i="89" s="1"/>
  <c r="E1178" i="89" s="1"/>
  <c r="D514" i="89"/>
  <c r="D861" i="89" s="1"/>
  <c r="D1178" i="89" s="1"/>
  <c r="C211" i="89"/>
  <c r="C514" i="89" s="1"/>
  <c r="C861" i="89" s="1"/>
  <c r="C1178" i="89" s="1"/>
  <c r="H210" i="89"/>
  <c r="F210" i="89"/>
  <c r="E210" i="89"/>
  <c r="E513" i="89" s="1"/>
  <c r="E860" i="89" s="1"/>
  <c r="E1177" i="89" s="1"/>
  <c r="C210" i="89"/>
  <c r="C513" i="89" s="1"/>
  <c r="C860" i="89" s="1"/>
  <c r="C1177" i="89" s="1"/>
  <c r="H209" i="89"/>
  <c r="F209" i="89"/>
  <c r="E209" i="89"/>
  <c r="E512" i="89" s="1"/>
  <c r="E859" i="89" s="1"/>
  <c r="E1176" i="89" s="1"/>
  <c r="C209" i="89"/>
  <c r="C512" i="89" s="1"/>
  <c r="C859" i="89" s="1"/>
  <c r="C1176" i="89" s="1"/>
  <c r="H208" i="89"/>
  <c r="F208" i="89"/>
  <c r="E208" i="89"/>
  <c r="E511" i="89" s="1"/>
  <c r="E858" i="89" s="1"/>
  <c r="E1175" i="89" s="1"/>
  <c r="C208" i="89"/>
  <c r="C511" i="89" s="1"/>
  <c r="C858" i="89" s="1"/>
  <c r="C1175" i="89" s="1"/>
  <c r="H207" i="89"/>
  <c r="F207" i="89"/>
  <c r="E207" i="89"/>
  <c r="E510" i="89" s="1"/>
  <c r="E857" i="89" s="1"/>
  <c r="E1174" i="89" s="1"/>
  <c r="C207" i="89"/>
  <c r="C510" i="89" s="1"/>
  <c r="C857" i="89" s="1"/>
  <c r="C1174" i="89" s="1"/>
  <c r="H206" i="89"/>
  <c r="F206" i="89"/>
  <c r="E206" i="89"/>
  <c r="E509" i="89" s="1"/>
  <c r="E856" i="89" s="1"/>
  <c r="E1173" i="89" s="1"/>
  <c r="C206" i="89"/>
  <c r="C509" i="89" s="1"/>
  <c r="C856" i="89" s="1"/>
  <c r="C1173" i="89" s="1"/>
  <c r="H205" i="89"/>
  <c r="F205" i="89"/>
  <c r="E205" i="89"/>
  <c r="E508" i="89" s="1"/>
  <c r="E855" i="89" s="1"/>
  <c r="E1172" i="89" s="1"/>
  <c r="C205" i="89"/>
  <c r="C508" i="89" s="1"/>
  <c r="C855" i="89" s="1"/>
  <c r="C1172" i="89" s="1"/>
  <c r="H204" i="89"/>
  <c r="F204" i="89"/>
  <c r="E204" i="89"/>
  <c r="E507" i="89" s="1"/>
  <c r="E854" i="89" s="1"/>
  <c r="E1171" i="89" s="1"/>
  <c r="C204" i="89"/>
  <c r="C507" i="89" s="1"/>
  <c r="C854" i="89" s="1"/>
  <c r="C1171" i="89" s="1"/>
  <c r="H203" i="89"/>
  <c r="F203" i="89"/>
  <c r="E203" i="89"/>
  <c r="E506" i="89" s="1"/>
  <c r="E853" i="89" s="1"/>
  <c r="E1170" i="89" s="1"/>
  <c r="D506" i="89"/>
  <c r="D853" i="89" s="1"/>
  <c r="D1170" i="89" s="1"/>
  <c r="C203" i="89"/>
  <c r="C506" i="89" s="1"/>
  <c r="C853" i="89" s="1"/>
  <c r="C1170" i="89" s="1"/>
  <c r="H202" i="89"/>
  <c r="F202" i="89"/>
  <c r="E202" i="89"/>
  <c r="E505" i="89" s="1"/>
  <c r="E852" i="89" s="1"/>
  <c r="E1169" i="89" s="1"/>
  <c r="C202" i="89"/>
  <c r="C505" i="89" s="1"/>
  <c r="C852" i="89" s="1"/>
  <c r="C1169" i="89" s="1"/>
  <c r="H201" i="89"/>
  <c r="F201" i="89"/>
  <c r="E201" i="89"/>
  <c r="E504" i="89" s="1"/>
  <c r="E851" i="89" s="1"/>
  <c r="E1168" i="89" s="1"/>
  <c r="C201" i="89"/>
  <c r="C504" i="89" s="1"/>
  <c r="C851" i="89" s="1"/>
  <c r="C1168" i="89" s="1"/>
  <c r="H200" i="89"/>
  <c r="F200" i="89"/>
  <c r="E200" i="89"/>
  <c r="E503" i="89" s="1"/>
  <c r="E850" i="89" s="1"/>
  <c r="E1167" i="89" s="1"/>
  <c r="C200" i="89"/>
  <c r="C503" i="89" s="1"/>
  <c r="C850" i="89" s="1"/>
  <c r="C1167" i="89" s="1"/>
  <c r="H199" i="89"/>
  <c r="F199" i="89"/>
  <c r="E199" i="89"/>
  <c r="E502" i="89" s="1"/>
  <c r="E849" i="89" s="1"/>
  <c r="E1166" i="89" s="1"/>
  <c r="D502" i="89"/>
  <c r="D849" i="89" s="1"/>
  <c r="D1166" i="89" s="1"/>
  <c r="C199" i="89"/>
  <c r="C502" i="89" s="1"/>
  <c r="C849" i="89" s="1"/>
  <c r="C1166" i="89" s="1"/>
  <c r="H198" i="89"/>
  <c r="F198" i="89"/>
  <c r="E198" i="89"/>
  <c r="E501" i="89" s="1"/>
  <c r="E848" i="89" s="1"/>
  <c r="E1165" i="89" s="1"/>
  <c r="D501" i="89"/>
  <c r="D848" i="89" s="1"/>
  <c r="D1165" i="89" s="1"/>
  <c r="C198" i="89"/>
  <c r="C501" i="89" s="1"/>
  <c r="C848" i="89" s="1"/>
  <c r="C1165" i="89" s="1"/>
  <c r="H197" i="89"/>
  <c r="F197" i="89"/>
  <c r="E197" i="89"/>
  <c r="E500" i="89" s="1"/>
  <c r="E847" i="89" s="1"/>
  <c r="E1164" i="89" s="1"/>
  <c r="C197" i="89"/>
  <c r="C500" i="89" s="1"/>
  <c r="C847" i="89" s="1"/>
  <c r="C1164" i="89" s="1"/>
  <c r="H196" i="89"/>
  <c r="F196" i="89"/>
  <c r="E196" i="89"/>
  <c r="E499" i="89" s="1"/>
  <c r="E846" i="89" s="1"/>
  <c r="E1163" i="89" s="1"/>
  <c r="D499" i="89"/>
  <c r="D846" i="89" s="1"/>
  <c r="D1163" i="89" s="1"/>
  <c r="C196" i="89"/>
  <c r="C499" i="89" s="1"/>
  <c r="C846" i="89" s="1"/>
  <c r="C1163" i="89" s="1"/>
  <c r="H195" i="89"/>
  <c r="F195" i="89"/>
  <c r="E195" i="89"/>
  <c r="E498" i="89" s="1"/>
  <c r="E845" i="89" s="1"/>
  <c r="E1162" i="89" s="1"/>
  <c r="D498" i="89"/>
  <c r="D845" i="89" s="1"/>
  <c r="D1162" i="89" s="1"/>
  <c r="C195" i="89"/>
  <c r="C498" i="89" s="1"/>
  <c r="C845" i="89" s="1"/>
  <c r="C1162" i="89" s="1"/>
  <c r="H194" i="89"/>
  <c r="F194" i="89"/>
  <c r="E194" i="89"/>
  <c r="E497" i="89" s="1"/>
  <c r="E844" i="89" s="1"/>
  <c r="E1161" i="89" s="1"/>
  <c r="C194" i="89"/>
  <c r="C497" i="89" s="1"/>
  <c r="C844" i="89" s="1"/>
  <c r="C1161" i="89" s="1"/>
  <c r="H193" i="89"/>
  <c r="F193" i="89"/>
  <c r="E193" i="89"/>
  <c r="E496" i="89" s="1"/>
  <c r="E843" i="89" s="1"/>
  <c r="E1160" i="89" s="1"/>
  <c r="C193" i="89"/>
  <c r="C496" i="89" s="1"/>
  <c r="C843" i="89" s="1"/>
  <c r="C1160" i="89" s="1"/>
  <c r="H192" i="89"/>
  <c r="F192" i="89"/>
  <c r="E192" i="89"/>
  <c r="E495" i="89" s="1"/>
  <c r="E842" i="89" s="1"/>
  <c r="E1159" i="89" s="1"/>
  <c r="C192" i="89"/>
  <c r="C495" i="89" s="1"/>
  <c r="C842" i="89" s="1"/>
  <c r="C1159" i="89" s="1"/>
  <c r="H191" i="89"/>
  <c r="F191" i="89"/>
  <c r="E191" i="89"/>
  <c r="E494" i="89" s="1"/>
  <c r="E841" i="89" s="1"/>
  <c r="E1158" i="89" s="1"/>
  <c r="C191" i="89"/>
  <c r="C494" i="89" s="1"/>
  <c r="C841" i="89" s="1"/>
  <c r="C1158" i="89" s="1"/>
  <c r="H190" i="89"/>
  <c r="F190" i="89"/>
  <c r="E190" i="89"/>
  <c r="E493" i="89" s="1"/>
  <c r="E840" i="89" s="1"/>
  <c r="E1157" i="89" s="1"/>
  <c r="C190" i="89"/>
  <c r="C493" i="89" s="1"/>
  <c r="C840" i="89" s="1"/>
  <c r="C1157" i="89" s="1"/>
  <c r="H189" i="89"/>
  <c r="F189" i="89"/>
  <c r="E189" i="89"/>
  <c r="E492" i="89" s="1"/>
  <c r="E839" i="89" s="1"/>
  <c r="E1156" i="89" s="1"/>
  <c r="C189" i="89"/>
  <c r="C492" i="89" s="1"/>
  <c r="C839" i="89" s="1"/>
  <c r="C1156" i="89" s="1"/>
  <c r="H188" i="89"/>
  <c r="F188" i="89"/>
  <c r="E188" i="89"/>
  <c r="E491" i="89" s="1"/>
  <c r="E838" i="89" s="1"/>
  <c r="E1155" i="89" s="1"/>
  <c r="C188" i="89"/>
  <c r="C491" i="89" s="1"/>
  <c r="C838" i="89" s="1"/>
  <c r="C1155" i="89" s="1"/>
  <c r="H187" i="89"/>
  <c r="F187" i="89"/>
  <c r="E187" i="89"/>
  <c r="E490" i="89" s="1"/>
  <c r="E837" i="89" s="1"/>
  <c r="E1154" i="89" s="1"/>
  <c r="D490" i="89"/>
  <c r="D837" i="89" s="1"/>
  <c r="D1154" i="89" s="1"/>
  <c r="C187" i="89"/>
  <c r="C490" i="89" s="1"/>
  <c r="C837" i="89" s="1"/>
  <c r="C1154" i="89" s="1"/>
  <c r="H186" i="89"/>
  <c r="F186" i="89"/>
  <c r="E186" i="89"/>
  <c r="E489" i="89" s="1"/>
  <c r="E836" i="89" s="1"/>
  <c r="E1153" i="89" s="1"/>
  <c r="C186" i="89"/>
  <c r="C489" i="89" s="1"/>
  <c r="C836" i="89" s="1"/>
  <c r="C1153" i="89" s="1"/>
  <c r="H185" i="89"/>
  <c r="F185" i="89"/>
  <c r="E185" i="89"/>
  <c r="E488" i="89" s="1"/>
  <c r="E835" i="89" s="1"/>
  <c r="E1152" i="89" s="1"/>
  <c r="C185" i="89"/>
  <c r="C488" i="89" s="1"/>
  <c r="C835" i="89" s="1"/>
  <c r="C1152" i="89" s="1"/>
  <c r="H184" i="89"/>
  <c r="F184" i="89"/>
  <c r="E184" i="89"/>
  <c r="E487" i="89" s="1"/>
  <c r="E834" i="89" s="1"/>
  <c r="E1151" i="89" s="1"/>
  <c r="C184" i="89"/>
  <c r="C487" i="89" s="1"/>
  <c r="C834" i="89" s="1"/>
  <c r="C1151" i="89" s="1"/>
  <c r="H183" i="89"/>
  <c r="F183" i="89"/>
  <c r="E183" i="89"/>
  <c r="E486" i="89" s="1"/>
  <c r="E833" i="89" s="1"/>
  <c r="E1150" i="89" s="1"/>
  <c r="C183" i="89"/>
  <c r="C486" i="89" s="1"/>
  <c r="C833" i="89" s="1"/>
  <c r="C1150" i="89" s="1"/>
  <c r="H182" i="89"/>
  <c r="F182" i="89"/>
  <c r="E182" i="89"/>
  <c r="E485" i="89" s="1"/>
  <c r="E832" i="89" s="1"/>
  <c r="E1149" i="89" s="1"/>
  <c r="C182" i="89"/>
  <c r="C485" i="89" s="1"/>
  <c r="C832" i="89" s="1"/>
  <c r="C1149" i="89" s="1"/>
  <c r="H181" i="89"/>
  <c r="F181" i="89"/>
  <c r="E181" i="89"/>
  <c r="E484" i="89" s="1"/>
  <c r="E831" i="89" s="1"/>
  <c r="E1148" i="89" s="1"/>
  <c r="C181" i="89"/>
  <c r="C484" i="89" s="1"/>
  <c r="C831" i="89" s="1"/>
  <c r="C1148" i="89" s="1"/>
  <c r="H180" i="89"/>
  <c r="F180" i="89"/>
  <c r="E180" i="89"/>
  <c r="E483" i="89" s="1"/>
  <c r="E830" i="89" s="1"/>
  <c r="E1147" i="89" s="1"/>
  <c r="C180" i="89"/>
  <c r="C483" i="89" s="1"/>
  <c r="C830" i="89" s="1"/>
  <c r="C1147" i="89" s="1"/>
  <c r="H179" i="89"/>
  <c r="F179" i="89"/>
  <c r="E179" i="89"/>
  <c r="E482" i="89" s="1"/>
  <c r="E829" i="89" s="1"/>
  <c r="E1146" i="89" s="1"/>
  <c r="D482" i="89"/>
  <c r="D829" i="89" s="1"/>
  <c r="D1146" i="89" s="1"/>
  <c r="C179" i="89"/>
  <c r="C482" i="89" s="1"/>
  <c r="C829" i="89" s="1"/>
  <c r="C1146" i="89" s="1"/>
  <c r="H178" i="89"/>
  <c r="F178" i="89"/>
  <c r="E178" i="89"/>
  <c r="E481" i="89" s="1"/>
  <c r="E828" i="89" s="1"/>
  <c r="E1145" i="89" s="1"/>
  <c r="C178" i="89"/>
  <c r="C481" i="89" s="1"/>
  <c r="C828" i="89" s="1"/>
  <c r="C1145" i="89" s="1"/>
  <c r="H177" i="89"/>
  <c r="F177" i="89"/>
  <c r="E177" i="89"/>
  <c r="E480" i="89" s="1"/>
  <c r="E827" i="89" s="1"/>
  <c r="E1144" i="89" s="1"/>
  <c r="C177" i="89"/>
  <c r="C480" i="89" s="1"/>
  <c r="C827" i="89" s="1"/>
  <c r="C1144" i="89" s="1"/>
  <c r="H176" i="89"/>
  <c r="F176" i="89"/>
  <c r="E176" i="89"/>
  <c r="E479" i="89" s="1"/>
  <c r="E826" i="89" s="1"/>
  <c r="E1143" i="89" s="1"/>
  <c r="C176" i="89"/>
  <c r="C479" i="89" s="1"/>
  <c r="C826" i="89" s="1"/>
  <c r="C1143" i="89" s="1"/>
  <c r="H175" i="89"/>
  <c r="F175" i="89"/>
  <c r="E175" i="89"/>
  <c r="E478" i="89" s="1"/>
  <c r="E825" i="89" s="1"/>
  <c r="E1142" i="89" s="1"/>
  <c r="D478" i="89"/>
  <c r="D825" i="89" s="1"/>
  <c r="D1142" i="89" s="1"/>
  <c r="C175" i="89"/>
  <c r="C478" i="89" s="1"/>
  <c r="C825" i="89" s="1"/>
  <c r="C1142" i="89" s="1"/>
  <c r="H174" i="89"/>
  <c r="F174" i="89"/>
  <c r="E174" i="89"/>
  <c r="E477" i="89" s="1"/>
  <c r="E824" i="89" s="1"/>
  <c r="E1141" i="89" s="1"/>
  <c r="C174" i="89"/>
  <c r="C477" i="89" s="1"/>
  <c r="C824" i="89" s="1"/>
  <c r="C1141" i="89" s="1"/>
  <c r="H173" i="89"/>
  <c r="F173" i="89"/>
  <c r="E173" i="89"/>
  <c r="E476" i="89" s="1"/>
  <c r="E823" i="89" s="1"/>
  <c r="E1140" i="89" s="1"/>
  <c r="C173" i="89"/>
  <c r="C476" i="89" s="1"/>
  <c r="C823" i="89" s="1"/>
  <c r="C1140" i="89" s="1"/>
  <c r="H172" i="89"/>
  <c r="F172" i="89"/>
  <c r="E172" i="89"/>
  <c r="E475" i="89" s="1"/>
  <c r="E822" i="89" s="1"/>
  <c r="E1139" i="89" s="1"/>
  <c r="C172" i="89"/>
  <c r="C475" i="89" s="1"/>
  <c r="C822" i="89" s="1"/>
  <c r="C1139" i="89" s="1"/>
  <c r="H171" i="89"/>
  <c r="F171" i="89"/>
  <c r="E171" i="89"/>
  <c r="E474" i="89" s="1"/>
  <c r="E821" i="89" s="1"/>
  <c r="E1138" i="89" s="1"/>
  <c r="D474" i="89"/>
  <c r="D821" i="89" s="1"/>
  <c r="D1138" i="89" s="1"/>
  <c r="C171" i="89"/>
  <c r="C474" i="89" s="1"/>
  <c r="C821" i="89" s="1"/>
  <c r="C1138" i="89" s="1"/>
  <c r="H170" i="89"/>
  <c r="F170" i="89"/>
  <c r="E170" i="89"/>
  <c r="E473" i="89" s="1"/>
  <c r="E820" i="89" s="1"/>
  <c r="E1137" i="89" s="1"/>
  <c r="C170" i="89"/>
  <c r="C473" i="89" s="1"/>
  <c r="C820" i="89" s="1"/>
  <c r="C1137" i="89" s="1"/>
  <c r="H169" i="89"/>
  <c r="F169" i="89"/>
  <c r="E169" i="89"/>
  <c r="E472" i="89" s="1"/>
  <c r="E819" i="89" s="1"/>
  <c r="E1136" i="89" s="1"/>
  <c r="C169" i="89"/>
  <c r="C472" i="89" s="1"/>
  <c r="C819" i="89" s="1"/>
  <c r="C1136" i="89" s="1"/>
  <c r="H168" i="89"/>
  <c r="F168" i="89"/>
  <c r="E168" i="89"/>
  <c r="E471" i="89" s="1"/>
  <c r="E818" i="89" s="1"/>
  <c r="E1135" i="89" s="1"/>
  <c r="C168" i="89"/>
  <c r="C471" i="89" s="1"/>
  <c r="C818" i="89" s="1"/>
  <c r="C1135" i="89" s="1"/>
  <c r="H167" i="89"/>
  <c r="F167" i="89"/>
  <c r="E167" i="89"/>
  <c r="E470" i="89" s="1"/>
  <c r="E817" i="89" s="1"/>
  <c r="E1134" i="89" s="1"/>
  <c r="C167" i="89"/>
  <c r="C470" i="89" s="1"/>
  <c r="C817" i="89" s="1"/>
  <c r="C1134" i="89" s="1"/>
  <c r="H166" i="89"/>
  <c r="F166" i="89"/>
  <c r="E166" i="89"/>
  <c r="E469" i="89" s="1"/>
  <c r="E816" i="89" s="1"/>
  <c r="E1133" i="89" s="1"/>
  <c r="C166" i="89"/>
  <c r="C469" i="89" s="1"/>
  <c r="C816" i="89" s="1"/>
  <c r="C1133" i="89" s="1"/>
  <c r="H165" i="89"/>
  <c r="F165" i="89"/>
  <c r="E165" i="89"/>
  <c r="E468" i="89" s="1"/>
  <c r="E815" i="89" s="1"/>
  <c r="E1132" i="89" s="1"/>
  <c r="C165" i="89"/>
  <c r="C468" i="89" s="1"/>
  <c r="C815" i="89" s="1"/>
  <c r="C1132" i="89" s="1"/>
  <c r="H164" i="89"/>
  <c r="F164" i="89"/>
  <c r="E164" i="89"/>
  <c r="E467" i="89" s="1"/>
  <c r="E814" i="89" s="1"/>
  <c r="E1131" i="89" s="1"/>
  <c r="C164" i="89"/>
  <c r="C467" i="89" s="1"/>
  <c r="C814" i="89" s="1"/>
  <c r="C1131" i="89" s="1"/>
  <c r="H163" i="89"/>
  <c r="F163" i="89"/>
  <c r="E163" i="89"/>
  <c r="E466" i="89" s="1"/>
  <c r="E813" i="89" s="1"/>
  <c r="E1130" i="89" s="1"/>
  <c r="D466" i="89"/>
  <c r="D813" i="89" s="1"/>
  <c r="D1130" i="89" s="1"/>
  <c r="C163" i="89"/>
  <c r="C466" i="89" s="1"/>
  <c r="C813" i="89" s="1"/>
  <c r="C1130" i="89" s="1"/>
  <c r="H162" i="89"/>
  <c r="F162" i="89"/>
  <c r="E162" i="89"/>
  <c r="E465" i="89" s="1"/>
  <c r="E812" i="89" s="1"/>
  <c r="E1129" i="89" s="1"/>
  <c r="C162" i="89"/>
  <c r="C465" i="89" s="1"/>
  <c r="C812" i="89" s="1"/>
  <c r="C1129" i="89" s="1"/>
  <c r="H161" i="89"/>
  <c r="F161" i="89"/>
  <c r="E161" i="89"/>
  <c r="E464" i="89" s="1"/>
  <c r="E811" i="89" s="1"/>
  <c r="E1128" i="89" s="1"/>
  <c r="C161" i="89"/>
  <c r="C464" i="89" s="1"/>
  <c r="C811" i="89" s="1"/>
  <c r="C1128" i="89" s="1"/>
  <c r="H160" i="89"/>
  <c r="F160" i="89"/>
  <c r="E160" i="89"/>
  <c r="E463" i="89" s="1"/>
  <c r="E810" i="89" s="1"/>
  <c r="E1127" i="89" s="1"/>
  <c r="C160" i="89"/>
  <c r="C463" i="89" s="1"/>
  <c r="C810" i="89" s="1"/>
  <c r="C1127" i="89" s="1"/>
  <c r="H159" i="89"/>
  <c r="F159" i="89"/>
  <c r="E159" i="89"/>
  <c r="E462" i="89" s="1"/>
  <c r="E809" i="89" s="1"/>
  <c r="E1126" i="89" s="1"/>
  <c r="D462" i="89"/>
  <c r="D809" i="89" s="1"/>
  <c r="D1126" i="89" s="1"/>
  <c r="C159" i="89"/>
  <c r="C462" i="89" s="1"/>
  <c r="C809" i="89" s="1"/>
  <c r="C1126" i="89" s="1"/>
  <c r="H158" i="89"/>
  <c r="F158" i="89"/>
  <c r="E158" i="89"/>
  <c r="E461" i="89" s="1"/>
  <c r="E808" i="89" s="1"/>
  <c r="E1125" i="89" s="1"/>
  <c r="C158" i="89"/>
  <c r="C461" i="89" s="1"/>
  <c r="C808" i="89" s="1"/>
  <c r="C1125" i="89" s="1"/>
  <c r="H157" i="89"/>
  <c r="F157" i="89"/>
  <c r="E157" i="89"/>
  <c r="E460" i="89" s="1"/>
  <c r="E807" i="89" s="1"/>
  <c r="E1124" i="89" s="1"/>
  <c r="C157" i="89"/>
  <c r="C460" i="89" s="1"/>
  <c r="C807" i="89" s="1"/>
  <c r="C1124" i="89" s="1"/>
  <c r="H156" i="89"/>
  <c r="F156" i="89"/>
  <c r="E156" i="89"/>
  <c r="E459" i="89" s="1"/>
  <c r="E806" i="89" s="1"/>
  <c r="E1123" i="89" s="1"/>
  <c r="C156" i="89"/>
  <c r="C459" i="89" s="1"/>
  <c r="C806" i="89" s="1"/>
  <c r="C1123" i="89" s="1"/>
  <c r="H155" i="89"/>
  <c r="F155" i="89"/>
  <c r="E155" i="89"/>
  <c r="E458" i="89" s="1"/>
  <c r="E805" i="89" s="1"/>
  <c r="E1122" i="89" s="1"/>
  <c r="D458" i="89"/>
  <c r="D805" i="89" s="1"/>
  <c r="D1122" i="89" s="1"/>
  <c r="C155" i="89"/>
  <c r="C458" i="89" s="1"/>
  <c r="C805" i="89" s="1"/>
  <c r="C1122" i="89" s="1"/>
  <c r="H154" i="89"/>
  <c r="F154" i="89"/>
  <c r="E154" i="89"/>
  <c r="E457" i="89" s="1"/>
  <c r="E804" i="89" s="1"/>
  <c r="E1121" i="89" s="1"/>
  <c r="C154" i="89"/>
  <c r="C457" i="89" s="1"/>
  <c r="C804" i="89" s="1"/>
  <c r="C1121" i="89" s="1"/>
  <c r="H153" i="89"/>
  <c r="F153" i="89"/>
  <c r="E153" i="89"/>
  <c r="E456" i="89" s="1"/>
  <c r="E803" i="89" s="1"/>
  <c r="E1120" i="89" s="1"/>
  <c r="C153" i="89"/>
  <c r="C456" i="89" s="1"/>
  <c r="C803" i="89" s="1"/>
  <c r="C1120" i="89" s="1"/>
  <c r="H152" i="89"/>
  <c r="F152" i="89"/>
  <c r="E152" i="89"/>
  <c r="E455" i="89" s="1"/>
  <c r="E802" i="89" s="1"/>
  <c r="E1119" i="89" s="1"/>
  <c r="C152" i="89"/>
  <c r="C455" i="89" s="1"/>
  <c r="C802" i="89" s="1"/>
  <c r="C1119" i="89" s="1"/>
  <c r="H151" i="89"/>
  <c r="F151" i="89"/>
  <c r="E151" i="89"/>
  <c r="E454" i="89" s="1"/>
  <c r="E801" i="89" s="1"/>
  <c r="E1118" i="89" s="1"/>
  <c r="D454" i="89"/>
  <c r="D801" i="89" s="1"/>
  <c r="D1118" i="89" s="1"/>
  <c r="C151" i="89"/>
  <c r="C454" i="89" s="1"/>
  <c r="C801" i="89" s="1"/>
  <c r="C1118" i="89" s="1"/>
  <c r="H150" i="89"/>
  <c r="F150" i="89"/>
  <c r="E150" i="89"/>
  <c r="E453" i="89" s="1"/>
  <c r="E800" i="89" s="1"/>
  <c r="E1117" i="89" s="1"/>
  <c r="C150" i="89"/>
  <c r="C453" i="89" s="1"/>
  <c r="C800" i="89" s="1"/>
  <c r="C1117" i="89" s="1"/>
  <c r="H149" i="89"/>
  <c r="F149" i="89"/>
  <c r="E149" i="89"/>
  <c r="E452" i="89" s="1"/>
  <c r="E799" i="89" s="1"/>
  <c r="E1116" i="89" s="1"/>
  <c r="C149" i="89"/>
  <c r="C452" i="89" s="1"/>
  <c r="C799" i="89" s="1"/>
  <c r="C1116" i="89" s="1"/>
  <c r="H148" i="89"/>
  <c r="F148" i="89"/>
  <c r="E148" i="89"/>
  <c r="E451" i="89" s="1"/>
  <c r="E798" i="89" s="1"/>
  <c r="E1115" i="89" s="1"/>
  <c r="C148" i="89"/>
  <c r="C451" i="89" s="1"/>
  <c r="C798" i="89" s="1"/>
  <c r="C1115" i="89" s="1"/>
  <c r="H147" i="89"/>
  <c r="F147" i="89"/>
  <c r="E147" i="89"/>
  <c r="E450" i="89" s="1"/>
  <c r="E797" i="89" s="1"/>
  <c r="E1114" i="89" s="1"/>
  <c r="D450" i="89"/>
  <c r="D797" i="89" s="1"/>
  <c r="D1114" i="89" s="1"/>
  <c r="C147" i="89"/>
  <c r="C450" i="89" s="1"/>
  <c r="C797" i="89" s="1"/>
  <c r="C1114" i="89" s="1"/>
  <c r="H146" i="89"/>
  <c r="F146" i="89"/>
  <c r="E146" i="89"/>
  <c r="E449" i="89" s="1"/>
  <c r="E796" i="89" s="1"/>
  <c r="E1113" i="89" s="1"/>
  <c r="C146" i="89"/>
  <c r="C449" i="89" s="1"/>
  <c r="C796" i="89" s="1"/>
  <c r="C1113" i="89" s="1"/>
  <c r="H145" i="89"/>
  <c r="F145" i="89"/>
  <c r="E145" i="89"/>
  <c r="E448" i="89" s="1"/>
  <c r="E795" i="89" s="1"/>
  <c r="E1112" i="89" s="1"/>
  <c r="C145" i="89"/>
  <c r="C448" i="89" s="1"/>
  <c r="C795" i="89" s="1"/>
  <c r="C1112" i="89" s="1"/>
  <c r="H144" i="89"/>
  <c r="F144" i="89"/>
  <c r="E144" i="89"/>
  <c r="E447" i="89" s="1"/>
  <c r="E794" i="89" s="1"/>
  <c r="E1111" i="89" s="1"/>
  <c r="C144" i="89"/>
  <c r="C447" i="89" s="1"/>
  <c r="C794" i="89" s="1"/>
  <c r="C1111" i="89" s="1"/>
  <c r="H143" i="89"/>
  <c r="F143" i="89"/>
  <c r="E143" i="89"/>
  <c r="E446" i="89" s="1"/>
  <c r="E793" i="89" s="1"/>
  <c r="E1110" i="89" s="1"/>
  <c r="D446" i="89"/>
  <c r="D793" i="89" s="1"/>
  <c r="D1110" i="89" s="1"/>
  <c r="C143" i="89"/>
  <c r="C446" i="89" s="1"/>
  <c r="C793" i="89" s="1"/>
  <c r="C1110" i="89" s="1"/>
  <c r="H142" i="89"/>
  <c r="F142" i="89"/>
  <c r="E142" i="89"/>
  <c r="E445" i="89" s="1"/>
  <c r="E792" i="89" s="1"/>
  <c r="E1109" i="89" s="1"/>
  <c r="C142" i="89"/>
  <c r="C445" i="89" s="1"/>
  <c r="C792" i="89" s="1"/>
  <c r="C1109" i="89" s="1"/>
  <c r="H141" i="89"/>
  <c r="F141" i="89"/>
  <c r="E141" i="89"/>
  <c r="E444" i="89" s="1"/>
  <c r="E791" i="89" s="1"/>
  <c r="E1108" i="89" s="1"/>
  <c r="C141" i="89"/>
  <c r="C444" i="89" s="1"/>
  <c r="C791" i="89" s="1"/>
  <c r="C1108" i="89" s="1"/>
  <c r="H140" i="89"/>
  <c r="F140" i="89"/>
  <c r="E140" i="89"/>
  <c r="E443" i="89" s="1"/>
  <c r="E790" i="89" s="1"/>
  <c r="E1107" i="89" s="1"/>
  <c r="C140" i="89"/>
  <c r="C443" i="89" s="1"/>
  <c r="C790" i="89" s="1"/>
  <c r="C1107" i="89" s="1"/>
  <c r="H139" i="89"/>
  <c r="F139" i="89"/>
  <c r="E139" i="89"/>
  <c r="E442" i="89" s="1"/>
  <c r="E789" i="89" s="1"/>
  <c r="E1106" i="89" s="1"/>
  <c r="D442" i="89"/>
  <c r="D789" i="89" s="1"/>
  <c r="D1106" i="89" s="1"/>
  <c r="C139" i="89"/>
  <c r="C442" i="89" s="1"/>
  <c r="C789" i="89" s="1"/>
  <c r="C1106" i="89" s="1"/>
  <c r="H138" i="89"/>
  <c r="F138" i="89"/>
  <c r="E138" i="89"/>
  <c r="E441" i="89" s="1"/>
  <c r="E788" i="89" s="1"/>
  <c r="E1105" i="89" s="1"/>
  <c r="C138" i="89"/>
  <c r="C441" i="89" s="1"/>
  <c r="C788" i="89" s="1"/>
  <c r="C1105" i="89" s="1"/>
  <c r="H137" i="89"/>
  <c r="F137" i="89"/>
  <c r="E137" i="89"/>
  <c r="E440" i="89" s="1"/>
  <c r="E787" i="89" s="1"/>
  <c r="E1104" i="89" s="1"/>
  <c r="C137" i="89"/>
  <c r="C440" i="89" s="1"/>
  <c r="C787" i="89" s="1"/>
  <c r="C1104" i="89" s="1"/>
  <c r="H136" i="89"/>
  <c r="F136" i="89"/>
  <c r="E136" i="89"/>
  <c r="E439" i="89" s="1"/>
  <c r="E786" i="89" s="1"/>
  <c r="E1103" i="89" s="1"/>
  <c r="C136" i="89"/>
  <c r="C439" i="89" s="1"/>
  <c r="C786" i="89" s="1"/>
  <c r="C1103" i="89" s="1"/>
  <c r="H135" i="89"/>
  <c r="F135" i="89"/>
  <c r="E135" i="89"/>
  <c r="E438" i="89" s="1"/>
  <c r="E785" i="89" s="1"/>
  <c r="E1102" i="89" s="1"/>
  <c r="D438" i="89"/>
  <c r="D785" i="89" s="1"/>
  <c r="D1102" i="89" s="1"/>
  <c r="C135" i="89"/>
  <c r="C438" i="89" s="1"/>
  <c r="C785" i="89" s="1"/>
  <c r="C1102" i="89" s="1"/>
  <c r="H134" i="89"/>
  <c r="F134" i="89"/>
  <c r="E134" i="89"/>
  <c r="E437" i="89" s="1"/>
  <c r="E784" i="89" s="1"/>
  <c r="E1101" i="89" s="1"/>
  <c r="D437" i="89"/>
  <c r="D784" i="89" s="1"/>
  <c r="D1101" i="89" s="1"/>
  <c r="C134" i="89"/>
  <c r="C437" i="89" s="1"/>
  <c r="C784" i="89" s="1"/>
  <c r="C1101" i="89" s="1"/>
  <c r="H133" i="89"/>
  <c r="F133" i="89"/>
  <c r="E133" i="89"/>
  <c r="E436" i="89" s="1"/>
  <c r="E783" i="89" s="1"/>
  <c r="E1100" i="89" s="1"/>
  <c r="C133" i="89"/>
  <c r="C436" i="89" s="1"/>
  <c r="C783" i="89" s="1"/>
  <c r="C1100" i="89" s="1"/>
  <c r="H132" i="89"/>
  <c r="F132" i="89"/>
  <c r="E132" i="89"/>
  <c r="E435" i="89" s="1"/>
  <c r="E782" i="89" s="1"/>
  <c r="E1099" i="89" s="1"/>
  <c r="C132" i="89"/>
  <c r="C435" i="89" s="1"/>
  <c r="C782" i="89" s="1"/>
  <c r="C1099" i="89" s="1"/>
  <c r="H131" i="89"/>
  <c r="F131" i="89"/>
  <c r="E131" i="89"/>
  <c r="E434" i="89" s="1"/>
  <c r="E781" i="89" s="1"/>
  <c r="E1098" i="89" s="1"/>
  <c r="D434" i="89"/>
  <c r="D781" i="89" s="1"/>
  <c r="D1098" i="89" s="1"/>
  <c r="C131" i="89"/>
  <c r="C434" i="89" s="1"/>
  <c r="C781" i="89" s="1"/>
  <c r="C1098" i="89" s="1"/>
  <c r="H130" i="89"/>
  <c r="F130" i="89"/>
  <c r="E130" i="89"/>
  <c r="E433" i="89" s="1"/>
  <c r="E780" i="89" s="1"/>
  <c r="E1097" i="89" s="1"/>
  <c r="C130" i="89"/>
  <c r="C433" i="89" s="1"/>
  <c r="C780" i="89" s="1"/>
  <c r="C1097" i="89" s="1"/>
  <c r="H129" i="89"/>
  <c r="F129" i="89"/>
  <c r="E129" i="89"/>
  <c r="E432" i="89" s="1"/>
  <c r="E779" i="89" s="1"/>
  <c r="E1096" i="89" s="1"/>
  <c r="C129" i="89"/>
  <c r="C432" i="89" s="1"/>
  <c r="C779" i="89" s="1"/>
  <c r="C1096" i="89" s="1"/>
  <c r="H128" i="89"/>
  <c r="F128" i="89"/>
  <c r="E128" i="89"/>
  <c r="E431" i="89" s="1"/>
  <c r="E778" i="89" s="1"/>
  <c r="E1095" i="89" s="1"/>
  <c r="C128" i="89"/>
  <c r="C431" i="89" s="1"/>
  <c r="C778" i="89" s="1"/>
  <c r="C1095" i="89" s="1"/>
  <c r="H127" i="89"/>
  <c r="F127" i="89"/>
  <c r="E127" i="89"/>
  <c r="E430" i="89" s="1"/>
  <c r="E777" i="89" s="1"/>
  <c r="E1094" i="89" s="1"/>
  <c r="D430" i="89"/>
  <c r="D777" i="89" s="1"/>
  <c r="D1094" i="89" s="1"/>
  <c r="C127" i="89"/>
  <c r="C430" i="89" s="1"/>
  <c r="C777" i="89" s="1"/>
  <c r="C1094" i="89" s="1"/>
  <c r="H126" i="89"/>
  <c r="F126" i="89"/>
  <c r="E126" i="89"/>
  <c r="E429" i="89" s="1"/>
  <c r="E776" i="89" s="1"/>
  <c r="E1093" i="89" s="1"/>
  <c r="C126" i="89"/>
  <c r="C429" i="89" s="1"/>
  <c r="C776" i="89" s="1"/>
  <c r="C1093" i="89" s="1"/>
  <c r="H125" i="89"/>
  <c r="F125" i="89"/>
  <c r="E125" i="89"/>
  <c r="E428" i="89" s="1"/>
  <c r="E775" i="89" s="1"/>
  <c r="E1092" i="89" s="1"/>
  <c r="C125" i="89"/>
  <c r="C428" i="89" s="1"/>
  <c r="C775" i="89" s="1"/>
  <c r="C1092" i="89" s="1"/>
  <c r="H124" i="89"/>
  <c r="F124" i="89"/>
  <c r="E124" i="89"/>
  <c r="E427" i="89" s="1"/>
  <c r="E774" i="89" s="1"/>
  <c r="E1091" i="89" s="1"/>
  <c r="C124" i="89"/>
  <c r="C427" i="89" s="1"/>
  <c r="C774" i="89" s="1"/>
  <c r="C1091" i="89" s="1"/>
  <c r="H123" i="89"/>
  <c r="F123" i="89"/>
  <c r="E123" i="89"/>
  <c r="E426" i="89" s="1"/>
  <c r="E773" i="89" s="1"/>
  <c r="E1090" i="89" s="1"/>
  <c r="D426" i="89"/>
  <c r="D773" i="89" s="1"/>
  <c r="D1090" i="89" s="1"/>
  <c r="C123" i="89"/>
  <c r="C426" i="89" s="1"/>
  <c r="C773" i="89" s="1"/>
  <c r="C1090" i="89" s="1"/>
  <c r="H122" i="89"/>
  <c r="F122" i="89"/>
  <c r="E122" i="89"/>
  <c r="E425" i="89" s="1"/>
  <c r="E772" i="89" s="1"/>
  <c r="E1089" i="89" s="1"/>
  <c r="C122" i="89"/>
  <c r="C425" i="89" s="1"/>
  <c r="C772" i="89" s="1"/>
  <c r="C1089" i="89" s="1"/>
  <c r="H121" i="89"/>
  <c r="F121" i="89"/>
  <c r="E121" i="89"/>
  <c r="E424" i="89" s="1"/>
  <c r="E771" i="89" s="1"/>
  <c r="E1088" i="89" s="1"/>
  <c r="C121" i="89"/>
  <c r="C424" i="89" s="1"/>
  <c r="C771" i="89" s="1"/>
  <c r="C1088" i="89" s="1"/>
  <c r="H120" i="89"/>
  <c r="F120" i="89"/>
  <c r="E120" i="89"/>
  <c r="E423" i="89" s="1"/>
  <c r="E770" i="89" s="1"/>
  <c r="E1087" i="89" s="1"/>
  <c r="C120" i="89"/>
  <c r="C423" i="89" s="1"/>
  <c r="C770" i="89" s="1"/>
  <c r="C1087" i="89" s="1"/>
  <c r="H119" i="89"/>
  <c r="F119" i="89"/>
  <c r="E119" i="89"/>
  <c r="E422" i="89" s="1"/>
  <c r="E769" i="89" s="1"/>
  <c r="E1086" i="89" s="1"/>
  <c r="D422" i="89"/>
  <c r="D769" i="89" s="1"/>
  <c r="D1086" i="89" s="1"/>
  <c r="C119" i="89"/>
  <c r="C422" i="89" s="1"/>
  <c r="C769" i="89" s="1"/>
  <c r="C1086" i="89" s="1"/>
  <c r="H118" i="89"/>
  <c r="F118" i="89"/>
  <c r="E118" i="89"/>
  <c r="E421" i="89" s="1"/>
  <c r="E768" i="89" s="1"/>
  <c r="E1085" i="89" s="1"/>
  <c r="C118" i="89"/>
  <c r="C421" i="89" s="1"/>
  <c r="C768" i="89" s="1"/>
  <c r="C1085" i="89" s="1"/>
  <c r="H117" i="89"/>
  <c r="F117" i="89"/>
  <c r="E117" i="89"/>
  <c r="E420" i="89" s="1"/>
  <c r="E767" i="89" s="1"/>
  <c r="E1084" i="89" s="1"/>
  <c r="C117" i="89"/>
  <c r="C420" i="89" s="1"/>
  <c r="C767" i="89" s="1"/>
  <c r="C1084" i="89" s="1"/>
  <c r="H116" i="89"/>
  <c r="F116" i="89"/>
  <c r="E116" i="89"/>
  <c r="E419" i="89" s="1"/>
  <c r="E766" i="89" s="1"/>
  <c r="E1083" i="89" s="1"/>
  <c r="C116" i="89"/>
  <c r="C419" i="89" s="1"/>
  <c r="C766" i="89" s="1"/>
  <c r="C1083" i="89" s="1"/>
  <c r="H115" i="89"/>
  <c r="F115" i="89"/>
  <c r="E115" i="89"/>
  <c r="E418" i="89" s="1"/>
  <c r="E765" i="89" s="1"/>
  <c r="E1082" i="89" s="1"/>
  <c r="D418" i="89"/>
  <c r="D765" i="89" s="1"/>
  <c r="D1082" i="89" s="1"/>
  <c r="C115" i="89"/>
  <c r="C418" i="89" s="1"/>
  <c r="C765" i="89" s="1"/>
  <c r="C1082" i="89" s="1"/>
  <c r="H114" i="89"/>
  <c r="F114" i="89"/>
  <c r="E114" i="89"/>
  <c r="E417" i="89" s="1"/>
  <c r="E764" i="89" s="1"/>
  <c r="E1081" i="89" s="1"/>
  <c r="C114" i="89"/>
  <c r="C417" i="89" s="1"/>
  <c r="C764" i="89" s="1"/>
  <c r="C1081" i="89" s="1"/>
  <c r="H113" i="89"/>
  <c r="F113" i="89"/>
  <c r="E113" i="89"/>
  <c r="E416" i="89" s="1"/>
  <c r="E763" i="89" s="1"/>
  <c r="E1080" i="89" s="1"/>
  <c r="C113" i="89"/>
  <c r="C416" i="89" s="1"/>
  <c r="C763" i="89" s="1"/>
  <c r="C1080" i="89" s="1"/>
  <c r="H112" i="89"/>
  <c r="F112" i="89"/>
  <c r="E112" i="89"/>
  <c r="E415" i="89" s="1"/>
  <c r="E762" i="89" s="1"/>
  <c r="E1079" i="89" s="1"/>
  <c r="C112" i="89"/>
  <c r="C415" i="89" s="1"/>
  <c r="C762" i="89" s="1"/>
  <c r="C1079" i="89" s="1"/>
  <c r="H111" i="89"/>
  <c r="F111" i="89"/>
  <c r="E111" i="89"/>
  <c r="E414" i="89" s="1"/>
  <c r="E761" i="89" s="1"/>
  <c r="E1078" i="89" s="1"/>
  <c r="D414" i="89"/>
  <c r="D761" i="89" s="1"/>
  <c r="D1078" i="89" s="1"/>
  <c r="C111" i="89"/>
  <c r="C414" i="89" s="1"/>
  <c r="C761" i="89" s="1"/>
  <c r="C1078" i="89" s="1"/>
  <c r="H110" i="89"/>
  <c r="F110" i="89"/>
  <c r="E110" i="89"/>
  <c r="E413" i="89" s="1"/>
  <c r="E760" i="89" s="1"/>
  <c r="E1077" i="89" s="1"/>
  <c r="C110" i="89"/>
  <c r="C413" i="89" s="1"/>
  <c r="C760" i="89" s="1"/>
  <c r="C1077" i="89" s="1"/>
  <c r="H109" i="89"/>
  <c r="F109" i="89"/>
  <c r="E109" i="89"/>
  <c r="E412" i="89" s="1"/>
  <c r="E759" i="89" s="1"/>
  <c r="E1076" i="89" s="1"/>
  <c r="C109" i="89"/>
  <c r="C412" i="89" s="1"/>
  <c r="C759" i="89" s="1"/>
  <c r="C1076" i="89" s="1"/>
  <c r="H108" i="89"/>
  <c r="F108" i="89"/>
  <c r="E108" i="89"/>
  <c r="E411" i="89" s="1"/>
  <c r="E758" i="89" s="1"/>
  <c r="E1075" i="89" s="1"/>
  <c r="C108" i="89"/>
  <c r="C411" i="89" s="1"/>
  <c r="C758" i="89" s="1"/>
  <c r="C1075" i="89" s="1"/>
  <c r="H107" i="89"/>
  <c r="F107" i="89"/>
  <c r="E107" i="89"/>
  <c r="E410" i="89" s="1"/>
  <c r="E757" i="89" s="1"/>
  <c r="E1074" i="89" s="1"/>
  <c r="D410" i="89"/>
  <c r="D757" i="89" s="1"/>
  <c r="D1074" i="89" s="1"/>
  <c r="C107" i="89"/>
  <c r="C410" i="89" s="1"/>
  <c r="C757" i="89" s="1"/>
  <c r="C1074" i="89" s="1"/>
  <c r="H106" i="89"/>
  <c r="F106" i="89"/>
  <c r="E106" i="89"/>
  <c r="E409" i="89" s="1"/>
  <c r="E756" i="89" s="1"/>
  <c r="E1073" i="89" s="1"/>
  <c r="C106" i="89"/>
  <c r="C409" i="89" s="1"/>
  <c r="C756" i="89" s="1"/>
  <c r="C1073" i="89" s="1"/>
  <c r="H105" i="89"/>
  <c r="F105" i="89"/>
  <c r="E105" i="89"/>
  <c r="E408" i="89" s="1"/>
  <c r="E755" i="89" s="1"/>
  <c r="E1072" i="89" s="1"/>
  <c r="C105" i="89"/>
  <c r="C408" i="89" s="1"/>
  <c r="C755" i="89" s="1"/>
  <c r="C1072" i="89" s="1"/>
  <c r="H104" i="89"/>
  <c r="F104" i="89"/>
  <c r="E104" i="89"/>
  <c r="E407" i="89" s="1"/>
  <c r="E754" i="89" s="1"/>
  <c r="E1071" i="89" s="1"/>
  <c r="D407" i="89"/>
  <c r="D754" i="89" s="1"/>
  <c r="D1071" i="89" s="1"/>
  <c r="C104" i="89"/>
  <c r="C407" i="89" s="1"/>
  <c r="C754" i="89" s="1"/>
  <c r="C1071" i="89" s="1"/>
  <c r="H103" i="89"/>
  <c r="F103" i="89"/>
  <c r="E103" i="89"/>
  <c r="E406" i="89" s="1"/>
  <c r="E753" i="89" s="1"/>
  <c r="E1070" i="89" s="1"/>
  <c r="D406" i="89"/>
  <c r="D753" i="89" s="1"/>
  <c r="D1070" i="89" s="1"/>
  <c r="C103" i="89"/>
  <c r="C406" i="89" s="1"/>
  <c r="C753" i="89" s="1"/>
  <c r="C1070" i="89" s="1"/>
  <c r="H102" i="89"/>
  <c r="F102" i="89"/>
  <c r="E102" i="89"/>
  <c r="E405" i="89" s="1"/>
  <c r="E752" i="89" s="1"/>
  <c r="E1069" i="89" s="1"/>
  <c r="C102" i="89"/>
  <c r="C405" i="89" s="1"/>
  <c r="C752" i="89" s="1"/>
  <c r="C1069" i="89" s="1"/>
  <c r="H101" i="89"/>
  <c r="F101" i="89"/>
  <c r="E101" i="89"/>
  <c r="E404" i="89" s="1"/>
  <c r="E751" i="89" s="1"/>
  <c r="E1068" i="89" s="1"/>
  <c r="C101" i="89"/>
  <c r="C404" i="89" s="1"/>
  <c r="C751" i="89" s="1"/>
  <c r="C1068" i="89" s="1"/>
  <c r="H100" i="89"/>
  <c r="F100" i="89"/>
  <c r="E100" i="89"/>
  <c r="E403" i="89" s="1"/>
  <c r="E750" i="89" s="1"/>
  <c r="E1067" i="89" s="1"/>
  <c r="C100" i="89"/>
  <c r="C403" i="89" s="1"/>
  <c r="C750" i="89" s="1"/>
  <c r="C1067" i="89" s="1"/>
  <c r="H99" i="89"/>
  <c r="F99" i="89"/>
  <c r="E99" i="89"/>
  <c r="E402" i="89" s="1"/>
  <c r="E749" i="89" s="1"/>
  <c r="E1066" i="89" s="1"/>
  <c r="D402" i="89"/>
  <c r="D749" i="89" s="1"/>
  <c r="D1066" i="89" s="1"/>
  <c r="C99" i="89"/>
  <c r="C402" i="89" s="1"/>
  <c r="C749" i="89" s="1"/>
  <c r="C1066" i="89" s="1"/>
  <c r="H98" i="89"/>
  <c r="F98" i="89"/>
  <c r="E98" i="89"/>
  <c r="E401" i="89" s="1"/>
  <c r="E748" i="89" s="1"/>
  <c r="E1065" i="89" s="1"/>
  <c r="C98" i="89"/>
  <c r="C401" i="89" s="1"/>
  <c r="C748" i="89" s="1"/>
  <c r="C1065" i="89" s="1"/>
  <c r="H97" i="89"/>
  <c r="F97" i="89"/>
  <c r="E97" i="89"/>
  <c r="E400" i="89" s="1"/>
  <c r="E747" i="89" s="1"/>
  <c r="E1064" i="89" s="1"/>
  <c r="C97" i="89"/>
  <c r="C400" i="89" s="1"/>
  <c r="C747" i="89" s="1"/>
  <c r="C1064" i="89" s="1"/>
  <c r="H96" i="89"/>
  <c r="F96" i="89"/>
  <c r="E96" i="89"/>
  <c r="E399" i="89" s="1"/>
  <c r="E746" i="89" s="1"/>
  <c r="E1063" i="89" s="1"/>
  <c r="C96" i="89"/>
  <c r="C399" i="89" s="1"/>
  <c r="C746" i="89" s="1"/>
  <c r="C1063" i="89" s="1"/>
  <c r="H95" i="89"/>
  <c r="F95" i="89"/>
  <c r="E95" i="89"/>
  <c r="E398" i="89" s="1"/>
  <c r="E745" i="89" s="1"/>
  <c r="E1062" i="89" s="1"/>
  <c r="D398" i="89"/>
  <c r="D745" i="89" s="1"/>
  <c r="D1062" i="89" s="1"/>
  <c r="C95" i="89"/>
  <c r="C398" i="89" s="1"/>
  <c r="C745" i="89" s="1"/>
  <c r="C1062" i="89" s="1"/>
  <c r="H94" i="89"/>
  <c r="F94" i="89"/>
  <c r="E94" i="89"/>
  <c r="E397" i="89" s="1"/>
  <c r="E744" i="89" s="1"/>
  <c r="E1061" i="89" s="1"/>
  <c r="C94" i="89"/>
  <c r="C397" i="89" s="1"/>
  <c r="C744" i="89" s="1"/>
  <c r="C1061" i="89" s="1"/>
  <c r="H93" i="89"/>
  <c r="F93" i="89"/>
  <c r="E93" i="89"/>
  <c r="E396" i="89" s="1"/>
  <c r="E743" i="89" s="1"/>
  <c r="E1060" i="89" s="1"/>
  <c r="C93" i="89"/>
  <c r="C396" i="89" s="1"/>
  <c r="C743" i="89" s="1"/>
  <c r="C1060" i="89" s="1"/>
  <c r="H92" i="89"/>
  <c r="F92" i="89"/>
  <c r="E92" i="89"/>
  <c r="E395" i="89" s="1"/>
  <c r="E742" i="89" s="1"/>
  <c r="E1059" i="89" s="1"/>
  <c r="C92" i="89"/>
  <c r="C395" i="89" s="1"/>
  <c r="C742" i="89" s="1"/>
  <c r="C1059" i="89" s="1"/>
  <c r="H91" i="89"/>
  <c r="F91" i="89"/>
  <c r="E91" i="89"/>
  <c r="E394" i="89" s="1"/>
  <c r="E741" i="89" s="1"/>
  <c r="E1058" i="89" s="1"/>
  <c r="D394" i="89"/>
  <c r="D741" i="89" s="1"/>
  <c r="D1058" i="89" s="1"/>
  <c r="C91" i="89"/>
  <c r="C394" i="89" s="1"/>
  <c r="C741" i="89" s="1"/>
  <c r="C1058" i="89" s="1"/>
  <c r="H90" i="89"/>
  <c r="F90" i="89"/>
  <c r="E90" i="89"/>
  <c r="E393" i="89" s="1"/>
  <c r="E740" i="89" s="1"/>
  <c r="E1057" i="89" s="1"/>
  <c r="C90" i="89"/>
  <c r="C393" i="89" s="1"/>
  <c r="C740" i="89" s="1"/>
  <c r="C1057" i="89" s="1"/>
  <c r="H89" i="89"/>
  <c r="F89" i="89"/>
  <c r="E89" i="89"/>
  <c r="E392" i="89" s="1"/>
  <c r="E739" i="89" s="1"/>
  <c r="E1056" i="89" s="1"/>
  <c r="C89" i="89"/>
  <c r="C392" i="89" s="1"/>
  <c r="C739" i="89" s="1"/>
  <c r="C1056" i="89" s="1"/>
  <c r="H88" i="89"/>
  <c r="F88" i="89"/>
  <c r="E88" i="89"/>
  <c r="E391" i="89" s="1"/>
  <c r="E738" i="89" s="1"/>
  <c r="E1055" i="89" s="1"/>
  <c r="C88" i="89"/>
  <c r="C391" i="89" s="1"/>
  <c r="C738" i="89" s="1"/>
  <c r="C1055" i="89" s="1"/>
  <c r="H87" i="89"/>
  <c r="F87" i="89"/>
  <c r="E87" i="89"/>
  <c r="E390" i="89" s="1"/>
  <c r="E737" i="89" s="1"/>
  <c r="E1054" i="89" s="1"/>
  <c r="D390" i="89"/>
  <c r="D737" i="89" s="1"/>
  <c r="D1054" i="89" s="1"/>
  <c r="C87" i="89"/>
  <c r="C390" i="89" s="1"/>
  <c r="C737" i="89" s="1"/>
  <c r="C1054" i="89" s="1"/>
  <c r="H86" i="89"/>
  <c r="F86" i="89"/>
  <c r="E86" i="89"/>
  <c r="E389" i="89" s="1"/>
  <c r="E736" i="89" s="1"/>
  <c r="E1053" i="89" s="1"/>
  <c r="C86" i="89"/>
  <c r="C389" i="89" s="1"/>
  <c r="C736" i="89" s="1"/>
  <c r="C1053" i="89" s="1"/>
  <c r="H85" i="89"/>
  <c r="F85" i="89"/>
  <c r="E85" i="89"/>
  <c r="E388" i="89" s="1"/>
  <c r="E735" i="89" s="1"/>
  <c r="E1052" i="89" s="1"/>
  <c r="C85" i="89"/>
  <c r="C388" i="89" s="1"/>
  <c r="C735" i="89" s="1"/>
  <c r="C1052" i="89" s="1"/>
  <c r="H84" i="89"/>
  <c r="F84" i="89"/>
  <c r="E84" i="89"/>
  <c r="E387" i="89" s="1"/>
  <c r="E734" i="89" s="1"/>
  <c r="E1051" i="89" s="1"/>
  <c r="C84" i="89"/>
  <c r="C387" i="89" s="1"/>
  <c r="C734" i="89" s="1"/>
  <c r="C1051" i="89" s="1"/>
  <c r="H83" i="89"/>
  <c r="F83" i="89"/>
  <c r="E83" i="89"/>
  <c r="E386" i="89" s="1"/>
  <c r="E733" i="89" s="1"/>
  <c r="E1050" i="89" s="1"/>
  <c r="D386" i="89"/>
  <c r="D733" i="89" s="1"/>
  <c r="D1050" i="89" s="1"/>
  <c r="C83" i="89"/>
  <c r="C386" i="89" s="1"/>
  <c r="C733" i="89" s="1"/>
  <c r="C1050" i="89" s="1"/>
  <c r="H82" i="89"/>
  <c r="F82" i="89"/>
  <c r="E82" i="89"/>
  <c r="E385" i="89" s="1"/>
  <c r="E732" i="89" s="1"/>
  <c r="E1049" i="89" s="1"/>
  <c r="C82" i="89"/>
  <c r="C385" i="89" s="1"/>
  <c r="C732" i="89" s="1"/>
  <c r="C1049" i="89" s="1"/>
  <c r="H81" i="89"/>
  <c r="F81" i="89"/>
  <c r="E81" i="89"/>
  <c r="E384" i="89" s="1"/>
  <c r="E731" i="89" s="1"/>
  <c r="E1048" i="89" s="1"/>
  <c r="C81" i="89"/>
  <c r="C384" i="89" s="1"/>
  <c r="C731" i="89" s="1"/>
  <c r="C1048" i="89" s="1"/>
  <c r="H80" i="89"/>
  <c r="F80" i="89"/>
  <c r="E80" i="89"/>
  <c r="E383" i="89" s="1"/>
  <c r="E730" i="89" s="1"/>
  <c r="E1047" i="89" s="1"/>
  <c r="C80" i="89"/>
  <c r="C383" i="89" s="1"/>
  <c r="C730" i="89" s="1"/>
  <c r="C1047" i="89" s="1"/>
  <c r="H79" i="89"/>
  <c r="F79" i="89"/>
  <c r="E79" i="89"/>
  <c r="E382" i="89" s="1"/>
  <c r="E729" i="89" s="1"/>
  <c r="E1046" i="89" s="1"/>
  <c r="D382" i="89"/>
  <c r="D729" i="89" s="1"/>
  <c r="D1046" i="89" s="1"/>
  <c r="C79" i="89"/>
  <c r="C382" i="89" s="1"/>
  <c r="C729" i="89" s="1"/>
  <c r="C1046" i="89" s="1"/>
  <c r="H78" i="89"/>
  <c r="F78" i="89"/>
  <c r="E78" i="89"/>
  <c r="E381" i="89" s="1"/>
  <c r="E728" i="89" s="1"/>
  <c r="E1045" i="89" s="1"/>
  <c r="C78" i="89"/>
  <c r="C381" i="89" s="1"/>
  <c r="C728" i="89" s="1"/>
  <c r="C1045" i="89" s="1"/>
  <c r="H77" i="89"/>
  <c r="F77" i="89"/>
  <c r="E77" i="89"/>
  <c r="E380" i="89" s="1"/>
  <c r="E727" i="89" s="1"/>
  <c r="E1044" i="89" s="1"/>
  <c r="C77" i="89"/>
  <c r="C380" i="89" s="1"/>
  <c r="C727" i="89" s="1"/>
  <c r="C1044" i="89" s="1"/>
  <c r="H76" i="89"/>
  <c r="F76" i="89"/>
  <c r="E76" i="89"/>
  <c r="E379" i="89" s="1"/>
  <c r="E726" i="89" s="1"/>
  <c r="E1043" i="89" s="1"/>
  <c r="C76" i="89"/>
  <c r="C379" i="89" s="1"/>
  <c r="C726" i="89" s="1"/>
  <c r="C1043" i="89" s="1"/>
  <c r="H75" i="89"/>
  <c r="F75" i="89"/>
  <c r="E75" i="89"/>
  <c r="E378" i="89" s="1"/>
  <c r="E725" i="89" s="1"/>
  <c r="E1042" i="89" s="1"/>
  <c r="D378" i="89"/>
  <c r="D725" i="89" s="1"/>
  <c r="D1042" i="89" s="1"/>
  <c r="C75" i="89"/>
  <c r="C378" i="89" s="1"/>
  <c r="C725" i="89" s="1"/>
  <c r="C1042" i="89" s="1"/>
  <c r="H74" i="89"/>
  <c r="F74" i="89"/>
  <c r="E74" i="89"/>
  <c r="E377" i="89" s="1"/>
  <c r="E724" i="89" s="1"/>
  <c r="E1041" i="89" s="1"/>
  <c r="C74" i="89"/>
  <c r="C377" i="89" s="1"/>
  <c r="C724" i="89" s="1"/>
  <c r="C1041" i="89" s="1"/>
  <c r="H73" i="89"/>
  <c r="F73" i="89"/>
  <c r="E73" i="89"/>
  <c r="E376" i="89" s="1"/>
  <c r="E723" i="89" s="1"/>
  <c r="E1040" i="89" s="1"/>
  <c r="C73" i="89"/>
  <c r="C376" i="89" s="1"/>
  <c r="C723" i="89" s="1"/>
  <c r="C1040" i="89" s="1"/>
  <c r="H72" i="89"/>
  <c r="F72" i="89"/>
  <c r="E72" i="89"/>
  <c r="E375" i="89" s="1"/>
  <c r="E722" i="89" s="1"/>
  <c r="E1039" i="89" s="1"/>
  <c r="C72" i="89"/>
  <c r="C375" i="89" s="1"/>
  <c r="C722" i="89" s="1"/>
  <c r="C1039" i="89" s="1"/>
  <c r="H71" i="89"/>
  <c r="F71" i="89"/>
  <c r="E71" i="89"/>
  <c r="E374" i="89" s="1"/>
  <c r="E721" i="89" s="1"/>
  <c r="E1038" i="89" s="1"/>
  <c r="D374" i="89"/>
  <c r="D721" i="89" s="1"/>
  <c r="D1038" i="89" s="1"/>
  <c r="C71" i="89"/>
  <c r="C374" i="89" s="1"/>
  <c r="C721" i="89" s="1"/>
  <c r="C1038" i="89" s="1"/>
  <c r="H70" i="89"/>
  <c r="F70" i="89"/>
  <c r="E70" i="89"/>
  <c r="E373" i="89" s="1"/>
  <c r="E720" i="89" s="1"/>
  <c r="E1037" i="89" s="1"/>
  <c r="C70" i="89"/>
  <c r="C373" i="89" s="1"/>
  <c r="C720" i="89" s="1"/>
  <c r="C1037" i="89" s="1"/>
  <c r="H69" i="89"/>
  <c r="F69" i="89"/>
  <c r="E69" i="89"/>
  <c r="E372" i="89" s="1"/>
  <c r="E719" i="89" s="1"/>
  <c r="E1036" i="89" s="1"/>
  <c r="C69" i="89"/>
  <c r="C372" i="89" s="1"/>
  <c r="C719" i="89" s="1"/>
  <c r="C1036" i="89" s="1"/>
  <c r="H68" i="89"/>
  <c r="F68" i="89"/>
  <c r="E68" i="89"/>
  <c r="E371" i="89" s="1"/>
  <c r="E718" i="89" s="1"/>
  <c r="E1035" i="89" s="1"/>
  <c r="D371" i="89"/>
  <c r="D718" i="89" s="1"/>
  <c r="D1035" i="89" s="1"/>
  <c r="C68" i="89"/>
  <c r="C371" i="89" s="1"/>
  <c r="C718" i="89" s="1"/>
  <c r="C1035" i="89" s="1"/>
  <c r="H67" i="89"/>
  <c r="F67" i="89"/>
  <c r="E67" i="89"/>
  <c r="E370" i="89" s="1"/>
  <c r="E717" i="89" s="1"/>
  <c r="E1034" i="89" s="1"/>
  <c r="D370" i="89"/>
  <c r="D717" i="89" s="1"/>
  <c r="D1034" i="89" s="1"/>
  <c r="C67" i="89"/>
  <c r="C370" i="89" s="1"/>
  <c r="C717" i="89" s="1"/>
  <c r="C1034" i="89" s="1"/>
  <c r="H66" i="89"/>
  <c r="F66" i="89"/>
  <c r="E66" i="89"/>
  <c r="E369" i="89" s="1"/>
  <c r="E716" i="89" s="1"/>
  <c r="E1033" i="89" s="1"/>
  <c r="C66" i="89"/>
  <c r="C369" i="89" s="1"/>
  <c r="C716" i="89" s="1"/>
  <c r="C1033" i="89" s="1"/>
  <c r="H65" i="89"/>
  <c r="F65" i="89"/>
  <c r="E65" i="89"/>
  <c r="E368" i="89" s="1"/>
  <c r="E715" i="89" s="1"/>
  <c r="E1032" i="89" s="1"/>
  <c r="C65" i="89"/>
  <c r="C368" i="89" s="1"/>
  <c r="C715" i="89" s="1"/>
  <c r="C1032" i="89" s="1"/>
  <c r="H64" i="89"/>
  <c r="F64" i="89"/>
  <c r="E64" i="89"/>
  <c r="E367" i="89" s="1"/>
  <c r="E714" i="89" s="1"/>
  <c r="E1031" i="89" s="1"/>
  <c r="C64" i="89"/>
  <c r="C367" i="89" s="1"/>
  <c r="C714" i="89" s="1"/>
  <c r="C1031" i="89" s="1"/>
  <c r="H63" i="89"/>
  <c r="F63" i="89"/>
  <c r="E63" i="89"/>
  <c r="E366" i="89" s="1"/>
  <c r="E713" i="89" s="1"/>
  <c r="E1030" i="89" s="1"/>
  <c r="D366" i="89"/>
  <c r="D713" i="89" s="1"/>
  <c r="D1030" i="89" s="1"/>
  <c r="C63" i="89"/>
  <c r="C366" i="89" s="1"/>
  <c r="C713" i="89" s="1"/>
  <c r="C1030" i="89" s="1"/>
  <c r="H62" i="89"/>
  <c r="F62" i="89"/>
  <c r="E62" i="89"/>
  <c r="E365" i="89" s="1"/>
  <c r="E712" i="89" s="1"/>
  <c r="E1029" i="89" s="1"/>
  <c r="C62" i="89"/>
  <c r="C365" i="89" s="1"/>
  <c r="C712" i="89" s="1"/>
  <c r="C1029" i="89" s="1"/>
  <c r="H61" i="89"/>
  <c r="F61" i="89"/>
  <c r="E61" i="89"/>
  <c r="E364" i="89" s="1"/>
  <c r="E711" i="89" s="1"/>
  <c r="E1028" i="89" s="1"/>
  <c r="C61" i="89"/>
  <c r="C364" i="89" s="1"/>
  <c r="C711" i="89" s="1"/>
  <c r="C1028" i="89" s="1"/>
  <c r="H60" i="89"/>
  <c r="F60" i="89"/>
  <c r="E60" i="89"/>
  <c r="E363" i="89" s="1"/>
  <c r="E710" i="89" s="1"/>
  <c r="E1027" i="89" s="1"/>
  <c r="C60" i="89"/>
  <c r="C363" i="89" s="1"/>
  <c r="C710" i="89" s="1"/>
  <c r="C1027" i="89" s="1"/>
  <c r="H59" i="89"/>
  <c r="F59" i="89"/>
  <c r="E59" i="89"/>
  <c r="E362" i="89" s="1"/>
  <c r="E709" i="89" s="1"/>
  <c r="E1026" i="89" s="1"/>
  <c r="D362" i="89"/>
  <c r="D709" i="89" s="1"/>
  <c r="D1026" i="89" s="1"/>
  <c r="C59" i="89"/>
  <c r="C362" i="89" s="1"/>
  <c r="C709" i="89" s="1"/>
  <c r="C1026" i="89" s="1"/>
  <c r="H58" i="89"/>
  <c r="F58" i="89"/>
  <c r="E58" i="89"/>
  <c r="E361" i="89" s="1"/>
  <c r="E708" i="89" s="1"/>
  <c r="E1025" i="89" s="1"/>
  <c r="C58" i="89"/>
  <c r="C361" i="89" s="1"/>
  <c r="C708" i="89" s="1"/>
  <c r="C1025" i="89" s="1"/>
  <c r="H57" i="89"/>
  <c r="F57" i="89"/>
  <c r="E57" i="89"/>
  <c r="E360" i="89" s="1"/>
  <c r="E707" i="89" s="1"/>
  <c r="E1024" i="89" s="1"/>
  <c r="C57" i="89"/>
  <c r="C360" i="89" s="1"/>
  <c r="C707" i="89" s="1"/>
  <c r="C1024" i="89" s="1"/>
  <c r="H56" i="89"/>
  <c r="F56" i="89"/>
  <c r="E56" i="89"/>
  <c r="E359" i="89" s="1"/>
  <c r="E706" i="89" s="1"/>
  <c r="E1023" i="89" s="1"/>
  <c r="C56" i="89"/>
  <c r="C359" i="89" s="1"/>
  <c r="C706" i="89" s="1"/>
  <c r="C1023" i="89" s="1"/>
  <c r="H55" i="89"/>
  <c r="F55" i="89"/>
  <c r="E55" i="89"/>
  <c r="E358" i="89" s="1"/>
  <c r="E705" i="89" s="1"/>
  <c r="E1022" i="89" s="1"/>
  <c r="D358" i="89"/>
  <c r="D705" i="89" s="1"/>
  <c r="D1022" i="89" s="1"/>
  <c r="C55" i="89"/>
  <c r="C358" i="89" s="1"/>
  <c r="C705" i="89" s="1"/>
  <c r="C1022" i="89" s="1"/>
  <c r="H54" i="89"/>
  <c r="F54" i="89"/>
  <c r="E54" i="89"/>
  <c r="E357" i="89" s="1"/>
  <c r="E704" i="89" s="1"/>
  <c r="E1021" i="89" s="1"/>
  <c r="C54" i="89"/>
  <c r="C357" i="89" s="1"/>
  <c r="C704" i="89" s="1"/>
  <c r="C1021" i="89" s="1"/>
  <c r="H53" i="89"/>
  <c r="F53" i="89"/>
  <c r="E53" i="89"/>
  <c r="E356" i="89" s="1"/>
  <c r="E703" i="89" s="1"/>
  <c r="E1020" i="89" s="1"/>
  <c r="C53" i="89"/>
  <c r="C356" i="89" s="1"/>
  <c r="C703" i="89" s="1"/>
  <c r="C1020" i="89" s="1"/>
  <c r="H52" i="89"/>
  <c r="F52" i="89"/>
  <c r="E52" i="89"/>
  <c r="E355" i="89" s="1"/>
  <c r="E702" i="89" s="1"/>
  <c r="E1019" i="89" s="1"/>
  <c r="C52" i="89"/>
  <c r="C355" i="89" s="1"/>
  <c r="C702" i="89" s="1"/>
  <c r="C1019" i="89" s="1"/>
  <c r="H51" i="89"/>
  <c r="F51" i="89"/>
  <c r="E51" i="89"/>
  <c r="E354" i="89" s="1"/>
  <c r="E701" i="89" s="1"/>
  <c r="E1018" i="89" s="1"/>
  <c r="D354" i="89"/>
  <c r="D701" i="89" s="1"/>
  <c r="D1018" i="89" s="1"/>
  <c r="C51" i="89"/>
  <c r="C354" i="89" s="1"/>
  <c r="C701" i="89" s="1"/>
  <c r="C1018" i="89" s="1"/>
  <c r="H50" i="89"/>
  <c r="F50" i="89"/>
  <c r="E50" i="89"/>
  <c r="E353" i="89" s="1"/>
  <c r="E700" i="89" s="1"/>
  <c r="E1017" i="89" s="1"/>
  <c r="C50" i="89"/>
  <c r="C353" i="89" s="1"/>
  <c r="C700" i="89" s="1"/>
  <c r="C1017" i="89" s="1"/>
  <c r="H49" i="89"/>
  <c r="F49" i="89"/>
  <c r="E49" i="89"/>
  <c r="D49" i="89"/>
  <c r="F645" i="88"/>
  <c r="F992" i="88" s="1"/>
  <c r="F1309" i="88" s="1"/>
  <c r="E645" i="88"/>
  <c r="E992" i="88" s="1"/>
  <c r="E1309" i="88" s="1"/>
  <c r="D645" i="88"/>
  <c r="D992" i="88" s="1"/>
  <c r="D1309" i="88" s="1"/>
  <c r="C645" i="88"/>
  <c r="C992" i="88" s="1"/>
  <c r="C1309" i="88" s="1"/>
  <c r="F644" i="88"/>
  <c r="F991" i="88" s="1"/>
  <c r="F1308" i="88" s="1"/>
  <c r="E644" i="88"/>
  <c r="E991" i="88" s="1"/>
  <c r="E1308" i="88" s="1"/>
  <c r="D644" i="88"/>
  <c r="D991" i="88" s="1"/>
  <c r="D1308" i="88" s="1"/>
  <c r="C644" i="88"/>
  <c r="C991" i="88" s="1"/>
  <c r="C1308" i="88" s="1"/>
  <c r="F643" i="88"/>
  <c r="F990" i="88" s="1"/>
  <c r="F1307" i="88" s="1"/>
  <c r="E643" i="88"/>
  <c r="E990" i="88" s="1"/>
  <c r="E1307" i="88" s="1"/>
  <c r="D643" i="88"/>
  <c r="D990" i="88" s="1"/>
  <c r="D1307" i="88" s="1"/>
  <c r="C643" i="88"/>
  <c r="C990" i="88" s="1"/>
  <c r="C1307" i="88" s="1"/>
  <c r="F642" i="88"/>
  <c r="F989" i="88" s="1"/>
  <c r="F1306" i="88" s="1"/>
  <c r="E642" i="88"/>
  <c r="E989" i="88" s="1"/>
  <c r="E1306" i="88" s="1"/>
  <c r="D642" i="88"/>
  <c r="D989" i="88" s="1"/>
  <c r="D1306" i="88" s="1"/>
  <c r="C642" i="88"/>
  <c r="C989" i="88" s="1"/>
  <c r="C1306" i="88" s="1"/>
  <c r="F641" i="88"/>
  <c r="F988" i="88" s="1"/>
  <c r="F1305" i="88" s="1"/>
  <c r="E641" i="88"/>
  <c r="E988" i="88" s="1"/>
  <c r="E1305" i="88" s="1"/>
  <c r="D641" i="88"/>
  <c r="D988" i="88" s="1"/>
  <c r="D1305" i="88" s="1"/>
  <c r="C641" i="88"/>
  <c r="C988" i="88" s="1"/>
  <c r="C1305" i="88" s="1"/>
  <c r="F640" i="88"/>
  <c r="F987" i="88" s="1"/>
  <c r="F1304" i="88" s="1"/>
  <c r="E640" i="88"/>
  <c r="E987" i="88" s="1"/>
  <c r="E1304" i="88" s="1"/>
  <c r="D640" i="88"/>
  <c r="D987" i="88" s="1"/>
  <c r="D1304" i="88" s="1"/>
  <c r="C640" i="88"/>
  <c r="C987" i="88" s="1"/>
  <c r="C1304" i="88" s="1"/>
  <c r="F639" i="88"/>
  <c r="F986" i="88" s="1"/>
  <c r="F1303" i="88" s="1"/>
  <c r="E639" i="88"/>
  <c r="E986" i="88" s="1"/>
  <c r="E1303" i="88" s="1"/>
  <c r="D639" i="88"/>
  <c r="D986" i="88" s="1"/>
  <c r="D1303" i="88" s="1"/>
  <c r="C639" i="88"/>
  <c r="C986" i="88" s="1"/>
  <c r="C1303" i="88" s="1"/>
  <c r="F638" i="88"/>
  <c r="F985" i="88" s="1"/>
  <c r="F1302" i="88" s="1"/>
  <c r="E638" i="88"/>
  <c r="E985" i="88" s="1"/>
  <c r="E1302" i="88" s="1"/>
  <c r="D638" i="88"/>
  <c r="D985" i="88" s="1"/>
  <c r="D1302" i="88" s="1"/>
  <c r="C638" i="88"/>
  <c r="C985" i="88" s="1"/>
  <c r="C1302" i="88" s="1"/>
  <c r="F637" i="88"/>
  <c r="F984" i="88" s="1"/>
  <c r="F1301" i="88" s="1"/>
  <c r="E637" i="88"/>
  <c r="E984" i="88" s="1"/>
  <c r="E1301" i="88" s="1"/>
  <c r="D637" i="88"/>
  <c r="D984" i="88" s="1"/>
  <c r="D1301" i="88" s="1"/>
  <c r="C637" i="88"/>
  <c r="C984" i="88" s="1"/>
  <c r="C1301" i="88" s="1"/>
  <c r="F636" i="88"/>
  <c r="F983" i="88" s="1"/>
  <c r="F1300" i="88" s="1"/>
  <c r="E636" i="88"/>
  <c r="E983" i="88" s="1"/>
  <c r="E1300" i="88" s="1"/>
  <c r="D636" i="88"/>
  <c r="D983" i="88" s="1"/>
  <c r="D1300" i="88" s="1"/>
  <c r="C636" i="88"/>
  <c r="C983" i="88" s="1"/>
  <c r="C1300" i="88" s="1"/>
  <c r="F635" i="88"/>
  <c r="F982" i="88" s="1"/>
  <c r="F1299" i="88" s="1"/>
  <c r="E635" i="88"/>
  <c r="E982" i="88" s="1"/>
  <c r="E1299" i="88" s="1"/>
  <c r="D635" i="88"/>
  <c r="D982" i="88" s="1"/>
  <c r="D1299" i="88" s="1"/>
  <c r="C635" i="88"/>
  <c r="C982" i="88" s="1"/>
  <c r="C1299" i="88" s="1"/>
  <c r="F634" i="88"/>
  <c r="F981" i="88" s="1"/>
  <c r="F1298" i="88" s="1"/>
  <c r="E634" i="88"/>
  <c r="E981" i="88" s="1"/>
  <c r="E1298" i="88" s="1"/>
  <c r="D634" i="88"/>
  <c r="D981" i="88" s="1"/>
  <c r="D1298" i="88" s="1"/>
  <c r="C634" i="88"/>
  <c r="C981" i="88" s="1"/>
  <c r="C1298" i="88" s="1"/>
  <c r="F633" i="88"/>
  <c r="F980" i="88" s="1"/>
  <c r="F1297" i="88" s="1"/>
  <c r="E633" i="88"/>
  <c r="E980" i="88" s="1"/>
  <c r="E1297" i="88" s="1"/>
  <c r="D633" i="88"/>
  <c r="D980" i="88" s="1"/>
  <c r="D1297" i="88" s="1"/>
  <c r="C633" i="88"/>
  <c r="C980" i="88" s="1"/>
  <c r="C1297" i="88" s="1"/>
  <c r="F632" i="88"/>
  <c r="F979" i="88" s="1"/>
  <c r="F1296" i="88" s="1"/>
  <c r="E632" i="88"/>
  <c r="E979" i="88" s="1"/>
  <c r="E1296" i="88" s="1"/>
  <c r="D632" i="88"/>
  <c r="D979" i="88" s="1"/>
  <c r="D1296" i="88" s="1"/>
  <c r="C632" i="88"/>
  <c r="C979" i="88" s="1"/>
  <c r="C1296" i="88" s="1"/>
  <c r="F631" i="88"/>
  <c r="F978" i="88" s="1"/>
  <c r="F1295" i="88" s="1"/>
  <c r="E631" i="88"/>
  <c r="E978" i="88" s="1"/>
  <c r="E1295" i="88" s="1"/>
  <c r="D631" i="88"/>
  <c r="D978" i="88" s="1"/>
  <c r="D1295" i="88" s="1"/>
  <c r="C631" i="88"/>
  <c r="C978" i="88" s="1"/>
  <c r="C1295" i="88" s="1"/>
  <c r="F630" i="88"/>
  <c r="F977" i="88" s="1"/>
  <c r="F1294" i="88" s="1"/>
  <c r="E630" i="88"/>
  <c r="E977" i="88" s="1"/>
  <c r="E1294" i="88" s="1"/>
  <c r="D630" i="88"/>
  <c r="D977" i="88" s="1"/>
  <c r="D1294" i="88" s="1"/>
  <c r="C630" i="88"/>
  <c r="C977" i="88" s="1"/>
  <c r="C1294" i="88" s="1"/>
  <c r="F629" i="88"/>
  <c r="F976" i="88" s="1"/>
  <c r="F1293" i="88" s="1"/>
  <c r="E629" i="88"/>
  <c r="E976" i="88" s="1"/>
  <c r="E1293" i="88" s="1"/>
  <c r="D629" i="88"/>
  <c r="D976" i="88" s="1"/>
  <c r="D1293" i="88" s="1"/>
  <c r="C629" i="88"/>
  <c r="C976" i="88" s="1"/>
  <c r="C1293" i="88" s="1"/>
  <c r="F628" i="88"/>
  <c r="F975" i="88" s="1"/>
  <c r="F1292" i="88" s="1"/>
  <c r="E628" i="88"/>
  <c r="E975" i="88" s="1"/>
  <c r="E1292" i="88" s="1"/>
  <c r="D628" i="88"/>
  <c r="D975" i="88" s="1"/>
  <c r="D1292" i="88" s="1"/>
  <c r="C628" i="88"/>
  <c r="C975" i="88" s="1"/>
  <c r="C1292" i="88" s="1"/>
  <c r="F627" i="88"/>
  <c r="F974" i="88" s="1"/>
  <c r="F1291" i="88" s="1"/>
  <c r="E627" i="88"/>
  <c r="E974" i="88" s="1"/>
  <c r="E1291" i="88" s="1"/>
  <c r="D627" i="88"/>
  <c r="D974" i="88" s="1"/>
  <c r="D1291" i="88" s="1"/>
  <c r="C627" i="88"/>
  <c r="C974" i="88" s="1"/>
  <c r="C1291" i="88" s="1"/>
  <c r="F626" i="88"/>
  <c r="F973" i="88" s="1"/>
  <c r="F1290" i="88" s="1"/>
  <c r="E626" i="88"/>
  <c r="E973" i="88" s="1"/>
  <c r="E1290" i="88" s="1"/>
  <c r="D626" i="88"/>
  <c r="D973" i="88" s="1"/>
  <c r="D1290" i="88" s="1"/>
  <c r="C626" i="88"/>
  <c r="C973" i="88" s="1"/>
  <c r="C1290" i="88" s="1"/>
  <c r="F625" i="88"/>
  <c r="F972" i="88" s="1"/>
  <c r="F1289" i="88" s="1"/>
  <c r="E625" i="88"/>
  <c r="E972" i="88" s="1"/>
  <c r="E1289" i="88" s="1"/>
  <c r="D625" i="88"/>
  <c r="D972" i="88" s="1"/>
  <c r="D1289" i="88" s="1"/>
  <c r="C625" i="88"/>
  <c r="C972" i="88" s="1"/>
  <c r="C1289" i="88" s="1"/>
  <c r="F624" i="88"/>
  <c r="F971" i="88" s="1"/>
  <c r="F1288" i="88" s="1"/>
  <c r="E624" i="88"/>
  <c r="E971" i="88" s="1"/>
  <c r="E1288" i="88" s="1"/>
  <c r="D624" i="88"/>
  <c r="D971" i="88" s="1"/>
  <c r="D1288" i="88" s="1"/>
  <c r="C624" i="88"/>
  <c r="C971" i="88" s="1"/>
  <c r="C1288" i="88" s="1"/>
  <c r="F623" i="88"/>
  <c r="F970" i="88" s="1"/>
  <c r="F1287" i="88" s="1"/>
  <c r="E623" i="88"/>
  <c r="E970" i="88" s="1"/>
  <c r="E1287" i="88" s="1"/>
  <c r="D623" i="88"/>
  <c r="D970" i="88" s="1"/>
  <c r="D1287" i="88" s="1"/>
  <c r="C623" i="88"/>
  <c r="C970" i="88" s="1"/>
  <c r="C1287" i="88" s="1"/>
  <c r="F622" i="88"/>
  <c r="F969" i="88" s="1"/>
  <c r="F1286" i="88" s="1"/>
  <c r="E622" i="88"/>
  <c r="E969" i="88" s="1"/>
  <c r="E1286" i="88" s="1"/>
  <c r="D622" i="88"/>
  <c r="D969" i="88" s="1"/>
  <c r="D1286" i="88" s="1"/>
  <c r="C622" i="88"/>
  <c r="C969" i="88" s="1"/>
  <c r="C1286" i="88" s="1"/>
  <c r="F621" i="88"/>
  <c r="F968" i="88" s="1"/>
  <c r="F1285" i="88" s="1"/>
  <c r="E621" i="88"/>
  <c r="E968" i="88" s="1"/>
  <c r="E1285" i="88" s="1"/>
  <c r="D621" i="88"/>
  <c r="D968" i="88" s="1"/>
  <c r="D1285" i="88" s="1"/>
  <c r="C621" i="88"/>
  <c r="C968" i="88" s="1"/>
  <c r="C1285" i="88" s="1"/>
  <c r="F620" i="88"/>
  <c r="F967" i="88" s="1"/>
  <c r="F1284" i="88" s="1"/>
  <c r="E620" i="88"/>
  <c r="E967" i="88" s="1"/>
  <c r="E1284" i="88" s="1"/>
  <c r="D620" i="88"/>
  <c r="D967" i="88" s="1"/>
  <c r="D1284" i="88" s="1"/>
  <c r="C620" i="88"/>
  <c r="C967" i="88" s="1"/>
  <c r="C1284" i="88" s="1"/>
  <c r="F619" i="88"/>
  <c r="F966" i="88" s="1"/>
  <c r="F1283" i="88" s="1"/>
  <c r="E619" i="88"/>
  <c r="E966" i="88" s="1"/>
  <c r="E1283" i="88" s="1"/>
  <c r="D619" i="88"/>
  <c r="D966" i="88" s="1"/>
  <c r="D1283" i="88" s="1"/>
  <c r="C619" i="88"/>
  <c r="C966" i="88" s="1"/>
  <c r="C1283" i="88" s="1"/>
  <c r="F618" i="88"/>
  <c r="F965" i="88" s="1"/>
  <c r="F1282" i="88" s="1"/>
  <c r="E618" i="88"/>
  <c r="E965" i="88" s="1"/>
  <c r="E1282" i="88" s="1"/>
  <c r="D618" i="88"/>
  <c r="D965" i="88" s="1"/>
  <c r="D1282" i="88" s="1"/>
  <c r="C618" i="88"/>
  <c r="C965" i="88" s="1"/>
  <c r="C1282" i="88" s="1"/>
  <c r="F617" i="88"/>
  <c r="F964" i="88" s="1"/>
  <c r="F1281" i="88" s="1"/>
  <c r="E617" i="88"/>
  <c r="E964" i="88" s="1"/>
  <c r="E1281" i="88" s="1"/>
  <c r="D617" i="88"/>
  <c r="D964" i="88" s="1"/>
  <c r="D1281" i="88" s="1"/>
  <c r="C617" i="88"/>
  <c r="C964" i="88" s="1"/>
  <c r="C1281" i="88" s="1"/>
  <c r="F616" i="88"/>
  <c r="F963" i="88" s="1"/>
  <c r="F1280" i="88" s="1"/>
  <c r="E616" i="88"/>
  <c r="E963" i="88" s="1"/>
  <c r="E1280" i="88" s="1"/>
  <c r="D616" i="88"/>
  <c r="D963" i="88" s="1"/>
  <c r="D1280" i="88" s="1"/>
  <c r="C616" i="88"/>
  <c r="C963" i="88" s="1"/>
  <c r="C1280" i="88" s="1"/>
  <c r="F615" i="88"/>
  <c r="F962" i="88" s="1"/>
  <c r="F1279" i="88" s="1"/>
  <c r="E615" i="88"/>
  <c r="E962" i="88" s="1"/>
  <c r="E1279" i="88" s="1"/>
  <c r="D615" i="88"/>
  <c r="D962" i="88" s="1"/>
  <c r="D1279" i="88" s="1"/>
  <c r="C615" i="88"/>
  <c r="C962" i="88" s="1"/>
  <c r="C1279" i="88" s="1"/>
  <c r="F614" i="88"/>
  <c r="F961" i="88" s="1"/>
  <c r="F1278" i="88" s="1"/>
  <c r="E614" i="88"/>
  <c r="E961" i="88" s="1"/>
  <c r="E1278" i="88" s="1"/>
  <c r="D614" i="88"/>
  <c r="D961" i="88" s="1"/>
  <c r="D1278" i="88" s="1"/>
  <c r="C614" i="88"/>
  <c r="C961" i="88" s="1"/>
  <c r="C1278" i="88" s="1"/>
  <c r="F613" i="88"/>
  <c r="F960" i="88" s="1"/>
  <c r="F1277" i="88" s="1"/>
  <c r="E613" i="88"/>
  <c r="E960" i="88" s="1"/>
  <c r="E1277" i="88" s="1"/>
  <c r="D613" i="88"/>
  <c r="D960" i="88" s="1"/>
  <c r="D1277" i="88" s="1"/>
  <c r="C613" i="88"/>
  <c r="C960" i="88" s="1"/>
  <c r="C1277" i="88" s="1"/>
  <c r="F612" i="88"/>
  <c r="F959" i="88" s="1"/>
  <c r="F1276" i="88" s="1"/>
  <c r="E612" i="88"/>
  <c r="E959" i="88" s="1"/>
  <c r="E1276" i="88" s="1"/>
  <c r="D612" i="88"/>
  <c r="D959" i="88" s="1"/>
  <c r="D1276" i="88" s="1"/>
  <c r="C612" i="88"/>
  <c r="C959" i="88" s="1"/>
  <c r="C1276" i="88" s="1"/>
  <c r="F611" i="88"/>
  <c r="F958" i="88" s="1"/>
  <c r="F1275" i="88" s="1"/>
  <c r="E611" i="88"/>
  <c r="E958" i="88" s="1"/>
  <c r="E1275" i="88" s="1"/>
  <c r="D611" i="88"/>
  <c r="D958" i="88" s="1"/>
  <c r="D1275" i="88" s="1"/>
  <c r="C611" i="88"/>
  <c r="C958" i="88" s="1"/>
  <c r="C1275" i="88" s="1"/>
  <c r="F610" i="88"/>
  <c r="F957" i="88" s="1"/>
  <c r="F1274" i="88" s="1"/>
  <c r="E610" i="88"/>
  <c r="E957" i="88" s="1"/>
  <c r="E1274" i="88" s="1"/>
  <c r="D610" i="88"/>
  <c r="D957" i="88" s="1"/>
  <c r="D1274" i="88" s="1"/>
  <c r="C610" i="88"/>
  <c r="C957" i="88" s="1"/>
  <c r="C1274" i="88" s="1"/>
  <c r="F609" i="88"/>
  <c r="F956" i="88" s="1"/>
  <c r="F1273" i="88" s="1"/>
  <c r="E609" i="88"/>
  <c r="E956" i="88" s="1"/>
  <c r="E1273" i="88" s="1"/>
  <c r="D609" i="88"/>
  <c r="D956" i="88" s="1"/>
  <c r="D1273" i="88" s="1"/>
  <c r="C609" i="88"/>
  <c r="C956" i="88" s="1"/>
  <c r="C1273" i="88" s="1"/>
  <c r="F608" i="88"/>
  <c r="F955" i="88" s="1"/>
  <c r="F1272" i="88" s="1"/>
  <c r="E608" i="88"/>
  <c r="E955" i="88" s="1"/>
  <c r="E1272" i="88" s="1"/>
  <c r="D608" i="88"/>
  <c r="D955" i="88" s="1"/>
  <c r="D1272" i="88" s="1"/>
  <c r="C608" i="88"/>
  <c r="C955" i="88" s="1"/>
  <c r="C1272" i="88" s="1"/>
  <c r="F607" i="88"/>
  <c r="F954" i="88" s="1"/>
  <c r="F1271" i="88" s="1"/>
  <c r="E607" i="88"/>
  <c r="E954" i="88" s="1"/>
  <c r="E1271" i="88" s="1"/>
  <c r="D607" i="88"/>
  <c r="D954" i="88" s="1"/>
  <c r="D1271" i="88" s="1"/>
  <c r="C607" i="88"/>
  <c r="C954" i="88" s="1"/>
  <c r="C1271" i="88" s="1"/>
  <c r="F606" i="88"/>
  <c r="F953" i="88" s="1"/>
  <c r="F1270" i="88" s="1"/>
  <c r="E606" i="88"/>
  <c r="E953" i="88" s="1"/>
  <c r="E1270" i="88" s="1"/>
  <c r="D606" i="88"/>
  <c r="D953" i="88" s="1"/>
  <c r="D1270" i="88" s="1"/>
  <c r="C606" i="88"/>
  <c r="C953" i="88" s="1"/>
  <c r="C1270" i="88" s="1"/>
  <c r="F605" i="88"/>
  <c r="F952" i="88" s="1"/>
  <c r="F1269" i="88" s="1"/>
  <c r="E605" i="88"/>
  <c r="E952" i="88" s="1"/>
  <c r="E1269" i="88" s="1"/>
  <c r="D605" i="88"/>
  <c r="D952" i="88" s="1"/>
  <c r="D1269" i="88" s="1"/>
  <c r="C605" i="88"/>
  <c r="C952" i="88" s="1"/>
  <c r="C1269" i="88" s="1"/>
  <c r="F604" i="88"/>
  <c r="F951" i="88" s="1"/>
  <c r="F1268" i="88" s="1"/>
  <c r="E604" i="88"/>
  <c r="E951" i="88" s="1"/>
  <c r="E1268" i="88" s="1"/>
  <c r="D604" i="88"/>
  <c r="D951" i="88" s="1"/>
  <c r="D1268" i="88" s="1"/>
  <c r="C604" i="88"/>
  <c r="C951" i="88" s="1"/>
  <c r="C1268" i="88" s="1"/>
  <c r="F603" i="88"/>
  <c r="F950" i="88" s="1"/>
  <c r="F1267" i="88" s="1"/>
  <c r="E603" i="88"/>
  <c r="E950" i="88" s="1"/>
  <c r="E1267" i="88" s="1"/>
  <c r="D603" i="88"/>
  <c r="D950" i="88" s="1"/>
  <c r="D1267" i="88" s="1"/>
  <c r="C603" i="88"/>
  <c r="C950" i="88" s="1"/>
  <c r="C1267" i="88" s="1"/>
  <c r="F602" i="88"/>
  <c r="F949" i="88" s="1"/>
  <c r="F1266" i="88" s="1"/>
  <c r="E602" i="88"/>
  <c r="E949" i="88" s="1"/>
  <c r="E1266" i="88" s="1"/>
  <c r="D602" i="88"/>
  <c r="D949" i="88" s="1"/>
  <c r="D1266" i="88" s="1"/>
  <c r="C602" i="88"/>
  <c r="C949" i="88" s="1"/>
  <c r="C1266" i="88" s="1"/>
  <c r="F601" i="88"/>
  <c r="F948" i="88" s="1"/>
  <c r="F1265" i="88" s="1"/>
  <c r="E601" i="88"/>
  <c r="E948" i="88" s="1"/>
  <c r="E1265" i="88" s="1"/>
  <c r="D601" i="88"/>
  <c r="D948" i="88" s="1"/>
  <c r="D1265" i="88" s="1"/>
  <c r="C601" i="88"/>
  <c r="C948" i="88" s="1"/>
  <c r="C1265" i="88" s="1"/>
  <c r="F600" i="88"/>
  <c r="F947" i="88" s="1"/>
  <c r="F1264" i="88" s="1"/>
  <c r="E600" i="88"/>
  <c r="E947" i="88" s="1"/>
  <c r="E1264" i="88" s="1"/>
  <c r="D600" i="88"/>
  <c r="D947" i="88" s="1"/>
  <c r="D1264" i="88" s="1"/>
  <c r="C600" i="88"/>
  <c r="C947" i="88" s="1"/>
  <c r="C1264" i="88" s="1"/>
  <c r="F599" i="88"/>
  <c r="F946" i="88" s="1"/>
  <c r="F1263" i="88" s="1"/>
  <c r="E599" i="88"/>
  <c r="E946" i="88" s="1"/>
  <c r="E1263" i="88" s="1"/>
  <c r="D599" i="88"/>
  <c r="D946" i="88" s="1"/>
  <c r="D1263" i="88" s="1"/>
  <c r="C599" i="88"/>
  <c r="C946" i="88" s="1"/>
  <c r="C1263" i="88" s="1"/>
  <c r="F598" i="88"/>
  <c r="F945" i="88" s="1"/>
  <c r="F1262" i="88" s="1"/>
  <c r="E598" i="88"/>
  <c r="E945" i="88" s="1"/>
  <c r="E1262" i="88" s="1"/>
  <c r="D598" i="88"/>
  <c r="D945" i="88" s="1"/>
  <c r="D1262" i="88" s="1"/>
  <c r="C598" i="88"/>
  <c r="C945" i="88" s="1"/>
  <c r="C1262" i="88" s="1"/>
  <c r="F597" i="88"/>
  <c r="F944" i="88" s="1"/>
  <c r="F1261" i="88" s="1"/>
  <c r="E597" i="88"/>
  <c r="E944" i="88" s="1"/>
  <c r="E1261" i="88" s="1"/>
  <c r="D597" i="88"/>
  <c r="D944" i="88" s="1"/>
  <c r="D1261" i="88" s="1"/>
  <c r="C597" i="88"/>
  <c r="C944" i="88" s="1"/>
  <c r="C1261" i="88" s="1"/>
  <c r="F596" i="88"/>
  <c r="F943" i="88" s="1"/>
  <c r="F1260" i="88" s="1"/>
  <c r="E596" i="88"/>
  <c r="E943" i="88" s="1"/>
  <c r="E1260" i="88" s="1"/>
  <c r="D596" i="88"/>
  <c r="D943" i="88" s="1"/>
  <c r="D1260" i="88" s="1"/>
  <c r="C596" i="88"/>
  <c r="C943" i="88" s="1"/>
  <c r="C1260" i="88" s="1"/>
  <c r="F595" i="88"/>
  <c r="F942" i="88" s="1"/>
  <c r="F1259" i="88" s="1"/>
  <c r="E595" i="88"/>
  <c r="E942" i="88" s="1"/>
  <c r="E1259" i="88" s="1"/>
  <c r="D595" i="88"/>
  <c r="D942" i="88" s="1"/>
  <c r="D1259" i="88" s="1"/>
  <c r="C595" i="88"/>
  <c r="C942" i="88" s="1"/>
  <c r="C1259" i="88" s="1"/>
  <c r="F594" i="88"/>
  <c r="F941" i="88" s="1"/>
  <c r="F1258" i="88" s="1"/>
  <c r="E594" i="88"/>
  <c r="E941" i="88" s="1"/>
  <c r="E1258" i="88" s="1"/>
  <c r="D594" i="88"/>
  <c r="D941" i="88" s="1"/>
  <c r="D1258" i="88" s="1"/>
  <c r="C594" i="88"/>
  <c r="C941" i="88" s="1"/>
  <c r="C1258" i="88" s="1"/>
  <c r="F593" i="88"/>
  <c r="F940" i="88" s="1"/>
  <c r="F1257" i="88" s="1"/>
  <c r="E593" i="88"/>
  <c r="E940" i="88" s="1"/>
  <c r="E1257" i="88" s="1"/>
  <c r="D593" i="88"/>
  <c r="D940" i="88" s="1"/>
  <c r="D1257" i="88" s="1"/>
  <c r="C593" i="88"/>
  <c r="C940" i="88" s="1"/>
  <c r="C1257" i="88" s="1"/>
  <c r="F592" i="88"/>
  <c r="F939" i="88" s="1"/>
  <c r="F1256" i="88" s="1"/>
  <c r="E592" i="88"/>
  <c r="E939" i="88" s="1"/>
  <c r="E1256" i="88" s="1"/>
  <c r="D592" i="88"/>
  <c r="D939" i="88" s="1"/>
  <c r="D1256" i="88" s="1"/>
  <c r="C592" i="88"/>
  <c r="C939" i="88" s="1"/>
  <c r="C1256" i="88" s="1"/>
  <c r="F591" i="88"/>
  <c r="F938" i="88" s="1"/>
  <c r="F1255" i="88" s="1"/>
  <c r="E591" i="88"/>
  <c r="E938" i="88" s="1"/>
  <c r="E1255" i="88" s="1"/>
  <c r="D591" i="88"/>
  <c r="D938" i="88" s="1"/>
  <c r="D1255" i="88" s="1"/>
  <c r="C591" i="88"/>
  <c r="C938" i="88" s="1"/>
  <c r="C1255" i="88" s="1"/>
  <c r="F590" i="88"/>
  <c r="F937" i="88" s="1"/>
  <c r="F1254" i="88" s="1"/>
  <c r="E590" i="88"/>
  <c r="E937" i="88" s="1"/>
  <c r="E1254" i="88" s="1"/>
  <c r="D590" i="88"/>
  <c r="D937" i="88" s="1"/>
  <c r="D1254" i="88" s="1"/>
  <c r="C590" i="88"/>
  <c r="C937" i="88" s="1"/>
  <c r="C1254" i="88" s="1"/>
  <c r="F589" i="88"/>
  <c r="F936" i="88" s="1"/>
  <c r="F1253" i="88" s="1"/>
  <c r="E589" i="88"/>
  <c r="E936" i="88" s="1"/>
  <c r="E1253" i="88" s="1"/>
  <c r="D589" i="88"/>
  <c r="D936" i="88" s="1"/>
  <c r="D1253" i="88" s="1"/>
  <c r="C589" i="88"/>
  <c r="C936" i="88" s="1"/>
  <c r="C1253" i="88" s="1"/>
  <c r="F588" i="88"/>
  <c r="F935" i="88" s="1"/>
  <c r="F1252" i="88" s="1"/>
  <c r="E588" i="88"/>
  <c r="E935" i="88" s="1"/>
  <c r="E1252" i="88" s="1"/>
  <c r="D588" i="88"/>
  <c r="D935" i="88" s="1"/>
  <c r="D1252" i="88" s="1"/>
  <c r="C588" i="88"/>
  <c r="C935" i="88" s="1"/>
  <c r="C1252" i="88" s="1"/>
  <c r="F587" i="88"/>
  <c r="F934" i="88" s="1"/>
  <c r="F1251" i="88" s="1"/>
  <c r="E587" i="88"/>
  <c r="E934" i="88" s="1"/>
  <c r="E1251" i="88" s="1"/>
  <c r="D587" i="88"/>
  <c r="D934" i="88" s="1"/>
  <c r="D1251" i="88" s="1"/>
  <c r="C587" i="88"/>
  <c r="C934" i="88" s="1"/>
  <c r="C1251" i="88" s="1"/>
  <c r="F586" i="88"/>
  <c r="F933" i="88" s="1"/>
  <c r="F1250" i="88" s="1"/>
  <c r="E586" i="88"/>
  <c r="E933" i="88" s="1"/>
  <c r="E1250" i="88" s="1"/>
  <c r="D586" i="88"/>
  <c r="D933" i="88" s="1"/>
  <c r="D1250" i="88" s="1"/>
  <c r="C586" i="88"/>
  <c r="C933" i="88" s="1"/>
  <c r="C1250" i="88" s="1"/>
  <c r="F585" i="88"/>
  <c r="F932" i="88" s="1"/>
  <c r="F1249" i="88" s="1"/>
  <c r="E585" i="88"/>
  <c r="E932" i="88" s="1"/>
  <c r="E1249" i="88" s="1"/>
  <c r="D585" i="88"/>
  <c r="D932" i="88" s="1"/>
  <c r="D1249" i="88" s="1"/>
  <c r="C585" i="88"/>
  <c r="C932" i="88" s="1"/>
  <c r="C1249" i="88" s="1"/>
  <c r="F584" i="88"/>
  <c r="F931" i="88" s="1"/>
  <c r="F1248" i="88" s="1"/>
  <c r="E584" i="88"/>
  <c r="E931" i="88" s="1"/>
  <c r="E1248" i="88" s="1"/>
  <c r="D584" i="88"/>
  <c r="D931" i="88" s="1"/>
  <c r="D1248" i="88" s="1"/>
  <c r="C584" i="88"/>
  <c r="C931" i="88" s="1"/>
  <c r="C1248" i="88" s="1"/>
  <c r="F583" i="88"/>
  <c r="F930" i="88" s="1"/>
  <c r="F1247" i="88" s="1"/>
  <c r="E583" i="88"/>
  <c r="E930" i="88" s="1"/>
  <c r="E1247" i="88" s="1"/>
  <c r="D583" i="88"/>
  <c r="D930" i="88" s="1"/>
  <c r="D1247" i="88" s="1"/>
  <c r="C583" i="88"/>
  <c r="C930" i="88" s="1"/>
  <c r="C1247" i="88" s="1"/>
  <c r="F582" i="88"/>
  <c r="F929" i="88" s="1"/>
  <c r="F1246" i="88" s="1"/>
  <c r="E582" i="88"/>
  <c r="E929" i="88" s="1"/>
  <c r="E1246" i="88" s="1"/>
  <c r="D582" i="88"/>
  <c r="D929" i="88" s="1"/>
  <c r="D1246" i="88" s="1"/>
  <c r="C582" i="88"/>
  <c r="C929" i="88" s="1"/>
  <c r="C1246" i="88" s="1"/>
  <c r="F581" i="88"/>
  <c r="F928" i="88" s="1"/>
  <c r="F1245" i="88" s="1"/>
  <c r="E581" i="88"/>
  <c r="E928" i="88" s="1"/>
  <c r="E1245" i="88" s="1"/>
  <c r="D581" i="88"/>
  <c r="D928" i="88" s="1"/>
  <c r="D1245" i="88" s="1"/>
  <c r="C581" i="88"/>
  <c r="C928" i="88" s="1"/>
  <c r="C1245" i="88" s="1"/>
  <c r="F580" i="88"/>
  <c r="F927" i="88" s="1"/>
  <c r="F1244" i="88" s="1"/>
  <c r="E580" i="88"/>
  <c r="E927" i="88" s="1"/>
  <c r="E1244" i="88" s="1"/>
  <c r="D580" i="88"/>
  <c r="D927" i="88" s="1"/>
  <c r="D1244" i="88" s="1"/>
  <c r="C580" i="88"/>
  <c r="C927" i="88" s="1"/>
  <c r="C1244" i="88" s="1"/>
  <c r="F579" i="88"/>
  <c r="F926" i="88" s="1"/>
  <c r="F1243" i="88" s="1"/>
  <c r="E579" i="88"/>
  <c r="E926" i="88" s="1"/>
  <c r="E1243" i="88" s="1"/>
  <c r="D579" i="88"/>
  <c r="D926" i="88" s="1"/>
  <c r="D1243" i="88" s="1"/>
  <c r="C579" i="88"/>
  <c r="C926" i="88" s="1"/>
  <c r="C1243" i="88" s="1"/>
  <c r="F578" i="88"/>
  <c r="F925" i="88" s="1"/>
  <c r="F1242" i="88" s="1"/>
  <c r="E578" i="88"/>
  <c r="E925" i="88" s="1"/>
  <c r="E1242" i="88" s="1"/>
  <c r="D578" i="88"/>
  <c r="D925" i="88" s="1"/>
  <c r="D1242" i="88" s="1"/>
  <c r="C578" i="88"/>
  <c r="C925" i="88" s="1"/>
  <c r="C1242" i="88" s="1"/>
  <c r="F577" i="88"/>
  <c r="F924" i="88" s="1"/>
  <c r="F1241" i="88" s="1"/>
  <c r="E577" i="88"/>
  <c r="E924" i="88" s="1"/>
  <c r="E1241" i="88" s="1"/>
  <c r="D577" i="88"/>
  <c r="D924" i="88" s="1"/>
  <c r="D1241" i="88" s="1"/>
  <c r="C577" i="88"/>
  <c r="C924" i="88" s="1"/>
  <c r="C1241" i="88" s="1"/>
  <c r="F576" i="88"/>
  <c r="F923" i="88" s="1"/>
  <c r="F1240" i="88" s="1"/>
  <c r="E576" i="88"/>
  <c r="E923" i="88" s="1"/>
  <c r="E1240" i="88" s="1"/>
  <c r="D576" i="88"/>
  <c r="D923" i="88" s="1"/>
  <c r="D1240" i="88" s="1"/>
  <c r="C576" i="88"/>
  <c r="C923" i="88" s="1"/>
  <c r="C1240" i="88" s="1"/>
  <c r="F575" i="88"/>
  <c r="F922" i="88" s="1"/>
  <c r="F1239" i="88" s="1"/>
  <c r="E575" i="88"/>
  <c r="E922" i="88" s="1"/>
  <c r="E1239" i="88" s="1"/>
  <c r="D575" i="88"/>
  <c r="D922" i="88" s="1"/>
  <c r="D1239" i="88" s="1"/>
  <c r="C575" i="88"/>
  <c r="C922" i="88" s="1"/>
  <c r="C1239" i="88" s="1"/>
  <c r="F574" i="88"/>
  <c r="F921" i="88" s="1"/>
  <c r="F1238" i="88" s="1"/>
  <c r="E574" i="88"/>
  <c r="E921" i="88" s="1"/>
  <c r="E1238" i="88" s="1"/>
  <c r="D574" i="88"/>
  <c r="D921" i="88" s="1"/>
  <c r="D1238" i="88" s="1"/>
  <c r="C574" i="88"/>
  <c r="C921" i="88" s="1"/>
  <c r="C1238" i="88" s="1"/>
  <c r="F573" i="88"/>
  <c r="F920" i="88" s="1"/>
  <c r="F1237" i="88" s="1"/>
  <c r="E573" i="88"/>
  <c r="E920" i="88" s="1"/>
  <c r="E1237" i="88" s="1"/>
  <c r="D573" i="88"/>
  <c r="D920" i="88" s="1"/>
  <c r="D1237" i="88" s="1"/>
  <c r="C573" i="88"/>
  <c r="C920" i="88" s="1"/>
  <c r="C1237" i="88" s="1"/>
  <c r="F572" i="88"/>
  <c r="F919" i="88" s="1"/>
  <c r="F1236" i="88" s="1"/>
  <c r="E572" i="88"/>
  <c r="E919" i="88" s="1"/>
  <c r="E1236" i="88" s="1"/>
  <c r="D572" i="88"/>
  <c r="D919" i="88" s="1"/>
  <c r="D1236" i="88" s="1"/>
  <c r="C572" i="88"/>
  <c r="C919" i="88" s="1"/>
  <c r="C1236" i="88" s="1"/>
  <c r="F571" i="88"/>
  <c r="F918" i="88" s="1"/>
  <c r="F1235" i="88" s="1"/>
  <c r="E571" i="88"/>
  <c r="E918" i="88" s="1"/>
  <c r="E1235" i="88" s="1"/>
  <c r="D571" i="88"/>
  <c r="D918" i="88" s="1"/>
  <c r="D1235" i="88" s="1"/>
  <c r="C571" i="88"/>
  <c r="C918" i="88" s="1"/>
  <c r="C1235" i="88" s="1"/>
  <c r="F570" i="88"/>
  <c r="F917" i="88" s="1"/>
  <c r="F1234" i="88" s="1"/>
  <c r="E570" i="88"/>
  <c r="E917" i="88" s="1"/>
  <c r="E1234" i="88" s="1"/>
  <c r="D570" i="88"/>
  <c r="D917" i="88" s="1"/>
  <c r="D1234" i="88" s="1"/>
  <c r="C570" i="88"/>
  <c r="C917" i="88" s="1"/>
  <c r="C1234" i="88" s="1"/>
  <c r="F569" i="88"/>
  <c r="F916" i="88" s="1"/>
  <c r="F1233" i="88" s="1"/>
  <c r="E569" i="88"/>
  <c r="E916" i="88" s="1"/>
  <c r="E1233" i="88" s="1"/>
  <c r="D569" i="88"/>
  <c r="D916" i="88" s="1"/>
  <c r="D1233" i="88" s="1"/>
  <c r="C569" i="88"/>
  <c r="C916" i="88" s="1"/>
  <c r="C1233" i="88" s="1"/>
  <c r="F568" i="88"/>
  <c r="F915" i="88" s="1"/>
  <c r="F1232" i="88" s="1"/>
  <c r="E568" i="88"/>
  <c r="E915" i="88" s="1"/>
  <c r="E1232" i="88" s="1"/>
  <c r="D568" i="88"/>
  <c r="D915" i="88" s="1"/>
  <c r="D1232" i="88" s="1"/>
  <c r="C568" i="88"/>
  <c r="C915" i="88" s="1"/>
  <c r="C1232" i="88" s="1"/>
  <c r="F567" i="88"/>
  <c r="F914" i="88" s="1"/>
  <c r="F1231" i="88" s="1"/>
  <c r="E567" i="88"/>
  <c r="E914" i="88" s="1"/>
  <c r="E1231" i="88" s="1"/>
  <c r="D567" i="88"/>
  <c r="D914" i="88" s="1"/>
  <c r="D1231" i="88" s="1"/>
  <c r="C567" i="88"/>
  <c r="C914" i="88" s="1"/>
  <c r="C1231" i="88" s="1"/>
  <c r="F566" i="88"/>
  <c r="F913" i="88" s="1"/>
  <c r="F1230" i="88" s="1"/>
  <c r="E566" i="88"/>
  <c r="E913" i="88" s="1"/>
  <c r="E1230" i="88" s="1"/>
  <c r="D566" i="88"/>
  <c r="D913" i="88" s="1"/>
  <c r="D1230" i="88" s="1"/>
  <c r="C566" i="88"/>
  <c r="C913" i="88" s="1"/>
  <c r="C1230" i="88" s="1"/>
  <c r="F565" i="88"/>
  <c r="F912" i="88" s="1"/>
  <c r="F1229" i="88" s="1"/>
  <c r="E565" i="88"/>
  <c r="E912" i="88" s="1"/>
  <c r="E1229" i="88" s="1"/>
  <c r="D565" i="88"/>
  <c r="D912" i="88" s="1"/>
  <c r="D1229" i="88" s="1"/>
  <c r="C565" i="88"/>
  <c r="C912" i="88" s="1"/>
  <c r="C1229" i="88" s="1"/>
  <c r="F564" i="88"/>
  <c r="F911" i="88" s="1"/>
  <c r="F1228" i="88" s="1"/>
  <c r="E564" i="88"/>
  <c r="E911" i="88" s="1"/>
  <c r="E1228" i="88" s="1"/>
  <c r="D564" i="88"/>
  <c r="D911" i="88" s="1"/>
  <c r="D1228" i="88" s="1"/>
  <c r="C564" i="88"/>
  <c r="C911" i="88" s="1"/>
  <c r="C1228" i="88" s="1"/>
  <c r="F563" i="88"/>
  <c r="F910" i="88" s="1"/>
  <c r="F1227" i="88" s="1"/>
  <c r="E563" i="88"/>
  <c r="E910" i="88" s="1"/>
  <c r="E1227" i="88" s="1"/>
  <c r="D563" i="88"/>
  <c r="D910" i="88" s="1"/>
  <c r="D1227" i="88" s="1"/>
  <c r="C563" i="88"/>
  <c r="C910" i="88" s="1"/>
  <c r="C1227" i="88" s="1"/>
  <c r="F562" i="88"/>
  <c r="F909" i="88" s="1"/>
  <c r="F1226" i="88" s="1"/>
  <c r="E562" i="88"/>
  <c r="E909" i="88" s="1"/>
  <c r="E1226" i="88" s="1"/>
  <c r="D562" i="88"/>
  <c r="D909" i="88" s="1"/>
  <c r="D1226" i="88" s="1"/>
  <c r="C562" i="88"/>
  <c r="C909" i="88" s="1"/>
  <c r="C1226" i="88" s="1"/>
  <c r="F561" i="88"/>
  <c r="F908" i="88" s="1"/>
  <c r="F1225" i="88" s="1"/>
  <c r="E561" i="88"/>
  <c r="E908" i="88" s="1"/>
  <c r="E1225" i="88" s="1"/>
  <c r="D561" i="88"/>
  <c r="D908" i="88" s="1"/>
  <c r="D1225" i="88" s="1"/>
  <c r="C561" i="88"/>
  <c r="C908" i="88" s="1"/>
  <c r="C1225" i="88" s="1"/>
  <c r="F560" i="88"/>
  <c r="F907" i="88" s="1"/>
  <c r="F1224" i="88" s="1"/>
  <c r="E560" i="88"/>
  <c r="E907" i="88" s="1"/>
  <c r="E1224" i="88" s="1"/>
  <c r="D560" i="88"/>
  <c r="D907" i="88" s="1"/>
  <c r="D1224" i="88" s="1"/>
  <c r="C560" i="88"/>
  <c r="C907" i="88" s="1"/>
  <c r="C1224" i="88" s="1"/>
  <c r="F559" i="88"/>
  <c r="F906" i="88" s="1"/>
  <c r="F1223" i="88" s="1"/>
  <c r="E559" i="88"/>
  <c r="E906" i="88" s="1"/>
  <c r="E1223" i="88" s="1"/>
  <c r="D559" i="88"/>
  <c r="D906" i="88" s="1"/>
  <c r="D1223" i="88" s="1"/>
  <c r="C559" i="88"/>
  <c r="C906" i="88" s="1"/>
  <c r="C1223" i="88" s="1"/>
  <c r="F558" i="88"/>
  <c r="F905" i="88" s="1"/>
  <c r="F1222" i="88" s="1"/>
  <c r="E558" i="88"/>
  <c r="E905" i="88" s="1"/>
  <c r="E1222" i="88" s="1"/>
  <c r="D558" i="88"/>
  <c r="D905" i="88" s="1"/>
  <c r="D1222" i="88" s="1"/>
  <c r="C558" i="88"/>
  <c r="C905" i="88" s="1"/>
  <c r="C1222" i="88" s="1"/>
  <c r="F557" i="88"/>
  <c r="F904" i="88" s="1"/>
  <c r="F1221" i="88" s="1"/>
  <c r="E557" i="88"/>
  <c r="E904" i="88" s="1"/>
  <c r="E1221" i="88" s="1"/>
  <c r="D557" i="88"/>
  <c r="D904" i="88" s="1"/>
  <c r="D1221" i="88" s="1"/>
  <c r="C557" i="88"/>
  <c r="C904" i="88" s="1"/>
  <c r="C1221" i="88" s="1"/>
  <c r="F556" i="88"/>
  <c r="F903" i="88" s="1"/>
  <c r="F1220" i="88" s="1"/>
  <c r="E556" i="88"/>
  <c r="E903" i="88" s="1"/>
  <c r="E1220" i="88" s="1"/>
  <c r="D556" i="88"/>
  <c r="D903" i="88" s="1"/>
  <c r="D1220" i="88" s="1"/>
  <c r="C556" i="88"/>
  <c r="C903" i="88" s="1"/>
  <c r="C1220" i="88" s="1"/>
  <c r="F555" i="88"/>
  <c r="F902" i="88" s="1"/>
  <c r="F1219" i="88" s="1"/>
  <c r="E555" i="88"/>
  <c r="E902" i="88" s="1"/>
  <c r="E1219" i="88" s="1"/>
  <c r="D555" i="88"/>
  <c r="D902" i="88" s="1"/>
  <c r="D1219" i="88" s="1"/>
  <c r="C555" i="88"/>
  <c r="C902" i="88" s="1"/>
  <c r="C1219" i="88" s="1"/>
  <c r="F554" i="88"/>
  <c r="F901" i="88" s="1"/>
  <c r="F1218" i="88" s="1"/>
  <c r="E554" i="88"/>
  <c r="E901" i="88" s="1"/>
  <c r="E1218" i="88" s="1"/>
  <c r="D554" i="88"/>
  <c r="D901" i="88" s="1"/>
  <c r="D1218" i="88" s="1"/>
  <c r="C554" i="88"/>
  <c r="C901" i="88" s="1"/>
  <c r="C1218" i="88" s="1"/>
  <c r="F553" i="88"/>
  <c r="F900" i="88" s="1"/>
  <c r="F1217" i="88" s="1"/>
  <c r="E553" i="88"/>
  <c r="E900" i="88" s="1"/>
  <c r="E1217" i="88" s="1"/>
  <c r="D553" i="88"/>
  <c r="D900" i="88" s="1"/>
  <c r="D1217" i="88" s="1"/>
  <c r="C553" i="88"/>
  <c r="C900" i="88" s="1"/>
  <c r="C1217" i="88" s="1"/>
  <c r="F552" i="88"/>
  <c r="F899" i="88" s="1"/>
  <c r="F1216" i="88" s="1"/>
  <c r="E552" i="88"/>
  <c r="E899" i="88" s="1"/>
  <c r="E1216" i="88" s="1"/>
  <c r="D552" i="88"/>
  <c r="D899" i="88" s="1"/>
  <c r="D1216" i="88" s="1"/>
  <c r="C552" i="88"/>
  <c r="C899" i="88" s="1"/>
  <c r="C1216" i="88" s="1"/>
  <c r="F551" i="88"/>
  <c r="F898" i="88" s="1"/>
  <c r="F1215" i="88" s="1"/>
  <c r="E551" i="88"/>
  <c r="E898" i="88" s="1"/>
  <c r="E1215" i="88" s="1"/>
  <c r="D551" i="88"/>
  <c r="D898" i="88" s="1"/>
  <c r="D1215" i="88" s="1"/>
  <c r="C551" i="88"/>
  <c r="C898" i="88" s="1"/>
  <c r="C1215" i="88" s="1"/>
  <c r="F550" i="88"/>
  <c r="F897" i="88" s="1"/>
  <c r="F1214" i="88" s="1"/>
  <c r="E550" i="88"/>
  <c r="E897" i="88" s="1"/>
  <c r="E1214" i="88" s="1"/>
  <c r="D550" i="88"/>
  <c r="D897" i="88" s="1"/>
  <c r="D1214" i="88" s="1"/>
  <c r="C550" i="88"/>
  <c r="C897" i="88" s="1"/>
  <c r="C1214" i="88" s="1"/>
  <c r="F549" i="88"/>
  <c r="F896" i="88" s="1"/>
  <c r="F1213" i="88" s="1"/>
  <c r="E549" i="88"/>
  <c r="E896" i="88" s="1"/>
  <c r="E1213" i="88" s="1"/>
  <c r="D549" i="88"/>
  <c r="D896" i="88" s="1"/>
  <c r="D1213" i="88" s="1"/>
  <c r="C549" i="88"/>
  <c r="C896" i="88" s="1"/>
  <c r="C1213" i="88" s="1"/>
  <c r="F548" i="88"/>
  <c r="F895" i="88" s="1"/>
  <c r="F1212" i="88" s="1"/>
  <c r="E548" i="88"/>
  <c r="E895" i="88" s="1"/>
  <c r="E1212" i="88" s="1"/>
  <c r="D548" i="88"/>
  <c r="D895" i="88" s="1"/>
  <c r="D1212" i="88" s="1"/>
  <c r="C548" i="88"/>
  <c r="C895" i="88" s="1"/>
  <c r="C1212" i="88" s="1"/>
  <c r="F547" i="88"/>
  <c r="F894" i="88" s="1"/>
  <c r="F1211" i="88" s="1"/>
  <c r="E547" i="88"/>
  <c r="E894" i="88" s="1"/>
  <c r="E1211" i="88" s="1"/>
  <c r="D547" i="88"/>
  <c r="D894" i="88" s="1"/>
  <c r="D1211" i="88" s="1"/>
  <c r="C547" i="88"/>
  <c r="C894" i="88" s="1"/>
  <c r="C1211" i="88" s="1"/>
  <c r="F546" i="88"/>
  <c r="F893" i="88" s="1"/>
  <c r="F1210" i="88" s="1"/>
  <c r="E546" i="88"/>
  <c r="E893" i="88" s="1"/>
  <c r="E1210" i="88" s="1"/>
  <c r="D546" i="88"/>
  <c r="D893" i="88" s="1"/>
  <c r="D1210" i="88" s="1"/>
  <c r="C546" i="88"/>
  <c r="C893" i="88" s="1"/>
  <c r="C1210" i="88" s="1"/>
  <c r="F545" i="88"/>
  <c r="F892" i="88" s="1"/>
  <c r="F1209" i="88" s="1"/>
  <c r="E545" i="88"/>
  <c r="E892" i="88" s="1"/>
  <c r="E1209" i="88" s="1"/>
  <c r="D545" i="88"/>
  <c r="D892" i="88" s="1"/>
  <c r="D1209" i="88" s="1"/>
  <c r="C545" i="88"/>
  <c r="C892" i="88" s="1"/>
  <c r="C1209" i="88" s="1"/>
  <c r="F544" i="88"/>
  <c r="F891" i="88" s="1"/>
  <c r="F1208" i="88" s="1"/>
  <c r="E544" i="88"/>
  <c r="E891" i="88" s="1"/>
  <c r="E1208" i="88" s="1"/>
  <c r="D544" i="88"/>
  <c r="D891" i="88" s="1"/>
  <c r="D1208" i="88" s="1"/>
  <c r="C544" i="88"/>
  <c r="C891" i="88" s="1"/>
  <c r="C1208" i="88" s="1"/>
  <c r="F543" i="88"/>
  <c r="F890" i="88" s="1"/>
  <c r="F1207" i="88" s="1"/>
  <c r="E543" i="88"/>
  <c r="E890" i="88" s="1"/>
  <c r="E1207" i="88" s="1"/>
  <c r="D543" i="88"/>
  <c r="D890" i="88" s="1"/>
  <c r="D1207" i="88" s="1"/>
  <c r="C543" i="88"/>
  <c r="C890" i="88" s="1"/>
  <c r="C1207" i="88" s="1"/>
  <c r="F542" i="88"/>
  <c r="F889" i="88" s="1"/>
  <c r="F1206" i="88" s="1"/>
  <c r="E542" i="88"/>
  <c r="E889" i="88" s="1"/>
  <c r="E1206" i="88" s="1"/>
  <c r="D542" i="88"/>
  <c r="D889" i="88" s="1"/>
  <c r="D1206" i="88" s="1"/>
  <c r="C542" i="88"/>
  <c r="C889" i="88" s="1"/>
  <c r="C1206" i="88" s="1"/>
  <c r="F541" i="88"/>
  <c r="F888" i="88" s="1"/>
  <c r="F1205" i="88" s="1"/>
  <c r="E541" i="88"/>
  <c r="E888" i="88" s="1"/>
  <c r="E1205" i="88" s="1"/>
  <c r="D541" i="88"/>
  <c r="D888" i="88" s="1"/>
  <c r="D1205" i="88" s="1"/>
  <c r="C541" i="88"/>
  <c r="C888" i="88" s="1"/>
  <c r="C1205" i="88" s="1"/>
  <c r="F540" i="88"/>
  <c r="F887" i="88" s="1"/>
  <c r="F1204" i="88" s="1"/>
  <c r="E540" i="88"/>
  <c r="E887" i="88" s="1"/>
  <c r="E1204" i="88" s="1"/>
  <c r="D540" i="88"/>
  <c r="D887" i="88" s="1"/>
  <c r="D1204" i="88" s="1"/>
  <c r="C540" i="88"/>
  <c r="C887" i="88" s="1"/>
  <c r="C1204" i="88" s="1"/>
  <c r="F539" i="88"/>
  <c r="F886" i="88" s="1"/>
  <c r="F1203" i="88" s="1"/>
  <c r="E539" i="88"/>
  <c r="E886" i="88" s="1"/>
  <c r="E1203" i="88" s="1"/>
  <c r="D539" i="88"/>
  <c r="D886" i="88" s="1"/>
  <c r="D1203" i="88" s="1"/>
  <c r="C539" i="88"/>
  <c r="C886" i="88" s="1"/>
  <c r="C1203" i="88" s="1"/>
  <c r="F538" i="88"/>
  <c r="F885" i="88" s="1"/>
  <c r="F1202" i="88" s="1"/>
  <c r="E538" i="88"/>
  <c r="E885" i="88" s="1"/>
  <c r="E1202" i="88" s="1"/>
  <c r="D538" i="88"/>
  <c r="D885" i="88" s="1"/>
  <c r="D1202" i="88" s="1"/>
  <c r="C538" i="88"/>
  <c r="C885" i="88" s="1"/>
  <c r="C1202" i="88" s="1"/>
  <c r="F537" i="88"/>
  <c r="F884" i="88" s="1"/>
  <c r="F1201" i="88" s="1"/>
  <c r="E537" i="88"/>
  <c r="E884" i="88" s="1"/>
  <c r="E1201" i="88" s="1"/>
  <c r="D537" i="88"/>
  <c r="D884" i="88" s="1"/>
  <c r="D1201" i="88" s="1"/>
  <c r="C537" i="88"/>
  <c r="C884" i="88" s="1"/>
  <c r="C1201" i="88" s="1"/>
  <c r="F536" i="88"/>
  <c r="F883" i="88" s="1"/>
  <c r="F1200" i="88" s="1"/>
  <c r="E536" i="88"/>
  <c r="E883" i="88" s="1"/>
  <c r="E1200" i="88" s="1"/>
  <c r="D536" i="88"/>
  <c r="D883" i="88" s="1"/>
  <c r="D1200" i="88" s="1"/>
  <c r="C536" i="88"/>
  <c r="C883" i="88" s="1"/>
  <c r="C1200" i="88" s="1"/>
  <c r="F535" i="88"/>
  <c r="F882" i="88" s="1"/>
  <c r="F1199" i="88" s="1"/>
  <c r="E535" i="88"/>
  <c r="E882" i="88" s="1"/>
  <c r="E1199" i="88" s="1"/>
  <c r="D535" i="88"/>
  <c r="D882" i="88" s="1"/>
  <c r="D1199" i="88" s="1"/>
  <c r="C535" i="88"/>
  <c r="C882" i="88" s="1"/>
  <c r="C1199" i="88" s="1"/>
  <c r="F534" i="88"/>
  <c r="F881" i="88" s="1"/>
  <c r="F1198" i="88" s="1"/>
  <c r="E534" i="88"/>
  <c r="E881" i="88" s="1"/>
  <c r="E1198" i="88" s="1"/>
  <c r="D534" i="88"/>
  <c r="D881" i="88" s="1"/>
  <c r="D1198" i="88" s="1"/>
  <c r="C534" i="88"/>
  <c r="C881" i="88" s="1"/>
  <c r="C1198" i="88" s="1"/>
  <c r="F533" i="88"/>
  <c r="F880" i="88" s="1"/>
  <c r="F1197" i="88" s="1"/>
  <c r="E533" i="88"/>
  <c r="E880" i="88" s="1"/>
  <c r="E1197" i="88" s="1"/>
  <c r="D533" i="88"/>
  <c r="D880" i="88" s="1"/>
  <c r="D1197" i="88" s="1"/>
  <c r="C533" i="88"/>
  <c r="C880" i="88" s="1"/>
  <c r="C1197" i="88" s="1"/>
  <c r="F532" i="88"/>
  <c r="F879" i="88" s="1"/>
  <c r="F1196" i="88" s="1"/>
  <c r="E532" i="88"/>
  <c r="E879" i="88" s="1"/>
  <c r="E1196" i="88" s="1"/>
  <c r="D532" i="88"/>
  <c r="D879" i="88" s="1"/>
  <c r="D1196" i="88" s="1"/>
  <c r="C532" i="88"/>
  <c r="C879" i="88" s="1"/>
  <c r="C1196" i="88" s="1"/>
  <c r="F531" i="88"/>
  <c r="F878" i="88" s="1"/>
  <c r="F1195" i="88" s="1"/>
  <c r="E531" i="88"/>
  <c r="E878" i="88" s="1"/>
  <c r="E1195" i="88" s="1"/>
  <c r="D531" i="88"/>
  <c r="D878" i="88" s="1"/>
  <c r="D1195" i="88" s="1"/>
  <c r="C531" i="88"/>
  <c r="C878" i="88" s="1"/>
  <c r="C1195" i="88" s="1"/>
  <c r="F530" i="88"/>
  <c r="F877" i="88" s="1"/>
  <c r="F1194" i="88" s="1"/>
  <c r="E530" i="88"/>
  <c r="E877" i="88" s="1"/>
  <c r="E1194" i="88" s="1"/>
  <c r="D530" i="88"/>
  <c r="D877" i="88" s="1"/>
  <c r="D1194" i="88" s="1"/>
  <c r="C530" i="88"/>
  <c r="C877" i="88" s="1"/>
  <c r="C1194" i="88" s="1"/>
  <c r="F529" i="88"/>
  <c r="F876" i="88" s="1"/>
  <c r="F1193" i="88" s="1"/>
  <c r="E529" i="88"/>
  <c r="E876" i="88" s="1"/>
  <c r="E1193" i="88" s="1"/>
  <c r="D529" i="88"/>
  <c r="D876" i="88" s="1"/>
  <c r="D1193" i="88" s="1"/>
  <c r="C529" i="88"/>
  <c r="C876" i="88" s="1"/>
  <c r="C1193" i="88" s="1"/>
  <c r="F528" i="88"/>
  <c r="F875" i="88" s="1"/>
  <c r="F1192" i="88" s="1"/>
  <c r="E528" i="88"/>
  <c r="E875" i="88" s="1"/>
  <c r="E1192" i="88" s="1"/>
  <c r="D528" i="88"/>
  <c r="D875" i="88" s="1"/>
  <c r="D1192" i="88" s="1"/>
  <c r="C528" i="88"/>
  <c r="C875" i="88" s="1"/>
  <c r="C1192" i="88" s="1"/>
  <c r="F527" i="88"/>
  <c r="F874" i="88" s="1"/>
  <c r="F1191" i="88" s="1"/>
  <c r="E527" i="88"/>
  <c r="E874" i="88" s="1"/>
  <c r="E1191" i="88" s="1"/>
  <c r="D527" i="88"/>
  <c r="D874" i="88" s="1"/>
  <c r="D1191" i="88" s="1"/>
  <c r="C527" i="88"/>
  <c r="C874" i="88" s="1"/>
  <c r="C1191" i="88" s="1"/>
  <c r="F526" i="88"/>
  <c r="F873" i="88" s="1"/>
  <c r="F1190" i="88" s="1"/>
  <c r="E526" i="88"/>
  <c r="E873" i="88" s="1"/>
  <c r="E1190" i="88" s="1"/>
  <c r="D526" i="88"/>
  <c r="D873" i="88" s="1"/>
  <c r="D1190" i="88" s="1"/>
  <c r="C526" i="88"/>
  <c r="C873" i="88" s="1"/>
  <c r="C1190" i="88" s="1"/>
  <c r="F525" i="88"/>
  <c r="F872" i="88" s="1"/>
  <c r="F1189" i="88" s="1"/>
  <c r="E525" i="88"/>
  <c r="E872" i="88" s="1"/>
  <c r="E1189" i="88" s="1"/>
  <c r="D525" i="88"/>
  <c r="D872" i="88" s="1"/>
  <c r="D1189" i="88" s="1"/>
  <c r="C525" i="88"/>
  <c r="C872" i="88" s="1"/>
  <c r="C1189" i="88" s="1"/>
  <c r="F524" i="88"/>
  <c r="F871" i="88" s="1"/>
  <c r="F1188" i="88" s="1"/>
  <c r="E524" i="88"/>
  <c r="E871" i="88" s="1"/>
  <c r="E1188" i="88" s="1"/>
  <c r="D524" i="88"/>
  <c r="D871" i="88" s="1"/>
  <c r="D1188" i="88" s="1"/>
  <c r="C524" i="88"/>
  <c r="C871" i="88" s="1"/>
  <c r="C1188" i="88" s="1"/>
  <c r="F523" i="88"/>
  <c r="F870" i="88" s="1"/>
  <c r="F1187" i="88" s="1"/>
  <c r="E523" i="88"/>
  <c r="E870" i="88" s="1"/>
  <c r="E1187" i="88" s="1"/>
  <c r="D523" i="88"/>
  <c r="D870" i="88" s="1"/>
  <c r="D1187" i="88" s="1"/>
  <c r="C523" i="88"/>
  <c r="C870" i="88" s="1"/>
  <c r="C1187" i="88" s="1"/>
  <c r="F522" i="88"/>
  <c r="F869" i="88" s="1"/>
  <c r="F1186" i="88" s="1"/>
  <c r="E522" i="88"/>
  <c r="E869" i="88" s="1"/>
  <c r="E1186" i="88" s="1"/>
  <c r="D522" i="88"/>
  <c r="D869" i="88" s="1"/>
  <c r="D1186" i="88" s="1"/>
  <c r="C522" i="88"/>
  <c r="C869" i="88" s="1"/>
  <c r="C1186" i="88" s="1"/>
  <c r="F521" i="88"/>
  <c r="F868" i="88" s="1"/>
  <c r="F1185" i="88" s="1"/>
  <c r="E521" i="88"/>
  <c r="E868" i="88" s="1"/>
  <c r="E1185" i="88" s="1"/>
  <c r="D521" i="88"/>
  <c r="D868" i="88" s="1"/>
  <c r="D1185" i="88" s="1"/>
  <c r="C521" i="88"/>
  <c r="C868" i="88" s="1"/>
  <c r="C1185" i="88" s="1"/>
  <c r="F520" i="88"/>
  <c r="F867" i="88" s="1"/>
  <c r="F1184" i="88" s="1"/>
  <c r="E520" i="88"/>
  <c r="E867" i="88" s="1"/>
  <c r="E1184" i="88" s="1"/>
  <c r="D520" i="88"/>
  <c r="D867" i="88" s="1"/>
  <c r="D1184" i="88" s="1"/>
  <c r="C520" i="88"/>
  <c r="C867" i="88" s="1"/>
  <c r="C1184" i="88" s="1"/>
  <c r="F519" i="88"/>
  <c r="F866" i="88" s="1"/>
  <c r="F1183" i="88" s="1"/>
  <c r="E519" i="88"/>
  <c r="E866" i="88" s="1"/>
  <c r="E1183" i="88" s="1"/>
  <c r="D519" i="88"/>
  <c r="D866" i="88" s="1"/>
  <c r="D1183" i="88" s="1"/>
  <c r="C519" i="88"/>
  <c r="C866" i="88" s="1"/>
  <c r="C1183" i="88" s="1"/>
  <c r="F518" i="88"/>
  <c r="F865" i="88" s="1"/>
  <c r="F1182" i="88" s="1"/>
  <c r="E518" i="88"/>
  <c r="E865" i="88" s="1"/>
  <c r="E1182" i="88" s="1"/>
  <c r="D518" i="88"/>
  <c r="D865" i="88" s="1"/>
  <c r="D1182" i="88" s="1"/>
  <c r="C518" i="88"/>
  <c r="C865" i="88" s="1"/>
  <c r="C1182" i="88" s="1"/>
  <c r="F517" i="88"/>
  <c r="F864" i="88" s="1"/>
  <c r="F1181" i="88" s="1"/>
  <c r="E517" i="88"/>
  <c r="E864" i="88" s="1"/>
  <c r="E1181" i="88" s="1"/>
  <c r="D517" i="88"/>
  <c r="D864" i="88" s="1"/>
  <c r="D1181" i="88" s="1"/>
  <c r="C517" i="88"/>
  <c r="C864" i="88" s="1"/>
  <c r="C1181" i="88" s="1"/>
  <c r="F516" i="88"/>
  <c r="F863" i="88" s="1"/>
  <c r="F1180" i="88" s="1"/>
  <c r="E516" i="88"/>
  <c r="E863" i="88" s="1"/>
  <c r="E1180" i="88" s="1"/>
  <c r="D516" i="88"/>
  <c r="D863" i="88" s="1"/>
  <c r="D1180" i="88" s="1"/>
  <c r="C516" i="88"/>
  <c r="C863" i="88" s="1"/>
  <c r="C1180" i="88" s="1"/>
  <c r="F515" i="88"/>
  <c r="F862" i="88" s="1"/>
  <c r="F1179" i="88" s="1"/>
  <c r="E515" i="88"/>
  <c r="E862" i="88" s="1"/>
  <c r="E1179" i="88" s="1"/>
  <c r="D515" i="88"/>
  <c r="D862" i="88" s="1"/>
  <c r="D1179" i="88" s="1"/>
  <c r="C515" i="88"/>
  <c r="C862" i="88" s="1"/>
  <c r="C1179" i="88" s="1"/>
  <c r="F514" i="88"/>
  <c r="F861" i="88" s="1"/>
  <c r="F1178" i="88" s="1"/>
  <c r="E514" i="88"/>
  <c r="E861" i="88" s="1"/>
  <c r="E1178" i="88" s="1"/>
  <c r="D514" i="88"/>
  <c r="D861" i="88" s="1"/>
  <c r="D1178" i="88" s="1"/>
  <c r="C514" i="88"/>
  <c r="C861" i="88" s="1"/>
  <c r="C1178" i="88" s="1"/>
  <c r="F513" i="88"/>
  <c r="F860" i="88" s="1"/>
  <c r="F1177" i="88" s="1"/>
  <c r="E513" i="88"/>
  <c r="E860" i="88" s="1"/>
  <c r="E1177" i="88" s="1"/>
  <c r="D513" i="88"/>
  <c r="D860" i="88" s="1"/>
  <c r="D1177" i="88" s="1"/>
  <c r="C513" i="88"/>
  <c r="C860" i="88" s="1"/>
  <c r="C1177" i="88" s="1"/>
  <c r="F512" i="88"/>
  <c r="F859" i="88" s="1"/>
  <c r="F1176" i="88" s="1"/>
  <c r="E512" i="88"/>
  <c r="E859" i="88" s="1"/>
  <c r="E1176" i="88" s="1"/>
  <c r="D512" i="88"/>
  <c r="D859" i="88" s="1"/>
  <c r="D1176" i="88" s="1"/>
  <c r="C512" i="88"/>
  <c r="C859" i="88" s="1"/>
  <c r="C1176" i="88" s="1"/>
  <c r="F511" i="88"/>
  <c r="F858" i="88" s="1"/>
  <c r="F1175" i="88" s="1"/>
  <c r="E511" i="88"/>
  <c r="E858" i="88" s="1"/>
  <c r="E1175" i="88" s="1"/>
  <c r="D511" i="88"/>
  <c r="D858" i="88" s="1"/>
  <c r="D1175" i="88" s="1"/>
  <c r="C511" i="88"/>
  <c r="C858" i="88" s="1"/>
  <c r="C1175" i="88" s="1"/>
  <c r="F510" i="88"/>
  <c r="F857" i="88" s="1"/>
  <c r="F1174" i="88" s="1"/>
  <c r="E510" i="88"/>
  <c r="E857" i="88" s="1"/>
  <c r="E1174" i="88" s="1"/>
  <c r="D510" i="88"/>
  <c r="D857" i="88" s="1"/>
  <c r="D1174" i="88" s="1"/>
  <c r="C510" i="88"/>
  <c r="C857" i="88" s="1"/>
  <c r="C1174" i="88" s="1"/>
  <c r="F509" i="88"/>
  <c r="F856" i="88" s="1"/>
  <c r="F1173" i="88" s="1"/>
  <c r="E509" i="88"/>
  <c r="E856" i="88" s="1"/>
  <c r="E1173" i="88" s="1"/>
  <c r="D509" i="88"/>
  <c r="D856" i="88" s="1"/>
  <c r="D1173" i="88" s="1"/>
  <c r="C509" i="88"/>
  <c r="C856" i="88" s="1"/>
  <c r="C1173" i="88" s="1"/>
  <c r="F508" i="88"/>
  <c r="F855" i="88" s="1"/>
  <c r="F1172" i="88" s="1"/>
  <c r="E508" i="88"/>
  <c r="E855" i="88" s="1"/>
  <c r="E1172" i="88" s="1"/>
  <c r="D508" i="88"/>
  <c r="D855" i="88" s="1"/>
  <c r="D1172" i="88" s="1"/>
  <c r="C508" i="88"/>
  <c r="C855" i="88" s="1"/>
  <c r="C1172" i="88" s="1"/>
  <c r="F507" i="88"/>
  <c r="F854" i="88" s="1"/>
  <c r="F1171" i="88" s="1"/>
  <c r="E507" i="88"/>
  <c r="E854" i="88" s="1"/>
  <c r="E1171" i="88" s="1"/>
  <c r="D507" i="88"/>
  <c r="D854" i="88" s="1"/>
  <c r="D1171" i="88" s="1"/>
  <c r="C507" i="88"/>
  <c r="C854" i="88" s="1"/>
  <c r="C1171" i="88" s="1"/>
  <c r="F506" i="88"/>
  <c r="F853" i="88" s="1"/>
  <c r="F1170" i="88" s="1"/>
  <c r="E506" i="88"/>
  <c r="E853" i="88" s="1"/>
  <c r="E1170" i="88" s="1"/>
  <c r="D506" i="88"/>
  <c r="D853" i="88" s="1"/>
  <c r="D1170" i="88" s="1"/>
  <c r="C506" i="88"/>
  <c r="C853" i="88" s="1"/>
  <c r="C1170" i="88" s="1"/>
  <c r="F505" i="88"/>
  <c r="F852" i="88" s="1"/>
  <c r="F1169" i="88" s="1"/>
  <c r="E505" i="88"/>
  <c r="E852" i="88" s="1"/>
  <c r="E1169" i="88" s="1"/>
  <c r="D505" i="88"/>
  <c r="D852" i="88" s="1"/>
  <c r="D1169" i="88" s="1"/>
  <c r="C505" i="88"/>
  <c r="C852" i="88" s="1"/>
  <c r="C1169" i="88" s="1"/>
  <c r="F504" i="88"/>
  <c r="F851" i="88" s="1"/>
  <c r="F1168" i="88" s="1"/>
  <c r="E504" i="88"/>
  <c r="E851" i="88" s="1"/>
  <c r="E1168" i="88" s="1"/>
  <c r="D504" i="88"/>
  <c r="D851" i="88" s="1"/>
  <c r="D1168" i="88" s="1"/>
  <c r="C504" i="88"/>
  <c r="C851" i="88" s="1"/>
  <c r="C1168" i="88" s="1"/>
  <c r="F503" i="88"/>
  <c r="F850" i="88" s="1"/>
  <c r="F1167" i="88" s="1"/>
  <c r="E503" i="88"/>
  <c r="E850" i="88" s="1"/>
  <c r="E1167" i="88" s="1"/>
  <c r="D503" i="88"/>
  <c r="D850" i="88" s="1"/>
  <c r="D1167" i="88" s="1"/>
  <c r="C503" i="88"/>
  <c r="C850" i="88" s="1"/>
  <c r="C1167" i="88" s="1"/>
  <c r="F502" i="88"/>
  <c r="F849" i="88" s="1"/>
  <c r="F1166" i="88" s="1"/>
  <c r="E502" i="88"/>
  <c r="E849" i="88" s="1"/>
  <c r="E1166" i="88" s="1"/>
  <c r="D502" i="88"/>
  <c r="D849" i="88" s="1"/>
  <c r="D1166" i="88" s="1"/>
  <c r="C502" i="88"/>
  <c r="C849" i="88" s="1"/>
  <c r="C1166" i="88" s="1"/>
  <c r="F501" i="88"/>
  <c r="F848" i="88" s="1"/>
  <c r="F1165" i="88" s="1"/>
  <c r="E501" i="88"/>
  <c r="E848" i="88" s="1"/>
  <c r="E1165" i="88" s="1"/>
  <c r="D501" i="88"/>
  <c r="D848" i="88" s="1"/>
  <c r="D1165" i="88" s="1"/>
  <c r="C501" i="88"/>
  <c r="C848" i="88" s="1"/>
  <c r="C1165" i="88" s="1"/>
  <c r="F500" i="88"/>
  <c r="F847" i="88" s="1"/>
  <c r="F1164" i="88" s="1"/>
  <c r="E500" i="88"/>
  <c r="E847" i="88" s="1"/>
  <c r="E1164" i="88" s="1"/>
  <c r="D500" i="88"/>
  <c r="D847" i="88" s="1"/>
  <c r="D1164" i="88" s="1"/>
  <c r="C500" i="88"/>
  <c r="C847" i="88" s="1"/>
  <c r="C1164" i="88" s="1"/>
  <c r="F499" i="88"/>
  <c r="F846" i="88" s="1"/>
  <c r="F1163" i="88" s="1"/>
  <c r="E499" i="88"/>
  <c r="E846" i="88" s="1"/>
  <c r="E1163" i="88" s="1"/>
  <c r="D499" i="88"/>
  <c r="D846" i="88" s="1"/>
  <c r="D1163" i="88" s="1"/>
  <c r="C499" i="88"/>
  <c r="C846" i="88" s="1"/>
  <c r="C1163" i="88" s="1"/>
  <c r="F498" i="88"/>
  <c r="F845" i="88" s="1"/>
  <c r="F1162" i="88" s="1"/>
  <c r="E498" i="88"/>
  <c r="E845" i="88" s="1"/>
  <c r="E1162" i="88" s="1"/>
  <c r="D498" i="88"/>
  <c r="D845" i="88" s="1"/>
  <c r="D1162" i="88" s="1"/>
  <c r="C498" i="88"/>
  <c r="C845" i="88" s="1"/>
  <c r="C1162" i="88" s="1"/>
  <c r="F497" i="88"/>
  <c r="F844" i="88" s="1"/>
  <c r="F1161" i="88" s="1"/>
  <c r="E497" i="88"/>
  <c r="E844" i="88" s="1"/>
  <c r="E1161" i="88" s="1"/>
  <c r="D497" i="88"/>
  <c r="D844" i="88" s="1"/>
  <c r="D1161" i="88" s="1"/>
  <c r="C497" i="88"/>
  <c r="C844" i="88" s="1"/>
  <c r="C1161" i="88" s="1"/>
  <c r="F496" i="88"/>
  <c r="F843" i="88" s="1"/>
  <c r="F1160" i="88" s="1"/>
  <c r="E496" i="88"/>
  <c r="E843" i="88" s="1"/>
  <c r="E1160" i="88" s="1"/>
  <c r="D496" i="88"/>
  <c r="D843" i="88" s="1"/>
  <c r="D1160" i="88" s="1"/>
  <c r="C496" i="88"/>
  <c r="C843" i="88" s="1"/>
  <c r="C1160" i="88" s="1"/>
  <c r="F495" i="88"/>
  <c r="F842" i="88" s="1"/>
  <c r="F1159" i="88" s="1"/>
  <c r="E495" i="88"/>
  <c r="E842" i="88" s="1"/>
  <c r="E1159" i="88" s="1"/>
  <c r="D495" i="88"/>
  <c r="D842" i="88" s="1"/>
  <c r="D1159" i="88" s="1"/>
  <c r="C495" i="88"/>
  <c r="C842" i="88" s="1"/>
  <c r="C1159" i="88" s="1"/>
  <c r="F494" i="88"/>
  <c r="F841" i="88" s="1"/>
  <c r="F1158" i="88" s="1"/>
  <c r="E494" i="88"/>
  <c r="E841" i="88" s="1"/>
  <c r="E1158" i="88" s="1"/>
  <c r="D494" i="88"/>
  <c r="D841" i="88" s="1"/>
  <c r="D1158" i="88" s="1"/>
  <c r="C494" i="88"/>
  <c r="C841" i="88" s="1"/>
  <c r="C1158" i="88" s="1"/>
  <c r="F493" i="88"/>
  <c r="F840" i="88" s="1"/>
  <c r="F1157" i="88" s="1"/>
  <c r="E493" i="88"/>
  <c r="E840" i="88" s="1"/>
  <c r="E1157" i="88" s="1"/>
  <c r="D493" i="88"/>
  <c r="D840" i="88" s="1"/>
  <c r="D1157" i="88" s="1"/>
  <c r="C493" i="88"/>
  <c r="C840" i="88" s="1"/>
  <c r="C1157" i="88" s="1"/>
  <c r="F492" i="88"/>
  <c r="F839" i="88" s="1"/>
  <c r="F1156" i="88" s="1"/>
  <c r="E492" i="88"/>
  <c r="E839" i="88" s="1"/>
  <c r="E1156" i="88" s="1"/>
  <c r="D492" i="88"/>
  <c r="D839" i="88" s="1"/>
  <c r="D1156" i="88" s="1"/>
  <c r="C492" i="88"/>
  <c r="C839" i="88" s="1"/>
  <c r="C1156" i="88" s="1"/>
  <c r="F491" i="88"/>
  <c r="F838" i="88" s="1"/>
  <c r="F1155" i="88" s="1"/>
  <c r="E491" i="88"/>
  <c r="E838" i="88" s="1"/>
  <c r="E1155" i="88" s="1"/>
  <c r="D491" i="88"/>
  <c r="D838" i="88" s="1"/>
  <c r="D1155" i="88" s="1"/>
  <c r="C491" i="88"/>
  <c r="C838" i="88" s="1"/>
  <c r="C1155" i="88" s="1"/>
  <c r="F490" i="88"/>
  <c r="F837" i="88" s="1"/>
  <c r="F1154" i="88" s="1"/>
  <c r="E490" i="88"/>
  <c r="E837" i="88" s="1"/>
  <c r="E1154" i="88" s="1"/>
  <c r="D490" i="88"/>
  <c r="D837" i="88" s="1"/>
  <c r="D1154" i="88" s="1"/>
  <c r="C490" i="88"/>
  <c r="C837" i="88" s="1"/>
  <c r="C1154" i="88" s="1"/>
  <c r="F489" i="88"/>
  <c r="F836" i="88" s="1"/>
  <c r="F1153" i="88" s="1"/>
  <c r="E489" i="88"/>
  <c r="E836" i="88" s="1"/>
  <c r="E1153" i="88" s="1"/>
  <c r="D489" i="88"/>
  <c r="D836" i="88" s="1"/>
  <c r="D1153" i="88" s="1"/>
  <c r="C489" i="88"/>
  <c r="C836" i="88" s="1"/>
  <c r="C1153" i="88" s="1"/>
  <c r="F488" i="88"/>
  <c r="F835" i="88" s="1"/>
  <c r="F1152" i="88" s="1"/>
  <c r="E488" i="88"/>
  <c r="E835" i="88" s="1"/>
  <c r="E1152" i="88" s="1"/>
  <c r="D488" i="88"/>
  <c r="D835" i="88" s="1"/>
  <c r="D1152" i="88" s="1"/>
  <c r="C488" i="88"/>
  <c r="C835" i="88" s="1"/>
  <c r="C1152" i="88" s="1"/>
  <c r="F487" i="88"/>
  <c r="F834" i="88" s="1"/>
  <c r="F1151" i="88" s="1"/>
  <c r="E487" i="88"/>
  <c r="E834" i="88" s="1"/>
  <c r="E1151" i="88" s="1"/>
  <c r="D487" i="88"/>
  <c r="D834" i="88" s="1"/>
  <c r="D1151" i="88" s="1"/>
  <c r="C487" i="88"/>
  <c r="C834" i="88" s="1"/>
  <c r="C1151" i="88" s="1"/>
  <c r="F486" i="88"/>
  <c r="F833" i="88" s="1"/>
  <c r="F1150" i="88" s="1"/>
  <c r="E486" i="88"/>
  <c r="E833" i="88" s="1"/>
  <c r="E1150" i="88" s="1"/>
  <c r="D486" i="88"/>
  <c r="D833" i="88" s="1"/>
  <c r="D1150" i="88" s="1"/>
  <c r="C486" i="88"/>
  <c r="C833" i="88" s="1"/>
  <c r="C1150" i="88" s="1"/>
  <c r="F485" i="88"/>
  <c r="F832" i="88" s="1"/>
  <c r="F1149" i="88" s="1"/>
  <c r="E485" i="88"/>
  <c r="E832" i="88" s="1"/>
  <c r="E1149" i="88" s="1"/>
  <c r="D485" i="88"/>
  <c r="D832" i="88" s="1"/>
  <c r="D1149" i="88" s="1"/>
  <c r="C485" i="88"/>
  <c r="C832" i="88" s="1"/>
  <c r="C1149" i="88" s="1"/>
  <c r="F484" i="88"/>
  <c r="F831" i="88" s="1"/>
  <c r="F1148" i="88" s="1"/>
  <c r="E484" i="88"/>
  <c r="E831" i="88" s="1"/>
  <c r="E1148" i="88" s="1"/>
  <c r="D484" i="88"/>
  <c r="D831" i="88" s="1"/>
  <c r="D1148" i="88" s="1"/>
  <c r="C484" i="88"/>
  <c r="C831" i="88" s="1"/>
  <c r="C1148" i="88" s="1"/>
  <c r="F483" i="88"/>
  <c r="F830" i="88" s="1"/>
  <c r="F1147" i="88" s="1"/>
  <c r="E483" i="88"/>
  <c r="E830" i="88" s="1"/>
  <c r="E1147" i="88" s="1"/>
  <c r="D483" i="88"/>
  <c r="D830" i="88" s="1"/>
  <c r="D1147" i="88" s="1"/>
  <c r="C483" i="88"/>
  <c r="C830" i="88" s="1"/>
  <c r="C1147" i="88" s="1"/>
  <c r="F482" i="88"/>
  <c r="F829" i="88" s="1"/>
  <c r="F1146" i="88" s="1"/>
  <c r="E482" i="88"/>
  <c r="E829" i="88" s="1"/>
  <c r="E1146" i="88" s="1"/>
  <c r="D482" i="88"/>
  <c r="D829" i="88" s="1"/>
  <c r="D1146" i="88" s="1"/>
  <c r="C482" i="88"/>
  <c r="C829" i="88" s="1"/>
  <c r="C1146" i="88" s="1"/>
  <c r="F481" i="88"/>
  <c r="F828" i="88" s="1"/>
  <c r="F1145" i="88" s="1"/>
  <c r="E481" i="88"/>
  <c r="E828" i="88" s="1"/>
  <c r="E1145" i="88" s="1"/>
  <c r="D481" i="88"/>
  <c r="D828" i="88" s="1"/>
  <c r="D1145" i="88" s="1"/>
  <c r="C481" i="88"/>
  <c r="C828" i="88" s="1"/>
  <c r="C1145" i="88" s="1"/>
  <c r="F480" i="88"/>
  <c r="F827" i="88" s="1"/>
  <c r="F1144" i="88" s="1"/>
  <c r="E480" i="88"/>
  <c r="E827" i="88" s="1"/>
  <c r="E1144" i="88" s="1"/>
  <c r="D480" i="88"/>
  <c r="D827" i="88" s="1"/>
  <c r="D1144" i="88" s="1"/>
  <c r="C480" i="88"/>
  <c r="C827" i="88" s="1"/>
  <c r="C1144" i="88" s="1"/>
  <c r="F479" i="88"/>
  <c r="F826" i="88" s="1"/>
  <c r="F1143" i="88" s="1"/>
  <c r="E479" i="88"/>
  <c r="E826" i="88" s="1"/>
  <c r="E1143" i="88" s="1"/>
  <c r="D479" i="88"/>
  <c r="D826" i="88" s="1"/>
  <c r="D1143" i="88" s="1"/>
  <c r="C479" i="88"/>
  <c r="C826" i="88" s="1"/>
  <c r="C1143" i="88" s="1"/>
  <c r="F478" i="88"/>
  <c r="F825" i="88" s="1"/>
  <c r="F1142" i="88" s="1"/>
  <c r="E478" i="88"/>
  <c r="E825" i="88" s="1"/>
  <c r="E1142" i="88" s="1"/>
  <c r="D478" i="88"/>
  <c r="D825" i="88" s="1"/>
  <c r="D1142" i="88" s="1"/>
  <c r="C478" i="88"/>
  <c r="C825" i="88" s="1"/>
  <c r="C1142" i="88" s="1"/>
  <c r="F477" i="88"/>
  <c r="F824" i="88" s="1"/>
  <c r="F1141" i="88" s="1"/>
  <c r="E477" i="88"/>
  <c r="E824" i="88" s="1"/>
  <c r="E1141" i="88" s="1"/>
  <c r="D477" i="88"/>
  <c r="D824" i="88" s="1"/>
  <c r="D1141" i="88" s="1"/>
  <c r="C477" i="88"/>
  <c r="C824" i="88" s="1"/>
  <c r="C1141" i="88" s="1"/>
  <c r="F476" i="88"/>
  <c r="F823" i="88" s="1"/>
  <c r="F1140" i="88" s="1"/>
  <c r="E476" i="88"/>
  <c r="E823" i="88" s="1"/>
  <c r="E1140" i="88" s="1"/>
  <c r="D476" i="88"/>
  <c r="D823" i="88" s="1"/>
  <c r="D1140" i="88" s="1"/>
  <c r="C476" i="88"/>
  <c r="C823" i="88" s="1"/>
  <c r="C1140" i="88" s="1"/>
  <c r="F475" i="88"/>
  <c r="F822" i="88" s="1"/>
  <c r="F1139" i="88" s="1"/>
  <c r="E475" i="88"/>
  <c r="E822" i="88" s="1"/>
  <c r="E1139" i="88" s="1"/>
  <c r="D475" i="88"/>
  <c r="D822" i="88" s="1"/>
  <c r="D1139" i="88" s="1"/>
  <c r="C475" i="88"/>
  <c r="C822" i="88" s="1"/>
  <c r="C1139" i="88" s="1"/>
  <c r="F474" i="88"/>
  <c r="F821" i="88" s="1"/>
  <c r="F1138" i="88" s="1"/>
  <c r="E474" i="88"/>
  <c r="E821" i="88" s="1"/>
  <c r="E1138" i="88" s="1"/>
  <c r="D474" i="88"/>
  <c r="D821" i="88" s="1"/>
  <c r="D1138" i="88" s="1"/>
  <c r="C474" i="88"/>
  <c r="C821" i="88" s="1"/>
  <c r="C1138" i="88" s="1"/>
  <c r="F473" i="88"/>
  <c r="F820" i="88" s="1"/>
  <c r="F1137" i="88" s="1"/>
  <c r="E473" i="88"/>
  <c r="E820" i="88" s="1"/>
  <c r="E1137" i="88" s="1"/>
  <c r="D473" i="88"/>
  <c r="D820" i="88" s="1"/>
  <c r="D1137" i="88" s="1"/>
  <c r="C473" i="88"/>
  <c r="C820" i="88" s="1"/>
  <c r="C1137" i="88" s="1"/>
  <c r="F472" i="88"/>
  <c r="F819" i="88" s="1"/>
  <c r="F1136" i="88" s="1"/>
  <c r="E472" i="88"/>
  <c r="E819" i="88" s="1"/>
  <c r="E1136" i="88" s="1"/>
  <c r="D472" i="88"/>
  <c r="D819" i="88" s="1"/>
  <c r="D1136" i="88" s="1"/>
  <c r="C472" i="88"/>
  <c r="C819" i="88" s="1"/>
  <c r="C1136" i="88" s="1"/>
  <c r="F471" i="88"/>
  <c r="F818" i="88" s="1"/>
  <c r="F1135" i="88" s="1"/>
  <c r="E471" i="88"/>
  <c r="E818" i="88" s="1"/>
  <c r="E1135" i="88" s="1"/>
  <c r="D471" i="88"/>
  <c r="D818" i="88" s="1"/>
  <c r="D1135" i="88" s="1"/>
  <c r="C471" i="88"/>
  <c r="C818" i="88" s="1"/>
  <c r="C1135" i="88" s="1"/>
  <c r="F470" i="88"/>
  <c r="F817" i="88" s="1"/>
  <c r="F1134" i="88" s="1"/>
  <c r="E470" i="88"/>
  <c r="E817" i="88" s="1"/>
  <c r="E1134" i="88" s="1"/>
  <c r="D470" i="88"/>
  <c r="D817" i="88" s="1"/>
  <c r="D1134" i="88" s="1"/>
  <c r="C470" i="88"/>
  <c r="C817" i="88" s="1"/>
  <c r="C1134" i="88" s="1"/>
  <c r="F469" i="88"/>
  <c r="F816" i="88" s="1"/>
  <c r="F1133" i="88" s="1"/>
  <c r="E469" i="88"/>
  <c r="E816" i="88" s="1"/>
  <c r="E1133" i="88" s="1"/>
  <c r="D469" i="88"/>
  <c r="D816" i="88" s="1"/>
  <c r="D1133" i="88" s="1"/>
  <c r="C469" i="88"/>
  <c r="C816" i="88" s="1"/>
  <c r="C1133" i="88" s="1"/>
  <c r="F468" i="88"/>
  <c r="F815" i="88" s="1"/>
  <c r="F1132" i="88" s="1"/>
  <c r="E468" i="88"/>
  <c r="E815" i="88" s="1"/>
  <c r="E1132" i="88" s="1"/>
  <c r="D468" i="88"/>
  <c r="D815" i="88" s="1"/>
  <c r="D1132" i="88" s="1"/>
  <c r="C468" i="88"/>
  <c r="C815" i="88" s="1"/>
  <c r="C1132" i="88" s="1"/>
  <c r="F467" i="88"/>
  <c r="F814" i="88" s="1"/>
  <c r="F1131" i="88" s="1"/>
  <c r="E467" i="88"/>
  <c r="E814" i="88" s="1"/>
  <c r="E1131" i="88" s="1"/>
  <c r="D467" i="88"/>
  <c r="D814" i="88" s="1"/>
  <c r="D1131" i="88" s="1"/>
  <c r="C467" i="88"/>
  <c r="C814" i="88" s="1"/>
  <c r="C1131" i="88" s="1"/>
  <c r="F466" i="88"/>
  <c r="F813" i="88" s="1"/>
  <c r="F1130" i="88" s="1"/>
  <c r="E466" i="88"/>
  <c r="E813" i="88" s="1"/>
  <c r="E1130" i="88" s="1"/>
  <c r="D466" i="88"/>
  <c r="D813" i="88" s="1"/>
  <c r="D1130" i="88" s="1"/>
  <c r="C466" i="88"/>
  <c r="C813" i="88" s="1"/>
  <c r="C1130" i="88" s="1"/>
  <c r="F465" i="88"/>
  <c r="F812" i="88" s="1"/>
  <c r="F1129" i="88" s="1"/>
  <c r="E465" i="88"/>
  <c r="E812" i="88" s="1"/>
  <c r="E1129" i="88" s="1"/>
  <c r="D465" i="88"/>
  <c r="D812" i="88" s="1"/>
  <c r="D1129" i="88" s="1"/>
  <c r="C465" i="88"/>
  <c r="C812" i="88" s="1"/>
  <c r="C1129" i="88" s="1"/>
  <c r="F464" i="88"/>
  <c r="F811" i="88" s="1"/>
  <c r="F1128" i="88" s="1"/>
  <c r="E464" i="88"/>
  <c r="E811" i="88" s="1"/>
  <c r="E1128" i="88" s="1"/>
  <c r="D464" i="88"/>
  <c r="D811" i="88" s="1"/>
  <c r="D1128" i="88" s="1"/>
  <c r="C464" i="88"/>
  <c r="C811" i="88" s="1"/>
  <c r="C1128" i="88" s="1"/>
  <c r="F463" i="88"/>
  <c r="F810" i="88" s="1"/>
  <c r="F1127" i="88" s="1"/>
  <c r="E463" i="88"/>
  <c r="E810" i="88" s="1"/>
  <c r="E1127" i="88" s="1"/>
  <c r="D463" i="88"/>
  <c r="D810" i="88" s="1"/>
  <c r="D1127" i="88" s="1"/>
  <c r="C463" i="88"/>
  <c r="C810" i="88" s="1"/>
  <c r="C1127" i="88" s="1"/>
  <c r="F462" i="88"/>
  <c r="F809" i="88" s="1"/>
  <c r="F1126" i="88" s="1"/>
  <c r="E462" i="88"/>
  <c r="E809" i="88" s="1"/>
  <c r="E1126" i="88" s="1"/>
  <c r="D462" i="88"/>
  <c r="D809" i="88" s="1"/>
  <c r="D1126" i="88" s="1"/>
  <c r="C462" i="88"/>
  <c r="C809" i="88" s="1"/>
  <c r="C1126" i="88" s="1"/>
  <c r="F461" i="88"/>
  <c r="F808" i="88" s="1"/>
  <c r="F1125" i="88" s="1"/>
  <c r="E461" i="88"/>
  <c r="E808" i="88" s="1"/>
  <c r="E1125" i="88" s="1"/>
  <c r="D461" i="88"/>
  <c r="D808" i="88" s="1"/>
  <c r="D1125" i="88" s="1"/>
  <c r="C461" i="88"/>
  <c r="C808" i="88" s="1"/>
  <c r="C1125" i="88" s="1"/>
  <c r="F460" i="88"/>
  <c r="F807" i="88" s="1"/>
  <c r="F1124" i="88" s="1"/>
  <c r="E460" i="88"/>
  <c r="E807" i="88" s="1"/>
  <c r="E1124" i="88" s="1"/>
  <c r="D460" i="88"/>
  <c r="D807" i="88" s="1"/>
  <c r="D1124" i="88" s="1"/>
  <c r="C460" i="88"/>
  <c r="C807" i="88" s="1"/>
  <c r="C1124" i="88" s="1"/>
  <c r="F459" i="88"/>
  <c r="F806" i="88" s="1"/>
  <c r="F1123" i="88" s="1"/>
  <c r="E459" i="88"/>
  <c r="E806" i="88" s="1"/>
  <c r="E1123" i="88" s="1"/>
  <c r="D459" i="88"/>
  <c r="D806" i="88" s="1"/>
  <c r="D1123" i="88" s="1"/>
  <c r="C459" i="88"/>
  <c r="C806" i="88" s="1"/>
  <c r="C1123" i="88" s="1"/>
  <c r="F458" i="88"/>
  <c r="F805" i="88" s="1"/>
  <c r="F1122" i="88" s="1"/>
  <c r="E458" i="88"/>
  <c r="E805" i="88" s="1"/>
  <c r="E1122" i="88" s="1"/>
  <c r="D458" i="88"/>
  <c r="D805" i="88" s="1"/>
  <c r="D1122" i="88" s="1"/>
  <c r="C458" i="88"/>
  <c r="C805" i="88" s="1"/>
  <c r="C1122" i="88" s="1"/>
  <c r="F457" i="88"/>
  <c r="F804" i="88" s="1"/>
  <c r="F1121" i="88" s="1"/>
  <c r="E457" i="88"/>
  <c r="E804" i="88" s="1"/>
  <c r="E1121" i="88" s="1"/>
  <c r="D457" i="88"/>
  <c r="D804" i="88" s="1"/>
  <c r="D1121" i="88" s="1"/>
  <c r="C457" i="88"/>
  <c r="C804" i="88" s="1"/>
  <c r="C1121" i="88" s="1"/>
  <c r="F456" i="88"/>
  <c r="F803" i="88" s="1"/>
  <c r="F1120" i="88" s="1"/>
  <c r="E456" i="88"/>
  <c r="E803" i="88" s="1"/>
  <c r="E1120" i="88" s="1"/>
  <c r="D456" i="88"/>
  <c r="D803" i="88" s="1"/>
  <c r="D1120" i="88" s="1"/>
  <c r="C456" i="88"/>
  <c r="C803" i="88" s="1"/>
  <c r="C1120" i="88" s="1"/>
  <c r="F455" i="88"/>
  <c r="F802" i="88" s="1"/>
  <c r="F1119" i="88" s="1"/>
  <c r="E455" i="88"/>
  <c r="E802" i="88" s="1"/>
  <c r="E1119" i="88" s="1"/>
  <c r="D455" i="88"/>
  <c r="D802" i="88" s="1"/>
  <c r="D1119" i="88" s="1"/>
  <c r="C455" i="88"/>
  <c r="C802" i="88" s="1"/>
  <c r="C1119" i="88" s="1"/>
  <c r="F454" i="88"/>
  <c r="F801" i="88" s="1"/>
  <c r="F1118" i="88" s="1"/>
  <c r="E454" i="88"/>
  <c r="E801" i="88" s="1"/>
  <c r="E1118" i="88" s="1"/>
  <c r="D454" i="88"/>
  <c r="D801" i="88" s="1"/>
  <c r="D1118" i="88" s="1"/>
  <c r="C454" i="88"/>
  <c r="C801" i="88" s="1"/>
  <c r="C1118" i="88" s="1"/>
  <c r="F453" i="88"/>
  <c r="F800" i="88" s="1"/>
  <c r="F1117" i="88" s="1"/>
  <c r="E453" i="88"/>
  <c r="E800" i="88" s="1"/>
  <c r="E1117" i="88" s="1"/>
  <c r="D453" i="88"/>
  <c r="D800" i="88" s="1"/>
  <c r="D1117" i="88" s="1"/>
  <c r="C453" i="88"/>
  <c r="C800" i="88" s="1"/>
  <c r="C1117" i="88" s="1"/>
  <c r="F452" i="88"/>
  <c r="F799" i="88" s="1"/>
  <c r="F1116" i="88" s="1"/>
  <c r="E452" i="88"/>
  <c r="E799" i="88" s="1"/>
  <c r="E1116" i="88" s="1"/>
  <c r="D452" i="88"/>
  <c r="D799" i="88" s="1"/>
  <c r="D1116" i="88" s="1"/>
  <c r="C452" i="88"/>
  <c r="C799" i="88" s="1"/>
  <c r="C1116" i="88" s="1"/>
  <c r="F451" i="88"/>
  <c r="F798" i="88" s="1"/>
  <c r="F1115" i="88" s="1"/>
  <c r="E451" i="88"/>
  <c r="E798" i="88" s="1"/>
  <c r="E1115" i="88" s="1"/>
  <c r="D451" i="88"/>
  <c r="D798" i="88" s="1"/>
  <c r="D1115" i="88" s="1"/>
  <c r="C451" i="88"/>
  <c r="C798" i="88" s="1"/>
  <c r="C1115" i="88" s="1"/>
  <c r="F450" i="88"/>
  <c r="F797" i="88" s="1"/>
  <c r="F1114" i="88" s="1"/>
  <c r="E450" i="88"/>
  <c r="E797" i="88" s="1"/>
  <c r="E1114" i="88" s="1"/>
  <c r="D450" i="88"/>
  <c r="D797" i="88" s="1"/>
  <c r="D1114" i="88" s="1"/>
  <c r="C450" i="88"/>
  <c r="C797" i="88" s="1"/>
  <c r="C1114" i="88" s="1"/>
  <c r="F449" i="88"/>
  <c r="F796" i="88" s="1"/>
  <c r="F1113" i="88" s="1"/>
  <c r="E449" i="88"/>
  <c r="E796" i="88" s="1"/>
  <c r="E1113" i="88" s="1"/>
  <c r="D449" i="88"/>
  <c r="D796" i="88" s="1"/>
  <c r="D1113" i="88" s="1"/>
  <c r="C449" i="88"/>
  <c r="C796" i="88" s="1"/>
  <c r="C1113" i="88" s="1"/>
  <c r="F448" i="88"/>
  <c r="F795" i="88" s="1"/>
  <c r="F1112" i="88" s="1"/>
  <c r="E448" i="88"/>
  <c r="E795" i="88" s="1"/>
  <c r="E1112" i="88" s="1"/>
  <c r="D448" i="88"/>
  <c r="D795" i="88" s="1"/>
  <c r="D1112" i="88" s="1"/>
  <c r="C448" i="88"/>
  <c r="C795" i="88" s="1"/>
  <c r="C1112" i="88" s="1"/>
  <c r="F447" i="88"/>
  <c r="F794" i="88" s="1"/>
  <c r="F1111" i="88" s="1"/>
  <c r="E447" i="88"/>
  <c r="E794" i="88" s="1"/>
  <c r="E1111" i="88" s="1"/>
  <c r="D447" i="88"/>
  <c r="D794" i="88" s="1"/>
  <c r="D1111" i="88" s="1"/>
  <c r="C447" i="88"/>
  <c r="C794" i="88" s="1"/>
  <c r="C1111" i="88" s="1"/>
  <c r="F446" i="88"/>
  <c r="F793" i="88" s="1"/>
  <c r="F1110" i="88" s="1"/>
  <c r="E446" i="88"/>
  <c r="E793" i="88" s="1"/>
  <c r="E1110" i="88" s="1"/>
  <c r="D446" i="88"/>
  <c r="D793" i="88" s="1"/>
  <c r="D1110" i="88" s="1"/>
  <c r="C446" i="88"/>
  <c r="C793" i="88" s="1"/>
  <c r="C1110" i="88" s="1"/>
  <c r="F445" i="88"/>
  <c r="F792" i="88" s="1"/>
  <c r="F1109" i="88" s="1"/>
  <c r="E445" i="88"/>
  <c r="E792" i="88" s="1"/>
  <c r="E1109" i="88" s="1"/>
  <c r="D445" i="88"/>
  <c r="D792" i="88" s="1"/>
  <c r="D1109" i="88" s="1"/>
  <c r="C445" i="88"/>
  <c r="C792" i="88" s="1"/>
  <c r="C1109" i="88" s="1"/>
  <c r="F444" i="88"/>
  <c r="F791" i="88" s="1"/>
  <c r="F1108" i="88" s="1"/>
  <c r="E444" i="88"/>
  <c r="E791" i="88" s="1"/>
  <c r="E1108" i="88" s="1"/>
  <c r="D444" i="88"/>
  <c r="D791" i="88" s="1"/>
  <c r="D1108" i="88" s="1"/>
  <c r="C444" i="88"/>
  <c r="C791" i="88" s="1"/>
  <c r="C1108" i="88" s="1"/>
  <c r="F443" i="88"/>
  <c r="F790" i="88" s="1"/>
  <c r="F1107" i="88" s="1"/>
  <c r="E443" i="88"/>
  <c r="E790" i="88" s="1"/>
  <c r="E1107" i="88" s="1"/>
  <c r="D443" i="88"/>
  <c r="D790" i="88" s="1"/>
  <c r="D1107" i="88" s="1"/>
  <c r="C443" i="88"/>
  <c r="C790" i="88" s="1"/>
  <c r="C1107" i="88" s="1"/>
  <c r="F442" i="88"/>
  <c r="F789" i="88" s="1"/>
  <c r="F1106" i="88" s="1"/>
  <c r="E442" i="88"/>
  <c r="E789" i="88" s="1"/>
  <c r="E1106" i="88" s="1"/>
  <c r="D442" i="88"/>
  <c r="D789" i="88" s="1"/>
  <c r="D1106" i="88" s="1"/>
  <c r="C442" i="88"/>
  <c r="C789" i="88" s="1"/>
  <c r="C1106" i="88" s="1"/>
  <c r="F441" i="88"/>
  <c r="F788" i="88" s="1"/>
  <c r="F1105" i="88" s="1"/>
  <c r="E441" i="88"/>
  <c r="E788" i="88" s="1"/>
  <c r="E1105" i="88" s="1"/>
  <c r="D441" i="88"/>
  <c r="D788" i="88" s="1"/>
  <c r="D1105" i="88" s="1"/>
  <c r="C441" i="88"/>
  <c r="C788" i="88" s="1"/>
  <c r="C1105" i="88" s="1"/>
  <c r="F440" i="88"/>
  <c r="F787" i="88" s="1"/>
  <c r="F1104" i="88" s="1"/>
  <c r="E440" i="88"/>
  <c r="E787" i="88" s="1"/>
  <c r="E1104" i="88" s="1"/>
  <c r="D440" i="88"/>
  <c r="D787" i="88" s="1"/>
  <c r="D1104" i="88" s="1"/>
  <c r="C440" i="88"/>
  <c r="C787" i="88" s="1"/>
  <c r="C1104" i="88" s="1"/>
  <c r="F439" i="88"/>
  <c r="F786" i="88" s="1"/>
  <c r="F1103" i="88" s="1"/>
  <c r="E439" i="88"/>
  <c r="E786" i="88" s="1"/>
  <c r="E1103" i="88" s="1"/>
  <c r="D439" i="88"/>
  <c r="D786" i="88" s="1"/>
  <c r="D1103" i="88" s="1"/>
  <c r="C439" i="88"/>
  <c r="C786" i="88" s="1"/>
  <c r="C1103" i="88" s="1"/>
  <c r="F438" i="88"/>
  <c r="F785" i="88" s="1"/>
  <c r="F1102" i="88" s="1"/>
  <c r="E438" i="88"/>
  <c r="E785" i="88" s="1"/>
  <c r="E1102" i="88" s="1"/>
  <c r="D438" i="88"/>
  <c r="D785" i="88" s="1"/>
  <c r="D1102" i="88" s="1"/>
  <c r="C438" i="88"/>
  <c r="C785" i="88" s="1"/>
  <c r="C1102" i="88" s="1"/>
  <c r="F437" i="88"/>
  <c r="F784" i="88" s="1"/>
  <c r="F1101" i="88" s="1"/>
  <c r="E437" i="88"/>
  <c r="E784" i="88" s="1"/>
  <c r="E1101" i="88" s="1"/>
  <c r="D437" i="88"/>
  <c r="D784" i="88" s="1"/>
  <c r="D1101" i="88" s="1"/>
  <c r="C437" i="88"/>
  <c r="C784" i="88" s="1"/>
  <c r="C1101" i="88" s="1"/>
  <c r="F436" i="88"/>
  <c r="F783" i="88" s="1"/>
  <c r="F1100" i="88" s="1"/>
  <c r="E436" i="88"/>
  <c r="E783" i="88" s="1"/>
  <c r="E1100" i="88" s="1"/>
  <c r="D436" i="88"/>
  <c r="D783" i="88" s="1"/>
  <c r="D1100" i="88" s="1"/>
  <c r="C436" i="88"/>
  <c r="C783" i="88" s="1"/>
  <c r="C1100" i="88" s="1"/>
  <c r="F435" i="88"/>
  <c r="F782" i="88" s="1"/>
  <c r="F1099" i="88" s="1"/>
  <c r="E435" i="88"/>
  <c r="E782" i="88" s="1"/>
  <c r="E1099" i="88" s="1"/>
  <c r="D435" i="88"/>
  <c r="D782" i="88" s="1"/>
  <c r="D1099" i="88" s="1"/>
  <c r="C435" i="88"/>
  <c r="C782" i="88" s="1"/>
  <c r="C1099" i="88" s="1"/>
  <c r="F434" i="88"/>
  <c r="F781" i="88" s="1"/>
  <c r="F1098" i="88" s="1"/>
  <c r="E434" i="88"/>
  <c r="E781" i="88" s="1"/>
  <c r="E1098" i="88" s="1"/>
  <c r="D434" i="88"/>
  <c r="D781" i="88" s="1"/>
  <c r="D1098" i="88" s="1"/>
  <c r="C434" i="88"/>
  <c r="C781" i="88" s="1"/>
  <c r="C1098" i="88" s="1"/>
  <c r="F433" i="88"/>
  <c r="F780" i="88" s="1"/>
  <c r="F1097" i="88" s="1"/>
  <c r="E433" i="88"/>
  <c r="E780" i="88" s="1"/>
  <c r="E1097" i="88" s="1"/>
  <c r="D433" i="88"/>
  <c r="D780" i="88" s="1"/>
  <c r="D1097" i="88" s="1"/>
  <c r="C433" i="88"/>
  <c r="C780" i="88" s="1"/>
  <c r="C1097" i="88" s="1"/>
  <c r="F432" i="88"/>
  <c r="F779" i="88" s="1"/>
  <c r="F1096" i="88" s="1"/>
  <c r="E432" i="88"/>
  <c r="E779" i="88" s="1"/>
  <c r="E1096" i="88" s="1"/>
  <c r="D432" i="88"/>
  <c r="D779" i="88" s="1"/>
  <c r="D1096" i="88" s="1"/>
  <c r="C432" i="88"/>
  <c r="C779" i="88" s="1"/>
  <c r="C1096" i="88" s="1"/>
  <c r="F431" i="88"/>
  <c r="F778" i="88" s="1"/>
  <c r="F1095" i="88" s="1"/>
  <c r="E431" i="88"/>
  <c r="E778" i="88" s="1"/>
  <c r="E1095" i="88" s="1"/>
  <c r="D431" i="88"/>
  <c r="D778" i="88" s="1"/>
  <c r="D1095" i="88" s="1"/>
  <c r="C431" i="88"/>
  <c r="C778" i="88" s="1"/>
  <c r="C1095" i="88" s="1"/>
  <c r="F430" i="88"/>
  <c r="F777" i="88" s="1"/>
  <c r="F1094" i="88" s="1"/>
  <c r="E430" i="88"/>
  <c r="E777" i="88" s="1"/>
  <c r="E1094" i="88" s="1"/>
  <c r="D430" i="88"/>
  <c r="D777" i="88" s="1"/>
  <c r="D1094" i="88" s="1"/>
  <c r="C430" i="88"/>
  <c r="C777" i="88" s="1"/>
  <c r="C1094" i="88" s="1"/>
  <c r="F429" i="88"/>
  <c r="F776" i="88" s="1"/>
  <c r="F1093" i="88" s="1"/>
  <c r="E429" i="88"/>
  <c r="E776" i="88" s="1"/>
  <c r="E1093" i="88" s="1"/>
  <c r="D429" i="88"/>
  <c r="D776" i="88" s="1"/>
  <c r="D1093" i="88" s="1"/>
  <c r="C429" i="88"/>
  <c r="C776" i="88" s="1"/>
  <c r="C1093" i="88" s="1"/>
  <c r="F428" i="88"/>
  <c r="F775" i="88" s="1"/>
  <c r="F1092" i="88" s="1"/>
  <c r="E428" i="88"/>
  <c r="E775" i="88" s="1"/>
  <c r="E1092" i="88" s="1"/>
  <c r="D428" i="88"/>
  <c r="D775" i="88" s="1"/>
  <c r="D1092" i="88" s="1"/>
  <c r="C428" i="88"/>
  <c r="C775" i="88" s="1"/>
  <c r="C1092" i="88" s="1"/>
  <c r="F427" i="88"/>
  <c r="F774" i="88" s="1"/>
  <c r="F1091" i="88" s="1"/>
  <c r="E427" i="88"/>
  <c r="E774" i="88" s="1"/>
  <c r="E1091" i="88" s="1"/>
  <c r="D427" i="88"/>
  <c r="D774" i="88" s="1"/>
  <c r="D1091" i="88" s="1"/>
  <c r="C427" i="88"/>
  <c r="C774" i="88" s="1"/>
  <c r="C1091" i="88" s="1"/>
  <c r="F426" i="88"/>
  <c r="F773" i="88" s="1"/>
  <c r="F1090" i="88" s="1"/>
  <c r="E426" i="88"/>
  <c r="E773" i="88" s="1"/>
  <c r="E1090" i="88" s="1"/>
  <c r="D426" i="88"/>
  <c r="D773" i="88" s="1"/>
  <c r="D1090" i="88" s="1"/>
  <c r="C426" i="88"/>
  <c r="C773" i="88" s="1"/>
  <c r="C1090" i="88" s="1"/>
  <c r="F425" i="88"/>
  <c r="F772" i="88" s="1"/>
  <c r="F1089" i="88" s="1"/>
  <c r="E425" i="88"/>
  <c r="E772" i="88" s="1"/>
  <c r="E1089" i="88" s="1"/>
  <c r="D425" i="88"/>
  <c r="D772" i="88" s="1"/>
  <c r="D1089" i="88" s="1"/>
  <c r="C425" i="88"/>
  <c r="C772" i="88" s="1"/>
  <c r="C1089" i="88" s="1"/>
  <c r="F424" i="88"/>
  <c r="F771" i="88" s="1"/>
  <c r="F1088" i="88" s="1"/>
  <c r="E424" i="88"/>
  <c r="E771" i="88" s="1"/>
  <c r="E1088" i="88" s="1"/>
  <c r="D424" i="88"/>
  <c r="D771" i="88" s="1"/>
  <c r="D1088" i="88" s="1"/>
  <c r="C424" i="88"/>
  <c r="C771" i="88" s="1"/>
  <c r="C1088" i="88" s="1"/>
  <c r="F423" i="88"/>
  <c r="F770" i="88" s="1"/>
  <c r="F1087" i="88" s="1"/>
  <c r="E423" i="88"/>
  <c r="E770" i="88" s="1"/>
  <c r="E1087" i="88" s="1"/>
  <c r="D423" i="88"/>
  <c r="D770" i="88" s="1"/>
  <c r="D1087" i="88" s="1"/>
  <c r="C423" i="88"/>
  <c r="C770" i="88" s="1"/>
  <c r="C1087" i="88" s="1"/>
  <c r="F422" i="88"/>
  <c r="F769" i="88" s="1"/>
  <c r="F1086" i="88" s="1"/>
  <c r="E422" i="88"/>
  <c r="E769" i="88" s="1"/>
  <c r="E1086" i="88" s="1"/>
  <c r="D422" i="88"/>
  <c r="D769" i="88" s="1"/>
  <c r="D1086" i="88" s="1"/>
  <c r="C422" i="88"/>
  <c r="C769" i="88" s="1"/>
  <c r="C1086" i="88" s="1"/>
  <c r="F421" i="88"/>
  <c r="F768" i="88" s="1"/>
  <c r="F1085" i="88" s="1"/>
  <c r="E421" i="88"/>
  <c r="E768" i="88" s="1"/>
  <c r="E1085" i="88" s="1"/>
  <c r="D421" i="88"/>
  <c r="D768" i="88" s="1"/>
  <c r="D1085" i="88" s="1"/>
  <c r="C421" i="88"/>
  <c r="C768" i="88" s="1"/>
  <c r="C1085" i="88" s="1"/>
  <c r="F420" i="88"/>
  <c r="F767" i="88" s="1"/>
  <c r="F1084" i="88" s="1"/>
  <c r="E420" i="88"/>
  <c r="E767" i="88" s="1"/>
  <c r="E1084" i="88" s="1"/>
  <c r="D420" i="88"/>
  <c r="D767" i="88" s="1"/>
  <c r="D1084" i="88" s="1"/>
  <c r="C420" i="88"/>
  <c r="C767" i="88" s="1"/>
  <c r="C1084" i="88" s="1"/>
  <c r="F419" i="88"/>
  <c r="F766" i="88" s="1"/>
  <c r="F1083" i="88" s="1"/>
  <c r="E419" i="88"/>
  <c r="E766" i="88" s="1"/>
  <c r="E1083" i="88" s="1"/>
  <c r="D419" i="88"/>
  <c r="D766" i="88" s="1"/>
  <c r="D1083" i="88" s="1"/>
  <c r="C419" i="88"/>
  <c r="C766" i="88" s="1"/>
  <c r="C1083" i="88" s="1"/>
  <c r="F418" i="88"/>
  <c r="F765" i="88" s="1"/>
  <c r="F1082" i="88" s="1"/>
  <c r="E418" i="88"/>
  <c r="E765" i="88" s="1"/>
  <c r="E1082" i="88" s="1"/>
  <c r="D418" i="88"/>
  <c r="D765" i="88" s="1"/>
  <c r="D1082" i="88" s="1"/>
  <c r="C418" i="88"/>
  <c r="C765" i="88" s="1"/>
  <c r="C1082" i="88" s="1"/>
  <c r="F417" i="88"/>
  <c r="F764" i="88" s="1"/>
  <c r="F1081" i="88" s="1"/>
  <c r="E417" i="88"/>
  <c r="E764" i="88" s="1"/>
  <c r="E1081" i="88" s="1"/>
  <c r="D417" i="88"/>
  <c r="D764" i="88" s="1"/>
  <c r="D1081" i="88" s="1"/>
  <c r="C417" i="88"/>
  <c r="C764" i="88" s="1"/>
  <c r="C1081" i="88" s="1"/>
  <c r="F416" i="88"/>
  <c r="F763" i="88" s="1"/>
  <c r="F1080" i="88" s="1"/>
  <c r="E416" i="88"/>
  <c r="E763" i="88" s="1"/>
  <c r="E1080" i="88" s="1"/>
  <c r="D416" i="88"/>
  <c r="D763" i="88" s="1"/>
  <c r="D1080" i="88" s="1"/>
  <c r="C416" i="88"/>
  <c r="C763" i="88" s="1"/>
  <c r="C1080" i="88" s="1"/>
  <c r="F415" i="88"/>
  <c r="F762" i="88" s="1"/>
  <c r="F1079" i="88" s="1"/>
  <c r="E415" i="88"/>
  <c r="E762" i="88" s="1"/>
  <c r="E1079" i="88" s="1"/>
  <c r="D415" i="88"/>
  <c r="D762" i="88" s="1"/>
  <c r="D1079" i="88" s="1"/>
  <c r="C415" i="88"/>
  <c r="C762" i="88" s="1"/>
  <c r="C1079" i="88" s="1"/>
  <c r="F414" i="88"/>
  <c r="F761" i="88" s="1"/>
  <c r="F1078" i="88" s="1"/>
  <c r="E414" i="88"/>
  <c r="E761" i="88" s="1"/>
  <c r="E1078" i="88" s="1"/>
  <c r="D414" i="88"/>
  <c r="D761" i="88" s="1"/>
  <c r="D1078" i="88" s="1"/>
  <c r="C414" i="88"/>
  <c r="C761" i="88" s="1"/>
  <c r="C1078" i="88" s="1"/>
  <c r="F413" i="88"/>
  <c r="F760" i="88" s="1"/>
  <c r="F1077" i="88" s="1"/>
  <c r="E413" i="88"/>
  <c r="E760" i="88" s="1"/>
  <c r="E1077" i="88" s="1"/>
  <c r="D413" i="88"/>
  <c r="D760" i="88" s="1"/>
  <c r="D1077" i="88" s="1"/>
  <c r="C413" i="88"/>
  <c r="C760" i="88" s="1"/>
  <c r="C1077" i="88" s="1"/>
  <c r="F412" i="88"/>
  <c r="F759" i="88" s="1"/>
  <c r="F1076" i="88" s="1"/>
  <c r="E412" i="88"/>
  <c r="E759" i="88" s="1"/>
  <c r="E1076" i="88" s="1"/>
  <c r="D412" i="88"/>
  <c r="D759" i="88" s="1"/>
  <c r="D1076" i="88" s="1"/>
  <c r="C412" i="88"/>
  <c r="C759" i="88" s="1"/>
  <c r="C1076" i="88" s="1"/>
  <c r="F411" i="88"/>
  <c r="F758" i="88" s="1"/>
  <c r="F1075" i="88" s="1"/>
  <c r="E411" i="88"/>
  <c r="E758" i="88" s="1"/>
  <c r="E1075" i="88" s="1"/>
  <c r="D411" i="88"/>
  <c r="D758" i="88" s="1"/>
  <c r="D1075" i="88" s="1"/>
  <c r="C411" i="88"/>
  <c r="C758" i="88" s="1"/>
  <c r="C1075" i="88" s="1"/>
  <c r="F410" i="88"/>
  <c r="F757" i="88" s="1"/>
  <c r="F1074" i="88" s="1"/>
  <c r="E410" i="88"/>
  <c r="E757" i="88" s="1"/>
  <c r="E1074" i="88" s="1"/>
  <c r="D410" i="88"/>
  <c r="D757" i="88" s="1"/>
  <c r="D1074" i="88" s="1"/>
  <c r="C410" i="88"/>
  <c r="C757" i="88" s="1"/>
  <c r="C1074" i="88" s="1"/>
  <c r="F409" i="88"/>
  <c r="F756" i="88" s="1"/>
  <c r="F1073" i="88" s="1"/>
  <c r="E409" i="88"/>
  <c r="E756" i="88" s="1"/>
  <c r="E1073" i="88" s="1"/>
  <c r="D409" i="88"/>
  <c r="D756" i="88" s="1"/>
  <c r="D1073" i="88" s="1"/>
  <c r="C409" i="88"/>
  <c r="C756" i="88" s="1"/>
  <c r="C1073" i="88" s="1"/>
  <c r="F408" i="88"/>
  <c r="F755" i="88" s="1"/>
  <c r="F1072" i="88" s="1"/>
  <c r="E408" i="88"/>
  <c r="E755" i="88" s="1"/>
  <c r="E1072" i="88" s="1"/>
  <c r="D408" i="88"/>
  <c r="D755" i="88" s="1"/>
  <c r="D1072" i="88" s="1"/>
  <c r="C408" i="88"/>
  <c r="C755" i="88" s="1"/>
  <c r="C1072" i="88" s="1"/>
  <c r="F407" i="88"/>
  <c r="F754" i="88" s="1"/>
  <c r="F1071" i="88" s="1"/>
  <c r="E407" i="88"/>
  <c r="E754" i="88" s="1"/>
  <c r="E1071" i="88" s="1"/>
  <c r="D407" i="88"/>
  <c r="D754" i="88" s="1"/>
  <c r="D1071" i="88" s="1"/>
  <c r="C407" i="88"/>
  <c r="C754" i="88" s="1"/>
  <c r="C1071" i="88" s="1"/>
  <c r="F406" i="88"/>
  <c r="F753" i="88" s="1"/>
  <c r="F1070" i="88" s="1"/>
  <c r="E406" i="88"/>
  <c r="E753" i="88" s="1"/>
  <c r="E1070" i="88" s="1"/>
  <c r="D406" i="88"/>
  <c r="D753" i="88" s="1"/>
  <c r="D1070" i="88" s="1"/>
  <c r="C406" i="88"/>
  <c r="C753" i="88" s="1"/>
  <c r="C1070" i="88" s="1"/>
  <c r="F405" i="88"/>
  <c r="F752" i="88" s="1"/>
  <c r="F1069" i="88" s="1"/>
  <c r="E405" i="88"/>
  <c r="E752" i="88" s="1"/>
  <c r="E1069" i="88" s="1"/>
  <c r="D405" i="88"/>
  <c r="D752" i="88" s="1"/>
  <c r="D1069" i="88" s="1"/>
  <c r="C405" i="88"/>
  <c r="C752" i="88" s="1"/>
  <c r="C1069" i="88" s="1"/>
  <c r="F404" i="88"/>
  <c r="F751" i="88" s="1"/>
  <c r="F1068" i="88" s="1"/>
  <c r="E404" i="88"/>
  <c r="E751" i="88" s="1"/>
  <c r="E1068" i="88" s="1"/>
  <c r="D404" i="88"/>
  <c r="D751" i="88" s="1"/>
  <c r="D1068" i="88" s="1"/>
  <c r="C404" i="88"/>
  <c r="C751" i="88" s="1"/>
  <c r="C1068" i="88" s="1"/>
  <c r="F403" i="88"/>
  <c r="F750" i="88" s="1"/>
  <c r="F1067" i="88" s="1"/>
  <c r="E403" i="88"/>
  <c r="E750" i="88" s="1"/>
  <c r="E1067" i="88" s="1"/>
  <c r="D403" i="88"/>
  <c r="D750" i="88" s="1"/>
  <c r="D1067" i="88" s="1"/>
  <c r="C403" i="88"/>
  <c r="C750" i="88" s="1"/>
  <c r="C1067" i="88" s="1"/>
  <c r="F402" i="88"/>
  <c r="F749" i="88" s="1"/>
  <c r="F1066" i="88" s="1"/>
  <c r="E402" i="88"/>
  <c r="E749" i="88" s="1"/>
  <c r="E1066" i="88" s="1"/>
  <c r="D402" i="88"/>
  <c r="D749" i="88" s="1"/>
  <c r="D1066" i="88" s="1"/>
  <c r="C402" i="88"/>
  <c r="C749" i="88" s="1"/>
  <c r="C1066" i="88" s="1"/>
  <c r="F401" i="88"/>
  <c r="F748" i="88" s="1"/>
  <c r="F1065" i="88" s="1"/>
  <c r="E401" i="88"/>
  <c r="E748" i="88" s="1"/>
  <c r="E1065" i="88" s="1"/>
  <c r="D401" i="88"/>
  <c r="D748" i="88" s="1"/>
  <c r="D1065" i="88" s="1"/>
  <c r="C401" i="88"/>
  <c r="C748" i="88" s="1"/>
  <c r="C1065" i="88" s="1"/>
  <c r="F400" i="88"/>
  <c r="F747" i="88" s="1"/>
  <c r="F1064" i="88" s="1"/>
  <c r="E400" i="88"/>
  <c r="E747" i="88" s="1"/>
  <c r="E1064" i="88" s="1"/>
  <c r="D400" i="88"/>
  <c r="D747" i="88" s="1"/>
  <c r="D1064" i="88" s="1"/>
  <c r="C400" i="88"/>
  <c r="C747" i="88" s="1"/>
  <c r="C1064" i="88" s="1"/>
  <c r="F399" i="88"/>
  <c r="F746" i="88" s="1"/>
  <c r="F1063" i="88" s="1"/>
  <c r="E399" i="88"/>
  <c r="E746" i="88" s="1"/>
  <c r="E1063" i="88" s="1"/>
  <c r="D399" i="88"/>
  <c r="D746" i="88" s="1"/>
  <c r="D1063" i="88" s="1"/>
  <c r="C399" i="88"/>
  <c r="C746" i="88" s="1"/>
  <c r="C1063" i="88" s="1"/>
  <c r="F398" i="88"/>
  <c r="F745" i="88" s="1"/>
  <c r="F1062" i="88" s="1"/>
  <c r="E398" i="88"/>
  <c r="E745" i="88" s="1"/>
  <c r="E1062" i="88" s="1"/>
  <c r="D398" i="88"/>
  <c r="D745" i="88" s="1"/>
  <c r="D1062" i="88" s="1"/>
  <c r="C398" i="88"/>
  <c r="C745" i="88" s="1"/>
  <c r="C1062" i="88" s="1"/>
  <c r="F397" i="88"/>
  <c r="F744" i="88" s="1"/>
  <c r="F1061" i="88" s="1"/>
  <c r="E397" i="88"/>
  <c r="E744" i="88" s="1"/>
  <c r="E1061" i="88" s="1"/>
  <c r="D397" i="88"/>
  <c r="D744" i="88" s="1"/>
  <c r="D1061" i="88" s="1"/>
  <c r="C397" i="88"/>
  <c r="C744" i="88" s="1"/>
  <c r="C1061" i="88" s="1"/>
  <c r="F396" i="88"/>
  <c r="F743" i="88" s="1"/>
  <c r="F1060" i="88" s="1"/>
  <c r="E396" i="88"/>
  <c r="E743" i="88" s="1"/>
  <c r="E1060" i="88" s="1"/>
  <c r="D396" i="88"/>
  <c r="D743" i="88" s="1"/>
  <c r="D1060" i="88" s="1"/>
  <c r="C396" i="88"/>
  <c r="C743" i="88" s="1"/>
  <c r="C1060" i="88" s="1"/>
  <c r="F395" i="88"/>
  <c r="F742" i="88" s="1"/>
  <c r="F1059" i="88" s="1"/>
  <c r="E395" i="88"/>
  <c r="E742" i="88" s="1"/>
  <c r="E1059" i="88" s="1"/>
  <c r="D395" i="88"/>
  <c r="D742" i="88" s="1"/>
  <c r="D1059" i="88" s="1"/>
  <c r="C395" i="88"/>
  <c r="C742" i="88" s="1"/>
  <c r="C1059" i="88" s="1"/>
  <c r="F394" i="88"/>
  <c r="F741" i="88" s="1"/>
  <c r="F1058" i="88" s="1"/>
  <c r="E394" i="88"/>
  <c r="E741" i="88" s="1"/>
  <c r="E1058" i="88" s="1"/>
  <c r="D394" i="88"/>
  <c r="D741" i="88" s="1"/>
  <c r="D1058" i="88" s="1"/>
  <c r="C394" i="88"/>
  <c r="C741" i="88" s="1"/>
  <c r="C1058" i="88" s="1"/>
  <c r="F393" i="88"/>
  <c r="F740" i="88" s="1"/>
  <c r="F1057" i="88" s="1"/>
  <c r="E393" i="88"/>
  <c r="E740" i="88" s="1"/>
  <c r="E1057" i="88" s="1"/>
  <c r="D393" i="88"/>
  <c r="D740" i="88" s="1"/>
  <c r="D1057" i="88" s="1"/>
  <c r="C393" i="88"/>
  <c r="C740" i="88" s="1"/>
  <c r="C1057" i="88" s="1"/>
  <c r="F392" i="88"/>
  <c r="F739" i="88" s="1"/>
  <c r="F1056" i="88" s="1"/>
  <c r="E392" i="88"/>
  <c r="E739" i="88" s="1"/>
  <c r="E1056" i="88" s="1"/>
  <c r="D392" i="88"/>
  <c r="D739" i="88" s="1"/>
  <c r="D1056" i="88" s="1"/>
  <c r="C392" i="88"/>
  <c r="C739" i="88" s="1"/>
  <c r="C1056" i="88" s="1"/>
  <c r="F391" i="88"/>
  <c r="F738" i="88" s="1"/>
  <c r="F1055" i="88" s="1"/>
  <c r="E391" i="88"/>
  <c r="E738" i="88" s="1"/>
  <c r="E1055" i="88" s="1"/>
  <c r="D391" i="88"/>
  <c r="D738" i="88" s="1"/>
  <c r="D1055" i="88" s="1"/>
  <c r="C391" i="88"/>
  <c r="C738" i="88" s="1"/>
  <c r="C1055" i="88" s="1"/>
  <c r="F390" i="88"/>
  <c r="F737" i="88" s="1"/>
  <c r="F1054" i="88" s="1"/>
  <c r="E390" i="88"/>
  <c r="E737" i="88" s="1"/>
  <c r="E1054" i="88" s="1"/>
  <c r="D390" i="88"/>
  <c r="D737" i="88" s="1"/>
  <c r="D1054" i="88" s="1"/>
  <c r="C390" i="88"/>
  <c r="C737" i="88" s="1"/>
  <c r="C1054" i="88" s="1"/>
  <c r="F389" i="88"/>
  <c r="F736" i="88" s="1"/>
  <c r="F1053" i="88" s="1"/>
  <c r="E389" i="88"/>
  <c r="E736" i="88" s="1"/>
  <c r="E1053" i="88" s="1"/>
  <c r="D389" i="88"/>
  <c r="D736" i="88" s="1"/>
  <c r="D1053" i="88" s="1"/>
  <c r="C389" i="88"/>
  <c r="C736" i="88" s="1"/>
  <c r="C1053" i="88" s="1"/>
  <c r="F388" i="88"/>
  <c r="F735" i="88" s="1"/>
  <c r="F1052" i="88" s="1"/>
  <c r="E388" i="88"/>
  <c r="E735" i="88" s="1"/>
  <c r="E1052" i="88" s="1"/>
  <c r="D388" i="88"/>
  <c r="D735" i="88" s="1"/>
  <c r="D1052" i="88" s="1"/>
  <c r="C388" i="88"/>
  <c r="C735" i="88" s="1"/>
  <c r="C1052" i="88" s="1"/>
  <c r="F387" i="88"/>
  <c r="F734" i="88" s="1"/>
  <c r="F1051" i="88" s="1"/>
  <c r="E387" i="88"/>
  <c r="E734" i="88" s="1"/>
  <c r="E1051" i="88" s="1"/>
  <c r="D387" i="88"/>
  <c r="D734" i="88" s="1"/>
  <c r="D1051" i="88" s="1"/>
  <c r="C387" i="88"/>
  <c r="C734" i="88" s="1"/>
  <c r="C1051" i="88" s="1"/>
  <c r="F386" i="88"/>
  <c r="F733" i="88" s="1"/>
  <c r="F1050" i="88" s="1"/>
  <c r="E386" i="88"/>
  <c r="E733" i="88" s="1"/>
  <c r="E1050" i="88" s="1"/>
  <c r="D386" i="88"/>
  <c r="D733" i="88" s="1"/>
  <c r="D1050" i="88" s="1"/>
  <c r="C386" i="88"/>
  <c r="C733" i="88" s="1"/>
  <c r="C1050" i="88" s="1"/>
  <c r="F385" i="88"/>
  <c r="F732" i="88" s="1"/>
  <c r="F1049" i="88" s="1"/>
  <c r="E385" i="88"/>
  <c r="E732" i="88" s="1"/>
  <c r="E1049" i="88" s="1"/>
  <c r="D385" i="88"/>
  <c r="D732" i="88" s="1"/>
  <c r="D1049" i="88" s="1"/>
  <c r="C385" i="88"/>
  <c r="C732" i="88" s="1"/>
  <c r="C1049" i="88" s="1"/>
  <c r="F384" i="88"/>
  <c r="F731" i="88" s="1"/>
  <c r="F1048" i="88" s="1"/>
  <c r="E384" i="88"/>
  <c r="E731" i="88" s="1"/>
  <c r="E1048" i="88" s="1"/>
  <c r="D384" i="88"/>
  <c r="D731" i="88" s="1"/>
  <c r="D1048" i="88" s="1"/>
  <c r="C384" i="88"/>
  <c r="C731" i="88" s="1"/>
  <c r="C1048" i="88" s="1"/>
  <c r="F383" i="88"/>
  <c r="F730" i="88" s="1"/>
  <c r="F1047" i="88" s="1"/>
  <c r="E383" i="88"/>
  <c r="E730" i="88" s="1"/>
  <c r="E1047" i="88" s="1"/>
  <c r="D383" i="88"/>
  <c r="D730" i="88" s="1"/>
  <c r="D1047" i="88" s="1"/>
  <c r="C383" i="88"/>
  <c r="C730" i="88" s="1"/>
  <c r="C1047" i="88" s="1"/>
  <c r="F382" i="88"/>
  <c r="F729" i="88" s="1"/>
  <c r="F1046" i="88" s="1"/>
  <c r="E382" i="88"/>
  <c r="E729" i="88" s="1"/>
  <c r="E1046" i="88" s="1"/>
  <c r="D382" i="88"/>
  <c r="D729" i="88" s="1"/>
  <c r="D1046" i="88" s="1"/>
  <c r="C382" i="88"/>
  <c r="C729" i="88" s="1"/>
  <c r="C1046" i="88" s="1"/>
  <c r="F381" i="88"/>
  <c r="F728" i="88" s="1"/>
  <c r="F1045" i="88" s="1"/>
  <c r="E381" i="88"/>
  <c r="E728" i="88" s="1"/>
  <c r="E1045" i="88" s="1"/>
  <c r="D381" i="88"/>
  <c r="D728" i="88" s="1"/>
  <c r="D1045" i="88" s="1"/>
  <c r="C381" i="88"/>
  <c r="C728" i="88" s="1"/>
  <c r="C1045" i="88" s="1"/>
  <c r="F380" i="88"/>
  <c r="F727" i="88" s="1"/>
  <c r="F1044" i="88" s="1"/>
  <c r="E380" i="88"/>
  <c r="E727" i="88" s="1"/>
  <c r="E1044" i="88" s="1"/>
  <c r="D380" i="88"/>
  <c r="D727" i="88" s="1"/>
  <c r="D1044" i="88" s="1"/>
  <c r="C380" i="88"/>
  <c r="C727" i="88" s="1"/>
  <c r="C1044" i="88" s="1"/>
  <c r="F379" i="88"/>
  <c r="F726" i="88" s="1"/>
  <c r="F1043" i="88" s="1"/>
  <c r="E379" i="88"/>
  <c r="E726" i="88" s="1"/>
  <c r="E1043" i="88" s="1"/>
  <c r="D379" i="88"/>
  <c r="D726" i="88" s="1"/>
  <c r="D1043" i="88" s="1"/>
  <c r="C379" i="88"/>
  <c r="C726" i="88" s="1"/>
  <c r="C1043" i="88" s="1"/>
  <c r="F378" i="88"/>
  <c r="F725" i="88" s="1"/>
  <c r="F1042" i="88" s="1"/>
  <c r="E378" i="88"/>
  <c r="E725" i="88" s="1"/>
  <c r="E1042" i="88" s="1"/>
  <c r="D378" i="88"/>
  <c r="D725" i="88" s="1"/>
  <c r="D1042" i="88" s="1"/>
  <c r="C378" i="88"/>
  <c r="C725" i="88" s="1"/>
  <c r="C1042" i="88" s="1"/>
  <c r="F377" i="88"/>
  <c r="F724" i="88" s="1"/>
  <c r="F1041" i="88" s="1"/>
  <c r="E377" i="88"/>
  <c r="E724" i="88" s="1"/>
  <c r="E1041" i="88" s="1"/>
  <c r="D377" i="88"/>
  <c r="D724" i="88" s="1"/>
  <c r="D1041" i="88" s="1"/>
  <c r="C377" i="88"/>
  <c r="C724" i="88" s="1"/>
  <c r="C1041" i="88" s="1"/>
  <c r="F376" i="88"/>
  <c r="F723" i="88" s="1"/>
  <c r="F1040" i="88" s="1"/>
  <c r="E376" i="88"/>
  <c r="E723" i="88" s="1"/>
  <c r="E1040" i="88" s="1"/>
  <c r="D376" i="88"/>
  <c r="D723" i="88" s="1"/>
  <c r="D1040" i="88" s="1"/>
  <c r="C376" i="88"/>
  <c r="C723" i="88" s="1"/>
  <c r="C1040" i="88" s="1"/>
  <c r="F375" i="88"/>
  <c r="F722" i="88" s="1"/>
  <c r="F1039" i="88" s="1"/>
  <c r="E375" i="88"/>
  <c r="E722" i="88" s="1"/>
  <c r="E1039" i="88" s="1"/>
  <c r="D375" i="88"/>
  <c r="D722" i="88" s="1"/>
  <c r="D1039" i="88" s="1"/>
  <c r="C375" i="88"/>
  <c r="C722" i="88" s="1"/>
  <c r="C1039" i="88" s="1"/>
  <c r="F374" i="88"/>
  <c r="F721" i="88" s="1"/>
  <c r="F1038" i="88" s="1"/>
  <c r="E374" i="88"/>
  <c r="E721" i="88" s="1"/>
  <c r="E1038" i="88" s="1"/>
  <c r="D374" i="88"/>
  <c r="D721" i="88" s="1"/>
  <c r="D1038" i="88" s="1"/>
  <c r="C374" i="88"/>
  <c r="C721" i="88" s="1"/>
  <c r="C1038" i="88" s="1"/>
  <c r="F373" i="88"/>
  <c r="F720" i="88" s="1"/>
  <c r="F1037" i="88" s="1"/>
  <c r="E373" i="88"/>
  <c r="E720" i="88" s="1"/>
  <c r="E1037" i="88" s="1"/>
  <c r="D373" i="88"/>
  <c r="D720" i="88" s="1"/>
  <c r="D1037" i="88" s="1"/>
  <c r="C373" i="88"/>
  <c r="C720" i="88" s="1"/>
  <c r="C1037" i="88" s="1"/>
  <c r="F372" i="88"/>
  <c r="F719" i="88" s="1"/>
  <c r="F1036" i="88" s="1"/>
  <c r="E372" i="88"/>
  <c r="E719" i="88" s="1"/>
  <c r="E1036" i="88" s="1"/>
  <c r="D372" i="88"/>
  <c r="D719" i="88" s="1"/>
  <c r="D1036" i="88" s="1"/>
  <c r="C372" i="88"/>
  <c r="C719" i="88" s="1"/>
  <c r="C1036" i="88" s="1"/>
  <c r="F371" i="88"/>
  <c r="F718" i="88" s="1"/>
  <c r="F1035" i="88" s="1"/>
  <c r="E371" i="88"/>
  <c r="E718" i="88" s="1"/>
  <c r="E1035" i="88" s="1"/>
  <c r="D371" i="88"/>
  <c r="D718" i="88" s="1"/>
  <c r="D1035" i="88" s="1"/>
  <c r="C371" i="88"/>
  <c r="C718" i="88" s="1"/>
  <c r="C1035" i="88" s="1"/>
  <c r="F370" i="88"/>
  <c r="F717" i="88" s="1"/>
  <c r="F1034" i="88" s="1"/>
  <c r="E370" i="88"/>
  <c r="E717" i="88" s="1"/>
  <c r="E1034" i="88" s="1"/>
  <c r="D370" i="88"/>
  <c r="D717" i="88" s="1"/>
  <c r="D1034" i="88" s="1"/>
  <c r="C370" i="88"/>
  <c r="C717" i="88" s="1"/>
  <c r="C1034" i="88" s="1"/>
  <c r="F369" i="88"/>
  <c r="F716" i="88" s="1"/>
  <c r="F1033" i="88" s="1"/>
  <c r="E369" i="88"/>
  <c r="E716" i="88" s="1"/>
  <c r="E1033" i="88" s="1"/>
  <c r="D369" i="88"/>
  <c r="D716" i="88" s="1"/>
  <c r="D1033" i="88" s="1"/>
  <c r="C369" i="88"/>
  <c r="C716" i="88" s="1"/>
  <c r="C1033" i="88" s="1"/>
  <c r="F368" i="88"/>
  <c r="F715" i="88" s="1"/>
  <c r="F1032" i="88" s="1"/>
  <c r="E368" i="88"/>
  <c r="E715" i="88" s="1"/>
  <c r="E1032" i="88" s="1"/>
  <c r="D368" i="88"/>
  <c r="D715" i="88" s="1"/>
  <c r="D1032" i="88" s="1"/>
  <c r="C368" i="88"/>
  <c r="C715" i="88" s="1"/>
  <c r="C1032" i="88" s="1"/>
  <c r="F367" i="88"/>
  <c r="F714" i="88" s="1"/>
  <c r="F1031" i="88" s="1"/>
  <c r="E367" i="88"/>
  <c r="E714" i="88" s="1"/>
  <c r="E1031" i="88" s="1"/>
  <c r="D367" i="88"/>
  <c r="D714" i="88" s="1"/>
  <c r="D1031" i="88" s="1"/>
  <c r="C367" i="88"/>
  <c r="C714" i="88" s="1"/>
  <c r="C1031" i="88" s="1"/>
  <c r="F366" i="88"/>
  <c r="F713" i="88" s="1"/>
  <c r="F1030" i="88" s="1"/>
  <c r="E366" i="88"/>
  <c r="E713" i="88" s="1"/>
  <c r="E1030" i="88" s="1"/>
  <c r="D366" i="88"/>
  <c r="D713" i="88" s="1"/>
  <c r="D1030" i="88" s="1"/>
  <c r="C366" i="88"/>
  <c r="C713" i="88" s="1"/>
  <c r="C1030" i="88" s="1"/>
  <c r="F365" i="88"/>
  <c r="F712" i="88" s="1"/>
  <c r="F1029" i="88" s="1"/>
  <c r="E365" i="88"/>
  <c r="E712" i="88" s="1"/>
  <c r="E1029" i="88" s="1"/>
  <c r="D365" i="88"/>
  <c r="D712" i="88" s="1"/>
  <c r="D1029" i="88" s="1"/>
  <c r="C365" i="88"/>
  <c r="C712" i="88" s="1"/>
  <c r="C1029" i="88" s="1"/>
  <c r="F364" i="88"/>
  <c r="F711" i="88" s="1"/>
  <c r="F1028" i="88" s="1"/>
  <c r="E364" i="88"/>
  <c r="E711" i="88" s="1"/>
  <c r="E1028" i="88" s="1"/>
  <c r="D364" i="88"/>
  <c r="D711" i="88" s="1"/>
  <c r="D1028" i="88" s="1"/>
  <c r="C364" i="88"/>
  <c r="C711" i="88" s="1"/>
  <c r="C1028" i="88" s="1"/>
  <c r="F363" i="88"/>
  <c r="F710" i="88" s="1"/>
  <c r="F1027" i="88" s="1"/>
  <c r="E363" i="88"/>
  <c r="E710" i="88" s="1"/>
  <c r="E1027" i="88" s="1"/>
  <c r="D363" i="88"/>
  <c r="D710" i="88" s="1"/>
  <c r="D1027" i="88" s="1"/>
  <c r="C363" i="88"/>
  <c r="C710" i="88" s="1"/>
  <c r="C1027" i="88" s="1"/>
  <c r="F362" i="88"/>
  <c r="F709" i="88" s="1"/>
  <c r="F1026" i="88" s="1"/>
  <c r="E362" i="88"/>
  <c r="E709" i="88" s="1"/>
  <c r="E1026" i="88" s="1"/>
  <c r="D362" i="88"/>
  <c r="D709" i="88" s="1"/>
  <c r="D1026" i="88" s="1"/>
  <c r="C362" i="88"/>
  <c r="C709" i="88" s="1"/>
  <c r="C1026" i="88" s="1"/>
  <c r="F361" i="88"/>
  <c r="F708" i="88" s="1"/>
  <c r="F1025" i="88" s="1"/>
  <c r="E361" i="88"/>
  <c r="E708" i="88" s="1"/>
  <c r="E1025" i="88" s="1"/>
  <c r="D361" i="88"/>
  <c r="D708" i="88" s="1"/>
  <c r="D1025" i="88" s="1"/>
  <c r="C361" i="88"/>
  <c r="C708" i="88" s="1"/>
  <c r="C1025" i="88" s="1"/>
  <c r="F360" i="88"/>
  <c r="F707" i="88" s="1"/>
  <c r="F1024" i="88" s="1"/>
  <c r="E360" i="88"/>
  <c r="E707" i="88" s="1"/>
  <c r="E1024" i="88" s="1"/>
  <c r="D360" i="88"/>
  <c r="D707" i="88" s="1"/>
  <c r="D1024" i="88" s="1"/>
  <c r="C360" i="88"/>
  <c r="C707" i="88" s="1"/>
  <c r="C1024" i="88" s="1"/>
  <c r="F359" i="88"/>
  <c r="F706" i="88" s="1"/>
  <c r="F1023" i="88" s="1"/>
  <c r="E359" i="88"/>
  <c r="E706" i="88" s="1"/>
  <c r="E1023" i="88" s="1"/>
  <c r="D359" i="88"/>
  <c r="D706" i="88" s="1"/>
  <c r="D1023" i="88" s="1"/>
  <c r="C359" i="88"/>
  <c r="C706" i="88" s="1"/>
  <c r="C1023" i="88" s="1"/>
  <c r="F358" i="88"/>
  <c r="F705" i="88" s="1"/>
  <c r="F1022" i="88" s="1"/>
  <c r="E358" i="88"/>
  <c r="E705" i="88" s="1"/>
  <c r="E1022" i="88" s="1"/>
  <c r="D358" i="88"/>
  <c r="D705" i="88" s="1"/>
  <c r="D1022" i="88" s="1"/>
  <c r="C358" i="88"/>
  <c r="C705" i="88" s="1"/>
  <c r="C1022" i="88" s="1"/>
  <c r="F357" i="88"/>
  <c r="F704" i="88" s="1"/>
  <c r="F1021" i="88" s="1"/>
  <c r="E357" i="88"/>
  <c r="E704" i="88" s="1"/>
  <c r="E1021" i="88" s="1"/>
  <c r="D357" i="88"/>
  <c r="D704" i="88" s="1"/>
  <c r="D1021" i="88" s="1"/>
  <c r="C357" i="88"/>
  <c r="C704" i="88" s="1"/>
  <c r="C1021" i="88" s="1"/>
  <c r="F356" i="88"/>
  <c r="F703" i="88" s="1"/>
  <c r="F1020" i="88" s="1"/>
  <c r="E356" i="88"/>
  <c r="E703" i="88" s="1"/>
  <c r="E1020" i="88" s="1"/>
  <c r="D356" i="88"/>
  <c r="D703" i="88" s="1"/>
  <c r="D1020" i="88" s="1"/>
  <c r="C356" i="88"/>
  <c r="C703" i="88" s="1"/>
  <c r="C1020" i="88" s="1"/>
  <c r="F355" i="88"/>
  <c r="F702" i="88" s="1"/>
  <c r="F1019" i="88" s="1"/>
  <c r="E355" i="88"/>
  <c r="E702" i="88" s="1"/>
  <c r="E1019" i="88" s="1"/>
  <c r="D355" i="88"/>
  <c r="D702" i="88" s="1"/>
  <c r="D1019" i="88" s="1"/>
  <c r="C355" i="88"/>
  <c r="C702" i="88" s="1"/>
  <c r="C1019" i="88" s="1"/>
  <c r="F354" i="88"/>
  <c r="F701" i="88" s="1"/>
  <c r="F1018" i="88" s="1"/>
  <c r="E354" i="88"/>
  <c r="E701" i="88" s="1"/>
  <c r="E1018" i="88" s="1"/>
  <c r="D354" i="88"/>
  <c r="D701" i="88" s="1"/>
  <c r="D1018" i="88" s="1"/>
  <c r="C354" i="88"/>
  <c r="C701" i="88" s="1"/>
  <c r="C1018" i="88" s="1"/>
  <c r="F353" i="88"/>
  <c r="F700" i="88" s="1"/>
  <c r="F1017" i="88" s="1"/>
  <c r="E353" i="88"/>
  <c r="E700" i="88" s="1"/>
  <c r="E1017" i="88" s="1"/>
  <c r="D353" i="88"/>
  <c r="D700" i="88" s="1"/>
  <c r="D1017" i="88" s="1"/>
  <c r="C353" i="88"/>
  <c r="C700" i="88" s="1"/>
  <c r="C1017" i="88" s="1"/>
  <c r="F352" i="88"/>
  <c r="F699" i="88" s="1"/>
  <c r="F1016" i="88" s="1"/>
  <c r="E352" i="88"/>
  <c r="E699" i="88" s="1"/>
  <c r="E1016" i="88" s="1"/>
  <c r="D352" i="88"/>
  <c r="D699" i="88" s="1"/>
  <c r="D1016" i="88" s="1"/>
  <c r="C352" i="88"/>
  <c r="C699" i="88" s="1"/>
  <c r="C1016" i="88" s="1"/>
  <c r="F351" i="88"/>
  <c r="F698" i="88" s="1"/>
  <c r="F1015" i="88" s="1"/>
  <c r="E351" i="88"/>
  <c r="E698" i="88" s="1"/>
  <c r="E1015" i="88" s="1"/>
  <c r="D351" i="88"/>
  <c r="D698" i="88" s="1"/>
  <c r="D1015" i="88" s="1"/>
  <c r="C351" i="88"/>
  <c r="C698" i="88" s="1"/>
  <c r="C1015" i="88" s="1"/>
  <c r="F350" i="88"/>
  <c r="F697" i="88" s="1"/>
  <c r="F1014" i="88" s="1"/>
  <c r="E350" i="88"/>
  <c r="E697" i="88" s="1"/>
  <c r="E1014" i="88" s="1"/>
  <c r="D350" i="88"/>
  <c r="D697" i="88" s="1"/>
  <c r="D1014" i="88" s="1"/>
  <c r="C350" i="88"/>
  <c r="C697" i="88" s="1"/>
  <c r="C1014" i="88" s="1"/>
  <c r="F349" i="88"/>
  <c r="F696" i="88" s="1"/>
  <c r="F1013" i="88" s="1"/>
  <c r="E349" i="88"/>
  <c r="E696" i="88" s="1"/>
  <c r="E1013" i="88" s="1"/>
  <c r="D349" i="88"/>
  <c r="D696" i="88" s="1"/>
  <c r="D1013" i="88" s="1"/>
  <c r="C349" i="88"/>
  <c r="C696" i="88" s="1"/>
  <c r="C1013" i="88" s="1"/>
  <c r="BL34" i="89"/>
  <c r="BK34" i="89"/>
  <c r="BJ34" i="89"/>
  <c r="BI34" i="89"/>
  <c r="BH34" i="89"/>
  <c r="BL31" i="89"/>
  <c r="BK31" i="89"/>
  <c r="BJ31" i="89"/>
  <c r="BI31" i="89"/>
  <c r="BH31" i="89"/>
  <c r="BL28" i="89"/>
  <c r="BK28" i="89"/>
  <c r="BJ28" i="89"/>
  <c r="BI28" i="89"/>
  <c r="BH28" i="89"/>
  <c r="BL23" i="89"/>
  <c r="BK23" i="89"/>
  <c r="BJ23" i="89"/>
  <c r="BI23" i="89"/>
  <c r="BH23" i="89"/>
  <c r="BG22" i="89"/>
  <c r="BL19" i="89"/>
  <c r="BK19" i="89"/>
  <c r="BJ19" i="89"/>
  <c r="BI19" i="89"/>
  <c r="BH19" i="89"/>
  <c r="BG18" i="89"/>
  <c r="BL15" i="89"/>
  <c r="BK15" i="89"/>
  <c r="BJ15" i="89"/>
  <c r="BI15" i="89"/>
  <c r="BH15" i="89"/>
  <c r="BG14" i="89"/>
  <c r="BF344" i="88"/>
  <c r="BG660" i="89"/>
  <c r="BE1320" i="88"/>
  <c r="BF1314" i="88"/>
  <c r="O100" i="85" l="1"/>
  <c r="O101" i="85"/>
  <c r="H124" i="95"/>
  <c r="H125" i="95" s="1"/>
  <c r="H127" i="95" s="1"/>
  <c r="H135" i="95" s="1"/>
  <c r="H123" i="94"/>
  <c r="H124" i="94" s="1"/>
  <c r="BL49" i="89"/>
  <c r="BK49" i="89"/>
  <c r="BJ49" i="89"/>
  <c r="BI49" i="89"/>
  <c r="BH49" i="89"/>
  <c r="BL50" i="89"/>
  <c r="BK50" i="89"/>
  <c r="AK50" i="89" s="1"/>
  <c r="BJ50" i="89"/>
  <c r="BI50" i="89"/>
  <c r="BH50" i="89"/>
  <c r="P50" i="89" s="1"/>
  <c r="Q50" i="89" s="1"/>
  <c r="BL51" i="89"/>
  <c r="BK51" i="89"/>
  <c r="BJ51" i="89"/>
  <c r="BI51" i="89"/>
  <c r="BH51" i="89"/>
  <c r="BL52" i="89"/>
  <c r="BK52" i="89"/>
  <c r="BJ52" i="89"/>
  <c r="BI52" i="89"/>
  <c r="BH52" i="89"/>
  <c r="BL53" i="89"/>
  <c r="BK53" i="89"/>
  <c r="BJ53" i="89"/>
  <c r="BI53" i="89"/>
  <c r="BH53" i="89"/>
  <c r="BL54" i="89"/>
  <c r="BK54" i="89"/>
  <c r="BJ54" i="89"/>
  <c r="BI54" i="89"/>
  <c r="BH54" i="89"/>
  <c r="BL55" i="89"/>
  <c r="BK55" i="89"/>
  <c r="BJ55" i="89"/>
  <c r="BI55" i="89"/>
  <c r="BH55" i="89"/>
  <c r="BL56" i="89"/>
  <c r="BK56" i="89"/>
  <c r="BJ56" i="89"/>
  <c r="BI56" i="89"/>
  <c r="BH56" i="89"/>
  <c r="BL57" i="89"/>
  <c r="BK57" i="89"/>
  <c r="BJ57" i="89"/>
  <c r="BI57" i="89"/>
  <c r="BH57" i="89"/>
  <c r="BL58" i="89"/>
  <c r="BK58" i="89"/>
  <c r="BJ58" i="89"/>
  <c r="BI58" i="89"/>
  <c r="BH58" i="89"/>
  <c r="BL59" i="89"/>
  <c r="BK59" i="89"/>
  <c r="BJ59" i="89"/>
  <c r="BI59" i="89"/>
  <c r="BH59" i="89"/>
  <c r="BL60" i="89"/>
  <c r="BK60" i="89"/>
  <c r="BJ60" i="89"/>
  <c r="BI60" i="89"/>
  <c r="BH60" i="89"/>
  <c r="BL61" i="89"/>
  <c r="BK61" i="89"/>
  <c r="BJ61" i="89"/>
  <c r="BI61" i="89"/>
  <c r="BH61" i="89"/>
  <c r="BL62" i="89"/>
  <c r="BK62" i="89"/>
  <c r="BJ62" i="89"/>
  <c r="BI62" i="89"/>
  <c r="BH62" i="89"/>
  <c r="BL63" i="89"/>
  <c r="BK63" i="89"/>
  <c r="BJ63" i="89"/>
  <c r="BI63" i="89"/>
  <c r="BH63" i="89"/>
  <c r="BL64" i="89"/>
  <c r="BK64" i="89"/>
  <c r="BJ64" i="89"/>
  <c r="BI64" i="89"/>
  <c r="BH64" i="89"/>
  <c r="BL65" i="89"/>
  <c r="BK65" i="89"/>
  <c r="BJ65" i="89"/>
  <c r="BI65" i="89"/>
  <c r="BH65" i="89"/>
  <c r="BL66" i="89"/>
  <c r="BK66" i="89"/>
  <c r="BJ66" i="89"/>
  <c r="BI66" i="89"/>
  <c r="BH66" i="89"/>
  <c r="BL67" i="89"/>
  <c r="BK67" i="89"/>
  <c r="BJ67" i="89"/>
  <c r="BI67" i="89"/>
  <c r="BH67" i="89"/>
  <c r="BL68" i="89"/>
  <c r="BK68" i="89"/>
  <c r="BJ68" i="89"/>
  <c r="BI68" i="89"/>
  <c r="BH68" i="89"/>
  <c r="BL69" i="89"/>
  <c r="BK69" i="89"/>
  <c r="BJ69" i="89"/>
  <c r="BI69" i="89"/>
  <c r="BH69" i="89"/>
  <c r="BL70" i="89"/>
  <c r="BK70" i="89"/>
  <c r="BJ70" i="89"/>
  <c r="BI70" i="89"/>
  <c r="BH70" i="89"/>
  <c r="BL71" i="89"/>
  <c r="BK71" i="89"/>
  <c r="BJ71" i="89"/>
  <c r="BI71" i="89"/>
  <c r="BH71" i="89"/>
  <c r="BL72" i="89"/>
  <c r="BK72" i="89"/>
  <c r="BJ72" i="89"/>
  <c r="BI72" i="89"/>
  <c r="BH72" i="89"/>
  <c r="BL73" i="89"/>
  <c r="BK73" i="89"/>
  <c r="BJ73" i="89"/>
  <c r="BI73" i="89"/>
  <c r="BH73" i="89"/>
  <c r="BL74" i="89"/>
  <c r="BK74" i="89"/>
  <c r="BJ74" i="89"/>
  <c r="BI74" i="89"/>
  <c r="BH74" i="89"/>
  <c r="BL75" i="89"/>
  <c r="BK75" i="89"/>
  <c r="BJ75" i="89"/>
  <c r="BI75" i="89"/>
  <c r="BH75" i="89"/>
  <c r="BL76" i="89"/>
  <c r="BK76" i="89"/>
  <c r="BJ76" i="89"/>
  <c r="BI76" i="89"/>
  <c r="BH76" i="89"/>
  <c r="BL77" i="89"/>
  <c r="BK77" i="89"/>
  <c r="BJ77" i="89"/>
  <c r="BI77" i="89"/>
  <c r="BH77" i="89"/>
  <c r="BL78" i="89"/>
  <c r="BK78" i="89"/>
  <c r="BJ78" i="89"/>
  <c r="BI78" i="89"/>
  <c r="BH78" i="89"/>
  <c r="BL79" i="89"/>
  <c r="BK79" i="89"/>
  <c r="BJ79" i="89"/>
  <c r="BI79" i="89"/>
  <c r="BH79" i="89"/>
  <c r="BL80" i="89"/>
  <c r="BK80" i="89"/>
  <c r="BJ80" i="89"/>
  <c r="BI80" i="89"/>
  <c r="BH80" i="89"/>
  <c r="BL81" i="89"/>
  <c r="BK81" i="89"/>
  <c r="BJ81" i="89"/>
  <c r="BI81" i="89"/>
  <c r="BH81" i="89"/>
  <c r="BL82" i="89"/>
  <c r="BK82" i="89"/>
  <c r="BJ82" i="89"/>
  <c r="BI82" i="89"/>
  <c r="BH82" i="89"/>
  <c r="BL83" i="89"/>
  <c r="BK83" i="89"/>
  <c r="BJ83" i="89"/>
  <c r="BI83" i="89"/>
  <c r="BH83" i="89"/>
  <c r="BL84" i="89"/>
  <c r="BK84" i="89"/>
  <c r="BJ84" i="89"/>
  <c r="BI84" i="89"/>
  <c r="BH84" i="89"/>
  <c r="BL85" i="89"/>
  <c r="BK85" i="89"/>
  <c r="BJ85" i="89"/>
  <c r="BI85" i="89"/>
  <c r="BH85" i="89"/>
  <c r="BL86" i="89"/>
  <c r="BK86" i="89"/>
  <c r="BJ86" i="89"/>
  <c r="BI86" i="89"/>
  <c r="BH86" i="89"/>
  <c r="BL87" i="89"/>
  <c r="BK87" i="89"/>
  <c r="BJ87" i="89"/>
  <c r="BI87" i="89"/>
  <c r="BH87" i="89"/>
  <c r="BL88" i="89"/>
  <c r="BK88" i="89"/>
  <c r="BJ88" i="89"/>
  <c r="BI88" i="89"/>
  <c r="BH88" i="89"/>
  <c r="BL89" i="89"/>
  <c r="BK89" i="89"/>
  <c r="BJ89" i="89"/>
  <c r="BI89" i="89"/>
  <c r="BH89" i="89"/>
  <c r="BL90" i="89"/>
  <c r="BK90" i="89"/>
  <c r="BJ90" i="89"/>
  <c r="BI90" i="89"/>
  <c r="BH90" i="89"/>
  <c r="BL91" i="89"/>
  <c r="BK91" i="89"/>
  <c r="BJ91" i="89"/>
  <c r="BI91" i="89"/>
  <c r="BH91" i="89"/>
  <c r="BL92" i="89"/>
  <c r="BK92" i="89"/>
  <c r="BJ92" i="89"/>
  <c r="BI92" i="89"/>
  <c r="BH92" i="89"/>
  <c r="BL93" i="89"/>
  <c r="BK93" i="89"/>
  <c r="BJ93" i="89"/>
  <c r="G93" i="89" s="1"/>
  <c r="BI93" i="89"/>
  <c r="BH93" i="89"/>
  <c r="BL94" i="89"/>
  <c r="BK94" i="89"/>
  <c r="BJ94" i="89"/>
  <c r="BI94" i="89"/>
  <c r="BH94" i="89"/>
  <c r="BL95" i="89"/>
  <c r="BK95" i="89"/>
  <c r="BJ95" i="89"/>
  <c r="BI95" i="89"/>
  <c r="BH95" i="89"/>
  <c r="BL96" i="89"/>
  <c r="BK96" i="89"/>
  <c r="BJ96" i="89"/>
  <c r="BI96" i="89"/>
  <c r="BH96" i="89"/>
  <c r="BL97" i="89"/>
  <c r="BK97" i="89"/>
  <c r="BJ97" i="89"/>
  <c r="BI97" i="89"/>
  <c r="BH97" i="89"/>
  <c r="BL98" i="89"/>
  <c r="BK98" i="89"/>
  <c r="BJ98" i="89"/>
  <c r="BI98" i="89"/>
  <c r="BH98" i="89"/>
  <c r="BL99" i="89"/>
  <c r="BK99" i="89"/>
  <c r="BJ99" i="89"/>
  <c r="BI99" i="89"/>
  <c r="BH99" i="89"/>
  <c r="BL100" i="89"/>
  <c r="BK100" i="89"/>
  <c r="BJ100" i="89"/>
  <c r="BI100" i="89"/>
  <c r="BH100" i="89"/>
  <c r="BL101" i="89"/>
  <c r="BK101" i="89"/>
  <c r="BJ101" i="89"/>
  <c r="BI101" i="89"/>
  <c r="BH101" i="89"/>
  <c r="BL102" i="89"/>
  <c r="BK102" i="89"/>
  <c r="BJ102" i="89"/>
  <c r="BI102" i="89"/>
  <c r="BH102" i="89"/>
  <c r="BL103" i="89"/>
  <c r="BK103" i="89"/>
  <c r="BJ103" i="89"/>
  <c r="BI103" i="89"/>
  <c r="BH103" i="89"/>
  <c r="BL104" i="89"/>
  <c r="BK104" i="89"/>
  <c r="BJ104" i="89"/>
  <c r="BI104" i="89"/>
  <c r="BH104" i="89"/>
  <c r="BL105" i="89"/>
  <c r="BK105" i="89"/>
  <c r="BJ105" i="89"/>
  <c r="BI105" i="89"/>
  <c r="BH105" i="89"/>
  <c r="BL106" i="89"/>
  <c r="BK106" i="89"/>
  <c r="BJ106" i="89"/>
  <c r="BI106" i="89"/>
  <c r="BH106" i="89"/>
  <c r="BL107" i="89"/>
  <c r="BK107" i="89"/>
  <c r="BJ107" i="89"/>
  <c r="BI107" i="89"/>
  <c r="BH107" i="89"/>
  <c r="BL108" i="89"/>
  <c r="BK108" i="89"/>
  <c r="BJ108" i="89"/>
  <c r="BI108" i="89"/>
  <c r="BH108" i="89"/>
  <c r="BL109" i="89"/>
  <c r="BK109" i="89"/>
  <c r="BJ109" i="89"/>
  <c r="BI109" i="89"/>
  <c r="BH109" i="89"/>
  <c r="BL110" i="89"/>
  <c r="BK110" i="89"/>
  <c r="BJ110" i="89"/>
  <c r="BI110" i="89"/>
  <c r="BH110" i="89"/>
  <c r="BL111" i="89"/>
  <c r="BK111" i="89"/>
  <c r="BJ111" i="89"/>
  <c r="BI111" i="89"/>
  <c r="BH111" i="89"/>
  <c r="BL112" i="89"/>
  <c r="BK112" i="89"/>
  <c r="BJ112" i="89"/>
  <c r="BI112" i="89"/>
  <c r="BH112" i="89"/>
  <c r="BL113" i="89"/>
  <c r="BK113" i="89"/>
  <c r="BJ113" i="89"/>
  <c r="BI113" i="89"/>
  <c r="BH113" i="89"/>
  <c r="BL114" i="89"/>
  <c r="BK114" i="89"/>
  <c r="BJ114" i="89"/>
  <c r="BI114" i="89"/>
  <c r="BH114" i="89"/>
  <c r="BL115" i="89"/>
  <c r="BK115" i="89"/>
  <c r="BJ115" i="89"/>
  <c r="BI115" i="89"/>
  <c r="BH115" i="89"/>
  <c r="BL116" i="89"/>
  <c r="BK116" i="89"/>
  <c r="BJ116" i="89"/>
  <c r="BI116" i="89"/>
  <c r="BH116" i="89"/>
  <c r="BL117" i="89"/>
  <c r="BK117" i="89"/>
  <c r="BJ117" i="89"/>
  <c r="BI117" i="89"/>
  <c r="BH117" i="89"/>
  <c r="BL118" i="89"/>
  <c r="BK118" i="89"/>
  <c r="BJ118" i="89"/>
  <c r="BI118" i="89"/>
  <c r="BH118" i="89"/>
  <c r="BL119" i="89"/>
  <c r="BK119" i="89"/>
  <c r="BJ119" i="89"/>
  <c r="BI119" i="89"/>
  <c r="BH119" i="89"/>
  <c r="BL120" i="89"/>
  <c r="BK120" i="89"/>
  <c r="BJ120" i="89"/>
  <c r="BI120" i="89"/>
  <c r="BH120" i="89"/>
  <c r="BL121" i="89"/>
  <c r="BK121" i="89"/>
  <c r="BJ121" i="89"/>
  <c r="BI121" i="89"/>
  <c r="BH121" i="89"/>
  <c r="BL122" i="89"/>
  <c r="BK122" i="89"/>
  <c r="BJ122" i="89"/>
  <c r="BI122" i="89"/>
  <c r="BH122" i="89"/>
  <c r="BL123" i="89"/>
  <c r="BK123" i="89"/>
  <c r="BJ123" i="89"/>
  <c r="BI123" i="89"/>
  <c r="BH123" i="89"/>
  <c r="BL124" i="89"/>
  <c r="BK124" i="89"/>
  <c r="BJ124" i="89"/>
  <c r="BI124" i="89"/>
  <c r="BH124" i="89"/>
  <c r="BL125" i="89"/>
  <c r="BK125" i="89"/>
  <c r="BJ125" i="89"/>
  <c r="BI125" i="89"/>
  <c r="BH125" i="89"/>
  <c r="BL126" i="89"/>
  <c r="BK126" i="89"/>
  <c r="BJ126" i="89"/>
  <c r="BI126" i="89"/>
  <c r="BH126" i="89"/>
  <c r="BL127" i="89"/>
  <c r="BK127" i="89"/>
  <c r="BJ127" i="89"/>
  <c r="BI127" i="89"/>
  <c r="BH127" i="89"/>
  <c r="BL128" i="89"/>
  <c r="BK128" i="89"/>
  <c r="BJ128" i="89"/>
  <c r="BI128" i="89"/>
  <c r="BH128" i="89"/>
  <c r="BL129" i="89"/>
  <c r="BK129" i="89"/>
  <c r="BJ129" i="89"/>
  <c r="BI129" i="89"/>
  <c r="BH129" i="89"/>
  <c r="BL130" i="89"/>
  <c r="BK130" i="89"/>
  <c r="BJ130" i="89"/>
  <c r="BI130" i="89"/>
  <c r="BH130" i="89"/>
  <c r="BL131" i="89"/>
  <c r="BK131" i="89"/>
  <c r="BJ131" i="89"/>
  <c r="BI131" i="89"/>
  <c r="BH131" i="89"/>
  <c r="BL132" i="89"/>
  <c r="BK132" i="89"/>
  <c r="BJ132" i="89"/>
  <c r="BI132" i="89"/>
  <c r="BH132" i="89"/>
  <c r="BL133" i="89"/>
  <c r="BK133" i="89"/>
  <c r="BJ133" i="89"/>
  <c r="BI133" i="89"/>
  <c r="BH133" i="89"/>
  <c r="BL134" i="89"/>
  <c r="BK134" i="89"/>
  <c r="BJ134" i="89"/>
  <c r="BI134" i="89"/>
  <c r="BH134" i="89"/>
  <c r="BL135" i="89"/>
  <c r="BK135" i="89"/>
  <c r="BJ135" i="89"/>
  <c r="BI135" i="89"/>
  <c r="BH135" i="89"/>
  <c r="BL136" i="89"/>
  <c r="BK136" i="89"/>
  <c r="BJ136" i="89"/>
  <c r="BI136" i="89"/>
  <c r="BH136" i="89"/>
  <c r="BL137" i="89"/>
  <c r="BK137" i="89"/>
  <c r="BJ137" i="89"/>
  <c r="BI137" i="89"/>
  <c r="BH137" i="89"/>
  <c r="BL138" i="89"/>
  <c r="BK138" i="89"/>
  <c r="BJ138" i="89"/>
  <c r="BI138" i="89"/>
  <c r="BH138" i="89"/>
  <c r="BL139" i="89"/>
  <c r="BK139" i="89"/>
  <c r="BJ139" i="89"/>
  <c r="BI139" i="89"/>
  <c r="BH139" i="89"/>
  <c r="BL140" i="89"/>
  <c r="BK140" i="89"/>
  <c r="BJ140" i="89"/>
  <c r="BI140" i="89"/>
  <c r="BH140" i="89"/>
  <c r="BL141" i="89"/>
  <c r="BK141" i="89"/>
  <c r="BJ141" i="89"/>
  <c r="BI141" i="89"/>
  <c r="BH141" i="89"/>
  <c r="BL142" i="89"/>
  <c r="BK142" i="89"/>
  <c r="BJ142" i="89"/>
  <c r="BI142" i="89"/>
  <c r="BH142" i="89"/>
  <c r="BL143" i="89"/>
  <c r="BK143" i="89"/>
  <c r="BJ143" i="89"/>
  <c r="BI143" i="89"/>
  <c r="BH143" i="89"/>
  <c r="BL144" i="89"/>
  <c r="BK144" i="89"/>
  <c r="BJ144" i="89"/>
  <c r="BI144" i="89"/>
  <c r="BH144" i="89"/>
  <c r="BL145" i="89"/>
  <c r="BK145" i="89"/>
  <c r="BJ145" i="89"/>
  <c r="BI145" i="89"/>
  <c r="BH145" i="89"/>
  <c r="BL146" i="89"/>
  <c r="BK146" i="89"/>
  <c r="BJ146" i="89"/>
  <c r="BI146" i="89"/>
  <c r="BH146" i="89"/>
  <c r="BL147" i="89"/>
  <c r="BK147" i="89"/>
  <c r="BJ147" i="89"/>
  <c r="BI147" i="89"/>
  <c r="BH147" i="89"/>
  <c r="BL148" i="89"/>
  <c r="BK148" i="89"/>
  <c r="BJ148" i="89"/>
  <c r="BI148" i="89"/>
  <c r="BH148" i="89"/>
  <c r="BL149" i="89"/>
  <c r="BK149" i="89"/>
  <c r="BJ149" i="89"/>
  <c r="BI149" i="89"/>
  <c r="BH149" i="89"/>
  <c r="BL150" i="89"/>
  <c r="BK150" i="89"/>
  <c r="BJ150" i="89"/>
  <c r="BI150" i="89"/>
  <c r="BH150" i="89"/>
  <c r="BL151" i="89"/>
  <c r="BK151" i="89"/>
  <c r="BJ151" i="89"/>
  <c r="BI151" i="89"/>
  <c r="BH151" i="89"/>
  <c r="BL152" i="89"/>
  <c r="BK152" i="89"/>
  <c r="BJ152" i="89"/>
  <c r="BI152" i="89"/>
  <c r="BH152" i="89"/>
  <c r="BL167" i="89"/>
  <c r="BK167" i="89"/>
  <c r="BJ167" i="89"/>
  <c r="BI167" i="89"/>
  <c r="BH167" i="89"/>
  <c r="BL168" i="89"/>
  <c r="BK168" i="89"/>
  <c r="BJ168" i="89"/>
  <c r="BI168" i="89"/>
  <c r="BH168" i="89"/>
  <c r="BL169" i="89"/>
  <c r="BK169" i="89"/>
  <c r="BJ169" i="89"/>
  <c r="BI169" i="89"/>
  <c r="BH169" i="89"/>
  <c r="BL170" i="89"/>
  <c r="BK170" i="89"/>
  <c r="BJ170" i="89"/>
  <c r="BI170" i="89"/>
  <c r="BH170" i="89"/>
  <c r="BL171" i="89"/>
  <c r="BK171" i="89"/>
  <c r="BJ171" i="89"/>
  <c r="BI171" i="89"/>
  <c r="BH171" i="89"/>
  <c r="BL172" i="89"/>
  <c r="BK172" i="89"/>
  <c r="BJ172" i="89"/>
  <c r="BI172" i="89"/>
  <c r="BH172" i="89"/>
  <c r="BL173" i="89"/>
  <c r="BK173" i="89"/>
  <c r="BJ173" i="89"/>
  <c r="BI173" i="89"/>
  <c r="BH173" i="89"/>
  <c r="BL174" i="89"/>
  <c r="BK174" i="89"/>
  <c r="BJ174" i="89"/>
  <c r="BI174" i="89"/>
  <c r="BH174" i="89"/>
  <c r="BL175" i="89"/>
  <c r="BK175" i="89"/>
  <c r="BJ175" i="89"/>
  <c r="BI175" i="89"/>
  <c r="BH175" i="89"/>
  <c r="BL176" i="89"/>
  <c r="BK176" i="89"/>
  <c r="BJ176" i="89"/>
  <c r="BI176" i="89"/>
  <c r="BH176" i="89"/>
  <c r="BL177" i="89"/>
  <c r="BK177" i="89"/>
  <c r="BJ177" i="89"/>
  <c r="BI177" i="89"/>
  <c r="BH177" i="89"/>
  <c r="BL178" i="89"/>
  <c r="BK178" i="89"/>
  <c r="BJ178" i="89"/>
  <c r="BI178" i="89"/>
  <c r="BH178" i="89"/>
  <c r="BL179" i="89"/>
  <c r="BK179" i="89"/>
  <c r="BJ179" i="89"/>
  <c r="BI179" i="89"/>
  <c r="BH179" i="89"/>
  <c r="BL180" i="89"/>
  <c r="BK180" i="89"/>
  <c r="BJ180" i="89"/>
  <c r="BI180" i="89"/>
  <c r="BH180" i="89"/>
  <c r="BL181" i="89"/>
  <c r="BK181" i="89"/>
  <c r="BJ181" i="89"/>
  <c r="BI181" i="89"/>
  <c r="BH181" i="89"/>
  <c r="BL182" i="89"/>
  <c r="BK182" i="89"/>
  <c r="BJ182" i="89"/>
  <c r="BI182" i="89"/>
  <c r="BH182" i="89"/>
  <c r="BL183" i="89"/>
  <c r="BK183" i="89"/>
  <c r="BJ183" i="89"/>
  <c r="BI183" i="89"/>
  <c r="BH183" i="89"/>
  <c r="BL184" i="89"/>
  <c r="BK184" i="89"/>
  <c r="BJ184" i="89"/>
  <c r="BI184" i="89"/>
  <c r="BH184" i="89"/>
  <c r="BL185" i="89"/>
  <c r="BK185" i="89"/>
  <c r="BJ185" i="89"/>
  <c r="BI185" i="89"/>
  <c r="BH185" i="89"/>
  <c r="BL186" i="89"/>
  <c r="BK186" i="89"/>
  <c r="BJ186" i="89"/>
  <c r="BI186" i="89"/>
  <c r="BH186" i="89"/>
  <c r="BL187" i="89"/>
  <c r="BK187" i="89"/>
  <c r="BJ187" i="89"/>
  <c r="BI187" i="89"/>
  <c r="BH187" i="89"/>
  <c r="BL188" i="89"/>
  <c r="BK188" i="89"/>
  <c r="BJ188" i="89"/>
  <c r="BI188" i="89"/>
  <c r="BH188" i="89"/>
  <c r="BL189" i="89"/>
  <c r="BK189" i="89"/>
  <c r="BJ189" i="89"/>
  <c r="BI189" i="89"/>
  <c r="BH189" i="89"/>
  <c r="BL190" i="89"/>
  <c r="BK190" i="89"/>
  <c r="BJ190" i="89"/>
  <c r="BI190" i="89"/>
  <c r="BH190" i="89"/>
  <c r="BL191" i="89"/>
  <c r="BK191" i="89"/>
  <c r="BJ191" i="89"/>
  <c r="BI191" i="89"/>
  <c r="BH191" i="89"/>
  <c r="BL192" i="89"/>
  <c r="BK192" i="89"/>
  <c r="BJ192" i="89"/>
  <c r="BI192" i="89"/>
  <c r="BH192" i="89"/>
  <c r="BL193" i="89"/>
  <c r="BK193" i="89"/>
  <c r="BJ193" i="89"/>
  <c r="BI193" i="89"/>
  <c r="BH193" i="89"/>
  <c r="BL194" i="89"/>
  <c r="BK194" i="89"/>
  <c r="BJ194" i="89"/>
  <c r="BI194" i="89"/>
  <c r="BH194" i="89"/>
  <c r="BL195" i="89"/>
  <c r="BK195" i="89"/>
  <c r="BJ195" i="89"/>
  <c r="BI195" i="89"/>
  <c r="BH195" i="89"/>
  <c r="BL196" i="89"/>
  <c r="BK196" i="89"/>
  <c r="BJ196" i="89"/>
  <c r="BI196" i="89"/>
  <c r="BH196" i="89"/>
  <c r="BL197" i="89"/>
  <c r="BK197" i="89"/>
  <c r="BJ197" i="89"/>
  <c r="BI197" i="89"/>
  <c r="BH197" i="89"/>
  <c r="BL198" i="89"/>
  <c r="BK198" i="89"/>
  <c r="BJ198" i="89"/>
  <c r="BI198" i="89"/>
  <c r="BH198" i="89"/>
  <c r="BL199" i="89"/>
  <c r="BK199" i="89"/>
  <c r="BJ199" i="89"/>
  <c r="BI199" i="89"/>
  <c r="BH199" i="89"/>
  <c r="BL200" i="89"/>
  <c r="BK200" i="89"/>
  <c r="BJ200" i="89"/>
  <c r="BI200" i="89"/>
  <c r="BH200" i="89"/>
  <c r="BL201" i="89"/>
  <c r="BK201" i="89"/>
  <c r="BJ201" i="89"/>
  <c r="BI201" i="89"/>
  <c r="BH201" i="89"/>
  <c r="BL202" i="89"/>
  <c r="BK202" i="89"/>
  <c r="BJ202" i="89"/>
  <c r="BI202" i="89"/>
  <c r="BH202" i="89"/>
  <c r="BL203" i="89"/>
  <c r="BK203" i="89"/>
  <c r="BJ203" i="89"/>
  <c r="BI203" i="89"/>
  <c r="BH203" i="89"/>
  <c r="BL204" i="89"/>
  <c r="BK204" i="89"/>
  <c r="BJ204" i="89"/>
  <c r="BI204" i="89"/>
  <c r="BH204" i="89"/>
  <c r="BL205" i="89"/>
  <c r="BK205" i="89"/>
  <c r="BJ205" i="89"/>
  <c r="BI205" i="89"/>
  <c r="BH205" i="89"/>
  <c r="BL206" i="89"/>
  <c r="BK206" i="89"/>
  <c r="BJ206" i="89"/>
  <c r="AD206" i="89" s="1"/>
  <c r="BI206" i="89"/>
  <c r="BH206" i="89"/>
  <c r="BL207" i="89"/>
  <c r="BK207" i="89"/>
  <c r="BJ207" i="89"/>
  <c r="BI207" i="89"/>
  <c r="BH207" i="89"/>
  <c r="BL208" i="89"/>
  <c r="BK208" i="89"/>
  <c r="BJ208" i="89"/>
  <c r="BI208" i="89"/>
  <c r="BH208" i="89"/>
  <c r="BL209" i="89"/>
  <c r="BK209" i="89"/>
  <c r="BJ209" i="89"/>
  <c r="BI209" i="89"/>
  <c r="BH209" i="89"/>
  <c r="BL210" i="89"/>
  <c r="BK210" i="89"/>
  <c r="BJ210" i="89"/>
  <c r="BI210" i="89"/>
  <c r="BH210" i="89"/>
  <c r="BL211" i="89"/>
  <c r="BK211" i="89"/>
  <c r="BJ211" i="89"/>
  <c r="BI211" i="89"/>
  <c r="BH211" i="89"/>
  <c r="BL212" i="89"/>
  <c r="BK212" i="89"/>
  <c r="BJ212" i="89"/>
  <c r="BI212" i="89"/>
  <c r="BH212" i="89"/>
  <c r="BL213" i="89"/>
  <c r="BK213" i="89"/>
  <c r="BJ213" i="89"/>
  <c r="BI213" i="89"/>
  <c r="BH213" i="89"/>
  <c r="BL214" i="89"/>
  <c r="BK214" i="89"/>
  <c r="BJ214" i="89"/>
  <c r="BI214" i="89"/>
  <c r="BH214" i="89"/>
  <c r="BL215" i="89"/>
  <c r="BK215" i="89"/>
  <c r="BJ215" i="89"/>
  <c r="BI215" i="89"/>
  <c r="BH215" i="89"/>
  <c r="BL216" i="89"/>
  <c r="BK216" i="89"/>
  <c r="BJ216" i="89"/>
  <c r="BI216" i="89"/>
  <c r="BH216" i="89"/>
  <c r="BL217" i="89"/>
  <c r="BK217" i="89"/>
  <c r="BJ217" i="89"/>
  <c r="BI217" i="89"/>
  <c r="BH217" i="89"/>
  <c r="BL218" i="89"/>
  <c r="BK218" i="89"/>
  <c r="BJ218" i="89"/>
  <c r="BI218" i="89"/>
  <c r="BH218" i="89"/>
  <c r="BL219" i="89"/>
  <c r="BK219" i="89"/>
  <c r="BJ219" i="89"/>
  <c r="BI219" i="89"/>
  <c r="BH219" i="89"/>
  <c r="BL220" i="89"/>
  <c r="BK220" i="89"/>
  <c r="BJ220" i="89"/>
  <c r="BI220" i="89"/>
  <c r="BH220" i="89"/>
  <c r="BL221" i="89"/>
  <c r="BK221" i="89"/>
  <c r="BJ221" i="89"/>
  <c r="BI221" i="89"/>
  <c r="BH221" i="89"/>
  <c r="BL222" i="89"/>
  <c r="BK222" i="89"/>
  <c r="BJ222" i="89"/>
  <c r="BI222" i="89"/>
  <c r="BH222" i="89"/>
  <c r="BL223" i="89"/>
  <c r="BK223" i="89"/>
  <c r="BJ223" i="89"/>
  <c r="BI223" i="89"/>
  <c r="BH223" i="89"/>
  <c r="BL224" i="89"/>
  <c r="BK224" i="89"/>
  <c r="BJ224" i="89"/>
  <c r="BI224" i="89"/>
  <c r="BH224" i="89"/>
  <c r="BL225" i="89"/>
  <c r="BK225" i="89"/>
  <c r="BJ225" i="89"/>
  <c r="BI225" i="89"/>
  <c r="BH225" i="89"/>
  <c r="BL226" i="89"/>
  <c r="BK226" i="89"/>
  <c r="BJ226" i="89"/>
  <c r="BI226" i="89"/>
  <c r="BH226" i="89"/>
  <c r="BL227" i="89"/>
  <c r="BK227" i="89"/>
  <c r="BJ227" i="89"/>
  <c r="BI227" i="89"/>
  <c r="BH227" i="89"/>
  <c r="BL228" i="89"/>
  <c r="BK228" i="89"/>
  <c r="BJ228" i="89"/>
  <c r="BI228" i="89"/>
  <c r="BH228" i="89"/>
  <c r="BL229" i="89"/>
  <c r="BK229" i="89"/>
  <c r="BJ229" i="89"/>
  <c r="BI229" i="89"/>
  <c r="BH229" i="89"/>
  <c r="BL230" i="89"/>
  <c r="BK230" i="89"/>
  <c r="BJ230" i="89"/>
  <c r="BI230" i="89"/>
  <c r="BH230" i="89"/>
  <c r="BL231" i="89"/>
  <c r="BK231" i="89"/>
  <c r="BJ231" i="89"/>
  <c r="BI231" i="89"/>
  <c r="BH231" i="89"/>
  <c r="BL232" i="89"/>
  <c r="BK232" i="89"/>
  <c r="BJ232" i="89"/>
  <c r="BI232" i="89"/>
  <c r="BH232" i="89"/>
  <c r="BL233" i="89"/>
  <c r="BK233" i="89"/>
  <c r="BJ233" i="89"/>
  <c r="BI233" i="89"/>
  <c r="BH233" i="89"/>
  <c r="BL234" i="89"/>
  <c r="BK234" i="89"/>
  <c r="BJ234" i="89"/>
  <c r="BI234" i="89"/>
  <c r="BH234" i="89"/>
  <c r="BL235" i="89"/>
  <c r="BK235" i="89"/>
  <c r="BJ235" i="89"/>
  <c r="BI235" i="89"/>
  <c r="BH235" i="89"/>
  <c r="BL236" i="89"/>
  <c r="BK236" i="89"/>
  <c r="BJ236" i="89"/>
  <c r="BI236" i="89"/>
  <c r="BH236" i="89"/>
  <c r="BL237" i="89"/>
  <c r="BK237" i="89"/>
  <c r="BJ237" i="89"/>
  <c r="BI237" i="89"/>
  <c r="BH237" i="89"/>
  <c r="BL238" i="89"/>
  <c r="BK238" i="89"/>
  <c r="BJ238" i="89"/>
  <c r="BI238" i="89"/>
  <c r="BH238" i="89"/>
  <c r="BL239" i="89"/>
  <c r="BK239" i="89"/>
  <c r="BJ239" i="89"/>
  <c r="BI239" i="89"/>
  <c r="BH239" i="89"/>
  <c r="BL240" i="89"/>
  <c r="BK240" i="89"/>
  <c r="BJ240" i="89"/>
  <c r="BI240" i="89"/>
  <c r="BH240" i="89"/>
  <c r="BL241" i="89"/>
  <c r="BK241" i="89"/>
  <c r="BJ241" i="89"/>
  <c r="BI241" i="89"/>
  <c r="BH241" i="89"/>
  <c r="BL242" i="89"/>
  <c r="BK242" i="89"/>
  <c r="BJ242" i="89"/>
  <c r="BI242" i="89"/>
  <c r="BH242" i="89"/>
  <c r="BL243" i="89"/>
  <c r="BK243" i="89"/>
  <c r="BJ243" i="89"/>
  <c r="BI243" i="89"/>
  <c r="BH243" i="89"/>
  <c r="BL244" i="89"/>
  <c r="BK244" i="89"/>
  <c r="BJ244" i="89"/>
  <c r="BI244" i="89"/>
  <c r="BH244" i="89"/>
  <c r="BL245" i="89"/>
  <c r="BK245" i="89"/>
  <c r="BJ245" i="89"/>
  <c r="BI245" i="89"/>
  <c r="BH245" i="89"/>
  <c r="BL246" i="89"/>
  <c r="BK246" i="89"/>
  <c r="BJ246" i="89"/>
  <c r="BI246" i="89"/>
  <c r="BH246" i="89"/>
  <c r="BL247" i="89"/>
  <c r="BK247" i="89"/>
  <c r="BJ247" i="89"/>
  <c r="BI247" i="89"/>
  <c r="BH247" i="89"/>
  <c r="BL248" i="89"/>
  <c r="BK248" i="89"/>
  <c r="BJ248" i="89"/>
  <c r="BI248" i="89"/>
  <c r="BH248" i="89"/>
  <c r="BL249" i="89"/>
  <c r="BK249" i="89"/>
  <c r="BJ249" i="89"/>
  <c r="BI249" i="89"/>
  <c r="BH249" i="89"/>
  <c r="BL250" i="89"/>
  <c r="BK250" i="89"/>
  <c r="BJ250" i="89"/>
  <c r="BI250" i="89"/>
  <c r="BH250" i="89"/>
  <c r="BL251" i="89"/>
  <c r="BK251" i="89"/>
  <c r="BJ251" i="89"/>
  <c r="BI251" i="89"/>
  <c r="BH251" i="89"/>
  <c r="BL252" i="89"/>
  <c r="BK252" i="89"/>
  <c r="BJ252" i="89"/>
  <c r="BI252" i="89"/>
  <c r="BH252" i="89"/>
  <c r="BL253" i="89"/>
  <c r="BK253" i="89"/>
  <c r="BJ253" i="89"/>
  <c r="BI253" i="89"/>
  <c r="BH253" i="89"/>
  <c r="BL254" i="89"/>
  <c r="BK254" i="89"/>
  <c r="BJ254" i="89"/>
  <c r="BI254" i="89"/>
  <c r="BH254" i="89"/>
  <c r="BL255" i="89"/>
  <c r="BK255" i="89"/>
  <c r="BJ255" i="89"/>
  <c r="BI255" i="89"/>
  <c r="BH255" i="89"/>
  <c r="BL256" i="89"/>
  <c r="BK256" i="89"/>
  <c r="BJ256" i="89"/>
  <c r="BI256" i="89"/>
  <c r="BH256" i="89"/>
  <c r="BL257" i="89"/>
  <c r="BK257" i="89"/>
  <c r="BJ257" i="89"/>
  <c r="BI257" i="89"/>
  <c r="BH257" i="89"/>
  <c r="BL258" i="89"/>
  <c r="BK258" i="89"/>
  <c r="BJ258" i="89"/>
  <c r="BI258" i="89"/>
  <c r="BH258" i="89"/>
  <c r="BL259" i="89"/>
  <c r="BK259" i="89"/>
  <c r="BJ259" i="89"/>
  <c r="BI259" i="89"/>
  <c r="BH259" i="89"/>
  <c r="BL260" i="89"/>
  <c r="BK260" i="89"/>
  <c r="BJ260" i="89"/>
  <c r="BI260" i="89"/>
  <c r="BH260" i="89"/>
  <c r="BL261" i="89"/>
  <c r="BK261" i="89"/>
  <c r="BJ261" i="89"/>
  <c r="BI261" i="89"/>
  <c r="BH261" i="89"/>
  <c r="BL262" i="89"/>
  <c r="BK262" i="89"/>
  <c r="BJ262" i="89"/>
  <c r="BI262" i="89"/>
  <c r="BH262" i="89"/>
  <c r="BL263" i="89"/>
  <c r="BK263" i="89"/>
  <c r="BJ263" i="89"/>
  <c r="BI263" i="89"/>
  <c r="BH263" i="89"/>
  <c r="BL264" i="89"/>
  <c r="BK264" i="89"/>
  <c r="BJ264" i="89"/>
  <c r="BI264" i="89"/>
  <c r="BH264" i="89"/>
  <c r="BL265" i="89"/>
  <c r="BK265" i="89"/>
  <c r="BJ265" i="89"/>
  <c r="BI265" i="89"/>
  <c r="BH265" i="89"/>
  <c r="BL266" i="89"/>
  <c r="BK266" i="89"/>
  <c r="BJ266" i="89"/>
  <c r="BI266" i="89"/>
  <c r="BH266" i="89"/>
  <c r="BL267" i="89"/>
  <c r="BK267" i="89"/>
  <c r="BJ267" i="89"/>
  <c r="BI267" i="89"/>
  <c r="BH267" i="89"/>
  <c r="BL268" i="89"/>
  <c r="BK268" i="89"/>
  <c r="BJ268" i="89"/>
  <c r="BI268" i="89"/>
  <c r="BH268" i="89"/>
  <c r="BL269" i="89"/>
  <c r="BK269" i="89"/>
  <c r="BJ269" i="89"/>
  <c r="BI269" i="89"/>
  <c r="BH269" i="89"/>
  <c r="BL270" i="89"/>
  <c r="BK270" i="89"/>
  <c r="BJ270" i="89"/>
  <c r="BI270" i="89"/>
  <c r="BH270" i="89"/>
  <c r="BL271" i="89"/>
  <c r="BK271" i="89"/>
  <c r="BJ271" i="89"/>
  <c r="BI271" i="89"/>
  <c r="BH271" i="89"/>
  <c r="BL272" i="89"/>
  <c r="BK272" i="89"/>
  <c r="BJ272" i="89"/>
  <c r="BI272" i="89"/>
  <c r="BH272" i="89"/>
  <c r="BL273" i="89"/>
  <c r="BK273" i="89"/>
  <c r="BJ273" i="89"/>
  <c r="BI273" i="89"/>
  <c r="BH273" i="89"/>
  <c r="BL274" i="89"/>
  <c r="BK274" i="89"/>
  <c r="BJ274" i="89"/>
  <c r="BI274" i="89"/>
  <c r="BH274" i="89"/>
  <c r="BL275" i="89"/>
  <c r="BK275" i="89"/>
  <c r="BJ275" i="89"/>
  <c r="BI275" i="89"/>
  <c r="BH275" i="89"/>
  <c r="BL276" i="89"/>
  <c r="BK276" i="89"/>
  <c r="BJ276" i="89"/>
  <c r="BI276" i="89"/>
  <c r="BH276" i="89"/>
  <c r="BL277" i="89"/>
  <c r="BK277" i="89"/>
  <c r="BJ277" i="89"/>
  <c r="BI277" i="89"/>
  <c r="BH277" i="89"/>
  <c r="BL278" i="89"/>
  <c r="BK278" i="89"/>
  <c r="BJ278" i="89"/>
  <c r="BI278" i="89"/>
  <c r="BH278" i="89"/>
  <c r="BL279" i="89"/>
  <c r="BK279" i="89"/>
  <c r="BJ279" i="89"/>
  <c r="BI279" i="89"/>
  <c r="BH279" i="89"/>
  <c r="BL280" i="89"/>
  <c r="BK280" i="89"/>
  <c r="BJ280" i="89"/>
  <c r="BI280" i="89"/>
  <c r="BH280" i="89"/>
  <c r="BL281" i="89"/>
  <c r="BK281" i="89"/>
  <c r="BJ281" i="89"/>
  <c r="BI281" i="89"/>
  <c r="BH281" i="89"/>
  <c r="BL282" i="89"/>
  <c r="BK282" i="89"/>
  <c r="BJ282" i="89"/>
  <c r="BI282" i="89"/>
  <c r="BH282" i="89"/>
  <c r="BL283" i="89"/>
  <c r="BK283" i="89"/>
  <c r="BJ283" i="89"/>
  <c r="BI283" i="89"/>
  <c r="BH283" i="89"/>
  <c r="BL284" i="89"/>
  <c r="BK284" i="89"/>
  <c r="BJ284" i="89"/>
  <c r="BI284" i="89"/>
  <c r="BH284" i="89"/>
  <c r="BL285" i="89"/>
  <c r="BK285" i="89"/>
  <c r="BJ285" i="89"/>
  <c r="BI285" i="89"/>
  <c r="BH285" i="89"/>
  <c r="BL286" i="89"/>
  <c r="BK286" i="89"/>
  <c r="BJ286" i="89"/>
  <c r="BI286" i="89"/>
  <c r="BH286" i="89"/>
  <c r="BL287" i="89"/>
  <c r="BK287" i="89"/>
  <c r="BJ287" i="89"/>
  <c r="BI287" i="89"/>
  <c r="BH287" i="89"/>
  <c r="BL288" i="89"/>
  <c r="BK288" i="89"/>
  <c r="BJ288" i="89"/>
  <c r="BI288" i="89"/>
  <c r="BH288" i="89"/>
  <c r="BL289" i="89"/>
  <c r="BK289" i="89"/>
  <c r="BJ289" i="89"/>
  <c r="BI289" i="89"/>
  <c r="BH289" i="89"/>
  <c r="BL290" i="89"/>
  <c r="BK290" i="89"/>
  <c r="BJ290" i="89"/>
  <c r="BI290" i="89"/>
  <c r="BH290" i="89"/>
  <c r="BL291" i="89"/>
  <c r="BK291" i="89"/>
  <c r="BJ291" i="89"/>
  <c r="BI291" i="89"/>
  <c r="BH291" i="89"/>
  <c r="BL292" i="89"/>
  <c r="BK292" i="89"/>
  <c r="BJ292" i="89"/>
  <c r="BI292" i="89"/>
  <c r="BH292" i="89"/>
  <c r="BL293" i="89"/>
  <c r="BK293" i="89"/>
  <c r="BJ293" i="89"/>
  <c r="BI293" i="89"/>
  <c r="BH293" i="89"/>
  <c r="BL294" i="89"/>
  <c r="BK294" i="89"/>
  <c r="BJ294" i="89"/>
  <c r="BI294" i="89"/>
  <c r="BH294" i="89"/>
  <c r="BL295" i="89"/>
  <c r="BK295" i="89"/>
  <c r="BJ295" i="89"/>
  <c r="BI295" i="89"/>
  <c r="BH295" i="89"/>
  <c r="BL296" i="89"/>
  <c r="BK296" i="89"/>
  <c r="BJ296" i="89"/>
  <c r="BI296" i="89"/>
  <c r="BH296" i="89"/>
  <c r="BL297" i="89"/>
  <c r="BK297" i="89"/>
  <c r="BJ297" i="89"/>
  <c r="BI297" i="89"/>
  <c r="BH297" i="89"/>
  <c r="BL298" i="89"/>
  <c r="BK298" i="89"/>
  <c r="BJ298" i="89"/>
  <c r="BI298" i="89"/>
  <c r="BH298" i="89"/>
  <c r="BL299" i="89"/>
  <c r="BK299" i="89"/>
  <c r="BJ299" i="89"/>
  <c r="BI299" i="89"/>
  <c r="BH299" i="89"/>
  <c r="BL300" i="89"/>
  <c r="BK300" i="89"/>
  <c r="BJ300" i="89"/>
  <c r="BI300" i="89"/>
  <c r="BH300" i="89"/>
  <c r="BL301" i="89"/>
  <c r="BK301" i="89"/>
  <c r="BJ301" i="89"/>
  <c r="BI301" i="89"/>
  <c r="BH301" i="89"/>
  <c r="BL302" i="89"/>
  <c r="BK302" i="89"/>
  <c r="BJ302" i="89"/>
  <c r="BI302" i="89"/>
  <c r="BH302" i="89"/>
  <c r="BL303" i="89"/>
  <c r="BK303" i="89"/>
  <c r="BJ303" i="89"/>
  <c r="BI303" i="89"/>
  <c r="BH303" i="89"/>
  <c r="BL304" i="89"/>
  <c r="BK304" i="89"/>
  <c r="BJ304" i="89"/>
  <c r="BI304" i="89"/>
  <c r="BH304" i="89"/>
  <c r="BL305" i="89"/>
  <c r="BK305" i="89"/>
  <c r="BJ305" i="89"/>
  <c r="BI305" i="89"/>
  <c r="BH305" i="89"/>
  <c r="BL306" i="89"/>
  <c r="BK306" i="89"/>
  <c r="BJ306" i="89"/>
  <c r="BI306" i="89"/>
  <c r="BH306" i="89"/>
  <c r="BL307" i="89"/>
  <c r="BK307" i="89"/>
  <c r="BJ307" i="89"/>
  <c r="BI307" i="89"/>
  <c r="BH307" i="89"/>
  <c r="BL308" i="89"/>
  <c r="BK308" i="89"/>
  <c r="BJ308" i="89"/>
  <c r="BI308" i="89"/>
  <c r="BH308" i="89"/>
  <c r="BL309" i="89"/>
  <c r="BK309" i="89"/>
  <c r="BJ309" i="89"/>
  <c r="BI309" i="89"/>
  <c r="BH309" i="89"/>
  <c r="BL310" i="89"/>
  <c r="BK310" i="89"/>
  <c r="BJ310" i="89"/>
  <c r="BI310" i="89"/>
  <c r="BH310" i="89"/>
  <c r="BL311" i="89"/>
  <c r="BK311" i="89"/>
  <c r="BJ311" i="89"/>
  <c r="BI311" i="89"/>
  <c r="BH311" i="89"/>
  <c r="BL312" i="89"/>
  <c r="BK312" i="89"/>
  <c r="BJ312" i="89"/>
  <c r="BI312" i="89"/>
  <c r="BH312" i="89"/>
  <c r="BL313" i="89"/>
  <c r="BK313" i="89"/>
  <c r="BJ313" i="89"/>
  <c r="BI313" i="89"/>
  <c r="BH313" i="89"/>
  <c r="BL314" i="89"/>
  <c r="BK314" i="89"/>
  <c r="BJ314" i="89"/>
  <c r="BI314" i="89"/>
  <c r="BH314" i="89"/>
  <c r="BL315" i="89"/>
  <c r="BK315" i="89"/>
  <c r="BJ315" i="89"/>
  <c r="BI315" i="89"/>
  <c r="BH315" i="89"/>
  <c r="BL316" i="89"/>
  <c r="BK316" i="89"/>
  <c r="BJ316" i="89"/>
  <c r="BI316" i="89"/>
  <c r="BH316" i="89"/>
  <c r="BL317" i="89"/>
  <c r="BK317" i="89"/>
  <c r="BJ317" i="89"/>
  <c r="BI317" i="89"/>
  <c r="BH317" i="89"/>
  <c r="BL318" i="89"/>
  <c r="BK318" i="89"/>
  <c r="BJ318" i="89"/>
  <c r="BI318" i="89"/>
  <c r="BH318" i="89"/>
  <c r="BL319" i="89"/>
  <c r="BK319" i="89"/>
  <c r="BJ319" i="89"/>
  <c r="BI319" i="89"/>
  <c r="BH319" i="89"/>
  <c r="BL320" i="89"/>
  <c r="BK320" i="89"/>
  <c r="BJ320" i="89"/>
  <c r="BI320" i="89"/>
  <c r="BH320" i="89"/>
  <c r="BL321" i="89"/>
  <c r="BK321" i="89"/>
  <c r="BJ321" i="89"/>
  <c r="BI321" i="89"/>
  <c r="BH321" i="89"/>
  <c r="BL322" i="89"/>
  <c r="BK322" i="89"/>
  <c r="BJ322" i="89"/>
  <c r="BI322" i="89"/>
  <c r="BH322" i="89"/>
  <c r="BL323" i="89"/>
  <c r="BK323" i="89"/>
  <c r="BJ323" i="89"/>
  <c r="BI323" i="89"/>
  <c r="BH323" i="89"/>
  <c r="BL324" i="89"/>
  <c r="BK324" i="89"/>
  <c r="BJ324" i="89"/>
  <c r="BI324" i="89"/>
  <c r="BH324" i="89"/>
  <c r="BL325" i="89"/>
  <c r="BK325" i="89"/>
  <c r="BJ325" i="89"/>
  <c r="BI325" i="89"/>
  <c r="BH325" i="89"/>
  <c r="BL326" i="89"/>
  <c r="BK326" i="89"/>
  <c r="BJ326" i="89"/>
  <c r="BI326" i="89"/>
  <c r="BH326" i="89"/>
  <c r="BL327" i="89"/>
  <c r="BK327" i="89"/>
  <c r="BJ327" i="89"/>
  <c r="BI327" i="89"/>
  <c r="BH327" i="89"/>
  <c r="BL328" i="89"/>
  <c r="BK328" i="89"/>
  <c r="BJ328" i="89"/>
  <c r="BI328" i="89"/>
  <c r="BH328" i="89"/>
  <c r="BL329" i="89"/>
  <c r="BK329" i="89"/>
  <c r="BJ329" i="89"/>
  <c r="BI329" i="89"/>
  <c r="BH329" i="89"/>
  <c r="BL330" i="89"/>
  <c r="BK330" i="89"/>
  <c r="BJ330" i="89"/>
  <c r="BI330" i="89"/>
  <c r="BH330" i="89"/>
  <c r="BL331" i="89"/>
  <c r="BK331" i="89"/>
  <c r="BJ331" i="89"/>
  <c r="BI331" i="89"/>
  <c r="BH331" i="89"/>
  <c r="BL332" i="89"/>
  <c r="BK332" i="89"/>
  <c r="BJ332" i="89"/>
  <c r="BI332" i="89"/>
  <c r="BH332" i="89"/>
  <c r="BL333" i="89"/>
  <c r="BK333" i="89"/>
  <c r="BJ333" i="89"/>
  <c r="BI333" i="89"/>
  <c r="BH333" i="89"/>
  <c r="BL334" i="89"/>
  <c r="BK334" i="89"/>
  <c r="BJ334" i="89"/>
  <c r="BI334" i="89"/>
  <c r="BH334" i="89"/>
  <c r="BL335" i="89"/>
  <c r="BK335" i="89"/>
  <c r="BJ335" i="89"/>
  <c r="BI335" i="89"/>
  <c r="BH335" i="89"/>
  <c r="BL336" i="89"/>
  <c r="BK336" i="89"/>
  <c r="BJ336" i="89"/>
  <c r="BI336" i="89"/>
  <c r="BH336" i="89"/>
  <c r="BL337" i="89"/>
  <c r="BK337" i="89"/>
  <c r="BJ337" i="89"/>
  <c r="BI337" i="89"/>
  <c r="BH337" i="89"/>
  <c r="BL338" i="89"/>
  <c r="BK338" i="89"/>
  <c r="BJ338" i="89"/>
  <c r="BI338" i="89"/>
  <c r="BH338" i="89"/>
  <c r="BL339" i="89"/>
  <c r="BK339" i="89"/>
  <c r="BJ339" i="89"/>
  <c r="BI339" i="89"/>
  <c r="BH339" i="89"/>
  <c r="BL340" i="89"/>
  <c r="BK340" i="89"/>
  <c r="BJ340" i="89"/>
  <c r="BI340" i="89"/>
  <c r="BH340" i="89"/>
  <c r="BL341" i="89"/>
  <c r="BK341" i="89"/>
  <c r="BJ341" i="89"/>
  <c r="BI341" i="89"/>
  <c r="BH341" i="89"/>
  <c r="BL342" i="89"/>
  <c r="BK342" i="89"/>
  <c r="BJ342" i="89"/>
  <c r="BI342" i="89"/>
  <c r="BH342" i="89"/>
  <c r="BL343" i="89"/>
  <c r="BK343" i="89"/>
  <c r="BJ343" i="89"/>
  <c r="BI343" i="89"/>
  <c r="BH343" i="89"/>
  <c r="BL344" i="89"/>
  <c r="BK344" i="89"/>
  <c r="BJ344" i="89"/>
  <c r="BI344" i="89"/>
  <c r="BH344" i="89"/>
  <c r="BL345" i="89"/>
  <c r="BK345" i="89"/>
  <c r="BJ345" i="89"/>
  <c r="BI345" i="89"/>
  <c r="BH345" i="89"/>
  <c r="BL346" i="89"/>
  <c r="BK346" i="89"/>
  <c r="BJ346" i="89"/>
  <c r="BI346" i="89"/>
  <c r="BH346" i="89"/>
  <c r="BG1007" i="89"/>
  <c r="BH18" i="89"/>
  <c r="BI18" i="89" s="1"/>
  <c r="BJ18" i="89" s="1"/>
  <c r="BK18" i="89" s="1"/>
  <c r="BL18" i="89" s="1"/>
  <c r="BH14" i="89"/>
  <c r="BI14" i="89" s="1"/>
  <c r="BJ14" i="89" s="1"/>
  <c r="BK14" i="89" s="1"/>
  <c r="BL14" i="89" s="1"/>
  <c r="BG1324" i="89"/>
  <c r="BH22" i="89"/>
  <c r="BI22" i="89" s="1"/>
  <c r="BJ22" i="89" s="1"/>
  <c r="BK22" i="89" s="1"/>
  <c r="BL22" i="89" s="1"/>
  <c r="F382" i="89"/>
  <c r="F729" i="89" s="1"/>
  <c r="F1046" i="89" s="1"/>
  <c r="F396" i="89"/>
  <c r="F743" i="89" s="1"/>
  <c r="F1060" i="89" s="1"/>
  <c r="F421" i="89"/>
  <c r="F768" i="89" s="1"/>
  <c r="F1085" i="89" s="1"/>
  <c r="F427" i="89"/>
  <c r="F774" i="89" s="1"/>
  <c r="F1091" i="89" s="1"/>
  <c r="F434" i="89"/>
  <c r="F781" i="89" s="1"/>
  <c r="F1098" i="89" s="1"/>
  <c r="F440" i="89"/>
  <c r="F787" i="89" s="1"/>
  <c r="F1104" i="89" s="1"/>
  <c r="F453" i="89"/>
  <c r="F800" i="89" s="1"/>
  <c r="F1117" i="89" s="1"/>
  <c r="F472" i="89"/>
  <c r="F819" i="89" s="1"/>
  <c r="F1136" i="89" s="1"/>
  <c r="F478" i="89"/>
  <c r="F825" i="89" s="1"/>
  <c r="F1142" i="89" s="1"/>
  <c r="F504" i="89"/>
  <c r="F851" i="89" s="1"/>
  <c r="F1168" i="89" s="1"/>
  <c r="F523" i="89"/>
  <c r="F870" i="89" s="1"/>
  <c r="F1187" i="89" s="1"/>
  <c r="F574" i="89"/>
  <c r="F921" i="89" s="1"/>
  <c r="F1238" i="89" s="1"/>
  <c r="F600" i="89"/>
  <c r="F947" i="89" s="1"/>
  <c r="F1264" i="89" s="1"/>
  <c r="F362" i="89"/>
  <c r="F709" i="89" s="1"/>
  <c r="F1026" i="89" s="1"/>
  <c r="F367" i="89"/>
  <c r="F714" i="89" s="1"/>
  <c r="F1031" i="89" s="1"/>
  <c r="F368" i="89"/>
  <c r="F715" i="89" s="1"/>
  <c r="F1032" i="89" s="1"/>
  <c r="F369" i="89"/>
  <c r="F716" i="89" s="1"/>
  <c r="F1033" i="89" s="1"/>
  <c r="F374" i="89"/>
  <c r="F721" i="89" s="1"/>
  <c r="F1038" i="89" s="1"/>
  <c r="F381" i="89"/>
  <c r="F728" i="89" s="1"/>
  <c r="F1045" i="89" s="1"/>
  <c r="F387" i="89"/>
  <c r="F734" i="89" s="1"/>
  <c r="F1051" i="89" s="1"/>
  <c r="F388" i="89"/>
  <c r="F735" i="89" s="1"/>
  <c r="F1052" i="89" s="1"/>
  <c r="F394" i="89"/>
  <c r="F741" i="89" s="1"/>
  <c r="F1058" i="89" s="1"/>
  <c r="F399" i="89"/>
  <c r="F746" i="89" s="1"/>
  <c r="F1063" i="89" s="1"/>
  <c r="F400" i="89"/>
  <c r="F747" i="89" s="1"/>
  <c r="F1064" i="89" s="1"/>
  <c r="F401" i="89"/>
  <c r="F748" i="89" s="1"/>
  <c r="F1065" i="89" s="1"/>
  <c r="F406" i="89"/>
  <c r="F753" i="89" s="1"/>
  <c r="F1070" i="89" s="1"/>
  <c r="F413" i="89"/>
  <c r="F760" i="89" s="1"/>
  <c r="F1077" i="89" s="1"/>
  <c r="F419" i="89"/>
  <c r="F766" i="89" s="1"/>
  <c r="F1083" i="89" s="1"/>
  <c r="F420" i="89"/>
  <c r="F767" i="89" s="1"/>
  <c r="F1084" i="89" s="1"/>
  <c r="F431" i="89"/>
  <c r="F778" i="89" s="1"/>
  <c r="F1095" i="89" s="1"/>
  <c r="F432" i="89"/>
  <c r="F779" i="89" s="1"/>
  <c r="F1096" i="89" s="1"/>
  <c r="F433" i="89"/>
  <c r="F780" i="89" s="1"/>
  <c r="F1097" i="89" s="1"/>
  <c r="F438" i="89"/>
  <c r="F785" i="89" s="1"/>
  <c r="F1102" i="89" s="1"/>
  <c r="F445" i="89"/>
  <c r="F792" i="89" s="1"/>
  <c r="F1109" i="89" s="1"/>
  <c r="F451" i="89"/>
  <c r="F798" i="89" s="1"/>
  <c r="F1115" i="89" s="1"/>
  <c r="F452" i="89"/>
  <c r="F799" i="89" s="1"/>
  <c r="F1116" i="89" s="1"/>
  <c r="F458" i="89"/>
  <c r="F805" i="89" s="1"/>
  <c r="F1122" i="89" s="1"/>
  <c r="F463" i="89"/>
  <c r="F810" i="89" s="1"/>
  <c r="F1127" i="89" s="1"/>
  <c r="G160" i="89"/>
  <c r="F464" i="89"/>
  <c r="F811" i="89" s="1"/>
  <c r="F1128" i="89" s="1"/>
  <c r="G161" i="89"/>
  <c r="F465" i="89"/>
  <c r="F812" i="89" s="1"/>
  <c r="F1129" i="89" s="1"/>
  <c r="F470" i="89"/>
  <c r="F817" i="89" s="1"/>
  <c r="F1134" i="89" s="1"/>
  <c r="F477" i="89"/>
  <c r="F824" i="89" s="1"/>
  <c r="F1141" i="89" s="1"/>
  <c r="F483" i="89"/>
  <c r="F830" i="89" s="1"/>
  <c r="F1147" i="89" s="1"/>
  <c r="F484" i="89"/>
  <c r="F831" i="89" s="1"/>
  <c r="F1148" i="89" s="1"/>
  <c r="F497" i="89"/>
  <c r="F844" i="89" s="1"/>
  <c r="F1161" i="89" s="1"/>
  <c r="F516" i="89"/>
  <c r="F863" i="89" s="1"/>
  <c r="F1180" i="89" s="1"/>
  <c r="F527" i="89"/>
  <c r="F874" i="89" s="1"/>
  <c r="F1191" i="89" s="1"/>
  <c r="F529" i="89"/>
  <c r="F876" i="89" s="1"/>
  <c r="F1193" i="89" s="1"/>
  <c r="F548" i="89"/>
  <c r="F895" i="89" s="1"/>
  <c r="F1212" i="89" s="1"/>
  <c r="F554" i="89"/>
  <c r="F901" i="89" s="1"/>
  <c r="F1218" i="89" s="1"/>
  <c r="F559" i="89"/>
  <c r="F906" i="89" s="1"/>
  <c r="F1223" i="89" s="1"/>
  <c r="F561" i="89"/>
  <c r="F908" i="89" s="1"/>
  <c r="F1225" i="89" s="1"/>
  <c r="F580" i="89"/>
  <c r="F927" i="89" s="1"/>
  <c r="F1244" i="89" s="1"/>
  <c r="F591" i="89"/>
  <c r="F938" i="89" s="1"/>
  <c r="F1255" i="89" s="1"/>
  <c r="F593" i="89"/>
  <c r="F940" i="89" s="1"/>
  <c r="F1257" i="89" s="1"/>
  <c r="F598" i="89"/>
  <c r="F945" i="89" s="1"/>
  <c r="F1262" i="89" s="1"/>
  <c r="F605" i="89"/>
  <c r="F952" i="89" s="1"/>
  <c r="F1269" i="89" s="1"/>
  <c r="F611" i="89"/>
  <c r="F958" i="89" s="1"/>
  <c r="F1275" i="89" s="1"/>
  <c r="F624" i="89"/>
  <c r="F971" i="89" s="1"/>
  <c r="F1288" i="89" s="1"/>
  <c r="F625" i="89"/>
  <c r="F972" i="89" s="1"/>
  <c r="F1289" i="89" s="1"/>
  <c r="F637" i="89"/>
  <c r="F984" i="89" s="1"/>
  <c r="F1301" i="89" s="1"/>
  <c r="F643" i="89"/>
  <c r="F990" i="89" s="1"/>
  <c r="F1307" i="89" s="1"/>
  <c r="F357" i="89"/>
  <c r="F704" i="89" s="1"/>
  <c r="F1021" i="89" s="1"/>
  <c r="F363" i="89"/>
  <c r="F710" i="89" s="1"/>
  <c r="F1027" i="89" s="1"/>
  <c r="F376" i="89"/>
  <c r="F723" i="89" s="1"/>
  <c r="F1040" i="89" s="1"/>
  <c r="F446" i="89"/>
  <c r="F793" i="89" s="1"/>
  <c r="F1110" i="89" s="1"/>
  <c r="F485" i="89"/>
  <c r="F832" i="89" s="1"/>
  <c r="F1149" i="89" s="1"/>
  <c r="F535" i="89"/>
  <c r="F882" i="89" s="1"/>
  <c r="F1199" i="89" s="1"/>
  <c r="F536" i="89"/>
  <c r="F883" i="89" s="1"/>
  <c r="F1200" i="89" s="1"/>
  <c r="F562" i="89"/>
  <c r="F909" i="89" s="1"/>
  <c r="F1226" i="89" s="1"/>
  <c r="F567" i="89"/>
  <c r="F914" i="89" s="1"/>
  <c r="F1231" i="89" s="1"/>
  <c r="F599" i="89"/>
  <c r="F946" i="89" s="1"/>
  <c r="F1263" i="89" s="1"/>
  <c r="F613" i="89"/>
  <c r="F960" i="89" s="1"/>
  <c r="F1277" i="89" s="1"/>
  <c r="F619" i="89"/>
  <c r="F966" i="89" s="1"/>
  <c r="F1283" i="89" s="1"/>
  <c r="F631" i="89"/>
  <c r="F978" i="89" s="1"/>
  <c r="F1295" i="89" s="1"/>
  <c r="F353" i="89"/>
  <c r="F700" i="89" s="1"/>
  <c r="F1017" i="89" s="1"/>
  <c r="F358" i="89"/>
  <c r="F705" i="89" s="1"/>
  <c r="F1022" i="89" s="1"/>
  <c r="F365" i="89"/>
  <c r="F712" i="89" s="1"/>
  <c r="F1029" i="89" s="1"/>
  <c r="F371" i="89"/>
  <c r="F718" i="89" s="1"/>
  <c r="F1035" i="89" s="1"/>
  <c r="F372" i="89"/>
  <c r="F719" i="89" s="1"/>
  <c r="F1036" i="89" s="1"/>
  <c r="F378" i="89"/>
  <c r="F725" i="89" s="1"/>
  <c r="F1042" i="89" s="1"/>
  <c r="F384" i="89"/>
  <c r="F731" i="89" s="1"/>
  <c r="F1048" i="89" s="1"/>
  <c r="F385" i="89"/>
  <c r="F732" i="89" s="1"/>
  <c r="F1049" i="89" s="1"/>
  <c r="F390" i="89"/>
  <c r="F737" i="89" s="1"/>
  <c r="F1054" i="89" s="1"/>
  <c r="F397" i="89"/>
  <c r="F744" i="89" s="1"/>
  <c r="F1061" i="89" s="1"/>
  <c r="F403" i="89"/>
  <c r="F750" i="89" s="1"/>
  <c r="F1067" i="89" s="1"/>
  <c r="F404" i="89"/>
  <c r="F751" i="89" s="1"/>
  <c r="F1068" i="89" s="1"/>
  <c r="F410" i="89"/>
  <c r="F757" i="89" s="1"/>
  <c r="F1074" i="89" s="1"/>
  <c r="F415" i="89"/>
  <c r="F762" i="89" s="1"/>
  <c r="F1079" i="89" s="1"/>
  <c r="F416" i="89"/>
  <c r="F763" i="89" s="1"/>
  <c r="F1080" i="89" s="1"/>
  <c r="F417" i="89"/>
  <c r="F764" i="89" s="1"/>
  <c r="F1081" i="89" s="1"/>
  <c r="F422" i="89"/>
  <c r="F769" i="89" s="1"/>
  <c r="F1086" i="89" s="1"/>
  <c r="F429" i="89"/>
  <c r="F776" i="89" s="1"/>
  <c r="F1093" i="89" s="1"/>
  <c r="F435" i="89"/>
  <c r="F782" i="89" s="1"/>
  <c r="F1099" i="89" s="1"/>
  <c r="F436" i="89"/>
  <c r="F783" i="89" s="1"/>
  <c r="F1100" i="89" s="1"/>
  <c r="F447" i="89"/>
  <c r="F794" i="89" s="1"/>
  <c r="F1111" i="89" s="1"/>
  <c r="F448" i="89"/>
  <c r="F795" i="89" s="1"/>
  <c r="F1112" i="89" s="1"/>
  <c r="F449" i="89"/>
  <c r="F796" i="89" s="1"/>
  <c r="F1113" i="89" s="1"/>
  <c r="F454" i="89"/>
  <c r="F801" i="89" s="1"/>
  <c r="F1118" i="89" s="1"/>
  <c r="F461" i="89"/>
  <c r="F808" i="89" s="1"/>
  <c r="F1125" i="89" s="1"/>
  <c r="F467" i="89"/>
  <c r="F814" i="89" s="1"/>
  <c r="F1131" i="89" s="1"/>
  <c r="F468" i="89"/>
  <c r="F815" i="89" s="1"/>
  <c r="F1132" i="89" s="1"/>
  <c r="F479" i="89"/>
  <c r="F826" i="89" s="1"/>
  <c r="F1143" i="89" s="1"/>
  <c r="F480" i="89"/>
  <c r="F827" i="89" s="1"/>
  <c r="F1144" i="89" s="1"/>
  <c r="F481" i="89"/>
  <c r="F828" i="89" s="1"/>
  <c r="F1145" i="89" s="1"/>
  <c r="F499" i="89"/>
  <c r="F846" i="89" s="1"/>
  <c r="F1163" i="89" s="1"/>
  <c r="F500" i="89"/>
  <c r="F847" i="89" s="1"/>
  <c r="F1164" i="89" s="1"/>
  <c r="F511" i="89"/>
  <c r="F858" i="89" s="1"/>
  <c r="F1175" i="89" s="1"/>
  <c r="F513" i="89"/>
  <c r="F860" i="89" s="1"/>
  <c r="F1177" i="89" s="1"/>
  <c r="F532" i="89"/>
  <c r="F879" i="89" s="1"/>
  <c r="F1196" i="89" s="1"/>
  <c r="F543" i="89"/>
  <c r="F890" i="89" s="1"/>
  <c r="F1207" i="89" s="1"/>
  <c r="F545" i="89"/>
  <c r="F892" i="89" s="1"/>
  <c r="F1209" i="89" s="1"/>
  <c r="F550" i="89"/>
  <c r="F897" i="89" s="1"/>
  <c r="F1214" i="89" s="1"/>
  <c r="F564" i="89"/>
  <c r="F911" i="89" s="1"/>
  <c r="F1228" i="89" s="1"/>
  <c r="F575" i="89"/>
  <c r="F922" i="89" s="1"/>
  <c r="F1239" i="89" s="1"/>
  <c r="F577" i="89"/>
  <c r="F924" i="89" s="1"/>
  <c r="F1241" i="89" s="1"/>
  <c r="F596" i="89"/>
  <c r="F943" i="89" s="1"/>
  <c r="F1260" i="89" s="1"/>
  <c r="F608" i="89"/>
  <c r="F955" i="89" s="1"/>
  <c r="F1272" i="89" s="1"/>
  <c r="F609" i="89"/>
  <c r="F956" i="89" s="1"/>
  <c r="F1273" i="89" s="1"/>
  <c r="F621" i="89"/>
  <c r="F968" i="89" s="1"/>
  <c r="F1285" i="89" s="1"/>
  <c r="F627" i="89"/>
  <c r="F974" i="89" s="1"/>
  <c r="F1291" i="89" s="1"/>
  <c r="F640" i="89"/>
  <c r="F987" i="89" s="1"/>
  <c r="F1304" i="89" s="1"/>
  <c r="F641" i="89"/>
  <c r="F988" i="89" s="1"/>
  <c r="F1305" i="89" s="1"/>
  <c r="BJ463" i="88"/>
  <c r="F364" i="89"/>
  <c r="F711" i="89" s="1"/>
  <c r="F1028" i="89" s="1"/>
  <c r="F370" i="89"/>
  <c r="F717" i="89" s="1"/>
  <c r="F1034" i="89" s="1"/>
  <c r="F375" i="89"/>
  <c r="F722" i="89" s="1"/>
  <c r="F1039" i="89" s="1"/>
  <c r="F377" i="89"/>
  <c r="F724" i="89" s="1"/>
  <c r="F1041" i="89" s="1"/>
  <c r="F389" i="89"/>
  <c r="F736" i="89" s="1"/>
  <c r="F1053" i="89" s="1"/>
  <c r="F395" i="89"/>
  <c r="F742" i="89" s="1"/>
  <c r="F1059" i="89" s="1"/>
  <c r="F402" i="89"/>
  <c r="F749" i="89" s="1"/>
  <c r="F1066" i="89" s="1"/>
  <c r="F407" i="89"/>
  <c r="F754" i="89" s="1"/>
  <c r="F1071" i="89" s="1"/>
  <c r="F409" i="89"/>
  <c r="F756" i="89" s="1"/>
  <c r="F1073" i="89" s="1"/>
  <c r="F414" i="89"/>
  <c r="F761" i="89" s="1"/>
  <c r="F1078" i="89" s="1"/>
  <c r="F428" i="89"/>
  <c r="F775" i="89" s="1"/>
  <c r="F1092" i="89" s="1"/>
  <c r="F441" i="89"/>
  <c r="F788" i="89" s="1"/>
  <c r="F1105" i="89" s="1"/>
  <c r="F459" i="89"/>
  <c r="F806" i="89" s="1"/>
  <c r="F1123" i="89" s="1"/>
  <c r="F460" i="89"/>
  <c r="F807" i="89" s="1"/>
  <c r="F1124" i="89" s="1"/>
  <c r="F466" i="89"/>
  <c r="F813" i="89" s="1"/>
  <c r="F1130" i="89" s="1"/>
  <c r="F473" i="89"/>
  <c r="F820" i="89" s="1"/>
  <c r="F1137" i="89" s="1"/>
  <c r="F491" i="89"/>
  <c r="F838" i="89" s="1"/>
  <c r="F1155" i="89" s="1"/>
  <c r="F492" i="89"/>
  <c r="F839" i="89" s="1"/>
  <c r="F1156" i="89" s="1"/>
  <c r="F503" i="89"/>
  <c r="F850" i="89" s="1"/>
  <c r="F1167" i="89" s="1"/>
  <c r="F542" i="89"/>
  <c r="F889" i="89" s="1"/>
  <c r="F1206" i="89" s="1"/>
  <c r="F555" i="89"/>
  <c r="F902" i="89" s="1"/>
  <c r="F1219" i="89" s="1"/>
  <c r="F568" i="89"/>
  <c r="F915" i="89" s="1"/>
  <c r="F1232" i="89" s="1"/>
  <c r="F587" i="89"/>
  <c r="F934" i="89" s="1"/>
  <c r="F1251" i="89" s="1"/>
  <c r="F620" i="89"/>
  <c r="F967" i="89" s="1"/>
  <c r="F1284" i="89" s="1"/>
  <c r="F632" i="89"/>
  <c r="F979" i="89" s="1"/>
  <c r="F1296" i="89" s="1"/>
  <c r="F645" i="89"/>
  <c r="F992" i="89" s="1"/>
  <c r="F1309" i="89" s="1"/>
  <c r="F354" i="89"/>
  <c r="F701" i="89" s="1"/>
  <c r="F1018" i="89" s="1"/>
  <c r="F359" i="89"/>
  <c r="F706" i="89" s="1"/>
  <c r="F1023" i="89" s="1"/>
  <c r="F360" i="89"/>
  <c r="F707" i="89" s="1"/>
  <c r="F1024" i="89" s="1"/>
  <c r="F361" i="89"/>
  <c r="F708" i="89" s="1"/>
  <c r="F1025" i="89" s="1"/>
  <c r="F366" i="89"/>
  <c r="F713" i="89" s="1"/>
  <c r="F1030" i="89" s="1"/>
  <c r="F373" i="89"/>
  <c r="F720" i="89" s="1"/>
  <c r="F1037" i="89" s="1"/>
  <c r="F379" i="89"/>
  <c r="F726" i="89" s="1"/>
  <c r="F1043" i="89" s="1"/>
  <c r="F380" i="89"/>
  <c r="F727" i="89" s="1"/>
  <c r="F1044" i="89" s="1"/>
  <c r="F386" i="89"/>
  <c r="F733" i="89" s="1"/>
  <c r="F1050" i="89" s="1"/>
  <c r="F391" i="89"/>
  <c r="F738" i="89" s="1"/>
  <c r="F1055" i="89" s="1"/>
  <c r="F392" i="89"/>
  <c r="F739" i="89" s="1"/>
  <c r="F1056" i="89" s="1"/>
  <c r="F393" i="89"/>
  <c r="F740" i="89" s="1"/>
  <c r="F1057" i="89" s="1"/>
  <c r="F398" i="89"/>
  <c r="F745" i="89" s="1"/>
  <c r="F1062" i="89" s="1"/>
  <c r="F405" i="89"/>
  <c r="F752" i="89" s="1"/>
  <c r="F1069" i="89" s="1"/>
  <c r="F411" i="89"/>
  <c r="F758" i="89" s="1"/>
  <c r="F1075" i="89" s="1"/>
  <c r="F412" i="89"/>
  <c r="F759" i="89" s="1"/>
  <c r="F1076" i="89" s="1"/>
  <c r="F418" i="89"/>
  <c r="F765" i="89" s="1"/>
  <c r="F1082" i="89" s="1"/>
  <c r="F423" i="89"/>
  <c r="F770" i="89" s="1"/>
  <c r="F1087" i="89" s="1"/>
  <c r="F424" i="89"/>
  <c r="F771" i="89" s="1"/>
  <c r="F1088" i="89" s="1"/>
  <c r="F425" i="89"/>
  <c r="F772" i="89" s="1"/>
  <c r="F1089" i="89" s="1"/>
  <c r="F437" i="89"/>
  <c r="F784" i="89" s="1"/>
  <c r="F1101" i="89" s="1"/>
  <c r="F443" i="89"/>
  <c r="F790" i="89" s="1"/>
  <c r="F1107" i="89" s="1"/>
  <c r="F444" i="89"/>
  <c r="F791" i="89" s="1"/>
  <c r="F1108" i="89" s="1"/>
  <c r="F450" i="89"/>
  <c r="F797" i="89" s="1"/>
  <c r="F1114" i="89" s="1"/>
  <c r="F455" i="89"/>
  <c r="F802" i="89" s="1"/>
  <c r="F1119" i="89" s="1"/>
  <c r="F456" i="89"/>
  <c r="F803" i="89" s="1"/>
  <c r="F1120" i="89" s="1"/>
  <c r="F457" i="89"/>
  <c r="F804" i="89" s="1"/>
  <c r="F1121" i="89" s="1"/>
  <c r="F462" i="89"/>
  <c r="F809" i="89" s="1"/>
  <c r="F1126" i="89" s="1"/>
  <c r="F469" i="89"/>
  <c r="F816" i="89" s="1"/>
  <c r="F1133" i="89" s="1"/>
  <c r="F475" i="89"/>
  <c r="F822" i="89" s="1"/>
  <c r="F1139" i="89" s="1"/>
  <c r="F476" i="89"/>
  <c r="F823" i="89" s="1"/>
  <c r="F1140" i="89" s="1"/>
  <c r="F482" i="89"/>
  <c r="F829" i="89" s="1"/>
  <c r="F1146" i="89" s="1"/>
  <c r="F487" i="89"/>
  <c r="F834" i="89" s="1"/>
  <c r="F1151" i="89" s="1"/>
  <c r="F488" i="89"/>
  <c r="F835" i="89" s="1"/>
  <c r="F1152" i="89" s="1"/>
  <c r="F501" i="89"/>
  <c r="F848" i="89" s="1"/>
  <c r="F1165" i="89" s="1"/>
  <c r="F507" i="89"/>
  <c r="F854" i="89" s="1"/>
  <c r="F1171" i="89" s="1"/>
  <c r="F508" i="89"/>
  <c r="F855" i="89" s="1"/>
  <c r="F1172" i="89" s="1"/>
  <c r="F519" i="89"/>
  <c r="F866" i="89" s="1"/>
  <c r="F1183" i="89" s="1"/>
  <c r="F520" i="89"/>
  <c r="F867" i="89" s="1"/>
  <c r="F1184" i="89" s="1"/>
  <c r="F539" i="89"/>
  <c r="F886" i="89" s="1"/>
  <c r="F1203" i="89" s="1"/>
  <c r="F546" i="89"/>
  <c r="F893" i="89" s="1"/>
  <c r="F1210" i="89" s="1"/>
  <c r="F551" i="89"/>
  <c r="F898" i="89" s="1"/>
  <c r="F1215" i="89" s="1"/>
  <c r="F552" i="89"/>
  <c r="F899" i="89" s="1"/>
  <c r="F1216" i="89" s="1"/>
  <c r="F558" i="89"/>
  <c r="F905" i="89" s="1"/>
  <c r="F1222" i="89" s="1"/>
  <c r="F571" i="89"/>
  <c r="F918" i="89" s="1"/>
  <c r="F1235" i="89" s="1"/>
  <c r="F578" i="89"/>
  <c r="F925" i="89" s="1"/>
  <c r="F1242" i="89" s="1"/>
  <c r="F583" i="89"/>
  <c r="F930" i="89" s="1"/>
  <c r="F1247" i="89" s="1"/>
  <c r="F584" i="89"/>
  <c r="F931" i="89" s="1"/>
  <c r="F1248" i="89" s="1"/>
  <c r="F603" i="89"/>
  <c r="F950" i="89" s="1"/>
  <c r="F1267" i="89" s="1"/>
  <c r="F615" i="89"/>
  <c r="F962" i="89" s="1"/>
  <c r="F1279" i="89" s="1"/>
  <c r="F616" i="89"/>
  <c r="F963" i="89" s="1"/>
  <c r="F1280" i="89" s="1"/>
  <c r="F629" i="89"/>
  <c r="F976" i="89" s="1"/>
  <c r="F1293" i="89" s="1"/>
  <c r="F635" i="89"/>
  <c r="F982" i="89" s="1"/>
  <c r="F1299" i="89" s="1"/>
  <c r="F636" i="89"/>
  <c r="F983" i="89" s="1"/>
  <c r="F1300" i="89" s="1"/>
  <c r="F647" i="89"/>
  <c r="F994" i="89" s="1"/>
  <c r="F1311" i="89" s="1"/>
  <c r="F648" i="89"/>
  <c r="F995" i="89" s="1"/>
  <c r="F1312" i="89" s="1"/>
  <c r="G162" i="89"/>
  <c r="G157" i="89"/>
  <c r="BI463" i="88"/>
  <c r="BI810" i="88" s="1"/>
  <c r="U160" i="88"/>
  <c r="BH463" i="88" s="1"/>
  <c r="G160" i="88"/>
  <c r="BF463" i="88"/>
  <c r="BF1127" i="88" s="1"/>
  <c r="F474" i="89"/>
  <c r="F821" i="89" s="1"/>
  <c r="F1138" i="89" s="1"/>
  <c r="F490" i="89"/>
  <c r="F837" i="89" s="1"/>
  <c r="F1154" i="89" s="1"/>
  <c r="F512" i="89"/>
  <c r="F859" i="89" s="1"/>
  <c r="F1176" i="89" s="1"/>
  <c r="F612" i="89"/>
  <c r="F959" i="89" s="1"/>
  <c r="F1276" i="89" s="1"/>
  <c r="F408" i="89"/>
  <c r="F755" i="89" s="1"/>
  <c r="F1072" i="89" s="1"/>
  <c r="F528" i="89"/>
  <c r="F875" i="89" s="1"/>
  <c r="F1192" i="89" s="1"/>
  <c r="F540" i="89"/>
  <c r="F887" i="89" s="1"/>
  <c r="F1204" i="89" s="1"/>
  <c r="F556" i="89"/>
  <c r="F903" i="89" s="1"/>
  <c r="F1220" i="89" s="1"/>
  <c r="F588" i="89"/>
  <c r="F935" i="89" s="1"/>
  <c r="F1252" i="89" s="1"/>
  <c r="F356" i="89"/>
  <c r="F703" i="89" s="1"/>
  <c r="F1020" i="89" s="1"/>
  <c r="F496" i="89"/>
  <c r="F843" i="89" s="1"/>
  <c r="F1160" i="89" s="1"/>
  <c r="F524" i="89"/>
  <c r="F871" i="89" s="1"/>
  <c r="F1188" i="89" s="1"/>
  <c r="F544" i="89"/>
  <c r="F891" i="89" s="1"/>
  <c r="F1208" i="89" s="1"/>
  <c r="F560" i="89"/>
  <c r="F907" i="89" s="1"/>
  <c r="F1224" i="89" s="1"/>
  <c r="F572" i="89"/>
  <c r="F919" i="89" s="1"/>
  <c r="F1236" i="89" s="1"/>
  <c r="F576" i="89"/>
  <c r="F923" i="89" s="1"/>
  <c r="F1240" i="89" s="1"/>
  <c r="F592" i="89"/>
  <c r="F939" i="89" s="1"/>
  <c r="F1256" i="89" s="1"/>
  <c r="F604" i="89"/>
  <c r="F951" i="89" s="1"/>
  <c r="F1268" i="89" s="1"/>
  <c r="F628" i="89"/>
  <c r="F975" i="89" s="1"/>
  <c r="F1292" i="89" s="1"/>
  <c r="F644" i="89"/>
  <c r="F991" i="89" s="1"/>
  <c r="F1308" i="89" s="1"/>
  <c r="M50" i="89"/>
  <c r="F489" i="89"/>
  <c r="F836" i="89" s="1"/>
  <c r="F1153" i="89" s="1"/>
  <c r="F493" i="89"/>
  <c r="F840" i="89" s="1"/>
  <c r="F1157" i="89" s="1"/>
  <c r="F505" i="89"/>
  <c r="F852" i="89" s="1"/>
  <c r="F1169" i="89" s="1"/>
  <c r="F509" i="89"/>
  <c r="F856" i="89" s="1"/>
  <c r="F1173" i="89" s="1"/>
  <c r="F517" i="89"/>
  <c r="F864" i="89" s="1"/>
  <c r="F1181" i="89" s="1"/>
  <c r="F521" i="89"/>
  <c r="F868" i="89" s="1"/>
  <c r="F1185" i="89" s="1"/>
  <c r="F525" i="89"/>
  <c r="F872" i="89" s="1"/>
  <c r="F1189" i="89" s="1"/>
  <c r="F533" i="89"/>
  <c r="F880" i="89" s="1"/>
  <c r="F1197" i="89" s="1"/>
  <c r="F537" i="89"/>
  <c r="F884" i="89" s="1"/>
  <c r="F1201" i="89" s="1"/>
  <c r="F541" i="89"/>
  <c r="F888" i="89" s="1"/>
  <c r="F1205" i="89" s="1"/>
  <c r="F549" i="89"/>
  <c r="F896" i="89" s="1"/>
  <c r="F1213" i="89" s="1"/>
  <c r="F553" i="89"/>
  <c r="F900" i="89" s="1"/>
  <c r="F1217" i="89" s="1"/>
  <c r="F557" i="89"/>
  <c r="F904" i="89" s="1"/>
  <c r="F1221" i="89" s="1"/>
  <c r="F565" i="89"/>
  <c r="F912" i="89" s="1"/>
  <c r="F1229" i="89" s="1"/>
  <c r="F569" i="89"/>
  <c r="F916" i="89" s="1"/>
  <c r="F1233" i="89" s="1"/>
  <c r="F573" i="89"/>
  <c r="F920" i="89" s="1"/>
  <c r="F1237" i="89" s="1"/>
  <c r="F581" i="89"/>
  <c r="F928" i="89" s="1"/>
  <c r="F1245" i="89" s="1"/>
  <c r="F585" i="89"/>
  <c r="F932" i="89" s="1"/>
  <c r="F1249" i="89" s="1"/>
  <c r="F589" i="89"/>
  <c r="F936" i="89" s="1"/>
  <c r="F1253" i="89" s="1"/>
  <c r="F597" i="89"/>
  <c r="F944" i="89" s="1"/>
  <c r="F1261" i="89" s="1"/>
  <c r="F601" i="89"/>
  <c r="F948" i="89" s="1"/>
  <c r="F1265" i="89" s="1"/>
  <c r="F617" i="89"/>
  <c r="F964" i="89" s="1"/>
  <c r="F1281" i="89" s="1"/>
  <c r="F633" i="89"/>
  <c r="F980" i="89" s="1"/>
  <c r="F1297" i="89" s="1"/>
  <c r="F649" i="89"/>
  <c r="F996" i="89" s="1"/>
  <c r="F1313" i="89" s="1"/>
  <c r="F494" i="89"/>
  <c r="F841" i="89" s="1"/>
  <c r="F1158" i="89" s="1"/>
  <c r="F502" i="89"/>
  <c r="F849" i="89" s="1"/>
  <c r="F1166" i="89" s="1"/>
  <c r="F506" i="89"/>
  <c r="F853" i="89" s="1"/>
  <c r="F1170" i="89" s="1"/>
  <c r="F510" i="89"/>
  <c r="F857" i="89" s="1"/>
  <c r="F1174" i="89" s="1"/>
  <c r="F514" i="89"/>
  <c r="F861" i="89" s="1"/>
  <c r="F1178" i="89" s="1"/>
  <c r="F518" i="89"/>
  <c r="F865" i="89" s="1"/>
  <c r="F1182" i="89" s="1"/>
  <c r="F522" i="89"/>
  <c r="F869" i="89" s="1"/>
  <c r="F1186" i="89" s="1"/>
  <c r="F526" i="89"/>
  <c r="F873" i="89" s="1"/>
  <c r="F1190" i="89" s="1"/>
  <c r="F530" i="89"/>
  <c r="F877" i="89" s="1"/>
  <c r="F1194" i="89" s="1"/>
  <c r="F534" i="89"/>
  <c r="F881" i="89" s="1"/>
  <c r="F1198" i="89" s="1"/>
  <c r="F538" i="89"/>
  <c r="F885" i="89" s="1"/>
  <c r="F1202" i="89" s="1"/>
  <c r="F566" i="89"/>
  <c r="F913" i="89" s="1"/>
  <c r="F1230" i="89" s="1"/>
  <c r="F570" i="89"/>
  <c r="F917" i="89" s="1"/>
  <c r="F1234" i="89" s="1"/>
  <c r="F582" i="89"/>
  <c r="F929" i="89" s="1"/>
  <c r="F1246" i="89" s="1"/>
  <c r="F586" i="89"/>
  <c r="F933" i="89" s="1"/>
  <c r="F1250" i="89" s="1"/>
  <c r="F590" i="89"/>
  <c r="F937" i="89" s="1"/>
  <c r="F1254" i="89" s="1"/>
  <c r="F594" i="89"/>
  <c r="F941" i="89" s="1"/>
  <c r="F1258" i="89" s="1"/>
  <c r="F602" i="89"/>
  <c r="F949" i="89" s="1"/>
  <c r="F1266" i="89" s="1"/>
  <c r="F606" i="89"/>
  <c r="F953" i="89" s="1"/>
  <c r="F1270" i="89" s="1"/>
  <c r="F610" i="89"/>
  <c r="F957" i="89" s="1"/>
  <c r="F1274" i="89" s="1"/>
  <c r="F614" i="89"/>
  <c r="F961" i="89" s="1"/>
  <c r="F1278" i="89" s="1"/>
  <c r="F618" i="89"/>
  <c r="F965" i="89" s="1"/>
  <c r="F1282" i="89" s="1"/>
  <c r="F622" i="89"/>
  <c r="F969" i="89" s="1"/>
  <c r="F1286" i="89" s="1"/>
  <c r="F626" i="89"/>
  <c r="F973" i="89" s="1"/>
  <c r="F1290" i="89" s="1"/>
  <c r="F630" i="89"/>
  <c r="F977" i="89" s="1"/>
  <c r="F1294" i="89" s="1"/>
  <c r="F634" i="89"/>
  <c r="F981" i="89" s="1"/>
  <c r="F1298" i="89" s="1"/>
  <c r="F638" i="89"/>
  <c r="F985" i="89" s="1"/>
  <c r="F1302" i="89" s="1"/>
  <c r="F642" i="89"/>
  <c r="F989" i="89" s="1"/>
  <c r="F1306" i="89" s="1"/>
  <c r="F646" i="89"/>
  <c r="F993" i="89" s="1"/>
  <c r="F1310" i="89" s="1"/>
  <c r="F426" i="89"/>
  <c r="F773" i="89" s="1"/>
  <c r="F1090" i="89" s="1"/>
  <c r="F430" i="89"/>
  <c r="F777" i="89" s="1"/>
  <c r="F1094" i="89" s="1"/>
  <c r="F442" i="89"/>
  <c r="F789" i="89" s="1"/>
  <c r="F1106" i="89" s="1"/>
  <c r="F498" i="89"/>
  <c r="F845" i="89" s="1"/>
  <c r="F1162" i="89" s="1"/>
  <c r="F471" i="89"/>
  <c r="F818" i="89" s="1"/>
  <c r="F1135" i="89" s="1"/>
  <c r="F495" i="89"/>
  <c r="F842" i="89" s="1"/>
  <c r="F1159" i="89" s="1"/>
  <c r="F515" i="89"/>
  <c r="F862" i="89" s="1"/>
  <c r="F1179" i="89" s="1"/>
  <c r="F531" i="89"/>
  <c r="F878" i="89" s="1"/>
  <c r="F1195" i="89" s="1"/>
  <c r="F547" i="89"/>
  <c r="F894" i="89" s="1"/>
  <c r="F1211" i="89" s="1"/>
  <c r="F563" i="89"/>
  <c r="F910" i="89" s="1"/>
  <c r="F1227" i="89" s="1"/>
  <c r="F579" i="89"/>
  <c r="F926" i="89" s="1"/>
  <c r="F1243" i="89" s="1"/>
  <c r="F595" i="89"/>
  <c r="F942" i="89" s="1"/>
  <c r="F1259" i="89" s="1"/>
  <c r="F607" i="89"/>
  <c r="F954" i="89" s="1"/>
  <c r="F1271" i="89" s="1"/>
  <c r="F623" i="89"/>
  <c r="F970" i="89" s="1"/>
  <c r="F1287" i="89" s="1"/>
  <c r="F639" i="89"/>
  <c r="F986" i="89" s="1"/>
  <c r="F1303" i="89" s="1"/>
  <c r="F355" i="89"/>
  <c r="F702" i="89" s="1"/>
  <c r="F1019" i="89" s="1"/>
  <c r="F383" i="89"/>
  <c r="F730" i="89" s="1"/>
  <c r="F1047" i="89" s="1"/>
  <c r="F439" i="89"/>
  <c r="F786" i="89" s="1"/>
  <c r="F1103" i="89" s="1"/>
  <c r="F486" i="89"/>
  <c r="F833" i="89" s="1"/>
  <c r="F1150" i="89" s="1"/>
  <c r="Y50" i="89"/>
  <c r="BJ810" i="88"/>
  <c r="BJ1127" i="88"/>
  <c r="BG810" i="88"/>
  <c r="BG1127" i="88"/>
  <c r="BE1003" i="88"/>
  <c r="BA345" i="88"/>
  <c r="BB345" i="88"/>
  <c r="BC345" i="88"/>
  <c r="BD345" i="88"/>
  <c r="BE345" i="88"/>
  <c r="BE656" i="88"/>
  <c r="K342" i="88"/>
  <c r="K341" i="88"/>
  <c r="K340" i="88"/>
  <c r="K339" i="88"/>
  <c r="K338" i="88"/>
  <c r="K337" i="88"/>
  <c r="K336" i="88"/>
  <c r="K335" i="88"/>
  <c r="K334" i="88"/>
  <c r="K333" i="88"/>
  <c r="K332" i="88"/>
  <c r="K331" i="88"/>
  <c r="K330" i="88"/>
  <c r="K329" i="88"/>
  <c r="K328" i="88"/>
  <c r="K327" i="88"/>
  <c r="K326" i="88"/>
  <c r="K325" i="88"/>
  <c r="K324" i="88"/>
  <c r="K323" i="88"/>
  <c r="K322" i="88"/>
  <c r="K321" i="88"/>
  <c r="K320" i="88"/>
  <c r="K319" i="88"/>
  <c r="K318" i="88"/>
  <c r="K317" i="88"/>
  <c r="K316" i="88"/>
  <c r="K315" i="88"/>
  <c r="K314" i="88"/>
  <c r="K313" i="88"/>
  <c r="K312" i="88"/>
  <c r="K311" i="88"/>
  <c r="K310" i="88"/>
  <c r="K309" i="88"/>
  <c r="K308" i="88"/>
  <c r="K307" i="88"/>
  <c r="K306" i="88"/>
  <c r="K305" i="88"/>
  <c r="K304" i="88"/>
  <c r="K303" i="88"/>
  <c r="K302" i="88"/>
  <c r="K301" i="88"/>
  <c r="K300" i="88"/>
  <c r="K299" i="88"/>
  <c r="K298" i="88"/>
  <c r="K297" i="88"/>
  <c r="K296" i="88"/>
  <c r="K295" i="88"/>
  <c r="K294" i="88"/>
  <c r="K293" i="88"/>
  <c r="K292" i="88"/>
  <c r="K291" i="88"/>
  <c r="K290" i="88"/>
  <c r="K289" i="88"/>
  <c r="K288" i="88"/>
  <c r="K287" i="88"/>
  <c r="K286" i="88"/>
  <c r="K285" i="88"/>
  <c r="K284" i="88"/>
  <c r="K283" i="88"/>
  <c r="K282" i="88"/>
  <c r="K281" i="88"/>
  <c r="K280" i="88"/>
  <c r="K279" i="88"/>
  <c r="K278" i="88"/>
  <c r="K277" i="88"/>
  <c r="K276" i="88"/>
  <c r="K275" i="88"/>
  <c r="K274" i="88"/>
  <c r="K273" i="88"/>
  <c r="K272" i="88"/>
  <c r="K271" i="88"/>
  <c r="K270" i="88"/>
  <c r="K269" i="88"/>
  <c r="K268" i="88"/>
  <c r="K267" i="88"/>
  <c r="K266" i="88"/>
  <c r="K265" i="88"/>
  <c r="K264" i="88"/>
  <c r="K263" i="88"/>
  <c r="K262" i="88"/>
  <c r="K261" i="88"/>
  <c r="K260" i="88"/>
  <c r="K259" i="88"/>
  <c r="K258" i="88"/>
  <c r="K257" i="88"/>
  <c r="K256" i="88"/>
  <c r="K255" i="88"/>
  <c r="K254" i="88"/>
  <c r="K253" i="88"/>
  <c r="K252" i="88"/>
  <c r="K251" i="88"/>
  <c r="K250" i="88"/>
  <c r="K249" i="88"/>
  <c r="K248" i="88"/>
  <c r="K247" i="88"/>
  <c r="K246" i="88"/>
  <c r="K245" i="88"/>
  <c r="K244" i="88"/>
  <c r="K243" i="88"/>
  <c r="K242" i="88"/>
  <c r="K241" i="88"/>
  <c r="K240" i="88"/>
  <c r="K239" i="88"/>
  <c r="K238" i="88"/>
  <c r="K237" i="88"/>
  <c r="K236" i="88"/>
  <c r="K235" i="88"/>
  <c r="K234" i="88"/>
  <c r="K233" i="88"/>
  <c r="K232" i="88"/>
  <c r="K231" i="88"/>
  <c r="K230" i="88"/>
  <c r="K229" i="88"/>
  <c r="K228" i="88"/>
  <c r="K227" i="88"/>
  <c r="K226" i="88"/>
  <c r="K225" i="88"/>
  <c r="K224" i="88"/>
  <c r="K223" i="88"/>
  <c r="K222" i="88"/>
  <c r="K221" i="88"/>
  <c r="K220" i="88"/>
  <c r="K219" i="88"/>
  <c r="K218" i="88"/>
  <c r="K217" i="88"/>
  <c r="K216" i="88"/>
  <c r="K215" i="88"/>
  <c r="K214" i="88"/>
  <c r="K213" i="88"/>
  <c r="K212" i="88"/>
  <c r="K211" i="88"/>
  <c r="K210" i="88"/>
  <c r="K209" i="88"/>
  <c r="K208" i="88"/>
  <c r="K207" i="88"/>
  <c r="K206" i="88"/>
  <c r="K205" i="88"/>
  <c r="K204" i="88"/>
  <c r="K203" i="88"/>
  <c r="K202" i="88"/>
  <c r="K201" i="88"/>
  <c r="K200" i="88"/>
  <c r="K199" i="88"/>
  <c r="K198" i="88"/>
  <c r="K197" i="88"/>
  <c r="K196" i="88"/>
  <c r="K195" i="88"/>
  <c r="K194" i="88"/>
  <c r="K193" i="88"/>
  <c r="K192" i="88"/>
  <c r="K191" i="88"/>
  <c r="K190" i="88"/>
  <c r="K189" i="88"/>
  <c r="K188" i="88"/>
  <c r="K187" i="88"/>
  <c r="K186" i="88"/>
  <c r="K185" i="88"/>
  <c r="K184" i="88"/>
  <c r="K183" i="88"/>
  <c r="K182" i="88"/>
  <c r="K181" i="88"/>
  <c r="K180" i="88"/>
  <c r="K179" i="88"/>
  <c r="K178" i="88"/>
  <c r="K177" i="88"/>
  <c r="K176" i="88"/>
  <c r="K175" i="88"/>
  <c r="K174" i="88"/>
  <c r="K173" i="88"/>
  <c r="K172" i="88"/>
  <c r="K171" i="88"/>
  <c r="K170" i="88"/>
  <c r="K169" i="88"/>
  <c r="K168" i="88"/>
  <c r="K167" i="88"/>
  <c r="K166" i="88"/>
  <c r="K165" i="88"/>
  <c r="K164" i="88"/>
  <c r="K163" i="88"/>
  <c r="K162" i="88"/>
  <c r="K161" i="88"/>
  <c r="K159" i="88"/>
  <c r="K158" i="88"/>
  <c r="K157" i="88"/>
  <c r="K156" i="88"/>
  <c r="K155" i="88"/>
  <c r="K154" i="88"/>
  <c r="K153" i="88"/>
  <c r="K152" i="88"/>
  <c r="K151" i="88"/>
  <c r="K150" i="88"/>
  <c r="K149" i="88"/>
  <c r="K148" i="88"/>
  <c r="K147" i="88"/>
  <c r="K146" i="88"/>
  <c r="K145" i="88"/>
  <c r="K144" i="88"/>
  <c r="K143" i="88"/>
  <c r="K142" i="88"/>
  <c r="K141" i="88"/>
  <c r="K140" i="88"/>
  <c r="K139" i="88"/>
  <c r="K138" i="88"/>
  <c r="K137" i="88"/>
  <c r="K136" i="88"/>
  <c r="K135" i="88"/>
  <c r="K134" i="88"/>
  <c r="K133" i="88"/>
  <c r="K132" i="88"/>
  <c r="K131" i="88"/>
  <c r="K130" i="88"/>
  <c r="K129" i="88"/>
  <c r="K128" i="88"/>
  <c r="K127" i="88"/>
  <c r="K126" i="88"/>
  <c r="K125" i="88"/>
  <c r="K124" i="88"/>
  <c r="K123" i="88"/>
  <c r="K122" i="88"/>
  <c r="K121" i="88"/>
  <c r="K120" i="88"/>
  <c r="K119" i="88"/>
  <c r="K118" i="88"/>
  <c r="K117" i="88"/>
  <c r="K116" i="88"/>
  <c r="K115" i="88"/>
  <c r="K114" i="88"/>
  <c r="K113" i="88"/>
  <c r="K112" i="88"/>
  <c r="K111" i="88"/>
  <c r="K110" i="88"/>
  <c r="K109" i="88"/>
  <c r="K108" i="88"/>
  <c r="K107" i="88"/>
  <c r="K106" i="88"/>
  <c r="K105" i="88"/>
  <c r="K104" i="88"/>
  <c r="K103" i="88"/>
  <c r="K102" i="88"/>
  <c r="K101" i="88"/>
  <c r="K100" i="88"/>
  <c r="K99" i="88"/>
  <c r="K98" i="88"/>
  <c r="K97" i="88"/>
  <c r="K96" i="88"/>
  <c r="K95" i="88"/>
  <c r="K94" i="88"/>
  <c r="K93" i="88"/>
  <c r="K92" i="88"/>
  <c r="K91" i="88"/>
  <c r="K90" i="88"/>
  <c r="K89" i="88"/>
  <c r="K88" i="88"/>
  <c r="K87" i="88"/>
  <c r="K86" i="88"/>
  <c r="K85" i="88"/>
  <c r="K84" i="88"/>
  <c r="K83" i="88"/>
  <c r="K82" i="88"/>
  <c r="K81" i="88"/>
  <c r="K80" i="88"/>
  <c r="K79" i="88"/>
  <c r="K78" i="88"/>
  <c r="K77" i="88"/>
  <c r="K76" i="88"/>
  <c r="K75" i="88"/>
  <c r="K74" i="88"/>
  <c r="K73" i="88"/>
  <c r="K72" i="88"/>
  <c r="K71" i="88"/>
  <c r="K70" i="88"/>
  <c r="K69" i="88"/>
  <c r="K68" i="88"/>
  <c r="K67" i="88"/>
  <c r="K66" i="88"/>
  <c r="K65" i="88"/>
  <c r="K64" i="88"/>
  <c r="K63" i="88"/>
  <c r="K62" i="88"/>
  <c r="K61" i="88"/>
  <c r="K60" i="88"/>
  <c r="K59" i="88"/>
  <c r="K58" i="88"/>
  <c r="K57" i="88"/>
  <c r="K56" i="88"/>
  <c r="K55" i="88"/>
  <c r="K54" i="88"/>
  <c r="K53" i="88"/>
  <c r="K52" i="88"/>
  <c r="K51" i="88"/>
  <c r="K50" i="88"/>
  <c r="K49" i="88"/>
  <c r="K48" i="88"/>
  <c r="K47" i="88"/>
  <c r="K46" i="88"/>
  <c r="K45" i="88"/>
  <c r="Q72" i="37"/>
  <c r="Q102" i="37"/>
  <c r="G167" i="89" l="1"/>
  <c r="H125" i="94"/>
  <c r="H127" i="94" s="1"/>
  <c r="H135" i="94" s="1"/>
  <c r="BF810" i="88"/>
  <c r="G159" i="89"/>
  <c r="G163" i="89"/>
  <c r="G165" i="89"/>
  <c r="G158" i="89"/>
  <c r="G155" i="89"/>
  <c r="G164" i="89"/>
  <c r="G150" i="89"/>
  <c r="G346" i="89"/>
  <c r="G319" i="89"/>
  <c r="G307" i="89"/>
  <c r="G301" i="89"/>
  <c r="G282" i="89"/>
  <c r="G255" i="89"/>
  <c r="G249" i="89"/>
  <c r="G237" i="89"/>
  <c r="G218" i="89"/>
  <c r="G184" i="89"/>
  <c r="G173" i="89"/>
  <c r="G172" i="89"/>
  <c r="BI1127" i="88"/>
  <c r="G166" i="89"/>
  <c r="G154" i="89"/>
  <c r="G134" i="89"/>
  <c r="G121" i="89"/>
  <c r="G120" i="89"/>
  <c r="G95" i="89"/>
  <c r="G89" i="89"/>
  <c r="G88" i="89"/>
  <c r="G56" i="89"/>
  <c r="G317" i="89"/>
  <c r="G252" i="89"/>
  <c r="G239" i="89"/>
  <c r="G156" i="89"/>
  <c r="G72" i="89"/>
  <c r="G324" i="89"/>
  <c r="G318" i="89"/>
  <c r="G286" i="89"/>
  <c r="G272" i="89"/>
  <c r="G267" i="89"/>
  <c r="G242" i="89"/>
  <c r="G235" i="89"/>
  <c r="G228" i="89"/>
  <c r="G210" i="89"/>
  <c r="G151" i="89"/>
  <c r="G146" i="89"/>
  <c r="G139" i="89"/>
  <c r="G113" i="89"/>
  <c r="G112" i="89"/>
  <c r="G81" i="89"/>
  <c r="G80" i="89"/>
  <c r="G49" i="89"/>
  <c r="G234" i="89"/>
  <c r="G233" i="89"/>
  <c r="G143" i="89"/>
  <c r="G340" i="89"/>
  <c r="G334" i="89"/>
  <c r="G308" i="89"/>
  <c r="G302" i="89"/>
  <c r="G290" i="89"/>
  <c r="G244" i="89"/>
  <c r="G238" i="89"/>
  <c r="G206" i="89"/>
  <c r="G193" i="89"/>
  <c r="G192" i="89"/>
  <c r="G129" i="89"/>
  <c r="G128" i="89"/>
  <c r="G53" i="89"/>
  <c r="G52" i="89"/>
  <c r="G335" i="89"/>
  <c r="G278" i="89"/>
  <c r="G79" i="89"/>
  <c r="G250" i="89"/>
  <c r="G179" i="89"/>
  <c r="G345" i="89"/>
  <c r="G344" i="89"/>
  <c r="G332" i="89"/>
  <c r="G326" i="89"/>
  <c r="G300" i="89"/>
  <c r="G294" i="89"/>
  <c r="G281" i="89"/>
  <c r="G280" i="89"/>
  <c r="G275" i="89"/>
  <c r="G262" i="89"/>
  <c r="G217" i="89"/>
  <c r="G191" i="89"/>
  <c r="G153" i="89"/>
  <c r="G152" i="89"/>
  <c r="G147" i="89"/>
  <c r="G127" i="89"/>
  <c r="G265" i="89"/>
  <c r="G168" i="89"/>
  <c r="G125" i="89"/>
  <c r="G74" i="89"/>
  <c r="G67" i="89"/>
  <c r="G292" i="89"/>
  <c r="G279" i="89"/>
  <c r="G260" i="89"/>
  <c r="G247" i="89"/>
  <c r="G240" i="89"/>
  <c r="G215" i="89"/>
  <c r="G183" i="89"/>
  <c r="G178" i="89"/>
  <c r="G171" i="89"/>
  <c r="G145" i="89"/>
  <c r="G144" i="89"/>
  <c r="G69" i="89"/>
  <c r="G68" i="89"/>
  <c r="G330" i="89"/>
  <c r="G328" i="89"/>
  <c r="G298" i="89"/>
  <c r="G296" i="89"/>
  <c r="G253" i="89"/>
  <c r="G232" i="89"/>
  <c r="G214" i="89"/>
  <c r="G54" i="89"/>
  <c r="G277" i="89"/>
  <c r="G270" i="89"/>
  <c r="G256" i="89"/>
  <c r="G251" i="89"/>
  <c r="G245" i="89"/>
  <c r="G226" i="89"/>
  <c r="G225" i="89"/>
  <c r="G224" i="89"/>
  <c r="G219" i="89"/>
  <c r="G213" i="89"/>
  <c r="G212" i="89"/>
  <c r="G194" i="89"/>
  <c r="G117" i="89"/>
  <c r="G116" i="89"/>
  <c r="G85" i="89"/>
  <c r="G84" i="89"/>
  <c r="G303" i="89"/>
  <c r="G202" i="89"/>
  <c r="G118" i="89"/>
  <c r="G269" i="89"/>
  <c r="G339" i="89"/>
  <c r="G333" i="89"/>
  <c r="G313" i="89"/>
  <c r="G312" i="89"/>
  <c r="G287" i="89"/>
  <c r="G268" i="89"/>
  <c r="G248" i="89"/>
  <c r="G243" i="89"/>
  <c r="G236" i="89"/>
  <c r="G230" i="89"/>
  <c r="G216" i="89"/>
  <c r="G211" i="89"/>
  <c r="G205" i="89"/>
  <c r="G204" i="89"/>
  <c r="G198" i="89"/>
  <c r="G185" i="89"/>
  <c r="G109" i="89"/>
  <c r="G108" i="89"/>
  <c r="G77" i="89"/>
  <c r="G76" i="89"/>
  <c r="G58" i="89"/>
  <c r="G51" i="89"/>
  <c r="G329" i="89"/>
  <c r="G227" i="89"/>
  <c r="G221" i="89"/>
  <c r="G200" i="89"/>
  <c r="G195" i="89"/>
  <c r="G189" i="89"/>
  <c r="G188" i="89"/>
  <c r="G170" i="89"/>
  <c r="G136" i="89"/>
  <c r="G106" i="89"/>
  <c r="G104" i="89"/>
  <c r="G99" i="89"/>
  <c r="G92" i="89"/>
  <c r="G61" i="89"/>
  <c r="G343" i="89"/>
  <c r="G337" i="89"/>
  <c r="G336" i="89"/>
  <c r="G331" i="89"/>
  <c r="G325" i="89"/>
  <c r="G311" i="89"/>
  <c r="G305" i="89"/>
  <c r="G304" i="89"/>
  <c r="G299" i="89"/>
  <c r="G293" i="89"/>
  <c r="G274" i="89"/>
  <c r="G273" i="89"/>
  <c r="G241" i="89"/>
  <c r="G222" i="89"/>
  <c r="G177" i="89"/>
  <c r="G176" i="89"/>
  <c r="G133" i="89"/>
  <c r="G132" i="89"/>
  <c r="G101" i="89"/>
  <c r="G100" i="89"/>
  <c r="G75" i="89"/>
  <c r="G62" i="89"/>
  <c r="G55" i="89"/>
  <c r="G50" i="89"/>
  <c r="G323" i="89"/>
  <c r="G291" i="89"/>
  <c r="G285" i="89"/>
  <c r="G266" i="89"/>
  <c r="G264" i="89"/>
  <c r="G259" i="89"/>
  <c r="G73" i="89"/>
  <c r="G60" i="89"/>
  <c r="G341" i="89"/>
  <c r="G327" i="89"/>
  <c r="G321" i="89"/>
  <c r="G320" i="89"/>
  <c r="G315" i="89"/>
  <c r="G309" i="89"/>
  <c r="G295" i="89"/>
  <c r="G288" i="89"/>
  <c r="G276" i="89"/>
  <c r="G199" i="89"/>
  <c r="G149" i="89"/>
  <c r="G148" i="89"/>
  <c r="G110" i="89"/>
  <c r="G98" i="89"/>
  <c r="G91" i="89"/>
  <c r="O91" i="89" s="1"/>
  <c r="G78" i="89"/>
  <c r="G71" i="89"/>
  <c r="G66" i="89"/>
  <c r="G271" i="89"/>
  <c r="G220" i="89"/>
  <c r="G169" i="89"/>
  <c r="G137" i="89"/>
  <c r="G141" i="89"/>
  <c r="G140" i="89"/>
  <c r="G122" i="89"/>
  <c r="G115" i="89"/>
  <c r="G102" i="89"/>
  <c r="G90" i="89"/>
  <c r="G83" i="89"/>
  <c r="G70" i="89"/>
  <c r="G63" i="89"/>
  <c r="G57" i="89"/>
  <c r="G342" i="89"/>
  <c r="G284" i="89"/>
  <c r="G138" i="89"/>
  <c r="G111" i="89"/>
  <c r="G105" i="89"/>
  <c r="G86" i="89"/>
  <c r="G338" i="89"/>
  <c r="G306" i="89"/>
  <c r="G261" i="89"/>
  <c r="G254" i="89"/>
  <c r="G229" i="89"/>
  <c r="G209" i="89"/>
  <c r="G208" i="89"/>
  <c r="G203" i="89"/>
  <c r="G197" i="89"/>
  <c r="G196" i="89"/>
  <c r="G190" i="89"/>
  <c r="G126" i="89"/>
  <c r="G119" i="89"/>
  <c r="G114" i="89"/>
  <c r="G107" i="89"/>
  <c r="G94" i="89"/>
  <c r="G87" i="89"/>
  <c r="G82" i="89"/>
  <c r="G316" i="89"/>
  <c r="G310" i="89"/>
  <c r="G207" i="89"/>
  <c r="G182" i="89"/>
  <c r="G322" i="89"/>
  <c r="G289" i="89"/>
  <c r="G283" i="89"/>
  <c r="G263" i="89"/>
  <c r="G258" i="89"/>
  <c r="G257" i="89"/>
  <c r="G231" i="89"/>
  <c r="G187" i="89"/>
  <c r="G181" i="89"/>
  <c r="G180" i="89"/>
  <c r="G174" i="89"/>
  <c r="G142" i="89"/>
  <c r="G135" i="89"/>
  <c r="G130" i="89"/>
  <c r="G123" i="89"/>
  <c r="G103" i="89"/>
  <c r="G97" i="89"/>
  <c r="G96" i="89"/>
  <c r="G65" i="89"/>
  <c r="G64" i="89"/>
  <c r="G59" i="89"/>
  <c r="G297" i="89"/>
  <c r="G246" i="89"/>
  <c r="G201" i="89"/>
  <c r="G131" i="89"/>
  <c r="G314" i="89"/>
  <c r="G223" i="89"/>
  <c r="G186" i="89"/>
  <c r="G175" i="89"/>
  <c r="G124" i="89"/>
  <c r="BH509" i="89"/>
  <c r="BH353" i="89"/>
  <c r="BH1017" i="89" s="1"/>
  <c r="BI353" i="89"/>
  <c r="BI700" i="89" s="1"/>
  <c r="BH810" i="88"/>
  <c r="BH1127" i="88"/>
  <c r="X50" i="89"/>
  <c r="W50" i="89"/>
  <c r="BJ353" i="89" s="1"/>
  <c r="AD50" i="89"/>
  <c r="AE50" i="89"/>
  <c r="R50" i="89"/>
  <c r="BH700" i="89" l="1"/>
  <c r="BI1017" i="89"/>
  <c r="BJ1017" i="89"/>
  <c r="BJ700" i="89"/>
  <c r="S50" i="89"/>
  <c r="BL353" i="89" s="1"/>
  <c r="BK353" i="89"/>
  <c r="BL1017" i="89" l="1"/>
  <c r="BL700" i="89"/>
  <c r="BK700" i="89"/>
  <c r="BK1017" i="89"/>
  <c r="F198" i="87"/>
  <c r="F196" i="87"/>
  <c r="F195" i="87"/>
  <c r="F193" i="87"/>
  <c r="F192" i="87"/>
  <c r="F191" i="87"/>
  <c r="F190" i="87"/>
  <c r="F189" i="87"/>
  <c r="F188" i="87"/>
  <c r="F187" i="87"/>
  <c r="F186" i="87"/>
  <c r="F178" i="87"/>
  <c r="F176" i="87"/>
  <c r="F174" i="87"/>
  <c r="F173" i="87"/>
  <c r="F172" i="87"/>
  <c r="F171" i="87"/>
  <c r="F170" i="87"/>
  <c r="F169" i="87"/>
  <c r="F168" i="87"/>
  <c r="F167" i="87"/>
  <c r="N21" i="87" l="1"/>
  <c r="M21" i="87"/>
  <c r="L21" i="87"/>
  <c r="K21" i="87"/>
  <c r="J21" i="87"/>
  <c r="N20" i="87"/>
  <c r="M20" i="87"/>
  <c r="L20" i="87"/>
  <c r="K20" i="87"/>
  <c r="J20" i="87"/>
  <c r="N19" i="87"/>
  <c r="M19" i="87"/>
  <c r="L19" i="87"/>
  <c r="K19" i="87"/>
  <c r="J19" i="87"/>
  <c r="N18" i="87"/>
  <c r="M18" i="87"/>
  <c r="L18" i="87"/>
  <c r="K18" i="87"/>
  <c r="J18" i="87"/>
  <c r="N17" i="87"/>
  <c r="M17" i="87"/>
  <c r="L17" i="87"/>
  <c r="K17" i="87"/>
  <c r="Q43" i="7"/>
  <c r="X20" i="42" l="1"/>
  <c r="X30" i="42" s="1"/>
  <c r="AF20" i="42"/>
  <c r="I82" i="43"/>
  <c r="I83" i="43"/>
  <c r="I84" i="43"/>
  <c r="O11" i="42"/>
  <c r="O20" i="42"/>
  <c r="O19" i="42"/>
  <c r="Q94" i="43" l="1"/>
  <c r="Y73" i="91" l="1"/>
  <c r="X73" i="91"/>
  <c r="W73" i="91"/>
  <c r="V73" i="91"/>
  <c r="U73" i="91"/>
  <c r="Y72" i="91"/>
  <c r="X72" i="91"/>
  <c r="W72" i="91"/>
  <c r="V72" i="91"/>
  <c r="U72" i="91"/>
  <c r="AS51" i="89"/>
  <c r="AT51" i="89"/>
  <c r="AU51" i="89"/>
  <c r="AV51" i="89"/>
  <c r="AW51" i="89"/>
  <c r="AS52" i="89"/>
  <c r="AT52" i="89"/>
  <c r="AU52" i="89"/>
  <c r="AV52" i="89"/>
  <c r="AW52" i="89"/>
  <c r="AS53" i="89"/>
  <c r="AT53" i="89"/>
  <c r="AU53" i="89"/>
  <c r="AV53" i="89"/>
  <c r="AW53" i="89"/>
  <c r="AS54" i="89"/>
  <c r="AT54" i="89"/>
  <c r="AU54" i="89"/>
  <c r="AV54" i="89"/>
  <c r="AW54" i="89"/>
  <c r="AS55" i="89"/>
  <c r="AT55" i="89"/>
  <c r="AU55" i="89"/>
  <c r="AV55" i="89"/>
  <c r="AW55" i="89"/>
  <c r="AS56" i="89"/>
  <c r="AT56" i="89"/>
  <c r="AU56" i="89"/>
  <c r="AV56" i="89"/>
  <c r="AW56" i="89"/>
  <c r="AS57" i="89"/>
  <c r="AT57" i="89"/>
  <c r="AU57" i="89"/>
  <c r="AV57" i="89"/>
  <c r="AW57" i="89"/>
  <c r="AS58" i="89"/>
  <c r="AT58" i="89"/>
  <c r="AU58" i="89"/>
  <c r="AV58" i="89"/>
  <c r="AW58" i="89"/>
  <c r="AS59" i="89"/>
  <c r="AT59" i="89"/>
  <c r="AU59" i="89"/>
  <c r="AV59" i="89"/>
  <c r="AW59" i="89"/>
  <c r="AS60" i="89"/>
  <c r="AT60" i="89"/>
  <c r="AU60" i="89"/>
  <c r="AV60" i="89"/>
  <c r="AW60" i="89"/>
  <c r="AS61" i="89"/>
  <c r="AT61" i="89"/>
  <c r="AU61" i="89"/>
  <c r="AV61" i="89"/>
  <c r="AW61" i="89"/>
  <c r="AS62" i="89"/>
  <c r="AT62" i="89"/>
  <c r="AU62" i="89"/>
  <c r="AV62" i="89"/>
  <c r="AW62" i="89"/>
  <c r="AS63" i="89"/>
  <c r="AT63" i="89"/>
  <c r="AU63" i="89"/>
  <c r="AV63" i="89"/>
  <c r="AW63" i="89"/>
  <c r="AS64" i="89"/>
  <c r="AT64" i="89"/>
  <c r="AU64" i="89"/>
  <c r="AV64" i="89"/>
  <c r="AW64" i="89"/>
  <c r="AS65" i="89"/>
  <c r="AT65" i="89"/>
  <c r="AU65" i="89"/>
  <c r="AV65" i="89"/>
  <c r="AW65" i="89"/>
  <c r="AS66" i="89"/>
  <c r="AT66" i="89"/>
  <c r="AU66" i="89"/>
  <c r="AV66" i="89"/>
  <c r="AW66" i="89"/>
  <c r="AS67" i="89"/>
  <c r="AT67" i="89"/>
  <c r="AU67" i="89"/>
  <c r="AV67" i="89"/>
  <c r="AW67" i="89"/>
  <c r="AS68" i="89"/>
  <c r="AT68" i="89"/>
  <c r="AU68" i="89"/>
  <c r="AV68" i="89"/>
  <c r="AW68" i="89"/>
  <c r="AS69" i="89"/>
  <c r="AT69" i="89"/>
  <c r="AU69" i="89"/>
  <c r="AV69" i="89"/>
  <c r="AW69" i="89"/>
  <c r="AS70" i="89"/>
  <c r="AT70" i="89"/>
  <c r="AU70" i="89"/>
  <c r="AV70" i="89"/>
  <c r="AW70" i="89"/>
  <c r="AS71" i="89"/>
  <c r="AT71" i="89"/>
  <c r="AU71" i="89"/>
  <c r="AV71" i="89"/>
  <c r="AW71" i="89"/>
  <c r="AS72" i="89"/>
  <c r="AT72" i="89"/>
  <c r="AU72" i="89"/>
  <c r="AV72" i="89"/>
  <c r="AW72" i="89"/>
  <c r="AS73" i="89"/>
  <c r="AT73" i="89"/>
  <c r="AU73" i="89"/>
  <c r="AV73" i="89"/>
  <c r="AW73" i="89"/>
  <c r="AS74" i="89"/>
  <c r="AT74" i="89"/>
  <c r="AU74" i="89"/>
  <c r="AV74" i="89"/>
  <c r="AW74" i="89"/>
  <c r="AS75" i="89"/>
  <c r="AT75" i="89"/>
  <c r="AU75" i="89"/>
  <c r="AV75" i="89"/>
  <c r="AW75" i="89"/>
  <c r="AS76" i="89"/>
  <c r="AT76" i="89"/>
  <c r="AU76" i="89"/>
  <c r="AV76" i="89"/>
  <c r="AW76" i="89"/>
  <c r="AS77" i="89"/>
  <c r="AT77" i="89"/>
  <c r="AU77" i="89"/>
  <c r="AV77" i="89"/>
  <c r="AW77" i="89"/>
  <c r="AS78" i="89"/>
  <c r="AT78" i="89"/>
  <c r="AU78" i="89"/>
  <c r="AV78" i="89"/>
  <c r="AW78" i="89"/>
  <c r="AS79" i="89"/>
  <c r="AT79" i="89"/>
  <c r="AU79" i="89"/>
  <c r="AV79" i="89"/>
  <c r="AW79" i="89"/>
  <c r="AS80" i="89"/>
  <c r="AT80" i="89"/>
  <c r="AU80" i="89"/>
  <c r="AV80" i="89"/>
  <c r="AW80" i="89"/>
  <c r="AS81" i="89"/>
  <c r="AT81" i="89"/>
  <c r="AU81" i="89"/>
  <c r="AV81" i="89"/>
  <c r="AW81" i="89"/>
  <c r="AS82" i="89"/>
  <c r="AT82" i="89"/>
  <c r="AU82" i="89"/>
  <c r="AV82" i="89"/>
  <c r="AW82" i="89"/>
  <c r="AS83" i="89"/>
  <c r="AT83" i="89"/>
  <c r="AU83" i="89"/>
  <c r="AV83" i="89"/>
  <c r="AW83" i="89"/>
  <c r="AS84" i="89"/>
  <c r="AT84" i="89"/>
  <c r="AU84" i="89"/>
  <c r="AV84" i="89"/>
  <c r="AW84" i="89"/>
  <c r="AS85" i="89"/>
  <c r="AT85" i="89"/>
  <c r="AU85" i="89"/>
  <c r="AV85" i="89"/>
  <c r="AW85" i="89"/>
  <c r="AS86" i="89"/>
  <c r="AT86" i="89"/>
  <c r="AU86" i="89"/>
  <c r="AV86" i="89"/>
  <c r="AW86" i="89"/>
  <c r="AS87" i="89"/>
  <c r="AT87" i="89"/>
  <c r="AU87" i="89"/>
  <c r="AV87" i="89"/>
  <c r="AW87" i="89"/>
  <c r="AS88" i="89"/>
  <c r="AT88" i="89"/>
  <c r="AU88" i="89"/>
  <c r="AV88" i="89"/>
  <c r="AW88" i="89"/>
  <c r="AS89" i="89"/>
  <c r="AT89" i="89"/>
  <c r="AU89" i="89"/>
  <c r="AV89" i="89"/>
  <c r="AW89" i="89"/>
  <c r="AS90" i="89"/>
  <c r="AT90" i="89"/>
  <c r="AU90" i="89"/>
  <c r="AV90" i="89"/>
  <c r="AW90" i="89"/>
  <c r="AS91" i="89"/>
  <c r="AT91" i="89"/>
  <c r="AU91" i="89"/>
  <c r="AV91" i="89"/>
  <c r="AW91" i="89"/>
  <c r="AS92" i="89"/>
  <c r="AT92" i="89"/>
  <c r="AU92" i="89"/>
  <c r="AV92" i="89"/>
  <c r="AW92" i="89"/>
  <c r="AS93" i="89"/>
  <c r="AT93" i="89"/>
  <c r="AU93" i="89"/>
  <c r="AV93" i="89"/>
  <c r="AW93" i="89"/>
  <c r="AS94" i="89"/>
  <c r="AT94" i="89"/>
  <c r="AU94" i="89"/>
  <c r="AV94" i="89"/>
  <c r="AW94" i="89"/>
  <c r="AS95" i="89"/>
  <c r="AT95" i="89"/>
  <c r="AU95" i="89"/>
  <c r="AV95" i="89"/>
  <c r="AW95" i="89"/>
  <c r="AS96" i="89"/>
  <c r="AT96" i="89"/>
  <c r="AU96" i="89"/>
  <c r="AV96" i="89"/>
  <c r="AW96" i="89"/>
  <c r="AS97" i="89"/>
  <c r="AT97" i="89"/>
  <c r="AU97" i="89"/>
  <c r="AV97" i="89"/>
  <c r="AW97" i="89"/>
  <c r="AS98" i="89"/>
  <c r="AT98" i="89"/>
  <c r="AU98" i="89"/>
  <c r="AV98" i="89"/>
  <c r="AW98" i="89"/>
  <c r="AS99" i="89"/>
  <c r="AT99" i="89"/>
  <c r="AU99" i="89"/>
  <c r="AV99" i="89"/>
  <c r="AW99" i="89"/>
  <c r="AS100" i="89"/>
  <c r="AT100" i="89"/>
  <c r="AU100" i="89"/>
  <c r="AV100" i="89"/>
  <c r="AW100" i="89"/>
  <c r="AS101" i="89"/>
  <c r="AT101" i="89"/>
  <c r="AU101" i="89"/>
  <c r="AV101" i="89"/>
  <c r="AW101" i="89"/>
  <c r="AS102" i="89"/>
  <c r="AT102" i="89"/>
  <c r="AU102" i="89"/>
  <c r="AV102" i="89"/>
  <c r="AW102" i="89"/>
  <c r="AS103" i="89"/>
  <c r="AT103" i="89"/>
  <c r="AU103" i="89"/>
  <c r="AV103" i="89"/>
  <c r="AW103" i="89"/>
  <c r="AS104" i="89"/>
  <c r="AT104" i="89"/>
  <c r="AU104" i="89"/>
  <c r="AV104" i="89"/>
  <c r="AW104" i="89"/>
  <c r="AS105" i="89"/>
  <c r="AT105" i="89"/>
  <c r="AU105" i="89"/>
  <c r="AV105" i="89"/>
  <c r="AW105" i="89"/>
  <c r="AS106" i="89"/>
  <c r="AT106" i="89"/>
  <c r="AU106" i="89"/>
  <c r="AV106" i="89"/>
  <c r="AW106" i="89"/>
  <c r="AS107" i="89"/>
  <c r="AT107" i="89"/>
  <c r="AU107" i="89"/>
  <c r="AV107" i="89"/>
  <c r="AW107" i="89"/>
  <c r="AS108" i="89"/>
  <c r="AT108" i="89"/>
  <c r="AU108" i="89"/>
  <c r="AV108" i="89"/>
  <c r="AW108" i="89"/>
  <c r="AS109" i="89"/>
  <c r="AT109" i="89"/>
  <c r="AU109" i="89"/>
  <c r="AV109" i="89"/>
  <c r="AW109" i="89"/>
  <c r="AS110" i="89"/>
  <c r="AT110" i="89"/>
  <c r="AU110" i="89"/>
  <c r="AV110" i="89"/>
  <c r="AW110" i="89"/>
  <c r="AS111" i="89"/>
  <c r="AT111" i="89"/>
  <c r="AU111" i="89"/>
  <c r="AV111" i="89"/>
  <c r="AW111" i="89"/>
  <c r="AS112" i="89"/>
  <c r="AT112" i="89"/>
  <c r="AU112" i="89"/>
  <c r="AV112" i="89"/>
  <c r="AW112" i="89"/>
  <c r="AS113" i="89"/>
  <c r="AT113" i="89"/>
  <c r="AU113" i="89"/>
  <c r="AV113" i="89"/>
  <c r="AW113" i="89"/>
  <c r="AS114" i="89"/>
  <c r="AT114" i="89"/>
  <c r="AU114" i="89"/>
  <c r="AV114" i="89"/>
  <c r="AW114" i="89"/>
  <c r="AS115" i="89"/>
  <c r="AT115" i="89"/>
  <c r="AU115" i="89"/>
  <c r="AV115" i="89"/>
  <c r="AW115" i="89"/>
  <c r="AS116" i="89"/>
  <c r="AT116" i="89"/>
  <c r="AU116" i="89"/>
  <c r="AV116" i="89"/>
  <c r="AW116" i="89"/>
  <c r="AS117" i="89"/>
  <c r="AT117" i="89"/>
  <c r="AU117" i="89"/>
  <c r="AV117" i="89"/>
  <c r="AW117" i="89"/>
  <c r="AS118" i="89"/>
  <c r="AT118" i="89"/>
  <c r="AU118" i="89"/>
  <c r="AV118" i="89"/>
  <c r="AW118" i="89"/>
  <c r="AS119" i="89"/>
  <c r="AT119" i="89"/>
  <c r="AU119" i="89"/>
  <c r="AV119" i="89"/>
  <c r="AW119" i="89"/>
  <c r="AS120" i="89"/>
  <c r="AT120" i="89"/>
  <c r="AU120" i="89"/>
  <c r="AV120" i="89"/>
  <c r="AW120" i="89"/>
  <c r="AS121" i="89"/>
  <c r="AT121" i="89"/>
  <c r="AU121" i="89"/>
  <c r="AV121" i="89"/>
  <c r="AW121" i="89"/>
  <c r="AS122" i="89"/>
  <c r="AT122" i="89"/>
  <c r="AU122" i="89"/>
  <c r="AV122" i="89"/>
  <c r="AW122" i="89"/>
  <c r="AS123" i="89"/>
  <c r="AT123" i="89"/>
  <c r="AU123" i="89"/>
  <c r="AV123" i="89"/>
  <c r="AW123" i="89"/>
  <c r="AS124" i="89"/>
  <c r="AT124" i="89"/>
  <c r="AU124" i="89"/>
  <c r="AV124" i="89"/>
  <c r="AW124" i="89"/>
  <c r="AS125" i="89"/>
  <c r="AT125" i="89"/>
  <c r="AU125" i="89"/>
  <c r="AV125" i="89"/>
  <c r="AW125" i="89"/>
  <c r="AS126" i="89"/>
  <c r="AT126" i="89"/>
  <c r="AU126" i="89"/>
  <c r="AV126" i="89"/>
  <c r="AW126" i="89"/>
  <c r="AS127" i="89"/>
  <c r="AT127" i="89"/>
  <c r="AU127" i="89"/>
  <c r="AV127" i="89"/>
  <c r="AW127" i="89"/>
  <c r="AS128" i="89"/>
  <c r="AT128" i="89"/>
  <c r="AU128" i="89"/>
  <c r="AV128" i="89"/>
  <c r="AW128" i="89"/>
  <c r="AS129" i="89"/>
  <c r="AT129" i="89"/>
  <c r="AU129" i="89"/>
  <c r="AV129" i="89"/>
  <c r="AW129" i="89"/>
  <c r="AS130" i="89"/>
  <c r="AT130" i="89"/>
  <c r="AU130" i="89"/>
  <c r="AV130" i="89"/>
  <c r="AW130" i="89"/>
  <c r="AS131" i="89"/>
  <c r="AT131" i="89"/>
  <c r="AU131" i="89"/>
  <c r="AV131" i="89"/>
  <c r="AW131" i="89"/>
  <c r="AS132" i="89"/>
  <c r="AT132" i="89"/>
  <c r="AU132" i="89"/>
  <c r="AV132" i="89"/>
  <c r="AW132" i="89"/>
  <c r="AS133" i="89"/>
  <c r="AT133" i="89"/>
  <c r="AU133" i="89"/>
  <c r="AV133" i="89"/>
  <c r="AW133" i="89"/>
  <c r="AS134" i="89"/>
  <c r="AT134" i="89"/>
  <c r="AU134" i="89"/>
  <c r="AV134" i="89"/>
  <c r="AW134" i="89"/>
  <c r="AS135" i="89"/>
  <c r="AT135" i="89"/>
  <c r="AU135" i="89"/>
  <c r="AV135" i="89"/>
  <c r="AW135" i="89"/>
  <c r="AS136" i="89"/>
  <c r="AT136" i="89"/>
  <c r="AU136" i="89"/>
  <c r="AV136" i="89"/>
  <c r="AW136" i="89"/>
  <c r="AS137" i="89"/>
  <c r="AT137" i="89"/>
  <c r="AU137" i="89"/>
  <c r="AV137" i="89"/>
  <c r="AW137" i="89"/>
  <c r="AS138" i="89"/>
  <c r="AT138" i="89"/>
  <c r="AU138" i="89"/>
  <c r="AV138" i="89"/>
  <c r="AW138" i="89"/>
  <c r="AS139" i="89"/>
  <c r="AT139" i="89"/>
  <c r="AU139" i="89"/>
  <c r="AV139" i="89"/>
  <c r="AW139" i="89"/>
  <c r="AS140" i="89"/>
  <c r="AT140" i="89"/>
  <c r="AU140" i="89"/>
  <c r="AV140" i="89"/>
  <c r="AW140" i="89"/>
  <c r="AS141" i="89"/>
  <c r="AT141" i="89"/>
  <c r="AU141" i="89"/>
  <c r="AV141" i="89"/>
  <c r="AW141" i="89"/>
  <c r="AS142" i="89"/>
  <c r="AT142" i="89"/>
  <c r="AU142" i="89"/>
  <c r="AV142" i="89"/>
  <c r="AW142" i="89"/>
  <c r="AS143" i="89"/>
  <c r="AT143" i="89"/>
  <c r="AU143" i="89"/>
  <c r="AV143" i="89"/>
  <c r="AW143" i="89"/>
  <c r="AS144" i="89"/>
  <c r="AT144" i="89"/>
  <c r="AU144" i="89"/>
  <c r="AV144" i="89"/>
  <c r="AW144" i="89"/>
  <c r="AS145" i="89"/>
  <c r="AT145" i="89"/>
  <c r="AU145" i="89"/>
  <c r="AV145" i="89"/>
  <c r="AW145" i="89"/>
  <c r="AS146" i="89"/>
  <c r="AT146" i="89"/>
  <c r="AU146" i="89"/>
  <c r="AV146" i="89"/>
  <c r="AW146" i="89"/>
  <c r="AS147" i="89"/>
  <c r="AT147" i="89"/>
  <c r="AU147" i="89"/>
  <c r="AV147" i="89"/>
  <c r="AW147" i="89"/>
  <c r="AS148" i="89"/>
  <c r="AT148" i="89"/>
  <c r="AU148" i="89"/>
  <c r="AV148" i="89"/>
  <c r="AW148" i="89"/>
  <c r="AS149" i="89"/>
  <c r="AT149" i="89"/>
  <c r="AU149" i="89"/>
  <c r="AV149" i="89"/>
  <c r="AW149" i="89"/>
  <c r="AS150" i="89"/>
  <c r="AT150" i="89"/>
  <c r="AU150" i="89"/>
  <c r="AV150" i="89"/>
  <c r="AW150" i="89"/>
  <c r="AS151" i="89"/>
  <c r="AT151" i="89"/>
  <c r="AU151" i="89"/>
  <c r="AV151" i="89"/>
  <c r="AW151" i="89"/>
  <c r="AS152" i="89"/>
  <c r="AT152" i="89"/>
  <c r="AU152" i="89"/>
  <c r="AV152" i="89"/>
  <c r="AW152" i="89"/>
  <c r="AS153" i="89"/>
  <c r="AT153" i="89"/>
  <c r="AU153" i="89"/>
  <c r="AV153" i="89"/>
  <c r="AW153" i="89"/>
  <c r="AS154" i="89"/>
  <c r="AT154" i="89"/>
  <c r="AU154" i="89"/>
  <c r="AV154" i="89"/>
  <c r="AW154" i="89"/>
  <c r="AS155" i="89"/>
  <c r="AT155" i="89"/>
  <c r="AU155" i="89"/>
  <c r="AV155" i="89"/>
  <c r="AW155" i="89"/>
  <c r="AS156" i="89"/>
  <c r="AT156" i="89"/>
  <c r="AU156" i="89"/>
  <c r="AV156" i="89"/>
  <c r="AW156" i="89"/>
  <c r="AS157" i="89"/>
  <c r="AT157" i="89"/>
  <c r="AU157" i="89"/>
  <c r="AV157" i="89"/>
  <c r="AW157" i="89"/>
  <c r="AS158" i="89"/>
  <c r="AT158" i="89"/>
  <c r="AU158" i="89"/>
  <c r="AV158" i="89"/>
  <c r="AW158" i="89"/>
  <c r="AS159" i="89"/>
  <c r="AT159" i="89"/>
  <c r="AU159" i="89"/>
  <c r="AV159" i="89"/>
  <c r="AW159" i="89"/>
  <c r="AS160" i="89"/>
  <c r="AT160" i="89"/>
  <c r="AU160" i="89"/>
  <c r="AV160" i="89"/>
  <c r="AW160" i="89"/>
  <c r="AS161" i="89"/>
  <c r="AT161" i="89"/>
  <c r="AU161" i="89"/>
  <c r="AV161" i="89"/>
  <c r="AW161" i="89"/>
  <c r="AS162" i="89"/>
  <c r="AT162" i="89"/>
  <c r="AU162" i="89"/>
  <c r="AV162" i="89"/>
  <c r="AW162" i="89"/>
  <c r="AS163" i="89"/>
  <c r="AT163" i="89"/>
  <c r="AU163" i="89"/>
  <c r="AV163" i="89"/>
  <c r="AW163" i="89"/>
  <c r="AS164" i="89"/>
  <c r="AT164" i="89"/>
  <c r="AU164" i="89"/>
  <c r="AV164" i="89"/>
  <c r="AW164" i="89"/>
  <c r="AS165" i="89"/>
  <c r="AT165" i="89"/>
  <c r="AU165" i="89"/>
  <c r="AV165" i="89"/>
  <c r="AW165" i="89"/>
  <c r="AS166" i="89"/>
  <c r="AT166" i="89"/>
  <c r="AU166" i="89"/>
  <c r="AV166" i="89"/>
  <c r="AW166" i="89"/>
  <c r="AS167" i="89"/>
  <c r="AT167" i="89"/>
  <c r="AU167" i="89"/>
  <c r="AV167" i="89"/>
  <c r="AW167" i="89"/>
  <c r="AS168" i="89"/>
  <c r="AT168" i="89"/>
  <c r="AU168" i="89"/>
  <c r="AV168" i="89"/>
  <c r="AW168" i="89"/>
  <c r="AS169" i="89"/>
  <c r="AT169" i="89"/>
  <c r="AU169" i="89"/>
  <c r="AV169" i="89"/>
  <c r="AW169" i="89"/>
  <c r="AS170" i="89"/>
  <c r="AT170" i="89"/>
  <c r="AU170" i="89"/>
  <c r="AV170" i="89"/>
  <c r="AW170" i="89"/>
  <c r="AS171" i="89"/>
  <c r="AT171" i="89"/>
  <c r="AU171" i="89"/>
  <c r="AV171" i="89"/>
  <c r="AW171" i="89"/>
  <c r="AS172" i="89"/>
  <c r="AT172" i="89"/>
  <c r="AU172" i="89"/>
  <c r="AV172" i="89"/>
  <c r="AW172" i="89"/>
  <c r="AS173" i="89"/>
  <c r="AT173" i="89"/>
  <c r="AU173" i="89"/>
  <c r="AV173" i="89"/>
  <c r="AW173" i="89"/>
  <c r="AS174" i="89"/>
  <c r="AT174" i="89"/>
  <c r="AU174" i="89"/>
  <c r="AV174" i="89"/>
  <c r="AW174" i="89"/>
  <c r="AS175" i="89"/>
  <c r="AT175" i="89"/>
  <c r="AU175" i="89"/>
  <c r="AV175" i="89"/>
  <c r="AW175" i="89"/>
  <c r="AS176" i="89"/>
  <c r="AT176" i="89"/>
  <c r="AU176" i="89"/>
  <c r="AV176" i="89"/>
  <c r="AW176" i="89"/>
  <c r="AS177" i="89"/>
  <c r="AT177" i="89"/>
  <c r="AU177" i="89"/>
  <c r="AV177" i="89"/>
  <c r="AW177" i="89"/>
  <c r="AS178" i="89"/>
  <c r="AT178" i="89"/>
  <c r="AU178" i="89"/>
  <c r="AV178" i="89"/>
  <c r="AW178" i="89"/>
  <c r="AS179" i="89"/>
  <c r="AT179" i="89"/>
  <c r="AU179" i="89"/>
  <c r="AV179" i="89"/>
  <c r="AW179" i="89"/>
  <c r="AS180" i="89"/>
  <c r="AT180" i="89"/>
  <c r="AU180" i="89"/>
  <c r="AV180" i="89"/>
  <c r="AW180" i="89"/>
  <c r="AS181" i="89"/>
  <c r="AT181" i="89"/>
  <c r="AU181" i="89"/>
  <c r="AV181" i="89"/>
  <c r="AW181" i="89"/>
  <c r="AS182" i="89"/>
  <c r="AT182" i="89"/>
  <c r="AU182" i="89"/>
  <c r="AV182" i="89"/>
  <c r="AW182" i="89"/>
  <c r="AS183" i="89"/>
  <c r="AT183" i="89"/>
  <c r="AU183" i="89"/>
  <c r="AV183" i="89"/>
  <c r="AW183" i="89"/>
  <c r="AS184" i="89"/>
  <c r="AT184" i="89"/>
  <c r="AU184" i="89"/>
  <c r="AV184" i="89"/>
  <c r="AW184" i="89"/>
  <c r="AS185" i="89"/>
  <c r="AT185" i="89"/>
  <c r="AU185" i="89"/>
  <c r="AV185" i="89"/>
  <c r="AW185" i="89"/>
  <c r="AS186" i="89"/>
  <c r="AT186" i="89"/>
  <c r="AU186" i="89"/>
  <c r="AV186" i="89"/>
  <c r="AW186" i="89"/>
  <c r="AS187" i="89"/>
  <c r="AT187" i="89"/>
  <c r="AU187" i="89"/>
  <c r="AV187" i="89"/>
  <c r="AW187" i="89"/>
  <c r="AS188" i="89"/>
  <c r="AT188" i="89"/>
  <c r="AU188" i="89"/>
  <c r="AV188" i="89"/>
  <c r="AW188" i="89"/>
  <c r="AS189" i="89"/>
  <c r="AT189" i="89"/>
  <c r="AU189" i="89"/>
  <c r="AV189" i="89"/>
  <c r="AW189" i="89"/>
  <c r="AS190" i="89"/>
  <c r="AT190" i="89"/>
  <c r="AU190" i="89"/>
  <c r="AV190" i="89"/>
  <c r="AW190" i="89"/>
  <c r="AS191" i="89"/>
  <c r="AT191" i="89"/>
  <c r="AU191" i="89"/>
  <c r="AV191" i="89"/>
  <c r="AW191" i="89"/>
  <c r="AS192" i="89"/>
  <c r="AT192" i="89"/>
  <c r="AU192" i="89"/>
  <c r="AV192" i="89"/>
  <c r="AW192" i="89"/>
  <c r="AS193" i="89"/>
  <c r="AT193" i="89"/>
  <c r="AU193" i="89"/>
  <c r="AV193" i="89"/>
  <c r="AW193" i="89"/>
  <c r="AS194" i="89"/>
  <c r="AT194" i="89"/>
  <c r="AU194" i="89"/>
  <c r="AV194" i="89"/>
  <c r="AW194" i="89"/>
  <c r="AS195" i="89"/>
  <c r="AT195" i="89"/>
  <c r="AU195" i="89"/>
  <c r="AV195" i="89"/>
  <c r="AW195" i="89"/>
  <c r="AS196" i="89"/>
  <c r="AT196" i="89"/>
  <c r="AU196" i="89"/>
  <c r="AV196" i="89"/>
  <c r="AW196" i="89"/>
  <c r="AS197" i="89"/>
  <c r="AT197" i="89"/>
  <c r="AU197" i="89"/>
  <c r="AV197" i="89"/>
  <c r="AW197" i="89"/>
  <c r="AS198" i="89"/>
  <c r="AT198" i="89"/>
  <c r="AU198" i="89"/>
  <c r="AV198" i="89"/>
  <c r="AW198" i="89"/>
  <c r="AS199" i="89"/>
  <c r="AT199" i="89"/>
  <c r="AU199" i="89"/>
  <c r="AV199" i="89"/>
  <c r="AW199" i="89"/>
  <c r="AS200" i="89"/>
  <c r="AT200" i="89"/>
  <c r="AU200" i="89"/>
  <c r="AV200" i="89"/>
  <c r="AW200" i="89"/>
  <c r="AS201" i="89"/>
  <c r="AT201" i="89"/>
  <c r="AU201" i="89"/>
  <c r="AV201" i="89"/>
  <c r="AW201" i="89"/>
  <c r="AS202" i="89"/>
  <c r="AT202" i="89"/>
  <c r="AU202" i="89"/>
  <c r="AV202" i="89"/>
  <c r="AW202" i="89"/>
  <c r="AS203" i="89"/>
  <c r="AT203" i="89"/>
  <c r="AU203" i="89"/>
  <c r="AV203" i="89"/>
  <c r="AW203" i="89"/>
  <c r="AS204" i="89"/>
  <c r="AT204" i="89"/>
  <c r="AU204" i="89"/>
  <c r="AV204" i="89"/>
  <c r="AW204" i="89"/>
  <c r="AS205" i="89"/>
  <c r="AT205" i="89"/>
  <c r="AU205" i="89"/>
  <c r="AV205" i="89"/>
  <c r="AW205" i="89"/>
  <c r="AS206" i="89"/>
  <c r="AT206" i="89"/>
  <c r="AU206" i="89"/>
  <c r="AV206" i="89"/>
  <c r="AW206" i="89"/>
  <c r="AS207" i="89"/>
  <c r="AT207" i="89"/>
  <c r="AU207" i="89"/>
  <c r="AV207" i="89"/>
  <c r="AW207" i="89"/>
  <c r="AS208" i="89"/>
  <c r="AT208" i="89"/>
  <c r="AU208" i="89"/>
  <c r="AV208" i="89"/>
  <c r="AW208" i="89"/>
  <c r="AS209" i="89"/>
  <c r="AT209" i="89"/>
  <c r="AU209" i="89"/>
  <c r="AV209" i="89"/>
  <c r="AW209" i="89"/>
  <c r="AS210" i="89"/>
  <c r="AT210" i="89"/>
  <c r="AU210" i="89"/>
  <c r="AV210" i="89"/>
  <c r="AW210" i="89"/>
  <c r="AS211" i="89"/>
  <c r="AT211" i="89"/>
  <c r="AU211" i="89"/>
  <c r="AV211" i="89"/>
  <c r="AW211" i="89"/>
  <c r="AS212" i="89"/>
  <c r="AT212" i="89"/>
  <c r="AU212" i="89"/>
  <c r="AV212" i="89"/>
  <c r="AW212" i="89"/>
  <c r="AS213" i="89"/>
  <c r="AT213" i="89"/>
  <c r="AU213" i="89"/>
  <c r="AV213" i="89"/>
  <c r="AW213" i="89"/>
  <c r="AS214" i="89"/>
  <c r="AT214" i="89"/>
  <c r="AU214" i="89"/>
  <c r="AV214" i="89"/>
  <c r="AW214" i="89"/>
  <c r="AS215" i="89"/>
  <c r="AT215" i="89"/>
  <c r="AU215" i="89"/>
  <c r="AV215" i="89"/>
  <c r="AW215" i="89"/>
  <c r="AS216" i="89"/>
  <c r="AT216" i="89"/>
  <c r="AU216" i="89"/>
  <c r="AV216" i="89"/>
  <c r="AW216" i="89"/>
  <c r="AS217" i="89"/>
  <c r="AT217" i="89"/>
  <c r="AU217" i="89"/>
  <c r="AV217" i="89"/>
  <c r="AW217" i="89"/>
  <c r="AS218" i="89"/>
  <c r="AT218" i="89"/>
  <c r="AU218" i="89"/>
  <c r="AV218" i="89"/>
  <c r="AW218" i="89"/>
  <c r="AS219" i="89"/>
  <c r="AT219" i="89"/>
  <c r="AU219" i="89"/>
  <c r="AV219" i="89"/>
  <c r="AW219" i="89"/>
  <c r="AS220" i="89"/>
  <c r="AT220" i="89"/>
  <c r="AU220" i="89"/>
  <c r="AV220" i="89"/>
  <c r="AW220" i="89"/>
  <c r="AS221" i="89"/>
  <c r="AT221" i="89"/>
  <c r="AU221" i="89"/>
  <c r="AV221" i="89"/>
  <c r="AW221" i="89"/>
  <c r="AS222" i="89"/>
  <c r="AT222" i="89"/>
  <c r="AU222" i="89"/>
  <c r="AV222" i="89"/>
  <c r="AW222" i="89"/>
  <c r="AS223" i="89"/>
  <c r="AT223" i="89"/>
  <c r="AU223" i="89"/>
  <c r="AV223" i="89"/>
  <c r="AW223" i="89"/>
  <c r="AS224" i="89"/>
  <c r="AT224" i="89"/>
  <c r="AU224" i="89"/>
  <c r="AV224" i="89"/>
  <c r="AW224" i="89"/>
  <c r="AS225" i="89"/>
  <c r="AT225" i="89"/>
  <c r="AU225" i="89"/>
  <c r="AV225" i="89"/>
  <c r="AW225" i="89"/>
  <c r="AS226" i="89"/>
  <c r="AT226" i="89"/>
  <c r="AU226" i="89"/>
  <c r="AV226" i="89"/>
  <c r="AW226" i="89"/>
  <c r="AS227" i="89"/>
  <c r="AT227" i="89"/>
  <c r="AU227" i="89"/>
  <c r="AV227" i="89"/>
  <c r="AW227" i="89"/>
  <c r="AS228" i="89"/>
  <c r="AT228" i="89"/>
  <c r="AU228" i="89"/>
  <c r="AV228" i="89"/>
  <c r="AW228" i="89"/>
  <c r="AS229" i="89"/>
  <c r="AT229" i="89"/>
  <c r="AU229" i="89"/>
  <c r="AV229" i="89"/>
  <c r="AW229" i="89"/>
  <c r="AS230" i="89"/>
  <c r="AT230" i="89"/>
  <c r="AU230" i="89"/>
  <c r="AV230" i="89"/>
  <c r="AW230" i="89"/>
  <c r="AS231" i="89"/>
  <c r="AT231" i="89"/>
  <c r="AU231" i="89"/>
  <c r="AV231" i="89"/>
  <c r="AW231" i="89"/>
  <c r="AS232" i="89"/>
  <c r="AT232" i="89"/>
  <c r="AU232" i="89"/>
  <c r="AV232" i="89"/>
  <c r="AW232" i="89"/>
  <c r="AS233" i="89"/>
  <c r="AT233" i="89"/>
  <c r="AU233" i="89"/>
  <c r="AV233" i="89"/>
  <c r="AW233" i="89"/>
  <c r="AS234" i="89"/>
  <c r="AT234" i="89"/>
  <c r="AU234" i="89"/>
  <c r="AV234" i="89"/>
  <c r="AW234" i="89"/>
  <c r="AS235" i="89"/>
  <c r="AT235" i="89"/>
  <c r="AU235" i="89"/>
  <c r="AV235" i="89"/>
  <c r="AW235" i="89"/>
  <c r="AS236" i="89"/>
  <c r="AT236" i="89"/>
  <c r="AU236" i="89"/>
  <c r="AV236" i="89"/>
  <c r="AW236" i="89"/>
  <c r="AS237" i="89"/>
  <c r="AT237" i="89"/>
  <c r="AU237" i="89"/>
  <c r="AV237" i="89"/>
  <c r="AW237" i="89"/>
  <c r="AS238" i="89"/>
  <c r="AT238" i="89"/>
  <c r="AU238" i="89"/>
  <c r="AV238" i="89"/>
  <c r="AW238" i="89"/>
  <c r="AS239" i="89"/>
  <c r="AT239" i="89"/>
  <c r="AU239" i="89"/>
  <c r="AV239" i="89"/>
  <c r="AW239" i="89"/>
  <c r="AS240" i="89"/>
  <c r="AT240" i="89"/>
  <c r="AU240" i="89"/>
  <c r="AV240" i="89"/>
  <c r="AW240" i="89"/>
  <c r="AS241" i="89"/>
  <c r="AT241" i="89"/>
  <c r="AU241" i="89"/>
  <c r="AV241" i="89"/>
  <c r="AW241" i="89"/>
  <c r="AS242" i="89"/>
  <c r="AT242" i="89"/>
  <c r="AU242" i="89"/>
  <c r="AV242" i="89"/>
  <c r="AW242" i="89"/>
  <c r="AS243" i="89"/>
  <c r="AT243" i="89"/>
  <c r="AU243" i="89"/>
  <c r="AV243" i="89"/>
  <c r="AW243" i="89"/>
  <c r="AS244" i="89"/>
  <c r="AT244" i="89"/>
  <c r="AU244" i="89"/>
  <c r="AV244" i="89"/>
  <c r="AW244" i="89"/>
  <c r="AS245" i="89"/>
  <c r="AT245" i="89"/>
  <c r="AU245" i="89"/>
  <c r="AV245" i="89"/>
  <c r="AW245" i="89"/>
  <c r="AS246" i="89"/>
  <c r="AT246" i="89"/>
  <c r="AU246" i="89"/>
  <c r="AV246" i="89"/>
  <c r="AW246" i="89"/>
  <c r="AS247" i="89"/>
  <c r="AT247" i="89"/>
  <c r="AU247" i="89"/>
  <c r="AV247" i="89"/>
  <c r="AW247" i="89"/>
  <c r="AS248" i="89"/>
  <c r="AT248" i="89"/>
  <c r="AU248" i="89"/>
  <c r="AV248" i="89"/>
  <c r="AW248" i="89"/>
  <c r="AS249" i="89"/>
  <c r="AT249" i="89"/>
  <c r="AU249" i="89"/>
  <c r="AV249" i="89"/>
  <c r="AW249" i="89"/>
  <c r="AS250" i="89"/>
  <c r="AT250" i="89"/>
  <c r="AU250" i="89"/>
  <c r="AV250" i="89"/>
  <c r="AW250" i="89"/>
  <c r="AS251" i="89"/>
  <c r="AT251" i="89"/>
  <c r="AU251" i="89"/>
  <c r="AV251" i="89"/>
  <c r="AW251" i="89"/>
  <c r="AS252" i="89"/>
  <c r="AT252" i="89"/>
  <c r="AU252" i="89"/>
  <c r="AV252" i="89"/>
  <c r="AW252" i="89"/>
  <c r="AS253" i="89"/>
  <c r="AT253" i="89"/>
  <c r="AU253" i="89"/>
  <c r="AV253" i="89"/>
  <c r="AW253" i="89"/>
  <c r="AS254" i="89"/>
  <c r="AT254" i="89"/>
  <c r="AU254" i="89"/>
  <c r="AV254" i="89"/>
  <c r="AW254" i="89"/>
  <c r="AS255" i="89"/>
  <c r="AT255" i="89"/>
  <c r="AU255" i="89"/>
  <c r="AV255" i="89"/>
  <c r="AW255" i="89"/>
  <c r="AS256" i="89"/>
  <c r="AT256" i="89"/>
  <c r="AU256" i="89"/>
  <c r="AV256" i="89"/>
  <c r="AW256" i="89"/>
  <c r="AS257" i="89"/>
  <c r="AT257" i="89"/>
  <c r="AU257" i="89"/>
  <c r="AV257" i="89"/>
  <c r="AW257" i="89"/>
  <c r="AS258" i="89"/>
  <c r="AT258" i="89"/>
  <c r="AU258" i="89"/>
  <c r="AV258" i="89"/>
  <c r="AW258" i="89"/>
  <c r="AS259" i="89"/>
  <c r="AT259" i="89"/>
  <c r="AU259" i="89"/>
  <c r="AV259" i="89"/>
  <c r="AW259" i="89"/>
  <c r="AS260" i="89"/>
  <c r="AT260" i="89"/>
  <c r="AU260" i="89"/>
  <c r="AV260" i="89"/>
  <c r="AW260" i="89"/>
  <c r="AS261" i="89"/>
  <c r="AT261" i="89"/>
  <c r="AU261" i="89"/>
  <c r="AV261" i="89"/>
  <c r="AW261" i="89"/>
  <c r="AS262" i="89"/>
  <c r="AT262" i="89"/>
  <c r="AU262" i="89"/>
  <c r="AV262" i="89"/>
  <c r="AW262" i="89"/>
  <c r="AS263" i="89"/>
  <c r="AT263" i="89"/>
  <c r="AU263" i="89"/>
  <c r="AV263" i="89"/>
  <c r="AW263" i="89"/>
  <c r="AS264" i="89"/>
  <c r="AT264" i="89"/>
  <c r="AU264" i="89"/>
  <c r="AV264" i="89"/>
  <c r="AW264" i="89"/>
  <c r="AS265" i="89"/>
  <c r="AT265" i="89"/>
  <c r="AU265" i="89"/>
  <c r="AV265" i="89"/>
  <c r="AW265" i="89"/>
  <c r="AS266" i="89"/>
  <c r="AT266" i="89"/>
  <c r="AU266" i="89"/>
  <c r="AV266" i="89"/>
  <c r="AW266" i="89"/>
  <c r="AS267" i="89"/>
  <c r="AT267" i="89"/>
  <c r="AU267" i="89"/>
  <c r="AV267" i="89"/>
  <c r="AW267" i="89"/>
  <c r="AS268" i="89"/>
  <c r="AT268" i="89"/>
  <c r="AU268" i="89"/>
  <c r="AV268" i="89"/>
  <c r="AW268" i="89"/>
  <c r="AS269" i="89"/>
  <c r="AT269" i="89"/>
  <c r="AU269" i="89"/>
  <c r="AV269" i="89"/>
  <c r="AW269" i="89"/>
  <c r="AS270" i="89"/>
  <c r="AT270" i="89"/>
  <c r="AU270" i="89"/>
  <c r="AV270" i="89"/>
  <c r="AW270" i="89"/>
  <c r="AS271" i="89"/>
  <c r="AT271" i="89"/>
  <c r="AU271" i="89"/>
  <c r="AV271" i="89"/>
  <c r="AW271" i="89"/>
  <c r="AS272" i="89"/>
  <c r="AT272" i="89"/>
  <c r="AU272" i="89"/>
  <c r="AV272" i="89"/>
  <c r="AW272" i="89"/>
  <c r="AS273" i="89"/>
  <c r="AT273" i="89"/>
  <c r="AU273" i="89"/>
  <c r="AV273" i="89"/>
  <c r="AW273" i="89"/>
  <c r="AS274" i="89"/>
  <c r="AT274" i="89"/>
  <c r="AU274" i="89"/>
  <c r="AV274" i="89"/>
  <c r="AW274" i="89"/>
  <c r="AS275" i="89"/>
  <c r="AT275" i="89"/>
  <c r="AU275" i="89"/>
  <c r="AV275" i="89"/>
  <c r="AW275" i="89"/>
  <c r="AS276" i="89"/>
  <c r="AT276" i="89"/>
  <c r="AU276" i="89"/>
  <c r="AV276" i="89"/>
  <c r="AW276" i="89"/>
  <c r="AS277" i="89"/>
  <c r="AT277" i="89"/>
  <c r="AU277" i="89"/>
  <c r="AV277" i="89"/>
  <c r="AW277" i="89"/>
  <c r="AS278" i="89"/>
  <c r="AT278" i="89"/>
  <c r="AU278" i="89"/>
  <c r="AV278" i="89"/>
  <c r="AW278" i="89"/>
  <c r="AS279" i="89"/>
  <c r="AT279" i="89"/>
  <c r="AU279" i="89"/>
  <c r="AV279" i="89"/>
  <c r="AW279" i="89"/>
  <c r="AS280" i="89"/>
  <c r="AT280" i="89"/>
  <c r="AU280" i="89"/>
  <c r="AV280" i="89"/>
  <c r="AW280" i="89"/>
  <c r="AS281" i="89"/>
  <c r="AT281" i="89"/>
  <c r="AU281" i="89"/>
  <c r="AV281" i="89"/>
  <c r="AW281" i="89"/>
  <c r="AS282" i="89"/>
  <c r="AT282" i="89"/>
  <c r="AU282" i="89"/>
  <c r="AV282" i="89"/>
  <c r="AW282" i="89"/>
  <c r="AS283" i="89"/>
  <c r="AT283" i="89"/>
  <c r="AU283" i="89"/>
  <c r="AV283" i="89"/>
  <c r="AW283" i="89"/>
  <c r="AS284" i="89"/>
  <c r="AT284" i="89"/>
  <c r="AU284" i="89"/>
  <c r="AV284" i="89"/>
  <c r="AW284" i="89"/>
  <c r="AS285" i="89"/>
  <c r="AT285" i="89"/>
  <c r="AU285" i="89"/>
  <c r="AV285" i="89"/>
  <c r="AW285" i="89"/>
  <c r="AS286" i="89"/>
  <c r="AT286" i="89"/>
  <c r="AU286" i="89"/>
  <c r="AV286" i="89"/>
  <c r="AW286" i="89"/>
  <c r="AS287" i="89"/>
  <c r="AT287" i="89"/>
  <c r="AU287" i="89"/>
  <c r="AV287" i="89"/>
  <c r="AW287" i="89"/>
  <c r="AS288" i="89"/>
  <c r="AT288" i="89"/>
  <c r="AU288" i="89"/>
  <c r="AV288" i="89"/>
  <c r="AW288" i="89"/>
  <c r="AS289" i="89"/>
  <c r="AT289" i="89"/>
  <c r="AU289" i="89"/>
  <c r="AV289" i="89"/>
  <c r="AW289" i="89"/>
  <c r="AS290" i="89"/>
  <c r="AT290" i="89"/>
  <c r="AU290" i="89"/>
  <c r="AV290" i="89"/>
  <c r="AW290" i="89"/>
  <c r="AS291" i="89"/>
  <c r="AT291" i="89"/>
  <c r="AU291" i="89"/>
  <c r="AV291" i="89"/>
  <c r="AW291" i="89"/>
  <c r="AS292" i="89"/>
  <c r="AT292" i="89"/>
  <c r="AU292" i="89"/>
  <c r="AV292" i="89"/>
  <c r="AW292" i="89"/>
  <c r="AS293" i="89"/>
  <c r="AT293" i="89"/>
  <c r="AU293" i="89"/>
  <c r="AV293" i="89"/>
  <c r="AW293" i="89"/>
  <c r="AS294" i="89"/>
  <c r="AT294" i="89"/>
  <c r="AU294" i="89"/>
  <c r="AV294" i="89"/>
  <c r="AW294" i="89"/>
  <c r="AS295" i="89"/>
  <c r="AT295" i="89"/>
  <c r="AU295" i="89"/>
  <c r="AV295" i="89"/>
  <c r="AW295" i="89"/>
  <c r="AS296" i="89"/>
  <c r="AT296" i="89"/>
  <c r="AU296" i="89"/>
  <c r="AV296" i="89"/>
  <c r="AW296" i="89"/>
  <c r="AS297" i="89"/>
  <c r="AT297" i="89"/>
  <c r="AU297" i="89"/>
  <c r="AV297" i="89"/>
  <c r="AW297" i="89"/>
  <c r="AS298" i="89"/>
  <c r="AT298" i="89"/>
  <c r="AU298" i="89"/>
  <c r="AV298" i="89"/>
  <c r="AW298" i="89"/>
  <c r="AS299" i="89"/>
  <c r="AT299" i="89"/>
  <c r="AU299" i="89"/>
  <c r="AV299" i="89"/>
  <c r="AW299" i="89"/>
  <c r="AS300" i="89"/>
  <c r="AT300" i="89"/>
  <c r="AU300" i="89"/>
  <c r="AV300" i="89"/>
  <c r="AW300" i="89"/>
  <c r="AS301" i="89"/>
  <c r="AT301" i="89"/>
  <c r="AU301" i="89"/>
  <c r="AV301" i="89"/>
  <c r="AW301" i="89"/>
  <c r="AS302" i="89"/>
  <c r="AT302" i="89"/>
  <c r="AU302" i="89"/>
  <c r="AV302" i="89"/>
  <c r="AW302" i="89"/>
  <c r="AS303" i="89"/>
  <c r="AT303" i="89"/>
  <c r="AU303" i="89"/>
  <c r="AV303" i="89"/>
  <c r="AW303" i="89"/>
  <c r="AS304" i="89"/>
  <c r="AT304" i="89"/>
  <c r="AU304" i="89"/>
  <c r="AV304" i="89"/>
  <c r="AW304" i="89"/>
  <c r="AS305" i="89"/>
  <c r="AT305" i="89"/>
  <c r="AU305" i="89"/>
  <c r="AV305" i="89"/>
  <c r="AW305" i="89"/>
  <c r="AS306" i="89"/>
  <c r="AT306" i="89"/>
  <c r="AU306" i="89"/>
  <c r="AV306" i="89"/>
  <c r="AW306" i="89"/>
  <c r="AS307" i="89"/>
  <c r="AT307" i="89"/>
  <c r="AU307" i="89"/>
  <c r="AV307" i="89"/>
  <c r="AW307" i="89"/>
  <c r="AS308" i="89"/>
  <c r="AT308" i="89"/>
  <c r="AU308" i="89"/>
  <c r="AV308" i="89"/>
  <c r="AW308" i="89"/>
  <c r="AS309" i="89"/>
  <c r="AT309" i="89"/>
  <c r="AU309" i="89"/>
  <c r="AV309" i="89"/>
  <c r="AW309" i="89"/>
  <c r="AS310" i="89"/>
  <c r="AT310" i="89"/>
  <c r="AU310" i="89"/>
  <c r="AV310" i="89"/>
  <c r="AW310" i="89"/>
  <c r="AS311" i="89"/>
  <c r="AT311" i="89"/>
  <c r="AU311" i="89"/>
  <c r="AV311" i="89"/>
  <c r="AW311" i="89"/>
  <c r="AS312" i="89"/>
  <c r="AT312" i="89"/>
  <c r="AU312" i="89"/>
  <c r="AV312" i="89"/>
  <c r="AW312" i="89"/>
  <c r="AS313" i="89"/>
  <c r="AT313" i="89"/>
  <c r="AU313" i="89"/>
  <c r="AV313" i="89"/>
  <c r="AW313" i="89"/>
  <c r="AS314" i="89"/>
  <c r="AT314" i="89"/>
  <c r="AU314" i="89"/>
  <c r="AV314" i="89"/>
  <c r="AW314" i="89"/>
  <c r="AS315" i="89"/>
  <c r="AT315" i="89"/>
  <c r="AU315" i="89"/>
  <c r="AV315" i="89"/>
  <c r="AW315" i="89"/>
  <c r="AS316" i="89"/>
  <c r="AT316" i="89"/>
  <c r="AU316" i="89"/>
  <c r="AV316" i="89"/>
  <c r="AW316" i="89"/>
  <c r="AS317" i="89"/>
  <c r="AT317" i="89"/>
  <c r="AU317" i="89"/>
  <c r="AV317" i="89"/>
  <c r="AW317" i="89"/>
  <c r="AS318" i="89"/>
  <c r="AT318" i="89"/>
  <c r="AU318" i="89"/>
  <c r="AV318" i="89"/>
  <c r="AW318" i="89"/>
  <c r="AS319" i="89"/>
  <c r="AT319" i="89"/>
  <c r="AU319" i="89"/>
  <c r="AV319" i="89"/>
  <c r="AW319" i="89"/>
  <c r="AS320" i="89"/>
  <c r="AT320" i="89"/>
  <c r="AU320" i="89"/>
  <c r="AV320" i="89"/>
  <c r="AW320" i="89"/>
  <c r="AS321" i="89"/>
  <c r="AT321" i="89"/>
  <c r="AU321" i="89"/>
  <c r="AV321" i="89"/>
  <c r="AW321" i="89"/>
  <c r="AS322" i="89"/>
  <c r="AT322" i="89"/>
  <c r="AU322" i="89"/>
  <c r="AV322" i="89"/>
  <c r="AW322" i="89"/>
  <c r="AS323" i="89"/>
  <c r="AT323" i="89"/>
  <c r="AU323" i="89"/>
  <c r="AV323" i="89"/>
  <c r="AW323" i="89"/>
  <c r="AS324" i="89"/>
  <c r="AT324" i="89"/>
  <c r="AU324" i="89"/>
  <c r="AV324" i="89"/>
  <c r="AW324" i="89"/>
  <c r="AS325" i="89"/>
  <c r="AT325" i="89"/>
  <c r="AU325" i="89"/>
  <c r="AV325" i="89"/>
  <c r="AW325" i="89"/>
  <c r="AS326" i="89"/>
  <c r="AT326" i="89"/>
  <c r="AU326" i="89"/>
  <c r="AV326" i="89"/>
  <c r="AW326" i="89"/>
  <c r="AS327" i="89"/>
  <c r="AT327" i="89"/>
  <c r="AU327" i="89"/>
  <c r="AV327" i="89"/>
  <c r="AW327" i="89"/>
  <c r="AS328" i="89"/>
  <c r="AT328" i="89"/>
  <c r="AU328" i="89"/>
  <c r="AV328" i="89"/>
  <c r="AW328" i="89"/>
  <c r="AS329" i="89"/>
  <c r="AT329" i="89"/>
  <c r="AU329" i="89"/>
  <c r="AV329" i="89"/>
  <c r="AW329" i="89"/>
  <c r="AS330" i="89"/>
  <c r="AT330" i="89"/>
  <c r="AU330" i="89"/>
  <c r="AV330" i="89"/>
  <c r="AW330" i="89"/>
  <c r="AS331" i="89"/>
  <c r="AT331" i="89"/>
  <c r="AU331" i="89"/>
  <c r="AV331" i="89"/>
  <c r="AW331" i="89"/>
  <c r="AS332" i="89"/>
  <c r="AT332" i="89"/>
  <c r="AU332" i="89"/>
  <c r="AV332" i="89"/>
  <c r="AW332" i="89"/>
  <c r="AS333" i="89"/>
  <c r="AT333" i="89"/>
  <c r="AU333" i="89"/>
  <c r="AV333" i="89"/>
  <c r="AW333" i="89"/>
  <c r="AS334" i="89"/>
  <c r="AT334" i="89"/>
  <c r="AU334" i="89"/>
  <c r="AV334" i="89"/>
  <c r="AW334" i="89"/>
  <c r="AS335" i="89"/>
  <c r="AT335" i="89"/>
  <c r="AU335" i="89"/>
  <c r="AV335" i="89"/>
  <c r="AW335" i="89"/>
  <c r="AS336" i="89"/>
  <c r="AT336" i="89"/>
  <c r="AU336" i="89"/>
  <c r="AV336" i="89"/>
  <c r="AW336" i="89"/>
  <c r="AS337" i="89"/>
  <c r="AT337" i="89"/>
  <c r="AU337" i="89"/>
  <c r="AV337" i="89"/>
  <c r="AW337" i="89"/>
  <c r="AS338" i="89"/>
  <c r="AT338" i="89"/>
  <c r="AU338" i="89"/>
  <c r="AV338" i="89"/>
  <c r="AW338" i="89"/>
  <c r="AS339" i="89"/>
  <c r="AT339" i="89"/>
  <c r="AU339" i="89"/>
  <c r="AV339" i="89"/>
  <c r="AW339" i="89"/>
  <c r="AS340" i="89"/>
  <c r="AT340" i="89"/>
  <c r="AU340" i="89"/>
  <c r="AV340" i="89"/>
  <c r="AW340" i="89"/>
  <c r="AS341" i="89"/>
  <c r="AT341" i="89"/>
  <c r="AU341" i="89"/>
  <c r="AV341" i="89"/>
  <c r="AW341" i="89"/>
  <c r="AS342" i="89"/>
  <c r="AT342" i="89"/>
  <c r="AU342" i="89"/>
  <c r="AV342" i="89"/>
  <c r="AW342" i="89"/>
  <c r="AS343" i="89"/>
  <c r="AT343" i="89"/>
  <c r="AU343" i="89"/>
  <c r="AV343" i="89"/>
  <c r="AW343" i="89"/>
  <c r="AS344" i="89"/>
  <c r="AT344" i="89"/>
  <c r="AU344" i="89"/>
  <c r="AV344" i="89"/>
  <c r="AW344" i="89"/>
  <c r="AS345" i="89"/>
  <c r="AT345" i="89"/>
  <c r="AU345" i="89"/>
  <c r="AV345" i="89"/>
  <c r="AW345" i="89"/>
  <c r="AS346" i="89"/>
  <c r="AT346" i="89"/>
  <c r="AU346" i="89"/>
  <c r="AV346" i="89"/>
  <c r="AW346" i="89"/>
  <c r="AT49" i="89"/>
  <c r="AU49" i="89"/>
  <c r="AV49" i="89"/>
  <c r="AW49" i="89"/>
  <c r="AS49" i="89"/>
  <c r="C49" i="89" l="1"/>
  <c r="J174" i="87"/>
  <c r="K174" i="87"/>
  <c r="L174" i="87"/>
  <c r="M174" i="87"/>
  <c r="N174" i="87"/>
  <c r="J173" i="87"/>
  <c r="K173" i="87"/>
  <c r="L173" i="87"/>
  <c r="M173" i="87"/>
  <c r="N173" i="87"/>
  <c r="J172" i="87"/>
  <c r="K172" i="87"/>
  <c r="L172" i="87"/>
  <c r="M172" i="87"/>
  <c r="N172" i="87"/>
  <c r="J168" i="87"/>
  <c r="K168" i="87"/>
  <c r="L168" i="87"/>
  <c r="M168" i="87"/>
  <c r="N168" i="87"/>
  <c r="J169" i="87"/>
  <c r="K169" i="87"/>
  <c r="L169" i="87"/>
  <c r="M169" i="87"/>
  <c r="N169" i="87"/>
  <c r="J170" i="87"/>
  <c r="K170" i="87"/>
  <c r="L170" i="87"/>
  <c r="M170" i="87"/>
  <c r="N170" i="87"/>
  <c r="J171" i="87"/>
  <c r="K171" i="87"/>
  <c r="L171" i="87"/>
  <c r="M171" i="87"/>
  <c r="N171" i="87"/>
  <c r="K167" i="87"/>
  <c r="L167" i="87"/>
  <c r="M167" i="87"/>
  <c r="N167" i="87"/>
  <c r="J167" i="87"/>
  <c r="D141" i="87"/>
  <c r="O60" i="64"/>
  <c r="O30" i="64"/>
  <c r="M55" i="65"/>
  <c r="L55" i="65"/>
  <c r="K55" i="65"/>
  <c r="I55" i="65"/>
  <c r="H55" i="65"/>
  <c r="O55" i="65" s="1"/>
  <c r="H30" i="65"/>
  <c r="I30" i="65"/>
  <c r="K30" i="65"/>
  <c r="L30" i="65"/>
  <c r="M30" i="65"/>
  <c r="AK35" i="42"/>
  <c r="AJ35" i="42"/>
  <c r="AI35" i="42"/>
  <c r="AH35" i="42"/>
  <c r="AG35" i="42"/>
  <c r="AF35" i="42"/>
  <c r="AE35" i="42"/>
  <c r="AD35" i="42"/>
  <c r="AC35" i="42"/>
  <c r="AB35" i="42"/>
  <c r="AA35" i="42"/>
  <c r="Z35" i="42"/>
  <c r="Y35" i="42"/>
  <c r="X35" i="42"/>
  <c r="W35" i="42"/>
  <c r="V35" i="42"/>
  <c r="U35" i="42"/>
  <c r="T35" i="42"/>
  <c r="S35" i="42"/>
  <c r="R35" i="42"/>
  <c r="AK34" i="42"/>
  <c r="AJ34" i="42"/>
  <c r="AI34" i="42"/>
  <c r="AH34" i="42"/>
  <c r="AG34" i="42"/>
  <c r="AF34" i="42"/>
  <c r="AE34" i="42"/>
  <c r="AD34" i="42"/>
  <c r="AC34" i="42"/>
  <c r="AB34" i="42"/>
  <c r="AA34" i="42"/>
  <c r="Z34" i="42"/>
  <c r="Y34" i="42"/>
  <c r="X34" i="42"/>
  <c r="W34" i="42"/>
  <c r="V34" i="42"/>
  <c r="U34" i="42"/>
  <c r="T34" i="42"/>
  <c r="S34" i="42"/>
  <c r="R34" i="42"/>
  <c r="AK33" i="42"/>
  <c r="AJ33" i="42"/>
  <c r="AI33" i="42"/>
  <c r="AH33" i="42"/>
  <c r="AG33" i="42"/>
  <c r="AF33" i="42"/>
  <c r="AE33" i="42"/>
  <c r="AD33" i="42"/>
  <c r="AC33" i="42"/>
  <c r="AB33" i="42"/>
  <c r="AA33" i="42"/>
  <c r="Z33" i="42"/>
  <c r="Y33" i="42"/>
  <c r="X33" i="42"/>
  <c r="W33" i="42"/>
  <c r="V33" i="42"/>
  <c r="U33" i="42"/>
  <c r="T33" i="42"/>
  <c r="S33" i="42"/>
  <c r="R33" i="42"/>
  <c r="AK32" i="42"/>
  <c r="AJ32" i="42"/>
  <c r="AI32" i="42"/>
  <c r="AH32" i="42"/>
  <c r="AG32" i="42"/>
  <c r="AF32" i="42"/>
  <c r="AE32" i="42"/>
  <c r="AD32" i="42"/>
  <c r="AC32" i="42"/>
  <c r="AB32" i="42"/>
  <c r="AA32" i="42"/>
  <c r="Z32" i="42"/>
  <c r="Y32" i="42"/>
  <c r="X32" i="42"/>
  <c r="W32" i="42"/>
  <c r="V32" i="42"/>
  <c r="U32" i="42"/>
  <c r="T32" i="42"/>
  <c r="S32" i="42"/>
  <c r="R32" i="42"/>
  <c r="AK31" i="42"/>
  <c r="AJ31" i="42"/>
  <c r="AI31" i="42"/>
  <c r="AH31" i="42"/>
  <c r="AG31" i="42"/>
  <c r="AF31" i="42"/>
  <c r="AE31" i="42"/>
  <c r="AD31" i="42"/>
  <c r="AC31" i="42"/>
  <c r="AB31" i="42"/>
  <c r="AA31" i="42"/>
  <c r="Z31" i="42"/>
  <c r="Y31" i="42"/>
  <c r="X31" i="42"/>
  <c r="W31" i="42"/>
  <c r="V31" i="42"/>
  <c r="U31" i="42"/>
  <c r="T31" i="42"/>
  <c r="S31" i="42"/>
  <c r="R31" i="42"/>
  <c r="AK30" i="42"/>
  <c r="AJ30" i="42"/>
  <c r="AI30" i="42"/>
  <c r="AH30" i="42"/>
  <c r="AG30" i="42"/>
  <c r="AF30" i="42"/>
  <c r="AE30" i="42"/>
  <c r="AD30" i="42"/>
  <c r="AC30" i="42"/>
  <c r="AB30" i="42"/>
  <c r="AA30" i="42"/>
  <c r="Z30" i="42"/>
  <c r="Y30" i="42"/>
  <c r="W30" i="42"/>
  <c r="V30" i="42"/>
  <c r="U30" i="42"/>
  <c r="T30" i="42"/>
  <c r="S30" i="42"/>
  <c r="R30" i="42"/>
  <c r="AK29" i="42"/>
  <c r="AJ29" i="42"/>
  <c r="AJ37" i="42" s="1"/>
  <c r="AI29" i="42"/>
  <c r="AI37" i="42" s="1"/>
  <c r="AH29" i="42"/>
  <c r="AG29" i="42"/>
  <c r="AF29" i="42"/>
  <c r="AE29" i="42"/>
  <c r="AE37" i="42" s="1"/>
  <c r="AD29" i="42"/>
  <c r="AC29" i="42"/>
  <c r="AB29" i="42"/>
  <c r="AB37" i="42" s="1"/>
  <c r="AA29" i="42"/>
  <c r="AA37" i="42" s="1"/>
  <c r="Z29" i="42"/>
  <c r="Y29" i="42"/>
  <c r="X29" i="42"/>
  <c r="W29" i="42"/>
  <c r="V29" i="42"/>
  <c r="U29" i="42"/>
  <c r="T29" i="42"/>
  <c r="T37" i="42" s="1"/>
  <c r="S29" i="42"/>
  <c r="R29" i="42"/>
  <c r="AL142" i="36"/>
  <c r="AK142" i="36"/>
  <c r="AJ142" i="36"/>
  <c r="AI142" i="36"/>
  <c r="AH142" i="36"/>
  <c r="AG142" i="36"/>
  <c r="AF142" i="36"/>
  <c r="AE142" i="36"/>
  <c r="AD142" i="36"/>
  <c r="AC142" i="36"/>
  <c r="AB142" i="36"/>
  <c r="AA142" i="36"/>
  <c r="Z142" i="36"/>
  <c r="Y142" i="36"/>
  <c r="X142" i="36"/>
  <c r="W142" i="36"/>
  <c r="V142" i="36"/>
  <c r="U142" i="36"/>
  <c r="T142" i="36"/>
  <c r="S142" i="36"/>
  <c r="C52" i="36"/>
  <c r="C35" i="36" s="1"/>
  <c r="C71" i="36" s="1"/>
  <c r="C53" i="36"/>
  <c r="C36" i="36" s="1"/>
  <c r="C72" i="36" s="1"/>
  <c r="C91" i="36" s="1"/>
  <c r="C54" i="36"/>
  <c r="C37" i="36" s="1"/>
  <c r="C73" i="36" s="1"/>
  <c r="C55" i="36"/>
  <c r="C38" i="36" s="1"/>
  <c r="C74" i="36" s="1"/>
  <c r="C56" i="36"/>
  <c r="C39" i="36" s="1"/>
  <c r="C75" i="36" s="1"/>
  <c r="C57" i="36"/>
  <c r="C40" i="36" s="1"/>
  <c r="C76" i="36" s="1"/>
  <c r="C95" i="36" s="1"/>
  <c r="C58" i="36"/>
  <c r="C41" i="36" s="1"/>
  <c r="C77" i="36" s="1"/>
  <c r="C59" i="36"/>
  <c r="C42" i="36" s="1"/>
  <c r="C78" i="36" s="1"/>
  <c r="C60" i="36"/>
  <c r="C43" i="36" s="1"/>
  <c r="C79" i="36" s="1"/>
  <c r="C61" i="36"/>
  <c r="C44" i="36" s="1"/>
  <c r="C80" i="36" s="1"/>
  <c r="C99" i="36" s="1"/>
  <c r="C62" i="36"/>
  <c r="C45" i="36" s="1"/>
  <c r="C81" i="36" s="1"/>
  <c r="C63" i="36"/>
  <c r="C46" i="36" s="1"/>
  <c r="C82" i="36" s="1"/>
  <c r="C64" i="36"/>
  <c r="C47" i="36" s="1"/>
  <c r="C83" i="36" s="1"/>
  <c r="T86" i="36"/>
  <c r="U86" i="36"/>
  <c r="V86" i="36"/>
  <c r="W86" i="36"/>
  <c r="X86" i="36"/>
  <c r="Y86" i="36"/>
  <c r="Z86" i="36"/>
  <c r="AA86" i="36"/>
  <c r="AB86" i="36"/>
  <c r="AC86" i="36"/>
  <c r="AD86" i="36"/>
  <c r="AE86" i="36"/>
  <c r="AF86" i="36"/>
  <c r="AG86" i="36"/>
  <c r="AH86" i="36"/>
  <c r="AI86" i="36"/>
  <c r="AJ86" i="36"/>
  <c r="AK86" i="36"/>
  <c r="AL86" i="36"/>
  <c r="S86" i="36"/>
  <c r="I81" i="43"/>
  <c r="I80" i="43"/>
  <c r="I79" i="43"/>
  <c r="I78" i="43"/>
  <c r="I77" i="43"/>
  <c r="I76" i="43"/>
  <c r="I75" i="43"/>
  <c r="I74" i="43"/>
  <c r="I43" i="43"/>
  <c r="I42" i="43"/>
  <c r="I41" i="43"/>
  <c r="I40" i="43"/>
  <c r="I39" i="43"/>
  <c r="I38" i="43"/>
  <c r="I37" i="43"/>
  <c r="I36" i="43"/>
  <c r="I35" i="43"/>
  <c r="AB74" i="43"/>
  <c r="AB75" i="43"/>
  <c r="AB76" i="43"/>
  <c r="AB77" i="43"/>
  <c r="AB78" i="43"/>
  <c r="AE110" i="43"/>
  <c r="AD110" i="43"/>
  <c r="AC110" i="43"/>
  <c r="AA110" i="43"/>
  <c r="Z110" i="43"/>
  <c r="Y110" i="43"/>
  <c r="X110" i="43"/>
  <c r="W110" i="43"/>
  <c r="V110" i="43"/>
  <c r="P110" i="43"/>
  <c r="O110" i="43"/>
  <c r="N110" i="43"/>
  <c r="M110" i="43"/>
  <c r="L110" i="43"/>
  <c r="AE102" i="43"/>
  <c r="AD102" i="43"/>
  <c r="AC102" i="43"/>
  <c r="AA102" i="43"/>
  <c r="Z102" i="43"/>
  <c r="Y102" i="43"/>
  <c r="X102" i="43"/>
  <c r="W102" i="43"/>
  <c r="V102" i="43"/>
  <c r="P102" i="43"/>
  <c r="O102" i="43"/>
  <c r="N102" i="43"/>
  <c r="M102" i="43"/>
  <c r="L102" i="43"/>
  <c r="T66" i="43"/>
  <c r="L12" i="64" s="1"/>
  <c r="S66" i="43"/>
  <c r="K12" i="64" s="1"/>
  <c r="R67" i="43"/>
  <c r="I13" i="64" s="1"/>
  <c r="Q67" i="43"/>
  <c r="H13" i="64" s="1"/>
  <c r="O13" i="64" s="1"/>
  <c r="Q66" i="43"/>
  <c r="H12" i="64" s="1"/>
  <c r="O12" i="64" s="1"/>
  <c r="AE67" i="43"/>
  <c r="AD67" i="43"/>
  <c r="AC67" i="43"/>
  <c r="AB67" i="43"/>
  <c r="AA67" i="43"/>
  <c r="Z67" i="43"/>
  <c r="Y67" i="43"/>
  <c r="X67" i="43"/>
  <c r="W67" i="43"/>
  <c r="V67" i="43"/>
  <c r="P67" i="43"/>
  <c r="O67" i="43"/>
  <c r="N67" i="43"/>
  <c r="M67" i="43"/>
  <c r="L67" i="43"/>
  <c r="AE66" i="43"/>
  <c r="AD66" i="43"/>
  <c r="AC66" i="43"/>
  <c r="AB66" i="43"/>
  <c r="AA66" i="43"/>
  <c r="Z66" i="43"/>
  <c r="Y66" i="43"/>
  <c r="X66" i="43"/>
  <c r="W66" i="43"/>
  <c r="V66" i="43"/>
  <c r="R66" i="43"/>
  <c r="I12" i="64" s="1"/>
  <c r="P66" i="43"/>
  <c r="O66" i="43"/>
  <c r="N66" i="43"/>
  <c r="M66" i="43"/>
  <c r="L66" i="43"/>
  <c r="R56" i="43"/>
  <c r="I12" i="65" s="1"/>
  <c r="AE56" i="43"/>
  <c r="AD56" i="43"/>
  <c r="AC56" i="43"/>
  <c r="AB56" i="43"/>
  <c r="AA56" i="43"/>
  <c r="Z56" i="43"/>
  <c r="Y56" i="43"/>
  <c r="X56" i="43"/>
  <c r="W56" i="43"/>
  <c r="V56" i="43"/>
  <c r="S56" i="43"/>
  <c r="K12" i="65" s="1"/>
  <c r="Q56" i="43"/>
  <c r="H12" i="65" s="1"/>
  <c r="O12" i="65" s="1"/>
  <c r="P56" i="43"/>
  <c r="O56" i="43"/>
  <c r="N56" i="43"/>
  <c r="M56" i="43"/>
  <c r="L56" i="43"/>
  <c r="C35" i="43"/>
  <c r="C36" i="43"/>
  <c r="C37" i="43"/>
  <c r="C38" i="43"/>
  <c r="C39" i="43"/>
  <c r="C40" i="43"/>
  <c r="C41" i="43"/>
  <c r="C42" i="43"/>
  <c r="C43" i="43"/>
  <c r="C34" i="43"/>
  <c r="V37" i="42" l="1"/>
  <c r="AD37" i="42"/>
  <c r="W37" i="42"/>
  <c r="X37" i="42"/>
  <c r="AF37" i="42"/>
  <c r="R37" i="42"/>
  <c r="Z37" i="42"/>
  <c r="AH37" i="42"/>
  <c r="S37" i="42"/>
  <c r="U37" i="42"/>
  <c r="AC37" i="42"/>
  <c r="AK37" i="42"/>
  <c r="Y37" i="42"/>
  <c r="AG37" i="42"/>
  <c r="D142" i="87"/>
  <c r="J30" i="65"/>
  <c r="O30" i="65"/>
  <c r="C118" i="36"/>
  <c r="C137" i="36" s="1"/>
  <c r="C97" i="36"/>
  <c r="C123" i="36"/>
  <c r="C142" i="36" s="1"/>
  <c r="C102" i="36"/>
  <c r="C119" i="36"/>
  <c r="C138" i="36" s="1"/>
  <c r="C98" i="36"/>
  <c r="C115" i="36"/>
  <c r="C134" i="36" s="1"/>
  <c r="C94" i="36"/>
  <c r="C111" i="36"/>
  <c r="C130" i="36" s="1"/>
  <c r="C90" i="36"/>
  <c r="C122" i="36"/>
  <c r="C141" i="36" s="1"/>
  <c r="C101" i="36"/>
  <c r="C93" i="36"/>
  <c r="C114" i="36"/>
  <c r="C133" i="36" s="1"/>
  <c r="C100" i="36"/>
  <c r="C121" i="36"/>
  <c r="C140" i="36" s="1"/>
  <c r="C96" i="36"/>
  <c r="C117" i="36"/>
  <c r="C136" i="36" s="1"/>
  <c r="C92" i="36"/>
  <c r="C113" i="36"/>
  <c r="C132" i="36" s="1"/>
  <c r="C120" i="36"/>
  <c r="C139" i="36" s="1"/>
  <c r="C116" i="36"/>
  <c r="C135" i="36" s="1"/>
  <c r="C112" i="36"/>
  <c r="C131" i="36" s="1"/>
  <c r="T110" i="43"/>
  <c r="L14" i="64" s="1"/>
  <c r="U102" i="43"/>
  <c r="M14" i="65" s="1"/>
  <c r="Q110" i="43"/>
  <c r="H14" i="64" s="1"/>
  <c r="O14" i="64" s="1"/>
  <c r="Q102" i="43"/>
  <c r="H14" i="65" s="1"/>
  <c r="O14" i="65" s="1"/>
  <c r="S110" i="43"/>
  <c r="K14" i="64" s="1"/>
  <c r="R110" i="43"/>
  <c r="I14" i="64" s="1"/>
  <c r="U110" i="43"/>
  <c r="M14" i="64" s="1"/>
  <c r="R102" i="43"/>
  <c r="I14" i="65" s="1"/>
  <c r="S102" i="43"/>
  <c r="K14" i="65" s="1"/>
  <c r="T102" i="43"/>
  <c r="L14" i="65" s="1"/>
  <c r="U56" i="43"/>
  <c r="M12" i="65" s="1"/>
  <c r="U66" i="43"/>
  <c r="M12" i="64" s="1"/>
  <c r="T56" i="43"/>
  <c r="L12" i="65" s="1"/>
  <c r="D143" i="87" l="1"/>
  <c r="D144" i="87" l="1"/>
  <c r="D145" i="87" l="1"/>
  <c r="D146" i="87" l="1"/>
  <c r="D147" i="87" l="1"/>
  <c r="D148" i="87" l="1"/>
  <c r="D149" i="87" l="1"/>
  <c r="D150" i="87" l="1"/>
  <c r="D151" i="87" l="1"/>
  <c r="D152" i="87" l="1"/>
  <c r="D153" i="87" l="1"/>
  <c r="D154" i="87" l="1"/>
  <c r="Y72" i="34" l="1"/>
  <c r="X72" i="34"/>
  <c r="W72" i="34"/>
  <c r="V72" i="34"/>
  <c r="U72" i="34"/>
  <c r="Y73" i="34"/>
  <c r="X73" i="34"/>
  <c r="W73" i="34"/>
  <c r="V73" i="34"/>
  <c r="U73" i="34"/>
  <c r="AQ46" i="88"/>
  <c r="AR46" i="88"/>
  <c r="AS46" i="88"/>
  <c r="AT46" i="88"/>
  <c r="AQ47" i="88"/>
  <c r="AR47" i="88"/>
  <c r="AS47" i="88"/>
  <c r="AT47" i="88"/>
  <c r="AQ48" i="88"/>
  <c r="AR48" i="88"/>
  <c r="AS48" i="88"/>
  <c r="AT48" i="88"/>
  <c r="AQ49" i="88"/>
  <c r="AR49" i="88"/>
  <c r="AS49" i="88"/>
  <c r="AT49" i="88"/>
  <c r="AQ50" i="88"/>
  <c r="AR50" i="88"/>
  <c r="AS50" i="88"/>
  <c r="AT50" i="88"/>
  <c r="AQ51" i="88"/>
  <c r="AR51" i="88"/>
  <c r="AS51" i="88"/>
  <c r="AT51" i="88"/>
  <c r="AQ52" i="88"/>
  <c r="AR52" i="88"/>
  <c r="AS52" i="88"/>
  <c r="AT52" i="88"/>
  <c r="AQ53" i="88"/>
  <c r="AR53" i="88"/>
  <c r="AS53" i="88"/>
  <c r="AT53" i="88"/>
  <c r="AQ54" i="88"/>
  <c r="AR54" i="88"/>
  <c r="AS54" i="88"/>
  <c r="AT54" i="88"/>
  <c r="AQ55" i="88"/>
  <c r="AR55" i="88"/>
  <c r="AS55" i="88"/>
  <c r="AT55" i="88"/>
  <c r="AQ56" i="88"/>
  <c r="AR56" i="88"/>
  <c r="AS56" i="88"/>
  <c r="AT56" i="88"/>
  <c r="AQ57" i="88"/>
  <c r="AR57" i="88"/>
  <c r="AS57" i="88"/>
  <c r="AT57" i="88"/>
  <c r="AQ58" i="88"/>
  <c r="AR58" i="88"/>
  <c r="AS58" i="88"/>
  <c r="AT58" i="88"/>
  <c r="AQ59" i="88"/>
  <c r="AR59" i="88"/>
  <c r="AS59" i="88"/>
  <c r="AT59" i="88"/>
  <c r="AQ60" i="88"/>
  <c r="AR60" i="88"/>
  <c r="AS60" i="88"/>
  <c r="AT60" i="88"/>
  <c r="AQ61" i="88"/>
  <c r="AR61" i="88"/>
  <c r="AS61" i="88"/>
  <c r="AT61" i="88"/>
  <c r="AQ62" i="88"/>
  <c r="AR62" i="88"/>
  <c r="AS62" i="88"/>
  <c r="AT62" i="88"/>
  <c r="AQ63" i="88"/>
  <c r="AR63" i="88"/>
  <c r="AS63" i="88"/>
  <c r="AT63" i="88"/>
  <c r="AQ64" i="88"/>
  <c r="AR64" i="88"/>
  <c r="AS64" i="88"/>
  <c r="AT64" i="88"/>
  <c r="AQ65" i="88"/>
  <c r="AR65" i="88"/>
  <c r="AS65" i="88"/>
  <c r="AT65" i="88"/>
  <c r="AQ66" i="88"/>
  <c r="AR66" i="88"/>
  <c r="AS66" i="88"/>
  <c r="AT66" i="88"/>
  <c r="AQ67" i="88"/>
  <c r="AR67" i="88"/>
  <c r="AS67" i="88"/>
  <c r="AT67" i="88"/>
  <c r="AQ68" i="88"/>
  <c r="AR68" i="88"/>
  <c r="AS68" i="88"/>
  <c r="AT68" i="88"/>
  <c r="AQ69" i="88"/>
  <c r="AR69" i="88"/>
  <c r="AS69" i="88"/>
  <c r="AT69" i="88"/>
  <c r="AQ70" i="88"/>
  <c r="AR70" i="88"/>
  <c r="AS70" i="88"/>
  <c r="AT70" i="88"/>
  <c r="AQ71" i="88"/>
  <c r="AR71" i="88"/>
  <c r="AS71" i="88"/>
  <c r="AT71" i="88"/>
  <c r="AQ72" i="88"/>
  <c r="AR72" i="88"/>
  <c r="AS72" i="88"/>
  <c r="AT72" i="88"/>
  <c r="AQ73" i="88"/>
  <c r="AR73" i="88"/>
  <c r="AS73" i="88"/>
  <c r="AT73" i="88"/>
  <c r="AQ74" i="88"/>
  <c r="AR74" i="88"/>
  <c r="AS74" i="88"/>
  <c r="AT74" i="88"/>
  <c r="AQ75" i="88"/>
  <c r="AR75" i="88"/>
  <c r="AS75" i="88"/>
  <c r="AT75" i="88"/>
  <c r="AQ76" i="88"/>
  <c r="AR76" i="88"/>
  <c r="AS76" i="88"/>
  <c r="AT76" i="88"/>
  <c r="AQ77" i="88"/>
  <c r="AR77" i="88"/>
  <c r="AS77" i="88"/>
  <c r="AT77" i="88"/>
  <c r="AQ78" i="88"/>
  <c r="AR78" i="88"/>
  <c r="AS78" i="88"/>
  <c r="AT78" i="88"/>
  <c r="AQ79" i="88"/>
  <c r="AR79" i="88"/>
  <c r="AS79" i="88"/>
  <c r="AT79" i="88"/>
  <c r="AQ80" i="88"/>
  <c r="AR80" i="88"/>
  <c r="AS80" i="88"/>
  <c r="AT80" i="88"/>
  <c r="AQ81" i="88"/>
  <c r="AR81" i="88"/>
  <c r="AS81" i="88"/>
  <c r="AT81" i="88"/>
  <c r="AQ82" i="88"/>
  <c r="AR82" i="88"/>
  <c r="AS82" i="88"/>
  <c r="AT82" i="88"/>
  <c r="AQ83" i="88"/>
  <c r="AR83" i="88"/>
  <c r="AS83" i="88"/>
  <c r="AT83" i="88"/>
  <c r="AQ84" i="88"/>
  <c r="AR84" i="88"/>
  <c r="AS84" i="88"/>
  <c r="AT84" i="88"/>
  <c r="AQ85" i="88"/>
  <c r="AR85" i="88"/>
  <c r="AS85" i="88"/>
  <c r="AT85" i="88"/>
  <c r="AQ86" i="88"/>
  <c r="AR86" i="88"/>
  <c r="AS86" i="88"/>
  <c r="AT86" i="88"/>
  <c r="AQ87" i="88"/>
  <c r="AR87" i="88"/>
  <c r="AS87" i="88"/>
  <c r="AT87" i="88"/>
  <c r="AQ88" i="88"/>
  <c r="AR88" i="88"/>
  <c r="AS88" i="88"/>
  <c r="AT88" i="88"/>
  <c r="AQ89" i="88"/>
  <c r="AR89" i="88"/>
  <c r="AS89" i="88"/>
  <c r="AT89" i="88"/>
  <c r="AQ90" i="88"/>
  <c r="AR90" i="88"/>
  <c r="AS90" i="88"/>
  <c r="AT90" i="88"/>
  <c r="AQ91" i="88"/>
  <c r="AR91" i="88"/>
  <c r="AS91" i="88"/>
  <c r="AT91" i="88"/>
  <c r="AQ92" i="88"/>
  <c r="AR92" i="88"/>
  <c r="AS92" i="88"/>
  <c r="AT92" i="88"/>
  <c r="AQ93" i="88"/>
  <c r="AR93" i="88"/>
  <c r="AS93" i="88"/>
  <c r="AT93" i="88"/>
  <c r="AQ94" i="88"/>
  <c r="AR94" i="88"/>
  <c r="AS94" i="88"/>
  <c r="AT94" i="88"/>
  <c r="AQ95" i="88"/>
  <c r="AR95" i="88"/>
  <c r="AS95" i="88"/>
  <c r="AT95" i="88"/>
  <c r="AQ96" i="88"/>
  <c r="AR96" i="88"/>
  <c r="AS96" i="88"/>
  <c r="AT96" i="88"/>
  <c r="AQ97" i="88"/>
  <c r="AR97" i="88"/>
  <c r="AS97" i="88"/>
  <c r="AT97" i="88"/>
  <c r="AQ98" i="88"/>
  <c r="AR98" i="88"/>
  <c r="AS98" i="88"/>
  <c r="AT98" i="88"/>
  <c r="AQ99" i="88"/>
  <c r="AR99" i="88"/>
  <c r="AS99" i="88"/>
  <c r="AT99" i="88"/>
  <c r="AQ100" i="88"/>
  <c r="AR100" i="88"/>
  <c r="AS100" i="88"/>
  <c r="AT100" i="88"/>
  <c r="AQ101" i="88"/>
  <c r="AR101" i="88"/>
  <c r="AS101" i="88"/>
  <c r="AT101" i="88"/>
  <c r="AQ102" i="88"/>
  <c r="AR102" i="88"/>
  <c r="AS102" i="88"/>
  <c r="AT102" i="88"/>
  <c r="AQ103" i="88"/>
  <c r="AR103" i="88"/>
  <c r="AS103" i="88"/>
  <c r="AT103" i="88"/>
  <c r="AQ104" i="88"/>
  <c r="AR104" i="88"/>
  <c r="AS104" i="88"/>
  <c r="AT104" i="88"/>
  <c r="AQ105" i="88"/>
  <c r="AR105" i="88"/>
  <c r="AS105" i="88"/>
  <c r="AT105" i="88"/>
  <c r="AQ106" i="88"/>
  <c r="AR106" i="88"/>
  <c r="AS106" i="88"/>
  <c r="AT106" i="88"/>
  <c r="AQ107" i="88"/>
  <c r="AR107" i="88"/>
  <c r="AS107" i="88"/>
  <c r="AT107" i="88"/>
  <c r="AQ108" i="88"/>
  <c r="AR108" i="88"/>
  <c r="AS108" i="88"/>
  <c r="AT108" i="88"/>
  <c r="AQ109" i="88"/>
  <c r="AR109" i="88"/>
  <c r="AS109" i="88"/>
  <c r="AT109" i="88"/>
  <c r="AQ110" i="88"/>
  <c r="AR110" i="88"/>
  <c r="AS110" i="88"/>
  <c r="AT110" i="88"/>
  <c r="AQ111" i="88"/>
  <c r="AR111" i="88"/>
  <c r="AS111" i="88"/>
  <c r="AT111" i="88"/>
  <c r="AQ112" i="88"/>
  <c r="AR112" i="88"/>
  <c r="AS112" i="88"/>
  <c r="AT112" i="88"/>
  <c r="AQ113" i="88"/>
  <c r="AR113" i="88"/>
  <c r="AS113" i="88"/>
  <c r="AT113" i="88"/>
  <c r="AQ114" i="88"/>
  <c r="AR114" i="88"/>
  <c r="AS114" i="88"/>
  <c r="AT114" i="88"/>
  <c r="AQ115" i="88"/>
  <c r="AR115" i="88"/>
  <c r="AS115" i="88"/>
  <c r="AT115" i="88"/>
  <c r="AQ116" i="88"/>
  <c r="AR116" i="88"/>
  <c r="AS116" i="88"/>
  <c r="AT116" i="88"/>
  <c r="AQ117" i="88"/>
  <c r="AR117" i="88"/>
  <c r="AS117" i="88"/>
  <c r="AT117" i="88"/>
  <c r="AQ118" i="88"/>
  <c r="AR118" i="88"/>
  <c r="AS118" i="88"/>
  <c r="AT118" i="88"/>
  <c r="AQ119" i="88"/>
  <c r="AR119" i="88"/>
  <c r="AS119" i="88"/>
  <c r="AT119" i="88"/>
  <c r="AQ120" i="88"/>
  <c r="AR120" i="88"/>
  <c r="AS120" i="88"/>
  <c r="AT120" i="88"/>
  <c r="AQ121" i="88"/>
  <c r="AR121" i="88"/>
  <c r="AS121" i="88"/>
  <c r="AT121" i="88"/>
  <c r="AQ122" i="88"/>
  <c r="AR122" i="88"/>
  <c r="AS122" i="88"/>
  <c r="AT122" i="88"/>
  <c r="AQ123" i="88"/>
  <c r="AR123" i="88"/>
  <c r="AS123" i="88"/>
  <c r="AT123" i="88"/>
  <c r="AQ124" i="88"/>
  <c r="AR124" i="88"/>
  <c r="AS124" i="88"/>
  <c r="AT124" i="88"/>
  <c r="AQ125" i="88"/>
  <c r="AR125" i="88"/>
  <c r="AS125" i="88"/>
  <c r="AT125" i="88"/>
  <c r="AQ126" i="88"/>
  <c r="AR126" i="88"/>
  <c r="AS126" i="88"/>
  <c r="AT126" i="88"/>
  <c r="AQ127" i="88"/>
  <c r="AR127" i="88"/>
  <c r="AS127" i="88"/>
  <c r="AT127" i="88"/>
  <c r="AQ128" i="88"/>
  <c r="AR128" i="88"/>
  <c r="AS128" i="88"/>
  <c r="AT128" i="88"/>
  <c r="AQ129" i="88"/>
  <c r="AR129" i="88"/>
  <c r="AS129" i="88"/>
  <c r="AT129" i="88"/>
  <c r="AQ130" i="88"/>
  <c r="AR130" i="88"/>
  <c r="AS130" i="88"/>
  <c r="AT130" i="88"/>
  <c r="AQ131" i="88"/>
  <c r="AR131" i="88"/>
  <c r="AS131" i="88"/>
  <c r="AT131" i="88"/>
  <c r="AQ132" i="88"/>
  <c r="AR132" i="88"/>
  <c r="AS132" i="88"/>
  <c r="AT132" i="88"/>
  <c r="AQ133" i="88"/>
  <c r="AR133" i="88"/>
  <c r="AS133" i="88"/>
  <c r="AT133" i="88"/>
  <c r="AQ134" i="88"/>
  <c r="AR134" i="88"/>
  <c r="AS134" i="88"/>
  <c r="AT134" i="88"/>
  <c r="AQ135" i="88"/>
  <c r="AR135" i="88"/>
  <c r="AS135" i="88"/>
  <c r="AT135" i="88"/>
  <c r="AQ136" i="88"/>
  <c r="AR136" i="88"/>
  <c r="AS136" i="88"/>
  <c r="AT136" i="88"/>
  <c r="AQ137" i="88"/>
  <c r="AR137" i="88"/>
  <c r="AS137" i="88"/>
  <c r="AT137" i="88"/>
  <c r="AQ138" i="88"/>
  <c r="AR138" i="88"/>
  <c r="AS138" i="88"/>
  <c r="AT138" i="88"/>
  <c r="AQ139" i="88"/>
  <c r="AR139" i="88"/>
  <c r="AS139" i="88"/>
  <c r="AT139" i="88"/>
  <c r="AQ140" i="88"/>
  <c r="AR140" i="88"/>
  <c r="AS140" i="88"/>
  <c r="AT140" i="88"/>
  <c r="AQ141" i="88"/>
  <c r="AR141" i="88"/>
  <c r="AS141" i="88"/>
  <c r="AT141" i="88"/>
  <c r="AQ142" i="88"/>
  <c r="AR142" i="88"/>
  <c r="AS142" i="88"/>
  <c r="AT142" i="88"/>
  <c r="AQ143" i="88"/>
  <c r="AR143" i="88"/>
  <c r="AS143" i="88"/>
  <c r="AT143" i="88"/>
  <c r="AQ144" i="88"/>
  <c r="AR144" i="88"/>
  <c r="AS144" i="88"/>
  <c r="AT144" i="88"/>
  <c r="AQ145" i="88"/>
  <c r="AR145" i="88"/>
  <c r="AS145" i="88"/>
  <c r="AT145" i="88"/>
  <c r="AQ146" i="88"/>
  <c r="AR146" i="88"/>
  <c r="AS146" i="88"/>
  <c r="AT146" i="88"/>
  <c r="AQ147" i="88"/>
  <c r="AR147" i="88"/>
  <c r="AS147" i="88"/>
  <c r="AT147" i="88"/>
  <c r="AQ148" i="88"/>
  <c r="AR148" i="88"/>
  <c r="AS148" i="88"/>
  <c r="AT148" i="88"/>
  <c r="AQ149" i="88"/>
  <c r="AR149" i="88"/>
  <c r="AS149" i="88"/>
  <c r="AT149" i="88"/>
  <c r="AQ150" i="88"/>
  <c r="AR150" i="88"/>
  <c r="AS150" i="88"/>
  <c r="AT150" i="88"/>
  <c r="AQ151" i="88"/>
  <c r="AR151" i="88"/>
  <c r="AS151" i="88"/>
  <c r="AT151" i="88"/>
  <c r="AQ152" i="88"/>
  <c r="AR152" i="88"/>
  <c r="AS152" i="88"/>
  <c r="AT152" i="88"/>
  <c r="AQ153" i="88"/>
  <c r="AR153" i="88"/>
  <c r="AS153" i="88"/>
  <c r="AT153" i="88"/>
  <c r="AQ154" i="88"/>
  <c r="AR154" i="88"/>
  <c r="AS154" i="88"/>
  <c r="AT154" i="88"/>
  <c r="AQ155" i="88"/>
  <c r="AR155" i="88"/>
  <c r="AS155" i="88"/>
  <c r="AT155" i="88"/>
  <c r="AQ156" i="88"/>
  <c r="AR156" i="88"/>
  <c r="AS156" i="88"/>
  <c r="AT156" i="88"/>
  <c r="AQ157" i="88"/>
  <c r="AR157" i="88"/>
  <c r="AS157" i="88"/>
  <c r="AT157" i="88"/>
  <c r="AQ158" i="88"/>
  <c r="AR158" i="88"/>
  <c r="AS158" i="88"/>
  <c r="AT158" i="88"/>
  <c r="AQ159" i="88"/>
  <c r="AR159" i="88"/>
  <c r="AS159" i="88"/>
  <c r="AT159" i="88"/>
  <c r="AQ161" i="88"/>
  <c r="AR161" i="88"/>
  <c r="AS161" i="88"/>
  <c r="AT161" i="88"/>
  <c r="AQ162" i="88"/>
  <c r="AR162" i="88"/>
  <c r="AS162" i="88"/>
  <c r="AT162" i="88"/>
  <c r="AQ163" i="88"/>
  <c r="AR163" i="88"/>
  <c r="AS163" i="88"/>
  <c r="AT163" i="88"/>
  <c r="AQ164" i="88"/>
  <c r="AR164" i="88"/>
  <c r="AS164" i="88"/>
  <c r="AT164" i="88"/>
  <c r="AQ165" i="88"/>
  <c r="AR165" i="88"/>
  <c r="AS165" i="88"/>
  <c r="AT165" i="88"/>
  <c r="AQ166" i="88"/>
  <c r="AR166" i="88"/>
  <c r="AS166" i="88"/>
  <c r="AT166" i="88"/>
  <c r="AQ167" i="88"/>
  <c r="AR167" i="88"/>
  <c r="AS167" i="88"/>
  <c r="AT167" i="88"/>
  <c r="AQ168" i="88"/>
  <c r="AR168" i="88"/>
  <c r="AS168" i="88"/>
  <c r="AT168" i="88"/>
  <c r="AQ169" i="88"/>
  <c r="AR169" i="88"/>
  <c r="AS169" i="88"/>
  <c r="AT169" i="88"/>
  <c r="AQ170" i="88"/>
  <c r="AR170" i="88"/>
  <c r="AS170" i="88"/>
  <c r="AT170" i="88"/>
  <c r="AQ171" i="88"/>
  <c r="AR171" i="88"/>
  <c r="AS171" i="88"/>
  <c r="AT171" i="88"/>
  <c r="AQ172" i="88"/>
  <c r="AR172" i="88"/>
  <c r="AS172" i="88"/>
  <c r="AT172" i="88"/>
  <c r="AQ173" i="88"/>
  <c r="AR173" i="88"/>
  <c r="AS173" i="88"/>
  <c r="AT173" i="88"/>
  <c r="AQ174" i="88"/>
  <c r="AR174" i="88"/>
  <c r="AS174" i="88"/>
  <c r="AT174" i="88"/>
  <c r="AQ175" i="88"/>
  <c r="AR175" i="88"/>
  <c r="AS175" i="88"/>
  <c r="AT175" i="88"/>
  <c r="AQ176" i="88"/>
  <c r="AR176" i="88"/>
  <c r="AS176" i="88"/>
  <c r="AT176" i="88"/>
  <c r="AQ177" i="88"/>
  <c r="AR177" i="88"/>
  <c r="AS177" i="88"/>
  <c r="AT177" i="88"/>
  <c r="AQ178" i="88"/>
  <c r="AR178" i="88"/>
  <c r="AS178" i="88"/>
  <c r="AT178" i="88"/>
  <c r="AQ179" i="88"/>
  <c r="AR179" i="88"/>
  <c r="AS179" i="88"/>
  <c r="AT179" i="88"/>
  <c r="AQ180" i="88"/>
  <c r="AR180" i="88"/>
  <c r="AS180" i="88"/>
  <c r="AT180" i="88"/>
  <c r="AQ181" i="88"/>
  <c r="AR181" i="88"/>
  <c r="AS181" i="88"/>
  <c r="AT181" i="88"/>
  <c r="AQ182" i="88"/>
  <c r="AR182" i="88"/>
  <c r="AS182" i="88"/>
  <c r="AT182" i="88"/>
  <c r="AQ183" i="88"/>
  <c r="AR183" i="88"/>
  <c r="AS183" i="88"/>
  <c r="AT183" i="88"/>
  <c r="AQ184" i="88"/>
  <c r="AR184" i="88"/>
  <c r="AS184" i="88"/>
  <c r="AT184" i="88"/>
  <c r="AQ185" i="88"/>
  <c r="AR185" i="88"/>
  <c r="AS185" i="88"/>
  <c r="AT185" i="88"/>
  <c r="AQ186" i="88"/>
  <c r="AR186" i="88"/>
  <c r="AS186" i="88"/>
  <c r="AT186" i="88"/>
  <c r="AQ187" i="88"/>
  <c r="AR187" i="88"/>
  <c r="AS187" i="88"/>
  <c r="AT187" i="88"/>
  <c r="AQ188" i="88"/>
  <c r="AR188" i="88"/>
  <c r="AS188" i="88"/>
  <c r="AT188" i="88"/>
  <c r="AQ189" i="88"/>
  <c r="AR189" i="88"/>
  <c r="AS189" i="88"/>
  <c r="AT189" i="88"/>
  <c r="AQ190" i="88"/>
  <c r="AR190" i="88"/>
  <c r="AS190" i="88"/>
  <c r="AT190" i="88"/>
  <c r="AQ191" i="88"/>
  <c r="AR191" i="88"/>
  <c r="AS191" i="88"/>
  <c r="AT191" i="88"/>
  <c r="AQ192" i="88"/>
  <c r="AR192" i="88"/>
  <c r="AS192" i="88"/>
  <c r="AT192" i="88"/>
  <c r="AQ193" i="88"/>
  <c r="AR193" i="88"/>
  <c r="AS193" i="88"/>
  <c r="AT193" i="88"/>
  <c r="AQ194" i="88"/>
  <c r="AR194" i="88"/>
  <c r="AS194" i="88"/>
  <c r="AT194" i="88"/>
  <c r="AQ195" i="88"/>
  <c r="AR195" i="88"/>
  <c r="AS195" i="88"/>
  <c r="AT195" i="88"/>
  <c r="AQ196" i="88"/>
  <c r="AR196" i="88"/>
  <c r="AS196" i="88"/>
  <c r="AT196" i="88"/>
  <c r="AQ197" i="88"/>
  <c r="AR197" i="88"/>
  <c r="AS197" i="88"/>
  <c r="AT197" i="88"/>
  <c r="AQ198" i="88"/>
  <c r="AR198" i="88"/>
  <c r="AS198" i="88"/>
  <c r="AT198" i="88"/>
  <c r="AQ199" i="88"/>
  <c r="AR199" i="88"/>
  <c r="AS199" i="88"/>
  <c r="AT199" i="88"/>
  <c r="AQ200" i="88"/>
  <c r="AR200" i="88"/>
  <c r="AS200" i="88"/>
  <c r="AT200" i="88"/>
  <c r="AQ201" i="88"/>
  <c r="AR201" i="88"/>
  <c r="AS201" i="88"/>
  <c r="AT201" i="88"/>
  <c r="AQ202" i="88"/>
  <c r="AR202" i="88"/>
  <c r="AS202" i="88"/>
  <c r="AT202" i="88"/>
  <c r="AQ203" i="88"/>
  <c r="AR203" i="88"/>
  <c r="AS203" i="88"/>
  <c r="AT203" i="88"/>
  <c r="AQ204" i="88"/>
  <c r="AR204" i="88"/>
  <c r="AS204" i="88"/>
  <c r="AT204" i="88"/>
  <c r="AQ205" i="88"/>
  <c r="AR205" i="88"/>
  <c r="AS205" i="88"/>
  <c r="AT205" i="88"/>
  <c r="AQ206" i="88"/>
  <c r="AR206" i="88"/>
  <c r="AS206" i="88"/>
  <c r="AT206" i="88"/>
  <c r="AQ207" i="88"/>
  <c r="AR207" i="88"/>
  <c r="AS207" i="88"/>
  <c r="AT207" i="88"/>
  <c r="AQ208" i="88"/>
  <c r="AR208" i="88"/>
  <c r="AS208" i="88"/>
  <c r="AT208" i="88"/>
  <c r="AQ209" i="88"/>
  <c r="AR209" i="88"/>
  <c r="AS209" i="88"/>
  <c r="AT209" i="88"/>
  <c r="AQ210" i="88"/>
  <c r="AR210" i="88"/>
  <c r="AS210" i="88"/>
  <c r="AT210" i="88"/>
  <c r="AQ211" i="88"/>
  <c r="AR211" i="88"/>
  <c r="AS211" i="88"/>
  <c r="AT211" i="88"/>
  <c r="AQ212" i="88"/>
  <c r="AR212" i="88"/>
  <c r="AS212" i="88"/>
  <c r="AT212" i="88"/>
  <c r="AQ213" i="88"/>
  <c r="AR213" i="88"/>
  <c r="AS213" i="88"/>
  <c r="AT213" i="88"/>
  <c r="AQ214" i="88"/>
  <c r="AR214" i="88"/>
  <c r="AS214" i="88"/>
  <c r="AT214" i="88"/>
  <c r="AQ215" i="88"/>
  <c r="AR215" i="88"/>
  <c r="AS215" i="88"/>
  <c r="AT215" i="88"/>
  <c r="AQ216" i="88"/>
  <c r="AR216" i="88"/>
  <c r="AS216" i="88"/>
  <c r="AT216" i="88"/>
  <c r="AQ217" i="88"/>
  <c r="AR217" i="88"/>
  <c r="AS217" i="88"/>
  <c r="AT217" i="88"/>
  <c r="AQ218" i="88"/>
  <c r="AR218" i="88"/>
  <c r="AS218" i="88"/>
  <c r="AT218" i="88"/>
  <c r="AQ219" i="88"/>
  <c r="AR219" i="88"/>
  <c r="AS219" i="88"/>
  <c r="AT219" i="88"/>
  <c r="AQ220" i="88"/>
  <c r="AR220" i="88"/>
  <c r="AS220" i="88"/>
  <c r="AT220" i="88"/>
  <c r="AQ221" i="88"/>
  <c r="AR221" i="88"/>
  <c r="AS221" i="88"/>
  <c r="AT221" i="88"/>
  <c r="AQ222" i="88"/>
  <c r="AR222" i="88"/>
  <c r="AS222" i="88"/>
  <c r="AT222" i="88"/>
  <c r="AQ223" i="88"/>
  <c r="AR223" i="88"/>
  <c r="AS223" i="88"/>
  <c r="AT223" i="88"/>
  <c r="AQ224" i="88"/>
  <c r="AR224" i="88"/>
  <c r="AS224" i="88"/>
  <c r="AT224" i="88"/>
  <c r="AQ225" i="88"/>
  <c r="AR225" i="88"/>
  <c r="AS225" i="88"/>
  <c r="AT225" i="88"/>
  <c r="AQ226" i="88"/>
  <c r="AR226" i="88"/>
  <c r="AS226" i="88"/>
  <c r="AT226" i="88"/>
  <c r="AQ227" i="88"/>
  <c r="AR227" i="88"/>
  <c r="AS227" i="88"/>
  <c r="AT227" i="88"/>
  <c r="AQ228" i="88"/>
  <c r="AR228" i="88"/>
  <c r="AS228" i="88"/>
  <c r="AT228" i="88"/>
  <c r="AQ229" i="88"/>
  <c r="AR229" i="88"/>
  <c r="AS229" i="88"/>
  <c r="AT229" i="88"/>
  <c r="AQ230" i="88"/>
  <c r="AR230" i="88"/>
  <c r="AS230" i="88"/>
  <c r="AT230" i="88"/>
  <c r="AQ231" i="88"/>
  <c r="AR231" i="88"/>
  <c r="AS231" i="88"/>
  <c r="AT231" i="88"/>
  <c r="AQ232" i="88"/>
  <c r="AR232" i="88"/>
  <c r="AS232" i="88"/>
  <c r="AT232" i="88"/>
  <c r="AQ233" i="88"/>
  <c r="AR233" i="88"/>
  <c r="AS233" i="88"/>
  <c r="AT233" i="88"/>
  <c r="AQ234" i="88"/>
  <c r="AR234" i="88"/>
  <c r="AS234" i="88"/>
  <c r="AT234" i="88"/>
  <c r="AQ235" i="88"/>
  <c r="AR235" i="88"/>
  <c r="AS235" i="88"/>
  <c r="AT235" i="88"/>
  <c r="AQ236" i="88"/>
  <c r="AR236" i="88"/>
  <c r="AS236" i="88"/>
  <c r="AT236" i="88"/>
  <c r="AQ237" i="88"/>
  <c r="AR237" i="88"/>
  <c r="AS237" i="88"/>
  <c r="AT237" i="88"/>
  <c r="AQ238" i="88"/>
  <c r="AR238" i="88"/>
  <c r="AS238" i="88"/>
  <c r="AT238" i="88"/>
  <c r="AQ239" i="88"/>
  <c r="AR239" i="88"/>
  <c r="AS239" i="88"/>
  <c r="AT239" i="88"/>
  <c r="AQ240" i="88"/>
  <c r="AR240" i="88"/>
  <c r="AS240" i="88"/>
  <c r="AT240" i="88"/>
  <c r="AQ241" i="88"/>
  <c r="AR241" i="88"/>
  <c r="AS241" i="88"/>
  <c r="AT241" i="88"/>
  <c r="AQ242" i="88"/>
  <c r="AR242" i="88"/>
  <c r="AS242" i="88"/>
  <c r="AT242" i="88"/>
  <c r="AQ243" i="88"/>
  <c r="AR243" i="88"/>
  <c r="AS243" i="88"/>
  <c r="AT243" i="88"/>
  <c r="AQ244" i="88"/>
  <c r="AR244" i="88"/>
  <c r="AS244" i="88"/>
  <c r="AT244" i="88"/>
  <c r="AQ245" i="88"/>
  <c r="AR245" i="88"/>
  <c r="AS245" i="88"/>
  <c r="AT245" i="88"/>
  <c r="AQ246" i="88"/>
  <c r="AR246" i="88"/>
  <c r="AS246" i="88"/>
  <c r="AT246" i="88"/>
  <c r="AQ247" i="88"/>
  <c r="AR247" i="88"/>
  <c r="AS247" i="88"/>
  <c r="AT247" i="88"/>
  <c r="AQ248" i="88"/>
  <c r="AR248" i="88"/>
  <c r="AS248" i="88"/>
  <c r="AT248" i="88"/>
  <c r="AQ249" i="88"/>
  <c r="AR249" i="88"/>
  <c r="AS249" i="88"/>
  <c r="AT249" i="88"/>
  <c r="AQ250" i="88"/>
  <c r="AR250" i="88"/>
  <c r="AS250" i="88"/>
  <c r="AT250" i="88"/>
  <c r="AQ251" i="88"/>
  <c r="AR251" i="88"/>
  <c r="AS251" i="88"/>
  <c r="AT251" i="88"/>
  <c r="AQ252" i="88"/>
  <c r="AR252" i="88"/>
  <c r="AS252" i="88"/>
  <c r="AT252" i="88"/>
  <c r="AQ253" i="88"/>
  <c r="AR253" i="88"/>
  <c r="AS253" i="88"/>
  <c r="AT253" i="88"/>
  <c r="AQ254" i="88"/>
  <c r="AR254" i="88"/>
  <c r="AS254" i="88"/>
  <c r="AT254" i="88"/>
  <c r="AQ255" i="88"/>
  <c r="AR255" i="88"/>
  <c r="AS255" i="88"/>
  <c r="AT255" i="88"/>
  <c r="AQ256" i="88"/>
  <c r="AR256" i="88"/>
  <c r="AS256" i="88"/>
  <c r="AT256" i="88"/>
  <c r="AQ257" i="88"/>
  <c r="AR257" i="88"/>
  <c r="AS257" i="88"/>
  <c r="AT257" i="88"/>
  <c r="AQ258" i="88"/>
  <c r="AR258" i="88"/>
  <c r="AS258" i="88"/>
  <c r="AT258" i="88"/>
  <c r="AQ259" i="88"/>
  <c r="AR259" i="88"/>
  <c r="AS259" i="88"/>
  <c r="AT259" i="88"/>
  <c r="AQ260" i="88"/>
  <c r="AR260" i="88"/>
  <c r="AS260" i="88"/>
  <c r="AT260" i="88"/>
  <c r="AQ261" i="88"/>
  <c r="AR261" i="88"/>
  <c r="AS261" i="88"/>
  <c r="AT261" i="88"/>
  <c r="AQ262" i="88"/>
  <c r="AR262" i="88"/>
  <c r="AS262" i="88"/>
  <c r="AT262" i="88"/>
  <c r="AQ263" i="88"/>
  <c r="AR263" i="88"/>
  <c r="AS263" i="88"/>
  <c r="AT263" i="88"/>
  <c r="AQ264" i="88"/>
  <c r="AR264" i="88"/>
  <c r="AS264" i="88"/>
  <c r="AT264" i="88"/>
  <c r="AQ265" i="88"/>
  <c r="AR265" i="88"/>
  <c r="AS265" i="88"/>
  <c r="AT265" i="88"/>
  <c r="AQ266" i="88"/>
  <c r="AR266" i="88"/>
  <c r="AS266" i="88"/>
  <c r="AT266" i="88"/>
  <c r="AQ267" i="88"/>
  <c r="AR267" i="88"/>
  <c r="AS267" i="88"/>
  <c r="AT267" i="88"/>
  <c r="AQ268" i="88"/>
  <c r="AR268" i="88"/>
  <c r="AS268" i="88"/>
  <c r="AT268" i="88"/>
  <c r="AQ269" i="88"/>
  <c r="AR269" i="88"/>
  <c r="AS269" i="88"/>
  <c r="AT269" i="88"/>
  <c r="AQ270" i="88"/>
  <c r="AR270" i="88"/>
  <c r="AS270" i="88"/>
  <c r="AT270" i="88"/>
  <c r="AQ271" i="88"/>
  <c r="AR271" i="88"/>
  <c r="AS271" i="88"/>
  <c r="AT271" i="88"/>
  <c r="AQ272" i="88"/>
  <c r="AR272" i="88"/>
  <c r="AS272" i="88"/>
  <c r="AT272" i="88"/>
  <c r="AQ273" i="88"/>
  <c r="AR273" i="88"/>
  <c r="AS273" i="88"/>
  <c r="AT273" i="88"/>
  <c r="AQ274" i="88"/>
  <c r="AR274" i="88"/>
  <c r="AS274" i="88"/>
  <c r="AT274" i="88"/>
  <c r="AQ275" i="88"/>
  <c r="AR275" i="88"/>
  <c r="AS275" i="88"/>
  <c r="AT275" i="88"/>
  <c r="AQ276" i="88"/>
  <c r="AR276" i="88"/>
  <c r="AS276" i="88"/>
  <c r="AT276" i="88"/>
  <c r="AQ277" i="88"/>
  <c r="AR277" i="88"/>
  <c r="AS277" i="88"/>
  <c r="AT277" i="88"/>
  <c r="AQ278" i="88"/>
  <c r="AR278" i="88"/>
  <c r="AS278" i="88"/>
  <c r="AT278" i="88"/>
  <c r="AQ279" i="88"/>
  <c r="AR279" i="88"/>
  <c r="AS279" i="88"/>
  <c r="AT279" i="88"/>
  <c r="AQ280" i="88"/>
  <c r="AR280" i="88"/>
  <c r="AS280" i="88"/>
  <c r="AT280" i="88"/>
  <c r="AQ281" i="88"/>
  <c r="AR281" i="88"/>
  <c r="AS281" i="88"/>
  <c r="AT281" i="88"/>
  <c r="AQ282" i="88"/>
  <c r="AR282" i="88"/>
  <c r="AS282" i="88"/>
  <c r="AT282" i="88"/>
  <c r="AQ283" i="88"/>
  <c r="AR283" i="88"/>
  <c r="AS283" i="88"/>
  <c r="AT283" i="88"/>
  <c r="AQ284" i="88"/>
  <c r="AR284" i="88"/>
  <c r="AS284" i="88"/>
  <c r="AT284" i="88"/>
  <c r="AQ285" i="88"/>
  <c r="AR285" i="88"/>
  <c r="AS285" i="88"/>
  <c r="AT285" i="88"/>
  <c r="AQ286" i="88"/>
  <c r="AR286" i="88"/>
  <c r="AS286" i="88"/>
  <c r="AT286" i="88"/>
  <c r="AQ287" i="88"/>
  <c r="AR287" i="88"/>
  <c r="AS287" i="88"/>
  <c r="AT287" i="88"/>
  <c r="AQ288" i="88"/>
  <c r="AR288" i="88"/>
  <c r="AS288" i="88"/>
  <c r="AT288" i="88"/>
  <c r="AQ289" i="88"/>
  <c r="AR289" i="88"/>
  <c r="AS289" i="88"/>
  <c r="AT289" i="88"/>
  <c r="AQ290" i="88"/>
  <c r="AR290" i="88"/>
  <c r="AS290" i="88"/>
  <c r="AT290" i="88"/>
  <c r="AQ291" i="88"/>
  <c r="AR291" i="88"/>
  <c r="AS291" i="88"/>
  <c r="AT291" i="88"/>
  <c r="AQ292" i="88"/>
  <c r="AR292" i="88"/>
  <c r="AS292" i="88"/>
  <c r="AT292" i="88"/>
  <c r="AQ293" i="88"/>
  <c r="AR293" i="88"/>
  <c r="AS293" i="88"/>
  <c r="AT293" i="88"/>
  <c r="AQ294" i="88"/>
  <c r="AR294" i="88"/>
  <c r="AS294" i="88"/>
  <c r="AT294" i="88"/>
  <c r="AQ295" i="88"/>
  <c r="AR295" i="88"/>
  <c r="AS295" i="88"/>
  <c r="AT295" i="88"/>
  <c r="AQ296" i="88"/>
  <c r="AR296" i="88"/>
  <c r="AS296" i="88"/>
  <c r="AT296" i="88"/>
  <c r="AQ297" i="88"/>
  <c r="AR297" i="88"/>
  <c r="AS297" i="88"/>
  <c r="AT297" i="88"/>
  <c r="AQ298" i="88"/>
  <c r="AR298" i="88"/>
  <c r="AS298" i="88"/>
  <c r="AT298" i="88"/>
  <c r="AQ299" i="88"/>
  <c r="AR299" i="88"/>
  <c r="AS299" i="88"/>
  <c r="AT299" i="88"/>
  <c r="AQ300" i="88"/>
  <c r="AR300" i="88"/>
  <c r="AS300" i="88"/>
  <c r="AT300" i="88"/>
  <c r="AQ301" i="88"/>
  <c r="AR301" i="88"/>
  <c r="AS301" i="88"/>
  <c r="AT301" i="88"/>
  <c r="AQ302" i="88"/>
  <c r="AR302" i="88"/>
  <c r="AS302" i="88"/>
  <c r="AT302" i="88"/>
  <c r="AQ303" i="88"/>
  <c r="AR303" i="88"/>
  <c r="AS303" i="88"/>
  <c r="AT303" i="88"/>
  <c r="AQ304" i="88"/>
  <c r="AR304" i="88"/>
  <c r="AS304" i="88"/>
  <c r="AT304" i="88"/>
  <c r="AQ305" i="88"/>
  <c r="AR305" i="88"/>
  <c r="AS305" i="88"/>
  <c r="AT305" i="88"/>
  <c r="AQ306" i="88"/>
  <c r="AR306" i="88"/>
  <c r="AS306" i="88"/>
  <c r="AT306" i="88"/>
  <c r="AQ307" i="88"/>
  <c r="AR307" i="88"/>
  <c r="AS307" i="88"/>
  <c r="AT307" i="88"/>
  <c r="AQ308" i="88"/>
  <c r="AR308" i="88"/>
  <c r="AS308" i="88"/>
  <c r="AT308" i="88"/>
  <c r="AQ309" i="88"/>
  <c r="AR309" i="88"/>
  <c r="AS309" i="88"/>
  <c r="AT309" i="88"/>
  <c r="AQ310" i="88"/>
  <c r="AR310" i="88"/>
  <c r="AS310" i="88"/>
  <c r="AT310" i="88"/>
  <c r="AQ311" i="88"/>
  <c r="AR311" i="88"/>
  <c r="AS311" i="88"/>
  <c r="AT311" i="88"/>
  <c r="AQ312" i="88"/>
  <c r="AR312" i="88"/>
  <c r="AS312" i="88"/>
  <c r="AT312" i="88"/>
  <c r="AQ313" i="88"/>
  <c r="AR313" i="88"/>
  <c r="AS313" i="88"/>
  <c r="AT313" i="88"/>
  <c r="AQ314" i="88"/>
  <c r="AR314" i="88"/>
  <c r="AS314" i="88"/>
  <c r="AT314" i="88"/>
  <c r="AQ315" i="88"/>
  <c r="AR315" i="88"/>
  <c r="AS315" i="88"/>
  <c r="AT315" i="88"/>
  <c r="AQ316" i="88"/>
  <c r="AR316" i="88"/>
  <c r="AS316" i="88"/>
  <c r="AT316" i="88"/>
  <c r="AQ317" i="88"/>
  <c r="AR317" i="88"/>
  <c r="AS317" i="88"/>
  <c r="AT317" i="88"/>
  <c r="AQ318" i="88"/>
  <c r="AR318" i="88"/>
  <c r="AS318" i="88"/>
  <c r="AT318" i="88"/>
  <c r="AQ319" i="88"/>
  <c r="AR319" i="88"/>
  <c r="AS319" i="88"/>
  <c r="AT319" i="88"/>
  <c r="AQ320" i="88"/>
  <c r="AR320" i="88"/>
  <c r="AS320" i="88"/>
  <c r="AT320" i="88"/>
  <c r="AQ321" i="88"/>
  <c r="AR321" i="88"/>
  <c r="AS321" i="88"/>
  <c r="AT321" i="88"/>
  <c r="AQ322" i="88"/>
  <c r="AR322" i="88"/>
  <c r="AS322" i="88"/>
  <c r="AT322" i="88"/>
  <c r="AQ323" i="88"/>
  <c r="AR323" i="88"/>
  <c r="AS323" i="88"/>
  <c r="AT323" i="88"/>
  <c r="AQ324" i="88"/>
  <c r="AR324" i="88"/>
  <c r="AS324" i="88"/>
  <c r="AT324" i="88"/>
  <c r="AQ325" i="88"/>
  <c r="AR325" i="88"/>
  <c r="AS325" i="88"/>
  <c r="AT325" i="88"/>
  <c r="AQ326" i="88"/>
  <c r="AR326" i="88"/>
  <c r="AS326" i="88"/>
  <c r="AT326" i="88"/>
  <c r="AQ327" i="88"/>
  <c r="AR327" i="88"/>
  <c r="AS327" i="88"/>
  <c r="AT327" i="88"/>
  <c r="AQ328" i="88"/>
  <c r="AR328" i="88"/>
  <c r="AS328" i="88"/>
  <c r="AT328" i="88"/>
  <c r="AQ329" i="88"/>
  <c r="AR329" i="88"/>
  <c r="AS329" i="88"/>
  <c r="AT329" i="88"/>
  <c r="AQ330" i="88"/>
  <c r="AR330" i="88"/>
  <c r="AS330" i="88"/>
  <c r="AT330" i="88"/>
  <c r="AQ331" i="88"/>
  <c r="AR331" i="88"/>
  <c r="AS331" i="88"/>
  <c r="AT331" i="88"/>
  <c r="AQ332" i="88"/>
  <c r="AR332" i="88"/>
  <c r="AS332" i="88"/>
  <c r="AT332" i="88"/>
  <c r="AQ333" i="88"/>
  <c r="AR333" i="88"/>
  <c r="AS333" i="88"/>
  <c r="AT333" i="88"/>
  <c r="AQ334" i="88"/>
  <c r="AR334" i="88"/>
  <c r="AS334" i="88"/>
  <c r="AT334" i="88"/>
  <c r="AQ335" i="88"/>
  <c r="AR335" i="88"/>
  <c r="AS335" i="88"/>
  <c r="AT335" i="88"/>
  <c r="AQ336" i="88"/>
  <c r="AR336" i="88"/>
  <c r="AS336" i="88"/>
  <c r="AT336" i="88"/>
  <c r="AQ337" i="88"/>
  <c r="AR337" i="88"/>
  <c r="AS337" i="88"/>
  <c r="AT337" i="88"/>
  <c r="AQ338" i="88"/>
  <c r="AR338" i="88"/>
  <c r="AS338" i="88"/>
  <c r="AT338" i="88"/>
  <c r="AQ339" i="88"/>
  <c r="AR339" i="88"/>
  <c r="AS339" i="88"/>
  <c r="AT339" i="88"/>
  <c r="AQ340" i="88"/>
  <c r="AR340" i="88"/>
  <c r="AS340" i="88"/>
  <c r="AT340" i="88"/>
  <c r="AQ341" i="88"/>
  <c r="AR341" i="88"/>
  <c r="AS341" i="88"/>
  <c r="AT341" i="88"/>
  <c r="AQ342" i="88"/>
  <c r="AR342" i="88"/>
  <c r="AS342" i="88"/>
  <c r="AT342" i="88"/>
  <c r="AT45" i="88"/>
  <c r="AS45" i="88"/>
  <c r="AR45" i="88"/>
  <c r="AQ45" i="88"/>
  <c r="V78" i="91"/>
  <c r="W78" i="91"/>
  <c r="X78" i="91"/>
  <c r="Y78" i="91"/>
  <c r="V79" i="91"/>
  <c r="W79" i="91"/>
  <c r="X79" i="91"/>
  <c r="Y79" i="91"/>
  <c r="U79" i="91"/>
  <c r="U78" i="91"/>
  <c r="W74" i="91"/>
  <c r="U74" i="91"/>
  <c r="BF688" i="88"/>
  <c r="BF650" i="88"/>
  <c r="BG650" i="88"/>
  <c r="K196" i="87" s="1"/>
  <c r="BH650" i="88"/>
  <c r="L196" i="87" s="1"/>
  <c r="BI650" i="88"/>
  <c r="M196" i="87" s="1"/>
  <c r="BJ650" i="88"/>
  <c r="N196" i="87" s="1"/>
  <c r="W80" i="91" l="1"/>
  <c r="BF994" i="88"/>
  <c r="V80" i="91"/>
  <c r="BI1311" i="88"/>
  <c r="BH1311" i="88"/>
  <c r="BF1311" i="88"/>
  <c r="BG1311" i="88"/>
  <c r="J196" i="87"/>
  <c r="J178" i="87"/>
  <c r="J176" i="87" s="1"/>
  <c r="X80" i="91"/>
  <c r="U80" i="91"/>
  <c r="Y80" i="91"/>
  <c r="X74" i="91"/>
  <c r="Y74" i="91"/>
  <c r="V74" i="91"/>
  <c r="V78" i="34" l="1"/>
  <c r="W78" i="34"/>
  <c r="X78" i="34"/>
  <c r="Y78" i="34"/>
  <c r="V79" i="34"/>
  <c r="W79" i="34"/>
  <c r="X79" i="34"/>
  <c r="Y79" i="34"/>
  <c r="U78" i="34"/>
  <c r="U79" i="34"/>
  <c r="U80" i="34" s="1"/>
  <c r="X80" i="34" l="1"/>
  <c r="W80" i="34"/>
  <c r="V80" i="34"/>
  <c r="Y80" i="34"/>
  <c r="J38" i="66" l="1"/>
  <c r="J37" i="66"/>
  <c r="W74" i="34" l="1"/>
  <c r="X74" i="34"/>
  <c r="BK692" i="89"/>
  <c r="BJ692" i="89"/>
  <c r="BI692" i="89"/>
  <c r="BH692" i="89"/>
  <c r="BL692" i="89"/>
  <c r="BK1327" i="89"/>
  <c r="BJ1327" i="89"/>
  <c r="BI1327" i="89"/>
  <c r="BH1327" i="89"/>
  <c r="BL1327" i="89"/>
  <c r="BJ1323" i="88"/>
  <c r="BI1323" i="88"/>
  <c r="BH1323" i="88"/>
  <c r="BG1323" i="88"/>
  <c r="BF1323" i="88"/>
  <c r="BJ1006" i="88"/>
  <c r="BI1006" i="88"/>
  <c r="BG1006" i="88"/>
  <c r="BF1006" i="88"/>
  <c r="BH1006" i="88"/>
  <c r="BL1010" i="89"/>
  <c r="BK1010" i="89"/>
  <c r="BJ1010" i="89"/>
  <c r="BI1010" i="89"/>
  <c r="BH1010" i="89"/>
  <c r="BA690" i="89"/>
  <c r="AY690" i="89"/>
  <c r="BA689" i="89"/>
  <c r="AY689" i="89"/>
  <c r="BA688" i="89"/>
  <c r="AY688" i="89"/>
  <c r="BA687" i="89"/>
  <c r="AY687" i="89"/>
  <c r="BA686" i="89"/>
  <c r="AY686" i="89"/>
  <c r="BA685" i="89"/>
  <c r="AY685" i="89"/>
  <c r="BA684" i="89"/>
  <c r="AY684" i="89"/>
  <c r="BA683" i="89"/>
  <c r="AY683" i="89"/>
  <c r="BA682" i="89"/>
  <c r="AY682" i="89"/>
  <c r="BA681" i="89"/>
  <c r="AY681" i="89"/>
  <c r="BA680" i="89"/>
  <c r="AY680" i="89"/>
  <c r="BA679" i="89"/>
  <c r="AY679" i="89"/>
  <c r="BA678" i="89"/>
  <c r="AY678" i="89"/>
  <c r="BA677" i="89"/>
  <c r="AY677" i="89"/>
  <c r="BA676" i="89"/>
  <c r="AY676" i="89"/>
  <c r="BA675" i="89"/>
  <c r="AY675" i="89"/>
  <c r="BA674" i="89"/>
  <c r="AY674" i="89"/>
  <c r="BA673" i="89"/>
  <c r="AY673" i="89"/>
  <c r="BA672" i="89"/>
  <c r="AY672" i="89"/>
  <c r="BA671" i="89"/>
  <c r="AY671" i="89"/>
  <c r="BA670" i="89"/>
  <c r="AY670" i="89"/>
  <c r="BA669" i="89"/>
  <c r="AY669" i="89"/>
  <c r="BA668" i="89"/>
  <c r="AY668" i="89"/>
  <c r="BA667" i="89"/>
  <c r="AY667" i="89"/>
  <c r="BA666" i="89"/>
  <c r="AY666" i="89"/>
  <c r="BA665" i="89"/>
  <c r="AY665" i="89"/>
  <c r="BA664" i="89"/>
  <c r="AY664" i="89"/>
  <c r="BA663" i="89"/>
  <c r="AY663" i="89"/>
  <c r="AW660" i="88"/>
  <c r="AY660" i="88"/>
  <c r="AW661" i="88"/>
  <c r="AY661" i="88"/>
  <c r="AW662" i="88"/>
  <c r="AY662" i="88"/>
  <c r="AW663" i="88"/>
  <c r="AY663" i="88"/>
  <c r="AW664" i="88"/>
  <c r="AY664" i="88"/>
  <c r="AW665" i="88"/>
  <c r="AY665" i="88"/>
  <c r="AW666" i="88"/>
  <c r="AY666" i="88"/>
  <c r="AW667" i="88"/>
  <c r="AY667" i="88"/>
  <c r="AW668" i="88"/>
  <c r="AY668" i="88"/>
  <c r="AW669" i="88"/>
  <c r="AY669" i="88"/>
  <c r="AW670" i="88"/>
  <c r="AY670" i="88"/>
  <c r="AW671" i="88"/>
  <c r="AY671" i="88"/>
  <c r="AW672" i="88"/>
  <c r="AY672" i="88"/>
  <c r="AW673" i="88"/>
  <c r="AY673" i="88"/>
  <c r="AW674" i="88"/>
  <c r="AY674" i="88"/>
  <c r="AW675" i="88"/>
  <c r="AY675" i="88"/>
  <c r="AW676" i="88"/>
  <c r="AY676" i="88"/>
  <c r="AW677" i="88"/>
  <c r="AY677" i="88"/>
  <c r="AW678" i="88"/>
  <c r="AY678" i="88"/>
  <c r="AW679" i="88"/>
  <c r="AY679" i="88"/>
  <c r="AW680" i="88"/>
  <c r="AY680" i="88"/>
  <c r="AW681" i="88"/>
  <c r="AY681" i="88"/>
  <c r="AW682" i="88"/>
  <c r="AY682" i="88"/>
  <c r="AW683" i="88"/>
  <c r="AY683" i="88"/>
  <c r="AW684" i="88"/>
  <c r="AY684" i="88"/>
  <c r="AW685" i="88"/>
  <c r="AY685" i="88"/>
  <c r="AW686" i="88"/>
  <c r="AY686" i="88"/>
  <c r="AY659" i="88"/>
  <c r="AW659" i="88"/>
  <c r="BG688" i="88"/>
  <c r="BH688" i="88"/>
  <c r="BI688" i="88"/>
  <c r="BJ688" i="88"/>
  <c r="BG689" i="88"/>
  <c r="BH689" i="88"/>
  <c r="BI689" i="88"/>
  <c r="BJ689" i="88"/>
  <c r="BF689" i="88"/>
  <c r="BG690" i="88" l="1"/>
  <c r="BJ690" i="88"/>
  <c r="BI690" i="88"/>
  <c r="BH690" i="88"/>
  <c r="Y74" i="34"/>
  <c r="U74" i="34"/>
  <c r="V74" i="34"/>
  <c r="BJ1324" i="88"/>
  <c r="BJ1325" i="88" s="1"/>
  <c r="BG1324" i="88"/>
  <c r="BG1325" i="88" s="1"/>
  <c r="BH1324" i="88"/>
  <c r="BH1325" i="88" s="1"/>
  <c r="BI1324" i="88"/>
  <c r="BI1325" i="88" s="1"/>
  <c r="BF1324" i="88"/>
  <c r="BF1325" i="88" s="1"/>
  <c r="BI1007" i="88"/>
  <c r="BI1008" i="88" s="1"/>
  <c r="AC78" i="34" s="1"/>
  <c r="BF1007" i="88"/>
  <c r="BF1008" i="88" s="1"/>
  <c r="Z78" i="34" s="1"/>
  <c r="BG1007" i="88"/>
  <c r="BG1008" i="88" s="1"/>
  <c r="AA78" i="34" s="1"/>
  <c r="BH1007" i="88"/>
  <c r="BH1008" i="88" s="1"/>
  <c r="AB78" i="34" s="1"/>
  <c r="BJ1007" i="88"/>
  <c r="BJ1008" i="88" s="1"/>
  <c r="AD78" i="34" s="1"/>
  <c r="BF690" i="88"/>
  <c r="AC79" i="34" l="1"/>
  <c r="AC80" i="34" s="1"/>
  <c r="AC79" i="91"/>
  <c r="AB79" i="34"/>
  <c r="AB80" i="34" s="1"/>
  <c r="AB79" i="91"/>
  <c r="AA79" i="34"/>
  <c r="AA80" i="34" s="1"/>
  <c r="AA79" i="91"/>
  <c r="Z79" i="34"/>
  <c r="Z80" i="34" s="1"/>
  <c r="Z79" i="91"/>
  <c r="AD79" i="34"/>
  <c r="AD80" i="34" s="1"/>
  <c r="AD79" i="91"/>
  <c r="AD61" i="91" l="1"/>
  <c r="N322" i="87" s="1"/>
  <c r="AC61" i="91"/>
  <c r="M322" i="87" s="1"/>
  <c r="AB61" i="91"/>
  <c r="L322" i="87" s="1"/>
  <c r="AA61" i="91"/>
  <c r="K322" i="87" s="1"/>
  <c r="Z61" i="91"/>
  <c r="J322" i="87" s="1"/>
  <c r="AD50" i="91"/>
  <c r="AC50" i="91"/>
  <c r="AB50" i="91"/>
  <c r="AA50" i="91"/>
  <c r="Z50" i="91"/>
  <c r="Y50" i="91"/>
  <c r="X50" i="91"/>
  <c r="W50" i="91"/>
  <c r="V50" i="91"/>
  <c r="U50" i="91"/>
  <c r="AD46" i="91"/>
  <c r="AC46" i="91"/>
  <c r="AB46" i="91"/>
  <c r="AA46" i="91"/>
  <c r="Z46" i="91"/>
  <c r="Y46" i="91"/>
  <c r="X46" i="91"/>
  <c r="W46" i="91"/>
  <c r="V46" i="91"/>
  <c r="U46" i="91"/>
  <c r="AD43" i="91"/>
  <c r="AC43" i="91"/>
  <c r="AB43" i="91"/>
  <c r="AA43" i="91"/>
  <c r="Z43" i="91"/>
  <c r="Y43" i="91"/>
  <c r="X43" i="91"/>
  <c r="W43" i="91"/>
  <c r="V43" i="91"/>
  <c r="U43" i="91"/>
  <c r="AD42" i="91"/>
  <c r="AC42" i="91"/>
  <c r="AB42" i="91"/>
  <c r="AA42" i="91"/>
  <c r="Z42" i="91"/>
  <c r="Y42" i="91"/>
  <c r="X42" i="91"/>
  <c r="W42" i="91"/>
  <c r="V42" i="91"/>
  <c r="U42" i="91"/>
  <c r="AD39" i="91"/>
  <c r="AC39" i="91"/>
  <c r="AB39" i="91"/>
  <c r="AA39" i="91"/>
  <c r="Z39" i="91"/>
  <c r="Y39" i="91"/>
  <c r="X39" i="91"/>
  <c r="W39" i="91"/>
  <c r="V39" i="91"/>
  <c r="U39" i="91"/>
  <c r="AD33" i="91"/>
  <c r="AD57" i="91" s="1"/>
  <c r="AC33" i="91"/>
  <c r="AC57" i="91" s="1"/>
  <c r="AB33" i="91"/>
  <c r="AB57" i="91" s="1"/>
  <c r="AA33" i="91"/>
  <c r="AA36" i="91" s="1"/>
  <c r="Z33" i="91"/>
  <c r="Z36" i="91" s="1"/>
  <c r="Y33" i="91"/>
  <c r="Y57" i="91" s="1"/>
  <c r="X33" i="91"/>
  <c r="X57" i="91" s="1"/>
  <c r="W33" i="91"/>
  <c r="W36" i="91" s="1"/>
  <c r="V33" i="91"/>
  <c r="V57" i="91" s="1"/>
  <c r="U33" i="91"/>
  <c r="U57" i="91" s="1"/>
  <c r="F25" i="91"/>
  <c r="Q24" i="91"/>
  <c r="N24" i="91"/>
  <c r="M24" i="91"/>
  <c r="L24" i="91"/>
  <c r="F24" i="91"/>
  <c r="M21" i="91"/>
  <c r="L21" i="91"/>
  <c r="F21" i="91"/>
  <c r="F19" i="91"/>
  <c r="F18" i="91"/>
  <c r="F17" i="91"/>
  <c r="F16" i="91"/>
  <c r="F15" i="91"/>
  <c r="AN6" i="91"/>
  <c r="AN7" i="91" s="1"/>
  <c r="AM6" i="91"/>
  <c r="AM7" i="91" s="1"/>
  <c r="AL6" i="91"/>
  <c r="AL7" i="91" s="1"/>
  <c r="AK6" i="91"/>
  <c r="AK7" i="91" s="1"/>
  <c r="AJ6" i="91"/>
  <c r="AJ7" i="91" s="1"/>
  <c r="AI6" i="91"/>
  <c r="AI7" i="91" s="1"/>
  <c r="AH6" i="91"/>
  <c r="AH7" i="91" s="1"/>
  <c r="AG6" i="91"/>
  <c r="AG7" i="91" s="1"/>
  <c r="AF6" i="91"/>
  <c r="AF7" i="91" s="1"/>
  <c r="AE6" i="91"/>
  <c r="AE7" i="91" s="1"/>
  <c r="AD6" i="91"/>
  <c r="AD7" i="91" s="1"/>
  <c r="AC6" i="91"/>
  <c r="AC7" i="91" s="1"/>
  <c r="AB6" i="91"/>
  <c r="AB7" i="91" s="1"/>
  <c r="AA6" i="91"/>
  <c r="AA7" i="91" s="1"/>
  <c r="Z6" i="91"/>
  <c r="Z7" i="91" s="1"/>
  <c r="Y6" i="91"/>
  <c r="Y7" i="91" s="1"/>
  <c r="X6" i="91"/>
  <c r="X7" i="91" s="1"/>
  <c r="W6" i="91"/>
  <c r="W7" i="91" s="1"/>
  <c r="V6" i="91"/>
  <c r="V7" i="91" s="1"/>
  <c r="U6" i="91"/>
  <c r="U7" i="91" s="1"/>
  <c r="AN5" i="91"/>
  <c r="AM5" i="91"/>
  <c r="AL5" i="91"/>
  <c r="AK5" i="91"/>
  <c r="AJ5" i="91"/>
  <c r="AI5" i="91"/>
  <c r="AH5" i="91"/>
  <c r="AG5" i="91"/>
  <c r="AF5" i="91"/>
  <c r="AE5" i="91"/>
  <c r="AD5" i="91"/>
  <c r="AC5" i="91"/>
  <c r="AB5" i="91"/>
  <c r="AA5" i="91"/>
  <c r="Z5" i="91"/>
  <c r="Y5" i="91"/>
  <c r="X5" i="91"/>
  <c r="W5" i="91"/>
  <c r="V5" i="91"/>
  <c r="U5" i="91"/>
  <c r="AN4" i="91"/>
  <c r="AM4" i="91"/>
  <c r="AL4" i="91"/>
  <c r="AK4" i="91"/>
  <c r="AJ4" i="91"/>
  <c r="AI4" i="91"/>
  <c r="AH4" i="91"/>
  <c r="AG4" i="91"/>
  <c r="AF4" i="91"/>
  <c r="AE4" i="91"/>
  <c r="AD4" i="91"/>
  <c r="AC4" i="91"/>
  <c r="AB4" i="91"/>
  <c r="AA4" i="91"/>
  <c r="Z4" i="91"/>
  <c r="Y4" i="91"/>
  <c r="X4" i="91"/>
  <c r="W4" i="91"/>
  <c r="V4" i="91"/>
  <c r="U4" i="91"/>
  <c r="AN3" i="91"/>
  <c r="AM3" i="91"/>
  <c r="AL3" i="91"/>
  <c r="AK3" i="91"/>
  <c r="AJ3" i="91"/>
  <c r="AI3" i="91"/>
  <c r="AH3" i="91"/>
  <c r="AG3" i="91"/>
  <c r="AF3" i="91"/>
  <c r="AE3" i="91"/>
  <c r="AD3" i="91"/>
  <c r="AC3" i="91"/>
  <c r="AB3" i="91"/>
  <c r="AA3" i="91"/>
  <c r="Z3" i="91"/>
  <c r="Y3" i="91"/>
  <c r="X3" i="91"/>
  <c r="W3" i="91"/>
  <c r="V3" i="91"/>
  <c r="U3" i="91"/>
  <c r="AN2" i="91"/>
  <c r="AM2" i="91"/>
  <c r="AL2" i="91"/>
  <c r="AK2" i="91"/>
  <c r="AJ2" i="91"/>
  <c r="AI2" i="91"/>
  <c r="AH2" i="91"/>
  <c r="AG2" i="91"/>
  <c r="AF2" i="91"/>
  <c r="AE2" i="91"/>
  <c r="AD2" i="91"/>
  <c r="AC2" i="91"/>
  <c r="AB2" i="91"/>
  <c r="AA2" i="91"/>
  <c r="Z2" i="91"/>
  <c r="Y2" i="91"/>
  <c r="X2" i="91"/>
  <c r="W2" i="91"/>
  <c r="V2" i="91"/>
  <c r="U2" i="91"/>
  <c r="L72" i="87"/>
  <c r="J72" i="87"/>
  <c r="C35" i="90"/>
  <c r="C36" i="90"/>
  <c r="C37" i="90"/>
  <c r="C38" i="90"/>
  <c r="C39" i="90"/>
  <c r="C41" i="90"/>
  <c r="C42" i="90"/>
  <c r="C34" i="90"/>
  <c r="J317" i="87" l="1"/>
  <c r="H44" i="66"/>
  <c r="H44" i="67"/>
  <c r="K317" i="87"/>
  <c r="I44" i="66"/>
  <c r="I44" i="67"/>
  <c r="N315" i="87"/>
  <c r="N320" i="87" s="1"/>
  <c r="M43" i="66"/>
  <c r="M43" i="67"/>
  <c r="Q70" i="85"/>
  <c r="L317" i="87"/>
  <c r="K44" i="67"/>
  <c r="K44" i="66"/>
  <c r="M317" i="87"/>
  <c r="L44" i="67"/>
  <c r="L44" i="66"/>
  <c r="L315" i="87"/>
  <c r="K43" i="66"/>
  <c r="O70" i="85"/>
  <c r="K43" i="67"/>
  <c r="N317" i="87"/>
  <c r="M44" i="67"/>
  <c r="M44" i="66"/>
  <c r="M315" i="87"/>
  <c r="L43" i="66"/>
  <c r="P70" i="85"/>
  <c r="L43" i="67"/>
  <c r="AA47" i="91"/>
  <c r="AA53" i="91" s="1"/>
  <c r="AA54" i="91" s="1"/>
  <c r="F20" i="91"/>
  <c r="F22" i="91" s="1"/>
  <c r="F23" i="91" s="1"/>
  <c r="F26" i="91" s="1"/>
  <c r="X36" i="91"/>
  <c r="Y36" i="91"/>
  <c r="AB36" i="91"/>
  <c r="U36" i="91"/>
  <c r="AC36" i="91"/>
  <c r="W47" i="91"/>
  <c r="W53" i="91" s="1"/>
  <c r="W54" i="91" s="1"/>
  <c r="V47" i="91"/>
  <c r="Z47" i="91"/>
  <c r="Z53" i="91" s="1"/>
  <c r="Z54" i="91" s="1"/>
  <c r="AD47" i="91"/>
  <c r="X47" i="91"/>
  <c r="AB47" i="91"/>
  <c r="U47" i="91"/>
  <c r="Y47" i="91"/>
  <c r="AC47" i="91"/>
  <c r="S20" i="91"/>
  <c r="S25" i="91"/>
  <c r="W57" i="91"/>
  <c r="AA57" i="91"/>
  <c r="S16" i="91"/>
  <c r="S21" i="91"/>
  <c r="Z57" i="91"/>
  <c r="S15" i="91"/>
  <c r="S17" i="91"/>
  <c r="S19" i="91"/>
  <c r="V36" i="91"/>
  <c r="AD36" i="91"/>
  <c r="AD53" i="91" s="1"/>
  <c r="AD54" i="91" s="1"/>
  <c r="S18" i="91"/>
  <c r="L320" i="87" l="1"/>
  <c r="Y53" i="91"/>
  <c r="Y54" i="91" s="1"/>
  <c r="Y64" i="91" s="1"/>
  <c r="Y85" i="91" s="1"/>
  <c r="M320" i="87"/>
  <c r="J314" i="87"/>
  <c r="H42" i="66"/>
  <c r="H42" i="67"/>
  <c r="H43" i="67"/>
  <c r="H43" i="66"/>
  <c r="K314" i="87"/>
  <c r="I42" i="66"/>
  <c r="I42" i="67"/>
  <c r="M42" i="66"/>
  <c r="M42" i="67"/>
  <c r="S24" i="91"/>
  <c r="I43" i="67"/>
  <c r="I43" i="66"/>
  <c r="AB53" i="91"/>
  <c r="AB54" i="91" s="1"/>
  <c r="V53" i="91"/>
  <c r="V54" i="91" s="1"/>
  <c r="V64" i="91" s="1"/>
  <c r="V85" i="91" s="1"/>
  <c r="AC53" i="91"/>
  <c r="AC54" i="91" s="1"/>
  <c r="M314" i="87" s="1"/>
  <c r="X53" i="91"/>
  <c r="X54" i="91" s="1"/>
  <c r="X64" i="91" s="1"/>
  <c r="S22" i="91"/>
  <c r="S23" i="91"/>
  <c r="Z64" i="91"/>
  <c r="J324" i="87" s="1"/>
  <c r="J315" i="87"/>
  <c r="AD64" i="91"/>
  <c r="N324" i="87" s="1"/>
  <c r="N314" i="87"/>
  <c r="U53" i="91"/>
  <c r="U54" i="91" s="1"/>
  <c r="U64" i="91" s="1"/>
  <c r="AA64" i="91"/>
  <c r="K324" i="87" s="1"/>
  <c r="K315" i="87"/>
  <c r="L314" i="87"/>
  <c r="W64" i="91"/>
  <c r="H115" i="90"/>
  <c r="H116" i="90"/>
  <c r="H117" i="90"/>
  <c r="H118" i="90"/>
  <c r="H128" i="90"/>
  <c r="H129" i="90"/>
  <c r="H130" i="90"/>
  <c r="H131" i="90"/>
  <c r="H132" i="90"/>
  <c r="H133" i="90"/>
  <c r="H134" i="90"/>
  <c r="H136" i="90"/>
  <c r="H137" i="90"/>
  <c r="H138" i="90"/>
  <c r="H139" i="90"/>
  <c r="H140" i="90"/>
  <c r="H141" i="90"/>
  <c r="H110" i="90"/>
  <c r="AE228" i="90"/>
  <c r="AD228" i="90"/>
  <c r="AC228" i="90"/>
  <c r="AB228" i="90"/>
  <c r="AA228" i="90"/>
  <c r="Z228" i="90"/>
  <c r="Y228" i="90"/>
  <c r="X228" i="90"/>
  <c r="W228" i="90"/>
  <c r="V228" i="90"/>
  <c r="O228" i="90"/>
  <c r="N228" i="90"/>
  <c r="M228" i="90"/>
  <c r="L228" i="90"/>
  <c r="C222" i="90"/>
  <c r="C221" i="90"/>
  <c r="C220" i="90"/>
  <c r="C219" i="90"/>
  <c r="C218" i="90"/>
  <c r="C217" i="90"/>
  <c r="C216" i="90"/>
  <c r="C215" i="90"/>
  <c r="C214" i="90"/>
  <c r="C213" i="90"/>
  <c r="C212" i="90"/>
  <c r="C211" i="90"/>
  <c r="C210" i="90"/>
  <c r="C209" i="90"/>
  <c r="C208" i="90"/>
  <c r="C207" i="90"/>
  <c r="C206" i="90"/>
  <c r="C205" i="90"/>
  <c r="C204" i="90"/>
  <c r="C203" i="90"/>
  <c r="C202" i="90"/>
  <c r="C201" i="90"/>
  <c r="C200" i="90"/>
  <c r="C199" i="90"/>
  <c r="C198" i="90"/>
  <c r="C197" i="90"/>
  <c r="C196" i="90"/>
  <c r="C195" i="90"/>
  <c r="C194" i="90"/>
  <c r="C193" i="90"/>
  <c r="C192" i="90"/>
  <c r="C191" i="90"/>
  <c r="AE186" i="90"/>
  <c r="AD186" i="90"/>
  <c r="AC186" i="90"/>
  <c r="AB186" i="90"/>
  <c r="AA186" i="90"/>
  <c r="Z186" i="90"/>
  <c r="Y186" i="90"/>
  <c r="X186" i="90"/>
  <c r="W186" i="90"/>
  <c r="V186" i="90"/>
  <c r="O186" i="90"/>
  <c r="N186" i="90"/>
  <c r="M186" i="90"/>
  <c r="L186" i="90"/>
  <c r="C180" i="90"/>
  <c r="C179" i="90"/>
  <c r="C178" i="90"/>
  <c r="C177" i="90"/>
  <c r="C176" i="90"/>
  <c r="C175" i="90"/>
  <c r="C174" i="90"/>
  <c r="C173" i="90"/>
  <c r="C172" i="90"/>
  <c r="C171" i="90"/>
  <c r="C170" i="90"/>
  <c r="C169" i="90"/>
  <c r="C168" i="90"/>
  <c r="C167" i="90"/>
  <c r="C166" i="90"/>
  <c r="C165" i="90"/>
  <c r="C164" i="90"/>
  <c r="C163" i="90"/>
  <c r="C162" i="90"/>
  <c r="C161" i="90"/>
  <c r="C160" i="90"/>
  <c r="C159" i="90"/>
  <c r="C158" i="90"/>
  <c r="C157" i="90"/>
  <c r="C156" i="90"/>
  <c r="C155" i="90"/>
  <c r="C154" i="90"/>
  <c r="C153" i="90"/>
  <c r="C152" i="90"/>
  <c r="C151" i="90"/>
  <c r="C150" i="90"/>
  <c r="C149" i="90"/>
  <c r="AE143" i="90"/>
  <c r="AD143" i="90"/>
  <c r="AC143" i="90"/>
  <c r="AB143" i="90"/>
  <c r="AA143" i="90"/>
  <c r="Z143" i="90"/>
  <c r="Y143" i="90"/>
  <c r="X143" i="90"/>
  <c r="W143" i="90"/>
  <c r="V143" i="90"/>
  <c r="O143" i="90"/>
  <c r="N143" i="90"/>
  <c r="M143" i="90"/>
  <c r="L143" i="90"/>
  <c r="AE102" i="90"/>
  <c r="AD102" i="90"/>
  <c r="AC102" i="90"/>
  <c r="AB102" i="90"/>
  <c r="AA102" i="90"/>
  <c r="Z102" i="90"/>
  <c r="Y102" i="90"/>
  <c r="X102" i="90"/>
  <c r="W102" i="90"/>
  <c r="V102" i="90"/>
  <c r="O102" i="90"/>
  <c r="N102" i="90"/>
  <c r="M102" i="90"/>
  <c r="L102" i="90"/>
  <c r="C94" i="90"/>
  <c r="C93" i="90"/>
  <c r="AE81" i="90"/>
  <c r="AD81" i="90"/>
  <c r="AC81" i="90"/>
  <c r="AB81" i="90"/>
  <c r="AA81" i="90"/>
  <c r="Z81" i="90"/>
  <c r="Y81" i="90"/>
  <c r="X81" i="90"/>
  <c r="W81" i="90"/>
  <c r="V81" i="90"/>
  <c r="O81" i="90"/>
  <c r="N81" i="90"/>
  <c r="M81" i="90"/>
  <c r="L81" i="90"/>
  <c r="C71" i="90"/>
  <c r="C92" i="90" s="1"/>
  <c r="E64" i="87" s="1"/>
  <c r="E92" i="87" s="1"/>
  <c r="C70" i="90"/>
  <c r="C91" i="90" s="1"/>
  <c r="E63" i="87" s="1"/>
  <c r="E91" i="87" s="1"/>
  <c r="C69" i="90"/>
  <c r="C90" i="90" s="1"/>
  <c r="E62" i="87" s="1"/>
  <c r="E90" i="87" s="1"/>
  <c r="C68" i="90"/>
  <c r="C89" i="90" s="1"/>
  <c r="E61" i="87" s="1"/>
  <c r="E89" i="87" s="1"/>
  <c r="C67" i="90"/>
  <c r="C88" i="90" s="1"/>
  <c r="E60" i="87" s="1"/>
  <c r="E88" i="87" s="1"/>
  <c r="C66" i="90"/>
  <c r="C87" i="90" s="1"/>
  <c r="E59" i="87" s="1"/>
  <c r="E87" i="87" s="1"/>
  <c r="Q101" i="90"/>
  <c r="C65" i="90"/>
  <c r="C86" i="90" s="1"/>
  <c r="E58" i="87" s="1"/>
  <c r="E86" i="87" s="1"/>
  <c r="AE57" i="90"/>
  <c r="AD57" i="90"/>
  <c r="AC57" i="90"/>
  <c r="AB57" i="90"/>
  <c r="AA57" i="90"/>
  <c r="Z57" i="90"/>
  <c r="Y57" i="90"/>
  <c r="X57" i="90"/>
  <c r="W57" i="90"/>
  <c r="V57" i="90"/>
  <c r="U57" i="90"/>
  <c r="T57" i="90"/>
  <c r="S57" i="90"/>
  <c r="R57" i="90"/>
  <c r="Q57" i="90"/>
  <c r="P57" i="90"/>
  <c r="O57" i="90"/>
  <c r="N57" i="90"/>
  <c r="M57" i="90"/>
  <c r="L57" i="90"/>
  <c r="AE56" i="90"/>
  <c r="AD56" i="90"/>
  <c r="AC56" i="90"/>
  <c r="AB56" i="90"/>
  <c r="AA56" i="90"/>
  <c r="Z56" i="90"/>
  <c r="Y56" i="90"/>
  <c r="X56" i="90"/>
  <c r="W56" i="90"/>
  <c r="V56" i="90"/>
  <c r="U56" i="90"/>
  <c r="T56" i="90"/>
  <c r="S56" i="90"/>
  <c r="R56" i="90"/>
  <c r="Q56" i="90"/>
  <c r="P56" i="90"/>
  <c r="O56" i="90"/>
  <c r="N56" i="90"/>
  <c r="M56" i="90"/>
  <c r="L56" i="90"/>
  <c r="AE55" i="90"/>
  <c r="AD55" i="90"/>
  <c r="AC55" i="90"/>
  <c r="AB55" i="90"/>
  <c r="AA55" i="90"/>
  <c r="Z55" i="90"/>
  <c r="Y55" i="90"/>
  <c r="X55" i="90"/>
  <c r="W55" i="90"/>
  <c r="V55" i="90"/>
  <c r="O55" i="90"/>
  <c r="N55" i="90"/>
  <c r="M55" i="90"/>
  <c r="L55" i="90"/>
  <c r="AE54" i="90"/>
  <c r="AD54" i="90"/>
  <c r="AC54" i="90"/>
  <c r="AB54" i="90"/>
  <c r="AA54" i="90"/>
  <c r="Z54" i="90"/>
  <c r="Y54" i="90"/>
  <c r="X54" i="90"/>
  <c r="W54" i="90"/>
  <c r="V54" i="90"/>
  <c r="U54" i="90"/>
  <c r="T54" i="90"/>
  <c r="S54" i="90"/>
  <c r="P54" i="90"/>
  <c r="O54" i="90"/>
  <c r="N54" i="90"/>
  <c r="M54" i="90"/>
  <c r="L54" i="90"/>
  <c r="AE53" i="90"/>
  <c r="AD53" i="90"/>
  <c r="AC53" i="90"/>
  <c r="AB53" i="90"/>
  <c r="AA53" i="90"/>
  <c r="Z53" i="90"/>
  <c r="Y53" i="90"/>
  <c r="X53" i="90"/>
  <c r="W53" i="90"/>
  <c r="V53" i="90"/>
  <c r="O53" i="90"/>
  <c r="N53" i="90"/>
  <c r="M53" i="90"/>
  <c r="L53" i="90"/>
  <c r="C53" i="90"/>
  <c r="AE52" i="90"/>
  <c r="AD52" i="90"/>
  <c r="AC52" i="90"/>
  <c r="AB52" i="90"/>
  <c r="AA52" i="90"/>
  <c r="Z52" i="90"/>
  <c r="Y52" i="90"/>
  <c r="X52" i="90"/>
  <c r="W52" i="90"/>
  <c r="V52" i="90"/>
  <c r="O52" i="90"/>
  <c r="N52" i="90"/>
  <c r="M52" i="90"/>
  <c r="L52" i="90"/>
  <c r="C52" i="90"/>
  <c r="AE51" i="90"/>
  <c r="AD51" i="90"/>
  <c r="AC51" i="90"/>
  <c r="AB51" i="90"/>
  <c r="AA51" i="90"/>
  <c r="Z51" i="90"/>
  <c r="Y51" i="90"/>
  <c r="X51" i="90"/>
  <c r="W51" i="90"/>
  <c r="V51" i="90"/>
  <c r="O51" i="90"/>
  <c r="N51" i="90"/>
  <c r="M51" i="90"/>
  <c r="L51" i="90"/>
  <c r="C51" i="90"/>
  <c r="AE50" i="90"/>
  <c r="AD50" i="90"/>
  <c r="AC50" i="90"/>
  <c r="AB50" i="90"/>
  <c r="AA50" i="90"/>
  <c r="Z50" i="90"/>
  <c r="Y50" i="90"/>
  <c r="X50" i="90"/>
  <c r="W50" i="90"/>
  <c r="V50" i="90"/>
  <c r="O50" i="90"/>
  <c r="N50" i="90"/>
  <c r="M50" i="90"/>
  <c r="L50" i="90"/>
  <c r="C50" i="90"/>
  <c r="AE49" i="90"/>
  <c r="AD49" i="90"/>
  <c r="AC49" i="90"/>
  <c r="AB49" i="90"/>
  <c r="AA49" i="90"/>
  <c r="Z49" i="90"/>
  <c r="Y49" i="90"/>
  <c r="X49" i="90"/>
  <c r="W49" i="90"/>
  <c r="V49" i="90"/>
  <c r="O49" i="90"/>
  <c r="N49" i="90"/>
  <c r="M49" i="90"/>
  <c r="L49" i="90"/>
  <c r="C49" i="90"/>
  <c r="AE46" i="90"/>
  <c r="AD46" i="90"/>
  <c r="AC46" i="90"/>
  <c r="AB46" i="90"/>
  <c r="AA46" i="90"/>
  <c r="Z46" i="90"/>
  <c r="Y46" i="90"/>
  <c r="X46" i="90"/>
  <c r="W46" i="90"/>
  <c r="V46" i="90"/>
  <c r="O46" i="90"/>
  <c r="N46" i="90"/>
  <c r="M46" i="90"/>
  <c r="L46" i="90"/>
  <c r="AE45" i="90"/>
  <c r="AD45" i="90"/>
  <c r="AC45" i="90"/>
  <c r="AB45" i="90"/>
  <c r="AA45" i="90"/>
  <c r="Z45" i="90"/>
  <c r="Y45" i="90"/>
  <c r="X45" i="90"/>
  <c r="W45" i="90"/>
  <c r="V45" i="90"/>
  <c r="O45" i="90"/>
  <c r="N45" i="90"/>
  <c r="M45" i="90"/>
  <c r="L45" i="90"/>
  <c r="C57" i="90"/>
  <c r="C56" i="90"/>
  <c r="U55" i="90"/>
  <c r="T55" i="90"/>
  <c r="S55" i="90"/>
  <c r="R55" i="90"/>
  <c r="Q55" i="90"/>
  <c r="P55" i="90"/>
  <c r="C55" i="90"/>
  <c r="R54" i="90"/>
  <c r="Q54" i="90"/>
  <c r="C54" i="90"/>
  <c r="AE31" i="90"/>
  <c r="AE60" i="90" s="1"/>
  <c r="AD31" i="90"/>
  <c r="AD60" i="90" s="1"/>
  <c r="AC31" i="90"/>
  <c r="AC60" i="90" s="1"/>
  <c r="AB31" i="90"/>
  <c r="AB60" i="90" s="1"/>
  <c r="AA31" i="90"/>
  <c r="AA60" i="90" s="1"/>
  <c r="Z31" i="90"/>
  <c r="Z60" i="90" s="1"/>
  <c r="Y31" i="90"/>
  <c r="Y60" i="90" s="1"/>
  <c r="X31" i="90"/>
  <c r="X60" i="90" s="1"/>
  <c r="W31" i="90"/>
  <c r="W60" i="90" s="1"/>
  <c r="V31" i="90"/>
  <c r="V60" i="90" s="1"/>
  <c r="O31" i="90"/>
  <c r="O60" i="90" s="1"/>
  <c r="N31" i="90"/>
  <c r="N60" i="90" s="1"/>
  <c r="M31" i="90"/>
  <c r="M60" i="90" s="1"/>
  <c r="L31" i="90"/>
  <c r="L60" i="90" s="1"/>
  <c r="S46" i="90"/>
  <c r="V84" i="91" l="1"/>
  <c r="V86" i="91" s="1"/>
  <c r="Y84" i="91"/>
  <c r="Y86" i="91" s="1"/>
  <c r="H111" i="90"/>
  <c r="AC64" i="91"/>
  <c r="M324" i="87" s="1"/>
  <c r="L42" i="67"/>
  <c r="L42" i="66"/>
  <c r="AB64" i="91"/>
  <c r="L324" i="87" s="1"/>
  <c r="K42" i="67"/>
  <c r="K42" i="66"/>
  <c r="E141" i="87"/>
  <c r="F141" i="87" s="1"/>
  <c r="E140" i="87"/>
  <c r="F140" i="87" s="1"/>
  <c r="L319" i="87"/>
  <c r="N319" i="87"/>
  <c r="K320" i="87"/>
  <c r="K319" i="87" s="1"/>
  <c r="M319" i="87"/>
  <c r="J320" i="87"/>
  <c r="J319" i="87" s="1"/>
  <c r="W84" i="91"/>
  <c r="W85" i="91"/>
  <c r="U85" i="91"/>
  <c r="U84" i="91"/>
  <c r="X84" i="91"/>
  <c r="X85" i="91"/>
  <c r="S26" i="91"/>
  <c r="S186" i="90"/>
  <c r="P228" i="90"/>
  <c r="T228" i="90"/>
  <c r="T49" i="90"/>
  <c r="P51" i="90"/>
  <c r="P53" i="90"/>
  <c r="AB59" i="90"/>
  <c r="S81" i="90"/>
  <c r="P49" i="90"/>
  <c r="T51" i="90"/>
  <c r="T53" i="90"/>
  <c r="N59" i="90"/>
  <c r="X59" i="90"/>
  <c r="T50" i="90"/>
  <c r="P52" i="90"/>
  <c r="Q228" i="90"/>
  <c r="Q49" i="90"/>
  <c r="U49" i="90"/>
  <c r="Q50" i="90"/>
  <c r="U50" i="90"/>
  <c r="Q51" i="90"/>
  <c r="U51" i="90"/>
  <c r="Q52" i="90"/>
  <c r="U52" i="90"/>
  <c r="Q53" i="90"/>
  <c r="U53" i="90"/>
  <c r="Y59" i="90"/>
  <c r="AC59" i="90"/>
  <c r="T101" i="90"/>
  <c r="R228" i="90"/>
  <c r="P31" i="90"/>
  <c r="P60" i="90" s="1"/>
  <c r="R31" i="90"/>
  <c r="R60" i="90" s="1"/>
  <c r="I34" i="90"/>
  <c r="J34" i="90" s="1"/>
  <c r="R50" i="90"/>
  <c r="R51" i="90"/>
  <c r="I37" i="90"/>
  <c r="J37" i="90" s="1"/>
  <c r="I38" i="90"/>
  <c r="J38" i="90" s="1"/>
  <c r="R53" i="90"/>
  <c r="L59" i="90"/>
  <c r="V59" i="90"/>
  <c r="Z59" i="90"/>
  <c r="AD59" i="90"/>
  <c r="Q186" i="90"/>
  <c r="U186" i="90"/>
  <c r="S228" i="90"/>
  <c r="H112" i="90"/>
  <c r="P50" i="90"/>
  <c r="T52" i="90"/>
  <c r="U228" i="90"/>
  <c r="T31" i="90"/>
  <c r="T60" i="90" s="1"/>
  <c r="R49" i="90"/>
  <c r="I35" i="90"/>
  <c r="J35" i="90" s="1"/>
  <c r="I36" i="90"/>
  <c r="J36" i="90" s="1"/>
  <c r="R52" i="90"/>
  <c r="Q31" i="90"/>
  <c r="Q60" i="90" s="1"/>
  <c r="U31" i="90"/>
  <c r="U60" i="90" s="1"/>
  <c r="S31" i="90"/>
  <c r="S60" i="90" s="1"/>
  <c r="S50" i="90"/>
  <c r="S51" i="90"/>
  <c r="S52" i="90"/>
  <c r="S53" i="90"/>
  <c r="M59" i="90"/>
  <c r="S101" i="90"/>
  <c r="R186" i="90"/>
  <c r="S102" i="90"/>
  <c r="P45" i="90"/>
  <c r="T45" i="90"/>
  <c r="P46" i="90"/>
  <c r="P81" i="90" s="1"/>
  <c r="T46" i="90"/>
  <c r="T81" i="90" s="1"/>
  <c r="S49" i="90"/>
  <c r="O59" i="90"/>
  <c r="W59" i="90"/>
  <c r="AA59" i="90"/>
  <c r="AE59" i="90"/>
  <c r="P143" i="90"/>
  <c r="T143" i="90"/>
  <c r="P186" i="90"/>
  <c r="T186" i="90"/>
  <c r="Q45" i="90"/>
  <c r="U45" i="90"/>
  <c r="U59" i="90" s="1"/>
  <c r="Q46" i="90"/>
  <c r="Q81" i="90" s="1"/>
  <c r="U46" i="90"/>
  <c r="U101" i="90"/>
  <c r="Q143" i="90"/>
  <c r="U143" i="90"/>
  <c r="R45" i="90"/>
  <c r="R46" i="90"/>
  <c r="R101" i="90"/>
  <c r="R143" i="90"/>
  <c r="S45" i="90"/>
  <c r="S143" i="90"/>
  <c r="W346" i="89"/>
  <c r="AK345" i="89"/>
  <c r="AK344" i="89"/>
  <c r="X344" i="89"/>
  <c r="AK343" i="89"/>
  <c r="AK342" i="89"/>
  <c r="AK341" i="89"/>
  <c r="AE339" i="89"/>
  <c r="AK338" i="89"/>
  <c r="AK337" i="89"/>
  <c r="Y337" i="89"/>
  <c r="AK335" i="89"/>
  <c r="AK334" i="89"/>
  <c r="AD331" i="89"/>
  <c r="AK330" i="89"/>
  <c r="AK329" i="89"/>
  <c r="Y328" i="89"/>
  <c r="AK327" i="89"/>
  <c r="P327" i="89"/>
  <c r="AK326" i="89"/>
  <c r="AK325" i="89"/>
  <c r="AK323" i="89"/>
  <c r="AK322" i="89"/>
  <c r="AK321" i="89"/>
  <c r="P321" i="89"/>
  <c r="P320" i="89"/>
  <c r="AK318" i="89"/>
  <c r="AK317" i="89"/>
  <c r="S317" i="89"/>
  <c r="AK314" i="89"/>
  <c r="AK313" i="89"/>
  <c r="R311" i="89"/>
  <c r="R308" i="89"/>
  <c r="AK306" i="89"/>
  <c r="AK305" i="89"/>
  <c r="S305" i="89"/>
  <c r="AK304" i="89"/>
  <c r="AK303" i="89"/>
  <c r="AK302" i="89"/>
  <c r="P301" i="89"/>
  <c r="AE299" i="89"/>
  <c r="AK297" i="89"/>
  <c r="Y296" i="89"/>
  <c r="P296" i="89"/>
  <c r="AK295" i="89"/>
  <c r="S295" i="89"/>
  <c r="P293" i="89"/>
  <c r="AK289" i="89"/>
  <c r="AK286" i="89"/>
  <c r="AK285" i="89"/>
  <c r="Y285" i="89"/>
  <c r="Q285" i="89"/>
  <c r="X284" i="89"/>
  <c r="P284" i="89"/>
  <c r="S283" i="89"/>
  <c r="AE282" i="89"/>
  <c r="X282" i="89"/>
  <c r="R280" i="89"/>
  <c r="AK279" i="89"/>
  <c r="AD279" i="89"/>
  <c r="AK278" i="89"/>
  <c r="AD275" i="89"/>
  <c r="R275" i="89"/>
  <c r="AE273" i="89"/>
  <c r="Q273" i="89"/>
  <c r="Q272" i="89"/>
  <c r="AE271" i="89"/>
  <c r="AK269" i="89"/>
  <c r="W269" i="89"/>
  <c r="AE268" i="89"/>
  <c r="R268" i="89"/>
  <c r="AK267" i="89"/>
  <c r="AK266" i="89"/>
  <c r="AD266" i="89"/>
  <c r="R264" i="89"/>
  <c r="AE262" i="89"/>
  <c r="S262" i="89"/>
  <c r="AK259" i="89"/>
  <c r="AK258" i="89"/>
  <c r="AK257" i="89"/>
  <c r="R257" i="89"/>
  <c r="AK255" i="89"/>
  <c r="AK254" i="89"/>
  <c r="S254" i="89"/>
  <c r="AK253" i="89"/>
  <c r="S251" i="89"/>
  <c r="AK250" i="89"/>
  <c r="S250" i="89"/>
  <c r="AK249" i="89"/>
  <c r="S249" i="89"/>
  <c r="P248" i="89"/>
  <c r="Y247" i="89"/>
  <c r="S247" i="89"/>
  <c r="AK246" i="89"/>
  <c r="Q243" i="89"/>
  <c r="S242" i="89"/>
  <c r="Q237" i="89"/>
  <c r="P236" i="89"/>
  <c r="AK235" i="89"/>
  <c r="AK234" i="89"/>
  <c r="AK233" i="89"/>
  <c r="AK230" i="89"/>
  <c r="W230" i="89"/>
  <c r="Q230" i="89"/>
  <c r="AE227" i="89"/>
  <c r="S227" i="89"/>
  <c r="AK226" i="89"/>
  <c r="R226" i="89"/>
  <c r="AK225" i="89"/>
  <c r="Q225" i="89"/>
  <c r="R224" i="89"/>
  <c r="Q223" i="89"/>
  <c r="Y222" i="89"/>
  <c r="R222" i="89"/>
  <c r="AK221" i="89"/>
  <c r="R219" i="89"/>
  <c r="AK218" i="89"/>
  <c r="Q218" i="89"/>
  <c r="AK217" i="89"/>
  <c r="AD215" i="89"/>
  <c r="AK213" i="89"/>
  <c r="W213" i="89"/>
  <c r="R211" i="89"/>
  <c r="S210" i="89"/>
  <c r="W209" i="89"/>
  <c r="S209" i="89"/>
  <c r="Q208" i="89"/>
  <c r="X205" i="89"/>
  <c r="P204" i="89"/>
  <c r="AD203" i="89"/>
  <c r="Q203" i="89"/>
  <c r="AK202" i="89"/>
  <c r="R202" i="89"/>
  <c r="AK198" i="89"/>
  <c r="S198" i="89"/>
  <c r="AE195" i="89"/>
  <c r="S195" i="89"/>
  <c r="AD194" i="89"/>
  <c r="Y194" i="89"/>
  <c r="AE192" i="89"/>
  <c r="AK191" i="89"/>
  <c r="Y191" i="89"/>
  <c r="R191" i="89"/>
  <c r="AD190" i="89"/>
  <c r="X190" i="89"/>
  <c r="Q190" i="89"/>
  <c r="AK186" i="89"/>
  <c r="S186" i="89"/>
  <c r="X185" i="89"/>
  <c r="AE183" i="89"/>
  <c r="Y181" i="89"/>
  <c r="S181" i="89"/>
  <c r="AK179" i="89"/>
  <c r="X179" i="89"/>
  <c r="AK177" i="89"/>
  <c r="Q177" i="89"/>
  <c r="S176" i="89"/>
  <c r="X175" i="89"/>
  <c r="S175" i="89"/>
  <c r="AE174" i="89"/>
  <c r="W173" i="89"/>
  <c r="W172" i="89"/>
  <c r="Q172" i="89"/>
  <c r="Q171" i="89"/>
  <c r="R170" i="89"/>
  <c r="AD167" i="89"/>
  <c r="AK166" i="89"/>
  <c r="P166" i="89"/>
  <c r="AD164" i="89"/>
  <c r="X161" i="89"/>
  <c r="AK158" i="89"/>
  <c r="AK153" i="89"/>
  <c r="AE153" i="89"/>
  <c r="AK152" i="89"/>
  <c r="AE152" i="89"/>
  <c r="X152" i="89"/>
  <c r="AD151" i="89"/>
  <c r="W151" i="89"/>
  <c r="AK150" i="89"/>
  <c r="AD150" i="89"/>
  <c r="AK149" i="89"/>
  <c r="Y149" i="89"/>
  <c r="AD148" i="89"/>
  <c r="AK147" i="89"/>
  <c r="AD147" i="89"/>
  <c r="X147" i="89"/>
  <c r="AK146" i="89"/>
  <c r="AE146" i="89"/>
  <c r="AK145" i="89"/>
  <c r="AD145" i="89"/>
  <c r="Y145" i="89"/>
  <c r="AK144" i="89"/>
  <c r="AE144" i="89"/>
  <c r="W143" i="89"/>
  <c r="AK142" i="89"/>
  <c r="AD142" i="89"/>
  <c r="W142" i="89"/>
  <c r="AK141" i="89"/>
  <c r="AD140" i="89"/>
  <c r="AK139" i="89"/>
  <c r="Y139" i="89"/>
  <c r="AK138" i="89"/>
  <c r="AE138" i="89"/>
  <c r="W138" i="89"/>
  <c r="AK137" i="89"/>
  <c r="AE137" i="89"/>
  <c r="Y137" i="89"/>
  <c r="AE136" i="89"/>
  <c r="AK135" i="89"/>
  <c r="X135" i="89"/>
  <c r="AK134" i="89"/>
  <c r="AE134" i="89"/>
  <c r="AK133" i="89"/>
  <c r="AE133" i="89"/>
  <c r="Y133" i="89"/>
  <c r="AK132" i="89"/>
  <c r="AD132" i="89"/>
  <c r="W132" i="89"/>
  <c r="AK131" i="89"/>
  <c r="Y131" i="89"/>
  <c r="AK130" i="89"/>
  <c r="AE130" i="89"/>
  <c r="Y130" i="89"/>
  <c r="AK129" i="89"/>
  <c r="AE129" i="89"/>
  <c r="Y129" i="89"/>
  <c r="AE128" i="89"/>
  <c r="AK127" i="89"/>
  <c r="AE127" i="89"/>
  <c r="Y127" i="89"/>
  <c r="AK126" i="89"/>
  <c r="AE126" i="89"/>
  <c r="Y126" i="89"/>
  <c r="AK125" i="89"/>
  <c r="AD125" i="89"/>
  <c r="Y125" i="89"/>
  <c r="AD124" i="89"/>
  <c r="X124" i="89"/>
  <c r="AK123" i="89"/>
  <c r="AE123" i="89"/>
  <c r="W123" i="89"/>
  <c r="AK122" i="89"/>
  <c r="AD122" i="89"/>
  <c r="Y122" i="89"/>
  <c r="AK121" i="89"/>
  <c r="AE121" i="89"/>
  <c r="Y121" i="89"/>
  <c r="AE120" i="89"/>
  <c r="X120" i="89"/>
  <c r="AD119" i="89"/>
  <c r="Y119" i="89"/>
  <c r="AK118" i="89"/>
  <c r="AE118" i="89"/>
  <c r="AK117" i="89"/>
  <c r="AE117" i="89"/>
  <c r="Y117" i="89"/>
  <c r="AD116" i="89"/>
  <c r="AK115" i="89"/>
  <c r="AD115" i="89"/>
  <c r="X115" i="89"/>
  <c r="AK114" i="89"/>
  <c r="AE114" i="89"/>
  <c r="AK113" i="89"/>
  <c r="Y113" i="89"/>
  <c r="AE112" i="89"/>
  <c r="W111" i="89"/>
  <c r="AK110" i="89"/>
  <c r="AD110" i="89"/>
  <c r="AK109" i="89"/>
  <c r="AD109" i="89"/>
  <c r="Y109" i="89"/>
  <c r="AD108" i="89"/>
  <c r="AK107" i="89"/>
  <c r="Y107" i="89"/>
  <c r="AK106" i="89"/>
  <c r="AE106" i="89"/>
  <c r="X106" i="89"/>
  <c r="AK105" i="89"/>
  <c r="AE105" i="89"/>
  <c r="Y105" i="89"/>
  <c r="AE104" i="89"/>
  <c r="AK103" i="89"/>
  <c r="X103" i="89"/>
  <c r="AK102" i="89"/>
  <c r="AE102" i="89"/>
  <c r="Y102" i="89"/>
  <c r="AK101" i="89"/>
  <c r="AE101" i="89"/>
  <c r="AK100" i="89"/>
  <c r="AE100" i="89"/>
  <c r="AK99" i="89"/>
  <c r="AE99" i="89"/>
  <c r="W99" i="89"/>
  <c r="AK98" i="89"/>
  <c r="AD98" i="89"/>
  <c r="X98" i="89"/>
  <c r="AK97" i="89"/>
  <c r="AD97" i="89"/>
  <c r="Y97" i="89"/>
  <c r="AK96" i="89"/>
  <c r="AE96" i="89"/>
  <c r="AK95" i="89"/>
  <c r="W95" i="89"/>
  <c r="AK94" i="89"/>
  <c r="AD94" i="89"/>
  <c r="Y94" i="89"/>
  <c r="AK93" i="89"/>
  <c r="AD93" i="89"/>
  <c r="W93" i="89"/>
  <c r="AK92" i="89"/>
  <c r="AE92" i="89"/>
  <c r="AK91" i="89"/>
  <c r="AE91" i="89"/>
  <c r="W91" i="89"/>
  <c r="AK90" i="89"/>
  <c r="AD90" i="89"/>
  <c r="Y90" i="89"/>
  <c r="AK89" i="89"/>
  <c r="AE89" i="89"/>
  <c r="Y89" i="89"/>
  <c r="AE88" i="89"/>
  <c r="W87" i="89"/>
  <c r="AK86" i="89"/>
  <c r="AD86" i="89"/>
  <c r="Y86" i="89"/>
  <c r="AK85" i="89"/>
  <c r="W85" i="89"/>
  <c r="AD84" i="89"/>
  <c r="W84" i="89"/>
  <c r="AE83" i="89"/>
  <c r="X83" i="89"/>
  <c r="AK82" i="89"/>
  <c r="AE82" i="89"/>
  <c r="AK81" i="89"/>
  <c r="AD81" i="89"/>
  <c r="X81" i="89"/>
  <c r="AD80" i="89"/>
  <c r="X80" i="89"/>
  <c r="AK79" i="89"/>
  <c r="AE79" i="89"/>
  <c r="X79" i="89"/>
  <c r="AK78" i="89"/>
  <c r="AE78" i="89"/>
  <c r="AK77" i="89"/>
  <c r="AD77" i="89"/>
  <c r="X77" i="89"/>
  <c r="AD76" i="89"/>
  <c r="W76" i="89"/>
  <c r="AK75" i="89"/>
  <c r="AD75" i="89"/>
  <c r="W75" i="89"/>
  <c r="AK74" i="89"/>
  <c r="AD74" i="89"/>
  <c r="AK73" i="89"/>
  <c r="AD73" i="89"/>
  <c r="Y73" i="89"/>
  <c r="AE72" i="89"/>
  <c r="W72" i="89"/>
  <c r="AK71" i="89"/>
  <c r="AD71" i="89"/>
  <c r="Y71" i="89"/>
  <c r="AK70" i="89"/>
  <c r="AE70" i="89"/>
  <c r="W70" i="89"/>
  <c r="AK69" i="89"/>
  <c r="AE69" i="89"/>
  <c r="X69" i="89"/>
  <c r="AD68" i="89"/>
  <c r="AK67" i="89"/>
  <c r="X67" i="89"/>
  <c r="AK66" i="89"/>
  <c r="AE66" i="89"/>
  <c r="W66" i="89"/>
  <c r="AK65" i="89"/>
  <c r="AE65" i="89"/>
  <c r="X65" i="89"/>
  <c r="AK64" i="89"/>
  <c r="AD64" i="89"/>
  <c r="X64" i="89"/>
  <c r="AK63" i="89"/>
  <c r="AE63" i="89"/>
  <c r="X63" i="89"/>
  <c r="AK62" i="89"/>
  <c r="AE62" i="89"/>
  <c r="X62" i="89"/>
  <c r="AK61" i="89"/>
  <c r="AE61" i="89"/>
  <c r="X61" i="89"/>
  <c r="AK60" i="89"/>
  <c r="AD60" i="89"/>
  <c r="W60" i="89"/>
  <c r="AD59" i="89"/>
  <c r="W59" i="89"/>
  <c r="AK58" i="89"/>
  <c r="AD58" i="89"/>
  <c r="AK57" i="89"/>
  <c r="AD57" i="89"/>
  <c r="Y57" i="89"/>
  <c r="AE56" i="89"/>
  <c r="W56" i="89"/>
  <c r="AK55" i="89"/>
  <c r="AD55" i="89"/>
  <c r="Y55" i="89"/>
  <c r="AK54" i="89"/>
  <c r="AE54" i="89"/>
  <c r="AK53" i="89"/>
  <c r="X53" i="89"/>
  <c r="AD52" i="89"/>
  <c r="AK51" i="89"/>
  <c r="X51" i="89"/>
  <c r="BI348" i="89"/>
  <c r="F352" i="89"/>
  <c r="F699" i="89" s="1"/>
  <c r="F1016" i="89" s="1"/>
  <c r="M49" i="89"/>
  <c r="F348" i="88"/>
  <c r="F695" i="88" s="1"/>
  <c r="F1012" i="88" s="1"/>
  <c r="AK187" i="89"/>
  <c r="AD204" i="89"/>
  <c r="AK227" i="89"/>
  <c r="BL1318" i="89"/>
  <c r="BK1318" i="89"/>
  <c r="BJ1318" i="89"/>
  <c r="BI1318" i="89"/>
  <c r="BH1318" i="89"/>
  <c r="BL1001" i="89"/>
  <c r="BK1001" i="89"/>
  <c r="BJ1001" i="89"/>
  <c r="BI1001" i="89"/>
  <c r="BH1001" i="89"/>
  <c r="BL654" i="89"/>
  <c r="N241" i="87" s="1"/>
  <c r="N286" i="87" s="1"/>
  <c r="BK654" i="89"/>
  <c r="M241" i="87" s="1"/>
  <c r="M286" i="87" s="1"/>
  <c r="BJ654" i="89"/>
  <c r="L241" i="87" s="1"/>
  <c r="L286" i="87" s="1"/>
  <c r="BI654" i="89"/>
  <c r="K241" i="87" s="1"/>
  <c r="K286" i="87" s="1"/>
  <c r="BH654" i="89"/>
  <c r="E352" i="89"/>
  <c r="E699" i="89" s="1"/>
  <c r="E1016" i="89" s="1"/>
  <c r="D352" i="89"/>
  <c r="D699" i="89" s="1"/>
  <c r="D1016" i="89" s="1"/>
  <c r="C352" i="89"/>
  <c r="R346" i="89"/>
  <c r="Q346" i="89"/>
  <c r="Y345" i="89"/>
  <c r="S342" i="89"/>
  <c r="W341" i="89"/>
  <c r="AK339" i="89"/>
  <c r="S338" i="89"/>
  <c r="P338" i="89"/>
  <c r="X337" i="89"/>
  <c r="W337" i="89"/>
  <c r="R334" i="89"/>
  <c r="Y333" i="89"/>
  <c r="AK331" i="89"/>
  <c r="P330" i="89"/>
  <c r="X329" i="89"/>
  <c r="S326" i="89"/>
  <c r="S322" i="89"/>
  <c r="R322" i="89"/>
  <c r="P318" i="89"/>
  <c r="AK315" i="89"/>
  <c r="S310" i="89"/>
  <c r="P310" i="89"/>
  <c r="AK307" i="89"/>
  <c r="R298" i="89"/>
  <c r="Q298" i="89"/>
  <c r="R294" i="89"/>
  <c r="Q294" i="89"/>
  <c r="Q290" i="89"/>
  <c r="AK287" i="89"/>
  <c r="S286" i="89"/>
  <c r="P286" i="89"/>
  <c r="X285" i="89"/>
  <c r="W285" i="89"/>
  <c r="R282" i="89"/>
  <c r="AE280" i="89"/>
  <c r="AD280" i="89"/>
  <c r="R274" i="89"/>
  <c r="Y273" i="89"/>
  <c r="Q270" i="89"/>
  <c r="P270" i="89"/>
  <c r="X269" i="89"/>
  <c r="AD268" i="89"/>
  <c r="R266" i="89"/>
  <c r="Q266" i="89"/>
  <c r="P262" i="89"/>
  <c r="R258" i="89"/>
  <c r="AK251" i="89"/>
  <c r="P250" i="89"/>
  <c r="R242" i="89"/>
  <c r="R238" i="89"/>
  <c r="R230" i="89"/>
  <c r="Y229" i="89"/>
  <c r="S226" i="89"/>
  <c r="W225" i="89"/>
  <c r="AK223" i="89"/>
  <c r="Q222" i="89"/>
  <c r="AK219" i="89"/>
  <c r="R218" i="89"/>
  <c r="Q214" i="89"/>
  <c r="P214" i="89"/>
  <c r="Y213" i="89"/>
  <c r="X213" i="89"/>
  <c r="R210" i="89"/>
  <c r="AK207" i="89"/>
  <c r="S206" i="89"/>
  <c r="Q202" i="89"/>
  <c r="W197" i="89"/>
  <c r="Q194" i="89"/>
  <c r="P194" i="89"/>
  <c r="Y189" i="89"/>
  <c r="P186" i="89"/>
  <c r="P182" i="89"/>
  <c r="S178" i="89"/>
  <c r="R178" i="89"/>
  <c r="S174" i="89"/>
  <c r="R174" i="89"/>
  <c r="S170" i="89"/>
  <c r="P162" i="89"/>
  <c r="AK151" i="89"/>
  <c r="AE148" i="89"/>
  <c r="X145" i="89"/>
  <c r="AK143" i="89"/>
  <c r="Y141" i="89"/>
  <c r="W129" i="89"/>
  <c r="AK119" i="89"/>
  <c r="AE116" i="89"/>
  <c r="X113" i="89"/>
  <c r="AK111" i="89"/>
  <c r="AD104" i="89"/>
  <c r="Y101" i="89"/>
  <c r="W97" i="89"/>
  <c r="AD92" i="89"/>
  <c r="X89" i="89"/>
  <c r="AK87" i="89"/>
  <c r="Y85" i="89"/>
  <c r="X85" i="89"/>
  <c r="AK83" i="89"/>
  <c r="W81" i="89"/>
  <c r="X73" i="89"/>
  <c r="AD72" i="89"/>
  <c r="Y69" i="89"/>
  <c r="Y61" i="89"/>
  <c r="AK59" i="89"/>
  <c r="X57" i="89"/>
  <c r="W57" i="89"/>
  <c r="BJ1314" i="88"/>
  <c r="BI1314" i="88"/>
  <c r="BH1314" i="88"/>
  <c r="BG1314" i="88"/>
  <c r="BJ997" i="88"/>
  <c r="BI997" i="88"/>
  <c r="BH997" i="88"/>
  <c r="BG997" i="88"/>
  <c r="BF997" i="88"/>
  <c r="E348" i="88"/>
  <c r="E695" i="88" s="1"/>
  <c r="E1012" i="88" s="1"/>
  <c r="D348" i="88"/>
  <c r="C348" i="88"/>
  <c r="BJ344" i="88"/>
  <c r="N178" i="87" s="1"/>
  <c r="N176" i="87" s="1"/>
  <c r="BI344" i="88"/>
  <c r="M178" i="87" s="1"/>
  <c r="M176" i="87" s="1"/>
  <c r="BH344" i="88"/>
  <c r="L178" i="87" s="1"/>
  <c r="L176" i="87" s="1"/>
  <c r="BG344" i="88"/>
  <c r="K178" i="87" s="1"/>
  <c r="K176" i="87" s="1"/>
  <c r="BE344" i="88"/>
  <c r="BD344" i="88"/>
  <c r="BC344" i="88"/>
  <c r="BB344" i="88"/>
  <c r="BA344" i="88"/>
  <c r="AU342" i="88"/>
  <c r="AC342" i="88"/>
  <c r="W342" i="88"/>
  <c r="V342" i="88"/>
  <c r="U342" i="88"/>
  <c r="Q342" i="88"/>
  <c r="P342" i="88"/>
  <c r="O342" i="88"/>
  <c r="N342" i="88"/>
  <c r="J342" i="88"/>
  <c r="G342" i="88"/>
  <c r="AU341" i="88"/>
  <c r="AI341" i="88"/>
  <c r="W341" i="88"/>
  <c r="V341" i="88"/>
  <c r="U341" i="88"/>
  <c r="Q341" i="88"/>
  <c r="P341" i="88"/>
  <c r="O341" i="88"/>
  <c r="N341" i="88"/>
  <c r="J341" i="88"/>
  <c r="AB341" i="88" s="1"/>
  <c r="G341" i="88"/>
  <c r="AU340" i="88"/>
  <c r="AI340" i="88"/>
  <c r="W340" i="88"/>
  <c r="V340" i="88"/>
  <c r="U340" i="88"/>
  <c r="Q340" i="88"/>
  <c r="P340" i="88"/>
  <c r="O340" i="88"/>
  <c r="N340" i="88"/>
  <c r="J340" i="88"/>
  <c r="AB340" i="88" s="1"/>
  <c r="G340" i="88"/>
  <c r="AU339" i="88"/>
  <c r="AI339" i="88"/>
  <c r="Q339" i="88"/>
  <c r="P339" i="88"/>
  <c r="O339" i="88"/>
  <c r="N339" i="88"/>
  <c r="J339" i="88"/>
  <c r="AB339" i="88" s="1"/>
  <c r="G339" i="88"/>
  <c r="AU338" i="88"/>
  <c r="AI338" i="88"/>
  <c r="W338" i="88"/>
  <c r="V338" i="88"/>
  <c r="U338" i="88"/>
  <c r="Q338" i="88"/>
  <c r="P338" i="88"/>
  <c r="O338" i="88"/>
  <c r="N338" i="88"/>
  <c r="J338" i="88"/>
  <c r="AB338" i="88" s="1"/>
  <c r="G338" i="88"/>
  <c r="AU337" i="88"/>
  <c r="AI337" i="88"/>
  <c r="AC337" i="88"/>
  <c r="W337" i="88"/>
  <c r="V337" i="88"/>
  <c r="U337" i="88"/>
  <c r="Q337" i="88"/>
  <c r="P337" i="88"/>
  <c r="O337" i="88"/>
  <c r="N337" i="88"/>
  <c r="J337" i="88"/>
  <c r="G337" i="88"/>
  <c r="AU336" i="88"/>
  <c r="AI336" i="88"/>
  <c r="AC336" i="88"/>
  <c r="Q336" i="88"/>
  <c r="P336" i="88"/>
  <c r="O336" i="88"/>
  <c r="N336" i="88"/>
  <c r="J336" i="88"/>
  <c r="G336" i="88"/>
  <c r="AU335" i="88"/>
  <c r="AI335" i="88"/>
  <c r="AC335" i="88"/>
  <c r="W335" i="88"/>
  <c r="V335" i="88"/>
  <c r="U335" i="88"/>
  <c r="Q335" i="88"/>
  <c r="P335" i="88"/>
  <c r="O335" i="88"/>
  <c r="N335" i="88"/>
  <c r="J335" i="88"/>
  <c r="G335" i="88"/>
  <c r="AU334" i="88"/>
  <c r="AI334" i="88"/>
  <c r="W334" i="88"/>
  <c r="V334" i="88"/>
  <c r="U334" i="88"/>
  <c r="Q334" i="88"/>
  <c r="P334" i="88"/>
  <c r="O334" i="88"/>
  <c r="N334" i="88"/>
  <c r="J334" i="88"/>
  <c r="AB334" i="88" s="1"/>
  <c r="G334" i="88"/>
  <c r="AU333" i="88"/>
  <c r="AI333" i="88"/>
  <c r="AC333" i="88"/>
  <c r="W333" i="88"/>
  <c r="V333" i="88"/>
  <c r="U333" i="88"/>
  <c r="Q333" i="88"/>
  <c r="P333" i="88"/>
  <c r="O333" i="88"/>
  <c r="N333" i="88"/>
  <c r="J333" i="88"/>
  <c r="G333" i="88"/>
  <c r="AU332" i="88"/>
  <c r="AI332" i="88"/>
  <c r="AC332" i="88"/>
  <c r="Q332" i="88"/>
  <c r="P332" i="88"/>
  <c r="O332" i="88"/>
  <c r="N332" i="88"/>
  <c r="J332" i="88"/>
  <c r="G332" i="88"/>
  <c r="AU331" i="88"/>
  <c r="AI331" i="88"/>
  <c r="AC331" i="88"/>
  <c r="Q331" i="88"/>
  <c r="P331" i="88"/>
  <c r="O331" i="88"/>
  <c r="N331" i="88"/>
  <c r="J331" i="88"/>
  <c r="G331" i="88"/>
  <c r="AU330" i="88"/>
  <c r="AI330" i="88"/>
  <c r="Q330" i="88"/>
  <c r="P330" i="88"/>
  <c r="O330" i="88"/>
  <c r="N330" i="88"/>
  <c r="J330" i="88"/>
  <c r="AB330" i="88" s="1"/>
  <c r="G330" i="88"/>
  <c r="AU329" i="88"/>
  <c r="AC329" i="88"/>
  <c r="W329" i="88"/>
  <c r="V329" i="88"/>
  <c r="U329" i="88"/>
  <c r="Q329" i="88"/>
  <c r="P329" i="88"/>
  <c r="O329" i="88"/>
  <c r="N329" i="88"/>
  <c r="J329" i="88"/>
  <c r="G329" i="88"/>
  <c r="AU328" i="88"/>
  <c r="AI328" i="88"/>
  <c r="AC328" i="88"/>
  <c r="Q328" i="88"/>
  <c r="P328" i="88"/>
  <c r="O328" i="88"/>
  <c r="N328" i="88"/>
  <c r="J328" i="88"/>
  <c r="G328" i="88"/>
  <c r="AU327" i="88"/>
  <c r="AI327" i="88"/>
  <c r="AC327" i="88"/>
  <c r="W327" i="88"/>
  <c r="V327" i="88"/>
  <c r="U327" i="88"/>
  <c r="Q327" i="88"/>
  <c r="P327" i="88"/>
  <c r="O327" i="88"/>
  <c r="N327" i="88"/>
  <c r="J327" i="88"/>
  <c r="G327" i="88"/>
  <c r="AU326" i="88"/>
  <c r="AI326" i="88"/>
  <c r="AC326" i="88"/>
  <c r="Q326" i="88"/>
  <c r="P326" i="88"/>
  <c r="O326" i="88"/>
  <c r="N326" i="88"/>
  <c r="J326" i="88"/>
  <c r="G326" i="88"/>
  <c r="AU325" i="88"/>
  <c r="AI325" i="88"/>
  <c r="AC325" i="88"/>
  <c r="W325" i="88"/>
  <c r="V325" i="88"/>
  <c r="U325" i="88"/>
  <c r="Q325" i="88"/>
  <c r="P325" i="88"/>
  <c r="O325" i="88"/>
  <c r="N325" i="88"/>
  <c r="J325" i="88"/>
  <c r="G325" i="88"/>
  <c r="AU324" i="88"/>
  <c r="AI324" i="88"/>
  <c r="AC324" i="88"/>
  <c r="W324" i="88"/>
  <c r="V324" i="88"/>
  <c r="U324" i="88"/>
  <c r="Q324" i="88"/>
  <c r="P324" i="88"/>
  <c r="O324" i="88"/>
  <c r="N324" i="88"/>
  <c r="J324" i="88"/>
  <c r="G324" i="88"/>
  <c r="AU323" i="88"/>
  <c r="AI323" i="88"/>
  <c r="Q323" i="88"/>
  <c r="P323" i="88"/>
  <c r="O323" i="88"/>
  <c r="N323" i="88"/>
  <c r="J323" i="88"/>
  <c r="AB323" i="88" s="1"/>
  <c r="G323" i="88"/>
  <c r="AU322" i="88"/>
  <c r="AI322" i="88"/>
  <c r="AC322" i="88"/>
  <c r="W322" i="88"/>
  <c r="V322" i="88"/>
  <c r="U322" i="88"/>
  <c r="Q322" i="88"/>
  <c r="P322" i="88"/>
  <c r="O322" i="88"/>
  <c r="N322" i="88"/>
  <c r="J322" i="88"/>
  <c r="G322" i="88"/>
  <c r="AU321" i="88"/>
  <c r="AI321" i="88"/>
  <c r="Q321" i="88"/>
  <c r="P321" i="88"/>
  <c r="O321" i="88"/>
  <c r="N321" i="88"/>
  <c r="J321" i="88"/>
  <c r="AB321" i="88" s="1"/>
  <c r="G321" i="88"/>
  <c r="AU320" i="88"/>
  <c r="AI320" i="88"/>
  <c r="Q320" i="88"/>
  <c r="P320" i="88"/>
  <c r="O320" i="88"/>
  <c r="N320" i="88"/>
  <c r="J320" i="88"/>
  <c r="AB320" i="88" s="1"/>
  <c r="G320" i="88"/>
  <c r="AU319" i="88"/>
  <c r="AI319" i="88"/>
  <c r="AC319" i="88"/>
  <c r="Q319" i="88"/>
  <c r="P319" i="88"/>
  <c r="O319" i="88"/>
  <c r="N319" i="88"/>
  <c r="J319" i="88"/>
  <c r="G319" i="88"/>
  <c r="AU318" i="88"/>
  <c r="AI318" i="88"/>
  <c r="W318" i="88"/>
  <c r="V318" i="88"/>
  <c r="U318" i="88"/>
  <c r="Q318" i="88"/>
  <c r="P318" i="88"/>
  <c r="O318" i="88"/>
  <c r="N318" i="88"/>
  <c r="J318" i="88"/>
  <c r="AB318" i="88" s="1"/>
  <c r="G318" i="88"/>
  <c r="AU317" i="88"/>
  <c r="AI317" i="88"/>
  <c r="AC317" i="88"/>
  <c r="Q317" i="88"/>
  <c r="P317" i="88"/>
  <c r="O317" i="88"/>
  <c r="N317" i="88"/>
  <c r="J317" i="88"/>
  <c r="G317" i="88"/>
  <c r="AU316" i="88"/>
  <c r="AI316" i="88"/>
  <c r="Q316" i="88"/>
  <c r="P316" i="88"/>
  <c r="O316" i="88"/>
  <c r="N316" i="88"/>
  <c r="J316" i="88"/>
  <c r="G316" i="88"/>
  <c r="AU315" i="88"/>
  <c r="AC315" i="88"/>
  <c r="W315" i="88"/>
  <c r="V315" i="88"/>
  <c r="U315" i="88"/>
  <c r="Q315" i="88"/>
  <c r="P315" i="88"/>
  <c r="O315" i="88"/>
  <c r="N315" i="88"/>
  <c r="J315" i="88"/>
  <c r="G315" i="88"/>
  <c r="AU314" i="88"/>
  <c r="AI314" i="88"/>
  <c r="AC314" i="88"/>
  <c r="Q314" i="88"/>
  <c r="P314" i="88"/>
  <c r="O314" i="88"/>
  <c r="N314" i="88"/>
  <c r="J314" i="88"/>
  <c r="G314" i="88"/>
  <c r="AU313" i="88"/>
  <c r="AI313" i="88"/>
  <c r="Q313" i="88"/>
  <c r="P313" i="88"/>
  <c r="O313" i="88"/>
  <c r="N313" i="88"/>
  <c r="J313" i="88"/>
  <c r="AB313" i="88" s="1"/>
  <c r="G313" i="88"/>
  <c r="AU312" i="88"/>
  <c r="AC312" i="88"/>
  <c r="W312" i="88"/>
  <c r="V312" i="88"/>
  <c r="U312" i="88"/>
  <c r="Q312" i="88"/>
  <c r="P312" i="88"/>
  <c r="O312" i="88"/>
  <c r="N312" i="88"/>
  <c r="J312" i="88"/>
  <c r="G312" i="88"/>
  <c r="AU311" i="88"/>
  <c r="AI311" i="88"/>
  <c r="W311" i="88"/>
  <c r="V311" i="88"/>
  <c r="U311" i="88"/>
  <c r="Q311" i="88"/>
  <c r="P311" i="88"/>
  <c r="O311" i="88"/>
  <c r="N311" i="88"/>
  <c r="J311" i="88"/>
  <c r="G311" i="88"/>
  <c r="AU310" i="88"/>
  <c r="AI310" i="88"/>
  <c r="AC310" i="88"/>
  <c r="Q310" i="88"/>
  <c r="P310" i="88"/>
  <c r="O310" i="88"/>
  <c r="N310" i="88"/>
  <c r="J310" i="88"/>
  <c r="U310" i="88" s="1"/>
  <c r="V310" i="88" s="1"/>
  <c r="W310" i="88" s="1"/>
  <c r="G310" i="88"/>
  <c r="AU309" i="88"/>
  <c r="AI309" i="88"/>
  <c r="W309" i="88"/>
  <c r="V309" i="88"/>
  <c r="U309" i="88"/>
  <c r="Q309" i="88"/>
  <c r="P309" i="88"/>
  <c r="O309" i="88"/>
  <c r="N309" i="88"/>
  <c r="J309" i="88"/>
  <c r="G309" i="88"/>
  <c r="AU308" i="88"/>
  <c r="Q308" i="88"/>
  <c r="P308" i="88"/>
  <c r="O308" i="88"/>
  <c r="N308" i="88"/>
  <c r="J308" i="88"/>
  <c r="AB308" i="88" s="1"/>
  <c r="G308" i="88"/>
  <c r="AU307" i="88"/>
  <c r="Q307" i="88"/>
  <c r="P307" i="88"/>
  <c r="O307" i="88"/>
  <c r="N307" i="88"/>
  <c r="J307" i="88"/>
  <c r="G307" i="88"/>
  <c r="AU306" i="88"/>
  <c r="Q306" i="88"/>
  <c r="P306" i="88"/>
  <c r="O306" i="88"/>
  <c r="N306" i="88"/>
  <c r="J306" i="88"/>
  <c r="AB306" i="88" s="1"/>
  <c r="G306" i="88"/>
  <c r="AU305" i="88"/>
  <c r="Q305" i="88"/>
  <c r="P305" i="88"/>
  <c r="O305" i="88"/>
  <c r="N305" i="88"/>
  <c r="J305" i="88"/>
  <c r="AB305" i="88" s="1"/>
  <c r="G305" i="88"/>
  <c r="AU304" i="88"/>
  <c r="Q304" i="88"/>
  <c r="P304" i="88"/>
  <c r="O304" i="88"/>
  <c r="N304" i="88"/>
  <c r="J304" i="88"/>
  <c r="AB304" i="88" s="1"/>
  <c r="G304" i="88"/>
  <c r="AU303" i="88"/>
  <c r="Q303" i="88"/>
  <c r="P303" i="88"/>
  <c r="O303" i="88"/>
  <c r="N303" i="88"/>
  <c r="J303" i="88"/>
  <c r="G303" i="88"/>
  <c r="AU302" i="88"/>
  <c r="AI302" i="88"/>
  <c r="AC302" i="88"/>
  <c r="Q302" i="88"/>
  <c r="P302" i="88"/>
  <c r="O302" i="88"/>
  <c r="N302" i="88"/>
  <c r="J302" i="88"/>
  <c r="G302" i="88"/>
  <c r="AU301" i="88"/>
  <c r="AI301" i="88"/>
  <c r="AC301" i="88"/>
  <c r="W301" i="88"/>
  <c r="V301" i="88"/>
  <c r="U301" i="88"/>
  <c r="Q301" i="88"/>
  <c r="P301" i="88"/>
  <c r="O301" i="88"/>
  <c r="N301" i="88"/>
  <c r="J301" i="88"/>
  <c r="G301" i="88"/>
  <c r="AU300" i="88"/>
  <c r="AI300" i="88"/>
  <c r="Q300" i="88"/>
  <c r="P300" i="88"/>
  <c r="O300" i="88"/>
  <c r="N300" i="88"/>
  <c r="J300" i="88"/>
  <c r="G300" i="88"/>
  <c r="AU299" i="88"/>
  <c r="AI299" i="88"/>
  <c r="Q299" i="88"/>
  <c r="P299" i="88"/>
  <c r="O299" i="88"/>
  <c r="N299" i="88"/>
  <c r="J299" i="88"/>
  <c r="G299" i="88"/>
  <c r="AU298" i="88"/>
  <c r="AI298" i="88"/>
  <c r="AC298" i="88"/>
  <c r="W298" i="88"/>
  <c r="V298" i="88"/>
  <c r="U298" i="88"/>
  <c r="Q298" i="88"/>
  <c r="P298" i="88"/>
  <c r="O298" i="88"/>
  <c r="N298" i="88"/>
  <c r="J298" i="88"/>
  <c r="G298" i="88"/>
  <c r="AU297" i="88"/>
  <c r="Q297" i="88"/>
  <c r="P297" i="88"/>
  <c r="O297" i="88"/>
  <c r="N297" i="88"/>
  <c r="J297" i="88"/>
  <c r="AB297" i="88" s="1"/>
  <c r="G297" i="88"/>
  <c r="AU296" i="88"/>
  <c r="AI296" i="88"/>
  <c r="Q296" i="88"/>
  <c r="P296" i="88"/>
  <c r="O296" i="88"/>
  <c r="N296" i="88"/>
  <c r="J296" i="88"/>
  <c r="AB296" i="88" s="1"/>
  <c r="G296" i="88"/>
  <c r="AU295" i="88"/>
  <c r="AC295" i="88"/>
  <c r="W295" i="88"/>
  <c r="V295" i="88"/>
  <c r="U295" i="88"/>
  <c r="Q295" i="88"/>
  <c r="P295" i="88"/>
  <c r="O295" i="88"/>
  <c r="N295" i="88"/>
  <c r="J295" i="88"/>
  <c r="G295" i="88"/>
  <c r="AU294" i="88"/>
  <c r="W294" i="88"/>
  <c r="V294" i="88"/>
  <c r="U294" i="88"/>
  <c r="Q294" i="88"/>
  <c r="P294" i="88"/>
  <c r="O294" i="88"/>
  <c r="N294" i="88"/>
  <c r="J294" i="88"/>
  <c r="AB294" i="88" s="1"/>
  <c r="G294" i="88"/>
  <c r="AU293" i="88"/>
  <c r="AI293" i="88"/>
  <c r="AC293" i="88"/>
  <c r="Q293" i="88"/>
  <c r="P293" i="88"/>
  <c r="O293" i="88"/>
  <c r="N293" i="88"/>
  <c r="J293" i="88"/>
  <c r="G293" i="88"/>
  <c r="AU292" i="88"/>
  <c r="AC292" i="88"/>
  <c r="W292" i="88"/>
  <c r="V292" i="88"/>
  <c r="U292" i="88"/>
  <c r="Q292" i="88"/>
  <c r="P292" i="88"/>
  <c r="O292" i="88"/>
  <c r="N292" i="88"/>
  <c r="J292" i="88"/>
  <c r="G292" i="88"/>
  <c r="AU291" i="88"/>
  <c r="AI291" i="88"/>
  <c r="Q291" i="88"/>
  <c r="P291" i="88"/>
  <c r="O291" i="88"/>
  <c r="N291" i="88"/>
  <c r="J291" i="88"/>
  <c r="G291" i="88"/>
  <c r="AU290" i="88"/>
  <c r="Q290" i="88"/>
  <c r="P290" i="88"/>
  <c r="O290" i="88"/>
  <c r="N290" i="88"/>
  <c r="J290" i="88"/>
  <c r="G290" i="88"/>
  <c r="AU289" i="88"/>
  <c r="Q289" i="88"/>
  <c r="P289" i="88"/>
  <c r="O289" i="88"/>
  <c r="N289" i="88"/>
  <c r="J289" i="88"/>
  <c r="AB289" i="88" s="1"/>
  <c r="G289" i="88"/>
  <c r="AU288" i="88"/>
  <c r="Q288" i="88"/>
  <c r="P288" i="88"/>
  <c r="O288" i="88"/>
  <c r="N288" i="88"/>
  <c r="J288" i="88"/>
  <c r="AB288" i="88" s="1"/>
  <c r="G288" i="88"/>
  <c r="AU287" i="88"/>
  <c r="Q287" i="88"/>
  <c r="P287" i="88"/>
  <c r="O287" i="88"/>
  <c r="N287" i="88"/>
  <c r="J287" i="88"/>
  <c r="AB287" i="88" s="1"/>
  <c r="G287" i="88"/>
  <c r="AU286" i="88"/>
  <c r="Q286" i="88"/>
  <c r="P286" i="88"/>
  <c r="O286" i="88"/>
  <c r="N286" i="88"/>
  <c r="J286" i="88"/>
  <c r="AB286" i="88" s="1"/>
  <c r="G286" i="88"/>
  <c r="AU285" i="88"/>
  <c r="AI285" i="88"/>
  <c r="AC285" i="88"/>
  <c r="Q285" i="88"/>
  <c r="P285" i="88"/>
  <c r="O285" i="88"/>
  <c r="N285" i="88"/>
  <c r="J285" i="88"/>
  <c r="G285" i="88"/>
  <c r="AU284" i="88"/>
  <c r="AI284" i="88"/>
  <c r="AC284" i="88"/>
  <c r="Q284" i="88"/>
  <c r="P284" i="88"/>
  <c r="O284" i="88"/>
  <c r="N284" i="88"/>
  <c r="J284" i="88"/>
  <c r="G284" i="88"/>
  <c r="AU283" i="88"/>
  <c r="AI283" i="88"/>
  <c r="AC283" i="88"/>
  <c r="Q283" i="88"/>
  <c r="P283" i="88"/>
  <c r="O283" i="88"/>
  <c r="N283" i="88"/>
  <c r="J283" i="88"/>
  <c r="G283" i="88"/>
  <c r="AU282" i="88"/>
  <c r="AI282" i="88"/>
  <c r="Q282" i="88"/>
  <c r="P282" i="88"/>
  <c r="O282" i="88"/>
  <c r="N282" i="88"/>
  <c r="J282" i="88"/>
  <c r="G282" i="88"/>
  <c r="AU281" i="88"/>
  <c r="AI281" i="88"/>
  <c r="W281" i="88"/>
  <c r="V281" i="88"/>
  <c r="U281" i="88"/>
  <c r="Q281" i="88"/>
  <c r="P281" i="88"/>
  <c r="O281" i="88"/>
  <c r="N281" i="88"/>
  <c r="J281" i="88"/>
  <c r="G281" i="88"/>
  <c r="AU280" i="88"/>
  <c r="AI280" i="88"/>
  <c r="W280" i="88"/>
  <c r="V280" i="88"/>
  <c r="U280" i="88"/>
  <c r="Q280" i="88"/>
  <c r="P280" i="88"/>
  <c r="O280" i="88"/>
  <c r="N280" i="88"/>
  <c r="J280" i="88"/>
  <c r="AB280" i="88" s="1"/>
  <c r="G280" i="88"/>
  <c r="AU279" i="88"/>
  <c r="Q279" i="88"/>
  <c r="P279" i="88"/>
  <c r="O279" i="88"/>
  <c r="N279" i="88"/>
  <c r="J279" i="88"/>
  <c r="AB279" i="88" s="1"/>
  <c r="G279" i="88"/>
  <c r="AU278" i="88"/>
  <c r="AC278" i="88"/>
  <c r="W278" i="88"/>
  <c r="V278" i="88"/>
  <c r="U278" i="88"/>
  <c r="Q278" i="88"/>
  <c r="P278" i="88"/>
  <c r="O278" i="88"/>
  <c r="N278" i="88"/>
  <c r="J278" i="88"/>
  <c r="G278" i="88"/>
  <c r="AU277" i="88"/>
  <c r="AC277" i="88"/>
  <c r="Q277" i="88"/>
  <c r="P277" i="88"/>
  <c r="O277" i="88"/>
  <c r="N277" i="88"/>
  <c r="J277" i="88"/>
  <c r="AI277" i="88" s="1"/>
  <c r="G277" i="88"/>
  <c r="AU276" i="88"/>
  <c r="AC276" i="88"/>
  <c r="Q276" i="88"/>
  <c r="P276" i="88"/>
  <c r="O276" i="88"/>
  <c r="N276" i="88"/>
  <c r="J276" i="88"/>
  <c r="G276" i="88"/>
  <c r="AU275" i="88"/>
  <c r="AI275" i="88"/>
  <c r="AC275" i="88"/>
  <c r="Q275" i="88"/>
  <c r="P275" i="88"/>
  <c r="O275" i="88"/>
  <c r="N275" i="88"/>
  <c r="J275" i="88"/>
  <c r="G275" i="88"/>
  <c r="AU274" i="88"/>
  <c r="AI274" i="88"/>
  <c r="Q274" i="88"/>
  <c r="P274" i="88"/>
  <c r="O274" i="88"/>
  <c r="N274" i="88"/>
  <c r="J274" i="88"/>
  <c r="G274" i="88"/>
  <c r="AU273" i="88"/>
  <c r="AC273" i="88"/>
  <c r="W273" i="88"/>
  <c r="V273" i="88"/>
  <c r="U273" i="88"/>
  <c r="Q273" i="88"/>
  <c r="P273" i="88"/>
  <c r="O273" i="88"/>
  <c r="N273" i="88"/>
  <c r="J273" i="88"/>
  <c r="G273" i="88"/>
  <c r="AU272" i="88"/>
  <c r="AI272" i="88"/>
  <c r="Q272" i="88"/>
  <c r="P272" i="88"/>
  <c r="O272" i="88"/>
  <c r="N272" i="88"/>
  <c r="J272" i="88"/>
  <c r="AB272" i="88" s="1"/>
  <c r="G272" i="88"/>
  <c r="AU271" i="88"/>
  <c r="AC271" i="88"/>
  <c r="W271" i="88"/>
  <c r="V271" i="88"/>
  <c r="U271" i="88"/>
  <c r="Q271" i="88"/>
  <c r="P271" i="88"/>
  <c r="O271" i="88"/>
  <c r="N271" i="88"/>
  <c r="J271" i="88"/>
  <c r="G271" i="88"/>
  <c r="AU270" i="88"/>
  <c r="Q270" i="88"/>
  <c r="P270" i="88"/>
  <c r="O270" i="88"/>
  <c r="N270" i="88"/>
  <c r="J270" i="88"/>
  <c r="G270" i="88"/>
  <c r="AU269" i="88"/>
  <c r="AC269" i="88"/>
  <c r="W269" i="88"/>
  <c r="V269" i="88"/>
  <c r="U269" i="88"/>
  <c r="Q269" i="88"/>
  <c r="P269" i="88"/>
  <c r="O269" i="88"/>
  <c r="N269" i="88"/>
  <c r="J269" i="88"/>
  <c r="G269" i="88"/>
  <c r="AU268" i="88"/>
  <c r="W268" i="88"/>
  <c r="V268" i="88"/>
  <c r="U268" i="88"/>
  <c r="Q268" i="88"/>
  <c r="P268" i="88"/>
  <c r="O268" i="88"/>
  <c r="N268" i="88"/>
  <c r="J268" i="88"/>
  <c r="AB268" i="88" s="1"/>
  <c r="G268" i="88"/>
  <c r="AU267" i="88"/>
  <c r="AC267" i="88"/>
  <c r="W267" i="88"/>
  <c r="V267" i="88"/>
  <c r="U267" i="88"/>
  <c r="Q267" i="88"/>
  <c r="P267" i="88"/>
  <c r="O267" i="88"/>
  <c r="N267" i="88"/>
  <c r="J267" i="88"/>
  <c r="G267" i="88"/>
  <c r="AU266" i="88"/>
  <c r="W266" i="88"/>
  <c r="V266" i="88"/>
  <c r="U266" i="88"/>
  <c r="Q266" i="88"/>
  <c r="P266" i="88"/>
  <c r="O266" i="88"/>
  <c r="N266" i="88"/>
  <c r="J266" i="88"/>
  <c r="AB266" i="88" s="1"/>
  <c r="G266" i="88"/>
  <c r="AU265" i="88"/>
  <c r="AI265" i="88"/>
  <c r="AC265" i="88"/>
  <c r="W265" i="88"/>
  <c r="V265" i="88"/>
  <c r="U265" i="88"/>
  <c r="Q265" i="88"/>
  <c r="P265" i="88"/>
  <c r="O265" i="88"/>
  <c r="N265" i="88"/>
  <c r="J265" i="88"/>
  <c r="G265" i="88"/>
  <c r="AU264" i="88"/>
  <c r="AC264" i="88"/>
  <c r="Q264" i="88"/>
  <c r="P264" i="88"/>
  <c r="O264" i="88"/>
  <c r="N264" i="88"/>
  <c r="J264" i="88"/>
  <c r="G264" i="88"/>
  <c r="AU263" i="88"/>
  <c r="AI263" i="88"/>
  <c r="AC263" i="88"/>
  <c r="Q263" i="88"/>
  <c r="P263" i="88"/>
  <c r="O263" i="88"/>
  <c r="N263" i="88"/>
  <c r="J263" i="88"/>
  <c r="G263" i="88"/>
  <c r="AU262" i="88"/>
  <c r="AI262" i="88"/>
  <c r="AC262" i="88"/>
  <c r="Q262" i="88"/>
  <c r="P262" i="88"/>
  <c r="O262" i="88"/>
  <c r="N262" i="88"/>
  <c r="J262" i="88"/>
  <c r="G262" i="88"/>
  <c r="AU261" i="88"/>
  <c r="Q261" i="88"/>
  <c r="P261" i="88"/>
  <c r="O261" i="88"/>
  <c r="N261" i="88"/>
  <c r="J261" i="88"/>
  <c r="G261" i="88"/>
  <c r="AU260" i="88"/>
  <c r="AC260" i="88"/>
  <c r="W260" i="88"/>
  <c r="V260" i="88"/>
  <c r="U260" i="88"/>
  <c r="Q260" i="88"/>
  <c r="P260" i="88"/>
  <c r="O260" i="88"/>
  <c r="N260" i="88"/>
  <c r="J260" i="88"/>
  <c r="G260" i="88"/>
  <c r="AU259" i="88"/>
  <c r="W259" i="88"/>
  <c r="V259" i="88"/>
  <c r="U259" i="88"/>
  <c r="Q259" i="88"/>
  <c r="P259" i="88"/>
  <c r="O259" i="88"/>
  <c r="N259" i="88"/>
  <c r="J259" i="88"/>
  <c r="AB259" i="88" s="1"/>
  <c r="G259" i="88"/>
  <c r="AU258" i="88"/>
  <c r="AC258" i="88"/>
  <c r="Q258" i="88"/>
  <c r="P258" i="88"/>
  <c r="O258" i="88"/>
  <c r="N258" i="88"/>
  <c r="J258" i="88"/>
  <c r="G258" i="88"/>
  <c r="AU257" i="88"/>
  <c r="AC257" i="88"/>
  <c r="Q257" i="88"/>
  <c r="P257" i="88"/>
  <c r="O257" i="88"/>
  <c r="N257" i="88"/>
  <c r="J257" i="88"/>
  <c r="G257" i="88"/>
  <c r="AU256" i="88"/>
  <c r="AI256" i="88"/>
  <c r="Q256" i="88"/>
  <c r="P256" i="88"/>
  <c r="O256" i="88"/>
  <c r="N256" i="88"/>
  <c r="J256" i="88"/>
  <c r="G256" i="88"/>
  <c r="AU255" i="88"/>
  <c r="AI255" i="88"/>
  <c r="Q255" i="88"/>
  <c r="P255" i="88"/>
  <c r="O255" i="88"/>
  <c r="N255" i="88"/>
  <c r="J255" i="88"/>
  <c r="G255" i="88"/>
  <c r="AU254" i="88"/>
  <c r="AI254" i="88"/>
  <c r="Q254" i="88"/>
  <c r="P254" i="88"/>
  <c r="O254" i="88"/>
  <c r="N254" i="88"/>
  <c r="J254" i="88"/>
  <c r="AB254" i="88" s="1"/>
  <c r="G254" i="88"/>
  <c r="AU253" i="88"/>
  <c r="AI253" i="88"/>
  <c r="Q253" i="88"/>
  <c r="P253" i="88"/>
  <c r="O253" i="88"/>
  <c r="N253" i="88"/>
  <c r="J253" i="88"/>
  <c r="AB253" i="88" s="1"/>
  <c r="G253" i="88"/>
  <c r="AU252" i="88"/>
  <c r="AI252" i="88"/>
  <c r="Q252" i="88"/>
  <c r="P252" i="88"/>
  <c r="O252" i="88"/>
  <c r="N252" i="88"/>
  <c r="J252" i="88"/>
  <c r="AB252" i="88" s="1"/>
  <c r="G252" i="88"/>
  <c r="AU251" i="88"/>
  <c r="AI251" i="88"/>
  <c r="W251" i="88"/>
  <c r="V251" i="88"/>
  <c r="U251" i="88"/>
  <c r="Q251" i="88"/>
  <c r="P251" i="88"/>
  <c r="O251" i="88"/>
  <c r="N251" i="88"/>
  <c r="J251" i="88"/>
  <c r="G251" i="88"/>
  <c r="AU250" i="88"/>
  <c r="AI250" i="88"/>
  <c r="Q250" i="88"/>
  <c r="P250" i="88"/>
  <c r="O250" i="88"/>
  <c r="N250" i="88"/>
  <c r="J250" i="88"/>
  <c r="AB250" i="88" s="1"/>
  <c r="G250" i="88"/>
  <c r="AU249" i="88"/>
  <c r="AI249" i="88"/>
  <c r="Q249" i="88"/>
  <c r="P249" i="88"/>
  <c r="O249" i="88"/>
  <c r="N249" i="88"/>
  <c r="J249" i="88"/>
  <c r="AB249" i="88" s="1"/>
  <c r="G249" i="88"/>
  <c r="AU248" i="88"/>
  <c r="AI248" i="88"/>
  <c r="Q248" i="88"/>
  <c r="P248" i="88"/>
  <c r="O248" i="88"/>
  <c r="N248" i="88"/>
  <c r="J248" i="88"/>
  <c r="AB248" i="88" s="1"/>
  <c r="G248" i="88"/>
  <c r="AU247" i="88"/>
  <c r="AI247" i="88"/>
  <c r="Q247" i="88"/>
  <c r="P247" i="88"/>
  <c r="O247" i="88"/>
  <c r="N247" i="88"/>
  <c r="J247" i="88"/>
  <c r="G247" i="88"/>
  <c r="AU246" i="88"/>
  <c r="AI246" i="88"/>
  <c r="Q246" i="88"/>
  <c r="P246" i="88"/>
  <c r="O246" i="88"/>
  <c r="N246" i="88"/>
  <c r="J246" i="88"/>
  <c r="G246" i="88"/>
  <c r="AU245" i="88"/>
  <c r="AI245" i="88"/>
  <c r="Q245" i="88"/>
  <c r="P245" i="88"/>
  <c r="O245" i="88"/>
  <c r="N245" i="88"/>
  <c r="J245" i="88"/>
  <c r="AB245" i="88" s="1"/>
  <c r="G245" i="88"/>
  <c r="AU244" i="88"/>
  <c r="AI244" i="88"/>
  <c r="W244" i="88"/>
  <c r="V244" i="88"/>
  <c r="U244" i="88"/>
  <c r="Q244" i="88"/>
  <c r="P244" i="88"/>
  <c r="O244" i="88"/>
  <c r="N244" i="88"/>
  <c r="J244" i="88"/>
  <c r="AB244" i="88" s="1"/>
  <c r="G244" i="88"/>
  <c r="AU243" i="88"/>
  <c r="AC243" i="88"/>
  <c r="W243" i="88"/>
  <c r="V243" i="88"/>
  <c r="U243" i="88"/>
  <c r="Q243" i="88"/>
  <c r="P243" i="88"/>
  <c r="O243" i="88"/>
  <c r="N243" i="88"/>
  <c r="J243" i="88"/>
  <c r="G243" i="88"/>
  <c r="AU242" i="88"/>
  <c r="AI242" i="88"/>
  <c r="Q242" i="88"/>
  <c r="P242" i="88"/>
  <c r="O242" i="88"/>
  <c r="N242" i="88"/>
  <c r="J242" i="88"/>
  <c r="AB242" i="88" s="1"/>
  <c r="G242" i="88"/>
  <c r="AU241" i="88"/>
  <c r="Q241" i="88"/>
  <c r="P241" i="88"/>
  <c r="O241" i="88"/>
  <c r="N241" i="88"/>
  <c r="J241" i="88"/>
  <c r="G241" i="88"/>
  <c r="AU240" i="88"/>
  <c r="Q240" i="88"/>
  <c r="P240" i="88"/>
  <c r="O240" i="88"/>
  <c r="N240" i="88"/>
  <c r="J240" i="88"/>
  <c r="AB240" i="88" s="1"/>
  <c r="G240" i="88"/>
  <c r="AU239" i="88"/>
  <c r="Q239" i="88"/>
  <c r="P239" i="88"/>
  <c r="O239" i="88"/>
  <c r="N239" i="88"/>
  <c r="J239" i="88"/>
  <c r="AB239" i="88" s="1"/>
  <c r="G239" i="88"/>
  <c r="AU238" i="88"/>
  <c r="Q238" i="88"/>
  <c r="P238" i="88"/>
  <c r="O238" i="88"/>
  <c r="N238" i="88"/>
  <c r="J238" i="88"/>
  <c r="AB238" i="88" s="1"/>
  <c r="G238" i="88"/>
  <c r="AU237" i="88"/>
  <c r="Q237" i="88"/>
  <c r="P237" i="88"/>
  <c r="O237" i="88"/>
  <c r="N237" i="88"/>
  <c r="J237" i="88"/>
  <c r="AB237" i="88" s="1"/>
  <c r="G237" i="88"/>
  <c r="AU236" i="88"/>
  <c r="Q236" i="88"/>
  <c r="P236" i="88"/>
  <c r="O236" i="88"/>
  <c r="N236" i="88"/>
  <c r="J236" i="88"/>
  <c r="AB236" i="88" s="1"/>
  <c r="G236" i="88"/>
  <c r="AU235" i="88"/>
  <c r="AC235" i="88"/>
  <c r="W235" i="88"/>
  <c r="V235" i="88"/>
  <c r="U235" i="88"/>
  <c r="Q235" i="88"/>
  <c r="P235" i="88"/>
  <c r="O235" i="88"/>
  <c r="N235" i="88"/>
  <c r="J235" i="88"/>
  <c r="G235" i="88"/>
  <c r="AU234" i="88"/>
  <c r="W234" i="88"/>
  <c r="V234" i="88"/>
  <c r="U234" i="88"/>
  <c r="Q234" i="88"/>
  <c r="P234" i="88"/>
  <c r="O234" i="88"/>
  <c r="N234" i="88"/>
  <c r="J234" i="88"/>
  <c r="G234" i="88"/>
  <c r="AU233" i="88"/>
  <c r="Q233" i="88"/>
  <c r="P233" i="88"/>
  <c r="O233" i="88"/>
  <c r="N233" i="88"/>
  <c r="J233" i="88"/>
  <c r="G233" i="88"/>
  <c r="AU232" i="88"/>
  <c r="Q232" i="88"/>
  <c r="P232" i="88"/>
  <c r="O232" i="88"/>
  <c r="N232" i="88"/>
  <c r="J232" i="88"/>
  <c r="AB232" i="88" s="1"/>
  <c r="G232" i="88"/>
  <c r="AU231" i="88"/>
  <c r="AI231" i="88"/>
  <c r="Q231" i="88"/>
  <c r="P231" i="88"/>
  <c r="O231" i="88"/>
  <c r="N231" i="88"/>
  <c r="J231" i="88"/>
  <c r="AB231" i="88" s="1"/>
  <c r="G231" i="88"/>
  <c r="AU230" i="88"/>
  <c r="AI230" i="88"/>
  <c r="AC230" i="88"/>
  <c r="Q230" i="88"/>
  <c r="P230" i="88"/>
  <c r="O230" i="88"/>
  <c r="N230" i="88"/>
  <c r="J230" i="88"/>
  <c r="G230" i="88"/>
  <c r="AU229" i="88"/>
  <c r="AI229" i="88"/>
  <c r="Q229" i="88"/>
  <c r="P229" i="88"/>
  <c r="O229" i="88"/>
  <c r="N229" i="88"/>
  <c r="J229" i="88"/>
  <c r="AB229" i="88" s="1"/>
  <c r="G229" i="88"/>
  <c r="AU228" i="88"/>
  <c r="AI228" i="88"/>
  <c r="W228" i="88"/>
  <c r="V228" i="88"/>
  <c r="U228" i="88"/>
  <c r="Q228" i="88"/>
  <c r="P228" i="88"/>
  <c r="O228" i="88"/>
  <c r="N228" i="88"/>
  <c r="J228" i="88"/>
  <c r="G228" i="88"/>
  <c r="AU227" i="88"/>
  <c r="Q227" i="88"/>
  <c r="P227" i="88"/>
  <c r="O227" i="88"/>
  <c r="N227" i="88"/>
  <c r="J227" i="88"/>
  <c r="G227" i="88"/>
  <c r="AU226" i="88"/>
  <c r="AI226" i="88"/>
  <c r="W226" i="88"/>
  <c r="V226" i="88"/>
  <c r="U226" i="88"/>
  <c r="Q226" i="88"/>
  <c r="P226" i="88"/>
  <c r="O226" i="88"/>
  <c r="N226" i="88"/>
  <c r="J226" i="88"/>
  <c r="AB226" i="88" s="1"/>
  <c r="G226" i="88"/>
  <c r="AU225" i="88"/>
  <c r="W225" i="88"/>
  <c r="V225" i="88"/>
  <c r="U225" i="88"/>
  <c r="Q225" i="88"/>
  <c r="P225" i="88"/>
  <c r="O225" i="88"/>
  <c r="N225" i="88"/>
  <c r="J225" i="88"/>
  <c r="AB225" i="88" s="1"/>
  <c r="G225" i="88"/>
  <c r="AU224" i="88"/>
  <c r="AI224" i="88"/>
  <c r="Q224" i="88"/>
  <c r="P224" i="88"/>
  <c r="O224" i="88"/>
  <c r="N224" i="88"/>
  <c r="J224" i="88"/>
  <c r="AB224" i="88" s="1"/>
  <c r="G224" i="88"/>
  <c r="AU223" i="88"/>
  <c r="AC223" i="88"/>
  <c r="W223" i="88"/>
  <c r="V223" i="88"/>
  <c r="U223" i="88"/>
  <c r="Q223" i="88"/>
  <c r="P223" i="88"/>
  <c r="O223" i="88"/>
  <c r="N223" i="88"/>
  <c r="J223" i="88"/>
  <c r="G223" i="88"/>
  <c r="AU222" i="88"/>
  <c r="AI222" i="88"/>
  <c r="Q222" i="88"/>
  <c r="P222" i="88"/>
  <c r="O222" i="88"/>
  <c r="N222" i="88"/>
  <c r="J222" i="88"/>
  <c r="U222" i="88" s="1"/>
  <c r="V222" i="88" s="1"/>
  <c r="G222" i="88"/>
  <c r="AU221" i="88"/>
  <c r="AI221" i="88"/>
  <c r="W221" i="88"/>
  <c r="V221" i="88"/>
  <c r="U221" i="88"/>
  <c r="Q221" i="88"/>
  <c r="P221" i="88"/>
  <c r="O221" i="88"/>
  <c r="N221" i="88"/>
  <c r="J221" i="88"/>
  <c r="G221" i="88"/>
  <c r="AU220" i="88"/>
  <c r="W220" i="88"/>
  <c r="V220" i="88"/>
  <c r="U220" i="88"/>
  <c r="Q220" i="88"/>
  <c r="P220" i="88"/>
  <c r="O220" i="88"/>
  <c r="N220" i="88"/>
  <c r="J220" i="88"/>
  <c r="AB220" i="88" s="1"/>
  <c r="G220" i="88"/>
  <c r="AU219" i="88"/>
  <c r="AI219" i="88"/>
  <c r="W219" i="88"/>
  <c r="V219" i="88"/>
  <c r="U219" i="88"/>
  <c r="Q219" i="88"/>
  <c r="P219" i="88"/>
  <c r="O219" i="88"/>
  <c r="N219" i="88"/>
  <c r="J219" i="88"/>
  <c r="AB219" i="88" s="1"/>
  <c r="G219" i="88"/>
  <c r="AU218" i="88"/>
  <c r="W218" i="88"/>
  <c r="V218" i="88"/>
  <c r="U218" i="88"/>
  <c r="Q218" i="88"/>
  <c r="P218" i="88"/>
  <c r="O218" i="88"/>
  <c r="N218" i="88"/>
  <c r="J218" i="88"/>
  <c r="G218" i="88"/>
  <c r="AU217" i="88"/>
  <c r="AI217" i="88"/>
  <c r="Q217" i="88"/>
  <c r="P217" i="88"/>
  <c r="O217" i="88"/>
  <c r="N217" i="88"/>
  <c r="J217" i="88"/>
  <c r="G217" i="88"/>
  <c r="AU216" i="88"/>
  <c r="Q216" i="88"/>
  <c r="P216" i="88"/>
  <c r="O216" i="88"/>
  <c r="N216" i="88"/>
  <c r="J216" i="88"/>
  <c r="AB216" i="88" s="1"/>
  <c r="G216" i="88"/>
  <c r="AU215" i="88"/>
  <c r="AI215" i="88"/>
  <c r="Q215" i="88"/>
  <c r="P215" i="88"/>
  <c r="O215" i="88"/>
  <c r="N215" i="88"/>
  <c r="J215" i="88"/>
  <c r="AB215" i="88" s="1"/>
  <c r="G215" i="88"/>
  <c r="AU214" i="88"/>
  <c r="AI214" i="88"/>
  <c r="Q214" i="88"/>
  <c r="P214" i="88"/>
  <c r="O214" i="88"/>
  <c r="N214" i="88"/>
  <c r="J214" i="88"/>
  <c r="AB214" i="88" s="1"/>
  <c r="G214" i="88"/>
  <c r="AU213" i="88"/>
  <c r="AI213" i="88"/>
  <c r="Q213" i="88"/>
  <c r="P213" i="88"/>
  <c r="O213" i="88"/>
  <c r="N213" i="88"/>
  <c r="J213" i="88"/>
  <c r="AB213" i="88" s="1"/>
  <c r="G213" i="88"/>
  <c r="AU212" i="88"/>
  <c r="AI212" i="88"/>
  <c r="W212" i="88"/>
  <c r="V212" i="88"/>
  <c r="U212" i="88"/>
  <c r="Q212" i="88"/>
  <c r="P212" i="88"/>
  <c r="O212" i="88"/>
  <c r="N212" i="88"/>
  <c r="J212" i="88"/>
  <c r="G212" i="88"/>
  <c r="AU211" i="88"/>
  <c r="AI211" i="88"/>
  <c r="AC211" i="88"/>
  <c r="W211" i="88"/>
  <c r="V211" i="88"/>
  <c r="U211" i="88"/>
  <c r="Q211" i="88"/>
  <c r="P211" i="88"/>
  <c r="O211" i="88"/>
  <c r="N211" i="88"/>
  <c r="J211" i="88"/>
  <c r="G211" i="88"/>
  <c r="AU210" i="88"/>
  <c r="W210" i="88"/>
  <c r="V210" i="88"/>
  <c r="U210" i="88"/>
  <c r="Q210" i="88"/>
  <c r="P210" i="88"/>
  <c r="O210" i="88"/>
  <c r="N210" i="88"/>
  <c r="J210" i="88"/>
  <c r="AB210" i="88" s="1"/>
  <c r="G210" i="88"/>
  <c r="AU209" i="88"/>
  <c r="AI209" i="88"/>
  <c r="W209" i="88"/>
  <c r="V209" i="88"/>
  <c r="U209" i="88"/>
  <c r="Q209" i="88"/>
  <c r="P209" i="88"/>
  <c r="O209" i="88"/>
  <c r="N209" i="88"/>
  <c r="J209" i="88"/>
  <c r="G209" i="88"/>
  <c r="AU208" i="88"/>
  <c r="W208" i="88"/>
  <c r="V208" i="88"/>
  <c r="U208" i="88"/>
  <c r="Q208" i="88"/>
  <c r="P208" i="88"/>
  <c r="O208" i="88"/>
  <c r="N208" i="88"/>
  <c r="J208" i="88"/>
  <c r="G208" i="88"/>
  <c r="AU207" i="88"/>
  <c r="W207" i="88"/>
  <c r="V207" i="88"/>
  <c r="U207" i="88"/>
  <c r="Q207" i="88"/>
  <c r="P207" i="88"/>
  <c r="O207" i="88"/>
  <c r="N207" i="88"/>
  <c r="J207" i="88"/>
  <c r="AB207" i="88" s="1"/>
  <c r="G207" i="88"/>
  <c r="AU206" i="88"/>
  <c r="Q206" i="88"/>
  <c r="P206" i="88"/>
  <c r="O206" i="88"/>
  <c r="N206" i="88"/>
  <c r="J206" i="88"/>
  <c r="AB206" i="88" s="1"/>
  <c r="G206" i="88"/>
  <c r="AU205" i="88"/>
  <c r="AC205" i="88"/>
  <c r="W205" i="88"/>
  <c r="V205" i="88"/>
  <c r="U205" i="88"/>
  <c r="Q205" i="88"/>
  <c r="P205" i="88"/>
  <c r="O205" i="88"/>
  <c r="N205" i="88"/>
  <c r="J205" i="88"/>
  <c r="G205" i="88"/>
  <c r="AU204" i="88"/>
  <c r="Q204" i="88"/>
  <c r="P204" i="88"/>
  <c r="O204" i="88"/>
  <c r="N204" i="88"/>
  <c r="J204" i="88"/>
  <c r="AB204" i="88" s="1"/>
  <c r="G204" i="88"/>
  <c r="AU203" i="88"/>
  <c r="AI203" i="88"/>
  <c r="W203" i="88"/>
  <c r="V203" i="88"/>
  <c r="U203" i="88"/>
  <c r="Q203" i="88"/>
  <c r="P203" i="88"/>
  <c r="O203" i="88"/>
  <c r="N203" i="88"/>
  <c r="J203" i="88"/>
  <c r="G203" i="88"/>
  <c r="AU202" i="88"/>
  <c r="AI202" i="88"/>
  <c r="W202" i="88"/>
  <c r="V202" i="88"/>
  <c r="U202" i="88"/>
  <c r="Q202" i="88"/>
  <c r="P202" i="88"/>
  <c r="O202" i="88"/>
  <c r="N202" i="88"/>
  <c r="J202" i="88"/>
  <c r="AB202" i="88" s="1"/>
  <c r="G202" i="88"/>
  <c r="AU201" i="88"/>
  <c r="W201" i="88"/>
  <c r="V201" i="88"/>
  <c r="U201" i="88"/>
  <c r="Q201" i="88"/>
  <c r="P201" i="88"/>
  <c r="O201" i="88"/>
  <c r="N201" i="88"/>
  <c r="J201" i="88"/>
  <c r="G201" i="88"/>
  <c r="AU200" i="88"/>
  <c r="W200" i="88"/>
  <c r="V200" i="88"/>
  <c r="U200" i="88"/>
  <c r="Q200" i="88"/>
  <c r="P200" i="88"/>
  <c r="O200" i="88"/>
  <c r="N200" i="88"/>
  <c r="J200" i="88"/>
  <c r="AB200" i="88" s="1"/>
  <c r="G200" i="88"/>
  <c r="AU199" i="88"/>
  <c r="AC199" i="88"/>
  <c r="W199" i="88"/>
  <c r="V199" i="88"/>
  <c r="U199" i="88"/>
  <c r="Q199" i="88"/>
  <c r="P199" i="88"/>
  <c r="O199" i="88"/>
  <c r="N199" i="88"/>
  <c r="J199" i="88"/>
  <c r="G199" i="88"/>
  <c r="AU198" i="88"/>
  <c r="AI198" i="88"/>
  <c r="W198" i="88"/>
  <c r="V198" i="88"/>
  <c r="U198" i="88"/>
  <c r="Q198" i="88"/>
  <c r="P198" i="88"/>
  <c r="O198" i="88"/>
  <c r="N198" i="88"/>
  <c r="J198" i="88"/>
  <c r="AB198" i="88" s="1"/>
  <c r="G198" i="88"/>
  <c r="AU197" i="88"/>
  <c r="AC197" i="88"/>
  <c r="Q197" i="88"/>
  <c r="P197" i="88"/>
  <c r="O197" i="88"/>
  <c r="N197" i="88"/>
  <c r="J197" i="88"/>
  <c r="G197" i="88"/>
  <c r="AU196" i="88"/>
  <c r="W196" i="88"/>
  <c r="V196" i="88"/>
  <c r="U196" i="88"/>
  <c r="Q196" i="88"/>
  <c r="P196" i="88"/>
  <c r="O196" i="88"/>
  <c r="N196" i="88"/>
  <c r="J196" i="88"/>
  <c r="G196" i="88"/>
  <c r="AU195" i="88"/>
  <c r="AI195" i="88"/>
  <c r="AC195" i="88"/>
  <c r="W195" i="88"/>
  <c r="V195" i="88"/>
  <c r="U195" i="88"/>
  <c r="Q195" i="88"/>
  <c r="P195" i="88"/>
  <c r="O195" i="88"/>
  <c r="N195" i="88"/>
  <c r="J195" i="88"/>
  <c r="G195" i="88"/>
  <c r="AU194" i="88"/>
  <c r="AI194" i="88"/>
  <c r="AC194" i="88"/>
  <c r="Q194" i="88"/>
  <c r="P194" i="88"/>
  <c r="O194" i="88"/>
  <c r="N194" i="88"/>
  <c r="J194" i="88"/>
  <c r="G194" i="88"/>
  <c r="AU193" i="88"/>
  <c r="W193" i="88"/>
  <c r="V193" i="88"/>
  <c r="U193" i="88"/>
  <c r="Q193" i="88"/>
  <c r="P193" i="88"/>
  <c r="O193" i="88"/>
  <c r="N193" i="88"/>
  <c r="J193" i="88"/>
  <c r="AB193" i="88" s="1"/>
  <c r="G193" i="88"/>
  <c r="AU192" i="88"/>
  <c r="Q192" i="88"/>
  <c r="P192" i="88"/>
  <c r="O192" i="88"/>
  <c r="N192" i="88"/>
  <c r="J192" i="88"/>
  <c r="G192" i="88"/>
  <c r="AU191" i="88"/>
  <c r="AC191" i="88"/>
  <c r="W191" i="88"/>
  <c r="V191" i="88"/>
  <c r="U191" i="88"/>
  <c r="Q191" i="88"/>
  <c r="P191" i="88"/>
  <c r="O191" i="88"/>
  <c r="N191" i="88"/>
  <c r="J191" i="88"/>
  <c r="G191" i="88"/>
  <c r="AU190" i="88"/>
  <c r="AC190" i="88"/>
  <c r="W190" i="88"/>
  <c r="V190" i="88"/>
  <c r="U190" i="88"/>
  <c r="Q190" i="88"/>
  <c r="P190" i="88"/>
  <c r="O190" i="88"/>
  <c r="N190" i="88"/>
  <c r="J190" i="88"/>
  <c r="G190" i="88"/>
  <c r="AU189" i="88"/>
  <c r="Q189" i="88"/>
  <c r="P189" i="88"/>
  <c r="O189" i="88"/>
  <c r="N189" i="88"/>
  <c r="J189" i="88"/>
  <c r="AB189" i="88" s="1"/>
  <c r="G189" i="88"/>
  <c r="AU188" i="88"/>
  <c r="AC188" i="88"/>
  <c r="W188" i="88"/>
  <c r="V188" i="88"/>
  <c r="U188" i="88"/>
  <c r="Q188" i="88"/>
  <c r="P188" i="88"/>
  <c r="O188" i="88"/>
  <c r="N188" i="88"/>
  <c r="J188" i="88"/>
  <c r="G188" i="88"/>
  <c r="AU187" i="88"/>
  <c r="AI187" i="88"/>
  <c r="W187" i="88"/>
  <c r="V187" i="88"/>
  <c r="U187" i="88"/>
  <c r="Q187" i="88"/>
  <c r="P187" i="88"/>
  <c r="O187" i="88"/>
  <c r="N187" i="88"/>
  <c r="J187" i="88"/>
  <c r="G187" i="88"/>
  <c r="AU186" i="88"/>
  <c r="AC186" i="88"/>
  <c r="W186" i="88"/>
  <c r="V186" i="88"/>
  <c r="U186" i="88"/>
  <c r="Q186" i="88"/>
  <c r="P186" i="88"/>
  <c r="O186" i="88"/>
  <c r="N186" i="88"/>
  <c r="J186" i="88"/>
  <c r="G186" i="88"/>
  <c r="AU185" i="88"/>
  <c r="AC185" i="88"/>
  <c r="W185" i="88"/>
  <c r="V185" i="88"/>
  <c r="U185" i="88"/>
  <c r="Q185" i="88"/>
  <c r="P185" i="88"/>
  <c r="O185" i="88"/>
  <c r="N185" i="88"/>
  <c r="J185" i="88"/>
  <c r="G185" i="88"/>
  <c r="AU184" i="88"/>
  <c r="AI184" i="88"/>
  <c r="W184" i="88"/>
  <c r="V184" i="88"/>
  <c r="U184" i="88"/>
  <c r="Q184" i="88"/>
  <c r="P184" i="88"/>
  <c r="O184" i="88"/>
  <c r="N184" i="88"/>
  <c r="J184" i="88"/>
  <c r="AB184" i="88" s="1"/>
  <c r="G184" i="88"/>
  <c r="AU183" i="88"/>
  <c r="W183" i="88"/>
  <c r="V183" i="88"/>
  <c r="U183" i="88"/>
  <c r="Q183" i="88"/>
  <c r="P183" i="88"/>
  <c r="O183" i="88"/>
  <c r="N183" i="88"/>
  <c r="J183" i="88"/>
  <c r="G183" i="88"/>
  <c r="AU182" i="88"/>
  <c r="AI182" i="88"/>
  <c r="AC182" i="88"/>
  <c r="Q182" i="88"/>
  <c r="P182" i="88"/>
  <c r="O182" i="88"/>
  <c r="N182" i="88"/>
  <c r="J182" i="88"/>
  <c r="G182" i="88"/>
  <c r="AU181" i="88"/>
  <c r="W181" i="88"/>
  <c r="V181" i="88"/>
  <c r="U181" i="88"/>
  <c r="Q181" i="88"/>
  <c r="P181" i="88"/>
  <c r="O181" i="88"/>
  <c r="N181" i="88"/>
  <c r="J181" i="88"/>
  <c r="AB181" i="88" s="1"/>
  <c r="G181" i="88"/>
  <c r="AU180" i="88"/>
  <c r="AI180" i="88"/>
  <c r="W180" i="88"/>
  <c r="V180" i="88"/>
  <c r="U180" i="88"/>
  <c r="Q180" i="88"/>
  <c r="P180" i="88"/>
  <c r="O180" i="88"/>
  <c r="N180" i="88"/>
  <c r="J180" i="88"/>
  <c r="AB180" i="88" s="1"/>
  <c r="G180" i="88"/>
  <c r="AU179" i="88"/>
  <c r="AI179" i="88"/>
  <c r="AC179" i="88"/>
  <c r="Q179" i="88"/>
  <c r="P179" i="88"/>
  <c r="O179" i="88"/>
  <c r="N179" i="88"/>
  <c r="J179" i="88"/>
  <c r="G179" i="88"/>
  <c r="AU178" i="88"/>
  <c r="AC178" i="88"/>
  <c r="W178" i="88"/>
  <c r="V178" i="88"/>
  <c r="U178" i="88"/>
  <c r="Q178" i="88"/>
  <c r="P178" i="88"/>
  <c r="O178" i="88"/>
  <c r="N178" i="88"/>
  <c r="J178" i="88"/>
  <c r="G178" i="88"/>
  <c r="AU177" i="88"/>
  <c r="W177" i="88"/>
  <c r="V177" i="88"/>
  <c r="U177" i="88"/>
  <c r="Q177" i="88"/>
  <c r="P177" i="88"/>
  <c r="O177" i="88"/>
  <c r="N177" i="88"/>
  <c r="J177" i="88"/>
  <c r="AB177" i="88" s="1"/>
  <c r="G177" i="88"/>
  <c r="AU176" i="88"/>
  <c r="AI176" i="88"/>
  <c r="W176" i="88"/>
  <c r="V176" i="88"/>
  <c r="U176" i="88"/>
  <c r="Q176" i="88"/>
  <c r="P176" i="88"/>
  <c r="O176" i="88"/>
  <c r="N176" i="88"/>
  <c r="J176" i="88"/>
  <c r="G176" i="88"/>
  <c r="AU175" i="88"/>
  <c r="AI175" i="88"/>
  <c r="W175" i="88"/>
  <c r="V175" i="88"/>
  <c r="U175" i="88"/>
  <c r="Q175" i="88"/>
  <c r="P175" i="88"/>
  <c r="O175" i="88"/>
  <c r="N175" i="88"/>
  <c r="J175" i="88"/>
  <c r="G175" i="88"/>
  <c r="AU174" i="88"/>
  <c r="AC174" i="88"/>
  <c r="W174" i="88"/>
  <c r="V174" i="88"/>
  <c r="U174" i="88"/>
  <c r="Q174" i="88"/>
  <c r="P174" i="88"/>
  <c r="O174" i="88"/>
  <c r="N174" i="88"/>
  <c r="J174" i="88"/>
  <c r="G174" i="88"/>
  <c r="AU173" i="88"/>
  <c r="AI173" i="88"/>
  <c r="Q173" i="88"/>
  <c r="P173" i="88"/>
  <c r="O173" i="88"/>
  <c r="N173" i="88"/>
  <c r="J173" i="88"/>
  <c r="AB173" i="88" s="1"/>
  <c r="G173" i="88"/>
  <c r="AU172" i="88"/>
  <c r="AI172" i="88"/>
  <c r="Q172" i="88"/>
  <c r="P172" i="88"/>
  <c r="O172" i="88"/>
  <c r="N172" i="88"/>
  <c r="J172" i="88"/>
  <c r="AB172" i="88" s="1"/>
  <c r="G172" i="88"/>
  <c r="AU171" i="88"/>
  <c r="AC171" i="88"/>
  <c r="W171" i="88"/>
  <c r="V171" i="88"/>
  <c r="U171" i="88"/>
  <c r="Q171" i="88"/>
  <c r="P171" i="88"/>
  <c r="O171" i="88"/>
  <c r="N171" i="88"/>
  <c r="J171" i="88"/>
  <c r="G171" i="88"/>
  <c r="AU170" i="88"/>
  <c r="AC170" i="88"/>
  <c r="W170" i="88"/>
  <c r="V170" i="88"/>
  <c r="U170" i="88"/>
  <c r="Q170" i="88"/>
  <c r="P170" i="88"/>
  <c r="O170" i="88"/>
  <c r="N170" i="88"/>
  <c r="J170" i="88"/>
  <c r="G170" i="88"/>
  <c r="AU169" i="88"/>
  <c r="AC169" i="88"/>
  <c r="W169" i="88"/>
  <c r="V169" i="88"/>
  <c r="U169" i="88"/>
  <c r="Q169" i="88"/>
  <c r="P169" i="88"/>
  <c r="O169" i="88"/>
  <c r="N169" i="88"/>
  <c r="J169" i="88"/>
  <c r="G169" i="88"/>
  <c r="AU168" i="88"/>
  <c r="AC168" i="88"/>
  <c r="W168" i="88"/>
  <c r="V168" i="88"/>
  <c r="U168" i="88"/>
  <c r="Q168" i="88"/>
  <c r="P168" i="88"/>
  <c r="O168" i="88"/>
  <c r="N168" i="88"/>
  <c r="J168" i="88"/>
  <c r="G168" i="88"/>
  <c r="AU167" i="88"/>
  <c r="Q167" i="88"/>
  <c r="P167" i="88"/>
  <c r="O167" i="88"/>
  <c r="N167" i="88"/>
  <c r="J167" i="88"/>
  <c r="G167" i="88"/>
  <c r="AU166" i="88"/>
  <c r="Q166" i="88"/>
  <c r="P166" i="88"/>
  <c r="O166" i="88"/>
  <c r="N166" i="88"/>
  <c r="J166" i="88"/>
  <c r="AB166" i="88" s="1"/>
  <c r="G166" i="88"/>
  <c r="AU165" i="88"/>
  <c r="Q165" i="88"/>
  <c r="P165" i="88"/>
  <c r="O165" i="88"/>
  <c r="N165" i="88"/>
  <c r="J165" i="88"/>
  <c r="AB165" i="88" s="1"/>
  <c r="G165" i="88"/>
  <c r="AU164" i="88"/>
  <c r="AI164" i="88"/>
  <c r="AC164" i="88"/>
  <c r="Q164" i="88"/>
  <c r="P164" i="88"/>
  <c r="O164" i="88"/>
  <c r="N164" i="88"/>
  <c r="J164" i="88"/>
  <c r="G164" i="88"/>
  <c r="AU163" i="88"/>
  <c r="AI163" i="88"/>
  <c r="AC163" i="88"/>
  <c r="Q163" i="88"/>
  <c r="P163" i="88"/>
  <c r="O163" i="88"/>
  <c r="N163" i="88"/>
  <c r="J163" i="88"/>
  <c r="G163" i="88"/>
  <c r="AU162" i="88"/>
  <c r="AI162" i="88"/>
  <c r="Q162" i="88"/>
  <c r="P162" i="88"/>
  <c r="O162" i="88"/>
  <c r="N162" i="88"/>
  <c r="J162" i="88"/>
  <c r="G162" i="88"/>
  <c r="AU161" i="88"/>
  <c r="AI161" i="88"/>
  <c r="Q161" i="88"/>
  <c r="P161" i="88"/>
  <c r="O161" i="88"/>
  <c r="N161" i="88"/>
  <c r="J161" i="88"/>
  <c r="AB161" i="88" s="1"/>
  <c r="G161" i="88"/>
  <c r="AU159" i="88"/>
  <c r="AI159" i="88"/>
  <c r="AC159" i="88"/>
  <c r="Q159" i="88"/>
  <c r="P159" i="88"/>
  <c r="O159" i="88"/>
  <c r="N159" i="88"/>
  <c r="J159" i="88"/>
  <c r="G159" i="88"/>
  <c r="AU158" i="88"/>
  <c r="AI158" i="88"/>
  <c r="AC158" i="88"/>
  <c r="Q158" i="88"/>
  <c r="P158" i="88"/>
  <c r="O158" i="88"/>
  <c r="N158" i="88"/>
  <c r="J158" i="88"/>
  <c r="G158" i="88"/>
  <c r="AU157" i="88"/>
  <c r="AC157" i="88"/>
  <c r="W157" i="88"/>
  <c r="V157" i="88"/>
  <c r="U157" i="88"/>
  <c r="Q157" i="88"/>
  <c r="P157" i="88"/>
  <c r="O157" i="88"/>
  <c r="N157" i="88"/>
  <c r="J157" i="88"/>
  <c r="G157" i="88"/>
  <c r="AU156" i="88"/>
  <c r="AI156" i="88"/>
  <c r="W156" i="88"/>
  <c r="V156" i="88"/>
  <c r="U156" i="88"/>
  <c r="Q156" i="88"/>
  <c r="P156" i="88"/>
  <c r="O156" i="88"/>
  <c r="N156" i="88"/>
  <c r="J156" i="88"/>
  <c r="AB156" i="88" s="1"/>
  <c r="G156" i="88"/>
  <c r="AU155" i="88"/>
  <c r="AI155" i="88"/>
  <c r="AC155" i="88"/>
  <c r="Q155" i="88"/>
  <c r="P155" i="88"/>
  <c r="O155" i="88"/>
  <c r="N155" i="88"/>
  <c r="J155" i="88"/>
  <c r="G155" i="88"/>
  <c r="AU154" i="88"/>
  <c r="AI154" i="88"/>
  <c r="Q154" i="88"/>
  <c r="P154" i="88"/>
  <c r="O154" i="88"/>
  <c r="N154" i="88"/>
  <c r="J154" i="88"/>
  <c r="AB154" i="88" s="1"/>
  <c r="G154" i="88"/>
  <c r="AU153" i="88"/>
  <c r="AI153" i="88"/>
  <c r="AC153" i="88"/>
  <c r="Q153" i="88"/>
  <c r="P153" i="88"/>
  <c r="O153" i="88"/>
  <c r="N153" i="88"/>
  <c r="J153" i="88"/>
  <c r="G153" i="88"/>
  <c r="AU152" i="88"/>
  <c r="AI152" i="88"/>
  <c r="W152" i="88"/>
  <c r="V152" i="88"/>
  <c r="U152" i="88"/>
  <c r="Q152" i="88"/>
  <c r="P152" i="88"/>
  <c r="O152" i="88"/>
  <c r="N152" i="88"/>
  <c r="J152" i="88"/>
  <c r="AB152" i="88" s="1"/>
  <c r="G152" i="88"/>
  <c r="AU151" i="88"/>
  <c r="AI151" i="88"/>
  <c r="AC151" i="88"/>
  <c r="Q151" i="88"/>
  <c r="P151" i="88"/>
  <c r="O151" i="88"/>
  <c r="N151" i="88"/>
  <c r="J151" i="88"/>
  <c r="G151" i="88"/>
  <c r="AU150" i="88"/>
  <c r="AI150" i="88"/>
  <c r="AC150" i="88"/>
  <c r="W150" i="88"/>
  <c r="V150" i="88"/>
  <c r="U150" i="88"/>
  <c r="Q150" i="88"/>
  <c r="P150" i="88"/>
  <c r="O150" i="88"/>
  <c r="N150" i="88"/>
  <c r="J150" i="88"/>
  <c r="G150" i="88"/>
  <c r="AU149" i="88"/>
  <c r="AI149" i="88"/>
  <c r="AC149" i="88"/>
  <c r="Q149" i="88"/>
  <c r="P149" i="88"/>
  <c r="O149" i="88"/>
  <c r="N149" i="88"/>
  <c r="J149" i="88"/>
  <c r="G149" i="88"/>
  <c r="AU148" i="88"/>
  <c r="AI148" i="88"/>
  <c r="AC148" i="88"/>
  <c r="AB148" i="88"/>
  <c r="W148" i="88"/>
  <c r="V148" i="88"/>
  <c r="U148" i="88"/>
  <c r="J148" i="88"/>
  <c r="G148" i="88"/>
  <c r="AU147" i="88"/>
  <c r="AI147" i="88"/>
  <c r="AC147" i="88"/>
  <c r="AB147" i="88"/>
  <c r="W147" i="88"/>
  <c r="V147" i="88"/>
  <c r="U147" i="88"/>
  <c r="J147" i="88"/>
  <c r="G147" i="88"/>
  <c r="AU146" i="88"/>
  <c r="AI146" i="88"/>
  <c r="AC146" i="88"/>
  <c r="AB146" i="88"/>
  <c r="W146" i="88"/>
  <c r="V146" i="88"/>
  <c r="U146" i="88"/>
  <c r="J146" i="88"/>
  <c r="G146" i="88"/>
  <c r="AU145" i="88"/>
  <c r="AI145" i="88"/>
  <c r="AC145" i="88"/>
  <c r="AB145" i="88"/>
  <c r="W145" i="88"/>
  <c r="V145" i="88"/>
  <c r="U145" i="88"/>
  <c r="J145" i="88"/>
  <c r="G145" i="88"/>
  <c r="AU144" i="88"/>
  <c r="AI144" i="88"/>
  <c r="AC144" i="88"/>
  <c r="AB144" i="88"/>
  <c r="W144" i="88"/>
  <c r="V144" i="88"/>
  <c r="U144" i="88"/>
  <c r="J144" i="88"/>
  <c r="G144" i="88"/>
  <c r="AU143" i="88"/>
  <c r="AI143" i="88"/>
  <c r="AC143" i="88"/>
  <c r="AB143" i="88"/>
  <c r="W143" i="88"/>
  <c r="V143" i="88"/>
  <c r="U143" i="88"/>
  <c r="J143" i="88"/>
  <c r="G143" i="88"/>
  <c r="AU142" i="88"/>
  <c r="AI142" i="88"/>
  <c r="AC142" i="88"/>
  <c r="AB142" i="88"/>
  <c r="W142" i="88"/>
  <c r="V142" i="88"/>
  <c r="U142" i="88"/>
  <c r="J142" i="88"/>
  <c r="G142" i="88"/>
  <c r="AU141" i="88"/>
  <c r="AI141" i="88"/>
  <c r="AC141" i="88"/>
  <c r="AB141" i="88"/>
  <c r="W141" i="88"/>
  <c r="V141" i="88"/>
  <c r="U141" i="88"/>
  <c r="J141" i="88"/>
  <c r="G141" i="88"/>
  <c r="AU140" i="88"/>
  <c r="AI140" i="88"/>
  <c r="AC140" i="88"/>
  <c r="AB140" i="88"/>
  <c r="W140" i="88"/>
  <c r="V140" i="88"/>
  <c r="U140" i="88"/>
  <c r="J140" i="88"/>
  <c r="G140" i="88"/>
  <c r="AU139" i="88"/>
  <c r="AI139" i="88"/>
  <c r="AC139" i="88"/>
  <c r="AB139" i="88"/>
  <c r="W139" i="88"/>
  <c r="V139" i="88"/>
  <c r="U139" i="88"/>
  <c r="J139" i="88"/>
  <c r="G139" i="88"/>
  <c r="AU138" i="88"/>
  <c r="AI138" i="88"/>
  <c r="AC138" i="88"/>
  <c r="AB138" i="88"/>
  <c r="W138" i="88"/>
  <c r="V138" i="88"/>
  <c r="U138" i="88"/>
  <c r="J138" i="88"/>
  <c r="G138" i="88"/>
  <c r="AU137" i="88"/>
  <c r="AI137" i="88"/>
  <c r="AC137" i="88"/>
  <c r="AB137" i="88"/>
  <c r="W137" i="88"/>
  <c r="V137" i="88"/>
  <c r="U137" i="88"/>
  <c r="J137" i="88"/>
  <c r="G137" i="88"/>
  <c r="AU136" i="88"/>
  <c r="AI136" i="88"/>
  <c r="AC136" i="88"/>
  <c r="AB136" i="88"/>
  <c r="W136" i="88"/>
  <c r="V136" i="88"/>
  <c r="U136" i="88"/>
  <c r="J136" i="88"/>
  <c r="G136" i="88"/>
  <c r="AU135" i="88"/>
  <c r="AI135" i="88"/>
  <c r="AC135" i="88"/>
  <c r="AB135" i="88"/>
  <c r="W135" i="88"/>
  <c r="V135" i="88"/>
  <c r="U135" i="88"/>
  <c r="J135" i="88"/>
  <c r="G135" i="88"/>
  <c r="AU134" i="88"/>
  <c r="AI134" i="88"/>
  <c r="AC134" i="88"/>
  <c r="AB134" i="88"/>
  <c r="W134" i="88"/>
  <c r="V134" i="88"/>
  <c r="U134" i="88"/>
  <c r="J134" i="88"/>
  <c r="G134" i="88"/>
  <c r="AU133" i="88"/>
  <c r="AI133" i="88"/>
  <c r="AC133" i="88"/>
  <c r="AB133" i="88"/>
  <c r="W133" i="88"/>
  <c r="V133" i="88"/>
  <c r="U133" i="88"/>
  <c r="J133" i="88"/>
  <c r="G133" i="88"/>
  <c r="AU132" i="88"/>
  <c r="AI132" i="88"/>
  <c r="AC132" i="88"/>
  <c r="AB132" i="88"/>
  <c r="W132" i="88"/>
  <c r="V132" i="88"/>
  <c r="U132" i="88"/>
  <c r="J132" i="88"/>
  <c r="G132" i="88"/>
  <c r="AU131" i="88"/>
  <c r="AI131" i="88"/>
  <c r="AC131" i="88"/>
  <c r="AB131" i="88"/>
  <c r="W131" i="88"/>
  <c r="V131" i="88"/>
  <c r="U131" i="88"/>
  <c r="J131" i="88"/>
  <c r="G131" i="88"/>
  <c r="AU130" i="88"/>
  <c r="AI130" i="88"/>
  <c r="AC130" i="88"/>
  <c r="AB130" i="88"/>
  <c r="W130" i="88"/>
  <c r="V130" i="88"/>
  <c r="U130" i="88"/>
  <c r="J130" i="88"/>
  <c r="G130" i="88"/>
  <c r="AU129" i="88"/>
  <c r="AI129" i="88"/>
  <c r="AC129" i="88"/>
  <c r="AB129" i="88"/>
  <c r="W129" i="88"/>
  <c r="V129" i="88"/>
  <c r="U129" i="88"/>
  <c r="J129" i="88"/>
  <c r="G129" i="88"/>
  <c r="AU128" i="88"/>
  <c r="AI128" i="88"/>
  <c r="AC128" i="88"/>
  <c r="AB128" i="88"/>
  <c r="W128" i="88"/>
  <c r="V128" i="88"/>
  <c r="U128" i="88"/>
  <c r="J128" i="88"/>
  <c r="G128" i="88"/>
  <c r="AU127" i="88"/>
  <c r="AI127" i="88"/>
  <c r="AC127" i="88"/>
  <c r="AB127" i="88"/>
  <c r="W127" i="88"/>
  <c r="V127" i="88"/>
  <c r="U127" i="88"/>
  <c r="J127" i="88"/>
  <c r="G127" i="88"/>
  <c r="AU126" i="88"/>
  <c r="AI126" i="88"/>
  <c r="AC126" i="88"/>
  <c r="AB126" i="88"/>
  <c r="W126" i="88"/>
  <c r="V126" i="88"/>
  <c r="U126" i="88"/>
  <c r="J126" i="88"/>
  <c r="G126" i="88"/>
  <c r="AU125" i="88"/>
  <c r="AI125" i="88"/>
  <c r="AC125" i="88"/>
  <c r="AB125" i="88"/>
  <c r="W125" i="88"/>
  <c r="V125" i="88"/>
  <c r="U125" i="88"/>
  <c r="J125" i="88"/>
  <c r="G125" i="88"/>
  <c r="AU124" i="88"/>
  <c r="AI124" i="88"/>
  <c r="AC124" i="88"/>
  <c r="AB124" i="88"/>
  <c r="W124" i="88"/>
  <c r="V124" i="88"/>
  <c r="U124" i="88"/>
  <c r="J124" i="88"/>
  <c r="G124" i="88"/>
  <c r="AU123" i="88"/>
  <c r="AI123" i="88"/>
  <c r="AC123" i="88"/>
  <c r="AB123" i="88"/>
  <c r="W123" i="88"/>
  <c r="V123" i="88"/>
  <c r="U123" i="88"/>
  <c r="J123" i="88"/>
  <c r="G123" i="88"/>
  <c r="AU122" i="88"/>
  <c r="AI122" i="88"/>
  <c r="AC122" i="88"/>
  <c r="AB122" i="88"/>
  <c r="W122" i="88"/>
  <c r="V122" i="88"/>
  <c r="U122" i="88"/>
  <c r="J122" i="88"/>
  <c r="G122" i="88"/>
  <c r="AU121" i="88"/>
  <c r="AI121" i="88"/>
  <c r="AC121" i="88"/>
  <c r="AB121" i="88"/>
  <c r="W121" i="88"/>
  <c r="V121" i="88"/>
  <c r="U121" i="88"/>
  <c r="J121" i="88"/>
  <c r="G121" i="88"/>
  <c r="AU120" i="88"/>
  <c r="AI120" i="88"/>
  <c r="AC120" i="88"/>
  <c r="AB120" i="88"/>
  <c r="W120" i="88"/>
  <c r="V120" i="88"/>
  <c r="U120" i="88"/>
  <c r="J120" i="88"/>
  <c r="G120" i="88"/>
  <c r="AU119" i="88"/>
  <c r="AI119" i="88"/>
  <c r="AC119" i="88"/>
  <c r="AB119" i="88"/>
  <c r="W119" i="88"/>
  <c r="V119" i="88"/>
  <c r="U119" i="88"/>
  <c r="J119" i="88"/>
  <c r="G119" i="88"/>
  <c r="AU118" i="88"/>
  <c r="AI118" i="88"/>
  <c r="AC118" i="88"/>
  <c r="AB118" i="88"/>
  <c r="W118" i="88"/>
  <c r="V118" i="88"/>
  <c r="U118" i="88"/>
  <c r="J118" i="88"/>
  <c r="G118" i="88"/>
  <c r="AU117" i="88"/>
  <c r="AI117" i="88"/>
  <c r="AC117" i="88"/>
  <c r="AB117" i="88"/>
  <c r="W117" i="88"/>
  <c r="V117" i="88"/>
  <c r="U117" i="88"/>
  <c r="J117" i="88"/>
  <c r="G117" i="88"/>
  <c r="AU116" i="88"/>
  <c r="AI116" i="88"/>
  <c r="AC116" i="88"/>
  <c r="AB116" i="88"/>
  <c r="W116" i="88"/>
  <c r="V116" i="88"/>
  <c r="U116" i="88"/>
  <c r="J116" i="88"/>
  <c r="G116" i="88"/>
  <c r="AU115" i="88"/>
  <c r="AI115" i="88"/>
  <c r="AC115" i="88"/>
  <c r="AB115" i="88"/>
  <c r="W115" i="88"/>
  <c r="V115" i="88"/>
  <c r="U115" i="88"/>
  <c r="J115" i="88"/>
  <c r="G115" i="88"/>
  <c r="AU114" i="88"/>
  <c r="AI114" i="88"/>
  <c r="AC114" i="88"/>
  <c r="AB114" i="88"/>
  <c r="W114" i="88"/>
  <c r="V114" i="88"/>
  <c r="U114" i="88"/>
  <c r="J114" i="88"/>
  <c r="G114" i="88"/>
  <c r="AU113" i="88"/>
  <c r="AI113" i="88"/>
  <c r="AC113" i="88"/>
  <c r="AB113" i="88"/>
  <c r="W113" i="88"/>
  <c r="V113" i="88"/>
  <c r="U113" i="88"/>
  <c r="J113" i="88"/>
  <c r="G113" i="88"/>
  <c r="AU112" i="88"/>
  <c r="AI112" i="88"/>
  <c r="AC112" i="88"/>
  <c r="AB112" i="88"/>
  <c r="W112" i="88"/>
  <c r="V112" i="88"/>
  <c r="U112" i="88"/>
  <c r="J112" i="88"/>
  <c r="G112" i="88"/>
  <c r="AU111" i="88"/>
  <c r="AI111" i="88"/>
  <c r="AC111" i="88"/>
  <c r="AB111" i="88"/>
  <c r="W111" i="88"/>
  <c r="V111" i="88"/>
  <c r="U111" i="88"/>
  <c r="J111" i="88"/>
  <c r="G111" i="88"/>
  <c r="AU110" i="88"/>
  <c r="AI110" i="88"/>
  <c r="AC110" i="88"/>
  <c r="AB110" i="88"/>
  <c r="W110" i="88"/>
  <c r="V110" i="88"/>
  <c r="U110" i="88"/>
  <c r="J110" i="88"/>
  <c r="G110" i="88"/>
  <c r="AU109" i="88"/>
  <c r="AI109" i="88"/>
  <c r="AC109" i="88"/>
  <c r="AB109" i="88"/>
  <c r="W109" i="88"/>
  <c r="V109" i="88"/>
  <c r="U109" i="88"/>
  <c r="J109" i="88"/>
  <c r="G109" i="88"/>
  <c r="AU108" i="88"/>
  <c r="AI108" i="88"/>
  <c r="AC108" i="88"/>
  <c r="AB108" i="88"/>
  <c r="W108" i="88"/>
  <c r="V108" i="88"/>
  <c r="U108" i="88"/>
  <c r="J108" i="88"/>
  <c r="G108" i="88"/>
  <c r="AU107" i="88"/>
  <c r="AI107" i="88"/>
  <c r="AC107" i="88"/>
  <c r="AB107" i="88"/>
  <c r="W107" i="88"/>
  <c r="V107" i="88"/>
  <c r="U107" i="88"/>
  <c r="J107" i="88"/>
  <c r="G107" i="88"/>
  <c r="AU106" i="88"/>
  <c r="AI106" i="88"/>
  <c r="AC106" i="88"/>
  <c r="AB106" i="88"/>
  <c r="W106" i="88"/>
  <c r="V106" i="88"/>
  <c r="U106" i="88"/>
  <c r="J106" i="88"/>
  <c r="G106" i="88"/>
  <c r="AU105" i="88"/>
  <c r="AI105" i="88"/>
  <c r="AC105" i="88"/>
  <c r="AB105" i="88"/>
  <c r="W105" i="88"/>
  <c r="V105" i="88"/>
  <c r="U105" i="88"/>
  <c r="J105" i="88"/>
  <c r="G105" i="88"/>
  <c r="AU104" i="88"/>
  <c r="AI104" i="88"/>
  <c r="AC104" i="88"/>
  <c r="AB104" i="88"/>
  <c r="W104" i="88"/>
  <c r="V104" i="88"/>
  <c r="U104" i="88"/>
  <c r="J104" i="88"/>
  <c r="G104" i="88"/>
  <c r="AU103" i="88"/>
  <c r="AI103" i="88"/>
  <c r="AC103" i="88"/>
  <c r="AB103" i="88"/>
  <c r="W103" i="88"/>
  <c r="V103" i="88"/>
  <c r="U103" i="88"/>
  <c r="J103" i="88"/>
  <c r="G103" i="88"/>
  <c r="AU102" i="88"/>
  <c r="AI102" i="88"/>
  <c r="AC102" i="88"/>
  <c r="AB102" i="88"/>
  <c r="W102" i="88"/>
  <c r="V102" i="88"/>
  <c r="U102" i="88"/>
  <c r="J102" i="88"/>
  <c r="G102" i="88"/>
  <c r="AU101" i="88"/>
  <c r="AI101" i="88"/>
  <c r="AC101" i="88"/>
  <c r="AB101" i="88"/>
  <c r="W101" i="88"/>
  <c r="V101" i="88"/>
  <c r="U101" i="88"/>
  <c r="J101" i="88"/>
  <c r="G101" i="88"/>
  <c r="AU100" i="88"/>
  <c r="AI100" i="88"/>
  <c r="AC100" i="88"/>
  <c r="AB100" i="88"/>
  <c r="W100" i="88"/>
  <c r="V100" i="88"/>
  <c r="U100" i="88"/>
  <c r="J100" i="88"/>
  <c r="G100" i="88"/>
  <c r="AU99" i="88"/>
  <c r="AI99" i="88"/>
  <c r="AC99" i="88"/>
  <c r="AB99" i="88"/>
  <c r="W99" i="88"/>
  <c r="V99" i="88"/>
  <c r="U99" i="88"/>
  <c r="J99" i="88"/>
  <c r="G99" i="88"/>
  <c r="AU98" i="88"/>
  <c r="AI98" i="88"/>
  <c r="AC98" i="88"/>
  <c r="AB98" i="88"/>
  <c r="W98" i="88"/>
  <c r="V98" i="88"/>
  <c r="U98" i="88"/>
  <c r="J98" i="88"/>
  <c r="G98" i="88"/>
  <c r="AU97" i="88"/>
  <c r="AI97" i="88"/>
  <c r="AC97" i="88"/>
  <c r="AB97" i="88"/>
  <c r="W97" i="88"/>
  <c r="V97" i="88"/>
  <c r="U97" i="88"/>
  <c r="J97" i="88"/>
  <c r="G97" i="88"/>
  <c r="AU96" i="88"/>
  <c r="AI96" i="88"/>
  <c r="AC96" i="88"/>
  <c r="AB96" i="88"/>
  <c r="W96" i="88"/>
  <c r="V96" i="88"/>
  <c r="U96" i="88"/>
  <c r="J96" i="88"/>
  <c r="G96" i="88"/>
  <c r="AU95" i="88"/>
  <c r="AI95" i="88"/>
  <c r="AC95" i="88"/>
  <c r="AB95" i="88"/>
  <c r="W95" i="88"/>
  <c r="V95" i="88"/>
  <c r="U95" i="88"/>
  <c r="J95" i="88"/>
  <c r="G95" i="88"/>
  <c r="AU94" i="88"/>
  <c r="AI94" i="88"/>
  <c r="AC94" i="88"/>
  <c r="AB94" i="88"/>
  <c r="W94" i="88"/>
  <c r="V94" i="88"/>
  <c r="U94" i="88"/>
  <c r="J94" i="88"/>
  <c r="G94" i="88"/>
  <c r="AU93" i="88"/>
  <c r="AI93" i="88"/>
  <c r="AC93" i="88"/>
  <c r="AB93" i="88"/>
  <c r="W93" i="88"/>
  <c r="V93" i="88"/>
  <c r="U93" i="88"/>
  <c r="J93" i="88"/>
  <c r="G93" i="88"/>
  <c r="AU92" i="88"/>
  <c r="AI92" i="88"/>
  <c r="AC92" i="88"/>
  <c r="AB92" i="88"/>
  <c r="W92" i="88"/>
  <c r="V92" i="88"/>
  <c r="U92" i="88"/>
  <c r="J92" i="88"/>
  <c r="G92" i="88"/>
  <c r="AU91" i="88"/>
  <c r="AI91" i="88"/>
  <c r="AC91" i="88"/>
  <c r="AB91" i="88"/>
  <c r="W91" i="88"/>
  <c r="V91" i="88"/>
  <c r="U91" i="88"/>
  <c r="J91" i="88"/>
  <c r="G91" i="88"/>
  <c r="AU90" i="88"/>
  <c r="AI90" i="88"/>
  <c r="AC90" i="88"/>
  <c r="AB90" i="88"/>
  <c r="W90" i="88"/>
  <c r="V90" i="88"/>
  <c r="U90" i="88"/>
  <c r="J90" i="88"/>
  <c r="G90" i="88"/>
  <c r="AU89" i="88"/>
  <c r="AI89" i="88"/>
  <c r="AC89" i="88"/>
  <c r="AB89" i="88"/>
  <c r="W89" i="88"/>
  <c r="V89" i="88"/>
  <c r="U89" i="88"/>
  <c r="J89" i="88"/>
  <c r="G89" i="88"/>
  <c r="AU88" i="88"/>
  <c r="AI88" i="88"/>
  <c r="AC88" i="88"/>
  <c r="AB88" i="88"/>
  <c r="W88" i="88"/>
  <c r="V88" i="88"/>
  <c r="U88" i="88"/>
  <c r="J88" i="88"/>
  <c r="G88" i="88"/>
  <c r="AU87" i="88"/>
  <c r="AI87" i="88"/>
  <c r="AC87" i="88"/>
  <c r="AB87" i="88"/>
  <c r="W87" i="88"/>
  <c r="V87" i="88"/>
  <c r="U87" i="88"/>
  <c r="J87" i="88"/>
  <c r="G87" i="88"/>
  <c r="AU86" i="88"/>
  <c r="AI86" i="88"/>
  <c r="AC86" i="88"/>
  <c r="AB86" i="88"/>
  <c r="W86" i="88"/>
  <c r="V86" i="88"/>
  <c r="U86" i="88"/>
  <c r="J86" i="88"/>
  <c r="G86" i="88"/>
  <c r="AU85" i="88"/>
  <c r="AI85" i="88"/>
  <c r="AC85" i="88"/>
  <c r="AB85" i="88"/>
  <c r="W85" i="88"/>
  <c r="V85" i="88"/>
  <c r="U85" i="88"/>
  <c r="J85" i="88"/>
  <c r="G85" i="88"/>
  <c r="AU84" i="88"/>
  <c r="AI84" i="88"/>
  <c r="AC84" i="88"/>
  <c r="AB84" i="88"/>
  <c r="W84" i="88"/>
  <c r="V84" i="88"/>
  <c r="U84" i="88"/>
  <c r="J84" i="88"/>
  <c r="G84" i="88"/>
  <c r="AU83" i="88"/>
  <c r="AI83" i="88"/>
  <c r="AC83" i="88"/>
  <c r="AB83" i="88"/>
  <c r="W83" i="88"/>
  <c r="V83" i="88"/>
  <c r="U83" i="88"/>
  <c r="J83" i="88"/>
  <c r="G83" i="88"/>
  <c r="AU82" i="88"/>
  <c r="AI82" i="88"/>
  <c r="AC82" i="88"/>
  <c r="AB82" i="88"/>
  <c r="W82" i="88"/>
  <c r="V82" i="88"/>
  <c r="U82" i="88"/>
  <c r="J82" i="88"/>
  <c r="G82" i="88"/>
  <c r="AU81" i="88"/>
  <c r="AI81" i="88"/>
  <c r="AC81" i="88"/>
  <c r="AB81" i="88"/>
  <c r="W81" i="88"/>
  <c r="V81" i="88"/>
  <c r="U81" i="88"/>
  <c r="J81" i="88"/>
  <c r="G81" i="88"/>
  <c r="AU80" i="88"/>
  <c r="AI80" i="88"/>
  <c r="AC80" i="88"/>
  <c r="AB80" i="88"/>
  <c r="W80" i="88"/>
  <c r="V80" i="88"/>
  <c r="U80" i="88"/>
  <c r="J80" i="88"/>
  <c r="G80" i="88"/>
  <c r="AU79" i="88"/>
  <c r="AI79" i="88"/>
  <c r="AC79" i="88"/>
  <c r="AB79" i="88"/>
  <c r="W79" i="88"/>
  <c r="V79" i="88"/>
  <c r="U79" i="88"/>
  <c r="J79" i="88"/>
  <c r="G79" i="88"/>
  <c r="AU78" i="88"/>
  <c r="AI78" i="88"/>
  <c r="AC78" i="88"/>
  <c r="AB78" i="88"/>
  <c r="W78" i="88"/>
  <c r="V78" i="88"/>
  <c r="U78" i="88"/>
  <c r="J78" i="88"/>
  <c r="G78" i="88"/>
  <c r="AU77" i="88"/>
  <c r="AI77" i="88"/>
  <c r="AC77" i="88"/>
  <c r="AB77" i="88"/>
  <c r="W77" i="88"/>
  <c r="V77" i="88"/>
  <c r="U77" i="88"/>
  <c r="J77" i="88"/>
  <c r="G77" i="88"/>
  <c r="AU76" i="88"/>
  <c r="AI76" i="88"/>
  <c r="AC76" i="88"/>
  <c r="AB76" i="88"/>
  <c r="W76" i="88"/>
  <c r="V76" i="88"/>
  <c r="U76" i="88"/>
  <c r="J76" i="88"/>
  <c r="G76" i="88"/>
  <c r="AU75" i="88"/>
  <c r="AI75" i="88"/>
  <c r="AC75" i="88"/>
  <c r="AB75" i="88"/>
  <c r="W75" i="88"/>
  <c r="V75" i="88"/>
  <c r="U75" i="88"/>
  <c r="J75" i="88"/>
  <c r="G75" i="88"/>
  <c r="AU74" i="88"/>
  <c r="AI74" i="88"/>
  <c r="AC74" i="88"/>
  <c r="AB74" i="88"/>
  <c r="W74" i="88"/>
  <c r="V74" i="88"/>
  <c r="U74" i="88"/>
  <c r="J74" i="88"/>
  <c r="G74" i="88"/>
  <c r="AU73" i="88"/>
  <c r="AI73" i="88"/>
  <c r="AC73" i="88"/>
  <c r="AB73" i="88"/>
  <c r="W73" i="88"/>
  <c r="V73" i="88"/>
  <c r="U73" i="88"/>
  <c r="J73" i="88"/>
  <c r="G73" i="88"/>
  <c r="AU72" i="88"/>
  <c r="AI72" i="88"/>
  <c r="AC72" i="88"/>
  <c r="AB72" i="88"/>
  <c r="W72" i="88"/>
  <c r="V72" i="88"/>
  <c r="U72" i="88"/>
  <c r="J72" i="88"/>
  <c r="G72" i="88"/>
  <c r="AU71" i="88"/>
  <c r="AI71" i="88"/>
  <c r="AC71" i="88"/>
  <c r="AB71" i="88"/>
  <c r="W71" i="88"/>
  <c r="V71" i="88"/>
  <c r="U71" i="88"/>
  <c r="J71" i="88"/>
  <c r="G71" i="88"/>
  <c r="AU70" i="88"/>
  <c r="AI70" i="88"/>
  <c r="AC70" i="88"/>
  <c r="AB70" i="88"/>
  <c r="W70" i="88"/>
  <c r="V70" i="88"/>
  <c r="U70" i="88"/>
  <c r="J70" i="88"/>
  <c r="G70" i="88"/>
  <c r="AU69" i="88"/>
  <c r="AI69" i="88"/>
  <c r="AC69" i="88"/>
  <c r="AB69" i="88"/>
  <c r="W69" i="88"/>
  <c r="V69" i="88"/>
  <c r="U69" i="88"/>
  <c r="J69" i="88"/>
  <c r="G69" i="88"/>
  <c r="AU68" i="88"/>
  <c r="AI68" i="88"/>
  <c r="AC68" i="88"/>
  <c r="AB68" i="88"/>
  <c r="W68" i="88"/>
  <c r="V68" i="88"/>
  <c r="U68" i="88"/>
  <c r="J68" i="88"/>
  <c r="G68" i="88"/>
  <c r="AU67" i="88"/>
  <c r="AI67" i="88"/>
  <c r="AC67" i="88"/>
  <c r="AB67" i="88"/>
  <c r="W67" i="88"/>
  <c r="V67" i="88"/>
  <c r="U67" i="88"/>
  <c r="J67" i="88"/>
  <c r="G67" i="88"/>
  <c r="AU66" i="88"/>
  <c r="AI66" i="88"/>
  <c r="AC66" i="88"/>
  <c r="AB66" i="88"/>
  <c r="W66" i="88"/>
  <c r="V66" i="88"/>
  <c r="U66" i="88"/>
  <c r="J66" i="88"/>
  <c r="G66" i="88"/>
  <c r="AU65" i="88"/>
  <c r="AI65" i="88"/>
  <c r="AC65" i="88"/>
  <c r="AB65" i="88"/>
  <c r="W65" i="88"/>
  <c r="V65" i="88"/>
  <c r="U65" i="88"/>
  <c r="J65" i="88"/>
  <c r="G65" i="88"/>
  <c r="AU64" i="88"/>
  <c r="AI64" i="88"/>
  <c r="AC64" i="88"/>
  <c r="AB64" i="88"/>
  <c r="W64" i="88"/>
  <c r="V64" i="88"/>
  <c r="U64" i="88"/>
  <c r="J64" i="88"/>
  <c r="G64" i="88"/>
  <c r="AU63" i="88"/>
  <c r="AI63" i="88"/>
  <c r="AC63" i="88"/>
  <c r="AB63" i="88"/>
  <c r="W63" i="88"/>
  <c r="V63" i="88"/>
  <c r="U63" i="88"/>
  <c r="J63" i="88"/>
  <c r="G63" i="88"/>
  <c r="AU62" i="88"/>
  <c r="AI62" i="88"/>
  <c r="AC62" i="88"/>
  <c r="AB62" i="88"/>
  <c r="W62" i="88"/>
  <c r="V62" i="88"/>
  <c r="U62" i="88"/>
  <c r="J62" i="88"/>
  <c r="G62" i="88"/>
  <c r="AU61" i="88"/>
  <c r="AI61" i="88"/>
  <c r="AC61" i="88"/>
  <c r="AB61" i="88"/>
  <c r="W61" i="88"/>
  <c r="V61" i="88"/>
  <c r="U61" i="88"/>
  <c r="J61" i="88"/>
  <c r="G61" i="88"/>
  <c r="AU60" i="88"/>
  <c r="AI60" i="88"/>
  <c r="AC60" i="88"/>
  <c r="AB60" i="88"/>
  <c r="W60" i="88"/>
  <c r="V60" i="88"/>
  <c r="U60" i="88"/>
  <c r="J60" i="88"/>
  <c r="G60" i="88"/>
  <c r="AU59" i="88"/>
  <c r="AI59" i="88"/>
  <c r="AC59" i="88"/>
  <c r="AB59" i="88"/>
  <c r="W59" i="88"/>
  <c r="V59" i="88"/>
  <c r="U59" i="88"/>
  <c r="J59" i="88"/>
  <c r="G59" i="88"/>
  <c r="AU58" i="88"/>
  <c r="AI58" i="88"/>
  <c r="AC58" i="88"/>
  <c r="AB58" i="88"/>
  <c r="W58" i="88"/>
  <c r="V58" i="88"/>
  <c r="U58" i="88"/>
  <c r="J58" i="88"/>
  <c r="G58" i="88"/>
  <c r="AU57" i="88"/>
  <c r="AI57" i="88"/>
  <c r="AC57" i="88"/>
  <c r="AB57" i="88"/>
  <c r="W57" i="88"/>
  <c r="V57" i="88"/>
  <c r="U57" i="88"/>
  <c r="J57" i="88"/>
  <c r="G57" i="88"/>
  <c r="AU56" i="88"/>
  <c r="AI56" i="88"/>
  <c r="AC56" i="88"/>
  <c r="AB56" i="88"/>
  <c r="W56" i="88"/>
  <c r="V56" i="88"/>
  <c r="U56" i="88"/>
  <c r="J56" i="88"/>
  <c r="G56" i="88"/>
  <c r="AU55" i="88"/>
  <c r="AI55" i="88"/>
  <c r="AC55" i="88"/>
  <c r="AB55" i="88"/>
  <c r="W55" i="88"/>
  <c r="V55" i="88"/>
  <c r="U55" i="88"/>
  <c r="J55" i="88"/>
  <c r="G55" i="88"/>
  <c r="AU54" i="88"/>
  <c r="AI54" i="88"/>
  <c r="AC54" i="88"/>
  <c r="AB54" i="88"/>
  <c r="W54" i="88"/>
  <c r="V54" i="88"/>
  <c r="U54" i="88"/>
  <c r="J54" i="88"/>
  <c r="G54" i="88"/>
  <c r="AU53" i="88"/>
  <c r="AI53" i="88"/>
  <c r="AC53" i="88"/>
  <c r="AB53" i="88"/>
  <c r="W53" i="88"/>
  <c r="V53" i="88"/>
  <c r="U53" i="88"/>
  <c r="J53" i="88"/>
  <c r="G53" i="88"/>
  <c r="AU52" i="88"/>
  <c r="AI52" i="88"/>
  <c r="AC52" i="88"/>
  <c r="AB52" i="88"/>
  <c r="W52" i="88"/>
  <c r="V52" i="88"/>
  <c r="U52" i="88"/>
  <c r="J52" i="88"/>
  <c r="G52" i="88"/>
  <c r="AU51" i="88"/>
  <c r="AI51" i="88"/>
  <c r="AC51" i="88"/>
  <c r="AB51" i="88"/>
  <c r="W51" i="88"/>
  <c r="V51" i="88"/>
  <c r="U51" i="88"/>
  <c r="J51" i="88"/>
  <c r="G51" i="88"/>
  <c r="AU50" i="88"/>
  <c r="AI50" i="88"/>
  <c r="AC50" i="88"/>
  <c r="AB50" i="88"/>
  <c r="W50" i="88"/>
  <c r="V50" i="88"/>
  <c r="U50" i="88"/>
  <c r="J50" i="88"/>
  <c r="G50" i="88"/>
  <c r="AU49" i="88"/>
  <c r="AI49" i="88"/>
  <c r="AC49" i="88"/>
  <c r="AB49" i="88"/>
  <c r="W49" i="88"/>
  <c r="V49" i="88"/>
  <c r="U49" i="88"/>
  <c r="J49" i="88"/>
  <c r="G49" i="88"/>
  <c r="AU48" i="88"/>
  <c r="AI48" i="88"/>
  <c r="AC48" i="88"/>
  <c r="AB48" i="88"/>
  <c r="W48" i="88"/>
  <c r="V48" i="88"/>
  <c r="U48" i="88"/>
  <c r="J48" i="88"/>
  <c r="G48" i="88"/>
  <c r="AU47" i="88"/>
  <c r="AI47" i="88"/>
  <c r="AC47" i="88"/>
  <c r="AB47" i="88"/>
  <c r="W47" i="88"/>
  <c r="V47" i="88"/>
  <c r="U47" i="88"/>
  <c r="J47" i="88"/>
  <c r="G47" i="88"/>
  <c r="AU46" i="88"/>
  <c r="AI46" i="88"/>
  <c r="AC46" i="88"/>
  <c r="AB46" i="88"/>
  <c r="W46" i="88"/>
  <c r="V46" i="88"/>
  <c r="U46" i="88"/>
  <c r="J46" i="88"/>
  <c r="G46" i="88"/>
  <c r="AU45" i="88"/>
  <c r="AI45" i="88"/>
  <c r="AC45" i="88"/>
  <c r="AB45" i="88"/>
  <c r="W45" i="88"/>
  <c r="V45" i="88"/>
  <c r="U45" i="88"/>
  <c r="J45" i="88"/>
  <c r="G45" i="88"/>
  <c r="P59" i="90" l="1"/>
  <c r="AI303" i="88"/>
  <c r="AB303" i="88"/>
  <c r="M341" i="89"/>
  <c r="BH644" i="89"/>
  <c r="BH1308" i="89" s="1"/>
  <c r="M333" i="89"/>
  <c r="BH636" i="89"/>
  <c r="M321" i="89"/>
  <c r="BI624" i="89"/>
  <c r="BH624" i="89"/>
  <c r="M313" i="89"/>
  <c r="BH616" i="89"/>
  <c r="BH608" i="89"/>
  <c r="BH596" i="89"/>
  <c r="BI596" i="89"/>
  <c r="M285" i="89"/>
  <c r="BL588" i="89"/>
  <c r="BH588" i="89"/>
  <c r="BK588" i="89"/>
  <c r="BJ588" i="89"/>
  <c r="BI588" i="89"/>
  <c r="M273" i="89"/>
  <c r="BL576" i="89"/>
  <c r="BH576" i="89"/>
  <c r="BK576" i="89"/>
  <c r="BJ576" i="89"/>
  <c r="BI576" i="89"/>
  <c r="M265" i="89"/>
  <c r="BH568" i="89"/>
  <c r="M253" i="89"/>
  <c r="BH556" i="89"/>
  <c r="M245" i="89"/>
  <c r="BH548" i="89"/>
  <c r="M233" i="89"/>
  <c r="BH536" i="89"/>
  <c r="BH1200" i="89" s="1"/>
  <c r="M225" i="89"/>
  <c r="BI528" i="89"/>
  <c r="BL528" i="89"/>
  <c r="BH528" i="89"/>
  <c r="BK528" i="89"/>
  <c r="BJ528" i="89"/>
  <c r="M213" i="89"/>
  <c r="BH516" i="89"/>
  <c r="BH1180" i="89" s="1"/>
  <c r="M205" i="89"/>
  <c r="BH508" i="89"/>
  <c r="M197" i="89"/>
  <c r="BH500" i="89"/>
  <c r="M185" i="89"/>
  <c r="BH488" i="89"/>
  <c r="M177" i="89"/>
  <c r="BH480" i="89"/>
  <c r="M165" i="89"/>
  <c r="BH468" i="89"/>
  <c r="M63" i="89"/>
  <c r="BH366" i="89"/>
  <c r="M71" i="89"/>
  <c r="BH374" i="89"/>
  <c r="M83" i="89"/>
  <c r="BH386" i="89"/>
  <c r="M91" i="89"/>
  <c r="BH394" i="89"/>
  <c r="M99" i="89"/>
  <c r="BH402" i="89"/>
  <c r="M111" i="89"/>
  <c r="BH414" i="89"/>
  <c r="M119" i="89"/>
  <c r="BH422" i="89"/>
  <c r="M127" i="89"/>
  <c r="BH430" i="89"/>
  <c r="M135" i="89"/>
  <c r="BH438" i="89"/>
  <c r="M143" i="89"/>
  <c r="BH446" i="89"/>
  <c r="M151" i="89"/>
  <c r="BH454" i="89"/>
  <c r="M51" i="89"/>
  <c r="BH354" i="89"/>
  <c r="M340" i="89"/>
  <c r="BH643" i="89"/>
  <c r="BH1307" i="89" s="1"/>
  <c r="M332" i="89"/>
  <c r="BH635" i="89"/>
  <c r="BI623" i="89"/>
  <c r="BH623" i="89"/>
  <c r="M312" i="89"/>
  <c r="BH615" i="89"/>
  <c r="BH607" i="89"/>
  <c r="M292" i="89"/>
  <c r="BH595" i="89"/>
  <c r="M284" i="89"/>
  <c r="BI587" i="89"/>
  <c r="BH587" i="89"/>
  <c r="BH575" i="89"/>
  <c r="M264" i="89"/>
  <c r="BI567" i="89"/>
  <c r="BL567" i="89"/>
  <c r="BH567" i="89"/>
  <c r="BK567" i="89"/>
  <c r="BJ567" i="89"/>
  <c r="M256" i="89"/>
  <c r="BH559" i="89"/>
  <c r="BH1223" i="89" s="1"/>
  <c r="M244" i="89"/>
  <c r="BH547" i="89"/>
  <c r="M236" i="89"/>
  <c r="BI539" i="89"/>
  <c r="BH539" i="89"/>
  <c r="BH1203" i="89" s="1"/>
  <c r="M228" i="89"/>
  <c r="BH531" i="89"/>
  <c r="M224" i="89"/>
  <c r="BH527" i="89"/>
  <c r="BH519" i="89"/>
  <c r="M204" i="89"/>
  <c r="BH507" i="89"/>
  <c r="BI507" i="89"/>
  <c r="M196" i="89"/>
  <c r="BH499" i="89"/>
  <c r="BH491" i="89"/>
  <c r="M180" i="89"/>
  <c r="BH483" i="89"/>
  <c r="M172" i="89"/>
  <c r="BH475" i="89"/>
  <c r="BJ475" i="89"/>
  <c r="M160" i="89"/>
  <c r="BH463" i="89"/>
  <c r="M52" i="89"/>
  <c r="BH355" i="89"/>
  <c r="M60" i="89"/>
  <c r="BH363" i="89"/>
  <c r="M68" i="89"/>
  <c r="BH371" i="89"/>
  <c r="M76" i="89"/>
  <c r="BH379" i="89"/>
  <c r="M84" i="89"/>
  <c r="BH387" i="89"/>
  <c r="M92" i="89"/>
  <c r="BH395" i="89"/>
  <c r="M100" i="89"/>
  <c r="BH403" i="89"/>
  <c r="M108" i="89"/>
  <c r="BH411" i="89"/>
  <c r="M116" i="89"/>
  <c r="BH419" i="89"/>
  <c r="M124" i="89"/>
  <c r="BH427" i="89"/>
  <c r="M132" i="89"/>
  <c r="BH435" i="89"/>
  <c r="M140" i="89"/>
  <c r="BH443" i="89"/>
  <c r="M152" i="89"/>
  <c r="BH455" i="89"/>
  <c r="M154" i="89"/>
  <c r="BH457" i="89"/>
  <c r="M343" i="89"/>
  <c r="BH646" i="89"/>
  <c r="M339" i="89"/>
  <c r="BK642" i="89"/>
  <c r="BJ642" i="89"/>
  <c r="BI642" i="89"/>
  <c r="BH642" i="89"/>
  <c r="BH1306" i="89" s="1"/>
  <c r="BL642" i="89"/>
  <c r="M335" i="89"/>
  <c r="BH638" i="89"/>
  <c r="M331" i="89"/>
  <c r="BH634" i="89"/>
  <c r="M327" i="89"/>
  <c r="BI630" i="89"/>
  <c r="BH630" i="89"/>
  <c r="M323" i="89"/>
  <c r="BH626" i="89"/>
  <c r="BH1290" i="89" s="1"/>
  <c r="M319" i="89"/>
  <c r="BK622" i="89"/>
  <c r="BJ622" i="89"/>
  <c r="BL622" i="89"/>
  <c r="BI622" i="89"/>
  <c r="BH622" i="89"/>
  <c r="M315" i="89"/>
  <c r="BH618" i="89"/>
  <c r="M311" i="89"/>
  <c r="BH614" i="89"/>
  <c r="M307" i="89"/>
  <c r="BH610" i="89"/>
  <c r="BH1274" i="89" s="1"/>
  <c r="M303" i="89"/>
  <c r="BH606" i="89"/>
  <c r="M299" i="89"/>
  <c r="BJ602" i="89"/>
  <c r="BI602" i="89"/>
  <c r="BL602" i="89"/>
  <c r="BH602" i="89"/>
  <c r="BK602" i="89"/>
  <c r="M295" i="89"/>
  <c r="BH598" i="89"/>
  <c r="BH594" i="89"/>
  <c r="BH590" i="89"/>
  <c r="M283" i="89"/>
  <c r="BH586" i="89"/>
  <c r="BH582" i="89"/>
  <c r="BH578" i="89"/>
  <c r="BH1242" i="89" s="1"/>
  <c r="BH574" i="89"/>
  <c r="M267" i="89"/>
  <c r="BJ570" i="89"/>
  <c r="BI570" i="89"/>
  <c r="BL570" i="89"/>
  <c r="BH570" i="89"/>
  <c r="BK570" i="89"/>
  <c r="M263" i="89"/>
  <c r="BH566" i="89"/>
  <c r="M259" i="89"/>
  <c r="BH562" i="89"/>
  <c r="BH1226" i="89" s="1"/>
  <c r="M255" i="89"/>
  <c r="BH558" i="89"/>
  <c r="M251" i="89"/>
  <c r="BH554" i="89"/>
  <c r="M247" i="89"/>
  <c r="BH550" i="89"/>
  <c r="M243" i="89"/>
  <c r="BH546" i="89"/>
  <c r="BH1210" i="89" s="1"/>
  <c r="M239" i="89"/>
  <c r="BH542" i="89"/>
  <c r="M235" i="89"/>
  <c r="BH538" i="89"/>
  <c r="M231" i="89"/>
  <c r="BH534" i="89"/>
  <c r="BH530" i="89"/>
  <c r="M223" i="89"/>
  <c r="BH526" i="89"/>
  <c r="M219" i="89"/>
  <c r="BH522" i="89"/>
  <c r="M215" i="89"/>
  <c r="BH518" i="89"/>
  <c r="M211" i="89"/>
  <c r="BH514" i="89"/>
  <c r="M207" i="89"/>
  <c r="BH510" i="89"/>
  <c r="M203" i="89"/>
  <c r="BH506" i="89"/>
  <c r="BH502" i="89"/>
  <c r="M195" i="89"/>
  <c r="BH498" i="89"/>
  <c r="M191" i="89"/>
  <c r="BH494" i="89"/>
  <c r="M187" i="89"/>
  <c r="BH490" i="89"/>
  <c r="M183" i="89"/>
  <c r="BH486" i="89"/>
  <c r="M179" i="89"/>
  <c r="BH482" i="89"/>
  <c r="BH478" i="89"/>
  <c r="M171" i="89"/>
  <c r="BH474" i="89"/>
  <c r="M167" i="89"/>
  <c r="BH470" i="89"/>
  <c r="M163" i="89"/>
  <c r="BH466" i="89"/>
  <c r="BH1130" i="89" s="1"/>
  <c r="M159" i="89"/>
  <c r="BH462" i="89"/>
  <c r="BH458" i="89"/>
  <c r="M53" i="89"/>
  <c r="BH356" i="89"/>
  <c r="M57" i="89"/>
  <c r="BH360" i="89"/>
  <c r="M61" i="89"/>
  <c r="BH364" i="89"/>
  <c r="M65" i="89"/>
  <c r="BH368" i="89"/>
  <c r="M69" i="89"/>
  <c r="BH372" i="89"/>
  <c r="M73" i="89"/>
  <c r="BH376" i="89"/>
  <c r="M77" i="89"/>
  <c r="BH380" i="89"/>
  <c r="M81" i="89"/>
  <c r="BH384" i="89"/>
  <c r="M85" i="89"/>
  <c r="BH388" i="89"/>
  <c r="M89" i="89"/>
  <c r="BH392" i="89"/>
  <c r="M93" i="89"/>
  <c r="BH396" i="89"/>
  <c r="M97" i="89"/>
  <c r="BH400" i="89"/>
  <c r="M101" i="89"/>
  <c r="BH404" i="89"/>
  <c r="M105" i="89"/>
  <c r="BH408" i="89"/>
  <c r="M109" i="89"/>
  <c r="BH412" i="89"/>
  <c r="M113" i="89"/>
  <c r="BH416" i="89"/>
  <c r="M117" i="89"/>
  <c r="BH420" i="89"/>
  <c r="M121" i="89"/>
  <c r="BH424" i="89"/>
  <c r="M125" i="89"/>
  <c r="BH428" i="89"/>
  <c r="M129" i="89"/>
  <c r="BH432" i="89"/>
  <c r="M133" i="89"/>
  <c r="BH436" i="89"/>
  <c r="M137" i="89"/>
  <c r="BH440" i="89"/>
  <c r="M141" i="89"/>
  <c r="BH444" i="89"/>
  <c r="M145" i="89"/>
  <c r="BH448" i="89"/>
  <c r="M149" i="89"/>
  <c r="BH452" i="89"/>
  <c r="M153" i="89"/>
  <c r="BH456" i="89"/>
  <c r="M345" i="89"/>
  <c r="BH648" i="89"/>
  <c r="BH1312" i="89" s="1"/>
  <c r="BI640" i="89"/>
  <c r="BL640" i="89"/>
  <c r="BL1304" i="89" s="1"/>
  <c r="BH640" i="89"/>
  <c r="BK640" i="89"/>
  <c r="BJ640" i="89"/>
  <c r="BI632" i="89"/>
  <c r="BI1296" i="89" s="1"/>
  <c r="BL632" i="89"/>
  <c r="BH632" i="89"/>
  <c r="BK632" i="89"/>
  <c r="BJ632" i="89"/>
  <c r="M325" i="89"/>
  <c r="BH628" i="89"/>
  <c r="BH1292" i="89" s="1"/>
  <c r="M317" i="89"/>
  <c r="BH620" i="89"/>
  <c r="W309" i="89"/>
  <c r="X309" i="89" s="1"/>
  <c r="BH612" i="89"/>
  <c r="M301" i="89"/>
  <c r="BH604" i="89"/>
  <c r="BI604" i="89"/>
  <c r="BL600" i="89"/>
  <c r="BH600" i="89"/>
  <c r="BK600" i="89"/>
  <c r="BJ600" i="89"/>
  <c r="BI600" i="89"/>
  <c r="BL592" i="89"/>
  <c r="BH592" i="89"/>
  <c r="BK592" i="89"/>
  <c r="BJ592" i="89"/>
  <c r="BI592" i="89"/>
  <c r="M281" i="89"/>
  <c r="BH584" i="89"/>
  <c r="M277" i="89"/>
  <c r="BL580" i="89"/>
  <c r="BH580" i="89"/>
  <c r="BK580" i="89"/>
  <c r="BJ580" i="89"/>
  <c r="BI580" i="89"/>
  <c r="BL572" i="89"/>
  <c r="BH572" i="89"/>
  <c r="BH1236" i="89" s="1"/>
  <c r="BK572" i="89"/>
  <c r="BJ572" i="89"/>
  <c r="BI572" i="89"/>
  <c r="M261" i="89"/>
  <c r="BH564" i="89"/>
  <c r="M257" i="89"/>
  <c r="BH560" i="89"/>
  <c r="M249" i="89"/>
  <c r="BH552" i="89"/>
  <c r="W241" i="89"/>
  <c r="X241" i="89" s="1"/>
  <c r="Y241" i="89" s="1"/>
  <c r="BH544" i="89"/>
  <c r="BH540" i="89"/>
  <c r="M229" i="89"/>
  <c r="BH532" i="89"/>
  <c r="BH1196" i="89" s="1"/>
  <c r="M221" i="89"/>
  <c r="BH524" i="89"/>
  <c r="M217" i="89"/>
  <c r="BH520" i="89"/>
  <c r="BH1184" i="89" s="1"/>
  <c r="BH512" i="89"/>
  <c r="M201" i="89"/>
  <c r="BH504" i="89"/>
  <c r="M193" i="89"/>
  <c r="BH496" i="89"/>
  <c r="BH1160" i="89" s="1"/>
  <c r="M189" i="89"/>
  <c r="BH492" i="89"/>
  <c r="M181" i="89"/>
  <c r="BH484" i="89"/>
  <c r="M173" i="89"/>
  <c r="BH476" i="89"/>
  <c r="M169" i="89"/>
  <c r="BH472" i="89"/>
  <c r="BH1136" i="89" s="1"/>
  <c r="M161" i="89"/>
  <c r="BH464" i="89"/>
  <c r="M157" i="89"/>
  <c r="BH460" i="89"/>
  <c r="M55" i="89"/>
  <c r="BH358" i="89"/>
  <c r="M59" i="89"/>
  <c r="BH362" i="89"/>
  <c r="M67" i="89"/>
  <c r="BH370" i="89"/>
  <c r="M75" i="89"/>
  <c r="BH378" i="89"/>
  <c r="M79" i="89"/>
  <c r="BH382" i="89"/>
  <c r="M87" i="89"/>
  <c r="BH390" i="89"/>
  <c r="M95" i="89"/>
  <c r="BH398" i="89"/>
  <c r="M103" i="89"/>
  <c r="BH406" i="89"/>
  <c r="M107" i="89"/>
  <c r="BH410" i="89"/>
  <c r="M115" i="89"/>
  <c r="BH418" i="89"/>
  <c r="M123" i="89"/>
  <c r="BH426" i="89"/>
  <c r="M131" i="89"/>
  <c r="BH434" i="89"/>
  <c r="M139" i="89"/>
  <c r="BH442" i="89"/>
  <c r="M147" i="89"/>
  <c r="BH450" i="89"/>
  <c r="M344" i="89"/>
  <c r="BH647" i="89"/>
  <c r="M336" i="89"/>
  <c r="BH639" i="89"/>
  <c r="M328" i="89"/>
  <c r="BH631" i="89"/>
  <c r="M324" i="89"/>
  <c r="BH627" i="89"/>
  <c r="M316" i="89"/>
  <c r="BH619" i="89"/>
  <c r="M308" i="89"/>
  <c r="BH611" i="89"/>
  <c r="M300" i="89"/>
  <c r="BH603" i="89"/>
  <c r="M296" i="89"/>
  <c r="BI599" i="89"/>
  <c r="BH599" i="89"/>
  <c r="M288" i="89"/>
  <c r="BH591" i="89"/>
  <c r="M280" i="89"/>
  <c r="BH583" i="89"/>
  <c r="M276" i="89"/>
  <c r="BH579" i="89"/>
  <c r="M268" i="89"/>
  <c r="BH571" i="89"/>
  <c r="M260" i="89"/>
  <c r="BH563" i="89"/>
  <c r="M252" i="89"/>
  <c r="BH555" i="89"/>
  <c r="BI551" i="89"/>
  <c r="BH551" i="89"/>
  <c r="M240" i="89"/>
  <c r="BH543" i="89"/>
  <c r="BH535" i="89"/>
  <c r="M220" i="89"/>
  <c r="BH523" i="89"/>
  <c r="BH515" i="89"/>
  <c r="M208" i="89"/>
  <c r="BH511" i="89"/>
  <c r="BH503" i="89"/>
  <c r="M192" i="89"/>
  <c r="BH495" i="89"/>
  <c r="BH487" i="89"/>
  <c r="M176" i="89"/>
  <c r="BH479" i="89"/>
  <c r="M168" i="89"/>
  <c r="BH471" i="89"/>
  <c r="M164" i="89"/>
  <c r="BH467" i="89"/>
  <c r="BH1131" i="89" s="1"/>
  <c r="M156" i="89"/>
  <c r="BH459" i="89"/>
  <c r="M56" i="89"/>
  <c r="BH359" i="89"/>
  <c r="M64" i="89"/>
  <c r="BH367" i="89"/>
  <c r="M72" i="89"/>
  <c r="BH375" i="89"/>
  <c r="M80" i="89"/>
  <c r="BH383" i="89"/>
  <c r="M88" i="89"/>
  <c r="BH391" i="89"/>
  <c r="M96" i="89"/>
  <c r="BH399" i="89"/>
  <c r="M104" i="89"/>
  <c r="BH407" i="89"/>
  <c r="M112" i="89"/>
  <c r="BH415" i="89"/>
  <c r="M120" i="89"/>
  <c r="BH423" i="89"/>
  <c r="M128" i="89"/>
  <c r="BH431" i="89"/>
  <c r="M136" i="89"/>
  <c r="BH439" i="89"/>
  <c r="M144" i="89"/>
  <c r="BH447" i="89"/>
  <c r="M148" i="89"/>
  <c r="BH451" i="89"/>
  <c r="M346" i="89"/>
  <c r="BH649" i="89"/>
  <c r="BJ649" i="89"/>
  <c r="M342" i="89"/>
  <c r="BH645" i="89"/>
  <c r="M338" i="89"/>
  <c r="BH641" i="89"/>
  <c r="BI641" i="89"/>
  <c r="BI1305" i="89" s="1"/>
  <c r="M334" i="89"/>
  <c r="BH637" i="89"/>
  <c r="M330" i="89"/>
  <c r="BH633" i="89"/>
  <c r="BI633" i="89"/>
  <c r="BI1297" i="89" s="1"/>
  <c r="M326" i="89"/>
  <c r="BL629" i="89"/>
  <c r="BH629" i="89"/>
  <c r="BK629" i="89"/>
  <c r="BJ629" i="89"/>
  <c r="BI629" i="89"/>
  <c r="M322" i="89"/>
  <c r="BH625" i="89"/>
  <c r="M318" i="89"/>
  <c r="BH621" i="89"/>
  <c r="BI621" i="89"/>
  <c r="M314" i="89"/>
  <c r="BH617" i="89"/>
  <c r="M310" i="89"/>
  <c r="BI613" i="89"/>
  <c r="BH613" i="89"/>
  <c r="M306" i="89"/>
  <c r="BK609" i="89"/>
  <c r="BJ609" i="89"/>
  <c r="BI609" i="89"/>
  <c r="BL609" i="89"/>
  <c r="BH609" i="89"/>
  <c r="M302" i="89"/>
  <c r="BK605" i="89"/>
  <c r="BJ605" i="89"/>
  <c r="BI605" i="89"/>
  <c r="BL605" i="89"/>
  <c r="BH605" i="89"/>
  <c r="M298" i="89"/>
  <c r="BH601" i="89"/>
  <c r="M294" i="89"/>
  <c r="BK597" i="89"/>
  <c r="BJ597" i="89"/>
  <c r="BI597" i="89"/>
  <c r="BH597" i="89"/>
  <c r="BL597" i="89"/>
  <c r="M290" i="89"/>
  <c r="BH593" i="89"/>
  <c r="BH1257" i="89" s="1"/>
  <c r="M286" i="89"/>
  <c r="BI589" i="89"/>
  <c r="BH589" i="89"/>
  <c r="M282" i="89"/>
  <c r="BK585" i="89"/>
  <c r="BJ585" i="89"/>
  <c r="BI585" i="89"/>
  <c r="BL585" i="89"/>
  <c r="BH585" i="89"/>
  <c r="M278" i="89"/>
  <c r="BH581" i="89"/>
  <c r="M274" i="89"/>
  <c r="BH577" i="89"/>
  <c r="BH1241" i="89" s="1"/>
  <c r="M270" i="89"/>
  <c r="BI573" i="89"/>
  <c r="BH573" i="89"/>
  <c r="M266" i="89"/>
  <c r="BH569" i="89"/>
  <c r="M262" i="89"/>
  <c r="BI565" i="89"/>
  <c r="BH565" i="89"/>
  <c r="M258" i="89"/>
  <c r="BH561" i="89"/>
  <c r="M254" i="89"/>
  <c r="BH557" i="89"/>
  <c r="M250" i="89"/>
  <c r="BH553" i="89"/>
  <c r="BI553" i="89"/>
  <c r="BI1217" i="89" s="1"/>
  <c r="M246" i="89"/>
  <c r="BH549" i="89"/>
  <c r="M242" i="89"/>
  <c r="BH545" i="89"/>
  <c r="M238" i="89"/>
  <c r="BH541" i="89"/>
  <c r="M234" i="89"/>
  <c r="BH537" i="89"/>
  <c r="M230" i="89"/>
  <c r="BH533" i="89"/>
  <c r="BJ533" i="89"/>
  <c r="M226" i="89"/>
  <c r="BH529" i="89"/>
  <c r="M222" i="89"/>
  <c r="BH525" i="89"/>
  <c r="M218" i="89"/>
  <c r="BH521" i="89"/>
  <c r="M214" i="89"/>
  <c r="BH517" i="89"/>
  <c r="BI517" i="89"/>
  <c r="M210" i="89"/>
  <c r="BH513" i="89"/>
  <c r="M206" i="89"/>
  <c r="M202" i="89"/>
  <c r="BH505" i="89"/>
  <c r="M198" i="89"/>
  <c r="BH501" i="89"/>
  <c r="M194" i="89"/>
  <c r="BI497" i="89"/>
  <c r="BH497" i="89"/>
  <c r="M190" i="89"/>
  <c r="BH493" i="89"/>
  <c r="M186" i="89"/>
  <c r="BI489" i="89"/>
  <c r="BH489" i="89"/>
  <c r="M182" i="89"/>
  <c r="BI485" i="89"/>
  <c r="BH485" i="89"/>
  <c r="M178" i="89"/>
  <c r="BH481" i="89"/>
  <c r="M174" i="89"/>
  <c r="BH477" i="89"/>
  <c r="M170" i="89"/>
  <c r="BH473" i="89"/>
  <c r="M166" i="89"/>
  <c r="BI469" i="89"/>
  <c r="BH469" i="89"/>
  <c r="M162" i="89"/>
  <c r="BI465" i="89"/>
  <c r="BH465" i="89"/>
  <c r="M158" i="89"/>
  <c r="BH461" i="89"/>
  <c r="M54" i="89"/>
  <c r="BH357" i="89"/>
  <c r="M58" i="89"/>
  <c r="BH361" i="89"/>
  <c r="M62" i="89"/>
  <c r="BH365" i="89"/>
  <c r="M66" i="89"/>
  <c r="BH369" i="89"/>
  <c r="M70" i="89"/>
  <c r="BH373" i="89"/>
  <c r="M74" i="89"/>
  <c r="BH377" i="89"/>
  <c r="M78" i="89"/>
  <c r="BH381" i="89"/>
  <c r="M82" i="89"/>
  <c r="BH385" i="89"/>
  <c r="M86" i="89"/>
  <c r="BH389" i="89"/>
  <c r="M90" i="89"/>
  <c r="BH393" i="89"/>
  <c r="M94" i="89"/>
  <c r="BH397" i="89"/>
  <c r="M98" i="89"/>
  <c r="BH401" i="89"/>
  <c r="M102" i="89"/>
  <c r="BH405" i="89"/>
  <c r="M106" i="89"/>
  <c r="BH409" i="89"/>
  <c r="M110" i="89"/>
  <c r="BH413" i="89"/>
  <c r="M114" i="89"/>
  <c r="BH417" i="89"/>
  <c r="BH1081" i="89" s="1"/>
  <c r="M118" i="89"/>
  <c r="BH421" i="89"/>
  <c r="M122" i="89"/>
  <c r="BH425" i="89"/>
  <c r="M126" i="89"/>
  <c r="BH429" i="89"/>
  <c r="M130" i="89"/>
  <c r="BH433" i="89"/>
  <c r="M134" i="89"/>
  <c r="BH437" i="89"/>
  <c r="M138" i="89"/>
  <c r="BH441" i="89"/>
  <c r="M142" i="89"/>
  <c r="BH445" i="89"/>
  <c r="M146" i="89"/>
  <c r="BH449" i="89"/>
  <c r="M150" i="89"/>
  <c r="BH453" i="89"/>
  <c r="BH1117" i="89" s="1"/>
  <c r="W165" i="89"/>
  <c r="X165" i="89" s="1"/>
  <c r="Y165" i="89" s="1"/>
  <c r="AK169" i="89"/>
  <c r="AK209" i="89"/>
  <c r="AK237" i="89"/>
  <c r="AK241" i="89"/>
  <c r="AK245" i="89"/>
  <c r="AK261" i="89"/>
  <c r="W279" i="89"/>
  <c r="X279" i="89" s="1"/>
  <c r="Y279" i="89" s="1"/>
  <c r="AK281" i="89"/>
  <c r="W287" i="89"/>
  <c r="X287" i="89" s="1"/>
  <c r="AK309" i="89"/>
  <c r="AK175" i="89"/>
  <c r="AC224" i="88"/>
  <c r="BG527" i="88"/>
  <c r="BF527" i="88"/>
  <c r="AI264" i="88"/>
  <c r="BG567" i="88"/>
  <c r="BF567" i="88"/>
  <c r="U283" i="88"/>
  <c r="V283" i="88" s="1"/>
  <c r="BI586" i="88" s="1"/>
  <c r="BG586" i="88"/>
  <c r="BF586" i="88"/>
  <c r="BG588" i="88"/>
  <c r="BJ588" i="88"/>
  <c r="BF588" i="88"/>
  <c r="BI588" i="88"/>
  <c r="BH588" i="88"/>
  <c r="BG591" i="88"/>
  <c r="BF591" i="88"/>
  <c r="BJ601" i="88"/>
  <c r="BF601" i="88"/>
  <c r="BI601" i="88"/>
  <c r="BH601" i="88"/>
  <c r="BG601" i="88"/>
  <c r="AI304" i="88"/>
  <c r="BG607" i="88"/>
  <c r="BF607" i="88"/>
  <c r="BG622" i="88"/>
  <c r="BF622" i="88"/>
  <c r="BG628" i="88"/>
  <c r="BJ628" i="88"/>
  <c r="BF628" i="88"/>
  <c r="BI628" i="88"/>
  <c r="BH628" i="88"/>
  <c r="BF350" i="88"/>
  <c r="BF370" i="88"/>
  <c r="BF374" i="88"/>
  <c r="BF378" i="88"/>
  <c r="BF394" i="88"/>
  <c r="BF398" i="88"/>
  <c r="BF402" i="88"/>
  <c r="BF406" i="88"/>
  <c r="BF450" i="88"/>
  <c r="BG469" i="88"/>
  <c r="BF469" i="88"/>
  <c r="BF483" i="88"/>
  <c r="BH483" i="88"/>
  <c r="BG483" i="88"/>
  <c r="BG1147" i="88" s="1"/>
  <c r="AI185" i="88"/>
  <c r="BJ488" i="88" s="1"/>
  <c r="BI488" i="88"/>
  <c r="BH488" i="88"/>
  <c r="BG488" i="88"/>
  <c r="BF488" i="88"/>
  <c r="BG490" i="88"/>
  <c r="BF490" i="88"/>
  <c r="BH490" i="88"/>
  <c r="BH521" i="88"/>
  <c r="BG521" i="88"/>
  <c r="BF521" i="88"/>
  <c r="AC232" i="88"/>
  <c r="BG535" i="88"/>
  <c r="BF535" i="88"/>
  <c r="BJ538" i="88"/>
  <c r="BF538" i="88"/>
  <c r="BI538" i="88"/>
  <c r="BH538" i="88"/>
  <c r="BG538" i="88"/>
  <c r="U236" i="88"/>
  <c r="BH539" i="88" s="1"/>
  <c r="BG539" i="88"/>
  <c r="BF539" i="88"/>
  <c r="BG557" i="88"/>
  <c r="BF557" i="88"/>
  <c r="AI257" i="88"/>
  <c r="BG560" i="88"/>
  <c r="BF560" i="88"/>
  <c r="BH568" i="88"/>
  <c r="BG568" i="88"/>
  <c r="BJ568" i="88"/>
  <c r="BF568" i="88"/>
  <c r="BI568" i="88"/>
  <c r="AI268" i="88"/>
  <c r="BH571" i="88"/>
  <c r="BG571" i="88"/>
  <c r="BF571" i="88"/>
  <c r="BG580" i="88"/>
  <c r="BF580" i="88"/>
  <c r="AI292" i="88"/>
  <c r="BJ595" i="88" s="1"/>
  <c r="BH595" i="88"/>
  <c r="BG595" i="88"/>
  <c r="BF595" i="88"/>
  <c r="BI595" i="88"/>
  <c r="BG596" i="88"/>
  <c r="BJ596" i="88"/>
  <c r="BF596" i="88"/>
  <c r="BI596" i="88"/>
  <c r="BH596" i="88"/>
  <c r="BI598" i="88"/>
  <c r="BH598" i="88"/>
  <c r="BG598" i="88"/>
  <c r="BJ598" i="88"/>
  <c r="BF598" i="88"/>
  <c r="AC296" i="88"/>
  <c r="BG599" i="88"/>
  <c r="BF599" i="88"/>
  <c r="U297" i="88"/>
  <c r="BH600" i="88" s="1"/>
  <c r="BG600" i="88"/>
  <c r="BF600" i="88"/>
  <c r="BG602" i="88"/>
  <c r="BF602" i="88"/>
  <c r="U314" i="88"/>
  <c r="BH617" i="88" s="1"/>
  <c r="BF617" i="88"/>
  <c r="BG617" i="88"/>
  <c r="BG642" i="88"/>
  <c r="BF642" i="88"/>
  <c r="BG506" i="88"/>
  <c r="BJ506" i="88"/>
  <c r="BF506" i="88"/>
  <c r="BI506" i="88"/>
  <c r="BH506" i="88"/>
  <c r="AC210" i="88"/>
  <c r="BH513" i="88"/>
  <c r="BG513" i="88"/>
  <c r="BF513" i="88"/>
  <c r="BI524" i="88"/>
  <c r="BH524" i="88"/>
  <c r="BG524" i="88"/>
  <c r="BF524" i="88"/>
  <c r="BJ524" i="88"/>
  <c r="BI531" i="88"/>
  <c r="BH531" i="88"/>
  <c r="BG531" i="88"/>
  <c r="BJ531" i="88"/>
  <c r="BF531" i="88"/>
  <c r="AI233" i="88"/>
  <c r="BG536" i="88"/>
  <c r="BF536" i="88"/>
  <c r="AC237" i="88"/>
  <c r="BG540" i="88"/>
  <c r="BF540" i="88"/>
  <c r="U262" i="88"/>
  <c r="V262" i="88" s="1"/>
  <c r="BI565" i="88" s="1"/>
  <c r="BG565" i="88"/>
  <c r="BF565" i="88"/>
  <c r="BF570" i="88"/>
  <c r="BI570" i="88"/>
  <c r="BH570" i="88"/>
  <c r="BG570" i="88"/>
  <c r="U282" i="88"/>
  <c r="BH585" i="88" s="1"/>
  <c r="BF585" i="88"/>
  <c r="BG585" i="88"/>
  <c r="BG616" i="88"/>
  <c r="BF616" i="88"/>
  <c r="BG631" i="88"/>
  <c r="BF631" i="88"/>
  <c r="BG644" i="88"/>
  <c r="BF644" i="88"/>
  <c r="BH644" i="88"/>
  <c r="BF354" i="88"/>
  <c r="BF358" i="88"/>
  <c r="BF362" i="88"/>
  <c r="BF410" i="88"/>
  <c r="BF414" i="88"/>
  <c r="BF418" i="88"/>
  <c r="BF422" i="88"/>
  <c r="BF426" i="88"/>
  <c r="BF446" i="88"/>
  <c r="BG457" i="88"/>
  <c r="BF457" i="88"/>
  <c r="BG458" i="88"/>
  <c r="BF458" i="88"/>
  <c r="BI520" i="88"/>
  <c r="BH520" i="88"/>
  <c r="BG520" i="88"/>
  <c r="BJ520" i="88"/>
  <c r="BF520" i="88"/>
  <c r="U227" i="88"/>
  <c r="BH530" i="88" s="1"/>
  <c r="BF530" i="88"/>
  <c r="BG530" i="88"/>
  <c r="U253" i="88"/>
  <c r="BH556" i="88" s="1"/>
  <c r="BG556" i="88"/>
  <c r="BF556" i="88"/>
  <c r="BG559" i="88"/>
  <c r="BF559" i="88"/>
  <c r="BI563" i="88"/>
  <c r="BH563" i="88"/>
  <c r="BG563" i="88"/>
  <c r="BJ563" i="88"/>
  <c r="BF563" i="88"/>
  <c r="AC287" i="88"/>
  <c r="BG590" i="88"/>
  <c r="BF590" i="88"/>
  <c r="BG604" i="88"/>
  <c r="BJ604" i="88"/>
  <c r="BF604" i="88"/>
  <c r="BI604" i="88"/>
  <c r="BH604" i="88"/>
  <c r="BF629" i="88"/>
  <c r="BG629" i="88"/>
  <c r="BG640" i="88"/>
  <c r="BJ640" i="88"/>
  <c r="BF640" i="88"/>
  <c r="BI640" i="88"/>
  <c r="BH640" i="88"/>
  <c r="BH643" i="88"/>
  <c r="BG643" i="88"/>
  <c r="BF643" i="88"/>
  <c r="BF351" i="88"/>
  <c r="BF367" i="88"/>
  <c r="BF371" i="88"/>
  <c r="BF375" i="88"/>
  <c r="BF379" i="88"/>
  <c r="BF383" i="88"/>
  <c r="BF387" i="88"/>
  <c r="BF391" i="88"/>
  <c r="BF395" i="88"/>
  <c r="BF399" i="88"/>
  <c r="BF403" i="88"/>
  <c r="BF407" i="88"/>
  <c r="BF411" i="88"/>
  <c r="BF415" i="88"/>
  <c r="BF419" i="88"/>
  <c r="BF423" i="88"/>
  <c r="BF427" i="88"/>
  <c r="BF431" i="88"/>
  <c r="BF435" i="88"/>
  <c r="BF439" i="88"/>
  <c r="BF443" i="88"/>
  <c r="BF447" i="88"/>
  <c r="BF451" i="88"/>
  <c r="BG454" i="88"/>
  <c r="BF454" i="88"/>
  <c r="BI460" i="88"/>
  <c r="BH460" i="88"/>
  <c r="BG460" i="88"/>
  <c r="BF460" i="88"/>
  <c r="BG461" i="88"/>
  <c r="BF461" i="88"/>
  <c r="U161" i="88"/>
  <c r="BH464" i="88" s="1"/>
  <c r="BG464" i="88"/>
  <c r="BF464" i="88"/>
  <c r="BG465" i="88"/>
  <c r="BF465" i="88"/>
  <c r="BG466" i="88"/>
  <c r="BF466" i="88"/>
  <c r="AI165" i="88"/>
  <c r="BG468" i="88"/>
  <c r="BF468" i="88"/>
  <c r="BF479" i="88"/>
  <c r="BH479" i="88"/>
  <c r="BG479" i="88"/>
  <c r="BG1143" i="88" s="1"/>
  <c r="BG485" i="88"/>
  <c r="BF485" i="88"/>
  <c r="BF487" i="88"/>
  <c r="BH487" i="88"/>
  <c r="BG487" i="88"/>
  <c r="AC193" i="88"/>
  <c r="BH496" i="88"/>
  <c r="BG496" i="88"/>
  <c r="BF496" i="88"/>
  <c r="BG498" i="88"/>
  <c r="BJ498" i="88"/>
  <c r="BF498" i="88"/>
  <c r="BI498" i="88"/>
  <c r="BI1162" i="88" s="1"/>
  <c r="BH498" i="88"/>
  <c r="AC198" i="88"/>
  <c r="BJ501" i="88" s="1"/>
  <c r="BH501" i="88"/>
  <c r="BG501" i="88"/>
  <c r="BF501" i="88"/>
  <c r="AI205" i="88"/>
  <c r="BJ508" i="88" s="1"/>
  <c r="BI508" i="88"/>
  <c r="BH508" i="88"/>
  <c r="BG508" i="88"/>
  <c r="BF508" i="88"/>
  <c r="AI206" i="88"/>
  <c r="BG509" i="88"/>
  <c r="BF509" i="88"/>
  <c r="BG514" i="88"/>
  <c r="BJ514" i="88"/>
  <c r="BF514" i="88"/>
  <c r="BI514" i="88"/>
  <c r="BH514" i="88"/>
  <c r="AC213" i="88"/>
  <c r="BG516" i="88"/>
  <c r="BF516" i="88"/>
  <c r="U214" i="88"/>
  <c r="BH517" i="88" s="1"/>
  <c r="BG517" i="88"/>
  <c r="BF517" i="88"/>
  <c r="BG518" i="88"/>
  <c r="BF518" i="88"/>
  <c r="AI216" i="88"/>
  <c r="BF519" i="88"/>
  <c r="BG519" i="88"/>
  <c r="BF523" i="88"/>
  <c r="BH523" i="88"/>
  <c r="BG523" i="88"/>
  <c r="BG529" i="88"/>
  <c r="BF529" i="88"/>
  <c r="BH529" i="88"/>
  <c r="BF542" i="88"/>
  <c r="BG542" i="88"/>
  <c r="U245" i="88"/>
  <c r="BH548" i="88" s="1"/>
  <c r="BG548" i="88"/>
  <c r="BF548" i="88"/>
  <c r="U246" i="88"/>
  <c r="V246" i="88" s="1"/>
  <c r="BG549" i="88"/>
  <c r="BF549" i="88"/>
  <c r="BF550" i="88"/>
  <c r="BG550" i="88"/>
  <c r="AC248" i="88"/>
  <c r="BG551" i="88"/>
  <c r="BF551" i="88"/>
  <c r="AC249" i="88"/>
  <c r="BG552" i="88"/>
  <c r="BF552" i="88"/>
  <c r="U250" i="88"/>
  <c r="BG553" i="88"/>
  <c r="BF553" i="88"/>
  <c r="BF554" i="88"/>
  <c r="BH554" i="88"/>
  <c r="BG554" i="88"/>
  <c r="AI258" i="88"/>
  <c r="BG561" i="88"/>
  <c r="BF561" i="88"/>
  <c r="BJ566" i="88"/>
  <c r="BF566" i="88"/>
  <c r="BI566" i="88"/>
  <c r="BH566" i="88"/>
  <c r="BG566" i="88"/>
  <c r="AC266" i="88"/>
  <c r="BG569" i="88"/>
  <c r="BF569" i="88"/>
  <c r="BH569" i="88"/>
  <c r="AI267" i="88"/>
  <c r="BJ570" i="88" s="1"/>
  <c r="AI271" i="88"/>
  <c r="BJ574" i="88" s="1"/>
  <c r="BF574" i="88"/>
  <c r="BI574" i="88"/>
  <c r="BH574" i="88"/>
  <c r="BG574" i="88"/>
  <c r="AC272" i="88"/>
  <c r="BG575" i="88"/>
  <c r="BF575" i="88"/>
  <c r="BH576" i="88"/>
  <c r="BG576" i="88"/>
  <c r="BJ576" i="88"/>
  <c r="BF576" i="88"/>
  <c r="BI576" i="88"/>
  <c r="BG577" i="88"/>
  <c r="BF577" i="88"/>
  <c r="U275" i="88"/>
  <c r="BH578" i="88" s="1"/>
  <c r="BG578" i="88"/>
  <c r="BF578" i="88"/>
  <c r="AC280" i="88"/>
  <c r="BJ583" i="88" s="1"/>
  <c r="BH583" i="88"/>
  <c r="BG583" i="88"/>
  <c r="BF583" i="88"/>
  <c r="BG587" i="88"/>
  <c r="BF587" i="88"/>
  <c r="AC286" i="88"/>
  <c r="BF589" i="88"/>
  <c r="BG589" i="88"/>
  <c r="BJ593" i="88"/>
  <c r="BF593" i="88"/>
  <c r="BI593" i="88"/>
  <c r="BH593" i="88"/>
  <c r="BG593" i="88"/>
  <c r="BJ605" i="88"/>
  <c r="BF605" i="88"/>
  <c r="BI605" i="88"/>
  <c r="BH605" i="88"/>
  <c r="BG605" i="88"/>
  <c r="BF609" i="88"/>
  <c r="BG609" i="88"/>
  <c r="BJ613" i="88"/>
  <c r="BF613" i="88"/>
  <c r="BI613" i="88"/>
  <c r="BH613" i="88"/>
  <c r="BG613" i="88"/>
  <c r="BG623" i="88"/>
  <c r="BF623" i="88"/>
  <c r="BG624" i="88"/>
  <c r="BF624" i="88"/>
  <c r="BJ625" i="88"/>
  <c r="BF625" i="88"/>
  <c r="BI625" i="88"/>
  <c r="BH625" i="88"/>
  <c r="BG625" i="88"/>
  <c r="BG632" i="88"/>
  <c r="BF632" i="88"/>
  <c r="BI632" i="88"/>
  <c r="BH632" i="88"/>
  <c r="BF633" i="88"/>
  <c r="BG633" i="88"/>
  <c r="BG634" i="88"/>
  <c r="BF634" i="88"/>
  <c r="BG636" i="88"/>
  <c r="BJ636" i="88"/>
  <c r="BF636" i="88"/>
  <c r="BI636" i="88"/>
  <c r="BH636" i="88"/>
  <c r="BI638" i="88"/>
  <c r="BH638" i="88"/>
  <c r="BG638" i="88"/>
  <c r="BJ638" i="88"/>
  <c r="BF638" i="88"/>
  <c r="BF641" i="88"/>
  <c r="BH641" i="88"/>
  <c r="BG641" i="88"/>
  <c r="BF349" i="88"/>
  <c r="BF353" i="88"/>
  <c r="BF357" i="88"/>
  <c r="BF361" i="88"/>
  <c r="BF365" i="88"/>
  <c r="BF369" i="88"/>
  <c r="BF373" i="88"/>
  <c r="BF377" i="88"/>
  <c r="BF381" i="88"/>
  <c r="BF385" i="88"/>
  <c r="BF389" i="88"/>
  <c r="BF393" i="88"/>
  <c r="BF397" i="88"/>
  <c r="BF401" i="88"/>
  <c r="BF405" i="88"/>
  <c r="BF409" i="88"/>
  <c r="BF413" i="88"/>
  <c r="BF417" i="88"/>
  <c r="BF421" i="88"/>
  <c r="BF425" i="88"/>
  <c r="BF429" i="88"/>
  <c r="BF433" i="88"/>
  <c r="BF437" i="88"/>
  <c r="BF441" i="88"/>
  <c r="BF445" i="88"/>
  <c r="BF449" i="88"/>
  <c r="BF455" i="88"/>
  <c r="BH455" i="88"/>
  <c r="BG455" i="88"/>
  <c r="BG462" i="88"/>
  <c r="BF462" i="88"/>
  <c r="BF467" i="88"/>
  <c r="BG467" i="88"/>
  <c r="BG470" i="88"/>
  <c r="BJ470" i="88"/>
  <c r="BF470" i="88"/>
  <c r="BI470" i="88"/>
  <c r="BH470" i="88"/>
  <c r="AC181" i="88"/>
  <c r="BH484" i="88"/>
  <c r="BG484" i="88"/>
  <c r="BF484" i="88"/>
  <c r="AI183" i="88"/>
  <c r="BG486" i="88"/>
  <c r="BF486" i="88"/>
  <c r="BH486" i="88"/>
  <c r="BF491" i="88"/>
  <c r="BI491" i="88"/>
  <c r="BH491" i="88"/>
  <c r="BG491" i="88"/>
  <c r="U189" i="88"/>
  <c r="V189" i="88" s="1"/>
  <c r="W189" i="88" s="1"/>
  <c r="BG492" i="88"/>
  <c r="BF492" i="88"/>
  <c r="U194" i="88"/>
  <c r="BG497" i="88"/>
  <c r="BF497" i="88"/>
  <c r="AI223" i="88"/>
  <c r="BJ526" i="88" s="1"/>
  <c r="BG526" i="88"/>
  <c r="BF526" i="88"/>
  <c r="BI526" i="88"/>
  <c r="BH526" i="88"/>
  <c r="BH528" i="88"/>
  <c r="BG528" i="88"/>
  <c r="BF528" i="88"/>
  <c r="AI241" i="88"/>
  <c r="BG544" i="88"/>
  <c r="BF544" i="88"/>
  <c r="AI276" i="88"/>
  <c r="BG579" i="88"/>
  <c r="BF579" i="88"/>
  <c r="AC303" i="88"/>
  <c r="BG606" i="88"/>
  <c r="BF606" i="88"/>
  <c r="BG611" i="88"/>
  <c r="BF611" i="88"/>
  <c r="AI312" i="88"/>
  <c r="BJ615" i="88" s="1"/>
  <c r="BH615" i="88"/>
  <c r="BG615" i="88"/>
  <c r="BF615" i="88"/>
  <c r="BI615" i="88"/>
  <c r="BG635" i="88"/>
  <c r="BF635" i="88"/>
  <c r="BF366" i="88"/>
  <c r="BF382" i="88"/>
  <c r="BF386" i="88"/>
  <c r="BF390" i="88"/>
  <c r="BF430" i="88"/>
  <c r="BF434" i="88"/>
  <c r="BF438" i="88"/>
  <c r="BF442" i="88"/>
  <c r="BH453" i="88"/>
  <c r="BG453" i="88"/>
  <c r="BJ453" i="88"/>
  <c r="BF453" i="88"/>
  <c r="BI453" i="88"/>
  <c r="AC177" i="88"/>
  <c r="BH480" i="88"/>
  <c r="BG480" i="88"/>
  <c r="BF480" i="88"/>
  <c r="BH489" i="88"/>
  <c r="BG489" i="88"/>
  <c r="BF489" i="88"/>
  <c r="BI489" i="88"/>
  <c r="AI197" i="88"/>
  <c r="BG500" i="88"/>
  <c r="BF500" i="88"/>
  <c r="BG502" i="88"/>
  <c r="BF502" i="88"/>
  <c r="BI502" i="88"/>
  <c r="BH502" i="88"/>
  <c r="BF503" i="88"/>
  <c r="BH503" i="88"/>
  <c r="BG503" i="88"/>
  <c r="AC202" i="88"/>
  <c r="BJ505" i="88" s="1"/>
  <c r="BH505" i="88"/>
  <c r="BG505" i="88"/>
  <c r="BF505" i="88"/>
  <c r="AC207" i="88"/>
  <c r="BG510" i="88"/>
  <c r="BF510" i="88"/>
  <c r="BH510" i="88"/>
  <c r="BH512" i="88"/>
  <c r="BG512" i="88"/>
  <c r="BF512" i="88"/>
  <c r="BF534" i="88"/>
  <c r="BG534" i="88"/>
  <c r="BG543" i="88"/>
  <c r="BF543" i="88"/>
  <c r="BG555" i="88"/>
  <c r="BF555" i="88"/>
  <c r="BF558" i="88"/>
  <c r="BG558" i="88"/>
  <c r="U261" i="88"/>
  <c r="V261" i="88" s="1"/>
  <c r="W261" i="88" s="1"/>
  <c r="BG564" i="88"/>
  <c r="BF564" i="88"/>
  <c r="BG584" i="88"/>
  <c r="BJ584" i="88"/>
  <c r="BF584" i="88"/>
  <c r="BI584" i="88"/>
  <c r="BH584" i="88"/>
  <c r="U291" i="88"/>
  <c r="V291" i="88" s="1"/>
  <c r="W291" i="88" s="1"/>
  <c r="BG594" i="88"/>
  <c r="BF594" i="88"/>
  <c r="BG603" i="88"/>
  <c r="BF603" i="88"/>
  <c r="BG610" i="88"/>
  <c r="BF610" i="88"/>
  <c r="BH614" i="88"/>
  <c r="BG614" i="88"/>
  <c r="BF614" i="88"/>
  <c r="BF621" i="88"/>
  <c r="BH621" i="88"/>
  <c r="BG621" i="88"/>
  <c r="BF355" i="88"/>
  <c r="BF359" i="88"/>
  <c r="BF363" i="88"/>
  <c r="BF352" i="88"/>
  <c r="BF356" i="88"/>
  <c r="BF360" i="88"/>
  <c r="BF364" i="88"/>
  <c r="BF368" i="88"/>
  <c r="BF372" i="88"/>
  <c r="BF376" i="88"/>
  <c r="BF380" i="88"/>
  <c r="BF384" i="88"/>
  <c r="BF388" i="88"/>
  <c r="BF392" i="88"/>
  <c r="BF396" i="88"/>
  <c r="BF400" i="88"/>
  <c r="BF404" i="88"/>
  <c r="BF408" i="88"/>
  <c r="BF412" i="88"/>
  <c r="BF416" i="88"/>
  <c r="BF420" i="88"/>
  <c r="BF424" i="88"/>
  <c r="BF428" i="88"/>
  <c r="BF432" i="88"/>
  <c r="BF436" i="88"/>
  <c r="BF440" i="88"/>
  <c r="BF444" i="88"/>
  <c r="BF448" i="88"/>
  <c r="BG452" i="88"/>
  <c r="BF452" i="88"/>
  <c r="BG456" i="88"/>
  <c r="BF456" i="88"/>
  <c r="BF459" i="88"/>
  <c r="BH459" i="88"/>
  <c r="BG459" i="88"/>
  <c r="AI168" i="88"/>
  <c r="BJ471" i="88" s="1"/>
  <c r="BJ1135" i="88" s="1"/>
  <c r="BF471" i="88"/>
  <c r="BI471" i="88"/>
  <c r="BH471" i="88"/>
  <c r="BG471" i="88"/>
  <c r="BI472" i="88"/>
  <c r="BH472" i="88"/>
  <c r="BG472" i="88"/>
  <c r="BF472" i="88"/>
  <c r="BH473" i="88"/>
  <c r="BG473" i="88"/>
  <c r="BF473" i="88"/>
  <c r="BI473" i="88"/>
  <c r="AI171" i="88"/>
  <c r="BJ474" i="88" s="1"/>
  <c r="BG474" i="88"/>
  <c r="BF474" i="88"/>
  <c r="BI474" i="88"/>
  <c r="BH474" i="88"/>
  <c r="AC172" i="88"/>
  <c r="BF475" i="88"/>
  <c r="BG475" i="88"/>
  <c r="AC173" i="88"/>
  <c r="BG476" i="88"/>
  <c r="BF476" i="88"/>
  <c r="BH477" i="88"/>
  <c r="BG477" i="88"/>
  <c r="BF477" i="88"/>
  <c r="BI477" i="88"/>
  <c r="BG478" i="88"/>
  <c r="BJ478" i="88"/>
  <c r="BF478" i="88"/>
  <c r="BI478" i="88"/>
  <c r="BH478" i="88"/>
  <c r="AI178" i="88"/>
  <c r="BJ481" i="88" s="1"/>
  <c r="BH481" i="88"/>
  <c r="BG481" i="88"/>
  <c r="BF481" i="88"/>
  <c r="BI481" i="88"/>
  <c r="U179" i="88"/>
  <c r="BH482" i="88" s="1"/>
  <c r="BG482" i="88"/>
  <c r="BF482" i="88"/>
  <c r="AI190" i="88"/>
  <c r="BJ493" i="88" s="1"/>
  <c r="BH493" i="88"/>
  <c r="BG493" i="88"/>
  <c r="BF493" i="88"/>
  <c r="BI493" i="88"/>
  <c r="BG494" i="88"/>
  <c r="BF494" i="88"/>
  <c r="BI494" i="88"/>
  <c r="BI1158" i="88" s="1"/>
  <c r="BH494" i="88"/>
  <c r="BJ495" i="88"/>
  <c r="BF495" i="88"/>
  <c r="BI495" i="88"/>
  <c r="BH495" i="88"/>
  <c r="BG495" i="88"/>
  <c r="AI196" i="88"/>
  <c r="BF499" i="88"/>
  <c r="BH499" i="88"/>
  <c r="BG499" i="88"/>
  <c r="AI201" i="88"/>
  <c r="BH504" i="88"/>
  <c r="BG504" i="88"/>
  <c r="BF504" i="88"/>
  <c r="AC204" i="88"/>
  <c r="BF507" i="88"/>
  <c r="BG507" i="88"/>
  <c r="BF511" i="88"/>
  <c r="BH511" i="88"/>
  <c r="BG511" i="88"/>
  <c r="BJ515" i="88"/>
  <c r="BF515" i="88"/>
  <c r="BI515" i="88"/>
  <c r="BH515" i="88"/>
  <c r="BG515" i="88"/>
  <c r="AC219" i="88"/>
  <c r="BJ522" i="88" s="1"/>
  <c r="BG522" i="88"/>
  <c r="BF522" i="88"/>
  <c r="BH522" i="88"/>
  <c r="BH525" i="88"/>
  <c r="BG525" i="88"/>
  <c r="BF525" i="88"/>
  <c r="AC229" i="88"/>
  <c r="BG532" i="88"/>
  <c r="BF532" i="88"/>
  <c r="U230" i="88"/>
  <c r="V230" i="88" s="1"/>
  <c r="W230" i="88" s="1"/>
  <c r="BJ533" i="88" s="1"/>
  <c r="BG533" i="88"/>
  <c r="BF533" i="88"/>
  <c r="BG537" i="88"/>
  <c r="BF537" i="88"/>
  <c r="BH537" i="88"/>
  <c r="BG541" i="88"/>
  <c r="BF541" i="88"/>
  <c r="BG545" i="88"/>
  <c r="BF545" i="88"/>
  <c r="BF546" i="88"/>
  <c r="BI546" i="88"/>
  <c r="BH546" i="88"/>
  <c r="BG546" i="88"/>
  <c r="BH547" i="88"/>
  <c r="BG547" i="88"/>
  <c r="BF547" i="88"/>
  <c r="BF562" i="88"/>
  <c r="BH562" i="88"/>
  <c r="BG562" i="88"/>
  <c r="BH572" i="88"/>
  <c r="BG572" i="88"/>
  <c r="BJ572" i="88"/>
  <c r="BF572" i="88"/>
  <c r="BI572" i="88"/>
  <c r="U270" i="88"/>
  <c r="BH573" i="88" s="1"/>
  <c r="BG573" i="88"/>
  <c r="BF573" i="88"/>
  <c r="BJ581" i="88"/>
  <c r="BF581" i="88"/>
  <c r="BI581" i="88"/>
  <c r="BH581" i="88"/>
  <c r="BG581" i="88"/>
  <c r="AC279" i="88"/>
  <c r="BG582" i="88"/>
  <c r="BF582" i="88"/>
  <c r="BG592" i="88"/>
  <c r="BF592" i="88"/>
  <c r="AC294" i="88"/>
  <c r="BF597" i="88"/>
  <c r="BH597" i="88"/>
  <c r="BG597" i="88"/>
  <c r="U305" i="88"/>
  <c r="V305" i="88" s="1"/>
  <c r="W305" i="88" s="1"/>
  <c r="BG608" i="88"/>
  <c r="BF608" i="88"/>
  <c r="BG612" i="88"/>
  <c r="BF612" i="88"/>
  <c r="BH612" i="88"/>
  <c r="BI618" i="88"/>
  <c r="BH618" i="88"/>
  <c r="BG618" i="88"/>
  <c r="BJ618" i="88"/>
  <c r="BF618" i="88"/>
  <c r="U316" i="88"/>
  <c r="BH619" i="88" s="1"/>
  <c r="BG619" i="88"/>
  <c r="BF619" i="88"/>
  <c r="BG620" i="88"/>
  <c r="BF620" i="88"/>
  <c r="BG626" i="88"/>
  <c r="BF626" i="88"/>
  <c r="BH627" i="88"/>
  <c r="BG627" i="88"/>
  <c r="BJ627" i="88"/>
  <c r="BF627" i="88"/>
  <c r="BI627" i="88"/>
  <c r="BI630" i="88"/>
  <c r="BH630" i="88"/>
  <c r="BG630" i="88"/>
  <c r="BJ630" i="88"/>
  <c r="BF630" i="88"/>
  <c r="BF637" i="88"/>
  <c r="BH637" i="88"/>
  <c r="BG637" i="88"/>
  <c r="BG639" i="88"/>
  <c r="BF639" i="88"/>
  <c r="BF645" i="88"/>
  <c r="BI645" i="88"/>
  <c r="BH645" i="88"/>
  <c r="BG645" i="88"/>
  <c r="AD176" i="89"/>
  <c r="AE176" i="89" s="1"/>
  <c r="AK194" i="89"/>
  <c r="AK210" i="89"/>
  <c r="AK262" i="89"/>
  <c r="AK290" i="89"/>
  <c r="AK298" i="89"/>
  <c r="W308" i="89"/>
  <c r="X308" i="89" s="1"/>
  <c r="Y308" i="89" s="1"/>
  <c r="W320" i="89"/>
  <c r="X320" i="89" s="1"/>
  <c r="AD290" i="89"/>
  <c r="AE290" i="89" s="1"/>
  <c r="W193" i="89"/>
  <c r="X193" i="89" s="1"/>
  <c r="AE204" i="89"/>
  <c r="AD228" i="89"/>
  <c r="AE228" i="89" s="1"/>
  <c r="AK271" i="89"/>
  <c r="AK275" i="89"/>
  <c r="AD276" i="89"/>
  <c r="AE276" i="89" s="1"/>
  <c r="AK291" i="89"/>
  <c r="AD300" i="89"/>
  <c r="AE300" i="89" s="1"/>
  <c r="AD169" i="89"/>
  <c r="AE169" i="89" s="1"/>
  <c r="AK172" i="89"/>
  <c r="AD233" i="89"/>
  <c r="AE233" i="89" s="1"/>
  <c r="U287" i="88"/>
  <c r="AI287" i="88"/>
  <c r="U213" i="88"/>
  <c r="U296" i="88"/>
  <c r="V296" i="88" s="1"/>
  <c r="U303" i="88"/>
  <c r="V303" i="88" s="1"/>
  <c r="W303" i="88" s="1"/>
  <c r="AI294" i="88"/>
  <c r="U237" i="88"/>
  <c r="BH540" i="88" s="1"/>
  <c r="V227" i="88"/>
  <c r="V253" i="88"/>
  <c r="AC165" i="88"/>
  <c r="AC189" i="88"/>
  <c r="U204" i="88"/>
  <c r="BH507" i="88" s="1"/>
  <c r="W222" i="88"/>
  <c r="AI236" i="88"/>
  <c r="AC245" i="88"/>
  <c r="AI305" i="88"/>
  <c r="AI232" i="88"/>
  <c r="AI237" i="88"/>
  <c r="AI286" i="88"/>
  <c r="AC304" i="88"/>
  <c r="AC161" i="88"/>
  <c r="AC214" i="88"/>
  <c r="AC236" i="88"/>
  <c r="AC253" i="88"/>
  <c r="U304" i="88"/>
  <c r="BH607" i="88" s="1"/>
  <c r="AC305" i="88"/>
  <c r="J241" i="87"/>
  <c r="J286" i="87" s="1"/>
  <c r="BK349" i="89"/>
  <c r="BJ349" i="89"/>
  <c r="BH349" i="89"/>
  <c r="BL349" i="89"/>
  <c r="BI349" i="89"/>
  <c r="M337" i="89"/>
  <c r="M329" i="89"/>
  <c r="M309" i="89"/>
  <c r="M305" i="89"/>
  <c r="W297" i="89"/>
  <c r="X297" i="89" s="1"/>
  <c r="Y297" i="89" s="1"/>
  <c r="M297" i="89"/>
  <c r="W293" i="89"/>
  <c r="X293" i="89" s="1"/>
  <c r="Y293" i="89" s="1"/>
  <c r="M293" i="89"/>
  <c r="W289" i="89"/>
  <c r="X289" i="89" s="1"/>
  <c r="Y289" i="89" s="1"/>
  <c r="M289" i="89"/>
  <c r="M269" i="89"/>
  <c r="M241" i="89"/>
  <c r="W237" i="89"/>
  <c r="X237" i="89" s="1"/>
  <c r="Y237" i="89" s="1"/>
  <c r="M237" i="89"/>
  <c r="M209" i="89"/>
  <c r="AD320" i="89"/>
  <c r="AE320" i="89" s="1"/>
  <c r="M320" i="89"/>
  <c r="AD304" i="89"/>
  <c r="AE304" i="89" s="1"/>
  <c r="M304" i="89"/>
  <c r="AD272" i="89"/>
  <c r="AE272" i="89" s="1"/>
  <c r="M272" i="89"/>
  <c r="AD248" i="89"/>
  <c r="AE248" i="89" s="1"/>
  <c r="M248" i="89"/>
  <c r="AD232" i="89"/>
  <c r="AE232" i="89" s="1"/>
  <c r="M232" i="89"/>
  <c r="AD216" i="89"/>
  <c r="AE216" i="89" s="1"/>
  <c r="M216" i="89"/>
  <c r="AD212" i="89"/>
  <c r="AE212" i="89" s="1"/>
  <c r="M212" i="89"/>
  <c r="AD200" i="89"/>
  <c r="AE200" i="89" s="1"/>
  <c r="M200" i="89"/>
  <c r="AD188" i="89"/>
  <c r="AE188" i="89" s="1"/>
  <c r="M188" i="89"/>
  <c r="AD184" i="89"/>
  <c r="AE184" i="89" s="1"/>
  <c r="M184" i="89"/>
  <c r="M291" i="89"/>
  <c r="M287" i="89"/>
  <c r="M279" i="89"/>
  <c r="M275" i="89"/>
  <c r="M271" i="89"/>
  <c r="M227" i="89"/>
  <c r="M199" i="89"/>
  <c r="M175" i="89"/>
  <c r="M155" i="89"/>
  <c r="BJ1311" i="88"/>
  <c r="S59" i="90"/>
  <c r="K214" i="87"/>
  <c r="K259" i="87" s="1"/>
  <c r="M216" i="87"/>
  <c r="M261" i="87" s="1"/>
  <c r="J218" i="87"/>
  <c r="J263" i="87" s="1"/>
  <c r="N218" i="87"/>
  <c r="N263" i="87" s="1"/>
  <c r="J215" i="87"/>
  <c r="J260" i="87" s="1"/>
  <c r="N215" i="87"/>
  <c r="N260" i="87" s="1"/>
  <c r="X86" i="91"/>
  <c r="AI169" i="88"/>
  <c r="BJ472" i="88" s="1"/>
  <c r="AI170" i="88"/>
  <c r="BJ473" i="88" s="1"/>
  <c r="U233" i="88"/>
  <c r="V233" i="88" s="1"/>
  <c r="W233" i="88" s="1"/>
  <c r="U285" i="88"/>
  <c r="V285" i="88" s="1"/>
  <c r="W285" i="88" s="1"/>
  <c r="U313" i="88"/>
  <c r="V313" i="88" s="1"/>
  <c r="W313" i="88" s="1"/>
  <c r="U339" i="88"/>
  <c r="AI166" i="88"/>
  <c r="AI174" i="88"/>
  <c r="BJ477" i="88" s="1"/>
  <c r="AI186" i="88"/>
  <c r="BJ489" i="88" s="1"/>
  <c r="U197" i="88"/>
  <c r="AI210" i="88"/>
  <c r="U241" i="88"/>
  <c r="V241" i="88" s="1"/>
  <c r="W241" i="88" s="1"/>
  <c r="AI278" i="88"/>
  <c r="U279" i="88"/>
  <c r="V279" i="88" s="1"/>
  <c r="BI582" i="88" s="1"/>
  <c r="AI288" i="88"/>
  <c r="U299" i="88"/>
  <c r="AI308" i="88"/>
  <c r="U321" i="88"/>
  <c r="V321" i="88" s="1"/>
  <c r="AI329" i="88"/>
  <c r="BJ632" i="88" s="1"/>
  <c r="U331" i="88"/>
  <c r="V331" i="88" s="1"/>
  <c r="BI634" i="88" s="1"/>
  <c r="AI181" i="88"/>
  <c r="AI234" i="88"/>
  <c r="U289" i="88"/>
  <c r="V289" i="88" s="1"/>
  <c r="W289" i="88" s="1"/>
  <c r="AI157" i="88"/>
  <c r="U158" i="88"/>
  <c r="V158" i="88" s="1"/>
  <c r="BI461" i="88" s="1"/>
  <c r="AI220" i="88"/>
  <c r="U231" i="88"/>
  <c r="V231" i="88" s="1"/>
  <c r="AI240" i="88"/>
  <c r="U249" i="88"/>
  <c r="V249" i="88" s="1"/>
  <c r="W249" i="88" s="1"/>
  <c r="U263" i="88"/>
  <c r="V263" i="88" s="1"/>
  <c r="U293" i="88"/>
  <c r="V293" i="88" s="1"/>
  <c r="W293" i="88" s="1"/>
  <c r="AI297" i="88"/>
  <c r="U307" i="88"/>
  <c r="U317" i="88"/>
  <c r="V317" i="88" s="1"/>
  <c r="W317" i="88" s="1"/>
  <c r="BJ620" i="88" s="1"/>
  <c r="U323" i="88"/>
  <c r="V323" i="88" s="1"/>
  <c r="AI342" i="88"/>
  <c r="BJ645" i="88" s="1"/>
  <c r="AI193" i="88"/>
  <c r="BJ496" i="88" s="1"/>
  <c r="AI238" i="88"/>
  <c r="U247" i="88"/>
  <c r="V247" i="88" s="1"/>
  <c r="AI273" i="88"/>
  <c r="U163" i="88"/>
  <c r="V163" i="88" s="1"/>
  <c r="BI466" i="88" s="1"/>
  <c r="U165" i="88"/>
  <c r="V165" i="88" s="1"/>
  <c r="U173" i="88"/>
  <c r="V173" i="88" s="1"/>
  <c r="W173" i="88" s="1"/>
  <c r="U215" i="88"/>
  <c r="V215" i="88" s="1"/>
  <c r="U217" i="88"/>
  <c r="V217" i="88" s="1"/>
  <c r="W217" i="88" s="1"/>
  <c r="AI218" i="88"/>
  <c r="AI225" i="88"/>
  <c r="U229" i="88"/>
  <c r="V229" i="88" s="1"/>
  <c r="W229" i="88" s="1"/>
  <c r="U239" i="88"/>
  <c r="V239" i="88" s="1"/>
  <c r="U255" i="88"/>
  <c r="V255" i="88" s="1"/>
  <c r="U257" i="88"/>
  <c r="V257" i="88" s="1"/>
  <c r="W257" i="88" s="1"/>
  <c r="AI260" i="88"/>
  <c r="AI261" i="88"/>
  <c r="AI266" i="88"/>
  <c r="AI269" i="88"/>
  <c r="AI270" i="88"/>
  <c r="U277" i="88"/>
  <c r="V277" i="88" s="1"/>
  <c r="W277" i="88" s="1"/>
  <c r="BJ580" i="88" s="1"/>
  <c r="AI290" i="88"/>
  <c r="AI306" i="88"/>
  <c r="U319" i="88"/>
  <c r="N62" i="88"/>
  <c r="O62" i="88" s="1"/>
  <c r="BH365" i="88" s="1"/>
  <c r="N70" i="88"/>
  <c r="N78" i="88"/>
  <c r="N94" i="88"/>
  <c r="N110" i="88"/>
  <c r="O110" i="88" s="1"/>
  <c r="BH413" i="88" s="1"/>
  <c r="N118" i="88"/>
  <c r="N142" i="88"/>
  <c r="O142" i="88" s="1"/>
  <c r="BH445" i="88" s="1"/>
  <c r="N102" i="88"/>
  <c r="O102" i="88" s="1"/>
  <c r="BH405" i="88" s="1"/>
  <c r="N126" i="88"/>
  <c r="O126" i="88" s="1"/>
  <c r="BH429" i="88" s="1"/>
  <c r="N60" i="88"/>
  <c r="N64" i="88"/>
  <c r="BG367" i="88" s="1"/>
  <c r="N68" i="88"/>
  <c r="BG371" i="88" s="1"/>
  <c r="N84" i="88"/>
  <c r="BG387" i="88" s="1"/>
  <c r="N88" i="88"/>
  <c r="BG391" i="88" s="1"/>
  <c r="N92" i="88"/>
  <c r="O92" i="88" s="1"/>
  <c r="BH395" i="88" s="1"/>
  <c r="N96" i="88"/>
  <c r="O96" i="88" s="1"/>
  <c r="BH399" i="88" s="1"/>
  <c r="N100" i="88"/>
  <c r="O100" i="88" s="1"/>
  <c r="BH403" i="88" s="1"/>
  <c r="N104" i="88"/>
  <c r="N108" i="88"/>
  <c r="O108" i="88" s="1"/>
  <c r="BH411" i="88" s="1"/>
  <c r="N112" i="88"/>
  <c r="BG415" i="88" s="1"/>
  <c r="N116" i="88"/>
  <c r="BG419" i="88" s="1"/>
  <c r="N120" i="88"/>
  <c r="BG423" i="88" s="1"/>
  <c r="N124" i="88"/>
  <c r="N128" i="88"/>
  <c r="BG431" i="88" s="1"/>
  <c r="N132" i="88"/>
  <c r="BG435" i="88" s="1"/>
  <c r="N136" i="88"/>
  <c r="BG439" i="88" s="1"/>
  <c r="N140" i="88"/>
  <c r="N144" i="88"/>
  <c r="BG447" i="88" s="1"/>
  <c r="N148" i="88"/>
  <c r="O148" i="88" s="1"/>
  <c r="BH451" i="88" s="1"/>
  <c r="N46" i="88"/>
  <c r="O46" i="88" s="1"/>
  <c r="BH349" i="88" s="1"/>
  <c r="N54" i="88"/>
  <c r="N86" i="88"/>
  <c r="O86" i="88" s="1"/>
  <c r="BH389" i="88" s="1"/>
  <c r="N134" i="88"/>
  <c r="O134" i="88" s="1"/>
  <c r="BH437" i="88" s="1"/>
  <c r="N48" i="88"/>
  <c r="O48" i="88" s="1"/>
  <c r="BH351" i="88" s="1"/>
  <c r="N52" i="88"/>
  <c r="O52" i="88" s="1"/>
  <c r="BH355" i="88" s="1"/>
  <c r="N56" i="88"/>
  <c r="BG359" i="88" s="1"/>
  <c r="N72" i="88"/>
  <c r="BG375" i="88" s="1"/>
  <c r="N76" i="88"/>
  <c r="BG379" i="88" s="1"/>
  <c r="N80" i="88"/>
  <c r="O80" i="88" s="1"/>
  <c r="BH383" i="88" s="1"/>
  <c r="Y53" i="89"/>
  <c r="AD56" i="89"/>
  <c r="W65" i="89"/>
  <c r="W77" i="89"/>
  <c r="Y81" i="89"/>
  <c r="X93" i="89"/>
  <c r="X97" i="89"/>
  <c r="AD100" i="89"/>
  <c r="AD136" i="89"/>
  <c r="W61" i="89"/>
  <c r="Y65" i="89"/>
  <c r="W73" i="89"/>
  <c r="Y77" i="89"/>
  <c r="W89" i="89"/>
  <c r="Y93" i="89"/>
  <c r="X121" i="89"/>
  <c r="AE124" i="89"/>
  <c r="W201" i="89"/>
  <c r="X201" i="89" s="1"/>
  <c r="Y201" i="89" s="1"/>
  <c r="D695" i="88"/>
  <c r="D1012" i="88" s="1"/>
  <c r="AK49" i="89"/>
  <c r="M213" i="87"/>
  <c r="M258" i="87" s="1"/>
  <c r="AD299" i="89"/>
  <c r="J213" i="87"/>
  <c r="J258" i="87" s="1"/>
  <c r="J212" i="87"/>
  <c r="AE168" i="89"/>
  <c r="L214" i="87"/>
  <c r="L259" i="87" s="1"/>
  <c r="J216" i="87"/>
  <c r="J261" i="87" s="1"/>
  <c r="J217" i="87"/>
  <c r="J262" i="87" s="1"/>
  <c r="W189" i="89"/>
  <c r="K218" i="87"/>
  <c r="K263" i="87" s="1"/>
  <c r="Y197" i="89"/>
  <c r="K215" i="87"/>
  <c r="P206" i="89"/>
  <c r="BI509" i="89" s="1"/>
  <c r="J219" i="87"/>
  <c r="J264" i="87" s="1"/>
  <c r="N219" i="87"/>
  <c r="N264" i="87" s="1"/>
  <c r="AK182" i="89"/>
  <c r="M217" i="87"/>
  <c r="M262" i="87" s="1"/>
  <c r="N217" i="87"/>
  <c r="N262" i="87" s="1"/>
  <c r="AE52" i="89"/>
  <c r="AE64" i="89"/>
  <c r="AE68" i="89"/>
  <c r="AE80" i="89"/>
  <c r="AE84" i="89"/>
  <c r="AD88" i="89"/>
  <c r="AD96" i="89"/>
  <c r="X129" i="89"/>
  <c r="AE132" i="89"/>
  <c r="AD168" i="89"/>
  <c r="W181" i="89"/>
  <c r="S182" i="89"/>
  <c r="W185" i="89"/>
  <c r="P190" i="89"/>
  <c r="BI493" i="89" s="1"/>
  <c r="AD192" i="89"/>
  <c r="W249" i="89"/>
  <c r="X249" i="89" s="1"/>
  <c r="Y269" i="89"/>
  <c r="AK319" i="89"/>
  <c r="AK283" i="89"/>
  <c r="AK243" i="89"/>
  <c r="AK203" i="89"/>
  <c r="K213" i="87"/>
  <c r="K258" i="87" s="1"/>
  <c r="K212" i="87"/>
  <c r="K257" i="87" s="1"/>
  <c r="M214" i="87"/>
  <c r="M259" i="87" s="1"/>
  <c r="W178" i="89"/>
  <c r="K216" i="87"/>
  <c r="K261" i="87" s="1"/>
  <c r="K217" i="87"/>
  <c r="K262" i="87" s="1"/>
  <c r="AE189" i="89"/>
  <c r="L218" i="87"/>
  <c r="L215" i="87"/>
  <c r="L260" i="87" s="1"/>
  <c r="K219" i="87"/>
  <c r="K264" i="87" s="1"/>
  <c r="AK154" i="89"/>
  <c r="M212" i="87"/>
  <c r="M257" i="87" s="1"/>
  <c r="AK206" i="89"/>
  <c r="M219" i="87"/>
  <c r="M264" i="87" s="1"/>
  <c r="N213" i="87"/>
  <c r="N258" i="87" s="1"/>
  <c r="N212" i="87"/>
  <c r="N257" i="87" s="1"/>
  <c r="N216" i="87"/>
  <c r="N261" i="87" s="1"/>
  <c r="X105" i="89"/>
  <c r="AE108" i="89"/>
  <c r="W113" i="89"/>
  <c r="AD120" i="89"/>
  <c r="X137" i="89"/>
  <c r="AE140" i="89"/>
  <c r="W145" i="89"/>
  <c r="AD152" i="89"/>
  <c r="S154" i="89"/>
  <c r="X181" i="89"/>
  <c r="X189" i="89"/>
  <c r="P198" i="89"/>
  <c r="BI501" i="89" s="1"/>
  <c r="L213" i="87"/>
  <c r="L258" i="87" s="1"/>
  <c r="L212" i="87"/>
  <c r="L257" i="87" s="1"/>
  <c r="J214" i="87"/>
  <c r="J259" i="87" s="1"/>
  <c r="N214" i="87"/>
  <c r="N259" i="87" s="1"/>
  <c r="AE178" i="89"/>
  <c r="L216" i="87"/>
  <c r="L261" i="87" s="1"/>
  <c r="L217" i="87"/>
  <c r="L262" i="87" s="1"/>
  <c r="AK189" i="89"/>
  <c r="M218" i="87"/>
  <c r="M263" i="87" s="1"/>
  <c r="M215" i="87"/>
  <c r="M260" i="87" s="1"/>
  <c r="L219" i="87"/>
  <c r="L264" i="87" s="1"/>
  <c r="Y64" i="89"/>
  <c r="AE51" i="89"/>
  <c r="AD51" i="89"/>
  <c r="X52" i="89"/>
  <c r="W52" i="89"/>
  <c r="AE67" i="89"/>
  <c r="AD67" i="89"/>
  <c r="X68" i="89"/>
  <c r="W68" i="89"/>
  <c r="Y84" i="89"/>
  <c r="X84" i="89"/>
  <c r="AE87" i="89"/>
  <c r="AD87" i="89"/>
  <c r="X88" i="89"/>
  <c r="W88" i="89"/>
  <c r="W92" i="89"/>
  <c r="Y92" i="89"/>
  <c r="AE95" i="89"/>
  <c r="AD95" i="89"/>
  <c r="X96" i="89"/>
  <c r="W96" i="89"/>
  <c r="W100" i="89"/>
  <c r="Y100" i="89"/>
  <c r="AE103" i="89"/>
  <c r="AD103" i="89"/>
  <c r="Y104" i="89"/>
  <c r="X104" i="89"/>
  <c r="W104" i="89"/>
  <c r="AE107" i="89"/>
  <c r="AD107" i="89"/>
  <c r="Y108" i="89"/>
  <c r="X108" i="89"/>
  <c r="W108" i="89"/>
  <c r="AE111" i="89"/>
  <c r="AD111" i="89"/>
  <c r="X112" i="89"/>
  <c r="W112" i="89"/>
  <c r="X116" i="89"/>
  <c r="W116" i="89"/>
  <c r="W120" i="89"/>
  <c r="Y120" i="89"/>
  <c r="W124" i="89"/>
  <c r="Y124" i="89"/>
  <c r="Y128" i="89"/>
  <c r="X128" i="89"/>
  <c r="AE131" i="89"/>
  <c r="AD131" i="89"/>
  <c r="Y132" i="89"/>
  <c r="X132" i="89"/>
  <c r="AE135" i="89"/>
  <c r="AD135" i="89"/>
  <c r="Y136" i="89"/>
  <c r="X136" i="89"/>
  <c r="W136" i="89"/>
  <c r="AE139" i="89"/>
  <c r="AD139" i="89"/>
  <c r="Y140" i="89"/>
  <c r="X140" i="89"/>
  <c r="W140" i="89"/>
  <c r="AE143" i="89"/>
  <c r="AD143" i="89"/>
  <c r="X144" i="89"/>
  <c r="W144" i="89"/>
  <c r="X148" i="89"/>
  <c r="W148" i="89"/>
  <c r="W152" i="89"/>
  <c r="Y152" i="89"/>
  <c r="AE155" i="89"/>
  <c r="AD155" i="89"/>
  <c r="Q157" i="89"/>
  <c r="P157" i="89"/>
  <c r="BI460" i="89" s="1"/>
  <c r="S157" i="89"/>
  <c r="R161" i="89"/>
  <c r="Q161" i="89"/>
  <c r="P161" i="89"/>
  <c r="BI464" i="89" s="1"/>
  <c r="AE163" i="89"/>
  <c r="AD163" i="89"/>
  <c r="Q165" i="89"/>
  <c r="BJ468" i="89" s="1"/>
  <c r="P165" i="89"/>
  <c r="BI468" i="89" s="1"/>
  <c r="S165" i="89"/>
  <c r="S169" i="89"/>
  <c r="R169" i="89"/>
  <c r="Q169" i="89"/>
  <c r="Y172" i="89"/>
  <c r="X172" i="89"/>
  <c r="S173" i="89"/>
  <c r="R173" i="89"/>
  <c r="Q173" i="89"/>
  <c r="BJ476" i="89" s="1"/>
  <c r="AE175" i="89"/>
  <c r="AD175" i="89"/>
  <c r="P177" i="89"/>
  <c r="BI480" i="89" s="1"/>
  <c r="S177" i="89"/>
  <c r="R177" i="89"/>
  <c r="Y180" i="89"/>
  <c r="X180" i="89"/>
  <c r="W180" i="89"/>
  <c r="R181" i="89"/>
  <c r="Q181" i="89"/>
  <c r="P181" i="89"/>
  <c r="BI484" i="89" s="1"/>
  <c r="W184" i="89"/>
  <c r="Y184" i="89"/>
  <c r="P185" i="89"/>
  <c r="BI488" i="89" s="1"/>
  <c r="S185" i="89"/>
  <c r="R185" i="89"/>
  <c r="Y188" i="89"/>
  <c r="X188" i="89"/>
  <c r="S189" i="89"/>
  <c r="R189" i="89"/>
  <c r="Q189" i="89"/>
  <c r="W192" i="89"/>
  <c r="Y192" i="89"/>
  <c r="R193" i="89"/>
  <c r="Q193" i="89"/>
  <c r="P193" i="89"/>
  <c r="BI496" i="89" s="1"/>
  <c r="S197" i="89"/>
  <c r="R197" i="89"/>
  <c r="Q197" i="89"/>
  <c r="BJ500" i="89" s="1"/>
  <c r="AD199" i="89"/>
  <c r="AE199" i="89"/>
  <c r="X200" i="89"/>
  <c r="W200" i="89"/>
  <c r="Q201" i="89"/>
  <c r="R201" i="89"/>
  <c r="P201" i="89"/>
  <c r="W204" i="89"/>
  <c r="Y204" i="89"/>
  <c r="X204" i="89"/>
  <c r="S205" i="89"/>
  <c r="Q205" i="89"/>
  <c r="P205" i="89"/>
  <c r="BI508" i="89" s="1"/>
  <c r="W208" i="89"/>
  <c r="BJ511" i="89" s="1"/>
  <c r="P209" i="89"/>
  <c r="BI512" i="89" s="1"/>
  <c r="R209" i="89"/>
  <c r="Q209" i="89"/>
  <c r="BJ512" i="89" s="1"/>
  <c r="AD211" i="89"/>
  <c r="AE211" i="89" s="1"/>
  <c r="X212" i="89"/>
  <c r="W212" i="89"/>
  <c r="Q213" i="89"/>
  <c r="R213" i="89"/>
  <c r="P213" i="89"/>
  <c r="BI516" i="89" s="1"/>
  <c r="W216" i="89"/>
  <c r="Y216" i="89"/>
  <c r="X216" i="89"/>
  <c r="P217" i="89"/>
  <c r="BI520" i="89" s="1"/>
  <c r="S217" i="89"/>
  <c r="R217" i="89"/>
  <c r="Q217" i="89"/>
  <c r="S221" i="89"/>
  <c r="R221" i="89"/>
  <c r="Q221" i="89"/>
  <c r="AD223" i="89"/>
  <c r="AE223" i="89" s="1"/>
  <c r="W224" i="89"/>
  <c r="Y224" i="89"/>
  <c r="X224" i="89"/>
  <c r="P225" i="89"/>
  <c r="S225" i="89"/>
  <c r="R225" i="89"/>
  <c r="Q229" i="89"/>
  <c r="R229" i="89"/>
  <c r="P229" i="89"/>
  <c r="BI532" i="89" s="1"/>
  <c r="W232" i="89"/>
  <c r="Y232" i="89"/>
  <c r="S233" i="89"/>
  <c r="P233" i="89"/>
  <c r="BI536" i="89" s="1"/>
  <c r="R233" i="89"/>
  <c r="R237" i="89"/>
  <c r="P237" i="89"/>
  <c r="BI540" i="89" s="1"/>
  <c r="S237" i="89"/>
  <c r="AE239" i="89"/>
  <c r="AD239" i="89"/>
  <c r="W240" i="89"/>
  <c r="S241" i="89"/>
  <c r="R241" i="89"/>
  <c r="Q241" i="89"/>
  <c r="P241" i="89"/>
  <c r="P245" i="89"/>
  <c r="BI548" i="89" s="1"/>
  <c r="Q245" i="89"/>
  <c r="S245" i="89"/>
  <c r="AE247" i="89"/>
  <c r="AD247" i="89"/>
  <c r="Y248" i="89"/>
  <c r="W248" i="89"/>
  <c r="R249" i="89"/>
  <c r="Q249" i="89"/>
  <c r="P249" i="89"/>
  <c r="BI552" i="89" s="1"/>
  <c r="P253" i="89"/>
  <c r="BI556" i="89" s="1"/>
  <c r="Q253" i="89"/>
  <c r="S253" i="89"/>
  <c r="AD83" i="89"/>
  <c r="AD91" i="89"/>
  <c r="AD99" i="89"/>
  <c r="AE115" i="89"/>
  <c r="AE119" i="89"/>
  <c r="W128" i="89"/>
  <c r="AE147" i="89"/>
  <c r="AE151" i="89"/>
  <c r="X184" i="89"/>
  <c r="W188" i="89"/>
  <c r="P197" i="89"/>
  <c r="BI500" i="89" s="1"/>
  <c r="S201" i="89"/>
  <c r="Y212" i="89"/>
  <c r="P221" i="89"/>
  <c r="BI524" i="89" s="1"/>
  <c r="AD227" i="89"/>
  <c r="X232" i="89"/>
  <c r="Y80" i="89"/>
  <c r="Y88" i="89"/>
  <c r="Y96" i="89"/>
  <c r="AD123" i="89"/>
  <c r="AD127" i="89"/>
  <c r="R157" i="89"/>
  <c r="S161" i="89"/>
  <c r="R165" i="89"/>
  <c r="P173" i="89"/>
  <c r="BI476" i="89" s="1"/>
  <c r="AD195" i="89"/>
  <c r="AE215" i="89"/>
  <c r="S229" i="89"/>
  <c r="R245" i="89"/>
  <c r="X248" i="89"/>
  <c r="R253" i="89"/>
  <c r="X92" i="89"/>
  <c r="X100" i="89"/>
  <c r="Y112" i="89"/>
  <c r="Y116" i="89"/>
  <c r="Y144" i="89"/>
  <c r="Y148" i="89"/>
  <c r="AE167" i="89"/>
  <c r="P169" i="89"/>
  <c r="BI472" i="89" s="1"/>
  <c r="AD183" i="89"/>
  <c r="Q185" i="89"/>
  <c r="P189" i="89"/>
  <c r="BI492" i="89" s="1"/>
  <c r="X192" i="89"/>
  <c r="S193" i="89"/>
  <c r="Y200" i="89"/>
  <c r="AE203" i="89"/>
  <c r="R205" i="89"/>
  <c r="S213" i="89"/>
  <c r="Q233" i="89"/>
  <c r="S261" i="89"/>
  <c r="R261" i="89"/>
  <c r="Q261" i="89"/>
  <c r="P265" i="89"/>
  <c r="BI568" i="89" s="1"/>
  <c r="S265" i="89"/>
  <c r="R265" i="89"/>
  <c r="Q269" i="89"/>
  <c r="P269" i="89"/>
  <c r="S269" i="89"/>
  <c r="W272" i="89"/>
  <c r="BJ575" i="89" s="1"/>
  <c r="Y272" i="89"/>
  <c r="S277" i="89"/>
  <c r="R277" i="89"/>
  <c r="Q277" i="89"/>
  <c r="R281" i="89"/>
  <c r="Q281" i="89"/>
  <c r="P281" i="89"/>
  <c r="BI584" i="89" s="1"/>
  <c r="W284" i="89"/>
  <c r="Y284" i="89"/>
  <c r="AE287" i="89"/>
  <c r="AD287" i="89"/>
  <c r="P289" i="89"/>
  <c r="S289" i="89"/>
  <c r="R289" i="89"/>
  <c r="Q297" i="89"/>
  <c r="P297" i="89"/>
  <c r="S297" i="89"/>
  <c r="W300" i="89"/>
  <c r="X300" i="89" s="1"/>
  <c r="Y300" i="89" s="1"/>
  <c r="S309" i="89"/>
  <c r="R309" i="89"/>
  <c r="Q309" i="89"/>
  <c r="S313" i="89"/>
  <c r="R313" i="89"/>
  <c r="Q313" i="89"/>
  <c r="Q329" i="89"/>
  <c r="P329" i="89"/>
  <c r="S329" i="89"/>
  <c r="S333" i="89"/>
  <c r="R333" i="89"/>
  <c r="Q333" i="89"/>
  <c r="AE335" i="89"/>
  <c r="AD335" i="89"/>
  <c r="R337" i="89"/>
  <c r="Q337" i="89"/>
  <c r="P337" i="89"/>
  <c r="R341" i="89"/>
  <c r="Q341" i="89"/>
  <c r="BJ644" i="89" s="1"/>
  <c r="P341" i="89"/>
  <c r="BI644" i="89" s="1"/>
  <c r="P345" i="89"/>
  <c r="BI648" i="89" s="1"/>
  <c r="S345" i="89"/>
  <c r="R345" i="89"/>
  <c r="P261" i="89"/>
  <c r="BI564" i="89" s="1"/>
  <c r="AD263" i="89"/>
  <c r="AE263" i="89" s="1"/>
  <c r="Q265" i="89"/>
  <c r="AD271" i="89"/>
  <c r="AE279" i="89"/>
  <c r="Q289" i="89"/>
  <c r="AD307" i="89"/>
  <c r="AE307" i="89" s="1"/>
  <c r="AD339" i="89"/>
  <c r="S341" i="89"/>
  <c r="R325" i="89"/>
  <c r="Q325" i="89"/>
  <c r="P325" i="89"/>
  <c r="BI628" i="89" s="1"/>
  <c r="X328" i="89"/>
  <c r="W328" i="89"/>
  <c r="R269" i="89"/>
  <c r="AE275" i="89"/>
  <c r="P277" i="89"/>
  <c r="S281" i="89"/>
  <c r="AD283" i="89"/>
  <c r="AE283" i="89" s="1"/>
  <c r="AD291" i="89"/>
  <c r="AE291" i="89" s="1"/>
  <c r="R297" i="89"/>
  <c r="P309" i="89"/>
  <c r="BI612" i="89" s="1"/>
  <c r="R329" i="89"/>
  <c r="S337" i="89"/>
  <c r="Q345" i="89"/>
  <c r="Q257" i="89"/>
  <c r="P257" i="89"/>
  <c r="BI560" i="89" s="1"/>
  <c r="S257" i="89"/>
  <c r="W264" i="89"/>
  <c r="Y264" i="89"/>
  <c r="AE267" i="89"/>
  <c r="AD267" i="89"/>
  <c r="P273" i="89"/>
  <c r="S273" i="89"/>
  <c r="R273" i="89"/>
  <c r="P285" i="89"/>
  <c r="S285" i="89"/>
  <c r="R285" i="89"/>
  <c r="S293" i="89"/>
  <c r="R293" i="89"/>
  <c r="Q293" i="89"/>
  <c r="X296" i="89"/>
  <c r="W296" i="89"/>
  <c r="S301" i="89"/>
  <c r="R301" i="89"/>
  <c r="Q301" i="89"/>
  <c r="R305" i="89"/>
  <c r="Q305" i="89"/>
  <c r="P305" i="89"/>
  <c r="BI608" i="89" s="1"/>
  <c r="Y316" i="89"/>
  <c r="X316" i="89"/>
  <c r="W316" i="89"/>
  <c r="R317" i="89"/>
  <c r="Q317" i="89"/>
  <c r="P317" i="89"/>
  <c r="BI620" i="89" s="1"/>
  <c r="AE319" i="89"/>
  <c r="AD319" i="89"/>
  <c r="S321" i="89"/>
  <c r="R321" i="89"/>
  <c r="Q321" i="89"/>
  <c r="AE323" i="89"/>
  <c r="AD323" i="89"/>
  <c r="W344" i="89"/>
  <c r="Y344" i="89"/>
  <c r="X264" i="89"/>
  <c r="X272" i="89"/>
  <c r="P313" i="89"/>
  <c r="BI616" i="89" s="1"/>
  <c r="S325" i="89"/>
  <c r="AE331" i="89"/>
  <c r="P333" i="89"/>
  <c r="BI636" i="89" s="1"/>
  <c r="W340" i="89"/>
  <c r="X340" i="89" s="1"/>
  <c r="W336" i="89"/>
  <c r="X336" i="89" s="1"/>
  <c r="Y336" i="89" s="1"/>
  <c r="W332" i="89"/>
  <c r="X332" i="89" s="1"/>
  <c r="Y332" i="89" s="1"/>
  <c r="W288" i="89"/>
  <c r="X288" i="89" s="1"/>
  <c r="Y288" i="89" s="1"/>
  <c r="W280" i="89"/>
  <c r="X280" i="89" s="1"/>
  <c r="BK583" i="89" s="1"/>
  <c r="W276" i="89"/>
  <c r="X276" i="89" s="1"/>
  <c r="W268" i="89"/>
  <c r="X268" i="89" s="1"/>
  <c r="Y268" i="89" s="1"/>
  <c r="W252" i="89"/>
  <c r="X252" i="89" s="1"/>
  <c r="Y252" i="89" s="1"/>
  <c r="W236" i="89"/>
  <c r="X236" i="89" s="1"/>
  <c r="Y236" i="89" s="1"/>
  <c r="W164" i="89"/>
  <c r="X164" i="89" s="1"/>
  <c r="Y164" i="89" s="1"/>
  <c r="W160" i="89"/>
  <c r="X160" i="89" s="1"/>
  <c r="Y160" i="89" s="1"/>
  <c r="W156" i="89"/>
  <c r="X156" i="89" s="1"/>
  <c r="Y156" i="89" s="1"/>
  <c r="AD327" i="89"/>
  <c r="AE327" i="89" s="1"/>
  <c r="AD315" i="89"/>
  <c r="AE315" i="89" s="1"/>
  <c r="AD303" i="89"/>
  <c r="AE303" i="89" s="1"/>
  <c r="AD295" i="89"/>
  <c r="AE295" i="89" s="1"/>
  <c r="AD259" i="89"/>
  <c r="AE259" i="89" s="1"/>
  <c r="AD255" i="89"/>
  <c r="AE255" i="89" s="1"/>
  <c r="AD251" i="89"/>
  <c r="AE251" i="89" s="1"/>
  <c r="AD235" i="89"/>
  <c r="AE235" i="89" s="1"/>
  <c r="AD231" i="89"/>
  <c r="AE231" i="89" s="1"/>
  <c r="AD219" i="89"/>
  <c r="AE219" i="89" s="1"/>
  <c r="AD207" i="89"/>
  <c r="AE207" i="89" s="1"/>
  <c r="AD191" i="89"/>
  <c r="AE191" i="89" s="1"/>
  <c r="AD187" i="89"/>
  <c r="AE187" i="89" s="1"/>
  <c r="AD179" i="89"/>
  <c r="AE179" i="89" s="1"/>
  <c r="AD171" i="89"/>
  <c r="AE171" i="89" s="1"/>
  <c r="AD159" i="89"/>
  <c r="AE159" i="89" s="1"/>
  <c r="P81" i="89"/>
  <c r="BI384" i="89" s="1"/>
  <c r="P85" i="89"/>
  <c r="BI388" i="89" s="1"/>
  <c r="P97" i="89"/>
  <c r="BI400" i="89" s="1"/>
  <c r="P105" i="89"/>
  <c r="P117" i="89"/>
  <c r="BI420" i="89" s="1"/>
  <c r="P129" i="89"/>
  <c r="P133" i="89"/>
  <c r="BI436" i="89" s="1"/>
  <c r="P145" i="89"/>
  <c r="BI448" i="89" s="1"/>
  <c r="P149" i="89"/>
  <c r="BI452" i="89" s="1"/>
  <c r="U86" i="91"/>
  <c r="W86" i="91"/>
  <c r="AK160" i="89"/>
  <c r="W162" i="89"/>
  <c r="X162" i="89" s="1"/>
  <c r="Y162" i="89" s="1"/>
  <c r="AD165" i="89"/>
  <c r="AE165" i="89" s="1"/>
  <c r="P167" i="89"/>
  <c r="BI470" i="89" s="1"/>
  <c r="X182" i="89"/>
  <c r="S187" i="89"/>
  <c r="Q199" i="89"/>
  <c r="W202" i="89"/>
  <c r="BJ505" i="89" s="1"/>
  <c r="Q215" i="89"/>
  <c r="AD154" i="89"/>
  <c r="W155" i="89"/>
  <c r="X155" i="89" s="1"/>
  <c r="R156" i="89"/>
  <c r="AK157" i="89"/>
  <c r="AD158" i="89"/>
  <c r="AE158" i="89" s="1"/>
  <c r="Q160" i="89"/>
  <c r="AK161" i="89"/>
  <c r="AE162" i="89"/>
  <c r="Q164" i="89"/>
  <c r="AK165" i="89"/>
  <c r="AD182" i="89"/>
  <c r="AD186" i="89"/>
  <c r="X187" i="89"/>
  <c r="S188" i="89"/>
  <c r="Y199" i="89"/>
  <c r="AK201" i="89"/>
  <c r="AK205" i="89"/>
  <c r="X215" i="89"/>
  <c r="S216" i="89"/>
  <c r="P154" i="89"/>
  <c r="BI457" i="89" s="1"/>
  <c r="AK155" i="89"/>
  <c r="AD156" i="89"/>
  <c r="AE156" i="89" s="1"/>
  <c r="W157" i="89"/>
  <c r="X157" i="89" s="1"/>
  <c r="Q158" i="89"/>
  <c r="AK159" i="89"/>
  <c r="AD160" i="89"/>
  <c r="AE160" i="89" s="1"/>
  <c r="W161" i="89"/>
  <c r="Q162" i="89"/>
  <c r="AK163" i="89"/>
  <c r="AE164" i="89"/>
  <c r="S166" i="89"/>
  <c r="AK167" i="89"/>
  <c r="AK183" i="89"/>
  <c r="Y185" i="89"/>
  <c r="AK199" i="89"/>
  <c r="Y205" i="89"/>
  <c r="AK215" i="89"/>
  <c r="AK171" i="89"/>
  <c r="AD243" i="89"/>
  <c r="AE243" i="89" s="1"/>
  <c r="C699" i="89"/>
  <c r="C1016" i="89" s="1"/>
  <c r="F689" i="89"/>
  <c r="E688" i="89"/>
  <c r="D687" i="89"/>
  <c r="F685" i="89"/>
  <c r="E684" i="89"/>
  <c r="D683" i="89"/>
  <c r="F681" i="89"/>
  <c r="E680" i="89"/>
  <c r="D679" i="89"/>
  <c r="F677" i="89"/>
  <c r="E676" i="89"/>
  <c r="D675" i="89"/>
  <c r="F673" i="89"/>
  <c r="E672" i="89"/>
  <c r="D671" i="89"/>
  <c r="F669" i="89"/>
  <c r="E668" i="89"/>
  <c r="D667" i="89"/>
  <c r="F665" i="89"/>
  <c r="E664" i="89"/>
  <c r="D663" i="89"/>
  <c r="D690" i="89"/>
  <c r="E687" i="89"/>
  <c r="F684" i="89"/>
  <c r="D682" i="89"/>
  <c r="E679" i="89"/>
  <c r="E675" i="89"/>
  <c r="E671" i="89"/>
  <c r="E667" i="89"/>
  <c r="E663" i="89"/>
  <c r="F690" i="89"/>
  <c r="E689" i="89"/>
  <c r="D688" i="89"/>
  <c r="F686" i="89"/>
  <c r="E685" i="89"/>
  <c r="D684" i="89"/>
  <c r="F682" i="89"/>
  <c r="E681" i="89"/>
  <c r="D680" i="89"/>
  <c r="F678" i="89"/>
  <c r="E677" i="89"/>
  <c r="D676" i="89"/>
  <c r="F674" i="89"/>
  <c r="E673" i="89"/>
  <c r="D672" i="89"/>
  <c r="F670" i="89"/>
  <c r="E669" i="89"/>
  <c r="D668" i="89"/>
  <c r="F666" i="89"/>
  <c r="E665" i="89"/>
  <c r="D664" i="89"/>
  <c r="F663" i="89"/>
  <c r="F688" i="89"/>
  <c r="D686" i="89"/>
  <c r="E683" i="89"/>
  <c r="F680" i="89"/>
  <c r="D678" i="89"/>
  <c r="D674" i="89"/>
  <c r="F672" i="89"/>
  <c r="F668" i="89"/>
  <c r="F664" i="89"/>
  <c r="E690" i="89"/>
  <c r="D689" i="89"/>
  <c r="F687" i="89"/>
  <c r="E686" i="89"/>
  <c r="D685" i="89"/>
  <c r="F683" i="89"/>
  <c r="E682" i="89"/>
  <c r="D681" i="89"/>
  <c r="F679" i="89"/>
  <c r="E678" i="89"/>
  <c r="D677" i="89"/>
  <c r="F675" i="89"/>
  <c r="E674" i="89"/>
  <c r="D673" i="89"/>
  <c r="F671" i="89"/>
  <c r="E670" i="89"/>
  <c r="D669" i="89"/>
  <c r="F667" i="89"/>
  <c r="E666" i="89"/>
  <c r="D665" i="89"/>
  <c r="F676" i="89"/>
  <c r="D670" i="89"/>
  <c r="D666" i="89"/>
  <c r="Y52" i="89"/>
  <c r="AE55" i="89"/>
  <c r="X56" i="89"/>
  <c r="AE59" i="89"/>
  <c r="X60" i="89"/>
  <c r="AD63" i="89"/>
  <c r="W64" i="89"/>
  <c r="Y68" i="89"/>
  <c r="AE71" i="89"/>
  <c r="X72" i="89"/>
  <c r="AE75" i="89"/>
  <c r="X76" i="89"/>
  <c r="AD79" i="89"/>
  <c r="W80" i="89"/>
  <c r="P53" i="89"/>
  <c r="BI356" i="89" s="1"/>
  <c r="P65" i="89"/>
  <c r="BI368" i="89" s="1"/>
  <c r="P73" i="89"/>
  <c r="BI376" i="89" s="1"/>
  <c r="Y56" i="89"/>
  <c r="Y60" i="89"/>
  <c r="Y72" i="89"/>
  <c r="Y76" i="89"/>
  <c r="F686" i="88"/>
  <c r="E685" i="88"/>
  <c r="D684" i="88"/>
  <c r="F682" i="88"/>
  <c r="E681" i="88"/>
  <c r="D680" i="88"/>
  <c r="F678" i="88"/>
  <c r="E677" i="88"/>
  <c r="D676" i="88"/>
  <c r="F674" i="88"/>
  <c r="E673" i="88"/>
  <c r="D672" i="88"/>
  <c r="F670" i="88"/>
  <c r="E669" i="88"/>
  <c r="D668" i="88"/>
  <c r="F666" i="88"/>
  <c r="E665" i="88"/>
  <c r="D664" i="88"/>
  <c r="F662" i="88"/>
  <c r="E661" i="88"/>
  <c r="D660" i="88"/>
  <c r="E686" i="88"/>
  <c r="D685" i="88"/>
  <c r="F683" i="88"/>
  <c r="E682" i="88"/>
  <c r="D681" i="88"/>
  <c r="F679" i="88"/>
  <c r="E678" i="88"/>
  <c r="D677" i="88"/>
  <c r="F675" i="88"/>
  <c r="E674" i="88"/>
  <c r="D673" i="88"/>
  <c r="F671" i="88"/>
  <c r="E670" i="88"/>
  <c r="D669" i="88"/>
  <c r="F667" i="88"/>
  <c r="E666" i="88"/>
  <c r="D665" i="88"/>
  <c r="F663" i="88"/>
  <c r="E662" i="88"/>
  <c r="D661" i="88"/>
  <c r="F659" i="88"/>
  <c r="D686" i="88"/>
  <c r="F684" i="88"/>
  <c r="E683" i="88"/>
  <c r="D682" i="88"/>
  <c r="F680" i="88"/>
  <c r="E679" i="88"/>
  <c r="D678" i="88"/>
  <c r="F676" i="88"/>
  <c r="E675" i="88"/>
  <c r="D674" i="88"/>
  <c r="F672" i="88"/>
  <c r="E671" i="88"/>
  <c r="D670" i="88"/>
  <c r="F668" i="88"/>
  <c r="E667" i="88"/>
  <c r="D666" i="88"/>
  <c r="F664" i="88"/>
  <c r="E663" i="88"/>
  <c r="D662" i="88"/>
  <c r="F660" i="88"/>
  <c r="E659" i="88"/>
  <c r="F685" i="88"/>
  <c r="E684" i="88"/>
  <c r="D683" i="88"/>
  <c r="F681" i="88"/>
  <c r="E680" i="88"/>
  <c r="D679" i="88"/>
  <c r="F677" i="88"/>
  <c r="E676" i="88"/>
  <c r="D675" i="88"/>
  <c r="F673" i="88"/>
  <c r="E672" i="88"/>
  <c r="D671" i="88"/>
  <c r="F669" i="88"/>
  <c r="E668" i="88"/>
  <c r="D667" i="88"/>
  <c r="F665" i="88"/>
  <c r="E664" i="88"/>
  <c r="D663" i="88"/>
  <c r="F661" i="88"/>
  <c r="E660" i="88"/>
  <c r="D659" i="88"/>
  <c r="C695" i="88"/>
  <c r="C1012" i="88" s="1"/>
  <c r="AK173" i="89"/>
  <c r="AK181" i="89"/>
  <c r="AK185" i="89"/>
  <c r="AK193" i="89"/>
  <c r="W159" i="89"/>
  <c r="X159" i="89" s="1"/>
  <c r="Y159" i="89" s="1"/>
  <c r="W163" i="89"/>
  <c r="X163" i="89" s="1"/>
  <c r="Y163" i="89" s="1"/>
  <c r="W167" i="89"/>
  <c r="X167" i="89" s="1"/>
  <c r="Y167" i="89" s="1"/>
  <c r="W171" i="89"/>
  <c r="X171" i="89" s="1"/>
  <c r="Y171" i="89" s="1"/>
  <c r="AK197" i="89"/>
  <c r="W219" i="89"/>
  <c r="X219" i="89" s="1"/>
  <c r="AK229" i="89"/>
  <c r="W235" i="89"/>
  <c r="X235" i="89" s="1"/>
  <c r="Y235" i="89" s="1"/>
  <c r="BK46" i="89"/>
  <c r="P91" i="85" s="1"/>
  <c r="AE49" i="89"/>
  <c r="BJ46" i="89"/>
  <c r="O91" i="85" s="1"/>
  <c r="BH46" i="89"/>
  <c r="BL46" i="89"/>
  <c r="Q91" i="85" s="1"/>
  <c r="BI46" i="89"/>
  <c r="AI289" i="88"/>
  <c r="AE90" i="89"/>
  <c r="W131" i="89"/>
  <c r="Y147" i="89"/>
  <c r="S156" i="89"/>
  <c r="P158" i="89"/>
  <c r="BI461" i="89" s="1"/>
  <c r="AE86" i="89"/>
  <c r="Y115" i="89"/>
  <c r="Y63" i="89"/>
  <c r="Y67" i="89"/>
  <c r="AE74" i="89"/>
  <c r="AE98" i="89"/>
  <c r="AE94" i="89"/>
  <c r="W259" i="89"/>
  <c r="X259" i="89" s="1"/>
  <c r="AK265" i="89"/>
  <c r="AK273" i="89"/>
  <c r="AK277" i="89"/>
  <c r="W283" i="89"/>
  <c r="X283" i="89" s="1"/>
  <c r="AK293" i="89"/>
  <c r="AK301" i="89"/>
  <c r="W303" i="89"/>
  <c r="W323" i="89"/>
  <c r="X323" i="89" s="1"/>
  <c r="Y323" i="89" s="1"/>
  <c r="W327" i="89"/>
  <c r="X327" i="89" s="1"/>
  <c r="Y327" i="89" s="1"/>
  <c r="AK333" i="89"/>
  <c r="X59" i="89"/>
  <c r="X111" i="89"/>
  <c r="X123" i="89"/>
  <c r="AD130" i="89"/>
  <c r="X143" i="89"/>
  <c r="AD178" i="89"/>
  <c r="Y51" i="89"/>
  <c r="AE58" i="89"/>
  <c r="Y79" i="89"/>
  <c r="Y83" i="89"/>
  <c r="Y103" i="89"/>
  <c r="AE110" i="89"/>
  <c r="W119" i="89"/>
  <c r="AE122" i="89"/>
  <c r="Y135" i="89"/>
  <c r="AE142" i="89"/>
  <c r="Y151" i="89"/>
  <c r="W169" i="89"/>
  <c r="W177" i="89"/>
  <c r="BJ480" i="89" s="1"/>
  <c r="AK195" i="89"/>
  <c r="AK211" i="89"/>
  <c r="W221" i="89"/>
  <c r="X221" i="89" s="1"/>
  <c r="AK231" i="89"/>
  <c r="W233" i="89"/>
  <c r="AK239" i="89"/>
  <c r="W245" i="89"/>
  <c r="X245" i="89" s="1"/>
  <c r="Y245" i="89" s="1"/>
  <c r="AK247" i="89"/>
  <c r="W253" i="89"/>
  <c r="X253" i="89" s="1"/>
  <c r="Y253" i="89" s="1"/>
  <c r="W261" i="89"/>
  <c r="X261" i="89" s="1"/>
  <c r="AK263" i="89"/>
  <c r="W281" i="89"/>
  <c r="AK299" i="89"/>
  <c r="AK311" i="89"/>
  <c r="W317" i="89"/>
  <c r="X317" i="89" s="1"/>
  <c r="Y317" i="89" s="1"/>
  <c r="W321" i="89"/>
  <c r="W325" i="89"/>
  <c r="X325" i="89" s="1"/>
  <c r="X75" i="89"/>
  <c r="X87" i="89"/>
  <c r="X91" i="89"/>
  <c r="X95" i="89"/>
  <c r="X99" i="89"/>
  <c r="AD118" i="89"/>
  <c r="AE150" i="89"/>
  <c r="P160" i="89"/>
  <c r="BI463" i="89" s="1"/>
  <c r="AE182" i="89"/>
  <c r="P135" i="89"/>
  <c r="BI438" i="89" s="1"/>
  <c r="AD205" i="89"/>
  <c r="AE205" i="89" s="1"/>
  <c r="AD313" i="89"/>
  <c r="AD325" i="89"/>
  <c r="AE325" i="89" s="1"/>
  <c r="W175" i="89"/>
  <c r="Y175" i="89"/>
  <c r="R180" i="89"/>
  <c r="Q180" i="89"/>
  <c r="P180" i="89"/>
  <c r="BI483" i="89" s="1"/>
  <c r="R184" i="89"/>
  <c r="Q184" i="89"/>
  <c r="P184" i="89"/>
  <c r="BI487" i="89" s="1"/>
  <c r="R188" i="89"/>
  <c r="Q188" i="89"/>
  <c r="P188" i="89"/>
  <c r="BI491" i="89" s="1"/>
  <c r="W195" i="89"/>
  <c r="Y195" i="89"/>
  <c r="S200" i="89"/>
  <c r="R200" i="89"/>
  <c r="Q200" i="89"/>
  <c r="S204" i="89"/>
  <c r="R204" i="89"/>
  <c r="Q204" i="89"/>
  <c r="AE206" i="89"/>
  <c r="Y211" i="89"/>
  <c r="X211" i="89"/>
  <c r="W215" i="89"/>
  <c r="Y215" i="89"/>
  <c r="Q224" i="89"/>
  <c r="BJ527" i="89" s="1"/>
  <c r="P224" i="89"/>
  <c r="BI527" i="89" s="1"/>
  <c r="S224" i="89"/>
  <c r="S232" i="89"/>
  <c r="R232" i="89"/>
  <c r="Q232" i="89"/>
  <c r="BJ535" i="89" s="1"/>
  <c r="AE234" i="89"/>
  <c r="AD234" i="89"/>
  <c r="X239" i="89"/>
  <c r="W239" i="89"/>
  <c r="R244" i="89"/>
  <c r="Q244" i="89"/>
  <c r="P244" i="89"/>
  <c r="BI547" i="89" s="1"/>
  <c r="S248" i="89"/>
  <c r="R248" i="89"/>
  <c r="Q248" i="89"/>
  <c r="Y255" i="89"/>
  <c r="X255" i="89"/>
  <c r="Y263" i="89"/>
  <c r="X263" i="89"/>
  <c r="P272" i="89"/>
  <c r="BI575" i="89" s="1"/>
  <c r="S272" i="89"/>
  <c r="R272" i="89"/>
  <c r="Q276" i="89"/>
  <c r="P276" i="89"/>
  <c r="BI579" i="89" s="1"/>
  <c r="S276" i="89"/>
  <c r="P288" i="89"/>
  <c r="BI591" i="89" s="1"/>
  <c r="S288" i="89"/>
  <c r="R288" i="89"/>
  <c r="Y299" i="89"/>
  <c r="X299" i="89"/>
  <c r="W299" i="89"/>
  <c r="Q312" i="89"/>
  <c r="P312" i="89"/>
  <c r="BI615" i="89" s="1"/>
  <c r="S312" i="89"/>
  <c r="R312" i="89"/>
  <c r="Y315" i="89"/>
  <c r="X315" i="89"/>
  <c r="W315" i="89"/>
  <c r="X319" i="89"/>
  <c r="W319" i="89"/>
  <c r="Y319" i="89"/>
  <c r="AD326" i="89"/>
  <c r="AE326" i="89"/>
  <c r="Y331" i="89"/>
  <c r="X331" i="89"/>
  <c r="W331" i="89"/>
  <c r="P332" i="89"/>
  <c r="BI635" i="89" s="1"/>
  <c r="S332" i="89"/>
  <c r="R332" i="89"/>
  <c r="Q332" i="89"/>
  <c r="X339" i="89"/>
  <c r="W339" i="89"/>
  <c r="Y339" i="89"/>
  <c r="AD54" i="89"/>
  <c r="W55" i="89"/>
  <c r="Y59" i="89"/>
  <c r="AD70" i="89"/>
  <c r="W71" i="89"/>
  <c r="Y75" i="89"/>
  <c r="Y87" i="89"/>
  <c r="Y91" i="89"/>
  <c r="Y95" i="89"/>
  <c r="Y99" i="89"/>
  <c r="AD106" i="89"/>
  <c r="W107" i="89"/>
  <c r="Y111" i="89"/>
  <c r="X119" i="89"/>
  <c r="Y123" i="89"/>
  <c r="AD126" i="89"/>
  <c r="W127" i="89"/>
  <c r="X131" i="89"/>
  <c r="AD138" i="89"/>
  <c r="W139" i="89"/>
  <c r="Y143" i="89"/>
  <c r="R160" i="89"/>
  <c r="AD162" i="89"/>
  <c r="AE186" i="89"/>
  <c r="P200" i="89"/>
  <c r="BI503" i="89" s="1"/>
  <c r="W255" i="89"/>
  <c r="W263" i="89"/>
  <c r="R168" i="89"/>
  <c r="Q168" i="89"/>
  <c r="P168" i="89"/>
  <c r="BI471" i="89" s="1"/>
  <c r="P172" i="89"/>
  <c r="BI475" i="89" s="1"/>
  <c r="S172" i="89"/>
  <c r="R172" i="89"/>
  <c r="R176" i="89"/>
  <c r="Q176" i="89"/>
  <c r="P176" i="89"/>
  <c r="BI479" i="89" s="1"/>
  <c r="W183" i="89"/>
  <c r="X183" i="89" s="1"/>
  <c r="W187" i="89"/>
  <c r="Y187" i="89"/>
  <c r="X191" i="89"/>
  <c r="W191" i="89"/>
  <c r="R196" i="89"/>
  <c r="Q196" i="89"/>
  <c r="P196" i="89"/>
  <c r="BI499" i="89" s="1"/>
  <c r="AE198" i="89"/>
  <c r="AD198" i="89"/>
  <c r="Y203" i="89"/>
  <c r="X203" i="89"/>
  <c r="W203" i="89"/>
  <c r="BJ506" i="89" s="1"/>
  <c r="Y207" i="89"/>
  <c r="X207" i="89"/>
  <c r="W207" i="89"/>
  <c r="Q212" i="89"/>
  <c r="P212" i="89"/>
  <c r="BI515" i="89" s="1"/>
  <c r="S212" i="89"/>
  <c r="AD218" i="89"/>
  <c r="AE218" i="89" s="1"/>
  <c r="Q220" i="89"/>
  <c r="P220" i="89"/>
  <c r="BI523" i="89" s="1"/>
  <c r="S220" i="89"/>
  <c r="Y227" i="89"/>
  <c r="X227" i="89"/>
  <c r="P228" i="89"/>
  <c r="BI531" i="89" s="1"/>
  <c r="S228" i="89"/>
  <c r="R228" i="89"/>
  <c r="S240" i="89"/>
  <c r="R240" i="89"/>
  <c r="Q240" i="89"/>
  <c r="X247" i="89"/>
  <c r="W247" i="89"/>
  <c r="P252" i="89"/>
  <c r="BI555" i="89" s="1"/>
  <c r="S252" i="89"/>
  <c r="R252" i="89"/>
  <c r="S256" i="89"/>
  <c r="R256" i="89"/>
  <c r="Q256" i="89"/>
  <c r="S260" i="89"/>
  <c r="R260" i="89"/>
  <c r="Q260" i="89"/>
  <c r="Q264" i="89"/>
  <c r="P264" i="89"/>
  <c r="S264" i="89"/>
  <c r="AD270" i="89"/>
  <c r="AE270" i="89" s="1"/>
  <c r="Y275" i="89"/>
  <c r="X275" i="89"/>
  <c r="BK578" i="89" s="1"/>
  <c r="Q280" i="89"/>
  <c r="P280" i="89"/>
  <c r="BI583" i="89" s="1"/>
  <c r="S280" i="89"/>
  <c r="S284" i="89"/>
  <c r="R284" i="89"/>
  <c r="Q284" i="89"/>
  <c r="BJ587" i="89" s="1"/>
  <c r="W291" i="89"/>
  <c r="X291" i="89" s="1"/>
  <c r="Y291" i="89" s="1"/>
  <c r="R292" i="89"/>
  <c r="S292" i="89"/>
  <c r="Q292" i="89"/>
  <c r="W295" i="89"/>
  <c r="X295" i="89" s="1"/>
  <c r="Y295" i="89" s="1"/>
  <c r="P300" i="89"/>
  <c r="BI603" i="89" s="1"/>
  <c r="S300" i="89"/>
  <c r="R300" i="89"/>
  <c r="Q300" i="89"/>
  <c r="S304" i="89"/>
  <c r="R304" i="89"/>
  <c r="Q304" i="89"/>
  <c r="P304" i="89"/>
  <c r="BI607" i="89" s="1"/>
  <c r="AD306" i="89"/>
  <c r="AE306" i="89"/>
  <c r="Q308" i="89"/>
  <c r="BJ611" i="89" s="1"/>
  <c r="P308" i="89"/>
  <c r="BI611" i="89" s="1"/>
  <c r="S308" i="89"/>
  <c r="AE314" i="89"/>
  <c r="AD314" i="89"/>
  <c r="P316" i="89"/>
  <c r="BI619" i="89" s="1"/>
  <c r="S316" i="89"/>
  <c r="R316" i="89"/>
  <c r="Q316" i="89"/>
  <c r="AE318" i="89"/>
  <c r="AD318" i="89"/>
  <c r="R320" i="89"/>
  <c r="Q320" i="89"/>
  <c r="S320" i="89"/>
  <c r="P324" i="89"/>
  <c r="BI627" i="89" s="1"/>
  <c r="S324" i="89"/>
  <c r="Q324" i="89"/>
  <c r="R336" i="89"/>
  <c r="Q336" i="89"/>
  <c r="P336" i="89"/>
  <c r="BI639" i="89" s="1"/>
  <c r="R340" i="89"/>
  <c r="Q340" i="89"/>
  <c r="P340" i="89"/>
  <c r="BI643" i="89" s="1"/>
  <c r="S340" i="89"/>
  <c r="R344" i="89"/>
  <c r="Q344" i="89"/>
  <c r="P344" i="89"/>
  <c r="BI647" i="89" s="1"/>
  <c r="S344" i="89"/>
  <c r="AE346" i="89"/>
  <c r="AD346" i="89"/>
  <c r="AD49" i="89"/>
  <c r="W51" i="89"/>
  <c r="X55" i="89"/>
  <c r="AD62" i="89"/>
  <c r="W63" i="89"/>
  <c r="AD66" i="89"/>
  <c r="W67" i="89"/>
  <c r="X71" i="89"/>
  <c r="AD78" i="89"/>
  <c r="W79" i="89"/>
  <c r="AD82" i="89"/>
  <c r="W83" i="89"/>
  <c r="AD102" i="89"/>
  <c r="W103" i="89"/>
  <c r="X107" i="89"/>
  <c r="AD114" i="89"/>
  <c r="W115" i="89"/>
  <c r="X127" i="89"/>
  <c r="AD134" i="89"/>
  <c r="W135" i="89"/>
  <c r="X139" i="89"/>
  <c r="AD146" i="89"/>
  <c r="W147" i="89"/>
  <c r="AE154" i="89"/>
  <c r="P156" i="89"/>
  <c r="BI459" i="89" s="1"/>
  <c r="S160" i="89"/>
  <c r="AD174" i="89"/>
  <c r="S180" i="89"/>
  <c r="AE190" i="89"/>
  <c r="X195" i="89"/>
  <c r="S196" i="89"/>
  <c r="AD214" i="89"/>
  <c r="AE214" i="89" s="1"/>
  <c r="R220" i="89"/>
  <c r="W227" i="89"/>
  <c r="P232" i="89"/>
  <c r="BI535" i="89" s="1"/>
  <c r="Y239" i="89"/>
  <c r="P240" i="89"/>
  <c r="BI543" i="89" s="1"/>
  <c r="P260" i="89"/>
  <c r="BI563" i="89" s="1"/>
  <c r="AD262" i="89"/>
  <c r="AE266" i="89"/>
  <c r="W275" i="89"/>
  <c r="R276" i="89"/>
  <c r="Q288" i="89"/>
  <c r="P292" i="89"/>
  <c r="BI595" i="89" s="1"/>
  <c r="R324" i="89"/>
  <c r="R164" i="89"/>
  <c r="P164" i="89"/>
  <c r="BI467" i="89" s="1"/>
  <c r="W179" i="89"/>
  <c r="Y179" i="89"/>
  <c r="P192" i="89"/>
  <c r="BI495" i="89" s="1"/>
  <c r="S192" i="89"/>
  <c r="R192" i="89"/>
  <c r="X199" i="89"/>
  <c r="W199" i="89"/>
  <c r="AD202" i="89"/>
  <c r="AE202" i="89" s="1"/>
  <c r="P208" i="89"/>
  <c r="BI511" i="89" s="1"/>
  <c r="S208" i="89"/>
  <c r="R208" i="89"/>
  <c r="R216" i="89"/>
  <c r="Q216" i="89"/>
  <c r="P216" i="89"/>
  <c r="BI519" i="89" s="1"/>
  <c r="W223" i="89"/>
  <c r="BJ526" i="89" s="1"/>
  <c r="Y223" i="89"/>
  <c r="W231" i="89"/>
  <c r="X231" i="89" s="1"/>
  <c r="S236" i="89"/>
  <c r="R236" i="89"/>
  <c r="Q236" i="89"/>
  <c r="Q268" i="89"/>
  <c r="P268" i="89"/>
  <c r="BI571" i="89" s="1"/>
  <c r="S268" i="89"/>
  <c r="Y271" i="89"/>
  <c r="X271" i="89"/>
  <c r="W271" i="89"/>
  <c r="S296" i="89"/>
  <c r="R296" i="89"/>
  <c r="Q296" i="89"/>
  <c r="AD298" i="89"/>
  <c r="AE298" i="89" s="1"/>
  <c r="AE302" i="89"/>
  <c r="AD302" i="89"/>
  <c r="W307" i="89"/>
  <c r="X307" i="89" s="1"/>
  <c r="Y307" i="89" s="1"/>
  <c r="R328" i="89"/>
  <c r="Q328" i="89"/>
  <c r="BJ631" i="89" s="1"/>
  <c r="S328" i="89"/>
  <c r="P328" i="89"/>
  <c r="BI631" i="89" s="1"/>
  <c r="AE330" i="89"/>
  <c r="AD330" i="89"/>
  <c r="X151" i="89"/>
  <c r="Q156" i="89"/>
  <c r="S164" i="89"/>
  <c r="S168" i="89"/>
  <c r="S184" i="89"/>
  <c r="Q192" i="89"/>
  <c r="AE194" i="89"/>
  <c r="W211" i="89"/>
  <c r="R212" i="89"/>
  <c r="X223" i="89"/>
  <c r="Q228" i="89"/>
  <c r="S244" i="89"/>
  <c r="Q252" i="89"/>
  <c r="P256" i="89"/>
  <c r="BI559" i="89" s="1"/>
  <c r="AD282" i="89"/>
  <c r="S336" i="89"/>
  <c r="W335" i="89"/>
  <c r="W267" i="89"/>
  <c r="X267" i="89" s="1"/>
  <c r="W251" i="89"/>
  <c r="W243" i="89"/>
  <c r="BJ546" i="89" s="1"/>
  <c r="K223" i="87"/>
  <c r="BL348" i="89"/>
  <c r="N223" i="87" s="1"/>
  <c r="BK348" i="89"/>
  <c r="M223" i="87" s="1"/>
  <c r="Q102" i="90"/>
  <c r="T102" i="90"/>
  <c r="P102" i="90"/>
  <c r="AD312" i="89"/>
  <c r="AE312" i="89" s="1"/>
  <c r="W312" i="89"/>
  <c r="X312" i="89" s="1"/>
  <c r="Y312" i="89" s="1"/>
  <c r="W53" i="89"/>
  <c r="AE60" i="89"/>
  <c r="W69" i="89"/>
  <c r="AE76" i="89"/>
  <c r="W105" i="89"/>
  <c r="AD112" i="89"/>
  <c r="W121" i="89"/>
  <c r="AD128" i="89"/>
  <c r="W137" i="89"/>
  <c r="AD144" i="89"/>
  <c r="W153" i="89"/>
  <c r="Y161" i="89"/>
  <c r="X197" i="89"/>
  <c r="W205" i="89"/>
  <c r="P101" i="90"/>
  <c r="X101" i="89"/>
  <c r="W101" i="89"/>
  <c r="X109" i="89"/>
  <c r="W109" i="89"/>
  <c r="X117" i="89"/>
  <c r="W117" i="89"/>
  <c r="X125" i="89"/>
  <c r="W125" i="89"/>
  <c r="X133" i="89"/>
  <c r="W133" i="89"/>
  <c r="X141" i="89"/>
  <c r="W141" i="89"/>
  <c r="X149" i="89"/>
  <c r="W149" i="89"/>
  <c r="R154" i="89"/>
  <c r="Q154" i="89"/>
  <c r="S158" i="89"/>
  <c r="R158" i="89"/>
  <c r="S162" i="89"/>
  <c r="R162" i="89"/>
  <c r="R166" i="89"/>
  <c r="Q166" i="89"/>
  <c r="Q170" i="89"/>
  <c r="P170" i="89"/>
  <c r="BI473" i="89" s="1"/>
  <c r="AE172" i="89"/>
  <c r="AD172" i="89"/>
  <c r="Y173" i="89"/>
  <c r="X173" i="89"/>
  <c r="Q174" i="89"/>
  <c r="P174" i="89"/>
  <c r="BI477" i="89" s="1"/>
  <c r="Q178" i="89"/>
  <c r="P178" i="89"/>
  <c r="BI481" i="89" s="1"/>
  <c r="AD180" i="89"/>
  <c r="R182" i="89"/>
  <c r="Q182" i="89"/>
  <c r="R186" i="89"/>
  <c r="Q186" i="89"/>
  <c r="S190" i="89"/>
  <c r="R190" i="89"/>
  <c r="BK493" i="89" s="1"/>
  <c r="S194" i="89"/>
  <c r="R194" i="89"/>
  <c r="R198" i="89"/>
  <c r="Q198" i="89"/>
  <c r="P202" i="89"/>
  <c r="BI505" i="89" s="1"/>
  <c r="S202" i="89"/>
  <c r="R206" i="89"/>
  <c r="Q206" i="89"/>
  <c r="AD208" i="89"/>
  <c r="AE208" i="89" s="1"/>
  <c r="Y209" i="89"/>
  <c r="X209" i="89"/>
  <c r="Q210" i="89"/>
  <c r="P210" i="89"/>
  <c r="BI513" i="89" s="1"/>
  <c r="S214" i="89"/>
  <c r="R214" i="89"/>
  <c r="W217" i="89"/>
  <c r="X217" i="89" s="1"/>
  <c r="P218" i="89"/>
  <c r="BI521" i="89" s="1"/>
  <c r="S218" i="89"/>
  <c r="P222" i="89"/>
  <c r="BI525" i="89" s="1"/>
  <c r="S222" i="89"/>
  <c r="AD224" i="89"/>
  <c r="AE224" i="89" s="1"/>
  <c r="Y225" i="89"/>
  <c r="X225" i="89"/>
  <c r="Q226" i="89"/>
  <c r="P226" i="89"/>
  <c r="BI529" i="89" s="1"/>
  <c r="X229" i="89"/>
  <c r="W229" i="89"/>
  <c r="P230" i="89"/>
  <c r="BI533" i="89" s="1"/>
  <c r="S230" i="89"/>
  <c r="R234" i="89"/>
  <c r="Q234" i="89"/>
  <c r="S234" i="89"/>
  <c r="P234" i="89"/>
  <c r="BI537" i="89" s="1"/>
  <c r="AD236" i="89"/>
  <c r="AE236" i="89" s="1"/>
  <c r="P238" i="89"/>
  <c r="BI541" i="89" s="1"/>
  <c r="S238" i="89"/>
  <c r="Q238" i="89"/>
  <c r="AD240" i="89"/>
  <c r="AE240" i="89" s="1"/>
  <c r="Q242" i="89"/>
  <c r="P242" i="89"/>
  <c r="BI545" i="89" s="1"/>
  <c r="P246" i="89"/>
  <c r="BI549" i="89" s="1"/>
  <c r="S246" i="89"/>
  <c r="R246" i="89"/>
  <c r="Q246" i="89"/>
  <c r="R250" i="89"/>
  <c r="Q250" i="89"/>
  <c r="AD252" i="89"/>
  <c r="AE252" i="89" s="1"/>
  <c r="R254" i="89"/>
  <c r="Q254" i="89"/>
  <c r="P254" i="89"/>
  <c r="BI557" i="89" s="1"/>
  <c r="W257" i="89"/>
  <c r="P258" i="89"/>
  <c r="BI561" i="89" s="1"/>
  <c r="S258" i="89"/>
  <c r="Q258" i="89"/>
  <c r="R262" i="89"/>
  <c r="Q262" i="89"/>
  <c r="AD264" i="89"/>
  <c r="AE264" i="89"/>
  <c r="W265" i="89"/>
  <c r="P266" i="89"/>
  <c r="BI569" i="89" s="1"/>
  <c r="S266" i="89"/>
  <c r="S270" i="89"/>
  <c r="R270" i="89"/>
  <c r="X273" i="89"/>
  <c r="W273" i="89"/>
  <c r="P274" i="89"/>
  <c r="BI577" i="89" s="1"/>
  <c r="S274" i="89"/>
  <c r="Q274" i="89"/>
  <c r="X277" i="89"/>
  <c r="W277" i="89"/>
  <c r="Y277" i="89"/>
  <c r="P278" i="89"/>
  <c r="BI581" i="89" s="1"/>
  <c r="S278" i="89"/>
  <c r="R278" i="89"/>
  <c r="Q278" i="89"/>
  <c r="Q282" i="89"/>
  <c r="P282" i="89"/>
  <c r="S282" i="89"/>
  <c r="AD284" i="89"/>
  <c r="AE284" i="89" s="1"/>
  <c r="R286" i="89"/>
  <c r="Q286" i="89"/>
  <c r="AE288" i="89"/>
  <c r="AD288" i="89"/>
  <c r="S290" i="89"/>
  <c r="R290" i="89"/>
  <c r="P290" i="89"/>
  <c r="BI593" i="89" s="1"/>
  <c r="P294" i="89"/>
  <c r="S294" i="89"/>
  <c r="AE296" i="89"/>
  <c r="AD296" i="89"/>
  <c r="P298" i="89"/>
  <c r="BI601" i="89" s="1"/>
  <c r="S298" i="89"/>
  <c r="W301" i="89"/>
  <c r="X301" i="89" s="1"/>
  <c r="Y301" i="89" s="1"/>
  <c r="R302" i="89"/>
  <c r="Q302" i="89"/>
  <c r="S302" i="89"/>
  <c r="P302" i="89"/>
  <c r="X305" i="89"/>
  <c r="W305" i="89"/>
  <c r="Y305" i="89"/>
  <c r="P306" i="89"/>
  <c r="S306" i="89"/>
  <c r="R306" i="89"/>
  <c r="Q306" i="89"/>
  <c r="AD308" i="89"/>
  <c r="R310" i="89"/>
  <c r="Q310" i="89"/>
  <c r="Y313" i="89"/>
  <c r="X313" i="89"/>
  <c r="W313" i="89"/>
  <c r="R314" i="89"/>
  <c r="Q314" i="89"/>
  <c r="S314" i="89"/>
  <c r="P314" i="89"/>
  <c r="BI617" i="89" s="1"/>
  <c r="AE316" i="89"/>
  <c r="AD316" i="89"/>
  <c r="S318" i="89"/>
  <c r="R318" i="89"/>
  <c r="Q318" i="89"/>
  <c r="Q322" i="89"/>
  <c r="P322" i="89"/>
  <c r="BI625" i="89" s="1"/>
  <c r="R326" i="89"/>
  <c r="Q326" i="89"/>
  <c r="P326" i="89"/>
  <c r="AE328" i="89"/>
  <c r="AD328" i="89"/>
  <c r="W329" i="89"/>
  <c r="Y329" i="89"/>
  <c r="S330" i="89"/>
  <c r="R330" i="89"/>
  <c r="Q330" i="89"/>
  <c r="AD332" i="89"/>
  <c r="AE332" i="89"/>
  <c r="X333" i="89"/>
  <c r="W333" i="89"/>
  <c r="P334" i="89"/>
  <c r="BI637" i="89" s="1"/>
  <c r="S334" i="89"/>
  <c r="Q334" i="89"/>
  <c r="AE336" i="89"/>
  <c r="AD336" i="89"/>
  <c r="R338" i="89"/>
  <c r="Q338" i="89"/>
  <c r="AE340" i="89"/>
  <c r="AD340" i="89"/>
  <c r="Y341" i="89"/>
  <c r="X341" i="89"/>
  <c r="Q342" i="89"/>
  <c r="P342" i="89"/>
  <c r="BI645" i="89" s="1"/>
  <c r="R342" i="89"/>
  <c r="X345" i="89"/>
  <c r="W345" i="89"/>
  <c r="P346" i="89"/>
  <c r="BI649" i="89" s="1"/>
  <c r="S346" i="89"/>
  <c r="U81" i="90"/>
  <c r="U102" i="90"/>
  <c r="AK212" i="89"/>
  <c r="AD311" i="89"/>
  <c r="AE311" i="89" s="1"/>
  <c r="W311" i="89"/>
  <c r="R81" i="90"/>
  <c r="R102" i="90"/>
  <c r="R59" i="90"/>
  <c r="H113" i="90"/>
  <c r="H114" i="90" s="1"/>
  <c r="T59" i="90"/>
  <c r="J143" i="90"/>
  <c r="Q59" i="90"/>
  <c r="I143" i="90"/>
  <c r="BJ348" i="89"/>
  <c r="L223" i="87" s="1"/>
  <c r="X102" i="89"/>
  <c r="X346" i="89"/>
  <c r="Y346" i="89"/>
  <c r="W74" i="89"/>
  <c r="AK128" i="89"/>
  <c r="P119" i="89"/>
  <c r="BI422" i="89" s="1"/>
  <c r="U167" i="88"/>
  <c r="X66" i="89"/>
  <c r="W82" i="89"/>
  <c r="AE125" i="89"/>
  <c r="P103" i="89"/>
  <c r="BI406" i="89" s="1"/>
  <c r="U154" i="88"/>
  <c r="BH457" i="88" s="1"/>
  <c r="AI177" i="88"/>
  <c r="AI189" i="88"/>
  <c r="W78" i="89"/>
  <c r="Y114" i="89"/>
  <c r="AD121" i="89"/>
  <c r="AK176" i="89"/>
  <c r="AD324" i="89"/>
  <c r="W324" i="89"/>
  <c r="X324" i="89" s="1"/>
  <c r="Y324" i="89" s="1"/>
  <c r="W292" i="89"/>
  <c r="AD292" i="89"/>
  <c r="AE292" i="89" s="1"/>
  <c r="AD260" i="89"/>
  <c r="AE260" i="89" s="1"/>
  <c r="W260" i="89"/>
  <c r="AD256" i="89"/>
  <c r="AE256" i="89" s="1"/>
  <c r="W256" i="89"/>
  <c r="W244" i="89"/>
  <c r="W228" i="89"/>
  <c r="AD220" i="89"/>
  <c r="W220" i="89"/>
  <c r="X220" i="89" s="1"/>
  <c r="Y220" i="89" s="1"/>
  <c r="AD196" i="89"/>
  <c r="W196" i="89"/>
  <c r="X196" i="89" s="1"/>
  <c r="Y196" i="89" s="1"/>
  <c r="W176" i="89"/>
  <c r="X176" i="89" s="1"/>
  <c r="Y176" i="89" s="1"/>
  <c r="AK88" i="89"/>
  <c r="W106" i="89"/>
  <c r="AK140" i="89"/>
  <c r="AK120" i="89"/>
  <c r="X134" i="89"/>
  <c r="Y134" i="89"/>
  <c r="AE141" i="89"/>
  <c r="AD141" i="89"/>
  <c r="W150" i="89"/>
  <c r="X150" i="89"/>
  <c r="Q159" i="89"/>
  <c r="P159" i="89"/>
  <c r="BI462" i="89" s="1"/>
  <c r="S179" i="89"/>
  <c r="P179" i="89"/>
  <c r="BI482" i="89" s="1"/>
  <c r="AD225" i="89"/>
  <c r="AE225" i="89" s="1"/>
  <c r="AK228" i="89"/>
  <c r="W49" i="89"/>
  <c r="W58" i="89"/>
  <c r="AD61" i="89"/>
  <c r="X110" i="89"/>
  <c r="AE53" i="89"/>
  <c r="AE57" i="89"/>
  <c r="P59" i="89"/>
  <c r="BI362" i="89" s="1"/>
  <c r="AD89" i="89"/>
  <c r="Y98" i="89"/>
  <c r="AK104" i="89"/>
  <c r="AE109" i="89"/>
  <c r="AK136" i="89"/>
  <c r="AK148" i="89"/>
  <c r="W168" i="89"/>
  <c r="W304" i="89"/>
  <c r="X304" i="89" s="1"/>
  <c r="Y304" i="89" s="1"/>
  <c r="AD344" i="89"/>
  <c r="AE93" i="89"/>
  <c r="AD85" i="89"/>
  <c r="P155" i="89"/>
  <c r="BI458" i="89" s="1"/>
  <c r="R155" i="89"/>
  <c r="S163" i="89"/>
  <c r="P163" i="89"/>
  <c r="BI466" i="89" s="1"/>
  <c r="AD181" i="89"/>
  <c r="AE181" i="89" s="1"/>
  <c r="W246" i="89"/>
  <c r="X246" i="89" s="1"/>
  <c r="Y246" i="89" s="1"/>
  <c r="W54" i="89"/>
  <c r="Y62" i="89"/>
  <c r="AK68" i="89"/>
  <c r="AE73" i="89"/>
  <c r="AE77" i="89"/>
  <c r="AE81" i="89"/>
  <c r="W126" i="89"/>
  <c r="X130" i="89"/>
  <c r="X142" i="89"/>
  <c r="AD244" i="89"/>
  <c r="AE244" i="89" s="1"/>
  <c r="Q167" i="89"/>
  <c r="P207" i="89"/>
  <c r="BI510" i="89" s="1"/>
  <c r="P51" i="89"/>
  <c r="BI354" i="89" s="1"/>
  <c r="BH348" i="89"/>
  <c r="R171" i="89"/>
  <c r="P171" i="89"/>
  <c r="BI474" i="89" s="1"/>
  <c r="AE173" i="89"/>
  <c r="Q175" i="89"/>
  <c r="R183" i="89"/>
  <c r="Q183" i="89"/>
  <c r="AK184" i="89"/>
  <c r="Q187" i="89"/>
  <c r="R187" i="89"/>
  <c r="P187" i="89"/>
  <c r="BI490" i="89" s="1"/>
  <c r="AD189" i="89"/>
  <c r="AD193" i="89"/>
  <c r="AE193" i="89" s="1"/>
  <c r="Q195" i="89"/>
  <c r="P195" i="89"/>
  <c r="BI498" i="89" s="1"/>
  <c r="AD197" i="89"/>
  <c r="AE197" i="89" s="1"/>
  <c r="AK200" i="89"/>
  <c r="R203" i="89"/>
  <c r="P203" i="89"/>
  <c r="BI506" i="89" s="1"/>
  <c r="S211" i="89"/>
  <c r="Q211" i="89"/>
  <c r="P211" i="89"/>
  <c r="BI514" i="89" s="1"/>
  <c r="AD213" i="89"/>
  <c r="W218" i="89"/>
  <c r="BJ521" i="89" s="1"/>
  <c r="AK220" i="89"/>
  <c r="R223" i="89"/>
  <c r="P223" i="89"/>
  <c r="BI526" i="89" s="1"/>
  <c r="AK224" i="89"/>
  <c r="Q231" i="89"/>
  <c r="R231" i="89"/>
  <c r="P231" i="89"/>
  <c r="BI534" i="89" s="1"/>
  <c r="Q239" i="89"/>
  <c r="P239" i="89"/>
  <c r="BI542" i="89" s="1"/>
  <c r="S239" i="89"/>
  <c r="R239" i="89"/>
  <c r="R247" i="89"/>
  <c r="Q247" i="89"/>
  <c r="AK248" i="89"/>
  <c r="W254" i="89"/>
  <c r="X254" i="89" s="1"/>
  <c r="AD257" i="89"/>
  <c r="AE257" i="89" s="1"/>
  <c r="AD261" i="89"/>
  <c r="AE261" i="89"/>
  <c r="AK264" i="89"/>
  <c r="P267" i="89"/>
  <c r="R267" i="89"/>
  <c r="Q267" i="89"/>
  <c r="AE269" i="89"/>
  <c r="AD269" i="89"/>
  <c r="AK280" i="89"/>
  <c r="AD285" i="89"/>
  <c r="AK288" i="89"/>
  <c r="S291" i="89"/>
  <c r="R291" i="89"/>
  <c r="P291" i="89"/>
  <c r="BI594" i="89" s="1"/>
  <c r="Q291" i="89"/>
  <c r="AD293" i="89"/>
  <c r="AK296" i="89"/>
  <c r="P299" i="89"/>
  <c r="S299" i="89"/>
  <c r="AD301" i="89"/>
  <c r="AD305" i="89"/>
  <c r="AE305" i="89"/>
  <c r="AK308" i="89"/>
  <c r="W314" i="89"/>
  <c r="X314" i="89" s="1"/>
  <c r="Y314" i="89" s="1"/>
  <c r="AK316" i="89"/>
  <c r="AK320" i="89"/>
  <c r="P323" i="89"/>
  <c r="BI626" i="89" s="1"/>
  <c r="S323" i="89"/>
  <c r="R323" i="89"/>
  <c r="Q323" i="89"/>
  <c r="AE329" i="89"/>
  <c r="AD329" i="89"/>
  <c r="S331" i="89"/>
  <c r="R331" i="89"/>
  <c r="Q331" i="89"/>
  <c r="P331" i="89"/>
  <c r="BI634" i="89" s="1"/>
  <c r="AK332" i="89"/>
  <c r="AK336" i="89"/>
  <c r="W338" i="89"/>
  <c r="Y338" i="89"/>
  <c r="X338" i="89"/>
  <c r="W342" i="89"/>
  <c r="Y342" i="89"/>
  <c r="X342" i="89"/>
  <c r="X54" i="89"/>
  <c r="AK72" i="89"/>
  <c r="X74" i="89"/>
  <c r="X78" i="89"/>
  <c r="AE85" i="89"/>
  <c r="W122" i="89"/>
  <c r="W146" i="89"/>
  <c r="AD153" i="89"/>
  <c r="R159" i="89"/>
  <c r="S171" i="89"/>
  <c r="AD113" i="89"/>
  <c r="R167" i="89"/>
  <c r="S167" i="89"/>
  <c r="W174" i="89"/>
  <c r="Y174" i="89"/>
  <c r="X178" i="89"/>
  <c r="Y178" i="89"/>
  <c r="P191" i="89"/>
  <c r="BI494" i="89" s="1"/>
  <c r="Q191" i="89"/>
  <c r="P199" i="89"/>
  <c r="S199" i="89"/>
  <c r="R199" i="89"/>
  <c r="AD201" i="89"/>
  <c r="AK204" i="89"/>
  <c r="R207" i="89"/>
  <c r="S207" i="89"/>
  <c r="Q207" i="89"/>
  <c r="BJ510" i="89" s="1"/>
  <c r="AD209" i="89"/>
  <c r="X214" i="89"/>
  <c r="Y214" i="89"/>
  <c r="W214" i="89"/>
  <c r="BJ517" i="89" s="1"/>
  <c r="AK216" i="89"/>
  <c r="S219" i="89"/>
  <c r="Q219" i="89"/>
  <c r="P219" i="89"/>
  <c r="BI522" i="89" s="1"/>
  <c r="AD221" i="89"/>
  <c r="AE221" i="89" s="1"/>
  <c r="Y230" i="89"/>
  <c r="R235" i="89"/>
  <c r="S235" i="89"/>
  <c r="Q235" i="89"/>
  <c r="AD237" i="89"/>
  <c r="AD249" i="89"/>
  <c r="AE249" i="89" s="1"/>
  <c r="Q251" i="89"/>
  <c r="P251" i="89"/>
  <c r="BI554" i="89" s="1"/>
  <c r="R251" i="89"/>
  <c r="AD253" i="89"/>
  <c r="AE253" i="89" s="1"/>
  <c r="Q255" i="89"/>
  <c r="P255" i="89"/>
  <c r="BI558" i="89" s="1"/>
  <c r="AK260" i="89"/>
  <c r="P263" i="89"/>
  <c r="BI566" i="89" s="1"/>
  <c r="S263" i="89"/>
  <c r="R263" i="89"/>
  <c r="Q263" i="89"/>
  <c r="AD265" i="89"/>
  <c r="AE265" i="89" s="1"/>
  <c r="W270" i="89"/>
  <c r="BJ573" i="89" s="1"/>
  <c r="Y270" i="89"/>
  <c r="AD277" i="89"/>
  <c r="AE277" i="89"/>
  <c r="W282" i="89"/>
  <c r="Y282" i="89"/>
  <c r="AK284" i="89"/>
  <c r="P287" i="89"/>
  <c r="BI590" i="89" s="1"/>
  <c r="S287" i="89"/>
  <c r="R287" i="89"/>
  <c r="Q287" i="89"/>
  <c r="AE289" i="89"/>
  <c r="AD289" i="89"/>
  <c r="AK292" i="89"/>
  <c r="Q295" i="89"/>
  <c r="P295" i="89"/>
  <c r="BI598" i="89" s="1"/>
  <c r="R295" i="89"/>
  <c r="AE297" i="89"/>
  <c r="AD297" i="89"/>
  <c r="Q303" i="89"/>
  <c r="P303" i="89"/>
  <c r="BI606" i="89" s="1"/>
  <c r="S303" i="89"/>
  <c r="AK312" i="89"/>
  <c r="Q315" i="89"/>
  <c r="P315" i="89"/>
  <c r="BI618" i="89" s="1"/>
  <c r="S315" i="89"/>
  <c r="R315" i="89"/>
  <c r="AD317" i="89"/>
  <c r="AE317" i="89" s="1"/>
  <c r="Y322" i="89"/>
  <c r="X322" i="89"/>
  <c r="W322" i="89"/>
  <c r="AK324" i="89"/>
  <c r="R327" i="89"/>
  <c r="Q327" i="89"/>
  <c r="S327" i="89"/>
  <c r="AD333" i="89"/>
  <c r="AE333" i="89"/>
  <c r="P335" i="89"/>
  <c r="BI638" i="89" s="1"/>
  <c r="S335" i="89"/>
  <c r="R335" i="89"/>
  <c r="Q335" i="89"/>
  <c r="AE337" i="89"/>
  <c r="AD337" i="89"/>
  <c r="R339" i="89"/>
  <c r="Q339" i="89"/>
  <c r="P339" i="89"/>
  <c r="S339" i="89"/>
  <c r="AK340" i="89"/>
  <c r="AE341" i="89"/>
  <c r="AD341" i="89"/>
  <c r="R343" i="89"/>
  <c r="Q343" i="89"/>
  <c r="P343" i="89"/>
  <c r="BI646" i="89" s="1"/>
  <c r="S343" i="89"/>
  <c r="X49" i="89"/>
  <c r="AK52" i="89"/>
  <c r="Y66" i="89"/>
  <c r="X70" i="89"/>
  <c r="AK76" i="89"/>
  <c r="W90" i="89"/>
  <c r="AD101" i="89"/>
  <c r="Y106" i="89"/>
  <c r="Y110" i="89"/>
  <c r="AK124" i="89"/>
  <c r="X126" i="89"/>
  <c r="Y150" i="89"/>
  <c r="S155" i="89"/>
  <c r="AK156" i="89"/>
  <c r="R163" i="89"/>
  <c r="Q179" i="89"/>
  <c r="S203" i="89"/>
  <c r="S231" i="89"/>
  <c r="W274" i="89"/>
  <c r="X274" i="89" s="1"/>
  <c r="Q299" i="89"/>
  <c r="Y49" i="89"/>
  <c r="Y54" i="89"/>
  <c r="Y58" i="89"/>
  <c r="W62" i="89"/>
  <c r="AD65" i="89"/>
  <c r="AD69" i="89"/>
  <c r="Y70" i="89"/>
  <c r="Y74" i="89"/>
  <c r="Y78" i="89"/>
  <c r="Y82" i="89"/>
  <c r="X86" i="89"/>
  <c r="X90" i="89"/>
  <c r="X94" i="89"/>
  <c r="AE97" i="89"/>
  <c r="W98" i="89"/>
  <c r="W102" i="89"/>
  <c r="AD105" i="89"/>
  <c r="AK112" i="89"/>
  <c r="W114" i="89"/>
  <c r="X118" i="89"/>
  <c r="X122" i="89"/>
  <c r="AD129" i="89"/>
  <c r="AD133" i="89"/>
  <c r="AD137" i="89"/>
  <c r="X138" i="89"/>
  <c r="AE145" i="89"/>
  <c r="X146" i="89"/>
  <c r="AD149" i="89"/>
  <c r="W158" i="89"/>
  <c r="S159" i="89"/>
  <c r="AD161" i="89"/>
  <c r="AD173" i="89"/>
  <c r="X174" i="89"/>
  <c r="P175" i="89"/>
  <c r="BI478" i="89" s="1"/>
  <c r="AK180" i="89"/>
  <c r="P183" i="89"/>
  <c r="BI486" i="89" s="1"/>
  <c r="AD185" i="89"/>
  <c r="AE185" i="89" s="1"/>
  <c r="AK208" i="89"/>
  <c r="P235" i="89"/>
  <c r="BI538" i="89" s="1"/>
  <c r="AK244" i="89"/>
  <c r="R255" i="89"/>
  <c r="AK256" i="89"/>
  <c r="X270" i="89"/>
  <c r="R299" i="89"/>
  <c r="R303" i="89"/>
  <c r="AD309" i="89"/>
  <c r="AE309" i="89" s="1"/>
  <c r="AD117" i="89"/>
  <c r="Q163" i="89"/>
  <c r="AK164" i="89"/>
  <c r="R179" i="89"/>
  <c r="Y182" i="89"/>
  <c r="W182" i="89"/>
  <c r="Y190" i="89"/>
  <c r="AK192" i="89"/>
  <c r="X194" i="89"/>
  <c r="W198" i="89"/>
  <c r="Y202" i="89"/>
  <c r="Y206" i="89"/>
  <c r="X206" i="89"/>
  <c r="W206" i="89"/>
  <c r="R215" i="89"/>
  <c r="S215" i="89"/>
  <c r="AD217" i="89"/>
  <c r="AE217" i="89" s="1"/>
  <c r="X222" i="89"/>
  <c r="W222" i="89"/>
  <c r="BJ525" i="89" s="1"/>
  <c r="Q227" i="89"/>
  <c r="R227" i="89"/>
  <c r="P227" i="89"/>
  <c r="AD229" i="89"/>
  <c r="AE229" i="89" s="1"/>
  <c r="AK232" i="89"/>
  <c r="W234" i="89"/>
  <c r="X234" i="89" s="1"/>
  <c r="Y234" i="89" s="1"/>
  <c r="Y238" i="89"/>
  <c r="X238" i="89"/>
  <c r="W238" i="89"/>
  <c r="AK240" i="89"/>
  <c r="AD241" i="89"/>
  <c r="AE241" i="89" s="1"/>
  <c r="S243" i="89"/>
  <c r="R243" i="89"/>
  <c r="P243" i="89"/>
  <c r="BI546" i="89" s="1"/>
  <c r="AD245" i="89"/>
  <c r="W250" i="89"/>
  <c r="X250" i="89" s="1"/>
  <c r="Y250" i="89" s="1"/>
  <c r="AK252" i="89"/>
  <c r="Q259" i="89"/>
  <c r="P259" i="89"/>
  <c r="BI562" i="89" s="1"/>
  <c r="S259" i="89"/>
  <c r="R259" i="89"/>
  <c r="W266" i="89"/>
  <c r="BJ569" i="89" s="1"/>
  <c r="AK268" i="89"/>
  <c r="Q271" i="89"/>
  <c r="R271" i="89"/>
  <c r="P271" i="89"/>
  <c r="BI574" i="89" s="1"/>
  <c r="S271" i="89"/>
  <c r="AD273" i="89"/>
  <c r="Q275" i="89"/>
  <c r="S275" i="89"/>
  <c r="P275" i="89"/>
  <c r="BI578" i="89" s="1"/>
  <c r="AK276" i="89"/>
  <c r="P279" i="89"/>
  <c r="BI582" i="89" s="1"/>
  <c r="S279" i="89"/>
  <c r="R279" i="89"/>
  <c r="AE281" i="89"/>
  <c r="AD281" i="89"/>
  <c r="Q283" i="89"/>
  <c r="P283" i="89"/>
  <c r="BI586" i="89" s="1"/>
  <c r="R283" i="89"/>
  <c r="W286" i="89"/>
  <c r="X286" i="89" s="1"/>
  <c r="Y286" i="89" s="1"/>
  <c r="W298" i="89"/>
  <c r="BJ601" i="89" s="1"/>
  <c r="Y298" i="89"/>
  <c r="X298" i="89"/>
  <c r="AK300" i="89"/>
  <c r="X302" i="89"/>
  <c r="W302" i="89"/>
  <c r="Y302" i="89"/>
  <c r="R307" i="89"/>
  <c r="Q307" i="89"/>
  <c r="S307" i="89"/>
  <c r="P307" i="89"/>
  <c r="BI610" i="89" s="1"/>
  <c r="P311" i="89"/>
  <c r="BI614" i="89" s="1"/>
  <c r="S311" i="89"/>
  <c r="Q311" i="89"/>
  <c r="W318" i="89"/>
  <c r="X318" i="89" s="1"/>
  <c r="Y318" i="89" s="1"/>
  <c r="S319" i="89"/>
  <c r="R319" i="89"/>
  <c r="Q319" i="89"/>
  <c r="P319" i="89"/>
  <c r="AE321" i="89"/>
  <c r="AD321" i="89"/>
  <c r="Y326" i="89"/>
  <c r="X326" i="89"/>
  <c r="W326" i="89"/>
  <c r="AK328" i="89"/>
  <c r="AK56" i="89"/>
  <c r="X58" i="89"/>
  <c r="AK80" i="89"/>
  <c r="X82" i="89"/>
  <c r="AK84" i="89"/>
  <c r="W86" i="89"/>
  <c r="W94" i="89"/>
  <c r="AK108" i="89"/>
  <c r="AK116" i="89"/>
  <c r="W118" i="89"/>
  <c r="Y142" i="89"/>
  <c r="S191" i="89"/>
  <c r="W194" i="89"/>
  <c r="BJ497" i="89" s="1"/>
  <c r="S223" i="89"/>
  <c r="X230" i="89"/>
  <c r="AK272" i="89"/>
  <c r="AD53" i="89"/>
  <c r="W110" i="89"/>
  <c r="AE113" i="89"/>
  <c r="X114" i="89"/>
  <c r="Y118" i="89"/>
  <c r="W130" i="89"/>
  <c r="W134" i="89"/>
  <c r="Y138" i="89"/>
  <c r="Y146" i="89"/>
  <c r="AE149" i="89"/>
  <c r="Q155" i="89"/>
  <c r="AD157" i="89"/>
  <c r="AK168" i="89"/>
  <c r="R175" i="89"/>
  <c r="AD177" i="89"/>
  <c r="AE177" i="89" s="1"/>
  <c r="S183" i="89"/>
  <c r="AK188" i="89"/>
  <c r="W190" i="89"/>
  <c r="BJ493" i="89" s="1"/>
  <c r="R195" i="89"/>
  <c r="AK196" i="89"/>
  <c r="AE201" i="89"/>
  <c r="X202" i="89"/>
  <c r="AE209" i="89"/>
  <c r="P215" i="89"/>
  <c r="BI518" i="89" s="1"/>
  <c r="W226" i="89"/>
  <c r="X226" i="89" s="1"/>
  <c r="AK236" i="89"/>
  <c r="P247" i="89"/>
  <c r="BI550" i="89" s="1"/>
  <c r="S255" i="89"/>
  <c r="S267" i="89"/>
  <c r="Q279" i="89"/>
  <c r="W154" i="89"/>
  <c r="AD343" i="89"/>
  <c r="AE343" i="89" s="1"/>
  <c r="W343" i="89"/>
  <c r="BH352" i="89"/>
  <c r="AD345" i="89"/>
  <c r="P55" i="89"/>
  <c r="BI358" i="89" s="1"/>
  <c r="P63" i="89"/>
  <c r="BI366" i="89" s="1"/>
  <c r="P71" i="89"/>
  <c r="BI374" i="89" s="1"/>
  <c r="P75" i="89"/>
  <c r="BI378" i="89" s="1"/>
  <c r="P79" i="89"/>
  <c r="BI382" i="89" s="1"/>
  <c r="P87" i="89"/>
  <c r="BI390" i="89" s="1"/>
  <c r="P95" i="89"/>
  <c r="BI398" i="89" s="1"/>
  <c r="P107" i="89"/>
  <c r="BI410" i="89" s="1"/>
  <c r="P111" i="89"/>
  <c r="BI414" i="89" s="1"/>
  <c r="P123" i="89"/>
  <c r="BI426" i="89" s="1"/>
  <c r="P127" i="89"/>
  <c r="BI430" i="89" s="1"/>
  <c r="P139" i="89"/>
  <c r="BI442" i="89" s="1"/>
  <c r="P143" i="89"/>
  <c r="BI446" i="89" s="1"/>
  <c r="P151" i="89"/>
  <c r="BI454" i="89" s="1"/>
  <c r="N50" i="88"/>
  <c r="N58" i="88"/>
  <c r="O58" i="88" s="1"/>
  <c r="BH361" i="88" s="1"/>
  <c r="N66" i="88"/>
  <c r="N74" i="88"/>
  <c r="O74" i="88" s="1"/>
  <c r="BH377" i="88" s="1"/>
  <c r="N82" i="88"/>
  <c r="N90" i="88"/>
  <c r="O90" i="88" s="1"/>
  <c r="BH393" i="88" s="1"/>
  <c r="N98" i="88"/>
  <c r="N106" i="88"/>
  <c r="N114" i="88"/>
  <c r="O114" i="88" s="1"/>
  <c r="BH417" i="88" s="1"/>
  <c r="N122" i="88"/>
  <c r="O122" i="88" s="1"/>
  <c r="BH425" i="88" s="1"/>
  <c r="N130" i="88"/>
  <c r="O130" i="88" s="1"/>
  <c r="BH433" i="88" s="1"/>
  <c r="N138" i="88"/>
  <c r="N146" i="88"/>
  <c r="O146" i="88" s="1"/>
  <c r="BH449" i="88" s="1"/>
  <c r="AC162" i="88"/>
  <c r="AC166" i="88"/>
  <c r="AI188" i="88"/>
  <c r="BJ491" i="88" s="1"/>
  <c r="AI192" i="88"/>
  <c r="AI200" i="88"/>
  <c r="AI204" i="88"/>
  <c r="AC206" i="88"/>
  <c r="AI208" i="88"/>
  <c r="AC218" i="88"/>
  <c r="AC222" i="88"/>
  <c r="AC226" i="88"/>
  <c r="BJ529" i="88" s="1"/>
  <c r="AC234" i="88"/>
  <c r="AC238" i="88"/>
  <c r="AC242" i="88"/>
  <c r="AC250" i="88"/>
  <c r="AC254" i="88"/>
  <c r="AC274" i="88"/>
  <c r="AC282" i="88"/>
  <c r="AC290" i="88"/>
  <c r="AC306" i="88"/>
  <c r="AC318" i="88"/>
  <c r="BJ621" i="88" s="1"/>
  <c r="AC330" i="88"/>
  <c r="BI641" i="88"/>
  <c r="N45" i="88"/>
  <c r="N49" i="88"/>
  <c r="BG352" i="88" s="1"/>
  <c r="N53" i="88"/>
  <c r="BG356" i="88" s="1"/>
  <c r="N57" i="88"/>
  <c r="BG360" i="88" s="1"/>
  <c r="N61" i="88"/>
  <c r="BG364" i="88" s="1"/>
  <c r="N65" i="88"/>
  <c r="BG368" i="88" s="1"/>
  <c r="N69" i="88"/>
  <c r="BG372" i="88" s="1"/>
  <c r="N73" i="88"/>
  <c r="BG376" i="88" s="1"/>
  <c r="N77" i="88"/>
  <c r="BG380" i="88" s="1"/>
  <c r="N81" i="88"/>
  <c r="BG384" i="88" s="1"/>
  <c r="N85" i="88"/>
  <c r="BG388" i="88" s="1"/>
  <c r="N89" i="88"/>
  <c r="BG392" i="88" s="1"/>
  <c r="N93" i="88"/>
  <c r="BG396" i="88" s="1"/>
  <c r="N97" i="88"/>
  <c r="BG400" i="88" s="1"/>
  <c r="N101" i="88"/>
  <c r="BG404" i="88" s="1"/>
  <c r="N105" i="88"/>
  <c r="BG408" i="88" s="1"/>
  <c r="N109" i="88"/>
  <c r="BG412" i="88" s="1"/>
  <c r="N113" i="88"/>
  <c r="BG416" i="88" s="1"/>
  <c r="N117" i="88"/>
  <c r="BG420" i="88" s="1"/>
  <c r="N121" i="88"/>
  <c r="BG424" i="88" s="1"/>
  <c r="N125" i="88"/>
  <c r="BG428" i="88" s="1"/>
  <c r="N129" i="88"/>
  <c r="BG432" i="88" s="1"/>
  <c r="N133" i="88"/>
  <c r="BG436" i="88" s="1"/>
  <c r="N137" i="88"/>
  <c r="BG440" i="88" s="1"/>
  <c r="N141" i="88"/>
  <c r="BG444" i="88" s="1"/>
  <c r="N145" i="88"/>
  <c r="BG448" i="88" s="1"/>
  <c r="U149" i="88"/>
  <c r="BH452" i="88" s="1"/>
  <c r="U153" i="88"/>
  <c r="BH456" i="88" s="1"/>
  <c r="AC154" i="88"/>
  <c r="U162" i="88"/>
  <c r="BH465" i="88" s="1"/>
  <c r="U166" i="88"/>
  <c r="BH469" i="88" s="1"/>
  <c r="AC167" i="88"/>
  <c r="AC175" i="88"/>
  <c r="U182" i="88"/>
  <c r="BH485" i="88" s="1"/>
  <c r="AC183" i="88"/>
  <c r="AC203" i="88"/>
  <c r="U206" i="88"/>
  <c r="BH509" i="88" s="1"/>
  <c r="AC215" i="88"/>
  <c r="AC227" i="88"/>
  <c r="AC231" i="88"/>
  <c r="U238" i="88"/>
  <c r="BH541" i="88" s="1"/>
  <c r="AC239" i="88"/>
  <c r="U242" i="88"/>
  <c r="BH545" i="88" s="1"/>
  <c r="BI554" i="88"/>
  <c r="U254" i="88"/>
  <c r="BH557" i="88" s="1"/>
  <c r="AC255" i="88"/>
  <c r="U258" i="88"/>
  <c r="BH561" i="88" s="1"/>
  <c r="U274" i="88"/>
  <c r="BH577" i="88" s="1"/>
  <c r="U286" i="88"/>
  <c r="BH589" i="88" s="1"/>
  <c r="U290" i="88"/>
  <c r="AC299" i="88"/>
  <c r="U302" i="88"/>
  <c r="U306" i="88"/>
  <c r="BH609" i="88" s="1"/>
  <c r="AC307" i="88"/>
  <c r="AC311" i="88"/>
  <c r="BJ614" i="88" s="1"/>
  <c r="AC323" i="88"/>
  <c r="U326" i="88"/>
  <c r="BH629" i="88" s="1"/>
  <c r="U330" i="88"/>
  <c r="BH633" i="88" s="1"/>
  <c r="BI483" i="88"/>
  <c r="AC184" i="88"/>
  <c r="BJ487" i="88" s="1"/>
  <c r="AC192" i="88"/>
  <c r="BI499" i="88"/>
  <c r="BI511" i="88"/>
  <c r="AC216" i="88"/>
  <c r="AC228" i="88"/>
  <c r="AC240" i="88"/>
  <c r="AC252" i="88"/>
  <c r="AC256" i="88"/>
  <c r="AC268" i="88"/>
  <c r="AC288" i="88"/>
  <c r="AC300" i="88"/>
  <c r="AC308" i="88"/>
  <c r="AC316" i="88"/>
  <c r="AC320" i="88"/>
  <c r="AC340" i="88"/>
  <c r="BJ643" i="88" s="1"/>
  <c r="N47" i="88"/>
  <c r="BG350" i="88" s="1"/>
  <c r="N51" i="88"/>
  <c r="BG354" i="88" s="1"/>
  <c r="N55" i="88"/>
  <c r="BG358" i="88" s="1"/>
  <c r="N59" i="88"/>
  <c r="BG362" i="88" s="1"/>
  <c r="N63" i="88"/>
  <c r="BG366" i="88" s="1"/>
  <c r="N67" i="88"/>
  <c r="BG370" i="88" s="1"/>
  <c r="N71" i="88"/>
  <c r="BG374" i="88" s="1"/>
  <c r="N75" i="88"/>
  <c r="BG378" i="88" s="1"/>
  <c r="N79" i="88"/>
  <c r="BG382" i="88" s="1"/>
  <c r="N83" i="88"/>
  <c r="BG386" i="88" s="1"/>
  <c r="N87" i="88"/>
  <c r="BG390" i="88" s="1"/>
  <c r="N91" i="88"/>
  <c r="BG394" i="88" s="1"/>
  <c r="N95" i="88"/>
  <c r="BG398" i="88" s="1"/>
  <c r="N99" i="88"/>
  <c r="BG402" i="88" s="1"/>
  <c r="N103" i="88"/>
  <c r="BG406" i="88" s="1"/>
  <c r="N107" i="88"/>
  <c r="BG410" i="88" s="1"/>
  <c r="N111" i="88"/>
  <c r="BG414" i="88" s="1"/>
  <c r="N115" i="88"/>
  <c r="BG418" i="88" s="1"/>
  <c r="N119" i="88"/>
  <c r="BG422" i="88" s="1"/>
  <c r="N123" i="88"/>
  <c r="BG426" i="88" s="1"/>
  <c r="N127" i="88"/>
  <c r="BG430" i="88" s="1"/>
  <c r="N131" i="88"/>
  <c r="BG434" i="88" s="1"/>
  <c r="N135" i="88"/>
  <c r="BG438" i="88" s="1"/>
  <c r="N139" i="88"/>
  <c r="BG442" i="88" s="1"/>
  <c r="N143" i="88"/>
  <c r="BG446" i="88" s="1"/>
  <c r="N147" i="88"/>
  <c r="BG450" i="88" s="1"/>
  <c r="U151" i="88"/>
  <c r="BH454" i="88" s="1"/>
  <c r="BH1118" i="88" s="1"/>
  <c r="AC152" i="88"/>
  <c r="BJ455" i="88" s="1"/>
  <c r="U155" i="88"/>
  <c r="BH458" i="88" s="1"/>
  <c r="AC156" i="88"/>
  <c r="BJ459" i="88" s="1"/>
  <c r="U159" i="88"/>
  <c r="BH462" i="88" s="1"/>
  <c r="U164" i="88"/>
  <c r="BH467" i="88" s="1"/>
  <c r="AI167" i="88"/>
  <c r="U172" i="88"/>
  <c r="BH475" i="88" s="1"/>
  <c r="AI191" i="88"/>
  <c r="BJ494" i="88" s="1"/>
  <c r="U192" i="88"/>
  <c r="AI199" i="88"/>
  <c r="BJ502" i="88" s="1"/>
  <c r="AI207" i="88"/>
  <c r="AC209" i="88"/>
  <c r="BJ512" i="88" s="1"/>
  <c r="U216" i="88"/>
  <c r="BH519" i="88" s="1"/>
  <c r="AC217" i="88"/>
  <c r="AC221" i="88"/>
  <c r="U224" i="88"/>
  <c r="BH527" i="88" s="1"/>
  <c r="AI227" i="88"/>
  <c r="U232" i="88"/>
  <c r="BH535" i="88" s="1"/>
  <c r="AC233" i="88"/>
  <c r="AI235" i="88"/>
  <c r="AI239" i="88"/>
  <c r="U240" i="88"/>
  <c r="BH543" i="88" s="1"/>
  <c r="AC241" i="88"/>
  <c r="AI243" i="88"/>
  <c r="BJ546" i="88" s="1"/>
  <c r="U248" i="88"/>
  <c r="BH551" i="88" s="1"/>
  <c r="U252" i="88"/>
  <c r="BH555" i="88" s="1"/>
  <c r="U256" i="88"/>
  <c r="BH559" i="88" s="1"/>
  <c r="AI259" i="88"/>
  <c r="AC261" i="88"/>
  <c r="U264" i="88"/>
  <c r="BH567" i="88" s="1"/>
  <c r="U272" i="88"/>
  <c r="BH575" i="88" s="1"/>
  <c r="U276" i="88"/>
  <c r="BH579" i="88" s="1"/>
  <c r="AI279" i="88"/>
  <c r="AC281" i="88"/>
  <c r="U284" i="88"/>
  <c r="BH587" i="88" s="1"/>
  <c r="U288" i="88"/>
  <c r="BH591" i="88" s="1"/>
  <c r="AC289" i="88"/>
  <c r="AI295" i="88"/>
  <c r="AC297" i="88"/>
  <c r="U300" i="88"/>
  <c r="BH603" i="88" s="1"/>
  <c r="AI307" i="88"/>
  <c r="U308" i="88"/>
  <c r="BH611" i="88" s="1"/>
  <c r="AC309" i="88"/>
  <c r="BJ612" i="88" s="1"/>
  <c r="AI315" i="88"/>
  <c r="U320" i="88"/>
  <c r="BH623" i="88" s="1"/>
  <c r="U328" i="88"/>
  <c r="BH631" i="88" s="1"/>
  <c r="U332" i="88"/>
  <c r="BH635" i="88" s="1"/>
  <c r="U336" i="88"/>
  <c r="BH639" i="88" s="1"/>
  <c r="AC341" i="88"/>
  <c r="BJ644" i="88" s="1"/>
  <c r="BF348" i="88"/>
  <c r="P147" i="89"/>
  <c r="BI450" i="89" s="1"/>
  <c r="P153" i="89"/>
  <c r="BI456" i="89" s="1"/>
  <c r="P93" i="89"/>
  <c r="BI396" i="89" s="1"/>
  <c r="P109" i="89"/>
  <c r="BI412" i="89" s="1"/>
  <c r="P115" i="89"/>
  <c r="BI418" i="89" s="1"/>
  <c r="P141" i="89"/>
  <c r="BI444" i="89" s="1"/>
  <c r="P57" i="89"/>
  <c r="BI360" i="89" s="1"/>
  <c r="P101" i="89"/>
  <c r="BI404" i="89" s="1"/>
  <c r="AK346" i="89"/>
  <c r="AD342" i="89"/>
  <c r="AE342" i="89" s="1"/>
  <c r="AD338" i="89"/>
  <c r="AE338" i="89" s="1"/>
  <c r="W334" i="89"/>
  <c r="AD334" i="89"/>
  <c r="AE334" i="89" s="1"/>
  <c r="W330" i="89"/>
  <c r="AD322" i="89"/>
  <c r="AE322" i="89" s="1"/>
  <c r="AD310" i="89"/>
  <c r="AE310" i="89" s="1"/>
  <c r="W310" i="89"/>
  <c r="AK310" i="89"/>
  <c r="W306" i="89"/>
  <c r="X306" i="89" s="1"/>
  <c r="Y306" i="89" s="1"/>
  <c r="AD294" i="89"/>
  <c r="AE294" i="89" s="1"/>
  <c r="W294" i="89"/>
  <c r="AK294" i="89"/>
  <c r="W290" i="89"/>
  <c r="BJ593" i="89" s="1"/>
  <c r="AD286" i="89"/>
  <c r="AE286" i="89" s="1"/>
  <c r="AD278" i="89"/>
  <c r="AE278" i="89" s="1"/>
  <c r="W278" i="89"/>
  <c r="AK274" i="89"/>
  <c r="AD274" i="89"/>
  <c r="AE274" i="89" s="1"/>
  <c r="AK270" i="89"/>
  <c r="W262" i="89"/>
  <c r="AD258" i="89"/>
  <c r="AE258" i="89" s="1"/>
  <c r="AD254" i="89"/>
  <c r="AE254" i="89" s="1"/>
  <c r="AD250" i="89"/>
  <c r="AE250" i="89" s="1"/>
  <c r="AD246" i="89"/>
  <c r="AE246" i="89" s="1"/>
  <c r="AK242" i="89"/>
  <c r="W242" i="89"/>
  <c r="AD242" i="89"/>
  <c r="AE242" i="89" s="1"/>
  <c r="AK238" i="89"/>
  <c r="AD230" i="89"/>
  <c r="AE230" i="89" s="1"/>
  <c r="AK222" i="89"/>
  <c r="AD222" i="89"/>
  <c r="AE222" i="89" s="1"/>
  <c r="AK214" i="89"/>
  <c r="AD210" i="89"/>
  <c r="AK190" i="89"/>
  <c r="W186" i="89"/>
  <c r="AK174" i="89"/>
  <c r="AK170" i="89"/>
  <c r="W170" i="89"/>
  <c r="AD170" i="89"/>
  <c r="AE170" i="89" s="1"/>
  <c r="AD166" i="89"/>
  <c r="AE166" i="89" s="1"/>
  <c r="W166" i="89"/>
  <c r="AK162" i="89"/>
  <c r="P77" i="89"/>
  <c r="BI380" i="89" s="1"/>
  <c r="AD238" i="89"/>
  <c r="AE238" i="89" s="1"/>
  <c r="P61" i="89"/>
  <c r="BI364" i="89" s="1"/>
  <c r="P69" i="89"/>
  <c r="BI372" i="89" s="1"/>
  <c r="P83" i="89"/>
  <c r="BI386" i="89" s="1"/>
  <c r="P91" i="89"/>
  <c r="BI394" i="89" s="1"/>
  <c r="P99" i="89"/>
  <c r="BI402" i="89" s="1"/>
  <c r="P113" i="89"/>
  <c r="BI416" i="89" s="1"/>
  <c r="P121" i="89"/>
  <c r="BI424" i="89" s="1"/>
  <c r="AD226" i="89"/>
  <c r="AE226" i="89" s="1"/>
  <c r="W258" i="89"/>
  <c r="P67" i="89"/>
  <c r="BI370" i="89" s="1"/>
  <c r="P89" i="89"/>
  <c r="BI392" i="89" s="1"/>
  <c r="P125" i="89"/>
  <c r="BI428" i="89" s="1"/>
  <c r="P131" i="89"/>
  <c r="BI434" i="89" s="1"/>
  <c r="P137" i="89"/>
  <c r="BI440" i="89" s="1"/>
  <c r="AK178" i="89"/>
  <c r="W210" i="89"/>
  <c r="X210" i="89" s="1"/>
  <c r="Y210" i="89" s="1"/>
  <c r="AK282" i="89"/>
  <c r="P132" i="89"/>
  <c r="BI435" i="89" s="1"/>
  <c r="P56" i="89"/>
  <c r="BI359" i="89" s="1"/>
  <c r="P72" i="89"/>
  <c r="BI375" i="89" s="1"/>
  <c r="P88" i="89"/>
  <c r="BI391" i="89" s="1"/>
  <c r="P104" i="89"/>
  <c r="BI407" i="89" s="1"/>
  <c r="P120" i="89"/>
  <c r="BI423" i="89" s="1"/>
  <c r="P136" i="89"/>
  <c r="BI439" i="89" s="1"/>
  <c r="P152" i="89"/>
  <c r="BI455" i="89" s="1"/>
  <c r="P148" i="89"/>
  <c r="BI451" i="89" s="1"/>
  <c r="P60" i="89"/>
  <c r="BI363" i="89" s="1"/>
  <c r="P76" i="89"/>
  <c r="BI379" i="89" s="1"/>
  <c r="P92" i="89"/>
  <c r="BI395" i="89" s="1"/>
  <c r="P108" i="89"/>
  <c r="BI411" i="89" s="1"/>
  <c r="P124" i="89"/>
  <c r="BI427" i="89" s="1"/>
  <c r="P140" i="89"/>
  <c r="BI443" i="89" s="1"/>
  <c r="P52" i="89"/>
  <c r="BI355" i="89" s="1"/>
  <c r="P68" i="89"/>
  <c r="BI371" i="89" s="1"/>
  <c r="P84" i="89"/>
  <c r="BI387" i="89" s="1"/>
  <c r="P100" i="89"/>
  <c r="BI403" i="89" s="1"/>
  <c r="P116" i="89"/>
  <c r="BI419" i="89" s="1"/>
  <c r="P64" i="89"/>
  <c r="BI367" i="89" s="1"/>
  <c r="P80" i="89"/>
  <c r="BI383" i="89" s="1"/>
  <c r="P96" i="89"/>
  <c r="BI399" i="89" s="1"/>
  <c r="P112" i="89"/>
  <c r="BI415" i="89" s="1"/>
  <c r="P128" i="89"/>
  <c r="BI431" i="89" s="1"/>
  <c r="P144" i="89"/>
  <c r="BI447" i="89" s="1"/>
  <c r="P49" i="89"/>
  <c r="P54" i="89"/>
  <c r="BI357" i="89" s="1"/>
  <c r="P58" i="89"/>
  <c r="BI361" i="89" s="1"/>
  <c r="P62" i="89"/>
  <c r="BI365" i="89" s="1"/>
  <c r="P66" i="89"/>
  <c r="BI369" i="89" s="1"/>
  <c r="P70" i="89"/>
  <c r="BI373" i="89" s="1"/>
  <c r="P74" i="89"/>
  <c r="BI377" i="89" s="1"/>
  <c r="P78" i="89"/>
  <c r="BI381" i="89" s="1"/>
  <c r="P82" i="89"/>
  <c r="BI385" i="89" s="1"/>
  <c r="P86" i="89"/>
  <c r="BI389" i="89" s="1"/>
  <c r="P90" i="89"/>
  <c r="BI393" i="89" s="1"/>
  <c r="P94" i="89"/>
  <c r="BI397" i="89" s="1"/>
  <c r="P98" i="89"/>
  <c r="BI401" i="89" s="1"/>
  <c r="P102" i="89"/>
  <c r="BI405" i="89" s="1"/>
  <c r="P106" i="89"/>
  <c r="BI409" i="89" s="1"/>
  <c r="P110" i="89"/>
  <c r="BI413" i="89" s="1"/>
  <c r="P114" i="89"/>
  <c r="BI417" i="89" s="1"/>
  <c r="P118" i="89"/>
  <c r="BI421" i="89" s="1"/>
  <c r="P122" i="89"/>
  <c r="BI425" i="89" s="1"/>
  <c r="P126" i="89"/>
  <c r="BI429" i="89" s="1"/>
  <c r="P130" i="89"/>
  <c r="BI433" i="89" s="1"/>
  <c r="P134" i="89"/>
  <c r="BI437" i="89" s="1"/>
  <c r="P138" i="89"/>
  <c r="BI441" i="89" s="1"/>
  <c r="P142" i="89"/>
  <c r="BI445" i="89" s="1"/>
  <c r="P146" i="89"/>
  <c r="BI449" i="89" s="1"/>
  <c r="P150" i="89"/>
  <c r="BI453" i="89" s="1"/>
  <c r="D121" i="87"/>
  <c r="D122" i="87" s="1"/>
  <c r="D123" i="87" s="1"/>
  <c r="D124" i="87" s="1"/>
  <c r="D125" i="87" s="1"/>
  <c r="D126" i="87" s="1"/>
  <c r="D127" i="87" s="1"/>
  <c r="D128" i="87" s="1"/>
  <c r="D129" i="87" s="1"/>
  <c r="D130" i="87" s="1"/>
  <c r="D131" i="87" s="1"/>
  <c r="D132" i="87" s="1"/>
  <c r="D133" i="87" s="1"/>
  <c r="D134" i="87" s="1"/>
  <c r="D101" i="87"/>
  <c r="D102" i="87" s="1"/>
  <c r="N76" i="87"/>
  <c r="M76" i="87"/>
  <c r="L76" i="87"/>
  <c r="K76" i="87"/>
  <c r="J76" i="87"/>
  <c r="N75" i="87"/>
  <c r="M75" i="87"/>
  <c r="L75" i="87"/>
  <c r="K75" i="87"/>
  <c r="J75" i="87"/>
  <c r="N74" i="87"/>
  <c r="M74" i="87"/>
  <c r="L74" i="87"/>
  <c r="K74" i="87"/>
  <c r="J74" i="87"/>
  <c r="N73" i="87"/>
  <c r="M73" i="87"/>
  <c r="L73" i="87"/>
  <c r="K73" i="87"/>
  <c r="J73" i="87"/>
  <c r="N72" i="87"/>
  <c r="M72" i="87"/>
  <c r="K72" i="87"/>
  <c r="N10" i="87"/>
  <c r="M10" i="87"/>
  <c r="L10" i="87"/>
  <c r="K10" i="87"/>
  <c r="J10" i="87"/>
  <c r="N9" i="87"/>
  <c r="M9" i="87"/>
  <c r="L9" i="87"/>
  <c r="K9" i="87"/>
  <c r="J9" i="87"/>
  <c r="F5" i="87"/>
  <c r="BK601" i="89" l="1"/>
  <c r="BJ484" i="89"/>
  <c r="BJ574" i="89"/>
  <c r="BJ582" i="89"/>
  <c r="BL478" i="89"/>
  <c r="BK582" i="89"/>
  <c r="BK929" i="89" s="1"/>
  <c r="BH998" i="89"/>
  <c r="BJ486" i="88"/>
  <c r="BJ833" i="88" s="1"/>
  <c r="BJ578" i="89"/>
  <c r="BJ1242" i="89" s="1"/>
  <c r="BK634" i="89"/>
  <c r="BK981" i="89" s="1"/>
  <c r="BK506" i="89"/>
  <c r="BK853" i="89" s="1"/>
  <c r="BJ462" i="89"/>
  <c r="BJ571" i="89"/>
  <c r="BJ918" i="89" s="1"/>
  <c r="BJ603" i="89"/>
  <c r="BJ950" i="89" s="1"/>
  <c r="V237" i="88"/>
  <c r="BJ597" i="88"/>
  <c r="BJ944" i="88" s="1"/>
  <c r="BL549" i="89"/>
  <c r="BL1213" i="89" s="1"/>
  <c r="BL645" i="89"/>
  <c r="BL992" i="89" s="1"/>
  <c r="BJ550" i="89"/>
  <c r="BJ897" i="89" s="1"/>
  <c r="BJ466" i="89"/>
  <c r="BJ813" i="89" s="1"/>
  <c r="BK518" i="89"/>
  <c r="BK1182" i="89" s="1"/>
  <c r="BK618" i="89"/>
  <c r="BK965" i="89" s="1"/>
  <c r="BJ598" i="89"/>
  <c r="BJ1262" i="89" s="1"/>
  <c r="BJ566" i="89"/>
  <c r="BJ913" i="89" s="1"/>
  <c r="BJ626" i="89"/>
  <c r="BJ973" i="89" s="1"/>
  <c r="BL494" i="89"/>
  <c r="BL1158" i="89" s="1"/>
  <c r="BH653" i="89"/>
  <c r="BJ589" i="89"/>
  <c r="BJ1253" i="89" s="1"/>
  <c r="BJ557" i="89"/>
  <c r="BJ1221" i="89" s="1"/>
  <c r="BJ555" i="89"/>
  <c r="BJ902" i="89" s="1"/>
  <c r="BK599" i="89"/>
  <c r="BK946" i="89" s="1"/>
  <c r="BJ591" i="89"/>
  <c r="BJ938" i="89" s="1"/>
  <c r="BJ595" i="89"/>
  <c r="BJ1259" i="89" s="1"/>
  <c r="BL591" i="89"/>
  <c r="BL1255" i="89" s="1"/>
  <c r="BJ551" i="89"/>
  <c r="BJ898" i="89" s="1"/>
  <c r="BJ628" i="89"/>
  <c r="BJ975" i="89" s="1"/>
  <c r="BJ556" i="89"/>
  <c r="BJ903" i="89" s="1"/>
  <c r="BL574" i="89"/>
  <c r="BL921" i="89" s="1"/>
  <c r="BK590" i="89"/>
  <c r="BK937" i="89" s="1"/>
  <c r="BK566" i="89"/>
  <c r="BK1230" i="89" s="1"/>
  <c r="BJ617" i="89"/>
  <c r="BJ964" i="89" s="1"/>
  <c r="BK589" i="89"/>
  <c r="BK1253" i="89" s="1"/>
  <c r="BJ577" i="89"/>
  <c r="BJ1241" i="89" s="1"/>
  <c r="BJ549" i="89"/>
  <c r="BJ1213" i="89" s="1"/>
  <c r="BJ501" i="89"/>
  <c r="BJ1165" i="89" s="1"/>
  <c r="BL603" i="89"/>
  <c r="BL950" i="89" s="1"/>
  <c r="BK630" i="89"/>
  <c r="BK977" i="89" s="1"/>
  <c r="BJ558" i="89"/>
  <c r="BJ905" i="89" s="1"/>
  <c r="BK617" i="89"/>
  <c r="BK964" i="89" s="1"/>
  <c r="BK573" i="89"/>
  <c r="BK1237" i="89" s="1"/>
  <c r="BJ624" i="89"/>
  <c r="BJ1288" i="89" s="1"/>
  <c r="BK636" i="89"/>
  <c r="BK1300" i="89" s="1"/>
  <c r="BK571" i="89"/>
  <c r="BK1235" i="89" s="1"/>
  <c r="BK558" i="89"/>
  <c r="BK905" i="89" s="1"/>
  <c r="Y157" i="89"/>
  <c r="BJ519" i="89"/>
  <c r="BJ866" i="89" s="1"/>
  <c r="BL620" i="89"/>
  <c r="BL967" i="89" s="1"/>
  <c r="BJ463" i="89"/>
  <c r="BJ810" i="89" s="1"/>
  <c r="BK625" i="89"/>
  <c r="BK1289" i="89" s="1"/>
  <c r="BL601" i="89"/>
  <c r="BL948" i="89" s="1"/>
  <c r="BK557" i="89"/>
  <c r="BK904" i="89" s="1"/>
  <c r="BL466" i="89"/>
  <c r="BL1130" i="89" s="1"/>
  <c r="BJ504" i="89"/>
  <c r="BJ851" i="89" s="1"/>
  <c r="BK498" i="89"/>
  <c r="BK1162" i="89" s="1"/>
  <c r="BL589" i="89"/>
  <c r="BL1253" i="89" s="1"/>
  <c r="BJ530" i="89"/>
  <c r="BJ877" i="89" s="1"/>
  <c r="BL518" i="89"/>
  <c r="BL1182" i="89" s="1"/>
  <c r="BL462" i="89"/>
  <c r="BL1126" i="89" s="1"/>
  <c r="BJ646" i="89"/>
  <c r="BJ1310" i="89" s="1"/>
  <c r="BJ618" i="89"/>
  <c r="BJ965" i="89" s="1"/>
  <c r="BJ606" i="89"/>
  <c r="BJ953" i="89" s="1"/>
  <c r="BJ634" i="89"/>
  <c r="BJ981" i="89" s="1"/>
  <c r="BJ486" i="89"/>
  <c r="BJ1150" i="89" s="1"/>
  <c r="BJ641" i="89"/>
  <c r="BJ988" i="89" s="1"/>
  <c r="BJ637" i="89"/>
  <c r="BJ984" i="89" s="1"/>
  <c r="BJ561" i="89"/>
  <c r="BJ908" i="89" s="1"/>
  <c r="BL619" i="89"/>
  <c r="BL1283" i="89" s="1"/>
  <c r="BK555" i="89"/>
  <c r="BK902" i="89" s="1"/>
  <c r="BK494" i="89"/>
  <c r="BK841" i="89" s="1"/>
  <c r="BK635" i="89"/>
  <c r="BK1299" i="89" s="1"/>
  <c r="BJ491" i="89"/>
  <c r="BJ838" i="89" s="1"/>
  <c r="BK487" i="89"/>
  <c r="BK834" i="89" s="1"/>
  <c r="BJ648" i="89"/>
  <c r="BJ995" i="89" s="1"/>
  <c r="BJ636" i="89"/>
  <c r="BJ1300" i="89" s="1"/>
  <c r="BJ584" i="89"/>
  <c r="BJ1248" i="89" s="1"/>
  <c r="BJ536" i="89"/>
  <c r="BJ1200" i="89" s="1"/>
  <c r="BJ496" i="89"/>
  <c r="BJ1160" i="89" s="1"/>
  <c r="BJ492" i="89"/>
  <c r="BJ839" i="89" s="1"/>
  <c r="BK643" i="89"/>
  <c r="BK1307" i="89" s="1"/>
  <c r="BK564" i="89"/>
  <c r="BK911" i="89" s="1"/>
  <c r="BK577" i="89"/>
  <c r="BK924" i="89" s="1"/>
  <c r="BJ638" i="89"/>
  <c r="BJ985" i="89" s="1"/>
  <c r="BL625" i="89"/>
  <c r="BL972" i="89" s="1"/>
  <c r="BL641" i="89"/>
  <c r="BL988" i="89" s="1"/>
  <c r="BL571" i="89"/>
  <c r="BL918" i="89" s="1"/>
  <c r="BJ583" i="89"/>
  <c r="BJ1247" i="89" s="1"/>
  <c r="BK551" i="89"/>
  <c r="BK1215" i="89" s="1"/>
  <c r="BJ560" i="89"/>
  <c r="BJ907" i="89" s="1"/>
  <c r="BK505" i="89"/>
  <c r="BK1169" i="89" s="1"/>
  <c r="BK478" i="89"/>
  <c r="BK825" i="89" s="1"/>
  <c r="BK586" i="89"/>
  <c r="BK933" i="89" s="1"/>
  <c r="BL505" i="89"/>
  <c r="BL1169" i="89" s="1"/>
  <c r="BL630" i="89"/>
  <c r="BL977" i="89" s="1"/>
  <c r="BJ590" i="89"/>
  <c r="BJ1254" i="89" s="1"/>
  <c r="BJ522" i="89"/>
  <c r="BJ1186" i="89" s="1"/>
  <c r="BL551" i="89"/>
  <c r="BL1215" i="89" s="1"/>
  <c r="BJ498" i="89"/>
  <c r="BJ1162" i="89" s="1"/>
  <c r="BL484" i="89"/>
  <c r="BL1148" i="89" s="1"/>
  <c r="BK645" i="89"/>
  <c r="BK992" i="89" s="1"/>
  <c r="BK641" i="89"/>
  <c r="BK988" i="89" s="1"/>
  <c r="BL617" i="89"/>
  <c r="BL964" i="89" s="1"/>
  <c r="BK476" i="89"/>
  <c r="BK1140" i="89" s="1"/>
  <c r="BJ495" i="89"/>
  <c r="BJ1159" i="89" s="1"/>
  <c r="BJ459" i="89"/>
  <c r="BJ806" i="89" s="1"/>
  <c r="BJ599" i="89"/>
  <c r="BJ1263" i="89" s="1"/>
  <c r="BK649" i="89"/>
  <c r="BK996" i="89" s="1"/>
  <c r="BJ647" i="89"/>
  <c r="BJ994" i="89" s="1"/>
  <c r="BJ643" i="89"/>
  <c r="BJ990" i="89" s="1"/>
  <c r="BK639" i="89"/>
  <c r="BK1303" i="89" s="1"/>
  <c r="BL598" i="89"/>
  <c r="BL1262" i="89" s="1"/>
  <c r="BJ559" i="89"/>
  <c r="BJ1223" i="89" s="1"/>
  <c r="BL555" i="89"/>
  <c r="BL902" i="89" s="1"/>
  <c r="BK591" i="89"/>
  <c r="BK1255" i="89" s="1"/>
  <c r="BL498" i="89"/>
  <c r="BL845" i="89" s="1"/>
  <c r="BK491" i="89"/>
  <c r="BK1155" i="89" s="1"/>
  <c r="BJ608" i="89"/>
  <c r="BJ955" i="89" s="1"/>
  <c r="BK596" i="89"/>
  <c r="BK943" i="89" s="1"/>
  <c r="BJ612" i="89"/>
  <c r="BJ1276" i="89" s="1"/>
  <c r="BJ564" i="89"/>
  <c r="BJ911" i="89" s="1"/>
  <c r="BL556" i="89"/>
  <c r="BL903" i="89" s="1"/>
  <c r="BJ552" i="89"/>
  <c r="BJ899" i="89" s="1"/>
  <c r="BK496" i="89"/>
  <c r="BK1160" i="89" s="1"/>
  <c r="BJ481" i="89"/>
  <c r="BJ1145" i="89" s="1"/>
  <c r="BL553" i="89"/>
  <c r="BL900" i="89" s="1"/>
  <c r="BL649" i="89"/>
  <c r="BL996" i="89" s="1"/>
  <c r="BK553" i="89"/>
  <c r="BK1217" i="89" s="1"/>
  <c r="BL635" i="89"/>
  <c r="BL982" i="89" s="1"/>
  <c r="BJ615" i="89"/>
  <c r="BJ962" i="89" s="1"/>
  <c r="BK648" i="89"/>
  <c r="BK995" i="89" s="1"/>
  <c r="BK468" i="89"/>
  <c r="BK815" i="89" s="1"/>
  <c r="BK488" i="89"/>
  <c r="BK1152" i="89" s="1"/>
  <c r="BL468" i="89"/>
  <c r="BL815" i="89" s="1"/>
  <c r="X169" i="89"/>
  <c r="Y169" i="89" s="1"/>
  <c r="BL472" i="89" s="1"/>
  <c r="BJ472" i="89"/>
  <c r="BJ1136" i="89" s="1"/>
  <c r="BL610" i="89"/>
  <c r="BL957" i="89" s="1"/>
  <c r="BK525" i="89"/>
  <c r="BK872" i="89" s="1"/>
  <c r="BL481" i="89"/>
  <c r="BL828" i="89" s="1"/>
  <c r="BJ625" i="89"/>
  <c r="BJ1289" i="89" s="1"/>
  <c r="BJ565" i="89"/>
  <c r="BJ1229" i="89" s="1"/>
  <c r="BL525" i="89"/>
  <c r="BL872" i="89" s="1"/>
  <c r="BL631" i="89"/>
  <c r="BL1295" i="89" s="1"/>
  <c r="BJ627" i="89"/>
  <c r="BJ1291" i="89" s="1"/>
  <c r="BJ563" i="89"/>
  <c r="BJ910" i="89" s="1"/>
  <c r="BK615" i="89"/>
  <c r="BK962" i="89" s="1"/>
  <c r="BJ579" i="89"/>
  <c r="BJ926" i="89" s="1"/>
  <c r="BJ586" i="89"/>
  <c r="BJ933" i="89" s="1"/>
  <c r="BL578" i="89"/>
  <c r="BL925" i="89" s="1"/>
  <c r="BK598" i="89"/>
  <c r="BK1262" i="89" s="1"/>
  <c r="BK481" i="89"/>
  <c r="BK1145" i="89" s="1"/>
  <c r="BJ645" i="89"/>
  <c r="BJ1309" i="89" s="1"/>
  <c r="BJ633" i="89"/>
  <c r="BJ1297" i="89" s="1"/>
  <c r="BJ621" i="89"/>
  <c r="BJ1285" i="89" s="1"/>
  <c r="BJ613" i="89"/>
  <c r="BJ1277" i="89" s="1"/>
  <c r="BJ581" i="89"/>
  <c r="BJ928" i="89" s="1"/>
  <c r="BK549" i="89"/>
  <c r="BK896" i="89" s="1"/>
  <c r="BL493" i="89"/>
  <c r="BL840" i="89" s="1"/>
  <c r="BK579" i="89"/>
  <c r="BK1243" i="89" s="1"/>
  <c r="BJ604" i="89"/>
  <c r="BJ1268" i="89" s="1"/>
  <c r="BL621" i="89"/>
  <c r="BL1285" i="89" s="1"/>
  <c r="AE308" i="89"/>
  <c r="BL611" i="89" s="1"/>
  <c r="BL1275" i="89" s="1"/>
  <c r="BK611" i="89"/>
  <c r="BK958" i="89" s="1"/>
  <c r="BK621" i="89"/>
  <c r="BK968" i="89" s="1"/>
  <c r="BL573" i="89"/>
  <c r="BL1237" i="89" s="1"/>
  <c r="BJ553" i="89"/>
  <c r="BJ1217" i="89" s="1"/>
  <c r="BK627" i="89"/>
  <c r="BK1291" i="89" s="1"/>
  <c r="BJ639" i="89"/>
  <c r="BJ986" i="89" s="1"/>
  <c r="BL575" i="89"/>
  <c r="BL1239" i="89" s="1"/>
  <c r="BK620" i="89"/>
  <c r="BK1284" i="89" s="1"/>
  <c r="BK604" i="89"/>
  <c r="BK1268" i="89" s="1"/>
  <c r="BJ630" i="89"/>
  <c r="BJ1294" i="89" s="1"/>
  <c r="BL618" i="89"/>
  <c r="BL965" i="89" s="1"/>
  <c r="BJ538" i="89"/>
  <c r="BJ1202" i="89" s="1"/>
  <c r="BK462" i="89"/>
  <c r="BK1126" i="89" s="1"/>
  <c r="BL634" i="89"/>
  <c r="BL1298" i="89" s="1"/>
  <c r="BK626" i="89"/>
  <c r="BK973" i="89" s="1"/>
  <c r="BK594" i="89"/>
  <c r="BK1258" i="89" s="1"/>
  <c r="BL608" i="89"/>
  <c r="BL1272" i="89" s="1"/>
  <c r="BK647" i="89"/>
  <c r="BK1311" i="89" s="1"/>
  <c r="BJ623" i="89"/>
  <c r="BJ970" i="89" s="1"/>
  <c r="BJ619" i="89"/>
  <c r="BJ966" i="89" s="1"/>
  <c r="BJ607" i="89"/>
  <c r="BJ1271" i="89" s="1"/>
  <c r="BK603" i="89"/>
  <c r="BK1267" i="89" s="1"/>
  <c r="BK463" i="89"/>
  <c r="BK1127" i="89" s="1"/>
  <c r="BJ547" i="89"/>
  <c r="BJ894" i="89" s="1"/>
  <c r="BK608" i="89"/>
  <c r="BK1272" i="89" s="1"/>
  <c r="BJ568" i="89"/>
  <c r="BJ1232" i="89" s="1"/>
  <c r="BK644" i="89"/>
  <c r="BK1308" i="89" s="1"/>
  <c r="BL636" i="89"/>
  <c r="BL983" i="89" s="1"/>
  <c r="BJ616" i="89"/>
  <c r="BJ963" i="89" s="1"/>
  <c r="BK612" i="89"/>
  <c r="BK959" i="89" s="1"/>
  <c r="BK556" i="89"/>
  <c r="BK903" i="89" s="1"/>
  <c r="BK552" i="89"/>
  <c r="BK1216" i="89" s="1"/>
  <c r="BL550" i="89"/>
  <c r="BL897" i="89" s="1"/>
  <c r="BL488" i="89"/>
  <c r="BL1152" i="89" s="1"/>
  <c r="BJ614" i="89"/>
  <c r="BJ1278" i="89" s="1"/>
  <c r="BL558" i="89"/>
  <c r="BL1222" i="89" s="1"/>
  <c r="BJ610" i="89"/>
  <c r="BJ1274" i="89" s="1"/>
  <c r="BL582" i="89"/>
  <c r="BL1246" i="89" s="1"/>
  <c r="BJ562" i="89"/>
  <c r="BJ909" i="89" s="1"/>
  <c r="BK466" i="89"/>
  <c r="BK1130" i="89" s="1"/>
  <c r="BL566" i="89"/>
  <c r="BL913" i="89" s="1"/>
  <c r="BJ554" i="89"/>
  <c r="BJ1218" i="89" s="1"/>
  <c r="BL538" i="89"/>
  <c r="BL1202" i="89" s="1"/>
  <c r="BL626" i="89"/>
  <c r="BL973" i="89" s="1"/>
  <c r="BL594" i="89"/>
  <c r="BL1258" i="89" s="1"/>
  <c r="BK550" i="89"/>
  <c r="BK1214" i="89" s="1"/>
  <c r="BK485" i="89"/>
  <c r="BK832" i="89" s="1"/>
  <c r="BL639" i="89"/>
  <c r="BL986" i="89" s="1"/>
  <c r="BL599" i="89"/>
  <c r="BL1263" i="89" s="1"/>
  <c r="BL463" i="89"/>
  <c r="BL1127" i="89" s="1"/>
  <c r="BK623" i="89"/>
  <c r="BK1287" i="89" s="1"/>
  <c r="BK619" i="89"/>
  <c r="BK966" i="89" s="1"/>
  <c r="BK607" i="89"/>
  <c r="BK1271" i="89" s="1"/>
  <c r="BK587" i="89"/>
  <c r="BK934" i="89" s="1"/>
  <c r="BJ635" i="89"/>
  <c r="BJ982" i="89" s="1"/>
  <c r="BL615" i="89"/>
  <c r="BL1279" i="89" s="1"/>
  <c r="BK575" i="89"/>
  <c r="BK1239" i="89" s="1"/>
  <c r="BJ518" i="89"/>
  <c r="BJ1182" i="89" s="1"/>
  <c r="BJ620" i="89"/>
  <c r="BJ1284" i="89" s="1"/>
  <c r="BK628" i="89"/>
  <c r="BK975" i="89" s="1"/>
  <c r="BK616" i="89"/>
  <c r="BK1280" i="89" s="1"/>
  <c r="BL476" i="89"/>
  <c r="BL823" i="89" s="1"/>
  <c r="BK610" i="89"/>
  <c r="BK1274" i="89" s="1"/>
  <c r="BK574" i="89"/>
  <c r="BK921" i="89" s="1"/>
  <c r="BK562" i="89"/>
  <c r="BK1226" i="89" s="1"/>
  <c r="BK538" i="89"/>
  <c r="BK885" i="89" s="1"/>
  <c r="BJ594" i="89"/>
  <c r="BJ941" i="89" s="1"/>
  <c r="BK631" i="89"/>
  <c r="BK1295" i="89" s="1"/>
  <c r="BL607" i="89"/>
  <c r="BL954" i="89" s="1"/>
  <c r="BL587" i="89"/>
  <c r="BL1251" i="89" s="1"/>
  <c r="BJ596" i="89"/>
  <c r="BJ943" i="89" s="1"/>
  <c r="BL644" i="89"/>
  <c r="BL1308" i="89" s="1"/>
  <c r="BJ488" i="89"/>
  <c r="BJ835" i="89" s="1"/>
  <c r="BK548" i="89"/>
  <c r="BK895" i="89" s="1"/>
  <c r="BJ548" i="89"/>
  <c r="BJ1212" i="89" s="1"/>
  <c r="BK484" i="89"/>
  <c r="BK831" i="89" s="1"/>
  <c r="BJ534" i="89"/>
  <c r="BJ881" i="89" s="1"/>
  <c r="BH594" i="88"/>
  <c r="BH941" i="88" s="1"/>
  <c r="BI522" i="88"/>
  <c r="BI1186" i="88" s="1"/>
  <c r="BJ484" i="88"/>
  <c r="W262" i="88"/>
  <c r="BJ565" i="88" s="1"/>
  <c r="BJ532" i="88"/>
  <c r="BJ879" i="88" s="1"/>
  <c r="BH492" i="88"/>
  <c r="BJ458" i="89"/>
  <c r="BJ805" i="89" s="1"/>
  <c r="BL495" i="89"/>
  <c r="BL1159" i="89" s="1"/>
  <c r="BK482" i="89"/>
  <c r="BK829" i="89" s="1"/>
  <c r="BL479" i="89"/>
  <c r="BL826" i="89" s="1"/>
  <c r="BK467" i="89"/>
  <c r="BK1131" i="89" s="1"/>
  <c r="BJ483" i="89"/>
  <c r="BJ830" i="89" s="1"/>
  <c r="Y309" i="89"/>
  <c r="BL612" i="89" s="1"/>
  <c r="BK477" i="89"/>
  <c r="BK824" i="89" s="1"/>
  <c r="BL506" i="89"/>
  <c r="BL1170" i="89" s="1"/>
  <c r="BK474" i="89"/>
  <c r="BK1138" i="89" s="1"/>
  <c r="BJ507" i="89"/>
  <c r="BJ854" i="89" s="1"/>
  <c r="BK522" i="89"/>
  <c r="BK1186" i="89" s="1"/>
  <c r="BJ514" i="89"/>
  <c r="BJ1178" i="89" s="1"/>
  <c r="BJ490" i="89"/>
  <c r="BJ1154" i="89" s="1"/>
  <c r="BJ478" i="89"/>
  <c r="BJ1142" i="89" s="1"/>
  <c r="BK515" i="89"/>
  <c r="BK862" i="89" s="1"/>
  <c r="BK483" i="89"/>
  <c r="BK1147" i="89" s="1"/>
  <c r="BL487" i="89"/>
  <c r="BL1151" i="89" s="1"/>
  <c r="BJ467" i="89"/>
  <c r="BJ1131" i="89" s="1"/>
  <c r="BL500" i="89"/>
  <c r="BL847" i="89" s="1"/>
  <c r="BI736" i="89"/>
  <c r="BI1053" i="89"/>
  <c r="BI711" i="89"/>
  <c r="BI1028" i="89"/>
  <c r="BI714" i="89"/>
  <c r="BI1031" i="89"/>
  <c r="BJ465" i="89"/>
  <c r="BI804" i="89"/>
  <c r="BI1121" i="89"/>
  <c r="BI795" i="89"/>
  <c r="BI1112" i="89"/>
  <c r="BI839" i="89"/>
  <c r="BI1156" i="89"/>
  <c r="BI871" i="89"/>
  <c r="BI1188" i="89"/>
  <c r="BJ859" i="89"/>
  <c r="BJ1176" i="89"/>
  <c r="BJ464" i="89"/>
  <c r="Y193" i="89"/>
  <c r="BL496" i="89" s="1"/>
  <c r="BH732" i="89"/>
  <c r="BH1049" i="89"/>
  <c r="BH724" i="89"/>
  <c r="BH1041" i="89"/>
  <c r="BH716" i="89"/>
  <c r="BH1033" i="89"/>
  <c r="BH708" i="89"/>
  <c r="BH1025" i="89"/>
  <c r="BH808" i="89"/>
  <c r="BH1125" i="89"/>
  <c r="BH820" i="89"/>
  <c r="BH1137" i="89"/>
  <c r="BH828" i="89"/>
  <c r="BH1145" i="89"/>
  <c r="BK840" i="89"/>
  <c r="BK1157" i="89"/>
  <c r="BH848" i="89"/>
  <c r="BH1165" i="89"/>
  <c r="BI852" i="89"/>
  <c r="BI1169" i="89"/>
  <c r="BH860" i="89"/>
  <c r="BH1177" i="89"/>
  <c r="BJ872" i="89"/>
  <c r="BJ1189" i="89"/>
  <c r="BH880" i="89"/>
  <c r="BH1197" i="89"/>
  <c r="BH888" i="89"/>
  <c r="BH1205" i="89"/>
  <c r="BI896" i="89"/>
  <c r="BI1213" i="89"/>
  <c r="BI904" i="89"/>
  <c r="BI1221" i="89"/>
  <c r="BI916" i="89"/>
  <c r="BI1233" i="89"/>
  <c r="BH920" i="89"/>
  <c r="BH1237" i="89"/>
  <c r="BK920" i="89"/>
  <c r="BI924" i="89"/>
  <c r="BI1241" i="89"/>
  <c r="BI932" i="89"/>
  <c r="BI1249" i="89"/>
  <c r="BH936" i="89"/>
  <c r="BH1253" i="89"/>
  <c r="BK936" i="89"/>
  <c r="BL944" i="89"/>
  <c r="BL1261" i="89"/>
  <c r="BK944" i="89"/>
  <c r="BK1261" i="89"/>
  <c r="BI948" i="89"/>
  <c r="BI1265" i="89"/>
  <c r="BH952" i="89"/>
  <c r="BH1269" i="89"/>
  <c r="BK952" i="89"/>
  <c r="BK1269" i="89"/>
  <c r="BI956" i="89"/>
  <c r="BI1273" i="89"/>
  <c r="BI968" i="89"/>
  <c r="BI1285" i="89"/>
  <c r="BI976" i="89"/>
  <c r="BI1293" i="89"/>
  <c r="BL976" i="89"/>
  <c r="BL1293" i="89"/>
  <c r="BI984" i="89"/>
  <c r="BI1301" i="89"/>
  <c r="BI992" i="89"/>
  <c r="BI1309" i="89"/>
  <c r="BH798" i="89"/>
  <c r="BH1115" i="89"/>
  <c r="BH786" i="89"/>
  <c r="BH1103" i="89"/>
  <c r="BH770" i="89"/>
  <c r="BH1087" i="89"/>
  <c r="BH754" i="89"/>
  <c r="BH1071" i="89"/>
  <c r="BH738" i="89"/>
  <c r="BH1055" i="89"/>
  <c r="BH722" i="89"/>
  <c r="BH1039" i="89"/>
  <c r="BH842" i="89"/>
  <c r="BH1159" i="89"/>
  <c r="BH882" i="89"/>
  <c r="BH1199" i="89"/>
  <c r="BH898" i="89"/>
  <c r="BH1215" i="89"/>
  <c r="BI918" i="89"/>
  <c r="BI1235" i="89"/>
  <c r="BH926" i="89"/>
  <c r="BH1243" i="89"/>
  <c r="BI930" i="89"/>
  <c r="BI1247" i="89"/>
  <c r="BH938" i="89"/>
  <c r="BH1255" i="89"/>
  <c r="BI946" i="89"/>
  <c r="BI1263" i="89"/>
  <c r="BH950" i="89"/>
  <c r="BH1267" i="89"/>
  <c r="BJ958" i="89"/>
  <c r="BJ1275" i="89"/>
  <c r="BI958" i="89"/>
  <c r="BI1275" i="89"/>
  <c r="BH966" i="89"/>
  <c r="BH1283" i="89"/>
  <c r="BH986" i="89"/>
  <c r="BH1303" i="89"/>
  <c r="BH797" i="89"/>
  <c r="BH1114" i="89"/>
  <c r="BH781" i="89"/>
  <c r="BH1098" i="89"/>
  <c r="BH765" i="89"/>
  <c r="BH1082" i="89"/>
  <c r="BH737" i="89"/>
  <c r="BH1054" i="89"/>
  <c r="BH709" i="89"/>
  <c r="BH1026" i="89"/>
  <c r="BH807" i="89"/>
  <c r="BH1124" i="89"/>
  <c r="BI819" i="89"/>
  <c r="BI1136" i="89"/>
  <c r="BI831" i="89"/>
  <c r="BI1148" i="89"/>
  <c r="BL831" i="89"/>
  <c r="BI843" i="89"/>
  <c r="BI1160" i="89"/>
  <c r="BH859" i="89"/>
  <c r="BH1176" i="89"/>
  <c r="BH891" i="89"/>
  <c r="BH1208" i="89"/>
  <c r="BH899" i="89"/>
  <c r="BH1216" i="89"/>
  <c r="BI907" i="89"/>
  <c r="BI1224" i="89"/>
  <c r="BI911" i="89"/>
  <c r="BI1228" i="89"/>
  <c r="BI919" i="89"/>
  <c r="BI1236" i="89"/>
  <c r="BL919" i="89"/>
  <c r="BL1236" i="89"/>
  <c r="BH927" i="89"/>
  <c r="BH1244" i="89"/>
  <c r="BH939" i="89"/>
  <c r="BH1256" i="89"/>
  <c r="BK947" i="89"/>
  <c r="BK1264" i="89"/>
  <c r="BH959" i="89"/>
  <c r="BH1276" i="89"/>
  <c r="BK979" i="89"/>
  <c r="BK1296" i="89"/>
  <c r="BJ987" i="89"/>
  <c r="BJ1304" i="89"/>
  <c r="BI987" i="89"/>
  <c r="BI1304" i="89"/>
  <c r="BI767" i="89"/>
  <c r="BI1084" i="89"/>
  <c r="BH707" i="89"/>
  <c r="BH1024" i="89"/>
  <c r="BH805" i="89"/>
  <c r="BH1122" i="89"/>
  <c r="BJ1130" i="89"/>
  <c r="BH821" i="89"/>
  <c r="BH1138" i="89"/>
  <c r="BH845" i="89"/>
  <c r="BH1162" i="89"/>
  <c r="BH857" i="89"/>
  <c r="BH1174" i="89"/>
  <c r="BH865" i="89"/>
  <c r="BH1182" i="89"/>
  <c r="BH873" i="89"/>
  <c r="BH1190" i="89"/>
  <c r="BJ893" i="89"/>
  <c r="BJ1210" i="89"/>
  <c r="BJ901" i="89"/>
  <c r="BH913" i="89"/>
  <c r="BH1230" i="89"/>
  <c r="BI917" i="89"/>
  <c r="BI1234" i="89"/>
  <c r="BH921" i="89"/>
  <c r="BH1238" i="89"/>
  <c r="BK925" i="89"/>
  <c r="BK1242" i="89"/>
  <c r="BI929" i="89"/>
  <c r="BI1246" i="89"/>
  <c r="BI941" i="89"/>
  <c r="BI1258" i="89"/>
  <c r="BK949" i="89"/>
  <c r="BK1266" i="89"/>
  <c r="BJ949" i="89"/>
  <c r="BJ1266" i="89"/>
  <c r="BL969" i="89"/>
  <c r="BL1286" i="89"/>
  <c r="BL989" i="89"/>
  <c r="BL1306" i="89"/>
  <c r="BK989" i="89"/>
  <c r="BK1306" i="89"/>
  <c r="BH804" i="89"/>
  <c r="BH1121" i="89"/>
  <c r="BH790" i="89"/>
  <c r="BH1107" i="89"/>
  <c r="BH774" i="89"/>
  <c r="BH1091" i="89"/>
  <c r="BH758" i="89"/>
  <c r="BH1075" i="89"/>
  <c r="BI742" i="89"/>
  <c r="BI1059" i="89"/>
  <c r="BH726" i="89"/>
  <c r="BH1043" i="89"/>
  <c r="BH710" i="89"/>
  <c r="BH1027" i="89"/>
  <c r="BI810" i="89"/>
  <c r="BI1127" i="89"/>
  <c r="BH838" i="89"/>
  <c r="BH1155" i="89"/>
  <c r="BH854" i="89"/>
  <c r="BH1171" i="89"/>
  <c r="BI886" i="89"/>
  <c r="BI1203" i="89"/>
  <c r="BH914" i="89"/>
  <c r="BH1231" i="89"/>
  <c r="BJ922" i="89"/>
  <c r="BJ1239" i="89"/>
  <c r="BI922" i="89"/>
  <c r="BI1239" i="89"/>
  <c r="BH970" i="89"/>
  <c r="BH1287" i="89"/>
  <c r="BI982" i="89"/>
  <c r="BI1299" i="89"/>
  <c r="BH815" i="89"/>
  <c r="BH1132" i="89"/>
  <c r="BH835" i="89"/>
  <c r="BH1152" i="89"/>
  <c r="BK875" i="89"/>
  <c r="BK1192" i="89"/>
  <c r="BH923" i="89"/>
  <c r="BH1240" i="89"/>
  <c r="BJ935" i="89"/>
  <c r="BJ1252" i="89"/>
  <c r="BH943" i="89"/>
  <c r="BH1260" i="89"/>
  <c r="BK983" i="89"/>
  <c r="BI780" i="89"/>
  <c r="BI1097" i="89"/>
  <c r="BI748" i="89"/>
  <c r="BI1065" i="89"/>
  <c r="BI716" i="89"/>
  <c r="BI1033" i="89"/>
  <c r="BI746" i="89"/>
  <c r="BI1063" i="89"/>
  <c r="BI726" i="89"/>
  <c r="BI1043" i="89"/>
  <c r="BI722" i="89"/>
  <c r="BI1039" i="89"/>
  <c r="BI775" i="89"/>
  <c r="BI1092" i="89"/>
  <c r="BI803" i="89"/>
  <c r="BI1120" i="89"/>
  <c r="BI757" i="89"/>
  <c r="BI1074" i="89"/>
  <c r="BI869" i="89"/>
  <c r="BI1186" i="89"/>
  <c r="BJ857" i="89"/>
  <c r="BJ1174" i="89"/>
  <c r="BI873" i="89"/>
  <c r="BI1190" i="89"/>
  <c r="BI857" i="89"/>
  <c r="BI1174" i="89"/>
  <c r="BI809" i="89"/>
  <c r="BI1126" i="89"/>
  <c r="BJ873" i="89"/>
  <c r="BJ1190" i="89"/>
  <c r="BJ853" i="89"/>
  <c r="BJ1170" i="89"/>
  <c r="BI723" i="89"/>
  <c r="BI1040" i="89"/>
  <c r="BI799" i="89"/>
  <c r="BI1116" i="89"/>
  <c r="BI731" i="89"/>
  <c r="BI1048" i="89"/>
  <c r="BI847" i="89"/>
  <c r="BI1164" i="89"/>
  <c r="BI887" i="89"/>
  <c r="BI1204" i="89"/>
  <c r="BJ858" i="89"/>
  <c r="BJ1175" i="89"/>
  <c r="BI827" i="89"/>
  <c r="BI1144" i="89"/>
  <c r="BI811" i="89"/>
  <c r="BI1128" i="89"/>
  <c r="BI807" i="89"/>
  <c r="BI1124" i="89"/>
  <c r="BH788" i="89"/>
  <c r="BH1105" i="89"/>
  <c r="BH748" i="89"/>
  <c r="BH1065" i="89"/>
  <c r="BI812" i="89"/>
  <c r="BI1129" i="89"/>
  <c r="BI844" i="89"/>
  <c r="BI1161" i="89"/>
  <c r="BH864" i="89"/>
  <c r="BH1181" i="89"/>
  <c r="BJ880" i="89"/>
  <c r="BJ1197" i="89"/>
  <c r="BH904" i="89"/>
  <c r="BH1221" i="89"/>
  <c r="BJ1245" i="89"/>
  <c r="BI940" i="89"/>
  <c r="BI1257" i="89"/>
  <c r="BL1265" i="89"/>
  <c r="BJ952" i="89"/>
  <c r="BJ1269" i="89"/>
  <c r="BH968" i="89"/>
  <c r="BH1285" i="89"/>
  <c r="BH984" i="89"/>
  <c r="BH1301" i="89"/>
  <c r="BJ996" i="89"/>
  <c r="BJ1313" i="89"/>
  <c r="BH806" i="89"/>
  <c r="BH1123" i="89"/>
  <c r="BH834" i="89"/>
  <c r="BH1151" i="89"/>
  <c r="BH910" i="89"/>
  <c r="BH1227" i="89"/>
  <c r="BI986" i="89"/>
  <c r="BI1303" i="89"/>
  <c r="BH753" i="89"/>
  <c r="BH1070" i="89"/>
  <c r="BH725" i="89"/>
  <c r="BH1042" i="89"/>
  <c r="BH831" i="89"/>
  <c r="BH1148" i="89"/>
  <c r="BH887" i="89"/>
  <c r="BH1204" i="89"/>
  <c r="BI931" i="89"/>
  <c r="BI1248" i="89"/>
  <c r="BK939" i="89"/>
  <c r="BK1256" i="89"/>
  <c r="BI951" i="89"/>
  <c r="BI1268" i="89"/>
  <c r="BJ979" i="89"/>
  <c r="BJ1296" i="89"/>
  <c r="BH803" i="89"/>
  <c r="BH1120" i="89"/>
  <c r="BH779" i="89"/>
  <c r="BH1096" i="89"/>
  <c r="BH755" i="89"/>
  <c r="BH1072" i="89"/>
  <c r="BH739" i="89"/>
  <c r="BH1056" i="89"/>
  <c r="BH723" i="89"/>
  <c r="BH1040" i="89"/>
  <c r="BH837" i="89"/>
  <c r="BH1154" i="89"/>
  <c r="BI885" i="89"/>
  <c r="BI1202" i="89"/>
  <c r="BI893" i="89"/>
  <c r="BI1210" i="89"/>
  <c r="BH905" i="89"/>
  <c r="BH1222" i="89"/>
  <c r="BI909" i="89"/>
  <c r="BI1226" i="89"/>
  <c r="BL917" i="89"/>
  <c r="BL1234" i="89"/>
  <c r="BJ921" i="89"/>
  <c r="BJ1238" i="89"/>
  <c r="BI937" i="89"/>
  <c r="BI1254" i="89"/>
  <c r="BH953" i="89"/>
  <c r="BH1270" i="89"/>
  <c r="BI957" i="89"/>
  <c r="BI1274" i="89"/>
  <c r="BI969" i="89"/>
  <c r="BI1286" i="89"/>
  <c r="BI985" i="89"/>
  <c r="BI1302" i="89"/>
  <c r="BJ989" i="89"/>
  <c r="BJ1306" i="89"/>
  <c r="BK914" i="89"/>
  <c r="BK1231" i="89"/>
  <c r="BI942" i="89"/>
  <c r="BI1259" i="89"/>
  <c r="BI970" i="89"/>
  <c r="BI1287" i="89"/>
  <c r="BH769" i="89"/>
  <c r="BH1086" i="89"/>
  <c r="BH733" i="89"/>
  <c r="BH1050" i="89"/>
  <c r="BH847" i="89"/>
  <c r="BH1164" i="89"/>
  <c r="BI895" i="89"/>
  <c r="BI1212" i="89"/>
  <c r="BI915" i="89"/>
  <c r="BI1232" i="89"/>
  <c r="BI935" i="89"/>
  <c r="BI1252" i="89"/>
  <c r="BH971" i="89"/>
  <c r="BH1288" i="89"/>
  <c r="BI983" i="89"/>
  <c r="BI1300" i="89"/>
  <c r="BI760" i="89"/>
  <c r="BI1077" i="89"/>
  <c r="BI728" i="89"/>
  <c r="BI1045" i="89"/>
  <c r="BI794" i="89"/>
  <c r="BI1111" i="89"/>
  <c r="BI734" i="89"/>
  <c r="BI1051" i="89"/>
  <c r="BI710" i="89"/>
  <c r="BI1027" i="89"/>
  <c r="BI706" i="89"/>
  <c r="BI1023" i="89"/>
  <c r="BI733" i="89"/>
  <c r="BI1050" i="89"/>
  <c r="BI765" i="89"/>
  <c r="BI1082" i="89"/>
  <c r="BI745" i="89"/>
  <c r="BI1062" i="89"/>
  <c r="BL526" i="89"/>
  <c r="BK526" i="89"/>
  <c r="BI861" i="89"/>
  <c r="BI1178" i="89"/>
  <c r="BJ470" i="89"/>
  <c r="BI709" i="89"/>
  <c r="BI1026" i="89"/>
  <c r="BJ809" i="89"/>
  <c r="BJ1126" i="89"/>
  <c r="BI890" i="89"/>
  <c r="BI1207" i="89"/>
  <c r="BI772" i="89"/>
  <c r="BI1089" i="89"/>
  <c r="BI740" i="89"/>
  <c r="BI1057" i="89"/>
  <c r="BI708" i="89"/>
  <c r="BI1025" i="89"/>
  <c r="BI718" i="89"/>
  <c r="BI1035" i="89"/>
  <c r="BI798" i="89"/>
  <c r="BI1115" i="89"/>
  <c r="BI782" i="89"/>
  <c r="BI1099" i="89"/>
  <c r="BI763" i="89"/>
  <c r="BI1080" i="89"/>
  <c r="BI751" i="89"/>
  <c r="BI1068" i="89"/>
  <c r="BI773" i="89"/>
  <c r="BI1090" i="89"/>
  <c r="BI713" i="89"/>
  <c r="BI1030" i="89"/>
  <c r="BJ844" i="89"/>
  <c r="BJ1161" i="89"/>
  <c r="BI833" i="89"/>
  <c r="BI1150" i="89"/>
  <c r="BL502" i="89"/>
  <c r="BL470" i="89"/>
  <c r="BI892" i="89"/>
  <c r="BI1209" i="89"/>
  <c r="BI880" i="89"/>
  <c r="BI1197" i="89"/>
  <c r="BJ529" i="89"/>
  <c r="BJ509" i="89"/>
  <c r="BJ485" i="89"/>
  <c r="BK495" i="89"/>
  <c r="BL515" i="89"/>
  <c r="BJ499" i="89"/>
  <c r="BJ479" i="89"/>
  <c r="BJ882" i="89"/>
  <c r="BJ1199" i="89"/>
  <c r="BK514" i="89"/>
  <c r="BK507" i="89"/>
  <c r="BL825" i="89"/>
  <c r="BL1142" i="89"/>
  <c r="BJ827" i="89"/>
  <c r="BJ1144" i="89"/>
  <c r="BI703" i="89"/>
  <c r="BI1020" i="89"/>
  <c r="BI817" i="89"/>
  <c r="BI1134" i="89"/>
  <c r="BI783" i="89"/>
  <c r="BI1100" i="89"/>
  <c r="BI747" i="89"/>
  <c r="BI1064" i="89"/>
  <c r="BK524" i="89"/>
  <c r="BJ508" i="89"/>
  <c r="BJ847" i="89"/>
  <c r="BJ1164" i="89"/>
  <c r="BK464" i="89"/>
  <c r="BI856" i="89"/>
  <c r="BI1173" i="89"/>
  <c r="BH792" i="89"/>
  <c r="BH1109" i="89"/>
  <c r="BH784" i="89"/>
  <c r="BH1101" i="89"/>
  <c r="BH776" i="89"/>
  <c r="BH1093" i="89"/>
  <c r="BH768" i="89"/>
  <c r="BH1085" i="89"/>
  <c r="BH760" i="89"/>
  <c r="BH1077" i="89"/>
  <c r="BH752" i="89"/>
  <c r="BH1069" i="89"/>
  <c r="BH744" i="89"/>
  <c r="BH1061" i="89"/>
  <c r="BH736" i="89"/>
  <c r="BH1053" i="89"/>
  <c r="BH816" i="89"/>
  <c r="BH1133" i="89"/>
  <c r="BH836" i="89"/>
  <c r="BH1153" i="89"/>
  <c r="BH840" i="89"/>
  <c r="BH1157" i="89"/>
  <c r="BI848" i="89"/>
  <c r="BI1165" i="89"/>
  <c r="BJ852" i="89"/>
  <c r="BJ1169" i="89"/>
  <c r="BH856" i="89"/>
  <c r="BH1173" i="89"/>
  <c r="BH868" i="89"/>
  <c r="BH1185" i="89"/>
  <c r="BH876" i="89"/>
  <c r="BH1193" i="89"/>
  <c r="BJ896" i="89"/>
  <c r="BH900" i="89"/>
  <c r="BH1217" i="89"/>
  <c r="BH908" i="89"/>
  <c r="BH1225" i="89"/>
  <c r="BH912" i="89"/>
  <c r="BH1229" i="89"/>
  <c r="BJ916" i="89"/>
  <c r="BJ1233" i="89"/>
  <c r="BH928" i="89"/>
  <c r="BH1245" i="89"/>
  <c r="BJ932" i="89"/>
  <c r="BJ1249" i="89"/>
  <c r="BH944" i="89"/>
  <c r="BH1261" i="89"/>
  <c r="BJ948" i="89"/>
  <c r="BJ1265" i="89"/>
  <c r="BL952" i="89"/>
  <c r="BL1269" i="89"/>
  <c r="BJ956" i="89"/>
  <c r="BJ1273" i="89"/>
  <c r="BH960" i="89"/>
  <c r="BH1277" i="89"/>
  <c r="BH964" i="89"/>
  <c r="BH1281" i="89"/>
  <c r="BH972" i="89"/>
  <c r="BH1289" i="89"/>
  <c r="BJ976" i="89"/>
  <c r="BJ1293" i="89"/>
  <c r="BH980" i="89"/>
  <c r="BH1297" i="89"/>
  <c r="BH988" i="89"/>
  <c r="BH1305" i="89"/>
  <c r="BH996" i="89"/>
  <c r="BH1313" i="89"/>
  <c r="BH778" i="89"/>
  <c r="BH1095" i="89"/>
  <c r="BH762" i="89"/>
  <c r="BH1079" i="89"/>
  <c r="BH706" i="89"/>
  <c r="BH1023" i="89"/>
  <c r="BH826" i="89"/>
  <c r="BH1143" i="89"/>
  <c r="BH862" i="89"/>
  <c r="BH1179" i="89"/>
  <c r="BH890" i="89"/>
  <c r="BH1207" i="89"/>
  <c r="BH902" i="89"/>
  <c r="BH1219" i="89"/>
  <c r="BI910" i="89"/>
  <c r="BI1227" i="89"/>
  <c r="BK930" i="89"/>
  <c r="BK1247" i="89"/>
  <c r="BI966" i="89"/>
  <c r="BI1283" i="89"/>
  <c r="BI978" i="89"/>
  <c r="BI1295" i="89"/>
  <c r="BI994" i="89"/>
  <c r="BI1311" i="89"/>
  <c r="BI753" i="89"/>
  <c r="BI1070" i="89"/>
  <c r="BI725" i="89"/>
  <c r="BI1042" i="89"/>
  <c r="BH717" i="89"/>
  <c r="BH1034" i="89"/>
  <c r="BH823" i="89"/>
  <c r="BH1140" i="89"/>
  <c r="BJ831" i="89"/>
  <c r="BJ1148" i="89"/>
  <c r="BJ919" i="89"/>
  <c r="BJ1236" i="89"/>
  <c r="BI927" i="89"/>
  <c r="BI1244" i="89"/>
  <c r="BL927" i="89"/>
  <c r="BL1244" i="89"/>
  <c r="BI939" i="89"/>
  <c r="BI1256" i="89"/>
  <c r="BL939" i="89"/>
  <c r="BL1256" i="89"/>
  <c r="BH947" i="89"/>
  <c r="BH1264" i="89"/>
  <c r="BH967" i="89"/>
  <c r="BH1284" i="89"/>
  <c r="BI975" i="89"/>
  <c r="BI1292" i="89"/>
  <c r="BH979" i="89"/>
  <c r="BH1296" i="89"/>
  <c r="BK987" i="89"/>
  <c r="BK1304" i="89"/>
  <c r="BI995" i="89"/>
  <c r="BI1312" i="89"/>
  <c r="BH799" i="89"/>
  <c r="BH1116" i="89"/>
  <c r="BH791" i="89"/>
  <c r="BH1108" i="89"/>
  <c r="BH783" i="89"/>
  <c r="BH1100" i="89"/>
  <c r="BH775" i="89"/>
  <c r="BH1092" i="89"/>
  <c r="BH759" i="89"/>
  <c r="BH1076" i="89"/>
  <c r="BH751" i="89"/>
  <c r="BH1068" i="89"/>
  <c r="BH743" i="89"/>
  <c r="BH1060" i="89"/>
  <c r="BH735" i="89"/>
  <c r="BH1052" i="89"/>
  <c r="BH727" i="89"/>
  <c r="BH1044" i="89"/>
  <c r="BH719" i="89"/>
  <c r="BH1036" i="89"/>
  <c r="BH711" i="89"/>
  <c r="BH1028" i="89"/>
  <c r="BH833" i="89"/>
  <c r="BH1150" i="89"/>
  <c r="BH841" i="89"/>
  <c r="BH1158" i="89"/>
  <c r="BH849" i="89"/>
  <c r="BH1166" i="89"/>
  <c r="BK1202" i="89"/>
  <c r="BI897" i="89"/>
  <c r="BI1214" i="89"/>
  <c r="BI905" i="89"/>
  <c r="BI1222" i="89"/>
  <c r="BK917" i="89"/>
  <c r="BK1234" i="89"/>
  <c r="BJ917" i="89"/>
  <c r="BJ1234" i="89"/>
  <c r="BJ929" i="89"/>
  <c r="BJ1246" i="89"/>
  <c r="BI933" i="89"/>
  <c r="BI1250" i="89"/>
  <c r="BH937" i="89"/>
  <c r="BH1254" i="89"/>
  <c r="BI945" i="89"/>
  <c r="BI1262" i="89"/>
  <c r="BH949" i="89"/>
  <c r="BH1266" i="89"/>
  <c r="BI953" i="89"/>
  <c r="BI1270" i="89"/>
  <c r="BH965" i="89"/>
  <c r="BH1282" i="89"/>
  <c r="BJ969" i="89"/>
  <c r="BJ1286" i="89"/>
  <c r="BH981" i="89"/>
  <c r="BH1298" i="89"/>
  <c r="BH846" i="89"/>
  <c r="BH1163" i="89"/>
  <c r="BH878" i="89"/>
  <c r="BH1195" i="89"/>
  <c r="BI894" i="89"/>
  <c r="BI1211" i="89"/>
  <c r="BL914" i="89"/>
  <c r="BL1231" i="89"/>
  <c r="BJ934" i="89"/>
  <c r="BJ1251" i="89"/>
  <c r="BI934" i="89"/>
  <c r="BI1251" i="89"/>
  <c r="BH942" i="89"/>
  <c r="BH1259" i="89"/>
  <c r="BI954" i="89"/>
  <c r="BI1271" i="89"/>
  <c r="BI962" i="89"/>
  <c r="BI1279" i="89"/>
  <c r="BH701" i="89"/>
  <c r="BH1018" i="89"/>
  <c r="BH793" i="89"/>
  <c r="BH1110" i="89"/>
  <c r="BI785" i="89"/>
  <c r="BI1102" i="89"/>
  <c r="BH777" i="89"/>
  <c r="BH1094" i="89"/>
  <c r="BH761" i="89"/>
  <c r="BH1078" i="89"/>
  <c r="BH741" i="89"/>
  <c r="BH1058" i="89"/>
  <c r="BH721" i="89"/>
  <c r="BH1038" i="89"/>
  <c r="BI815" i="89"/>
  <c r="BI1132" i="89"/>
  <c r="BI835" i="89"/>
  <c r="BI1152" i="89"/>
  <c r="BH875" i="89"/>
  <c r="BH1192" i="89"/>
  <c r="BI883" i="89"/>
  <c r="BI1200" i="89"/>
  <c r="BH895" i="89"/>
  <c r="BH1212" i="89"/>
  <c r="BI903" i="89"/>
  <c r="BI1220" i="89"/>
  <c r="BI923" i="89"/>
  <c r="BI1240" i="89"/>
  <c r="BL923" i="89"/>
  <c r="BL1240" i="89"/>
  <c r="BK935" i="89"/>
  <c r="BK1252" i="89"/>
  <c r="BI943" i="89"/>
  <c r="BI1260" i="89"/>
  <c r="BH955" i="89"/>
  <c r="BH1272" i="89"/>
  <c r="BH963" i="89"/>
  <c r="BH1280" i="89"/>
  <c r="BI971" i="89"/>
  <c r="BI1288" i="89"/>
  <c r="BH983" i="89"/>
  <c r="BH1300" i="89"/>
  <c r="BJ991" i="89"/>
  <c r="BJ1308" i="89"/>
  <c r="BI991" i="89"/>
  <c r="BI1308" i="89"/>
  <c r="BI796" i="89"/>
  <c r="BI1113" i="89"/>
  <c r="BI764" i="89"/>
  <c r="BI1081" i="89"/>
  <c r="BI732" i="89"/>
  <c r="BI1049" i="89"/>
  <c r="BI750" i="89"/>
  <c r="BI1067" i="89"/>
  <c r="BI790" i="89"/>
  <c r="BI1107" i="89"/>
  <c r="BI786" i="89"/>
  <c r="BI1103" i="89"/>
  <c r="BI741" i="89"/>
  <c r="BI1058" i="89"/>
  <c r="BI791" i="89"/>
  <c r="BI1108" i="89"/>
  <c r="BI789" i="89"/>
  <c r="BI1106" i="89"/>
  <c r="BI825" i="89"/>
  <c r="BI1142" i="89"/>
  <c r="BJ864" i="89"/>
  <c r="BJ1181" i="89"/>
  <c r="BI881" i="89"/>
  <c r="BI1198" i="89"/>
  <c r="BI853" i="89"/>
  <c r="BI1170" i="89"/>
  <c r="BI837" i="89"/>
  <c r="BI1154" i="89"/>
  <c r="BI821" i="89"/>
  <c r="BI1138" i="89"/>
  <c r="BL512" i="89"/>
  <c r="BI842" i="89"/>
  <c r="BI1159" i="89"/>
  <c r="BI850" i="89"/>
  <c r="BI1167" i="89"/>
  <c r="BI834" i="89"/>
  <c r="BI1151" i="89"/>
  <c r="BH796" i="89"/>
  <c r="BH1113" i="89"/>
  <c r="BH780" i="89"/>
  <c r="BH1097" i="89"/>
  <c r="BH772" i="89"/>
  <c r="BH1089" i="89"/>
  <c r="BH756" i="89"/>
  <c r="BH1073" i="89"/>
  <c r="BH740" i="89"/>
  <c r="BH1057" i="89"/>
  <c r="BI832" i="89"/>
  <c r="BI1149" i="89"/>
  <c r="BJ840" i="89"/>
  <c r="BJ1157" i="89"/>
  <c r="BI860" i="89"/>
  <c r="BI1177" i="89"/>
  <c r="BI872" i="89"/>
  <c r="BI1189" i="89"/>
  <c r="BL1189" i="89"/>
  <c r="BH896" i="89"/>
  <c r="BH1213" i="89"/>
  <c r="BJ1225" i="89"/>
  <c r="BJ920" i="89"/>
  <c r="BJ1237" i="89"/>
  <c r="BL932" i="89"/>
  <c r="BL1249" i="89"/>
  <c r="BJ936" i="89"/>
  <c r="BJ944" i="89"/>
  <c r="BJ1261" i="89"/>
  <c r="BL956" i="89"/>
  <c r="BL1273" i="89"/>
  <c r="BH976" i="89"/>
  <c r="BH1293" i="89"/>
  <c r="BJ1305" i="89"/>
  <c r="BH992" i="89"/>
  <c r="BH1309" i="89"/>
  <c r="BI778" i="89"/>
  <c r="BI1095" i="89"/>
  <c r="BI762" i="89"/>
  <c r="BI1079" i="89"/>
  <c r="BH714" i="89"/>
  <c r="BH1031" i="89"/>
  <c r="BH818" i="89"/>
  <c r="BH1135" i="89"/>
  <c r="BH858" i="89"/>
  <c r="BH1175" i="89"/>
  <c r="BI902" i="89"/>
  <c r="BI1219" i="89"/>
  <c r="BI974" i="89"/>
  <c r="BI1291" i="89"/>
  <c r="BI717" i="89"/>
  <c r="BI1034" i="89"/>
  <c r="BJ823" i="89"/>
  <c r="BJ1140" i="89"/>
  <c r="BH871" i="89"/>
  <c r="BH1188" i="89"/>
  <c r="BH911" i="89"/>
  <c r="BH1228" i="89"/>
  <c r="BK927" i="89"/>
  <c r="BK1244" i="89"/>
  <c r="BJ947" i="89"/>
  <c r="BJ1264" i="89"/>
  <c r="BI959" i="89"/>
  <c r="BI1276" i="89"/>
  <c r="BI967" i="89"/>
  <c r="BI1284" i="89"/>
  <c r="BH795" i="89"/>
  <c r="BH1112" i="89"/>
  <c r="BH787" i="89"/>
  <c r="BH1104" i="89"/>
  <c r="BH771" i="89"/>
  <c r="BH1088" i="89"/>
  <c r="BH763" i="89"/>
  <c r="BH1080" i="89"/>
  <c r="BH747" i="89"/>
  <c r="BH1064" i="89"/>
  <c r="BH731" i="89"/>
  <c r="BH1048" i="89"/>
  <c r="BH715" i="89"/>
  <c r="BH1032" i="89"/>
  <c r="BI813" i="89"/>
  <c r="BI1130" i="89"/>
  <c r="BH829" i="89"/>
  <c r="BH1146" i="89"/>
  <c r="BH881" i="89"/>
  <c r="BH1198" i="89"/>
  <c r="BH889" i="89"/>
  <c r="BH1206" i="89"/>
  <c r="BH897" i="89"/>
  <c r="BH1214" i="89"/>
  <c r="BI901" i="89"/>
  <c r="BI1218" i="89"/>
  <c r="BI925" i="89"/>
  <c r="BI1242" i="89"/>
  <c r="BH933" i="89"/>
  <c r="BH1250" i="89"/>
  <c r="BH945" i="89"/>
  <c r="BH1262" i="89"/>
  <c r="BI949" i="89"/>
  <c r="BI1266" i="89"/>
  <c r="BI961" i="89"/>
  <c r="BI1278" i="89"/>
  <c r="BI977" i="89"/>
  <c r="BI1294" i="89"/>
  <c r="BI993" i="89"/>
  <c r="BI1310" i="89"/>
  <c r="BH742" i="89"/>
  <c r="BH1059" i="89"/>
  <c r="BH822" i="89"/>
  <c r="BH1139" i="89"/>
  <c r="BI854" i="89"/>
  <c r="BI1171" i="89"/>
  <c r="BH874" i="89"/>
  <c r="BH1191" i="89"/>
  <c r="BH894" i="89"/>
  <c r="BH1211" i="89"/>
  <c r="BI906" i="89"/>
  <c r="BI1223" i="89"/>
  <c r="BH934" i="89"/>
  <c r="BH1251" i="89"/>
  <c r="BH954" i="89"/>
  <c r="BH1271" i="89"/>
  <c r="BH982" i="89"/>
  <c r="BH1299" i="89"/>
  <c r="BH801" i="89"/>
  <c r="BH1118" i="89"/>
  <c r="BH749" i="89"/>
  <c r="BH1066" i="89"/>
  <c r="BH713" i="89"/>
  <c r="BH1030" i="89"/>
  <c r="BH827" i="89"/>
  <c r="BH1144" i="89"/>
  <c r="BI855" i="89"/>
  <c r="BI1172" i="89"/>
  <c r="BJ875" i="89"/>
  <c r="BJ1192" i="89"/>
  <c r="BI875" i="89"/>
  <c r="BI1192" i="89"/>
  <c r="BH903" i="89"/>
  <c r="BH1220" i="89"/>
  <c r="BK923" i="89"/>
  <c r="BK1240" i="89"/>
  <c r="BL935" i="89"/>
  <c r="BL1252" i="89"/>
  <c r="BI963" i="89"/>
  <c r="BI1280" i="89"/>
  <c r="BI792" i="89"/>
  <c r="BI1109" i="89"/>
  <c r="BI776" i="89"/>
  <c r="BI1093" i="89"/>
  <c r="BI744" i="89"/>
  <c r="BI1061" i="89"/>
  <c r="BI712" i="89"/>
  <c r="BI1029" i="89"/>
  <c r="BI730" i="89"/>
  <c r="BI1047" i="89"/>
  <c r="BI774" i="89"/>
  <c r="BI1091" i="89"/>
  <c r="BI770" i="89"/>
  <c r="BI1087" i="89"/>
  <c r="BI739" i="89"/>
  <c r="BI1056" i="89"/>
  <c r="BI727" i="89"/>
  <c r="BI1044" i="89"/>
  <c r="BI797" i="89"/>
  <c r="BI1114" i="89"/>
  <c r="BI777" i="89"/>
  <c r="BI1094" i="89"/>
  <c r="BI721" i="89"/>
  <c r="BI1038" i="89"/>
  <c r="BI841" i="89"/>
  <c r="BI1158" i="89"/>
  <c r="BI805" i="89"/>
  <c r="BI1122" i="89"/>
  <c r="BI884" i="89"/>
  <c r="BI1201" i="89"/>
  <c r="BI876" i="89"/>
  <c r="BI1193" i="89"/>
  <c r="BI868" i="89"/>
  <c r="BI1185" i="89"/>
  <c r="BI820" i="89"/>
  <c r="BI1137" i="89"/>
  <c r="BI866" i="89"/>
  <c r="BI1183" i="89"/>
  <c r="BI806" i="89"/>
  <c r="BI1123" i="89"/>
  <c r="BI846" i="89"/>
  <c r="BI1163" i="89"/>
  <c r="BI826" i="89"/>
  <c r="BI1143" i="89"/>
  <c r="BI838" i="89"/>
  <c r="BI1155" i="89"/>
  <c r="BI715" i="89"/>
  <c r="BI1032" i="89"/>
  <c r="BI788" i="89"/>
  <c r="BI1105" i="89"/>
  <c r="BI756" i="89"/>
  <c r="BI1073" i="89"/>
  <c r="BI724" i="89"/>
  <c r="BI1041" i="89"/>
  <c r="BI758" i="89"/>
  <c r="BI1075" i="89"/>
  <c r="BI754" i="89"/>
  <c r="BI1071" i="89"/>
  <c r="BI787" i="89"/>
  <c r="BI1104" i="89"/>
  <c r="BI719" i="89"/>
  <c r="BI1036" i="89"/>
  <c r="BI759" i="89"/>
  <c r="BI1076" i="89"/>
  <c r="BI801" i="89"/>
  <c r="BI1118" i="89"/>
  <c r="BI737" i="89"/>
  <c r="BI1054" i="89"/>
  <c r="BK529" i="89"/>
  <c r="BI889" i="89"/>
  <c r="BI1206" i="89"/>
  <c r="BI829" i="89"/>
  <c r="BI1146" i="89"/>
  <c r="BL541" i="89"/>
  <c r="BL537" i="89"/>
  <c r="BJ513" i="89"/>
  <c r="BJ473" i="89"/>
  <c r="BI858" i="89"/>
  <c r="BI1175" i="89"/>
  <c r="BJ543" i="89"/>
  <c r="BI822" i="89"/>
  <c r="BI1139" i="89"/>
  <c r="BI874" i="89"/>
  <c r="BI1191" i="89"/>
  <c r="BI800" i="89"/>
  <c r="BI1117" i="89"/>
  <c r="BI784" i="89"/>
  <c r="BI1101" i="89"/>
  <c r="BI768" i="89"/>
  <c r="BI1085" i="89"/>
  <c r="BI752" i="89"/>
  <c r="BI1069" i="89"/>
  <c r="BI720" i="89"/>
  <c r="BI1037" i="89"/>
  <c r="BI704" i="89"/>
  <c r="BI1021" i="89"/>
  <c r="BI766" i="89"/>
  <c r="BI1083" i="89"/>
  <c r="BI702" i="89"/>
  <c r="BI1019" i="89"/>
  <c r="BI802" i="89"/>
  <c r="BI1119" i="89"/>
  <c r="BI738" i="89"/>
  <c r="BI1055" i="89"/>
  <c r="BI781" i="89"/>
  <c r="BI1098" i="89"/>
  <c r="BI749" i="89"/>
  <c r="BI1066" i="89"/>
  <c r="BI707" i="89"/>
  <c r="BI1024" i="89"/>
  <c r="BI743" i="89"/>
  <c r="BI1060" i="89"/>
  <c r="BI793" i="89"/>
  <c r="BI1110" i="89"/>
  <c r="BI761" i="89"/>
  <c r="BI1078" i="89"/>
  <c r="BI729" i="89"/>
  <c r="BI1046" i="89"/>
  <c r="BI705" i="89"/>
  <c r="BI1022" i="89"/>
  <c r="BK530" i="89"/>
  <c r="BK497" i="89"/>
  <c r="BK470" i="89"/>
  <c r="BJ868" i="89"/>
  <c r="BJ1185" i="89"/>
  <c r="BL514" i="89"/>
  <c r="BI701" i="89"/>
  <c r="BI1018" i="89"/>
  <c r="BI769" i="89"/>
  <c r="BI1086" i="89"/>
  <c r="BJ545" i="89"/>
  <c r="BI888" i="89"/>
  <c r="BI1205" i="89"/>
  <c r="BJ537" i="89"/>
  <c r="BI824" i="89"/>
  <c r="BI1141" i="89"/>
  <c r="BJ469" i="89"/>
  <c r="BJ539" i="89"/>
  <c r="BK519" i="89"/>
  <c r="BI814" i="89"/>
  <c r="BI1131" i="89"/>
  <c r="BI882" i="89"/>
  <c r="BI1199" i="89"/>
  <c r="BI878" i="89"/>
  <c r="BI1195" i="89"/>
  <c r="BI870" i="89"/>
  <c r="BI1187" i="89"/>
  <c r="BI862" i="89"/>
  <c r="BI1179" i="89"/>
  <c r="BK479" i="89"/>
  <c r="BI818" i="89"/>
  <c r="BI1135" i="89"/>
  <c r="BJ874" i="89"/>
  <c r="BJ1191" i="89"/>
  <c r="BI830" i="89"/>
  <c r="BI1147" i="89"/>
  <c r="BI808" i="89"/>
  <c r="BI1125" i="89"/>
  <c r="BI735" i="89"/>
  <c r="BI1052" i="89"/>
  <c r="BL544" i="89"/>
  <c r="BI879" i="89"/>
  <c r="BI1196" i="89"/>
  <c r="BI867" i="89"/>
  <c r="BI1184" i="89"/>
  <c r="BI863" i="89"/>
  <c r="BI1180" i="89"/>
  <c r="BI859" i="89"/>
  <c r="BI1176" i="89"/>
  <c r="BH728" i="89"/>
  <c r="BH1045" i="89"/>
  <c r="BH720" i="89"/>
  <c r="BH1037" i="89"/>
  <c r="BH712" i="89"/>
  <c r="BH1029" i="89"/>
  <c r="BH704" i="89"/>
  <c r="BH1021" i="89"/>
  <c r="BH812" i="89"/>
  <c r="BH1129" i="89"/>
  <c r="BI816" i="89"/>
  <c r="BI1133" i="89"/>
  <c r="BH824" i="89"/>
  <c r="BH1141" i="89"/>
  <c r="BI828" i="89"/>
  <c r="BI1145" i="89"/>
  <c r="BH832" i="89"/>
  <c r="BH1149" i="89"/>
  <c r="BI836" i="89"/>
  <c r="BI1153" i="89"/>
  <c r="BI840" i="89"/>
  <c r="BI1157" i="89"/>
  <c r="BH844" i="89"/>
  <c r="BH1161" i="89"/>
  <c r="BH852" i="89"/>
  <c r="BH1169" i="89"/>
  <c r="BI864" i="89"/>
  <c r="BI1181" i="89"/>
  <c r="BH872" i="89"/>
  <c r="BH1189" i="89"/>
  <c r="BH884" i="89"/>
  <c r="BH1201" i="89"/>
  <c r="BH892" i="89"/>
  <c r="BH1209" i="89"/>
  <c r="BI908" i="89"/>
  <c r="BI1225" i="89"/>
  <c r="BI912" i="89"/>
  <c r="BI1229" i="89"/>
  <c r="BH916" i="89"/>
  <c r="BH1233" i="89"/>
  <c r="BI920" i="89"/>
  <c r="BI1237" i="89"/>
  <c r="BI928" i="89"/>
  <c r="BI1245" i="89"/>
  <c r="BH932" i="89"/>
  <c r="BH1249" i="89"/>
  <c r="BK932" i="89"/>
  <c r="BK1249" i="89"/>
  <c r="BI936" i="89"/>
  <c r="BI1253" i="89"/>
  <c r="BJ940" i="89"/>
  <c r="BJ1257" i="89"/>
  <c r="BI944" i="89"/>
  <c r="BI1261" i="89"/>
  <c r="BH948" i="89"/>
  <c r="BH1265" i="89"/>
  <c r="BK948" i="89"/>
  <c r="BK1265" i="89"/>
  <c r="BI952" i="89"/>
  <c r="BI1269" i="89"/>
  <c r="BH956" i="89"/>
  <c r="BH1273" i="89"/>
  <c r="BK956" i="89"/>
  <c r="BK1273" i="89"/>
  <c r="BI960" i="89"/>
  <c r="BI1277" i="89"/>
  <c r="BI964" i="89"/>
  <c r="BI1281" i="89"/>
  <c r="BI972" i="89"/>
  <c r="BI1289" i="89"/>
  <c r="BK976" i="89"/>
  <c r="BK1293" i="89"/>
  <c r="BI996" i="89"/>
  <c r="BI1313" i="89"/>
  <c r="BH794" i="89"/>
  <c r="BH1111" i="89"/>
  <c r="BH746" i="89"/>
  <c r="BH1063" i="89"/>
  <c r="BH730" i="89"/>
  <c r="BH1047" i="89"/>
  <c r="BH850" i="89"/>
  <c r="BH1167" i="89"/>
  <c r="BH870" i="89"/>
  <c r="BH1187" i="89"/>
  <c r="BI898" i="89"/>
  <c r="BI1215" i="89"/>
  <c r="BH918" i="89"/>
  <c r="BH1235" i="89"/>
  <c r="BI926" i="89"/>
  <c r="BI1243" i="89"/>
  <c r="BH930" i="89"/>
  <c r="BH1247" i="89"/>
  <c r="BJ1255" i="89"/>
  <c r="BI938" i="89"/>
  <c r="BI1255" i="89"/>
  <c r="BH946" i="89"/>
  <c r="BH1263" i="89"/>
  <c r="BI950" i="89"/>
  <c r="BI1267" i="89"/>
  <c r="BH958" i="89"/>
  <c r="BH1275" i="89"/>
  <c r="BH974" i="89"/>
  <c r="BH1291" i="89"/>
  <c r="BH978" i="89"/>
  <c r="BH1295" i="89"/>
  <c r="BJ978" i="89"/>
  <c r="BJ1295" i="89"/>
  <c r="BH994" i="89"/>
  <c r="BH1311" i="89"/>
  <c r="BH789" i="89"/>
  <c r="BH1106" i="89"/>
  <c r="BH773" i="89"/>
  <c r="BH1090" i="89"/>
  <c r="BH757" i="89"/>
  <c r="BH1074" i="89"/>
  <c r="BH745" i="89"/>
  <c r="BH1062" i="89"/>
  <c r="BH729" i="89"/>
  <c r="BH1046" i="89"/>
  <c r="BH705" i="89"/>
  <c r="BH1022" i="89"/>
  <c r="BH811" i="89"/>
  <c r="BH1128" i="89"/>
  <c r="BI823" i="89"/>
  <c r="BI1140" i="89"/>
  <c r="BH839" i="89"/>
  <c r="BH1156" i="89"/>
  <c r="BK843" i="89"/>
  <c r="BH851" i="89"/>
  <c r="BH1168" i="89"/>
  <c r="BI899" i="89"/>
  <c r="BI1216" i="89"/>
  <c r="BH907" i="89"/>
  <c r="BH1224" i="89"/>
  <c r="BK919" i="89"/>
  <c r="BK1236" i="89"/>
  <c r="BJ927" i="89"/>
  <c r="BJ1244" i="89"/>
  <c r="BH931" i="89"/>
  <c r="BH1248" i="89"/>
  <c r="BJ939" i="89"/>
  <c r="BJ1256" i="89"/>
  <c r="BI947" i="89"/>
  <c r="BI1264" i="89"/>
  <c r="BL947" i="89"/>
  <c r="BL1264" i="89"/>
  <c r="BH951" i="89"/>
  <c r="BH1268" i="89"/>
  <c r="BL979" i="89"/>
  <c r="BL1296" i="89"/>
  <c r="BH987" i="89"/>
  <c r="BH1304" i="89"/>
  <c r="BI771" i="89"/>
  <c r="BI1088" i="89"/>
  <c r="BH767" i="89"/>
  <c r="BH1084" i="89"/>
  <c r="BH703" i="89"/>
  <c r="BH1020" i="89"/>
  <c r="BH809" i="89"/>
  <c r="BH1126" i="89"/>
  <c r="BH817" i="89"/>
  <c r="BH1134" i="89"/>
  <c r="BH825" i="89"/>
  <c r="BH1142" i="89"/>
  <c r="BI845" i="89"/>
  <c r="BI1162" i="89"/>
  <c r="BH853" i="89"/>
  <c r="BH1170" i="89"/>
  <c r="BH861" i="89"/>
  <c r="BH1178" i="89"/>
  <c r="BI865" i="89"/>
  <c r="BI1182" i="89"/>
  <c r="BH869" i="89"/>
  <c r="BH1186" i="89"/>
  <c r="BH877" i="89"/>
  <c r="BH1194" i="89"/>
  <c r="BH885" i="89"/>
  <c r="BH1202" i="89"/>
  <c r="BH901" i="89"/>
  <c r="BH1218" i="89"/>
  <c r="BI913" i="89"/>
  <c r="BI1230" i="89"/>
  <c r="BH917" i="89"/>
  <c r="BH1234" i="89"/>
  <c r="BI921" i="89"/>
  <c r="BI1238" i="89"/>
  <c r="BH929" i="89"/>
  <c r="BH1246" i="89"/>
  <c r="BH941" i="89"/>
  <c r="BH1258" i="89"/>
  <c r="BL949" i="89"/>
  <c r="BL1266" i="89"/>
  <c r="BH961" i="89"/>
  <c r="BH1278" i="89"/>
  <c r="BI965" i="89"/>
  <c r="BI1282" i="89"/>
  <c r="BH969" i="89"/>
  <c r="BH1286" i="89"/>
  <c r="BK969" i="89"/>
  <c r="BK1286" i="89"/>
  <c r="BI973" i="89"/>
  <c r="BI1290" i="89"/>
  <c r="BH977" i="89"/>
  <c r="BH1294" i="89"/>
  <c r="BI981" i="89"/>
  <c r="BI1298" i="89"/>
  <c r="BH985" i="89"/>
  <c r="BH1302" i="89"/>
  <c r="BI989" i="89"/>
  <c r="BI1306" i="89"/>
  <c r="BH993" i="89"/>
  <c r="BH1310" i="89"/>
  <c r="BH802" i="89"/>
  <c r="BH1119" i="89"/>
  <c r="BH782" i="89"/>
  <c r="BH1099" i="89"/>
  <c r="BH766" i="89"/>
  <c r="BH1083" i="89"/>
  <c r="BH750" i="89"/>
  <c r="BH1067" i="89"/>
  <c r="BH734" i="89"/>
  <c r="BH1051" i="89"/>
  <c r="BH718" i="89"/>
  <c r="BH1035" i="89"/>
  <c r="BH702" i="89"/>
  <c r="BH1019" i="89"/>
  <c r="BH810" i="89"/>
  <c r="BH1127" i="89"/>
  <c r="BJ822" i="89"/>
  <c r="BJ1139" i="89"/>
  <c r="BH830" i="89"/>
  <c r="BH1147" i="89"/>
  <c r="BH866" i="89"/>
  <c r="BH1183" i="89"/>
  <c r="BJ914" i="89"/>
  <c r="BJ1231" i="89"/>
  <c r="BI914" i="89"/>
  <c r="BI1231" i="89"/>
  <c r="BH922" i="89"/>
  <c r="BH1239" i="89"/>
  <c r="BH962" i="89"/>
  <c r="BH1279" i="89"/>
  <c r="BI990" i="89"/>
  <c r="BI1307" i="89"/>
  <c r="BH785" i="89"/>
  <c r="BH1102" i="89"/>
  <c r="BJ815" i="89"/>
  <c r="BJ1132" i="89"/>
  <c r="BJ1152" i="89"/>
  <c r="BH855" i="89"/>
  <c r="BH1172" i="89"/>
  <c r="BL875" i="89"/>
  <c r="BL1192" i="89"/>
  <c r="BH915" i="89"/>
  <c r="BH1232" i="89"/>
  <c r="BJ923" i="89"/>
  <c r="BJ1240" i="89"/>
  <c r="BH935" i="89"/>
  <c r="BH1252" i="89"/>
  <c r="BI955" i="89"/>
  <c r="BI1272" i="89"/>
  <c r="BH991" i="89"/>
  <c r="BJ502" i="89"/>
  <c r="BL532" i="89"/>
  <c r="BL504" i="89"/>
  <c r="BL508" i="89"/>
  <c r="BK503" i="89"/>
  <c r="BK500" i="89"/>
  <c r="BK492" i="89"/>
  <c r="BJ487" i="89"/>
  <c r="BL475" i="89"/>
  <c r="BH843" i="89"/>
  <c r="BH879" i="89"/>
  <c r="BH886" i="89"/>
  <c r="BL503" i="89"/>
  <c r="BK512" i="89"/>
  <c r="BH924" i="89"/>
  <c r="BH940" i="89"/>
  <c r="BI980" i="89"/>
  <c r="BI988" i="89"/>
  <c r="BH819" i="89"/>
  <c r="BH893" i="89"/>
  <c r="BH909" i="89"/>
  <c r="BH925" i="89"/>
  <c r="BH883" i="89"/>
  <c r="BL491" i="89"/>
  <c r="BL509" i="89"/>
  <c r="BJ482" i="89"/>
  <c r="W666" i="89" s="1"/>
  <c r="BJ542" i="89"/>
  <c r="BK517" i="89"/>
  <c r="BK499" i="89"/>
  <c r="BL510" i="89"/>
  <c r="BL477" i="89"/>
  <c r="BK542" i="89"/>
  <c r="BK537" i="89"/>
  <c r="BL517" i="89"/>
  <c r="BJ489" i="89"/>
  <c r="BJ477" i="89"/>
  <c r="BJ531" i="89"/>
  <c r="BL467" i="89"/>
  <c r="Y684" i="89" s="1"/>
  <c r="BK539" i="89"/>
  <c r="BJ523" i="89"/>
  <c r="BJ515" i="89"/>
  <c r="BJ494" i="89"/>
  <c r="BK486" i="89"/>
  <c r="BK475" i="89"/>
  <c r="BJ471" i="89"/>
  <c r="BK458" i="89"/>
  <c r="BL535" i="89"/>
  <c r="BJ503" i="89"/>
  <c r="BK459" i="89"/>
  <c r="BL490" i="89"/>
  <c r="BL465" i="89"/>
  <c r="BK508" i="89"/>
  <c r="BK532" i="89"/>
  <c r="BJ520" i="89"/>
  <c r="BK516" i="89"/>
  <c r="BK504" i="89"/>
  <c r="BL492" i="89"/>
  <c r="BL519" i="89"/>
  <c r="BH919" i="89"/>
  <c r="BH975" i="89"/>
  <c r="BI979" i="89"/>
  <c r="BL987" i="89"/>
  <c r="BH995" i="89"/>
  <c r="BH863" i="89"/>
  <c r="BJ461" i="89"/>
  <c r="BK544" i="89"/>
  <c r="BH764" i="89"/>
  <c r="BI900" i="89"/>
  <c r="BH867" i="89"/>
  <c r="BH813" i="89"/>
  <c r="BH957" i="89"/>
  <c r="BH973" i="89"/>
  <c r="BH989" i="89"/>
  <c r="BK509" i="89"/>
  <c r="BK535" i="89"/>
  <c r="BL507" i="89"/>
  <c r="BK510" i="89"/>
  <c r="BL474" i="89"/>
  <c r="BL542" i="89"/>
  <c r="BK534" i="89"/>
  <c r="BK490" i="89"/>
  <c r="BJ541" i="89"/>
  <c r="BL533" i="89"/>
  <c r="BL497" i="89"/>
  <c r="BJ457" i="89"/>
  <c r="W674" i="89" s="1"/>
  <c r="BL539" i="89"/>
  <c r="BK502" i="89"/>
  <c r="BL482" i="89"/>
  <c r="BK523" i="89"/>
  <c r="BL527" i="89"/>
  <c r="BL459" i="89"/>
  <c r="BK460" i="89"/>
  <c r="BJ544" i="89"/>
  <c r="BK540" i="89"/>
  <c r="BJ532" i="89"/>
  <c r="BK527" i="89"/>
  <c r="BK520" i="89"/>
  <c r="BJ460" i="89"/>
  <c r="BL485" i="89"/>
  <c r="BH800" i="89"/>
  <c r="BH814" i="89"/>
  <c r="BJ540" i="89"/>
  <c r="BH906" i="89"/>
  <c r="BH990" i="89"/>
  <c r="BI544" i="89"/>
  <c r="BK533" i="89"/>
  <c r="BK541" i="89"/>
  <c r="BJ524" i="89"/>
  <c r="BJ1188" i="89" s="1"/>
  <c r="Y155" i="89"/>
  <c r="BL458" i="89" s="1"/>
  <c r="BK513" i="89"/>
  <c r="BK1177" i="89" s="1"/>
  <c r="BI432" i="89"/>
  <c r="BL530" i="89"/>
  <c r="BJ516" i="89"/>
  <c r="BK465" i="89"/>
  <c r="BI504" i="89"/>
  <c r="BI408" i="89"/>
  <c r="BJ474" i="89"/>
  <c r="BI502" i="89"/>
  <c r="BI1166" i="89" s="1"/>
  <c r="BI530" i="89"/>
  <c r="BJ606" i="88"/>
  <c r="BJ1270" i="88" s="1"/>
  <c r="BH608" i="88"/>
  <c r="BH955" i="88" s="1"/>
  <c r="BH533" i="88"/>
  <c r="BH880" i="88" s="1"/>
  <c r="BJ476" i="88"/>
  <c r="BJ823" i="88" s="1"/>
  <c r="BG417" i="88"/>
  <c r="BG1081" i="88" s="1"/>
  <c r="BJ592" i="88"/>
  <c r="BJ1256" i="88" s="1"/>
  <c r="BJ537" i="88"/>
  <c r="BJ1201" i="88" s="1"/>
  <c r="V316" i="88"/>
  <c r="W316" i="88" s="1"/>
  <c r="BJ619" i="88" s="1"/>
  <c r="BH564" i="88"/>
  <c r="BH1228" i="88" s="1"/>
  <c r="BI484" i="88"/>
  <c r="BI831" i="88" s="1"/>
  <c r="X153" i="89"/>
  <c r="Y153" i="89" s="1"/>
  <c r="Y287" i="89"/>
  <c r="BL590" i="89" s="1"/>
  <c r="BL937" i="89" s="1"/>
  <c r="X208" i="89"/>
  <c r="Y320" i="89"/>
  <c r="BL623" i="89" s="1"/>
  <c r="Y231" i="89"/>
  <c r="Y274" i="89"/>
  <c r="BL577" i="89" s="1"/>
  <c r="X266" i="89"/>
  <c r="BK569" i="89" s="1"/>
  <c r="BK916" i="89" s="1"/>
  <c r="Y254" i="89"/>
  <c r="BL557" i="89" s="1"/>
  <c r="BL904" i="89" s="1"/>
  <c r="Y226" i="89"/>
  <c r="Y183" i="89"/>
  <c r="BL486" i="89" s="1"/>
  <c r="BH966" i="88"/>
  <c r="BH1283" i="88"/>
  <c r="BJ824" i="88"/>
  <c r="BJ1141" i="88"/>
  <c r="BJ921" i="88"/>
  <c r="BJ1238" i="88"/>
  <c r="BH956" i="88"/>
  <c r="BH1273" i="88"/>
  <c r="BH947" i="88"/>
  <c r="BH1264" i="88"/>
  <c r="BH812" i="88"/>
  <c r="BH1129" i="88"/>
  <c r="BG795" i="88"/>
  <c r="BG1112" i="88"/>
  <c r="BH932" i="88"/>
  <c r="BH1249" i="88"/>
  <c r="BJ930" i="88"/>
  <c r="BJ1247" i="88"/>
  <c r="BJ848" i="88"/>
  <c r="BJ1165" i="88"/>
  <c r="BJ959" i="88"/>
  <c r="BJ1276" i="88"/>
  <c r="BH922" i="88"/>
  <c r="BH1239" i="88"/>
  <c r="BG753" i="88"/>
  <c r="BG1070" i="88"/>
  <c r="BG705" i="88"/>
  <c r="BG1022" i="88"/>
  <c r="BJ834" i="88"/>
  <c r="BJ1151" i="88"/>
  <c r="BG791" i="88"/>
  <c r="BG1108" i="88"/>
  <c r="BG743" i="88"/>
  <c r="BG1060" i="88"/>
  <c r="BJ968" i="88"/>
  <c r="BJ1285" i="88"/>
  <c r="BJ838" i="88"/>
  <c r="BJ1155" i="88"/>
  <c r="BG726" i="88"/>
  <c r="BG1043" i="88"/>
  <c r="BG786" i="88"/>
  <c r="BG1103" i="88"/>
  <c r="BI929" i="88"/>
  <c r="BI1246" i="88"/>
  <c r="BJ953" i="88"/>
  <c r="BF992" i="88"/>
  <c r="BF1309" i="88"/>
  <c r="BF974" i="88"/>
  <c r="BF1291" i="88"/>
  <c r="BF879" i="88"/>
  <c r="BF1196" i="88"/>
  <c r="BF869" i="88"/>
  <c r="BF1186" i="88"/>
  <c r="BF854" i="88"/>
  <c r="BF1171" i="88"/>
  <c r="BF846" i="88"/>
  <c r="BF1163" i="88"/>
  <c r="BI842" i="88"/>
  <c r="BI1159" i="88"/>
  <c r="BF828" i="88"/>
  <c r="BF1145" i="88"/>
  <c r="BG825" i="88"/>
  <c r="BG1142" i="88"/>
  <c r="BG823" i="88"/>
  <c r="BG1140" i="88"/>
  <c r="BG820" i="88"/>
  <c r="BG1137" i="88"/>
  <c r="BH806" i="88"/>
  <c r="BH1123" i="88"/>
  <c r="BF775" i="88"/>
  <c r="BF1092" i="88"/>
  <c r="BG731" i="88"/>
  <c r="BG1048" i="88"/>
  <c r="BF699" i="88"/>
  <c r="BF1016" i="88"/>
  <c r="BG961" i="88"/>
  <c r="BG1278" i="88"/>
  <c r="BG911" i="88"/>
  <c r="BG1228" i="88"/>
  <c r="BG890" i="88"/>
  <c r="BG1207" i="88"/>
  <c r="BG852" i="88"/>
  <c r="BG1169" i="88"/>
  <c r="BG847" i="88"/>
  <c r="BG1164" i="88"/>
  <c r="BF785" i="88"/>
  <c r="BF1102" i="88"/>
  <c r="BG982" i="88"/>
  <c r="BG1299" i="88"/>
  <c r="BG926" i="88"/>
  <c r="BG1243" i="88"/>
  <c r="BJ873" i="88"/>
  <c r="BJ1190" i="88"/>
  <c r="BI838" i="88"/>
  <c r="BI1155" i="88"/>
  <c r="BG814" i="88"/>
  <c r="BG1131" i="88"/>
  <c r="BG802" i="88"/>
  <c r="BG1119" i="88"/>
  <c r="BF716" i="88"/>
  <c r="BF1033" i="88"/>
  <c r="BH985" i="88"/>
  <c r="BH1302" i="88"/>
  <c r="BI979" i="88"/>
  <c r="BI1296" i="88"/>
  <c r="BG960" i="88"/>
  <c r="BG1277" i="88"/>
  <c r="BF924" i="88"/>
  <c r="BF1241" i="88"/>
  <c r="BJ923" i="88"/>
  <c r="BJ1240" i="88"/>
  <c r="BI921" i="88"/>
  <c r="BI1238" i="88"/>
  <c r="BF913" i="88"/>
  <c r="BF1230" i="88"/>
  <c r="BF899" i="88"/>
  <c r="BF1216" i="88"/>
  <c r="BF897" i="88"/>
  <c r="BF1214" i="88"/>
  <c r="BG876" i="88"/>
  <c r="BG1193" i="88"/>
  <c r="BH861" i="88"/>
  <c r="BH1178" i="88"/>
  <c r="BF855" i="88"/>
  <c r="BF1172" i="88"/>
  <c r="BF845" i="88"/>
  <c r="BF1162" i="88"/>
  <c r="BG832" i="88"/>
  <c r="BG1149" i="88"/>
  <c r="BF811" i="88"/>
  <c r="BF1128" i="88"/>
  <c r="BF798" i="88"/>
  <c r="BF1115" i="88"/>
  <c r="BF750" i="88"/>
  <c r="BF1067" i="88"/>
  <c r="BG990" i="88"/>
  <c r="BG1307" i="88"/>
  <c r="BF951" i="88"/>
  <c r="BF1268" i="88"/>
  <c r="BG906" i="88"/>
  <c r="BG1223" i="88"/>
  <c r="BF867" i="88"/>
  <c r="BF1184" i="88"/>
  <c r="BF705" i="88"/>
  <c r="BF1022" i="88"/>
  <c r="BG883" i="88"/>
  <c r="BG1200" i="88"/>
  <c r="BI513" i="88"/>
  <c r="BG949" i="88"/>
  <c r="BG1266" i="88"/>
  <c r="BI945" i="88"/>
  <c r="BI1262" i="88"/>
  <c r="BG927" i="88"/>
  <c r="BG1244" i="88"/>
  <c r="BH868" i="88"/>
  <c r="BH1185" i="88"/>
  <c r="BF830" i="88"/>
  <c r="BF1147" i="88"/>
  <c r="BG741" i="88"/>
  <c r="BG1058" i="88"/>
  <c r="BJ975" i="88"/>
  <c r="BJ1292" i="88"/>
  <c r="BH948" i="88"/>
  <c r="BH1265" i="88"/>
  <c r="BG933" i="88"/>
  <c r="BG1250" i="88"/>
  <c r="BH914" i="88"/>
  <c r="BH1231" i="88"/>
  <c r="BH882" i="88"/>
  <c r="BH1199" i="88"/>
  <c r="BJ806" i="88"/>
  <c r="BJ1123" i="88"/>
  <c r="BG765" i="88"/>
  <c r="BG1082" i="88"/>
  <c r="BG717" i="88"/>
  <c r="BG1034" i="88"/>
  <c r="BI858" i="88"/>
  <c r="BI1175" i="88"/>
  <c r="BH803" i="88"/>
  <c r="BH1120" i="88"/>
  <c r="BG755" i="88"/>
  <c r="BG1072" i="88"/>
  <c r="BG723" i="88"/>
  <c r="BG1040" i="88"/>
  <c r="BG722" i="88"/>
  <c r="BG1039" i="88"/>
  <c r="BH784" i="88"/>
  <c r="BH1101" i="88"/>
  <c r="BH798" i="88"/>
  <c r="BH1115" i="88"/>
  <c r="BG782" i="88"/>
  <c r="BG1099" i="88"/>
  <c r="BG766" i="88"/>
  <c r="BG1083" i="88"/>
  <c r="BH750" i="88"/>
  <c r="BH1067" i="88"/>
  <c r="BG734" i="88"/>
  <c r="BG1051" i="88"/>
  <c r="BH776" i="88"/>
  <c r="BH1093" i="88"/>
  <c r="BH760" i="88"/>
  <c r="BH1077" i="88"/>
  <c r="BH712" i="88"/>
  <c r="BH1029" i="88"/>
  <c r="BJ927" i="88"/>
  <c r="BJ1244" i="88"/>
  <c r="BI813" i="88"/>
  <c r="BI1130" i="88"/>
  <c r="BJ843" i="88"/>
  <c r="BJ1160" i="88"/>
  <c r="BI808" i="88"/>
  <c r="BI1125" i="88"/>
  <c r="BJ831" i="88"/>
  <c r="BJ1148" i="88"/>
  <c r="BJ836" i="88"/>
  <c r="BJ1153" i="88"/>
  <c r="BJ819" i="88"/>
  <c r="BJ1136" i="88"/>
  <c r="V297" i="88"/>
  <c r="W297" i="88" s="1"/>
  <c r="BJ600" i="88" s="1"/>
  <c r="BG992" i="88"/>
  <c r="BG1309" i="88"/>
  <c r="BF986" i="88"/>
  <c r="BF1303" i="88"/>
  <c r="BF984" i="88"/>
  <c r="BF1301" i="88"/>
  <c r="BH977" i="88"/>
  <c r="BH1294" i="88"/>
  <c r="BJ974" i="88"/>
  <c r="BJ1291" i="88"/>
  <c r="BG973" i="88"/>
  <c r="BG1290" i="88"/>
  <c r="BG966" i="88"/>
  <c r="BG1283" i="88"/>
  <c r="BJ965" i="88"/>
  <c r="BJ1282" i="88"/>
  <c r="BH959" i="88"/>
  <c r="BH1276" i="88"/>
  <c r="BF955" i="88"/>
  <c r="BF1272" i="88"/>
  <c r="BH944" i="88"/>
  <c r="BH1261" i="88"/>
  <c r="BG939" i="88"/>
  <c r="BG1256" i="88"/>
  <c r="BG928" i="88"/>
  <c r="BG1245" i="88"/>
  <c r="BJ928" i="88"/>
  <c r="BJ1245" i="88"/>
  <c r="BI919" i="88"/>
  <c r="BI1236" i="88"/>
  <c r="BH919" i="88"/>
  <c r="BH1236" i="88"/>
  <c r="BG893" i="88"/>
  <c r="BG1210" i="88"/>
  <c r="BF892" i="88"/>
  <c r="BF1209" i="88"/>
  <c r="BH884" i="88"/>
  <c r="BH1201" i="88"/>
  <c r="BF880" i="88"/>
  <c r="BF1197" i="88"/>
  <c r="BG879" i="88"/>
  <c r="BG1196" i="88"/>
  <c r="BH872" i="88"/>
  <c r="BH1189" i="88"/>
  <c r="BG869" i="88"/>
  <c r="BG1186" i="88"/>
  <c r="BI862" i="88"/>
  <c r="BI1179" i="88"/>
  <c r="BH858" i="88"/>
  <c r="BH1175" i="88"/>
  <c r="BF842" i="88"/>
  <c r="BF1159" i="88"/>
  <c r="BF841" i="88"/>
  <c r="BF1158" i="88"/>
  <c r="BG840" i="88"/>
  <c r="BG1157" i="88"/>
  <c r="BG829" i="88"/>
  <c r="BG1146" i="88"/>
  <c r="BG828" i="88"/>
  <c r="BG1145" i="88"/>
  <c r="BI825" i="88"/>
  <c r="BI1142" i="88"/>
  <c r="BI824" i="88"/>
  <c r="BI1141" i="88"/>
  <c r="BH824" i="88"/>
  <c r="BH1141" i="88"/>
  <c r="BH821" i="88"/>
  <c r="BH1138" i="88"/>
  <c r="BJ821" i="88"/>
  <c r="BJ1138" i="88"/>
  <c r="BH820" i="88"/>
  <c r="BH1137" i="88"/>
  <c r="BI819" i="88"/>
  <c r="BI1136" i="88"/>
  <c r="BF818" i="88"/>
  <c r="BF1135" i="88"/>
  <c r="BF806" i="88"/>
  <c r="BF1123" i="88"/>
  <c r="BG799" i="88"/>
  <c r="BG1116" i="88"/>
  <c r="BF787" i="88"/>
  <c r="BF1104" i="88"/>
  <c r="BF771" i="88"/>
  <c r="BF1088" i="88"/>
  <c r="BF755" i="88"/>
  <c r="BF1072" i="88"/>
  <c r="BF739" i="88"/>
  <c r="BF1056" i="88"/>
  <c r="BF727" i="88"/>
  <c r="BF1044" i="88"/>
  <c r="BF711" i="88"/>
  <c r="BF1028" i="88"/>
  <c r="BF710" i="88"/>
  <c r="BF1027" i="88"/>
  <c r="BH968" i="88"/>
  <c r="BH1285" i="88"/>
  <c r="BH961" i="88"/>
  <c r="BH1278" i="88"/>
  <c r="BG950" i="88"/>
  <c r="BG1267" i="88"/>
  <c r="BJ931" i="88"/>
  <c r="BJ1248" i="88"/>
  <c r="BH911" i="88"/>
  <c r="BF902" i="88"/>
  <c r="BF1219" i="88"/>
  <c r="BG881" i="88"/>
  <c r="BG1198" i="88"/>
  <c r="BG859" i="88"/>
  <c r="BG1176" i="88"/>
  <c r="BG857" i="88"/>
  <c r="BG1174" i="88"/>
  <c r="BH852" i="88"/>
  <c r="BH1169" i="88"/>
  <c r="BF850" i="88"/>
  <c r="BF1167" i="88"/>
  <c r="BF849" i="88"/>
  <c r="BF1166" i="88"/>
  <c r="BH836" i="88"/>
  <c r="BH1153" i="88"/>
  <c r="BG800" i="88"/>
  <c r="BG1117" i="88"/>
  <c r="BF781" i="88"/>
  <c r="BF1098" i="88"/>
  <c r="BF729" i="88"/>
  <c r="BF1046" i="88"/>
  <c r="BI962" i="88"/>
  <c r="BI1279" i="88"/>
  <c r="BJ962" i="88"/>
  <c r="BJ1279" i="88"/>
  <c r="BG953" i="88"/>
  <c r="BG1270" i="88"/>
  <c r="BF875" i="88"/>
  <c r="BF1192" i="88"/>
  <c r="BH873" i="88"/>
  <c r="BH1190" i="88"/>
  <c r="BG873" i="88"/>
  <c r="BG1190" i="88"/>
  <c r="BJ492" i="88"/>
  <c r="BF838" i="88"/>
  <c r="BF1155" i="88"/>
  <c r="BI1148" i="88"/>
  <c r="BF817" i="88"/>
  <c r="BF1134" i="88"/>
  <c r="BF814" i="88"/>
  <c r="BF1131" i="88"/>
  <c r="BH802" i="88"/>
  <c r="BH1119" i="88"/>
  <c r="BF788" i="88"/>
  <c r="BF1105" i="88"/>
  <c r="BF772" i="88"/>
  <c r="BF1089" i="88"/>
  <c r="BF760" i="88"/>
  <c r="BF1077" i="88"/>
  <c r="BF744" i="88"/>
  <c r="BF1061" i="88"/>
  <c r="BF728" i="88"/>
  <c r="BF1045" i="88"/>
  <c r="BF712" i="88"/>
  <c r="BF1029" i="88"/>
  <c r="BF696" i="88"/>
  <c r="BF1013" i="88"/>
  <c r="BF985" i="88"/>
  <c r="BF1302" i="88"/>
  <c r="BI985" i="88"/>
  <c r="BI1302" i="88"/>
  <c r="BJ983" i="88"/>
  <c r="BJ1300" i="88"/>
  <c r="BG980" i="88"/>
  <c r="BG1297" i="88"/>
  <c r="BF979" i="88"/>
  <c r="BF1296" i="88"/>
  <c r="BI972" i="88"/>
  <c r="BI1289" i="88"/>
  <c r="BG971" i="88"/>
  <c r="BG1288" i="88"/>
  <c r="BH960" i="88"/>
  <c r="BH1277" i="88"/>
  <c r="BG956" i="88"/>
  <c r="BG1273" i="88"/>
  <c r="BH952" i="88"/>
  <c r="BH1269" i="88"/>
  <c r="BG940" i="88"/>
  <c r="BG1257" i="88"/>
  <c r="BJ940" i="88"/>
  <c r="BJ1257" i="88"/>
  <c r="BF934" i="88"/>
  <c r="BF1251" i="88"/>
  <c r="BF925" i="88"/>
  <c r="BF1242" i="88"/>
  <c r="BG924" i="88"/>
  <c r="BG1241" i="88"/>
  <c r="BG923" i="88"/>
  <c r="BG1240" i="88"/>
  <c r="BF921" i="88"/>
  <c r="BF1238" i="88"/>
  <c r="BH916" i="88"/>
  <c r="BH1233" i="88"/>
  <c r="BG913" i="88"/>
  <c r="BG1230" i="88"/>
  <c r="BJ913" i="88"/>
  <c r="BJ1230" i="88"/>
  <c r="BG901" i="88"/>
  <c r="BG1218" i="88"/>
  <c r="BG900" i="88"/>
  <c r="BG1217" i="88"/>
  <c r="BG899" i="88"/>
  <c r="BG1216" i="88"/>
  <c r="BH549" i="88"/>
  <c r="BF895" i="88"/>
  <c r="BF1212" i="88"/>
  <c r="BF889" i="88"/>
  <c r="BF1206" i="88"/>
  <c r="BG870" i="88"/>
  <c r="BG1187" i="88"/>
  <c r="BG866" i="88"/>
  <c r="BG1183" i="88"/>
  <c r="BG865" i="88"/>
  <c r="BG1182" i="88"/>
  <c r="BF863" i="88"/>
  <c r="BF1180" i="88"/>
  <c r="BI861" i="88"/>
  <c r="BI1178" i="88"/>
  <c r="BF856" i="88"/>
  <c r="BF1173" i="88"/>
  <c r="BG855" i="88"/>
  <c r="BG1172" i="88"/>
  <c r="BF848" i="88"/>
  <c r="BF1165" i="88"/>
  <c r="BJ845" i="88"/>
  <c r="BJ1162" i="88"/>
  <c r="BH843" i="88"/>
  <c r="BH1160" i="88"/>
  <c r="BH834" i="88"/>
  <c r="BH1151" i="88"/>
  <c r="BG815" i="88"/>
  <c r="BG1132" i="88"/>
  <c r="BF812" i="88"/>
  <c r="BF1129" i="88"/>
  <c r="BG811" i="88"/>
  <c r="BG1128" i="88"/>
  <c r="BH461" i="88"/>
  <c r="BI807" i="88"/>
  <c r="BI1124" i="88"/>
  <c r="BF794" i="88"/>
  <c r="BF1111" i="88"/>
  <c r="BF778" i="88"/>
  <c r="BF1095" i="88"/>
  <c r="BF762" i="88"/>
  <c r="BF1079" i="88"/>
  <c r="BF746" i="88"/>
  <c r="BF1063" i="88"/>
  <c r="BF730" i="88"/>
  <c r="BF1047" i="88"/>
  <c r="BF714" i="88"/>
  <c r="BF1031" i="88"/>
  <c r="BH990" i="88"/>
  <c r="BH1307" i="88"/>
  <c r="BJ987" i="88"/>
  <c r="BJ1304" i="88"/>
  <c r="BJ951" i="88"/>
  <c r="BJ1268" i="88"/>
  <c r="BH910" i="88"/>
  <c r="BH1227" i="88"/>
  <c r="BF903" i="88"/>
  <c r="BF1220" i="88"/>
  <c r="BH877" i="88"/>
  <c r="BH1194" i="88"/>
  <c r="BJ867" i="88"/>
  <c r="BJ1184" i="88"/>
  <c r="BF805" i="88"/>
  <c r="BF1122" i="88"/>
  <c r="BF793" i="88"/>
  <c r="BF1110" i="88"/>
  <c r="BF761" i="88"/>
  <c r="BF1078" i="88"/>
  <c r="BF701" i="88"/>
  <c r="BF1018" i="88"/>
  <c r="BF978" i="88"/>
  <c r="BF1295" i="88"/>
  <c r="BG932" i="88"/>
  <c r="BG1249" i="88"/>
  <c r="BG917" i="88"/>
  <c r="BG1234" i="88"/>
  <c r="BF912" i="88"/>
  <c r="BF1229" i="88"/>
  <c r="BG887" i="88"/>
  <c r="BG1204" i="88"/>
  <c r="BH878" i="88"/>
  <c r="BH1195" i="88"/>
  <c r="BG871" i="88"/>
  <c r="BG1188" i="88"/>
  <c r="BF860" i="88"/>
  <c r="BF1177" i="88"/>
  <c r="BH853" i="88"/>
  <c r="BH1170" i="88"/>
  <c r="BG853" i="88"/>
  <c r="BG1170" i="88"/>
  <c r="BF964" i="88"/>
  <c r="BF1281" i="88"/>
  <c r="BF946" i="88"/>
  <c r="BF1263" i="88"/>
  <c r="BJ945" i="88"/>
  <c r="BJ1262" i="88"/>
  <c r="BH943" i="88"/>
  <c r="BH1260" i="88"/>
  <c r="BG943" i="88"/>
  <c r="BG1260" i="88"/>
  <c r="BH942" i="88"/>
  <c r="BH1259" i="88"/>
  <c r="BF918" i="88"/>
  <c r="BF1235" i="88"/>
  <c r="BI915" i="88"/>
  <c r="BI1232" i="88"/>
  <c r="BH915" i="88"/>
  <c r="BH1232" i="88"/>
  <c r="BF904" i="88"/>
  <c r="BF1221" i="88"/>
  <c r="BH886" i="88"/>
  <c r="BH1203" i="88"/>
  <c r="BF885" i="88"/>
  <c r="BF1202" i="88"/>
  <c r="BH837" i="88"/>
  <c r="BH1154" i="88"/>
  <c r="BJ835" i="88"/>
  <c r="BJ1152" i="88"/>
  <c r="BF816" i="88"/>
  <c r="BF1133" i="88"/>
  <c r="BF749" i="88"/>
  <c r="BF1066" i="88"/>
  <c r="BF725" i="88"/>
  <c r="BF1042" i="88"/>
  <c r="BH975" i="88"/>
  <c r="BH1292" i="88"/>
  <c r="BG975" i="88"/>
  <c r="BG1292" i="88"/>
  <c r="BG954" i="88"/>
  <c r="BG1271" i="88"/>
  <c r="BI948" i="88"/>
  <c r="BI1265" i="88"/>
  <c r="BG938" i="88"/>
  <c r="BG1255" i="88"/>
  <c r="BJ935" i="88"/>
  <c r="BJ1252" i="88"/>
  <c r="BI933" i="88"/>
  <c r="BI1250" i="88"/>
  <c r="BF874" i="88"/>
  <c r="BF1191" i="88"/>
  <c r="BH934" i="88"/>
  <c r="BH1251" i="88"/>
  <c r="BJ841" i="88"/>
  <c r="BJ1158" i="88"/>
  <c r="BG785" i="88"/>
  <c r="BG1102" i="88"/>
  <c r="BG737" i="88"/>
  <c r="BG1054" i="88"/>
  <c r="BH908" i="88"/>
  <c r="BH1225" i="88"/>
  <c r="BG775" i="88"/>
  <c r="BG1092" i="88"/>
  <c r="BG727" i="88"/>
  <c r="BG1044" i="88"/>
  <c r="BH804" i="88"/>
  <c r="BH1121" i="88"/>
  <c r="BH698" i="88"/>
  <c r="BH1015" i="88"/>
  <c r="BG770" i="88"/>
  <c r="BG1087" i="88"/>
  <c r="BJ820" i="88"/>
  <c r="BJ1137" i="88"/>
  <c r="BH984" i="88"/>
  <c r="BH1301" i="88"/>
  <c r="BF973" i="88"/>
  <c r="BF1290" i="88"/>
  <c r="BH920" i="88"/>
  <c r="BH1237" i="88"/>
  <c r="BF909" i="88"/>
  <c r="BF1226" i="88"/>
  <c r="BG872" i="88"/>
  <c r="BG1189" i="88"/>
  <c r="BG858" i="88"/>
  <c r="BG1175" i="88"/>
  <c r="BH851" i="88"/>
  <c r="BH1168" i="88"/>
  <c r="BF840" i="88"/>
  <c r="BF1157" i="88"/>
  <c r="BH819" i="88"/>
  <c r="BH1136" i="88"/>
  <c r="BF799" i="88"/>
  <c r="BF1116" i="88"/>
  <c r="BF759" i="88"/>
  <c r="BF1076" i="88"/>
  <c r="BF715" i="88"/>
  <c r="BF1032" i="88"/>
  <c r="BF950" i="88"/>
  <c r="BF1267" i="88"/>
  <c r="BF931" i="88"/>
  <c r="BF1248" i="88"/>
  <c r="BJ859" i="88"/>
  <c r="BJ1176" i="88"/>
  <c r="BH850" i="88"/>
  <c r="BH1167" i="88"/>
  <c r="BG836" i="88"/>
  <c r="BG1153" i="88"/>
  <c r="BJ800" i="88"/>
  <c r="BJ1117" i="88"/>
  <c r="BH962" i="88"/>
  <c r="BH1279" i="88"/>
  <c r="BG844" i="88"/>
  <c r="BG1161" i="88"/>
  <c r="BH831" i="88"/>
  <c r="BH1148" i="88"/>
  <c r="BF776" i="88"/>
  <c r="BF1093" i="88"/>
  <c r="BF732" i="88"/>
  <c r="BF1049" i="88"/>
  <c r="BF988" i="88"/>
  <c r="BF1305" i="88"/>
  <c r="BF983" i="88"/>
  <c r="BF1300" i="88"/>
  <c r="BF971" i="88"/>
  <c r="BF1288" i="88"/>
  <c r="BG952" i="88"/>
  <c r="BG1269" i="88"/>
  <c r="BJ917" i="88"/>
  <c r="BJ1234" i="88"/>
  <c r="BF900" i="88"/>
  <c r="BF1217" i="88"/>
  <c r="BH864" i="88"/>
  <c r="BH1181" i="88"/>
  <c r="BG861" i="88"/>
  <c r="BG1178" i="88"/>
  <c r="BH848" i="88"/>
  <c r="BH1165" i="88"/>
  <c r="BG834" i="88"/>
  <c r="BG1151" i="88"/>
  <c r="BG813" i="88"/>
  <c r="BG1130" i="88"/>
  <c r="BH807" i="88"/>
  <c r="BH1124" i="88"/>
  <c r="BF766" i="88"/>
  <c r="BF1083" i="88"/>
  <c r="BF987" i="88"/>
  <c r="BF1304" i="88"/>
  <c r="BG937" i="88"/>
  <c r="BG1254" i="88"/>
  <c r="BG804" i="88"/>
  <c r="BG1121" i="88"/>
  <c r="BG991" i="88"/>
  <c r="BG1308" i="88"/>
  <c r="BF917" i="88"/>
  <c r="BF1234" i="88"/>
  <c r="BG942" i="88"/>
  <c r="BG1259" i="88"/>
  <c r="BG886" i="88"/>
  <c r="BG1203" i="88"/>
  <c r="BI885" i="88"/>
  <c r="BI1202" i="88"/>
  <c r="BI835" i="88"/>
  <c r="BI1152" i="88"/>
  <c r="BF697" i="88"/>
  <c r="BF1014" i="88"/>
  <c r="BF938" i="88"/>
  <c r="BF1255" i="88"/>
  <c r="BF935" i="88"/>
  <c r="BF1252" i="88"/>
  <c r="BJ991" i="88"/>
  <c r="BJ1308" i="88"/>
  <c r="BH902" i="88"/>
  <c r="BH1219" i="88"/>
  <c r="BH822" i="88"/>
  <c r="BH1139" i="88"/>
  <c r="BG781" i="88"/>
  <c r="BG1098" i="88"/>
  <c r="BG733" i="88"/>
  <c r="BG1050" i="88"/>
  <c r="BH976" i="88"/>
  <c r="BH1293" i="88"/>
  <c r="BG771" i="88"/>
  <c r="BG1088" i="88"/>
  <c r="BI988" i="88"/>
  <c r="BI1305" i="88"/>
  <c r="BH970" i="88"/>
  <c r="BH1287" i="88"/>
  <c r="BH898" i="88"/>
  <c r="BH1215" i="88"/>
  <c r="BJ849" i="88"/>
  <c r="BJ1166" i="88"/>
  <c r="BH805" i="88"/>
  <c r="BH1122" i="88"/>
  <c r="BG761" i="88"/>
  <c r="BG1078" i="88"/>
  <c r="BG729" i="88"/>
  <c r="BG1046" i="88"/>
  <c r="BG697" i="88"/>
  <c r="BG1014" i="88"/>
  <c r="BH936" i="88"/>
  <c r="BH1253" i="88"/>
  <c r="BH904" i="88"/>
  <c r="BH1221" i="88"/>
  <c r="BH816" i="88"/>
  <c r="BH1133" i="88"/>
  <c r="BH799" i="88"/>
  <c r="BH1116" i="88"/>
  <c r="BG783" i="88"/>
  <c r="BG1100" i="88"/>
  <c r="BG767" i="88"/>
  <c r="BG1084" i="88"/>
  <c r="BG751" i="88"/>
  <c r="BG1068" i="88"/>
  <c r="BG735" i="88"/>
  <c r="BG1052" i="88"/>
  <c r="BG719" i="88"/>
  <c r="BG1036" i="88"/>
  <c r="BG703" i="88"/>
  <c r="BG1020" i="88"/>
  <c r="BJ521" i="88"/>
  <c r="BH772" i="88"/>
  <c r="BH1089" i="88"/>
  <c r="BH740" i="88"/>
  <c r="BH1057" i="88"/>
  <c r="BH708" i="88"/>
  <c r="BH1025" i="88"/>
  <c r="BG706" i="88"/>
  <c r="BG1023" i="88"/>
  <c r="BH736" i="88"/>
  <c r="BH1053" i="88"/>
  <c r="BG794" i="88"/>
  <c r="BG1111" i="88"/>
  <c r="BG778" i="88"/>
  <c r="BG1095" i="88"/>
  <c r="BG762" i="88"/>
  <c r="BG1079" i="88"/>
  <c r="BH746" i="88"/>
  <c r="BH1063" i="88"/>
  <c r="BG718" i="88"/>
  <c r="BG1035" i="88"/>
  <c r="BH752" i="88"/>
  <c r="BH1069" i="88"/>
  <c r="BJ1196" i="88"/>
  <c r="BJ992" i="88"/>
  <c r="BJ1309" i="88"/>
  <c r="BI981" i="88"/>
  <c r="BI1298" i="88"/>
  <c r="BJ912" i="88"/>
  <c r="BJ1229" i="88"/>
  <c r="BJ525" i="88"/>
  <c r="V236" i="88"/>
  <c r="W236" i="88" s="1"/>
  <c r="BJ539" i="88" s="1"/>
  <c r="BJ1203" i="88" s="1"/>
  <c r="V282" i="88"/>
  <c r="W282" i="88" s="1"/>
  <c r="BJ585" i="88" s="1"/>
  <c r="BH887" i="88"/>
  <c r="BH1204" i="88"/>
  <c r="BH992" i="88"/>
  <c r="BH1309" i="88"/>
  <c r="BG986" i="88"/>
  <c r="BG1303" i="88"/>
  <c r="BF977" i="88"/>
  <c r="BF1294" i="88"/>
  <c r="BI977" i="88"/>
  <c r="BI1294" i="88"/>
  <c r="BG974" i="88"/>
  <c r="BG1291" i="88"/>
  <c r="BF967" i="88"/>
  <c r="BF1284" i="88"/>
  <c r="BG965" i="88"/>
  <c r="BG1282" i="88"/>
  <c r="BF959" i="88"/>
  <c r="BF1276" i="88"/>
  <c r="BG955" i="88"/>
  <c r="BG1272" i="88"/>
  <c r="BF944" i="88"/>
  <c r="BF1261" i="88"/>
  <c r="BF929" i="88"/>
  <c r="BF1246" i="88"/>
  <c r="BH928" i="88"/>
  <c r="BH1245" i="88"/>
  <c r="BF920" i="88"/>
  <c r="BF1237" i="88"/>
  <c r="BF919" i="88"/>
  <c r="BF1236" i="88"/>
  <c r="BG909" i="88"/>
  <c r="BG1226" i="88"/>
  <c r="BF894" i="88"/>
  <c r="BF1211" i="88"/>
  <c r="BH893" i="88"/>
  <c r="BH1210" i="88"/>
  <c r="BG892" i="88"/>
  <c r="BG1209" i="88"/>
  <c r="BF884" i="88"/>
  <c r="BF1201" i="88"/>
  <c r="BG880" i="88"/>
  <c r="BG1197" i="88"/>
  <c r="BH869" i="88"/>
  <c r="BH1186" i="88"/>
  <c r="BJ869" i="88"/>
  <c r="BJ1186" i="88"/>
  <c r="BF862" i="88"/>
  <c r="BF1179" i="88"/>
  <c r="BF858" i="88"/>
  <c r="BF1175" i="88"/>
  <c r="BF851" i="88"/>
  <c r="BF1168" i="88"/>
  <c r="BG846" i="88"/>
  <c r="BG1163" i="88"/>
  <c r="BG842" i="88"/>
  <c r="BG1159" i="88"/>
  <c r="BJ842" i="88"/>
  <c r="BJ1159" i="88"/>
  <c r="BG841" i="88"/>
  <c r="BG1158" i="88"/>
  <c r="BH840" i="88"/>
  <c r="BH1157" i="88"/>
  <c r="BH829" i="88"/>
  <c r="BH1146" i="88"/>
  <c r="BH828" i="88"/>
  <c r="BH1145" i="88"/>
  <c r="BF825" i="88"/>
  <c r="BF1142" i="88"/>
  <c r="BF824" i="88"/>
  <c r="BF1141" i="88"/>
  <c r="BG822" i="88"/>
  <c r="BG1139" i="88"/>
  <c r="BI821" i="88"/>
  <c r="BI1138" i="88"/>
  <c r="BI820" i="88"/>
  <c r="BI1137" i="88"/>
  <c r="BF819" i="88"/>
  <c r="BF1136" i="88"/>
  <c r="BG818" i="88"/>
  <c r="BG1135" i="88"/>
  <c r="BF803" i="88"/>
  <c r="BF1120" i="88"/>
  <c r="BF795" i="88"/>
  <c r="BF1112" i="88"/>
  <c r="BF783" i="88"/>
  <c r="BF1100" i="88"/>
  <c r="BF767" i="88"/>
  <c r="BF1084" i="88"/>
  <c r="BF751" i="88"/>
  <c r="BF1068" i="88"/>
  <c r="BF735" i="88"/>
  <c r="BF1052" i="88"/>
  <c r="BF723" i="88"/>
  <c r="BF1040" i="88"/>
  <c r="BF707" i="88"/>
  <c r="BF1024" i="88"/>
  <c r="BF706" i="88"/>
  <c r="BF1023" i="88"/>
  <c r="BF968" i="88"/>
  <c r="BF1285" i="88"/>
  <c r="BF957" i="88"/>
  <c r="BF1274" i="88"/>
  <c r="BF941" i="88"/>
  <c r="BF1258" i="88"/>
  <c r="BH931" i="88"/>
  <c r="BH1248" i="88"/>
  <c r="BG931" i="88"/>
  <c r="BG1248" i="88"/>
  <c r="BG902" i="88"/>
  <c r="BG1219" i="88"/>
  <c r="BF881" i="88"/>
  <c r="BF1198" i="88"/>
  <c r="BH859" i="88"/>
  <c r="BH1176" i="88"/>
  <c r="BJ852" i="88"/>
  <c r="BJ1169" i="88"/>
  <c r="BG849" i="88"/>
  <c r="BG1166" i="88"/>
  <c r="BI836" i="88"/>
  <c r="BI1153" i="88"/>
  <c r="BF827" i="88"/>
  <c r="BF1144" i="88"/>
  <c r="BI800" i="88"/>
  <c r="BI1117" i="88"/>
  <c r="BH800" i="88"/>
  <c r="BH1117" i="88"/>
  <c r="BF777" i="88"/>
  <c r="BF1094" i="88"/>
  <c r="BF713" i="88"/>
  <c r="BF1030" i="88"/>
  <c r="BF962" i="88"/>
  <c r="BF1279" i="88"/>
  <c r="BF958" i="88"/>
  <c r="BF1275" i="88"/>
  <c r="BF891" i="88"/>
  <c r="BF1208" i="88"/>
  <c r="BG875" i="88"/>
  <c r="BG1192" i="88"/>
  <c r="BI873" i="88"/>
  <c r="BI1190" i="88"/>
  <c r="BF839" i="88"/>
  <c r="BF1156" i="88"/>
  <c r="BG838" i="88"/>
  <c r="BG1155" i="88"/>
  <c r="BH833" i="88"/>
  <c r="BH1150" i="88"/>
  <c r="BF831" i="88"/>
  <c r="BF1148" i="88"/>
  <c r="BJ817" i="88"/>
  <c r="BJ1134" i="88"/>
  <c r="BF809" i="88"/>
  <c r="BF1126" i="88"/>
  <c r="BF802" i="88"/>
  <c r="BF1119" i="88"/>
  <c r="BF784" i="88"/>
  <c r="BF1101" i="88"/>
  <c r="BF768" i="88"/>
  <c r="BF1085" i="88"/>
  <c r="BF756" i="88"/>
  <c r="BF1073" i="88"/>
  <c r="BF740" i="88"/>
  <c r="BF1057" i="88"/>
  <c r="BF724" i="88"/>
  <c r="BF1041" i="88"/>
  <c r="BF708" i="88"/>
  <c r="BF1025" i="88"/>
  <c r="BG988" i="88"/>
  <c r="BG1305" i="88"/>
  <c r="BJ985" i="88"/>
  <c r="BJ1302" i="88"/>
  <c r="BH983" i="88"/>
  <c r="BH1300" i="88"/>
  <c r="BG983" i="88"/>
  <c r="BG1300" i="88"/>
  <c r="BF980" i="88"/>
  <c r="BF1297" i="88"/>
  <c r="BG979" i="88"/>
  <c r="BG1296" i="88"/>
  <c r="BF972" i="88"/>
  <c r="BF1289" i="88"/>
  <c r="BF970" i="88"/>
  <c r="BF1287" i="88"/>
  <c r="BI960" i="88"/>
  <c r="BI1277" i="88"/>
  <c r="BI952" i="88"/>
  <c r="BI1269" i="88"/>
  <c r="BH940" i="88"/>
  <c r="BH1257" i="88"/>
  <c r="BG936" i="88"/>
  <c r="BG1253" i="88"/>
  <c r="BG934" i="88"/>
  <c r="BG1251" i="88"/>
  <c r="BG930" i="88"/>
  <c r="BG1247" i="88"/>
  <c r="BG925" i="88"/>
  <c r="BG1242" i="88"/>
  <c r="BI923" i="88"/>
  <c r="BI1240" i="88"/>
  <c r="BH923" i="88"/>
  <c r="BH1240" i="88"/>
  <c r="BG921" i="88"/>
  <c r="BG1238" i="88"/>
  <c r="BF916" i="88"/>
  <c r="BF1233" i="88"/>
  <c r="BH913" i="88"/>
  <c r="BH1230" i="88"/>
  <c r="BF908" i="88"/>
  <c r="BF1225" i="88"/>
  <c r="BH901" i="88"/>
  <c r="BH1218" i="88"/>
  <c r="BG897" i="88"/>
  <c r="BG1214" i="88"/>
  <c r="BF896" i="88"/>
  <c r="BF1213" i="88"/>
  <c r="BG895" i="88"/>
  <c r="BG1212" i="88"/>
  <c r="BH876" i="88"/>
  <c r="BH1193" i="88"/>
  <c r="BH870" i="88"/>
  <c r="BH1187" i="88"/>
  <c r="BF866" i="88"/>
  <c r="BF1183" i="88"/>
  <c r="BF864" i="88"/>
  <c r="BF1181" i="88"/>
  <c r="BG863" i="88"/>
  <c r="BG1180" i="88"/>
  <c r="BF861" i="88"/>
  <c r="BF1178" i="88"/>
  <c r="BG856" i="88"/>
  <c r="BG1173" i="88"/>
  <c r="BH855" i="88"/>
  <c r="BH1172" i="88"/>
  <c r="BH845" i="88"/>
  <c r="BH1162" i="88"/>
  <c r="BG845" i="88"/>
  <c r="BG1162" i="88"/>
  <c r="BI496" i="88"/>
  <c r="BF834" i="88"/>
  <c r="BF1151" i="88"/>
  <c r="BH826" i="88"/>
  <c r="BH1143" i="88"/>
  <c r="BG812" i="88"/>
  <c r="BG1129" i="88"/>
  <c r="BH811" i="88"/>
  <c r="BH1128" i="88"/>
  <c r="BF807" i="88"/>
  <c r="BF1124" i="88"/>
  <c r="BF801" i="88"/>
  <c r="BF1118" i="88"/>
  <c r="BF790" i="88"/>
  <c r="BF1107" i="88"/>
  <c r="BF774" i="88"/>
  <c r="BF1091" i="88"/>
  <c r="BF758" i="88"/>
  <c r="BF1075" i="88"/>
  <c r="BF742" i="88"/>
  <c r="BF1059" i="88"/>
  <c r="BF726" i="88"/>
  <c r="BF1043" i="88"/>
  <c r="BF698" i="88"/>
  <c r="BF1015" i="88"/>
  <c r="BH987" i="88"/>
  <c r="BH1304" i="88"/>
  <c r="BG987" i="88"/>
  <c r="BG1304" i="88"/>
  <c r="BH951" i="88"/>
  <c r="BH1268" i="88"/>
  <c r="BG951" i="88"/>
  <c r="BG1268" i="88"/>
  <c r="BF910" i="88"/>
  <c r="BF1227" i="88"/>
  <c r="BI910" i="88"/>
  <c r="BI1227" i="88"/>
  <c r="BG903" i="88"/>
  <c r="BG1220" i="88"/>
  <c r="BF877" i="88"/>
  <c r="BF1194" i="88"/>
  <c r="BG867" i="88"/>
  <c r="BG1184" i="88"/>
  <c r="BG805" i="88"/>
  <c r="BG1122" i="88"/>
  <c r="BF773" i="88"/>
  <c r="BF1090" i="88"/>
  <c r="BF757" i="88"/>
  <c r="BF1074" i="88"/>
  <c r="BH991" i="88"/>
  <c r="BH1308" i="88"/>
  <c r="BG978" i="88"/>
  <c r="BG1295" i="88"/>
  <c r="BH917" i="88"/>
  <c r="BH1234" i="88"/>
  <c r="BG912" i="88"/>
  <c r="BG1229" i="88"/>
  <c r="BF878" i="88"/>
  <c r="BF1195" i="88"/>
  <c r="BI878" i="88"/>
  <c r="BI1195" i="88"/>
  <c r="BH871" i="88"/>
  <c r="BH1188" i="88"/>
  <c r="BG860" i="88"/>
  <c r="BG1177" i="88"/>
  <c r="BI853" i="88"/>
  <c r="BI1170" i="88"/>
  <c r="BF989" i="88"/>
  <c r="BF1306" i="88"/>
  <c r="BH964" i="88"/>
  <c r="BH1281" i="88"/>
  <c r="BF947" i="88"/>
  <c r="BF1264" i="88"/>
  <c r="BG946" i="88"/>
  <c r="BG1263" i="88"/>
  <c r="BG945" i="88"/>
  <c r="BG1262" i="88"/>
  <c r="BI943" i="88"/>
  <c r="BI1260" i="88"/>
  <c r="BI942" i="88"/>
  <c r="BI1259" i="88"/>
  <c r="BJ942" i="88"/>
  <c r="BJ1259" i="88"/>
  <c r="BG918" i="88"/>
  <c r="BG1235" i="88"/>
  <c r="BF915" i="88"/>
  <c r="BF1232" i="88"/>
  <c r="BF907" i="88"/>
  <c r="BF1224" i="88"/>
  <c r="BG904" i="88"/>
  <c r="BG1221" i="88"/>
  <c r="BG885" i="88"/>
  <c r="BG1202" i="88"/>
  <c r="BJ885" i="88"/>
  <c r="BJ1202" i="88"/>
  <c r="BF868" i="88"/>
  <c r="BF1185" i="88"/>
  <c r="BF837" i="88"/>
  <c r="BF1154" i="88"/>
  <c r="BG835" i="88"/>
  <c r="BG1152" i="88"/>
  <c r="BG816" i="88"/>
  <c r="BG1133" i="88"/>
  <c r="BF745" i="88"/>
  <c r="BF1062" i="88"/>
  <c r="BF721" i="88"/>
  <c r="BF1038" i="88"/>
  <c r="BI975" i="88"/>
  <c r="BI1292" i="88"/>
  <c r="BF969" i="88"/>
  <c r="BF1286" i="88"/>
  <c r="BF948" i="88"/>
  <c r="BF1265" i="88"/>
  <c r="BH935" i="88"/>
  <c r="BH1252" i="88"/>
  <c r="BG935" i="88"/>
  <c r="BG1252" i="88"/>
  <c r="BF914" i="88"/>
  <c r="BF1231" i="88"/>
  <c r="BG874" i="88"/>
  <c r="BG1191" i="88"/>
  <c r="BH978" i="88"/>
  <c r="BH1295" i="88"/>
  <c r="BH906" i="88"/>
  <c r="BH1223" i="88"/>
  <c r="BH809" i="88"/>
  <c r="BH1126" i="88"/>
  <c r="BG769" i="88"/>
  <c r="BG1086" i="88"/>
  <c r="BG721" i="88"/>
  <c r="BG1038" i="88"/>
  <c r="BH980" i="88"/>
  <c r="BH1297" i="88"/>
  <c r="BG759" i="88"/>
  <c r="BG1076" i="88"/>
  <c r="BG711" i="88"/>
  <c r="BG1028" i="88"/>
  <c r="BJ876" i="88"/>
  <c r="BJ1193" i="88"/>
  <c r="BH724" i="88"/>
  <c r="BH1041" i="88"/>
  <c r="BH696" i="88"/>
  <c r="BH1013" i="88"/>
  <c r="BG738" i="88"/>
  <c r="BG1055" i="88"/>
  <c r="BJ967" i="88"/>
  <c r="BJ1284" i="88"/>
  <c r="BG977" i="88"/>
  <c r="BG1294" i="88"/>
  <c r="BF966" i="88"/>
  <c r="BF1283" i="88"/>
  <c r="BF965" i="88"/>
  <c r="BF1282" i="88"/>
  <c r="BI965" i="88"/>
  <c r="BI1282" i="88"/>
  <c r="BG944" i="88"/>
  <c r="BG1261" i="88"/>
  <c r="BF939" i="88"/>
  <c r="BF1256" i="88"/>
  <c r="BF928" i="88"/>
  <c r="BF1245" i="88"/>
  <c r="BG919" i="88"/>
  <c r="BG1236" i="88"/>
  <c r="BH894" i="88"/>
  <c r="BH1211" i="88"/>
  <c r="BF893" i="88"/>
  <c r="BF1210" i="88"/>
  <c r="BG888" i="88"/>
  <c r="BG1205" i="88"/>
  <c r="BH862" i="88"/>
  <c r="BH1179" i="88"/>
  <c r="BF829" i="88"/>
  <c r="BF1146" i="88"/>
  <c r="BH825" i="88"/>
  <c r="BH1142" i="88"/>
  <c r="BG824" i="88"/>
  <c r="BG1141" i="88"/>
  <c r="BG821" i="88"/>
  <c r="BG1138" i="88"/>
  <c r="BI818" i="88"/>
  <c r="BI1135" i="88"/>
  <c r="BF791" i="88"/>
  <c r="BF1108" i="88"/>
  <c r="BF743" i="88"/>
  <c r="BF1060" i="88"/>
  <c r="BG968" i="88"/>
  <c r="BG1285" i="88"/>
  <c r="BF905" i="88"/>
  <c r="BF1222" i="88"/>
  <c r="BF857" i="88"/>
  <c r="BF1174" i="88"/>
  <c r="BI849" i="88"/>
  <c r="BI1166" i="88"/>
  <c r="BH827" i="88"/>
  <c r="BH1144" i="88"/>
  <c r="BF733" i="88"/>
  <c r="BF1050" i="88"/>
  <c r="BF953" i="88"/>
  <c r="BF1270" i="88"/>
  <c r="BH839" i="88"/>
  <c r="BH1156" i="88"/>
  <c r="BG833" i="88"/>
  <c r="BG1150" i="88"/>
  <c r="BI817" i="88"/>
  <c r="BI1134" i="88"/>
  <c r="BF792" i="88"/>
  <c r="BF1109" i="88"/>
  <c r="BF748" i="88"/>
  <c r="BF1065" i="88"/>
  <c r="BF700" i="88"/>
  <c r="BF1017" i="88"/>
  <c r="BG981" i="88"/>
  <c r="BG1298" i="88"/>
  <c r="BH972" i="88"/>
  <c r="BH1289" i="88"/>
  <c r="BJ960" i="88"/>
  <c r="BJ1277" i="88"/>
  <c r="BJ952" i="88"/>
  <c r="BJ1269" i="88"/>
  <c r="BF940" i="88"/>
  <c r="BF1257" i="88"/>
  <c r="BF930" i="88"/>
  <c r="BF1247" i="88"/>
  <c r="BG922" i="88"/>
  <c r="BG1239" i="88"/>
  <c r="BG898" i="88"/>
  <c r="BG1215" i="88"/>
  <c r="BG889" i="88"/>
  <c r="BG1206" i="88"/>
  <c r="BF865" i="88"/>
  <c r="BF1182" i="88"/>
  <c r="BJ855" i="88"/>
  <c r="BJ1172" i="88"/>
  <c r="BG843" i="88"/>
  <c r="BG1160" i="88"/>
  <c r="BF815" i="88"/>
  <c r="BF1132" i="88"/>
  <c r="BG808" i="88"/>
  <c r="BG1125" i="88"/>
  <c r="BF782" i="88"/>
  <c r="BF1099" i="88"/>
  <c r="BF734" i="88"/>
  <c r="BF1051" i="88"/>
  <c r="BF718" i="88"/>
  <c r="BF1035" i="88"/>
  <c r="BF976" i="88"/>
  <c r="BF1293" i="88"/>
  <c r="BG910" i="88"/>
  <c r="BG1227" i="88"/>
  <c r="BG877" i="88"/>
  <c r="BG1194" i="88"/>
  <c r="BI867" i="88"/>
  <c r="BI1184" i="88"/>
  <c r="BF765" i="88"/>
  <c r="BF1082" i="88"/>
  <c r="BG963" i="88"/>
  <c r="BG1280" i="88"/>
  <c r="BF887" i="88"/>
  <c r="BF1204" i="88"/>
  <c r="BG878" i="88"/>
  <c r="BG1195" i="88"/>
  <c r="BF871" i="88"/>
  <c r="BF1188" i="88"/>
  <c r="BJ853" i="88"/>
  <c r="BJ1170" i="88"/>
  <c r="BG964" i="88"/>
  <c r="BG1281" i="88"/>
  <c r="BF945" i="88"/>
  <c r="BF1262" i="88"/>
  <c r="BJ943" i="88"/>
  <c r="BJ1260" i="88"/>
  <c r="BG915" i="88"/>
  <c r="BG1232" i="88"/>
  <c r="BG882" i="88"/>
  <c r="BG1199" i="88"/>
  <c r="BF835" i="88"/>
  <c r="BF1152" i="88"/>
  <c r="BF753" i="88"/>
  <c r="BF1070" i="88"/>
  <c r="BF954" i="88"/>
  <c r="BF1271" i="88"/>
  <c r="BH958" i="88"/>
  <c r="BH1275" i="88"/>
  <c r="BH890" i="88"/>
  <c r="BH1207" i="88"/>
  <c r="BG797" i="88"/>
  <c r="BG1114" i="88"/>
  <c r="BG749" i="88"/>
  <c r="BG1066" i="88"/>
  <c r="BG701" i="88"/>
  <c r="BG1018" i="88"/>
  <c r="BI830" i="88"/>
  <c r="BI1147" i="88"/>
  <c r="BH892" i="88"/>
  <c r="BH1209" i="88"/>
  <c r="BG787" i="88"/>
  <c r="BG1104" i="88"/>
  <c r="BG739" i="88"/>
  <c r="BG1056" i="88"/>
  <c r="BG707" i="88"/>
  <c r="BG1024" i="88"/>
  <c r="BH780" i="88"/>
  <c r="BH1097" i="88"/>
  <c r="BH986" i="88"/>
  <c r="BH1303" i="88"/>
  <c r="BJ939" i="88"/>
  <c r="BH866" i="88"/>
  <c r="BH1183" i="88"/>
  <c r="BG793" i="88"/>
  <c r="BG1110" i="88"/>
  <c r="BG777" i="88"/>
  <c r="BG1094" i="88"/>
  <c r="BG745" i="88"/>
  <c r="BG1062" i="88"/>
  <c r="BG713" i="88"/>
  <c r="BG1030" i="88"/>
  <c r="BI846" i="88"/>
  <c r="BI1163" i="88"/>
  <c r="BH982" i="88"/>
  <c r="BH1299" i="88"/>
  <c r="BH950" i="88"/>
  <c r="BH1267" i="88"/>
  <c r="BH938" i="88"/>
  <c r="BH1255" i="88"/>
  <c r="BH926" i="88"/>
  <c r="BH1243" i="88"/>
  <c r="BJ893" i="88"/>
  <c r="BJ1210" i="88"/>
  <c r="BH874" i="88"/>
  <c r="BH1191" i="88"/>
  <c r="BH814" i="88"/>
  <c r="BH1131" i="88"/>
  <c r="BJ802" i="88"/>
  <c r="BJ1119" i="88"/>
  <c r="BG789" i="88"/>
  <c r="BG1106" i="88"/>
  <c r="BG773" i="88"/>
  <c r="BG1090" i="88"/>
  <c r="BG757" i="88"/>
  <c r="BG1074" i="88"/>
  <c r="BG725" i="88"/>
  <c r="BG1042" i="88"/>
  <c r="BG709" i="88"/>
  <c r="BG1026" i="88"/>
  <c r="BJ990" i="88"/>
  <c r="BJ1307" i="88"/>
  <c r="BJ961" i="88"/>
  <c r="BJ1278" i="88"/>
  <c r="BH924" i="88"/>
  <c r="BH1241" i="88"/>
  <c r="BI901" i="88"/>
  <c r="BI1218" i="88"/>
  <c r="BH888" i="88"/>
  <c r="BH1205" i="88"/>
  <c r="BH856" i="88"/>
  <c r="BH1173" i="88"/>
  <c r="BH832" i="88"/>
  <c r="BH1149" i="88"/>
  <c r="BG779" i="88"/>
  <c r="BG1096" i="88"/>
  <c r="BG763" i="88"/>
  <c r="BG1080" i="88"/>
  <c r="BG747" i="88"/>
  <c r="BG1064" i="88"/>
  <c r="BG715" i="88"/>
  <c r="BG1032" i="88"/>
  <c r="BG699" i="88"/>
  <c r="BG1016" i="88"/>
  <c r="BH796" i="88"/>
  <c r="BH1113" i="88"/>
  <c r="BH764" i="88"/>
  <c r="BH1081" i="88"/>
  <c r="BH730" i="88"/>
  <c r="BH1047" i="88"/>
  <c r="BH702" i="88"/>
  <c r="BH1019" i="88"/>
  <c r="BH758" i="88"/>
  <c r="BH1075" i="88"/>
  <c r="BH742" i="88"/>
  <c r="BH1059" i="88"/>
  <c r="BG714" i="88"/>
  <c r="BG1031" i="88"/>
  <c r="BH792" i="88"/>
  <c r="BH1109" i="88"/>
  <c r="BJ979" i="88"/>
  <c r="BJ1296" i="88"/>
  <c r="BH954" i="88"/>
  <c r="BH1271" i="88"/>
  <c r="W246" i="88"/>
  <c r="BH854" i="88"/>
  <c r="BH1171" i="88"/>
  <c r="V270" i="88"/>
  <c r="W270" i="88" s="1"/>
  <c r="BI992" i="88"/>
  <c r="BI1309" i="88"/>
  <c r="BG984" i="88"/>
  <c r="BG1301" i="88"/>
  <c r="BJ977" i="88"/>
  <c r="BJ1294" i="88"/>
  <c r="BI974" i="88"/>
  <c r="BI1291" i="88"/>
  <c r="BH974" i="88"/>
  <c r="BH1291" i="88"/>
  <c r="BG967" i="88"/>
  <c r="BG1284" i="88"/>
  <c r="BH965" i="88"/>
  <c r="BH1282" i="88"/>
  <c r="BG959" i="88"/>
  <c r="BG1276" i="88"/>
  <c r="BG929" i="88"/>
  <c r="BG1246" i="88"/>
  <c r="BI928" i="88"/>
  <c r="BI1245" i="88"/>
  <c r="BG920" i="88"/>
  <c r="BG1237" i="88"/>
  <c r="BJ919" i="88"/>
  <c r="BJ1236" i="88"/>
  <c r="BH909" i="88"/>
  <c r="BH1226" i="88"/>
  <c r="BG894" i="88"/>
  <c r="BG1211" i="88"/>
  <c r="BI893" i="88"/>
  <c r="BI1210" i="88"/>
  <c r="BF888" i="88"/>
  <c r="BF1205" i="88"/>
  <c r="BG884" i="88"/>
  <c r="BG1201" i="88"/>
  <c r="BJ880" i="88"/>
  <c r="BJ1197" i="88"/>
  <c r="BF872" i="88"/>
  <c r="BF1189" i="88"/>
  <c r="BG862" i="88"/>
  <c r="BG1179" i="88"/>
  <c r="BJ862" i="88"/>
  <c r="BJ1179" i="88"/>
  <c r="BG854" i="88"/>
  <c r="BG1171" i="88"/>
  <c r="BG851" i="88"/>
  <c r="BG1168" i="88"/>
  <c r="BH846" i="88"/>
  <c r="BH1163" i="88"/>
  <c r="BH842" i="88"/>
  <c r="BH1159" i="88"/>
  <c r="BH841" i="88"/>
  <c r="BH1158" i="88"/>
  <c r="BI840" i="88"/>
  <c r="BI1157" i="88"/>
  <c r="BJ840" i="88"/>
  <c r="BJ1157" i="88"/>
  <c r="BI828" i="88"/>
  <c r="BI1145" i="88"/>
  <c r="BJ828" i="88"/>
  <c r="BJ1145" i="88"/>
  <c r="BJ825" i="88"/>
  <c r="BJ1142" i="88"/>
  <c r="BF823" i="88"/>
  <c r="BF1140" i="88"/>
  <c r="BF822" i="88"/>
  <c r="BF1139" i="88"/>
  <c r="BF821" i="88"/>
  <c r="BF1138" i="88"/>
  <c r="BF820" i="88"/>
  <c r="BF1137" i="88"/>
  <c r="BG819" i="88"/>
  <c r="BG1136" i="88"/>
  <c r="BH818" i="88"/>
  <c r="BH1135" i="88"/>
  <c r="BG806" i="88"/>
  <c r="BG1123" i="88"/>
  <c r="BG803" i="88"/>
  <c r="BG1120" i="88"/>
  <c r="BF779" i="88"/>
  <c r="BF1096" i="88"/>
  <c r="BF763" i="88"/>
  <c r="BF1080" i="88"/>
  <c r="BF747" i="88"/>
  <c r="BF1064" i="88"/>
  <c r="BF731" i="88"/>
  <c r="BF1048" i="88"/>
  <c r="BF719" i="88"/>
  <c r="BF1036" i="88"/>
  <c r="BF703" i="88"/>
  <c r="BF1020" i="88"/>
  <c r="BF702" i="88"/>
  <c r="BF1019" i="88"/>
  <c r="BF961" i="88"/>
  <c r="BF1278" i="88"/>
  <c r="BG957" i="88"/>
  <c r="BG1274" i="88"/>
  <c r="BG941" i="88"/>
  <c r="BG1258" i="88"/>
  <c r="BI931" i="88"/>
  <c r="BI1248" i="88"/>
  <c r="BF911" i="88"/>
  <c r="BF1228" i="88"/>
  <c r="BG905" i="88"/>
  <c r="BG1222" i="88"/>
  <c r="BF890" i="88"/>
  <c r="BF1207" i="88"/>
  <c r="BF859" i="88"/>
  <c r="BF1176" i="88"/>
  <c r="BH857" i="88"/>
  <c r="BH1174" i="88"/>
  <c r="BF852" i="88"/>
  <c r="BF1169" i="88"/>
  <c r="BG850" i="88"/>
  <c r="BG1167" i="88"/>
  <c r="BH849" i="88"/>
  <c r="BH1166" i="88"/>
  <c r="BF847" i="88"/>
  <c r="BF1164" i="88"/>
  <c r="BF836" i="88"/>
  <c r="BF1153" i="88"/>
  <c r="BG827" i="88"/>
  <c r="BG1144" i="88"/>
  <c r="BF800" i="88"/>
  <c r="BF1117" i="88"/>
  <c r="BF789" i="88"/>
  <c r="BF1106" i="88"/>
  <c r="BF737" i="88"/>
  <c r="BF1054" i="88"/>
  <c r="BF982" i="88"/>
  <c r="BF1299" i="88"/>
  <c r="BG962" i="88"/>
  <c r="BG1279" i="88"/>
  <c r="BG958" i="88"/>
  <c r="BG1275" i="88"/>
  <c r="BF926" i="88"/>
  <c r="BF1243" i="88"/>
  <c r="BG891" i="88"/>
  <c r="BG1208" i="88"/>
  <c r="BH875" i="88"/>
  <c r="BH1192" i="88"/>
  <c r="BF873" i="88"/>
  <c r="BF1190" i="88"/>
  <c r="BF844" i="88"/>
  <c r="BF1161" i="88"/>
  <c r="BG839" i="88"/>
  <c r="BG1156" i="88"/>
  <c r="BH838" i="88"/>
  <c r="BH1155" i="88"/>
  <c r="BF833" i="88"/>
  <c r="BF1150" i="88"/>
  <c r="BG831" i="88"/>
  <c r="BG1148" i="88"/>
  <c r="BH817" i="88"/>
  <c r="BH1134" i="88"/>
  <c r="BG817" i="88"/>
  <c r="BG1134" i="88"/>
  <c r="BG809" i="88"/>
  <c r="BG1126" i="88"/>
  <c r="BF796" i="88"/>
  <c r="BF1113" i="88"/>
  <c r="BF780" i="88"/>
  <c r="BF1097" i="88"/>
  <c r="BF764" i="88"/>
  <c r="BF1081" i="88"/>
  <c r="BF752" i="88"/>
  <c r="BF1069" i="88"/>
  <c r="BF736" i="88"/>
  <c r="BF1053" i="88"/>
  <c r="BF720" i="88"/>
  <c r="BF1037" i="88"/>
  <c r="BF704" i="88"/>
  <c r="BF1021" i="88"/>
  <c r="BH988" i="88"/>
  <c r="BH1305" i="88"/>
  <c r="BG985" i="88"/>
  <c r="BG1302" i="88"/>
  <c r="BI983" i="88"/>
  <c r="BI1300" i="88"/>
  <c r="BF981" i="88"/>
  <c r="BF1298" i="88"/>
  <c r="BH979" i="88"/>
  <c r="BH1296" i="88"/>
  <c r="BG972" i="88"/>
  <c r="BG1289" i="88"/>
  <c r="BJ972" i="88"/>
  <c r="BJ1289" i="88"/>
  <c r="BG970" i="88"/>
  <c r="BG1287" i="88"/>
  <c r="BF960" i="88"/>
  <c r="BF1277" i="88"/>
  <c r="BF956" i="88"/>
  <c r="BF1273" i="88"/>
  <c r="BF952" i="88"/>
  <c r="BF1269" i="88"/>
  <c r="BI940" i="88"/>
  <c r="BI1257" i="88"/>
  <c r="BF936" i="88"/>
  <c r="BF1253" i="88"/>
  <c r="BI583" i="88"/>
  <c r="BH930" i="88"/>
  <c r="BH1247" i="88"/>
  <c r="BH925" i="88"/>
  <c r="BH1242" i="88"/>
  <c r="BF923" i="88"/>
  <c r="BF1240" i="88"/>
  <c r="BF922" i="88"/>
  <c r="BF1239" i="88"/>
  <c r="BH921" i="88"/>
  <c r="BH1238" i="88"/>
  <c r="BG916" i="88"/>
  <c r="BG1233" i="88"/>
  <c r="BI913" i="88"/>
  <c r="BI1230" i="88"/>
  <c r="BG908" i="88"/>
  <c r="BG1225" i="88"/>
  <c r="BF901" i="88"/>
  <c r="BF1218" i="88"/>
  <c r="BI552" i="88"/>
  <c r="BF898" i="88"/>
  <c r="BF1215" i="88"/>
  <c r="BH550" i="88"/>
  <c r="BG896" i="88"/>
  <c r="BG1213" i="88"/>
  <c r="BH895" i="88"/>
  <c r="BH1212" i="88"/>
  <c r="BF876" i="88"/>
  <c r="BF1193" i="88"/>
  <c r="BF870" i="88"/>
  <c r="BF1187" i="88"/>
  <c r="BG864" i="88"/>
  <c r="BG1181" i="88"/>
  <c r="BJ861" i="88"/>
  <c r="BJ1178" i="88"/>
  <c r="BI855" i="88"/>
  <c r="BI1172" i="88"/>
  <c r="BG848" i="88"/>
  <c r="BG1165" i="88"/>
  <c r="BF843" i="88"/>
  <c r="BF1160" i="88"/>
  <c r="BF832" i="88"/>
  <c r="BF1149" i="88"/>
  <c r="BF826" i="88"/>
  <c r="BF1143" i="88"/>
  <c r="BF813" i="88"/>
  <c r="BF1130" i="88"/>
  <c r="BF808" i="88"/>
  <c r="BF1125" i="88"/>
  <c r="BG807" i="88"/>
  <c r="BG1124" i="88"/>
  <c r="BG801" i="88"/>
  <c r="BG1118" i="88"/>
  <c r="BF786" i="88"/>
  <c r="BF1103" i="88"/>
  <c r="BF770" i="88"/>
  <c r="BF1087" i="88"/>
  <c r="BF754" i="88"/>
  <c r="BF1071" i="88"/>
  <c r="BF738" i="88"/>
  <c r="BF1055" i="88"/>
  <c r="BF722" i="88"/>
  <c r="BF1039" i="88"/>
  <c r="BF990" i="88"/>
  <c r="BF1307" i="88"/>
  <c r="BI987" i="88"/>
  <c r="BI1304" i="88"/>
  <c r="BG976" i="88"/>
  <c r="BG1293" i="88"/>
  <c r="BI951" i="88"/>
  <c r="BI1268" i="88"/>
  <c r="BF937" i="88"/>
  <c r="BF1254" i="88"/>
  <c r="BJ910" i="88"/>
  <c r="BJ1227" i="88"/>
  <c r="BF906" i="88"/>
  <c r="BF1223" i="88"/>
  <c r="BH903" i="88"/>
  <c r="BH1220" i="88"/>
  <c r="BH867" i="88"/>
  <c r="BH1184" i="88"/>
  <c r="BF804" i="88"/>
  <c r="BF1121" i="88"/>
  <c r="BF769" i="88"/>
  <c r="BF1086" i="88"/>
  <c r="BF709" i="88"/>
  <c r="BF1026" i="88"/>
  <c r="BF991" i="88"/>
  <c r="BF1308" i="88"/>
  <c r="BF963" i="88"/>
  <c r="BF1280" i="88"/>
  <c r="BF932" i="88"/>
  <c r="BF1249" i="88"/>
  <c r="BI917" i="88"/>
  <c r="BI1234" i="88"/>
  <c r="BI912" i="88"/>
  <c r="BI1229" i="88"/>
  <c r="BF883" i="88"/>
  <c r="BF1200" i="88"/>
  <c r="BJ878" i="88"/>
  <c r="BJ1195" i="88"/>
  <c r="BJ871" i="88"/>
  <c r="BJ1188" i="88"/>
  <c r="BI871" i="88"/>
  <c r="BI1188" i="88"/>
  <c r="BH860" i="88"/>
  <c r="BH1177" i="88"/>
  <c r="BF853" i="88"/>
  <c r="BF1170" i="88"/>
  <c r="BG989" i="88"/>
  <c r="BG1306" i="88"/>
  <c r="BF949" i="88"/>
  <c r="BF1266" i="88"/>
  <c r="BG947" i="88"/>
  <c r="BG1264" i="88"/>
  <c r="BH945" i="88"/>
  <c r="BH1262" i="88"/>
  <c r="BF943" i="88"/>
  <c r="BF1260" i="88"/>
  <c r="BF942" i="88"/>
  <c r="BF1259" i="88"/>
  <c r="BF927" i="88"/>
  <c r="BF1244" i="88"/>
  <c r="BH918" i="88"/>
  <c r="BH1235" i="88"/>
  <c r="BJ915" i="88"/>
  <c r="BJ1232" i="88"/>
  <c r="BG907" i="88"/>
  <c r="BG1224" i="88"/>
  <c r="BF886" i="88"/>
  <c r="BF1203" i="88"/>
  <c r="BH885" i="88"/>
  <c r="BH1202" i="88"/>
  <c r="BF882" i="88"/>
  <c r="BF1199" i="88"/>
  <c r="BG868" i="88"/>
  <c r="BG1185" i="88"/>
  <c r="BG837" i="88"/>
  <c r="BG1154" i="88"/>
  <c r="BH835" i="88"/>
  <c r="BH1152" i="88"/>
  <c r="BH830" i="88"/>
  <c r="BH1147" i="88"/>
  <c r="BF797" i="88"/>
  <c r="BF1114" i="88"/>
  <c r="BF741" i="88"/>
  <c r="BF1058" i="88"/>
  <c r="BF717" i="88"/>
  <c r="BF1034" i="88"/>
  <c r="BF975" i="88"/>
  <c r="BF1292" i="88"/>
  <c r="BG969" i="88"/>
  <c r="BG1286" i="88"/>
  <c r="BG948" i="88"/>
  <c r="BG1265" i="88"/>
  <c r="BJ948" i="88"/>
  <c r="BJ1265" i="88"/>
  <c r="BI935" i="88"/>
  <c r="BI1252" i="88"/>
  <c r="BF933" i="88"/>
  <c r="BF1250" i="88"/>
  <c r="BG914" i="88"/>
  <c r="BG1231" i="88"/>
  <c r="BG826" i="88"/>
  <c r="V161" i="88"/>
  <c r="BI464" i="88" s="1"/>
  <c r="BI1128" i="88" s="1"/>
  <c r="BI537" i="88"/>
  <c r="BI533" i="88"/>
  <c r="BI532" i="88"/>
  <c r="BH532" i="88"/>
  <c r="BH606" i="88"/>
  <c r="BG425" i="88"/>
  <c r="BI569" i="88"/>
  <c r="BI845" i="88"/>
  <c r="BH616" i="88"/>
  <c r="BH580" i="88"/>
  <c r="BJ552" i="88"/>
  <c r="V214" i="88"/>
  <c r="W214" i="88" s="1"/>
  <c r="BJ517" i="88" s="1"/>
  <c r="BH801" i="88"/>
  <c r="BJ560" i="88"/>
  <c r="BJ608" i="88"/>
  <c r="V314" i="88"/>
  <c r="W314" i="88" s="1"/>
  <c r="BJ617" i="88" s="1"/>
  <c r="BI841" i="88"/>
  <c r="BJ818" i="88"/>
  <c r="BG405" i="88"/>
  <c r="BG393" i="88"/>
  <c r="BG361" i="88"/>
  <c r="BH518" i="88"/>
  <c r="BI501" i="88"/>
  <c r="BH466" i="88"/>
  <c r="BH536" i="88"/>
  <c r="BJ513" i="88"/>
  <c r="BI580" i="88"/>
  <c r="BG830" i="88"/>
  <c r="BH586" i="88"/>
  <c r="BH565" i="88"/>
  <c r="BI599" i="88"/>
  <c r="BJ571" i="88"/>
  <c r="BJ480" i="88"/>
  <c r="BJ569" i="88"/>
  <c r="BI558" i="88"/>
  <c r="W283" i="88"/>
  <c r="BJ586" i="88" s="1"/>
  <c r="BI620" i="88"/>
  <c r="BH592" i="88"/>
  <c r="BI476" i="88"/>
  <c r="BI505" i="88"/>
  <c r="BI480" i="88"/>
  <c r="BI1144" i="88" s="1"/>
  <c r="BI455" i="88"/>
  <c r="BG429" i="88"/>
  <c r="BG413" i="88"/>
  <c r="BG365" i="88"/>
  <c r="BH552" i="88"/>
  <c r="BG399" i="88"/>
  <c r="BI643" i="88"/>
  <c r="BH599" i="88"/>
  <c r="O138" i="88"/>
  <c r="BH441" i="88" s="1"/>
  <c r="BG441" i="88"/>
  <c r="O106" i="88"/>
  <c r="BG409" i="88"/>
  <c r="BG1073" i="88" s="1"/>
  <c r="O54" i="88"/>
  <c r="BH357" i="88" s="1"/>
  <c r="BG357" i="88"/>
  <c r="O124" i="88"/>
  <c r="BH427" i="88" s="1"/>
  <c r="BG427" i="88"/>
  <c r="O78" i="88"/>
  <c r="BH381" i="88" s="1"/>
  <c r="BG381" i="88"/>
  <c r="V299" i="88"/>
  <c r="BI602" i="88" s="1"/>
  <c r="BH602" i="88"/>
  <c r="AC225" i="88"/>
  <c r="BJ528" i="88" s="1"/>
  <c r="BI528" i="88"/>
  <c r="BH634" i="88"/>
  <c r="BI560" i="88"/>
  <c r="AC187" i="88"/>
  <c r="BJ490" i="88" s="1"/>
  <c r="BJ1154" i="88" s="1"/>
  <c r="BI490" i="88"/>
  <c r="O98" i="88"/>
  <c r="BH401" i="88" s="1"/>
  <c r="BG401" i="88"/>
  <c r="O104" i="88"/>
  <c r="BH407" i="88" s="1"/>
  <c r="BG407" i="88"/>
  <c r="O60" i="88"/>
  <c r="BH363" i="88" s="1"/>
  <c r="BG363" i="88"/>
  <c r="O118" i="88"/>
  <c r="BH421" i="88" s="1"/>
  <c r="BG421" i="88"/>
  <c r="O70" i="88"/>
  <c r="BH373" i="88" s="1"/>
  <c r="BG373" i="88"/>
  <c r="BI550" i="88"/>
  <c r="V245" i="88"/>
  <c r="V213" i="88"/>
  <c r="W213" i="88" s="1"/>
  <c r="BJ516" i="88" s="1"/>
  <c r="BH516" i="88"/>
  <c r="BH558" i="88"/>
  <c r="BI510" i="88"/>
  <c r="BI606" i="88"/>
  <c r="BG377" i="88"/>
  <c r="BG1041" i="88" s="1"/>
  <c r="BH553" i="88"/>
  <c r="V250" i="88"/>
  <c r="BI529" i="88"/>
  <c r="BJ460" i="88"/>
  <c r="BG395" i="88"/>
  <c r="BG383" i="88"/>
  <c r="BI571" i="88"/>
  <c r="BI521" i="88"/>
  <c r="AC246" i="88"/>
  <c r="BJ549" i="88" s="1"/>
  <c r="BI549" i="88"/>
  <c r="V339" i="88"/>
  <c r="BI642" i="88" s="1"/>
  <c r="BH642" i="88"/>
  <c r="BI612" i="88"/>
  <c r="BJ510" i="88"/>
  <c r="AC201" i="88"/>
  <c r="BJ504" i="88" s="1"/>
  <c r="BI504" i="88"/>
  <c r="O66" i="88"/>
  <c r="BH369" i="88" s="1"/>
  <c r="BG369" i="88"/>
  <c r="AC334" i="88"/>
  <c r="BJ637" i="88" s="1"/>
  <c r="BI637" i="88"/>
  <c r="BI1301" i="88" s="1"/>
  <c r="W165" i="88"/>
  <c r="BJ468" i="88" s="1"/>
  <c r="BI468" i="88"/>
  <c r="W321" i="88"/>
  <c r="BI624" i="88"/>
  <c r="BI1288" i="88" s="1"/>
  <c r="V197" i="88"/>
  <c r="BH500" i="88"/>
  <c r="W227" i="88"/>
  <c r="BJ530" i="88" s="1"/>
  <c r="BJ1194" i="88" s="1"/>
  <c r="BI530" i="88"/>
  <c r="V275" i="88"/>
  <c r="BI626" i="88"/>
  <c r="BI1290" i="88" s="1"/>
  <c r="BH582" i="88"/>
  <c r="BH1246" i="88" s="1"/>
  <c r="BI525" i="88"/>
  <c r="BI534" i="88"/>
  <c r="BH544" i="88"/>
  <c r="BH1208" i="88" s="1"/>
  <c r="BH497" i="88"/>
  <c r="BH1161" i="88" s="1"/>
  <c r="V194" i="88"/>
  <c r="BI486" i="88"/>
  <c r="BG449" i="88"/>
  <c r="BG445" i="88"/>
  <c r="BG433" i="88"/>
  <c r="BG349" i="88"/>
  <c r="BI542" i="88"/>
  <c r="BI518" i="88"/>
  <c r="BG351" i="88"/>
  <c r="BI536" i="88"/>
  <c r="AC244" i="88"/>
  <c r="BJ547" i="88" s="1"/>
  <c r="BI547" i="88"/>
  <c r="AC291" i="88"/>
  <c r="BJ594" i="88" s="1"/>
  <c r="BI594" i="88"/>
  <c r="O140" i="88"/>
  <c r="BH443" i="88" s="1"/>
  <c r="BG443" i="88"/>
  <c r="BJ544" i="88"/>
  <c r="W237" i="88"/>
  <c r="BJ540" i="88" s="1"/>
  <c r="BI540" i="88"/>
  <c r="W253" i="88"/>
  <c r="BJ556" i="88" s="1"/>
  <c r="BI556" i="88"/>
  <c r="BI617" i="88"/>
  <c r="BI621" i="88"/>
  <c r="AC220" i="88"/>
  <c r="BJ523" i="88" s="1"/>
  <c r="BJ1187" i="88" s="1"/>
  <c r="BI523" i="88"/>
  <c r="BI1187" i="88" s="1"/>
  <c r="BG411" i="88"/>
  <c r="AC176" i="88"/>
  <c r="BJ479" i="88" s="1"/>
  <c r="BI479" i="88"/>
  <c r="BI1143" i="88" s="1"/>
  <c r="O82" i="88"/>
  <c r="BH385" i="88" s="1"/>
  <c r="BG385" i="88"/>
  <c r="O50" i="88"/>
  <c r="BH353" i="88" s="1"/>
  <c r="BG353" i="88"/>
  <c r="O94" i="88"/>
  <c r="BH397" i="88" s="1"/>
  <c r="BG397" i="88"/>
  <c r="V319" i="88"/>
  <c r="BI622" i="88" s="1"/>
  <c r="BI1286" i="88" s="1"/>
  <c r="BH622" i="88"/>
  <c r="V307" i="88"/>
  <c r="BI610" i="88" s="1"/>
  <c r="BH610" i="88"/>
  <c r="BJ536" i="88"/>
  <c r="V179" i="88"/>
  <c r="V287" i="88"/>
  <c r="BH590" i="88"/>
  <c r="BH1254" i="88" s="1"/>
  <c r="BH620" i="88"/>
  <c r="BI597" i="88"/>
  <c r="AC259" i="88"/>
  <c r="BJ562" i="88" s="1"/>
  <c r="BI562" i="88"/>
  <c r="BI1226" i="88" s="1"/>
  <c r="BH476" i="88"/>
  <c r="BH1140" i="88" s="1"/>
  <c r="BI459" i="88"/>
  <c r="BG355" i="88"/>
  <c r="BI564" i="88"/>
  <c r="BI1228" i="88" s="1"/>
  <c r="BJ564" i="88"/>
  <c r="AC200" i="88"/>
  <c r="BJ503" i="88" s="1"/>
  <c r="BI503" i="88"/>
  <c r="BI544" i="88"/>
  <c r="BI1208" i="88" s="1"/>
  <c r="BI492" i="88"/>
  <c r="BI1156" i="88" s="1"/>
  <c r="BG389" i="88"/>
  <c r="BH624" i="88"/>
  <c r="BI487" i="88"/>
  <c r="BH468" i="88"/>
  <c r="AC313" i="88"/>
  <c r="BJ616" i="88" s="1"/>
  <c r="BI616" i="88"/>
  <c r="BI644" i="88"/>
  <c r="BH560" i="88"/>
  <c r="BH626" i="88"/>
  <c r="BH1290" i="88" s="1"/>
  <c r="BI608" i="88"/>
  <c r="BI592" i="88"/>
  <c r="BI614" i="88"/>
  <c r="BH534" i="88"/>
  <c r="BH1198" i="88" s="1"/>
  <c r="BI512" i="88"/>
  <c r="BG437" i="88"/>
  <c r="BH542" i="88"/>
  <c r="BG451" i="88"/>
  <c r="BG403" i="88"/>
  <c r="X265" i="89"/>
  <c r="Y265" i="89" s="1"/>
  <c r="BL568" i="89" s="1"/>
  <c r="W331" i="88"/>
  <c r="X198" i="89"/>
  <c r="BK501" i="89" s="1"/>
  <c r="X257" i="89"/>
  <c r="BK560" i="89" s="1"/>
  <c r="BK907" i="89" s="1"/>
  <c r="X240" i="89"/>
  <c r="Y240" i="89" s="1"/>
  <c r="BL543" i="89" s="1"/>
  <c r="X218" i="89"/>
  <c r="Y217" i="89"/>
  <c r="Y249" i="89"/>
  <c r="BL552" i="89" s="1"/>
  <c r="BL899" i="89" s="1"/>
  <c r="W296" i="88"/>
  <c r="V204" i="88"/>
  <c r="V304" i="88"/>
  <c r="O56" i="88"/>
  <c r="BH359" i="88" s="1"/>
  <c r="BI998" i="89"/>
  <c r="BJ1315" i="89"/>
  <c r="BJ998" i="89"/>
  <c r="BL1315" i="89"/>
  <c r="BH1315" i="89"/>
  <c r="BI1315" i="89"/>
  <c r="BK1315" i="89"/>
  <c r="BK998" i="89"/>
  <c r="BL998" i="89"/>
  <c r="J223" i="87"/>
  <c r="J221" i="87" s="1"/>
  <c r="J266" i="87" s="1"/>
  <c r="BJ651" i="89"/>
  <c r="BL651" i="89"/>
  <c r="BH651" i="89"/>
  <c r="BI651" i="89"/>
  <c r="BK651" i="89"/>
  <c r="U670" i="89"/>
  <c r="E143" i="87"/>
  <c r="F143" i="87" s="1"/>
  <c r="E142" i="87"/>
  <c r="F142" i="87" s="1"/>
  <c r="W239" i="88"/>
  <c r="BJ542" i="88" s="1"/>
  <c r="W231" i="88"/>
  <c r="W247" i="88"/>
  <c r="W158" i="88"/>
  <c r="W323" i="88"/>
  <c r="BJ626" i="88" s="1"/>
  <c r="O120" i="88"/>
  <c r="W307" i="88"/>
  <c r="O116" i="88"/>
  <c r="O72" i="88"/>
  <c r="BH375" i="88" s="1"/>
  <c r="P110" i="88"/>
  <c r="O64" i="88"/>
  <c r="W279" i="88"/>
  <c r="W215" i="88"/>
  <c r="BJ518" i="88" s="1"/>
  <c r="P142" i="88"/>
  <c r="W263" i="88"/>
  <c r="W255" i="88"/>
  <c r="BJ558" i="88" s="1"/>
  <c r="O88" i="88"/>
  <c r="BH391" i="88" s="1"/>
  <c r="O136" i="88"/>
  <c r="BH439" i="88" s="1"/>
  <c r="O76" i="88"/>
  <c r="P46" i="88"/>
  <c r="O132" i="88"/>
  <c r="BH435" i="88" s="1"/>
  <c r="W163" i="88"/>
  <c r="BJ466" i="88" s="1"/>
  <c r="P134" i="88"/>
  <c r="O84" i="88"/>
  <c r="P126" i="88"/>
  <c r="P62" i="88"/>
  <c r="O128" i="88"/>
  <c r="BH431" i="88" s="1"/>
  <c r="O112" i="88"/>
  <c r="BH415" i="88" s="1"/>
  <c r="P86" i="88"/>
  <c r="O144" i="88"/>
  <c r="O68" i="88"/>
  <c r="P102" i="88"/>
  <c r="P94" i="88"/>
  <c r="K192" i="87"/>
  <c r="K193" i="87"/>
  <c r="J190" i="87"/>
  <c r="J186" i="87"/>
  <c r="J187" i="87"/>
  <c r="J193" i="87"/>
  <c r="L193" i="87"/>
  <c r="J191" i="87"/>
  <c r="Y276" i="89"/>
  <c r="BL579" i="89" s="1"/>
  <c r="BL926" i="89" s="1"/>
  <c r="Q97" i="89"/>
  <c r="Q89" i="89"/>
  <c r="BJ392" i="89" s="1"/>
  <c r="Q153" i="89"/>
  <c r="V674" i="89"/>
  <c r="Q129" i="89"/>
  <c r="BJ432" i="89" s="1"/>
  <c r="Q85" i="89"/>
  <c r="BJ388" i="89" s="1"/>
  <c r="Q57" i="89"/>
  <c r="Q137" i="89"/>
  <c r="Q67" i="89"/>
  <c r="Q133" i="89"/>
  <c r="Q115" i="89"/>
  <c r="Q147" i="89"/>
  <c r="BJ450" i="89" s="1"/>
  <c r="Q103" i="89"/>
  <c r="BJ406" i="89" s="1"/>
  <c r="BJ753" i="89" s="1"/>
  <c r="V688" i="89"/>
  <c r="Q73" i="89"/>
  <c r="Q149" i="89"/>
  <c r="BJ452" i="89" s="1"/>
  <c r="Q81" i="89"/>
  <c r="Q143" i="89"/>
  <c r="Q53" i="89"/>
  <c r="BJ356" i="89" s="1"/>
  <c r="Q121" i="89"/>
  <c r="Q91" i="89"/>
  <c r="BJ394" i="89" s="1"/>
  <c r="Q145" i="89"/>
  <c r="BJ448" i="89" s="1"/>
  <c r="Q105" i="89"/>
  <c r="Y259" i="89"/>
  <c r="BL562" i="89" s="1"/>
  <c r="J189" i="87"/>
  <c r="J192" i="87"/>
  <c r="J188" i="87"/>
  <c r="L189" i="87"/>
  <c r="K190" i="87"/>
  <c r="K189" i="87"/>
  <c r="K191" i="87"/>
  <c r="K188" i="87"/>
  <c r="K186" i="87"/>
  <c r="L221" i="87"/>
  <c r="L266" i="87" s="1"/>
  <c r="L263" i="87"/>
  <c r="Y340" i="89"/>
  <c r="BL643" i="89" s="1"/>
  <c r="Q117" i="89"/>
  <c r="BJ420" i="89" s="1"/>
  <c r="BJ767" i="89" s="1"/>
  <c r="BH699" i="89"/>
  <c r="J232" i="87"/>
  <c r="J237" i="87"/>
  <c r="J231" i="87"/>
  <c r="M221" i="87"/>
  <c r="M266" i="87" s="1"/>
  <c r="M268" i="87" s="1"/>
  <c r="M270" i="87" s="1"/>
  <c r="J236" i="87"/>
  <c r="J235" i="87"/>
  <c r="J238" i="87"/>
  <c r="J234" i="87"/>
  <c r="J233" i="87"/>
  <c r="N221" i="87"/>
  <c r="N266" i="87" s="1"/>
  <c r="N268" i="87" s="1"/>
  <c r="N270" i="87" s="1"/>
  <c r="K221" i="87"/>
  <c r="K266" i="87" s="1"/>
  <c r="K260" i="87"/>
  <c r="J257" i="87"/>
  <c r="BF649" i="88"/>
  <c r="BF695" i="88"/>
  <c r="U676" i="89"/>
  <c r="U675" i="89"/>
  <c r="U672" i="89"/>
  <c r="U690" i="89"/>
  <c r="U674" i="89"/>
  <c r="U686" i="89"/>
  <c r="U665" i="89"/>
  <c r="U683" i="89"/>
  <c r="U688" i="89"/>
  <c r="U673" i="89"/>
  <c r="U689" i="89"/>
  <c r="U666" i="89"/>
  <c r="U682" i="89"/>
  <c r="U667" i="89"/>
  <c r="U677" i="89"/>
  <c r="U663" i="89"/>
  <c r="U687" i="89"/>
  <c r="U664" i="89"/>
  <c r="U680" i="89"/>
  <c r="U681" i="89"/>
  <c r="U671" i="89"/>
  <c r="U679" i="89"/>
  <c r="U668" i="89"/>
  <c r="U684" i="89"/>
  <c r="U669" i="89"/>
  <c r="U685" i="89"/>
  <c r="U678" i="89"/>
  <c r="Y219" i="89"/>
  <c r="BL522" i="89" s="1"/>
  <c r="Y283" i="89"/>
  <c r="BL586" i="89" s="1"/>
  <c r="BL933" i="89" s="1"/>
  <c r="Q59" i="89"/>
  <c r="BJ362" i="89" s="1"/>
  <c r="X335" i="89"/>
  <c r="Y335" i="89" s="1"/>
  <c r="BL638" i="89" s="1"/>
  <c r="Q135" i="89"/>
  <c r="BJ438" i="89" s="1"/>
  <c r="BJ785" i="89" s="1"/>
  <c r="X321" i="89"/>
  <c r="BK624" i="89" s="1"/>
  <c r="X281" i="89"/>
  <c r="Y281" i="89" s="1"/>
  <c r="BL584" i="89" s="1"/>
  <c r="X177" i="89"/>
  <c r="BK480" i="89" s="1"/>
  <c r="Q65" i="89"/>
  <c r="BJ368" i="89" s="1"/>
  <c r="P106" i="88"/>
  <c r="Q87" i="89"/>
  <c r="BJ390" i="89" s="1"/>
  <c r="X251" i="89"/>
  <c r="BK554" i="89" s="1"/>
  <c r="AE157" i="89"/>
  <c r="X233" i="89"/>
  <c r="Y233" i="89" s="1"/>
  <c r="BL536" i="89" s="1"/>
  <c r="W685" i="89"/>
  <c r="AE180" i="89"/>
  <c r="BL483" i="89" s="1"/>
  <c r="Y325" i="89"/>
  <c r="BL628" i="89" s="1"/>
  <c r="AC321" i="88"/>
  <c r="Q151" i="89"/>
  <c r="BJ454" i="89" s="1"/>
  <c r="Q63" i="89"/>
  <c r="BJ366" i="89" s="1"/>
  <c r="AE313" i="89"/>
  <c r="BL616" i="89" s="1"/>
  <c r="Y221" i="89"/>
  <c r="BL524" i="89" s="1"/>
  <c r="Q119" i="89"/>
  <c r="BJ422" i="89" s="1"/>
  <c r="X311" i="89"/>
  <c r="BK614" i="89" s="1"/>
  <c r="BK1278" i="89" s="1"/>
  <c r="X243" i="89"/>
  <c r="Y243" i="89" s="1"/>
  <c r="BL546" i="89" s="1"/>
  <c r="X303" i="89"/>
  <c r="Y303" i="89" s="1"/>
  <c r="BL606" i="89" s="1"/>
  <c r="X343" i="89"/>
  <c r="Y343" i="89" s="1"/>
  <c r="BL646" i="89" s="1"/>
  <c r="AE344" i="89"/>
  <c r="BL647" i="89" s="1"/>
  <c r="AE196" i="89"/>
  <c r="BL499" i="89" s="1"/>
  <c r="X256" i="89"/>
  <c r="BK559" i="89" s="1"/>
  <c r="Q83" i="89"/>
  <c r="BJ386" i="89" s="1"/>
  <c r="Q139" i="89"/>
  <c r="BJ442" i="89" s="1"/>
  <c r="Q107" i="89"/>
  <c r="BJ410" i="89" s="1"/>
  <c r="Q75" i="89"/>
  <c r="BJ378" i="89" s="1"/>
  <c r="BJ725" i="89" s="1"/>
  <c r="X278" i="89"/>
  <c r="BK581" i="89" s="1"/>
  <c r="BK928" i="89" s="1"/>
  <c r="X154" i="89"/>
  <c r="BK457" i="89" s="1"/>
  <c r="AC196" i="88"/>
  <c r="BJ499" i="88" s="1"/>
  <c r="AE301" i="89"/>
  <c r="BL604" i="89" s="1"/>
  <c r="AE293" i="89"/>
  <c r="BL596" i="89" s="1"/>
  <c r="AC180" i="88"/>
  <c r="BJ483" i="88" s="1"/>
  <c r="K2" i="87"/>
  <c r="H119" i="90"/>
  <c r="H120" i="90" s="1"/>
  <c r="W667" i="89"/>
  <c r="X244" i="89"/>
  <c r="BK547" i="89" s="1"/>
  <c r="AE345" i="89"/>
  <c r="BL648" i="89" s="1"/>
  <c r="X228" i="89"/>
  <c r="BK531" i="89" s="1"/>
  <c r="Y280" i="89"/>
  <c r="BL583" i="89" s="1"/>
  <c r="AE324" i="89"/>
  <c r="BL627" i="89" s="1"/>
  <c r="X258" i="89"/>
  <c r="BK561" i="89" s="1"/>
  <c r="BK908" i="89" s="1"/>
  <c r="AE210" i="89"/>
  <c r="BL513" i="89" s="1"/>
  <c r="X262" i="89"/>
  <c r="BK565" i="89" s="1"/>
  <c r="BK912" i="89" s="1"/>
  <c r="Q111" i="89"/>
  <c r="BJ414" i="89" s="1"/>
  <c r="Q79" i="89"/>
  <c r="BJ382" i="89" s="1"/>
  <c r="Q55" i="89"/>
  <c r="BJ358" i="89" s="1"/>
  <c r="AC212" i="88"/>
  <c r="AC251" i="88"/>
  <c r="BJ554" i="88" s="1"/>
  <c r="AC208" i="88"/>
  <c r="BJ511" i="88" s="1"/>
  <c r="AC339" i="88"/>
  <c r="AC338" i="88"/>
  <c r="BJ641" i="88" s="1"/>
  <c r="AC270" i="88"/>
  <c r="AE213" i="89"/>
  <c r="BL516" i="89" s="1"/>
  <c r="X168" i="89"/>
  <c r="BK471" i="89" s="1"/>
  <c r="V154" i="88"/>
  <c r="V167" i="88"/>
  <c r="W167" i="88" s="1"/>
  <c r="AC247" i="88"/>
  <c r="P74" i="88"/>
  <c r="AE245" i="89"/>
  <c r="BL548" i="89" s="1"/>
  <c r="X158" i="89"/>
  <c r="BK461" i="89" s="1"/>
  <c r="Y261" i="89"/>
  <c r="BL564" i="89" s="1"/>
  <c r="AE220" i="89"/>
  <c r="BL523" i="89" s="1"/>
  <c r="X260" i="89"/>
  <c r="BK563" i="89" s="1"/>
  <c r="Q123" i="89"/>
  <c r="BJ426" i="89" s="1"/>
  <c r="AE237" i="89"/>
  <c r="BL540" i="89" s="1"/>
  <c r="X292" i="89"/>
  <c r="BK595" i="89" s="1"/>
  <c r="Q113" i="89"/>
  <c r="BJ416" i="89" s="1"/>
  <c r="X290" i="89"/>
  <c r="BK593" i="89" s="1"/>
  <c r="X330" i="89"/>
  <c r="BK633" i="89" s="1"/>
  <c r="BK980" i="89" s="1"/>
  <c r="Q127" i="89"/>
  <c r="BJ430" i="89" s="1"/>
  <c r="Q71" i="89"/>
  <c r="BJ374" i="89" s="1"/>
  <c r="AE285" i="89"/>
  <c r="BH1016" i="89"/>
  <c r="Q95" i="89"/>
  <c r="BJ398" i="89" s="1"/>
  <c r="Y267" i="89"/>
  <c r="AE161" i="89"/>
  <c r="BL464" i="89" s="1"/>
  <c r="Q51" i="89"/>
  <c r="BJ354" i="89" s="1"/>
  <c r="P122" i="88"/>
  <c r="P58" i="88"/>
  <c r="BI361" i="88" s="1"/>
  <c r="P90" i="88"/>
  <c r="Q99" i="89"/>
  <c r="BJ402" i="89" s="1"/>
  <c r="Q131" i="89"/>
  <c r="BJ434" i="89" s="1"/>
  <c r="P82" i="88"/>
  <c r="P114" i="88"/>
  <c r="BI417" i="88" s="1"/>
  <c r="P146" i="88"/>
  <c r="P130" i="88"/>
  <c r="BI433" i="88" s="1"/>
  <c r="P98" i="88"/>
  <c r="BI401" i="88" s="1"/>
  <c r="Q69" i="89"/>
  <c r="BJ372" i="89" s="1"/>
  <c r="X310" i="89"/>
  <c r="BK613" i="89" s="1"/>
  <c r="BK960" i="89" s="1"/>
  <c r="V240" i="88"/>
  <c r="BI543" i="88" s="1"/>
  <c r="V164" i="88"/>
  <c r="BI467" i="88" s="1"/>
  <c r="O139" i="88"/>
  <c r="BH442" i="88" s="1"/>
  <c r="BH1106" i="88" s="1"/>
  <c r="O123" i="88"/>
  <c r="BH426" i="88" s="1"/>
  <c r="BH1090" i="88" s="1"/>
  <c r="O107" i="88"/>
  <c r="O91" i="88"/>
  <c r="O75" i="88"/>
  <c r="BH378" i="88" s="1"/>
  <c r="O59" i="88"/>
  <c r="BH362" i="88" s="1"/>
  <c r="BH1026" i="88" s="1"/>
  <c r="V274" i="88"/>
  <c r="BI577" i="88" s="1"/>
  <c r="O141" i="88"/>
  <c r="O125" i="88"/>
  <c r="BH428" i="88" s="1"/>
  <c r="O109" i="88"/>
  <c r="O93" i="88"/>
  <c r="BH396" i="88" s="1"/>
  <c r="P88" i="88"/>
  <c r="BI391" i="88" s="1"/>
  <c r="O77" i="88"/>
  <c r="O61" i="88"/>
  <c r="BH364" i="88" s="1"/>
  <c r="O45" i="88"/>
  <c r="Q61" i="89"/>
  <c r="BJ364" i="89" s="1"/>
  <c r="X186" i="89"/>
  <c r="BK489" i="89" s="1"/>
  <c r="V336" i="88"/>
  <c r="BI639" i="88" s="1"/>
  <c r="V332" i="88"/>
  <c r="BI635" i="88" s="1"/>
  <c r="V328" i="88"/>
  <c r="BI631" i="88" s="1"/>
  <c r="V320" i="88"/>
  <c r="BI623" i="88" s="1"/>
  <c r="V308" i="88"/>
  <c r="BI611" i="88" s="1"/>
  <c r="V300" i="88"/>
  <c r="BI603" i="88" s="1"/>
  <c r="V159" i="88"/>
  <c r="BI462" i="88" s="1"/>
  <c r="BI1126" i="88" s="1"/>
  <c r="V151" i="88"/>
  <c r="BI454" i="88" s="1"/>
  <c r="O135" i="88"/>
  <c r="O119" i="88"/>
  <c r="BH422" i="88" s="1"/>
  <c r="O103" i="88"/>
  <c r="BH406" i="88" s="1"/>
  <c r="O87" i="88"/>
  <c r="O71" i="88"/>
  <c r="O55" i="88"/>
  <c r="BH358" i="88" s="1"/>
  <c r="V258" i="88"/>
  <c r="BI561" i="88" s="1"/>
  <c r="V206" i="88"/>
  <c r="BI509" i="88" s="1"/>
  <c r="V182" i="88"/>
  <c r="BI485" i="88" s="1"/>
  <c r="V153" i="88"/>
  <c r="BI456" i="88" s="1"/>
  <c r="O145" i="88"/>
  <c r="O129" i="88"/>
  <c r="BH432" i="88" s="1"/>
  <c r="O113" i="88"/>
  <c r="P108" i="88"/>
  <c r="BI411" i="88" s="1"/>
  <c r="O97" i="88"/>
  <c r="BH400" i="88" s="1"/>
  <c r="P92" i="88"/>
  <c r="BI395" i="88" s="1"/>
  <c r="O81" i="88"/>
  <c r="O65" i="88"/>
  <c r="BH368" i="88" s="1"/>
  <c r="P60" i="88"/>
  <c r="BI363" i="88" s="1"/>
  <c r="O49" i="88"/>
  <c r="BG348" i="88"/>
  <c r="Q77" i="89"/>
  <c r="BJ380" i="89" s="1"/>
  <c r="X242" i="89"/>
  <c r="BK545" i="89" s="1"/>
  <c r="X294" i="89"/>
  <c r="X334" i="89"/>
  <c r="BK637" i="89" s="1"/>
  <c r="BK984" i="89" s="1"/>
  <c r="Q101" i="89"/>
  <c r="BJ404" i="89" s="1"/>
  <c r="Q93" i="89"/>
  <c r="BJ396" i="89" s="1"/>
  <c r="V288" i="88"/>
  <c r="BI591" i="88" s="1"/>
  <c r="V284" i="88"/>
  <c r="BI587" i="88" s="1"/>
  <c r="V264" i="88"/>
  <c r="BI567" i="88" s="1"/>
  <c r="V232" i="88"/>
  <c r="BI535" i="88" s="1"/>
  <c r="V224" i="88"/>
  <c r="BI527" i="88" s="1"/>
  <c r="V172" i="88"/>
  <c r="BI475" i="88" s="1"/>
  <c r="O147" i="88"/>
  <c r="O131" i="88"/>
  <c r="BH434" i="88" s="1"/>
  <c r="BH1098" i="88" s="1"/>
  <c r="O115" i="88"/>
  <c r="BH418" i="88" s="1"/>
  <c r="O99" i="88"/>
  <c r="BH402" i="88" s="1"/>
  <c r="BH1066" i="88" s="1"/>
  <c r="O83" i="88"/>
  <c r="BH386" i="88" s="1"/>
  <c r="BH1050" i="88" s="1"/>
  <c r="O67" i="88"/>
  <c r="BH370" i="88" s="1"/>
  <c r="BH1034" i="88" s="1"/>
  <c r="O51" i="88"/>
  <c r="BH354" i="88" s="1"/>
  <c r="V306" i="88"/>
  <c r="BI609" i="88" s="1"/>
  <c r="V302" i="88"/>
  <c r="V290" i="88"/>
  <c r="V286" i="88"/>
  <c r="BI589" i="88" s="1"/>
  <c r="V254" i="88"/>
  <c r="BI557" i="88" s="1"/>
  <c r="V242" i="88"/>
  <c r="BI545" i="88" s="1"/>
  <c r="V166" i="88"/>
  <c r="BI469" i="88" s="1"/>
  <c r="V149" i="88"/>
  <c r="BI452" i="88" s="1"/>
  <c r="O133" i="88"/>
  <c r="O117" i="88"/>
  <c r="BH420" i="88" s="1"/>
  <c r="O101" i="88"/>
  <c r="P96" i="88"/>
  <c r="BI399" i="88" s="1"/>
  <c r="O85" i="88"/>
  <c r="BH388" i="88" s="1"/>
  <c r="P80" i="88"/>
  <c r="BI383" i="88" s="1"/>
  <c r="O69" i="88"/>
  <c r="O53" i="88"/>
  <c r="BH356" i="88" s="1"/>
  <c r="BH1020" i="88" s="1"/>
  <c r="P48" i="88"/>
  <c r="BI351" i="88" s="1"/>
  <c r="Q125" i="89"/>
  <c r="BJ428" i="89" s="1"/>
  <c r="X166" i="89"/>
  <c r="BK469" i="89" s="1"/>
  <c r="X170" i="89"/>
  <c r="BK473" i="89" s="1"/>
  <c r="Q141" i="89"/>
  <c r="BJ444" i="89" s="1"/>
  <c r="Q109" i="89"/>
  <c r="BJ412" i="89" s="1"/>
  <c r="BF1012" i="88"/>
  <c r="V276" i="88"/>
  <c r="BI579" i="88" s="1"/>
  <c r="V272" i="88"/>
  <c r="BI575" i="88" s="1"/>
  <c r="V256" i="88"/>
  <c r="BI559" i="88" s="1"/>
  <c r="V252" i="88"/>
  <c r="BI555" i="88" s="1"/>
  <c r="V248" i="88"/>
  <c r="BI551" i="88" s="1"/>
  <c r="V216" i="88"/>
  <c r="BI519" i="88" s="1"/>
  <c r="V192" i="88"/>
  <c r="V155" i="88"/>
  <c r="BI458" i="88" s="1"/>
  <c r="O143" i="88"/>
  <c r="O127" i="88"/>
  <c r="BH430" i="88" s="1"/>
  <c r="BH1094" i="88" s="1"/>
  <c r="O111" i="88"/>
  <c r="BH414" i="88" s="1"/>
  <c r="O95" i="88"/>
  <c r="O79" i="88"/>
  <c r="BH382" i="88" s="1"/>
  <c r="O63" i="88"/>
  <c r="BH366" i="88" s="1"/>
  <c r="O47" i="88"/>
  <c r="V330" i="88"/>
  <c r="BI633" i="88" s="1"/>
  <c r="V326" i="88"/>
  <c r="BI629" i="88" s="1"/>
  <c r="V238" i="88"/>
  <c r="BI541" i="88" s="1"/>
  <c r="V162" i="88"/>
  <c r="BI465" i="88" s="1"/>
  <c r="P148" i="88"/>
  <c r="BI451" i="88" s="1"/>
  <c r="O137" i="88"/>
  <c r="O121" i="88"/>
  <c r="BH424" i="88" s="1"/>
  <c r="O105" i="88"/>
  <c r="P100" i="88"/>
  <c r="BI403" i="88" s="1"/>
  <c r="O89" i="88"/>
  <c r="BH392" i="88" s="1"/>
  <c r="O73" i="88"/>
  <c r="O57" i="88"/>
  <c r="BH360" i="88" s="1"/>
  <c r="P52" i="88"/>
  <c r="BI355" i="88" s="1"/>
  <c r="L191" i="87"/>
  <c r="Q82" i="89"/>
  <c r="BJ385" i="89" s="1"/>
  <c r="Q128" i="89"/>
  <c r="BJ431" i="89" s="1"/>
  <c r="BJ778" i="89" s="1"/>
  <c r="Q152" i="89"/>
  <c r="BJ455" i="89" s="1"/>
  <c r="Q142" i="89"/>
  <c r="BJ445" i="89" s="1"/>
  <c r="Q126" i="89"/>
  <c r="BJ429" i="89" s="1"/>
  <c r="Q110" i="89"/>
  <c r="BJ413" i="89" s="1"/>
  <c r="Q94" i="89"/>
  <c r="BJ397" i="89" s="1"/>
  <c r="Q78" i="89"/>
  <c r="BJ381" i="89" s="1"/>
  <c r="Q62" i="89"/>
  <c r="BJ365" i="89" s="1"/>
  <c r="Q80" i="89"/>
  <c r="BJ383" i="89" s="1"/>
  <c r="Q100" i="89"/>
  <c r="BJ403" i="89" s="1"/>
  <c r="Q140" i="89"/>
  <c r="BJ443" i="89" s="1"/>
  <c r="Q124" i="89"/>
  <c r="BJ427" i="89" s="1"/>
  <c r="Q76" i="89"/>
  <c r="BJ379" i="89" s="1"/>
  <c r="Q136" i="89"/>
  <c r="BJ439" i="89" s="1"/>
  <c r="Q104" i="89"/>
  <c r="BJ407" i="89" s="1"/>
  <c r="Q146" i="89"/>
  <c r="BJ449" i="89" s="1"/>
  <c r="Q130" i="89"/>
  <c r="BJ433" i="89" s="1"/>
  <c r="Q114" i="89"/>
  <c r="BJ417" i="89" s="1"/>
  <c r="Q98" i="89"/>
  <c r="BJ401" i="89" s="1"/>
  <c r="Q66" i="89"/>
  <c r="BJ369" i="89" s="1"/>
  <c r="Q49" i="89"/>
  <c r="Q64" i="89"/>
  <c r="BJ367" i="89" s="1"/>
  <c r="Q116" i="89"/>
  <c r="BJ419" i="89" s="1"/>
  <c r="Q92" i="89"/>
  <c r="BJ395" i="89" s="1"/>
  <c r="BJ742" i="89" s="1"/>
  <c r="Q148" i="89"/>
  <c r="BJ451" i="89" s="1"/>
  <c r="Q88" i="89"/>
  <c r="BJ391" i="89" s="1"/>
  <c r="Q138" i="89"/>
  <c r="BJ441" i="89" s="1"/>
  <c r="Q122" i="89"/>
  <c r="BJ425" i="89" s="1"/>
  <c r="Q106" i="89"/>
  <c r="BJ409" i="89" s="1"/>
  <c r="Q90" i="89"/>
  <c r="BJ393" i="89" s="1"/>
  <c r="Q74" i="89"/>
  <c r="BJ377" i="89" s="1"/>
  <c r="Q58" i="89"/>
  <c r="BJ361" i="89" s="1"/>
  <c r="Q96" i="89"/>
  <c r="BJ399" i="89" s="1"/>
  <c r="Q84" i="89"/>
  <c r="BJ387" i="89" s="1"/>
  <c r="Q52" i="89"/>
  <c r="BJ355" i="89" s="1"/>
  <c r="Q120" i="89"/>
  <c r="BJ423" i="89" s="1"/>
  <c r="Q56" i="89"/>
  <c r="BJ359" i="89" s="1"/>
  <c r="Q150" i="89"/>
  <c r="BJ453" i="89" s="1"/>
  <c r="Q134" i="89"/>
  <c r="BJ437" i="89" s="1"/>
  <c r="Q118" i="89"/>
  <c r="BJ421" i="89" s="1"/>
  <c r="Q102" i="89"/>
  <c r="BJ405" i="89" s="1"/>
  <c r="Q86" i="89"/>
  <c r="BJ389" i="89" s="1"/>
  <c r="Q70" i="89"/>
  <c r="BJ373" i="89" s="1"/>
  <c r="Q54" i="89"/>
  <c r="BJ357" i="89" s="1"/>
  <c r="BI352" i="89"/>
  <c r="Q144" i="89"/>
  <c r="BJ447" i="89" s="1"/>
  <c r="Q112" i="89"/>
  <c r="BJ415" i="89" s="1"/>
  <c r="BJ762" i="89" s="1"/>
  <c r="Q68" i="89"/>
  <c r="BJ371" i="89" s="1"/>
  <c r="Q108" i="89"/>
  <c r="BJ411" i="89" s="1"/>
  <c r="Q60" i="89"/>
  <c r="BJ363" i="89" s="1"/>
  <c r="Q72" i="89"/>
  <c r="BJ375" i="89" s="1"/>
  <c r="Q132" i="89"/>
  <c r="BJ435" i="89" s="1"/>
  <c r="E100" i="87"/>
  <c r="E120" i="87"/>
  <c r="E122" i="87"/>
  <c r="E121" i="87"/>
  <c r="D103" i="87"/>
  <c r="E102" i="87"/>
  <c r="E101" i="87"/>
  <c r="C220" i="7"/>
  <c r="C219" i="7"/>
  <c r="C218" i="7"/>
  <c r="C217" i="7"/>
  <c r="C216" i="7"/>
  <c r="C215" i="7"/>
  <c r="C214" i="7"/>
  <c r="C213" i="7"/>
  <c r="C178" i="7"/>
  <c r="C177" i="7"/>
  <c r="C176" i="7"/>
  <c r="C175" i="7"/>
  <c r="C174" i="7"/>
  <c r="C173" i="7"/>
  <c r="C172" i="7"/>
  <c r="C171" i="7"/>
  <c r="BL1238" i="89" l="1"/>
  <c r="BL813" i="89"/>
  <c r="BJ1267" i="89"/>
  <c r="BL852" i="89"/>
  <c r="BK1222" i="89"/>
  <c r="AB223" i="87"/>
  <c r="BJ1150" i="88"/>
  <c r="BJ1261" i="88"/>
  <c r="BJ959" i="89"/>
  <c r="BI585" i="88"/>
  <c r="BJ819" i="89"/>
  <c r="BJ992" i="89"/>
  <c r="BJ1222" i="89"/>
  <c r="BI869" i="88"/>
  <c r="BJ925" i="89"/>
  <c r="BL1271" i="89"/>
  <c r="BH1272" i="88"/>
  <c r="BL938" i="89"/>
  <c r="BJ1224" i="89"/>
  <c r="BK1189" i="89"/>
  <c r="BJ1279" i="89"/>
  <c r="BJ968" i="89"/>
  <c r="BJ1194" i="89"/>
  <c r="BL1303" i="89"/>
  <c r="BL841" i="89"/>
  <c r="BK1179" i="89"/>
  <c r="BK869" i="89"/>
  <c r="BJ895" i="89"/>
  <c r="BK1151" i="89"/>
  <c r="BL1220" i="89"/>
  <c r="BL962" i="89"/>
  <c r="BJ1127" i="89"/>
  <c r="BK1298" i="89"/>
  <c r="BK1282" i="89"/>
  <c r="BJ1219" i="89"/>
  <c r="BJ1260" i="89"/>
  <c r="BK945" i="89"/>
  <c r="BJ1272" i="89"/>
  <c r="BJ883" i="89"/>
  <c r="BL1267" i="89"/>
  <c r="BL898" i="89"/>
  <c r="BJ1123" i="89"/>
  <c r="BJ900" i="89"/>
  <c r="BK967" i="89"/>
  <c r="BL1300" i="89"/>
  <c r="BJ1211" i="89"/>
  <c r="BK1292" i="89"/>
  <c r="BL1219" i="89"/>
  <c r="BL1305" i="89"/>
  <c r="BL1217" i="89"/>
  <c r="BJ1282" i="89"/>
  <c r="BK1238" i="89"/>
  <c r="BK899" i="89"/>
  <c r="BL1143" i="89"/>
  <c r="BK1246" i="89"/>
  <c r="BK1228" i="89"/>
  <c r="BJ1307" i="89"/>
  <c r="BK1279" i="89"/>
  <c r="BK978" i="89"/>
  <c r="BK1219" i="89"/>
  <c r="BL1309" i="89"/>
  <c r="BK1305" i="89"/>
  <c r="BJ1283" i="89"/>
  <c r="BK941" i="89"/>
  <c r="BL905" i="89"/>
  <c r="BJ885" i="89"/>
  <c r="BJ1230" i="89"/>
  <c r="BK845" i="89"/>
  <c r="BK994" i="89"/>
  <c r="BJ1147" i="89"/>
  <c r="BK982" i="89"/>
  <c r="BJ1292" i="89"/>
  <c r="BK1142" i="89"/>
  <c r="BL981" i="89"/>
  <c r="BJ1250" i="89"/>
  <c r="BL1140" i="89"/>
  <c r="BJ972" i="89"/>
  <c r="BL835" i="89"/>
  <c r="BL1162" i="89"/>
  <c r="BJ915" i="89"/>
  <c r="BJ843" i="89"/>
  <c r="BJ845" i="89"/>
  <c r="BK1170" i="89"/>
  <c r="BJ971" i="89"/>
  <c r="BJ1215" i="89"/>
  <c r="BK1148" i="89"/>
  <c r="BJ1243" i="89"/>
  <c r="BJ861" i="89"/>
  <c r="BK922" i="89"/>
  <c r="BL1230" i="89"/>
  <c r="BK1254" i="89"/>
  <c r="BL1132" i="89"/>
  <c r="BK813" i="89"/>
  <c r="BK955" i="89"/>
  <c r="BK852" i="89"/>
  <c r="BG764" i="88"/>
  <c r="BL958" i="89"/>
  <c r="BJ957" i="89"/>
  <c r="BK974" i="89"/>
  <c r="BL1214" i="89"/>
  <c r="BL1157" i="89"/>
  <c r="J276" i="87"/>
  <c r="BH1258" i="88"/>
  <c r="BJ1290" i="89"/>
  <c r="BJ1235" i="89"/>
  <c r="BJ942" i="89"/>
  <c r="BJ1287" i="89"/>
  <c r="P70" i="88"/>
  <c r="BI373" i="88" s="1"/>
  <c r="BI720" i="88" s="1"/>
  <c r="BK865" i="89"/>
  <c r="P138" i="88"/>
  <c r="P54" i="88"/>
  <c r="BJ884" i="88"/>
  <c r="BJ837" i="89"/>
  <c r="BK821" i="89"/>
  <c r="BL842" i="89"/>
  <c r="BL885" i="89"/>
  <c r="BJ1156" i="89"/>
  <c r="BK913" i="89"/>
  <c r="BL809" i="89"/>
  <c r="BL945" i="89"/>
  <c r="BK1313" i="89"/>
  <c r="BL896" i="89"/>
  <c r="P78" i="88"/>
  <c r="P118" i="88"/>
  <c r="BI421" i="88" s="1"/>
  <c r="BI1085" i="88" s="1"/>
  <c r="BL834" i="89"/>
  <c r="BJ930" i="89"/>
  <c r="BL955" i="89"/>
  <c r="BK954" i="89"/>
  <c r="BJ1270" i="89"/>
  <c r="BJ945" i="89"/>
  <c r="BK809" i="89"/>
  <c r="BK926" i="89"/>
  <c r="BJ960" i="89"/>
  <c r="BJ924" i="89"/>
  <c r="BL941" i="89"/>
  <c r="BL991" i="89"/>
  <c r="BK963" i="89"/>
  <c r="BL978" i="89"/>
  <c r="BJ946" i="89"/>
  <c r="BK972" i="89"/>
  <c r="BK1294" i="89"/>
  <c r="BJ1214" i="89"/>
  <c r="BL1313" i="89"/>
  <c r="BK1241" i="89"/>
  <c r="BL853" i="89"/>
  <c r="BJ954" i="89"/>
  <c r="BL865" i="89"/>
  <c r="BK951" i="89"/>
  <c r="BK1263" i="89"/>
  <c r="BJ1280" i="89"/>
  <c r="BK938" i="89"/>
  <c r="BK814" i="89"/>
  <c r="BK830" i="89"/>
  <c r="BL460" i="89"/>
  <c r="BL807" i="89" s="1"/>
  <c r="BL1281" i="89"/>
  <c r="BL946" i="89"/>
  <c r="BK909" i="89"/>
  <c r="BK986" i="89"/>
  <c r="BK828" i="89"/>
  <c r="BH1197" i="88"/>
  <c r="BI517" i="88"/>
  <c r="BI1181" i="88" s="1"/>
  <c r="BJ1220" i="89"/>
  <c r="BJ904" i="89"/>
  <c r="BJ1281" i="89"/>
  <c r="BK918" i="89"/>
  <c r="BL936" i="89"/>
  <c r="BK991" i="89"/>
  <c r="BK1281" i="89"/>
  <c r="BJ848" i="89"/>
  <c r="BL1284" i="89"/>
  <c r="BJ961" i="89"/>
  <c r="BJ967" i="89"/>
  <c r="BL1282" i="89"/>
  <c r="BL1299" i="89"/>
  <c r="BJ1227" i="89"/>
  <c r="BK898" i="89"/>
  <c r="BK810" i="89"/>
  <c r="BJ1155" i="89"/>
  <c r="BJ1122" i="89"/>
  <c r="BK1221" i="89"/>
  <c r="BJ1183" i="89"/>
  <c r="BK1220" i="89"/>
  <c r="BL1242" i="89"/>
  <c r="BK1276" i="89"/>
  <c r="BJ1311" i="89"/>
  <c r="BK1309" i="89"/>
  <c r="BK1285" i="89"/>
  <c r="BK1149" i="89"/>
  <c r="BJ825" i="89"/>
  <c r="BJ1198" i="89"/>
  <c r="BJ1298" i="89"/>
  <c r="BJ1299" i="89"/>
  <c r="BK970" i="89"/>
  <c r="BJ1302" i="89"/>
  <c r="BJ977" i="89"/>
  <c r="BJ842" i="89"/>
  <c r="BK1132" i="89"/>
  <c r="BK990" i="89"/>
  <c r="BL810" i="89"/>
  <c r="BK897" i="89"/>
  <c r="BJ912" i="89"/>
  <c r="BJ828" i="89"/>
  <c r="BJ906" i="89"/>
  <c r="BK1290" i="89"/>
  <c r="BJ1226" i="89"/>
  <c r="BJ951" i="89"/>
  <c r="BJ1303" i="89"/>
  <c r="BK900" i="89"/>
  <c r="BJ1228" i="89"/>
  <c r="BK838" i="89"/>
  <c r="BJ869" i="89"/>
  <c r="BK835" i="89"/>
  <c r="BJ993" i="89"/>
  <c r="BJ980" i="89"/>
  <c r="BJ814" i="89"/>
  <c r="BJ833" i="89"/>
  <c r="BL968" i="89"/>
  <c r="BK1251" i="89"/>
  <c r="BL1274" i="89"/>
  <c r="BK1250" i="89"/>
  <c r="BL1289" i="89"/>
  <c r="BK1213" i="89"/>
  <c r="BJ983" i="89"/>
  <c r="BL966" i="89"/>
  <c r="BL920" i="89"/>
  <c r="BL922" i="89"/>
  <c r="BL929" i="89"/>
  <c r="BJ865" i="89"/>
  <c r="BK950" i="89"/>
  <c r="BL934" i="89"/>
  <c r="BK957" i="89"/>
  <c r="BJ937" i="89"/>
  <c r="BJ931" i="89"/>
  <c r="BK823" i="89"/>
  <c r="BJ974" i="89"/>
  <c r="BL1136" i="89"/>
  <c r="BL819" i="89"/>
  <c r="BJ1171" i="89"/>
  <c r="BK1158" i="89"/>
  <c r="BK1146" i="89"/>
  <c r="BJ1258" i="89"/>
  <c r="BJ1312" i="89"/>
  <c r="BK1275" i="89"/>
  <c r="BJ1301" i="89"/>
  <c r="BL1145" i="89"/>
  <c r="BK1141" i="89"/>
  <c r="BK1260" i="89"/>
  <c r="BL1235" i="89"/>
  <c r="BK1212" i="89"/>
  <c r="BL1294" i="89"/>
  <c r="BL1290" i="89"/>
  <c r="BJ1168" i="89"/>
  <c r="BK472" i="89"/>
  <c r="BK1312" i="89"/>
  <c r="BJ1216" i="89"/>
  <c r="BK1283" i="89"/>
  <c r="BL895" i="89"/>
  <c r="BL1212" i="89"/>
  <c r="BL963" i="89"/>
  <c r="BL1280" i="89"/>
  <c r="BK910" i="89"/>
  <c r="BK1227" i="89"/>
  <c r="BL974" i="89"/>
  <c r="BL1291" i="89"/>
  <c r="BK894" i="89"/>
  <c r="BK1211" i="89"/>
  <c r="BL951" i="89"/>
  <c r="BL1268" i="89"/>
  <c r="BK906" i="89"/>
  <c r="BK1223" i="89"/>
  <c r="BL953" i="89"/>
  <c r="BL1270" i="89"/>
  <c r="BL883" i="89"/>
  <c r="BL1200" i="89"/>
  <c r="BK1288" i="89"/>
  <c r="BK971" i="89"/>
  <c r="BL990" i="89"/>
  <c r="BL1307" i="89"/>
  <c r="BL909" i="89"/>
  <c r="BL1226" i="89"/>
  <c r="BL915" i="89"/>
  <c r="BL1232" i="89"/>
  <c r="BL924" i="89"/>
  <c r="BL1241" i="89"/>
  <c r="BL843" i="89"/>
  <c r="BL1160" i="89"/>
  <c r="BK942" i="89"/>
  <c r="BK1259" i="89"/>
  <c r="BL930" i="89"/>
  <c r="BL1247" i="89"/>
  <c r="BL975" i="89"/>
  <c r="BL1292" i="89"/>
  <c r="BL911" i="89"/>
  <c r="BL1228" i="89"/>
  <c r="BL994" i="89"/>
  <c r="BL1311" i="89"/>
  <c r="BK901" i="89"/>
  <c r="BK1218" i="89"/>
  <c r="BL985" i="89"/>
  <c r="BL1302" i="89"/>
  <c r="BK1165" i="89"/>
  <c r="BK848" i="89"/>
  <c r="BL1287" i="89"/>
  <c r="BL970" i="89"/>
  <c r="BL959" i="89"/>
  <c r="BL1276" i="89"/>
  <c r="BL893" i="89"/>
  <c r="BL1210" i="89"/>
  <c r="BK940" i="89"/>
  <c r="BK1257" i="89"/>
  <c r="BL995" i="89"/>
  <c r="BL1312" i="89"/>
  <c r="BL943" i="89"/>
  <c r="BL1260" i="89"/>
  <c r="BL993" i="89"/>
  <c r="BL1310" i="89"/>
  <c r="BL931" i="89"/>
  <c r="BL1248" i="89"/>
  <c r="BK961" i="89"/>
  <c r="BJ1084" i="89"/>
  <c r="BL1216" i="89"/>
  <c r="BL1243" i="89"/>
  <c r="BL1250" i="89"/>
  <c r="BJ1042" i="89"/>
  <c r="BJ1079" i="89"/>
  <c r="BJ1095" i="89"/>
  <c r="BK1277" i="89"/>
  <c r="BK1245" i="89"/>
  <c r="BK1229" i="89"/>
  <c r="BK1225" i="89"/>
  <c r="BK546" i="89"/>
  <c r="BK638" i="89"/>
  <c r="BK646" i="89"/>
  <c r="BJ1059" i="89"/>
  <c r="BL1254" i="89"/>
  <c r="BK1301" i="89"/>
  <c r="BK1233" i="89"/>
  <c r="R67" i="89"/>
  <c r="BK370" i="89" s="1"/>
  <c r="BJ370" i="89"/>
  <c r="BK1224" i="89"/>
  <c r="BJ1102" i="89"/>
  <c r="BJ1070" i="89"/>
  <c r="BK1297" i="89"/>
  <c r="BL1221" i="89"/>
  <c r="BK536" i="89"/>
  <c r="BK584" i="89"/>
  <c r="BK606" i="89"/>
  <c r="R121" i="89"/>
  <c r="BK424" i="89" s="1"/>
  <c r="BJ424" i="89"/>
  <c r="BL1164" i="89"/>
  <c r="BK568" i="89"/>
  <c r="BI539" i="88"/>
  <c r="BI1203" i="88" s="1"/>
  <c r="BI573" i="88"/>
  <c r="BI600" i="88"/>
  <c r="BI947" i="88" s="1"/>
  <c r="BJ722" i="89"/>
  <c r="BJ1039" i="89"/>
  <c r="BJ720" i="89"/>
  <c r="BJ1037" i="89"/>
  <c r="BJ702" i="89"/>
  <c r="BJ1019" i="89"/>
  <c r="BJ766" i="89"/>
  <c r="BJ1083" i="89"/>
  <c r="BJ796" i="89"/>
  <c r="BJ1113" i="89"/>
  <c r="BJ712" i="89"/>
  <c r="BJ1029" i="89"/>
  <c r="BJ776" i="89"/>
  <c r="BJ1093" i="89"/>
  <c r="BJ791" i="89"/>
  <c r="BJ1108" i="89"/>
  <c r="BJ701" i="89"/>
  <c r="BJ1018" i="89"/>
  <c r="BJ777" i="89"/>
  <c r="BJ1094" i="89"/>
  <c r="BI851" i="89"/>
  <c r="BI1168" i="89"/>
  <c r="BL832" i="89"/>
  <c r="BL1149" i="89"/>
  <c r="BK849" i="89"/>
  <c r="BK1166" i="89"/>
  <c r="BK882" i="89"/>
  <c r="BK1199" i="89"/>
  <c r="BL812" i="89"/>
  <c r="BL1129" i="89"/>
  <c r="BK886" i="89"/>
  <c r="BK1203" i="89"/>
  <c r="BL824" i="89"/>
  <c r="BL1141" i="89"/>
  <c r="BL851" i="89"/>
  <c r="BL1168" i="89"/>
  <c r="BJ816" i="89"/>
  <c r="BJ1133" i="89"/>
  <c r="BL884" i="89"/>
  <c r="BL1201" i="89"/>
  <c r="BJ710" i="89"/>
  <c r="BJ1027" i="89"/>
  <c r="BJ734" i="89"/>
  <c r="BJ1051" i="89"/>
  <c r="BK808" i="89"/>
  <c r="BK1125" i="89"/>
  <c r="BJ761" i="89"/>
  <c r="BJ1078" i="89"/>
  <c r="BL871" i="89"/>
  <c r="BL1188" i="89"/>
  <c r="BJ709" i="89"/>
  <c r="BJ1026" i="89"/>
  <c r="BK812" i="89"/>
  <c r="BK1129" i="89"/>
  <c r="BK880" i="89"/>
  <c r="BK1197" i="89"/>
  <c r="BJ887" i="89"/>
  <c r="BJ1204" i="89"/>
  <c r="BJ807" i="89"/>
  <c r="BJ1124" i="89"/>
  <c r="BK887" i="89"/>
  <c r="BK1204" i="89"/>
  <c r="BL874" i="89"/>
  <c r="BL1191" i="89"/>
  <c r="BL886" i="89"/>
  <c r="BL1203" i="89"/>
  <c r="BJ888" i="89"/>
  <c r="BJ1205" i="89"/>
  <c r="BL821" i="89"/>
  <c r="BL1138" i="89"/>
  <c r="BK856" i="89"/>
  <c r="BK1173" i="89"/>
  <c r="BK891" i="89"/>
  <c r="BK1208" i="89"/>
  <c r="BL866" i="89"/>
  <c r="BL1183" i="89"/>
  <c r="BJ867" i="89"/>
  <c r="BJ1184" i="89"/>
  <c r="BL837" i="89"/>
  <c r="BL1154" i="89"/>
  <c r="BK805" i="89"/>
  <c r="BK1122" i="89"/>
  <c r="BJ841" i="89"/>
  <c r="BJ1158" i="89"/>
  <c r="BL814" i="89"/>
  <c r="BL1131" i="89"/>
  <c r="BL864" i="89"/>
  <c r="BL1181" i="89"/>
  <c r="BL857" i="89"/>
  <c r="BL1174" i="89"/>
  <c r="BJ829" i="89"/>
  <c r="BJ1146" i="89"/>
  <c r="BK859" i="89"/>
  <c r="BK1176" i="89"/>
  <c r="BK847" i="89"/>
  <c r="BK1164" i="89"/>
  <c r="BL879" i="89"/>
  <c r="BL1196" i="89"/>
  <c r="BJ884" i="89"/>
  <c r="BJ1201" i="89"/>
  <c r="BL861" i="89"/>
  <c r="BL1178" i="89"/>
  <c r="BK844" i="89"/>
  <c r="BK1161" i="89"/>
  <c r="BJ890" i="89"/>
  <c r="BJ1207" i="89"/>
  <c r="BL888" i="89"/>
  <c r="BL1205" i="89"/>
  <c r="BK854" i="89"/>
  <c r="BK1171" i="89"/>
  <c r="BJ826" i="89"/>
  <c r="BJ1143" i="89"/>
  <c r="BJ832" i="89"/>
  <c r="BJ1149" i="89"/>
  <c r="BL849" i="89"/>
  <c r="BL1166" i="89"/>
  <c r="BJ784" i="89"/>
  <c r="BJ1101" i="89"/>
  <c r="BJ788" i="89"/>
  <c r="BJ1105" i="89"/>
  <c r="BJ729" i="89"/>
  <c r="BJ1046" i="89"/>
  <c r="BJ733" i="89"/>
  <c r="BJ1050" i="89"/>
  <c r="BJ769" i="89"/>
  <c r="BJ1086" i="89"/>
  <c r="BJ801" i="89"/>
  <c r="BJ1118" i="89"/>
  <c r="BJ737" i="89"/>
  <c r="BJ1054" i="89"/>
  <c r="BJ741" i="89"/>
  <c r="BJ1058" i="89"/>
  <c r="BL833" i="89"/>
  <c r="BL1150" i="89"/>
  <c r="BI877" i="89"/>
  <c r="BI1194" i="89"/>
  <c r="BK888" i="89"/>
  <c r="BK1205" i="89"/>
  <c r="BL806" i="89"/>
  <c r="BL1123" i="89"/>
  <c r="BL889" i="89"/>
  <c r="BL1206" i="89"/>
  <c r="BK863" i="89"/>
  <c r="BK1180" i="89"/>
  <c r="BK833" i="89"/>
  <c r="BK1150" i="89"/>
  <c r="BJ836" i="89"/>
  <c r="BJ1153" i="89"/>
  <c r="BK839" i="89"/>
  <c r="BK1156" i="89"/>
  <c r="BJ892" i="89"/>
  <c r="BJ1209" i="89"/>
  <c r="BK871" i="89"/>
  <c r="BK1188" i="89"/>
  <c r="BL817" i="89"/>
  <c r="BL1134" i="89"/>
  <c r="BJ736" i="89"/>
  <c r="BJ1053" i="89"/>
  <c r="BJ800" i="89"/>
  <c r="BJ1117" i="89"/>
  <c r="BJ738" i="89"/>
  <c r="BJ1055" i="89"/>
  <c r="BJ748" i="89"/>
  <c r="BJ1065" i="89"/>
  <c r="BJ790" i="89"/>
  <c r="BJ1107" i="89"/>
  <c r="BJ728" i="89"/>
  <c r="BJ1045" i="89"/>
  <c r="BK820" i="89"/>
  <c r="BK1137" i="89"/>
  <c r="BK836" i="89"/>
  <c r="BK1153" i="89"/>
  <c r="BJ719" i="89"/>
  <c r="BJ1036" i="89"/>
  <c r="BL811" i="89"/>
  <c r="BL1128" i="89"/>
  <c r="BL870" i="89"/>
  <c r="BL1187" i="89"/>
  <c r="BL890" i="89"/>
  <c r="BL1207" i="89"/>
  <c r="BJ786" i="89"/>
  <c r="BJ1103" i="89"/>
  <c r="BJ744" i="89"/>
  <c r="BJ1061" i="89"/>
  <c r="BK816" i="89"/>
  <c r="BK1133" i="89"/>
  <c r="BJ743" i="89"/>
  <c r="BJ1060" i="89"/>
  <c r="BJ711" i="89"/>
  <c r="BJ1028" i="89"/>
  <c r="Y669" i="89"/>
  <c r="BL887" i="89"/>
  <c r="BL1204" i="89"/>
  <c r="BJ821" i="89"/>
  <c r="BJ1138" i="89"/>
  <c r="BJ863" i="89"/>
  <c r="BJ1180" i="89"/>
  <c r="BL805" i="89"/>
  <c r="BL1122" i="89"/>
  <c r="BI891" i="89"/>
  <c r="BI1208" i="89"/>
  <c r="BK867" i="89"/>
  <c r="BK1184" i="89"/>
  <c r="BJ891" i="89"/>
  <c r="BJ1208" i="89"/>
  <c r="BK870" i="89"/>
  <c r="BK1187" i="89"/>
  <c r="BJ804" i="89"/>
  <c r="BJ1121" i="89"/>
  <c r="BK837" i="89"/>
  <c r="BK1154" i="89"/>
  <c r="BK857" i="89"/>
  <c r="BK1174" i="89"/>
  <c r="BJ808" i="89"/>
  <c r="BJ1125" i="89"/>
  <c r="BL839" i="89"/>
  <c r="BL1156" i="89"/>
  <c r="BK879" i="89"/>
  <c r="BK1196" i="89"/>
  <c r="BK806" i="89"/>
  <c r="BK1123" i="89"/>
  <c r="BJ818" i="89"/>
  <c r="BJ1135" i="89"/>
  <c r="BJ862" i="89"/>
  <c r="BJ1179" i="89"/>
  <c r="BJ878" i="89"/>
  <c r="BJ1195" i="89"/>
  <c r="BK884" i="89"/>
  <c r="BK1201" i="89"/>
  <c r="BK846" i="89"/>
  <c r="BK1163" i="89"/>
  <c r="BL856" i="89"/>
  <c r="BL1173" i="89"/>
  <c r="BL850" i="89"/>
  <c r="BL1167" i="89"/>
  <c r="BL822" i="89"/>
  <c r="BL1139" i="89"/>
  <c r="BK850" i="89"/>
  <c r="BK1167" i="89"/>
  <c r="BJ849" i="89"/>
  <c r="BJ1166" i="89"/>
  <c r="BL891" i="89"/>
  <c r="BL1208" i="89"/>
  <c r="BK866" i="89"/>
  <c r="BK1183" i="89"/>
  <c r="BK877" i="89"/>
  <c r="BK1194" i="89"/>
  <c r="BJ820" i="89"/>
  <c r="BJ1137" i="89"/>
  <c r="BK811" i="89"/>
  <c r="BK1128" i="89"/>
  <c r="BK861" i="89"/>
  <c r="BK1178" i="89"/>
  <c r="BJ846" i="89"/>
  <c r="BJ1163" i="89"/>
  <c r="BJ856" i="89"/>
  <c r="BJ1173" i="89"/>
  <c r="BL873" i="89"/>
  <c r="BL1190" i="89"/>
  <c r="BJ811" i="89"/>
  <c r="BJ1128" i="89"/>
  <c r="BJ724" i="89"/>
  <c r="BJ1041" i="89"/>
  <c r="BJ716" i="89"/>
  <c r="BJ1033" i="89"/>
  <c r="BJ774" i="89"/>
  <c r="BJ1091" i="89"/>
  <c r="BJ732" i="89"/>
  <c r="BJ1049" i="89"/>
  <c r="BJ749" i="89"/>
  <c r="BJ1066" i="89"/>
  <c r="BJ763" i="89"/>
  <c r="BJ1080" i="89"/>
  <c r="BL863" i="89"/>
  <c r="BL1180" i="89"/>
  <c r="BJ779" i="89"/>
  <c r="BJ1096" i="89"/>
  <c r="BI779" i="89"/>
  <c r="BI1096" i="89"/>
  <c r="BJ879" i="89"/>
  <c r="BJ1196" i="89"/>
  <c r="BL880" i="89"/>
  <c r="BL1197" i="89"/>
  <c r="BL882" i="89"/>
  <c r="BL1199" i="89"/>
  <c r="BJ889" i="89"/>
  <c r="BJ1206" i="89"/>
  <c r="BK817" i="89"/>
  <c r="BK1134" i="89"/>
  <c r="BK876" i="89"/>
  <c r="BK1193" i="89"/>
  <c r="BK842" i="89"/>
  <c r="BK1159" i="89"/>
  <c r="BJ817" i="89"/>
  <c r="BJ1134" i="89"/>
  <c r="BJ794" i="89"/>
  <c r="BJ1111" i="89"/>
  <c r="BJ740" i="89"/>
  <c r="BJ1057" i="89"/>
  <c r="BJ714" i="89"/>
  <c r="BJ1031" i="89"/>
  <c r="BJ754" i="89"/>
  <c r="BJ1071" i="89"/>
  <c r="BJ792" i="89"/>
  <c r="BJ1109" i="89"/>
  <c r="BJ799" i="89"/>
  <c r="BJ1116" i="89"/>
  <c r="BJ797" i="89"/>
  <c r="BJ1114" i="89"/>
  <c r="BJ758" i="89"/>
  <c r="BJ1075" i="89"/>
  <c r="BJ752" i="89"/>
  <c r="BJ1069" i="89"/>
  <c r="BJ706" i="89"/>
  <c r="BJ1023" i="89"/>
  <c r="BJ746" i="89"/>
  <c r="BJ1063" i="89"/>
  <c r="BJ756" i="89"/>
  <c r="BJ1073" i="89"/>
  <c r="BJ798" i="89"/>
  <c r="BJ1115" i="89"/>
  <c r="BJ764" i="89"/>
  <c r="BJ1081" i="89"/>
  <c r="BJ750" i="89"/>
  <c r="BJ1067" i="89"/>
  <c r="BJ802" i="89"/>
  <c r="BJ1119" i="89"/>
  <c r="BK892" i="89"/>
  <c r="BK1209" i="89"/>
  <c r="W686" i="89"/>
  <c r="BJ757" i="89"/>
  <c r="BJ1074" i="89"/>
  <c r="BL846" i="89"/>
  <c r="BL1163" i="89"/>
  <c r="BL1124" i="89"/>
  <c r="BJ715" i="89"/>
  <c r="BJ1032" i="89"/>
  <c r="BJ703" i="89"/>
  <c r="BJ1020" i="89"/>
  <c r="BJ782" i="89"/>
  <c r="BJ1099" i="89"/>
  <c r="BJ718" i="89"/>
  <c r="BJ1035" i="89"/>
  <c r="BJ704" i="89"/>
  <c r="BJ1021" i="89"/>
  <c r="BJ768" i="89"/>
  <c r="BJ1085" i="89"/>
  <c r="BJ770" i="89"/>
  <c r="BJ1087" i="89"/>
  <c r="BJ708" i="89"/>
  <c r="BJ1025" i="89"/>
  <c r="BJ772" i="89"/>
  <c r="BJ1089" i="89"/>
  <c r="BJ780" i="89"/>
  <c r="BJ1097" i="89"/>
  <c r="BJ726" i="89"/>
  <c r="BJ1043" i="89"/>
  <c r="BJ730" i="89"/>
  <c r="BJ1047" i="89"/>
  <c r="BJ760" i="89"/>
  <c r="BJ1077" i="89"/>
  <c r="BJ759" i="89"/>
  <c r="BJ1076" i="89"/>
  <c r="BJ775" i="89"/>
  <c r="BJ1092" i="89"/>
  <c r="BJ751" i="89"/>
  <c r="BJ1068" i="89"/>
  <c r="BJ727" i="89"/>
  <c r="BJ1044" i="89"/>
  <c r="BJ781" i="89"/>
  <c r="BJ1098" i="89"/>
  <c r="BJ745" i="89"/>
  <c r="BJ1062" i="89"/>
  <c r="BJ721" i="89"/>
  <c r="BJ1038" i="89"/>
  <c r="BJ773" i="89"/>
  <c r="BJ1090" i="89"/>
  <c r="BK818" i="89"/>
  <c r="BK1135" i="89"/>
  <c r="BJ705" i="89"/>
  <c r="BJ1022" i="89"/>
  <c r="BL860" i="89"/>
  <c r="BL1177" i="89"/>
  <c r="BK878" i="89"/>
  <c r="BK1195" i="89"/>
  <c r="BK804" i="89"/>
  <c r="BK1121" i="89"/>
  <c r="BJ789" i="89"/>
  <c r="BJ1106" i="89"/>
  <c r="BJ713" i="89"/>
  <c r="BJ1030" i="89"/>
  <c r="BL830" i="89"/>
  <c r="BL1147" i="89"/>
  <c r="BK827" i="89"/>
  <c r="BK1144" i="89"/>
  <c r="BL869" i="89"/>
  <c r="BL1186" i="89"/>
  <c r="BJ795" i="89"/>
  <c r="BJ1112" i="89"/>
  <c r="BJ735" i="89"/>
  <c r="BJ1052" i="89"/>
  <c r="BJ739" i="89"/>
  <c r="BJ1056" i="89"/>
  <c r="BI755" i="89"/>
  <c r="BI1072" i="89"/>
  <c r="BL877" i="89"/>
  <c r="BL1194" i="89"/>
  <c r="BK874" i="89"/>
  <c r="BK1191" i="89"/>
  <c r="BK807" i="89"/>
  <c r="BK1124" i="89"/>
  <c r="BL829" i="89"/>
  <c r="BL1146" i="89"/>
  <c r="BL844" i="89"/>
  <c r="BL1161" i="89"/>
  <c r="BK881" i="89"/>
  <c r="BK1198" i="89"/>
  <c r="BL854" i="89"/>
  <c r="BL1171" i="89"/>
  <c r="BK851" i="89"/>
  <c r="BK1168" i="89"/>
  <c r="BK855" i="89"/>
  <c r="BK1172" i="89"/>
  <c r="BJ850" i="89"/>
  <c r="BJ1167" i="89"/>
  <c r="BK822" i="89"/>
  <c r="BK1139" i="89"/>
  <c r="BJ870" i="89"/>
  <c r="BJ1187" i="89"/>
  <c r="BJ824" i="89"/>
  <c r="BJ1141" i="89"/>
  <c r="BK889" i="89"/>
  <c r="BK1206" i="89"/>
  <c r="BK864" i="89"/>
  <c r="BK1181" i="89"/>
  <c r="BL838" i="89"/>
  <c r="BL1155" i="89"/>
  <c r="BJ834" i="89"/>
  <c r="BJ1151" i="89"/>
  <c r="BL855" i="89"/>
  <c r="BL1172" i="89"/>
  <c r="BK826" i="89"/>
  <c r="BK1143" i="89"/>
  <c r="BJ886" i="89"/>
  <c r="BJ1203" i="89"/>
  <c r="BJ860" i="89"/>
  <c r="BJ1177" i="89"/>
  <c r="BL859" i="89"/>
  <c r="BL1176" i="89"/>
  <c r="BJ855" i="89"/>
  <c r="BJ1172" i="89"/>
  <c r="BL862" i="89"/>
  <c r="BL1179" i="89"/>
  <c r="BJ876" i="89"/>
  <c r="BJ1193" i="89"/>
  <c r="BK873" i="89"/>
  <c r="BK1190" i="89"/>
  <c r="BJ812" i="89"/>
  <c r="BJ1129" i="89"/>
  <c r="BJ871" i="89"/>
  <c r="BI849" i="89"/>
  <c r="BK860" i="89"/>
  <c r="R143" i="89"/>
  <c r="BK446" i="89" s="1"/>
  <c r="BJ446" i="89"/>
  <c r="R115" i="89"/>
  <c r="BK418" i="89" s="1"/>
  <c r="BJ418" i="89"/>
  <c r="BL529" i="89"/>
  <c r="BL534" i="89"/>
  <c r="BL1198" i="89" s="1"/>
  <c r="BJ408" i="89"/>
  <c r="BJ436" i="89"/>
  <c r="BJ1100" i="89" s="1"/>
  <c r="R73" i="89"/>
  <c r="BK376" i="89" s="1"/>
  <c r="BK1040" i="89" s="1"/>
  <c r="BJ376" i="89"/>
  <c r="R137" i="89"/>
  <c r="BK440" i="89" s="1"/>
  <c r="BJ440" i="89"/>
  <c r="BL520" i="89"/>
  <c r="BL1184" i="89" s="1"/>
  <c r="R81" i="89"/>
  <c r="BK384" i="89" s="1"/>
  <c r="BJ384" i="89"/>
  <c r="R57" i="89"/>
  <c r="BK360" i="89" s="1"/>
  <c r="BJ360" i="89"/>
  <c r="R153" i="89"/>
  <c r="BK456" i="89" s="1"/>
  <c r="BJ456" i="89"/>
  <c r="R97" i="89"/>
  <c r="BK400" i="89" s="1"/>
  <c r="BJ400" i="89"/>
  <c r="Y218" i="89"/>
  <c r="BK521" i="89"/>
  <c r="BK1185" i="89" s="1"/>
  <c r="Y208" i="89"/>
  <c r="BK511" i="89"/>
  <c r="BK543" i="89"/>
  <c r="BJ1140" i="88"/>
  <c r="Y690" i="89"/>
  <c r="BI619" i="88"/>
  <c r="BI1283" i="88" s="1"/>
  <c r="L190" i="87"/>
  <c r="P132" i="88"/>
  <c r="BI435" i="88" s="1"/>
  <c r="BI782" i="88" s="1"/>
  <c r="V689" i="89"/>
  <c r="V681" i="89"/>
  <c r="W671" i="89"/>
  <c r="V685" i="89"/>
  <c r="W690" i="89"/>
  <c r="V666" i="89"/>
  <c r="Y266" i="89"/>
  <c r="BL569" i="89" s="1"/>
  <c r="W684" i="89"/>
  <c r="V677" i="89"/>
  <c r="Y198" i="89"/>
  <c r="BL501" i="89" s="1"/>
  <c r="W672" i="89"/>
  <c r="V670" i="89"/>
  <c r="W681" i="89"/>
  <c r="V673" i="89"/>
  <c r="BI888" i="88"/>
  <c r="BI1205" i="88"/>
  <c r="BI866" i="88"/>
  <c r="BI1183" i="88"/>
  <c r="BH735" i="88"/>
  <c r="BH1052" i="88"/>
  <c r="BI758" i="88"/>
  <c r="BI1075" i="88"/>
  <c r="BH705" i="88"/>
  <c r="BH1022" i="88"/>
  <c r="BI950" i="88"/>
  <c r="BI1267" i="88"/>
  <c r="BI780" i="88"/>
  <c r="BI1097" i="88"/>
  <c r="BJ988" i="88"/>
  <c r="BJ1305" i="88"/>
  <c r="BH778" i="88"/>
  <c r="BH1095" i="88"/>
  <c r="BJ905" i="88"/>
  <c r="BJ1222" i="88"/>
  <c r="BH706" i="88"/>
  <c r="BH1023" i="88"/>
  <c r="BH889" i="88"/>
  <c r="BH1206" i="88"/>
  <c r="BJ911" i="88"/>
  <c r="BJ1228" i="88"/>
  <c r="BH967" i="88"/>
  <c r="BH1284" i="88"/>
  <c r="BH700" i="88"/>
  <c r="BH1017" i="88"/>
  <c r="BI903" i="88"/>
  <c r="BI1220" i="88"/>
  <c r="BJ894" i="88"/>
  <c r="BJ1211" i="88"/>
  <c r="BG796" i="88"/>
  <c r="BG1113" i="88"/>
  <c r="BJ984" i="88"/>
  <c r="BJ1301" i="88"/>
  <c r="BG754" i="88"/>
  <c r="BG1071" i="88"/>
  <c r="BH774" i="88"/>
  <c r="BH1091" i="88"/>
  <c r="BG760" i="88"/>
  <c r="BG1077" i="88"/>
  <c r="BJ932" i="88"/>
  <c r="BJ1249" i="88"/>
  <c r="BH883" i="88"/>
  <c r="BH1200" i="88"/>
  <c r="BI916" i="88"/>
  <c r="BI1233" i="88"/>
  <c r="BI702" i="88"/>
  <c r="BI1019" i="88"/>
  <c r="BI750" i="88"/>
  <c r="BI1067" i="88"/>
  <c r="BI976" i="88"/>
  <c r="BI1293" i="88"/>
  <c r="BH729" i="88"/>
  <c r="BH1046" i="88"/>
  <c r="BI898" i="88"/>
  <c r="BI1215" i="88"/>
  <c r="BI926" i="88"/>
  <c r="BI1243" i="88"/>
  <c r="BI746" i="88"/>
  <c r="BI1063" i="88"/>
  <c r="BI799" i="88"/>
  <c r="BI1116" i="88"/>
  <c r="BI936" i="88"/>
  <c r="BI1253" i="88"/>
  <c r="BH701" i="88"/>
  <c r="BH1018" i="88"/>
  <c r="BH765" i="88"/>
  <c r="BH1082" i="88"/>
  <c r="BI874" i="88"/>
  <c r="BI1191" i="88"/>
  <c r="BI938" i="88"/>
  <c r="BI1255" i="88"/>
  <c r="BI832" i="88"/>
  <c r="BI1149" i="88"/>
  <c r="BI958" i="88"/>
  <c r="BI1275" i="88"/>
  <c r="BI986" i="88"/>
  <c r="BI1303" i="88"/>
  <c r="P56" i="88"/>
  <c r="BI359" i="88" s="1"/>
  <c r="BH743" i="88"/>
  <c r="BH1060" i="88"/>
  <c r="BI924" i="88"/>
  <c r="BI1241" i="88"/>
  <c r="BI890" i="88"/>
  <c r="BI1207" i="88"/>
  <c r="P50" i="88"/>
  <c r="BI353" i="88" s="1"/>
  <c r="BJ830" i="88"/>
  <c r="BJ1147" i="88"/>
  <c r="BJ813" i="88"/>
  <c r="BJ1130" i="88"/>
  <c r="BJ865" i="88"/>
  <c r="BJ1182" i="88"/>
  <c r="BH722" i="88"/>
  <c r="BH1039" i="88"/>
  <c r="BG784" i="88"/>
  <c r="BG1101" i="88"/>
  <c r="BI939" i="88"/>
  <c r="BI1256" i="88"/>
  <c r="BI991" i="88"/>
  <c r="BI1308" i="88"/>
  <c r="BI834" i="88"/>
  <c r="BI1151" i="88"/>
  <c r="BH957" i="88"/>
  <c r="BH1274" i="88"/>
  <c r="BG744" i="88"/>
  <c r="BG1061" i="88"/>
  <c r="BG732" i="88"/>
  <c r="BG1049" i="88"/>
  <c r="BI932" i="88"/>
  <c r="BI1249" i="88"/>
  <c r="BI968" i="88"/>
  <c r="BI1285" i="88"/>
  <c r="BJ903" i="88"/>
  <c r="BJ1220" i="88"/>
  <c r="BJ887" i="88"/>
  <c r="BJ1204" i="88"/>
  <c r="BI941" i="88"/>
  <c r="BI1258" i="88"/>
  <c r="BI883" i="88"/>
  <c r="BI1200" i="88"/>
  <c r="BG696" i="88"/>
  <c r="BG1013" i="88"/>
  <c r="BI833" i="88"/>
  <c r="BI1150" i="88"/>
  <c r="BI881" i="88"/>
  <c r="BI1198" i="88"/>
  <c r="BH847" i="88"/>
  <c r="BH1164" i="88"/>
  <c r="BI815" i="88"/>
  <c r="BI1132" i="88"/>
  <c r="BG716" i="88"/>
  <c r="BG1033" i="88"/>
  <c r="BJ857" i="88"/>
  <c r="BJ1174" i="88"/>
  <c r="BI896" i="88"/>
  <c r="BI1213" i="88"/>
  <c r="BG730" i="88"/>
  <c r="BG1047" i="88"/>
  <c r="BI876" i="88"/>
  <c r="BI1193" i="88"/>
  <c r="BI953" i="88"/>
  <c r="BI1270" i="88"/>
  <c r="BJ863" i="88"/>
  <c r="BJ1180" i="88"/>
  <c r="BI897" i="88"/>
  <c r="BI1214" i="88"/>
  <c r="BH768" i="88"/>
  <c r="BH1085" i="88"/>
  <c r="BH754" i="88"/>
  <c r="BH1071" i="88"/>
  <c r="BI875" i="88"/>
  <c r="BI1192" i="88"/>
  <c r="BG728" i="88"/>
  <c r="BG1045" i="88"/>
  <c r="BG704" i="88"/>
  <c r="BG1021" i="88"/>
  <c r="BG788" i="88"/>
  <c r="BG1105" i="88"/>
  <c r="BG746" i="88"/>
  <c r="BG1063" i="88"/>
  <c r="BG776" i="88"/>
  <c r="BG1093" i="88"/>
  <c r="BI823" i="88"/>
  <c r="BI1140" i="88"/>
  <c r="BJ933" i="88"/>
  <c r="BJ1250" i="88"/>
  <c r="BJ918" i="88"/>
  <c r="BJ1235" i="88"/>
  <c r="BH813" i="88"/>
  <c r="BH1130" i="88"/>
  <c r="BG740" i="88"/>
  <c r="BG1057" i="88"/>
  <c r="BJ907" i="88"/>
  <c r="BJ1224" i="88"/>
  <c r="BH927" i="88"/>
  <c r="BH1244" i="88"/>
  <c r="BG772" i="88"/>
  <c r="BG1089" i="88"/>
  <c r="BI880" i="88"/>
  <c r="BI1197" i="88"/>
  <c r="BH897" i="88"/>
  <c r="BH1214" i="88"/>
  <c r="BI860" i="88"/>
  <c r="BI1177" i="88"/>
  <c r="BI698" i="88"/>
  <c r="BI1015" i="88"/>
  <c r="BI904" i="88"/>
  <c r="BI1221" i="88"/>
  <c r="BI822" i="88"/>
  <c r="BI1139" i="88"/>
  <c r="BH715" i="88"/>
  <c r="BH1032" i="88"/>
  <c r="BH769" i="88"/>
  <c r="BH1086" i="88"/>
  <c r="BI738" i="88"/>
  <c r="BI1055" i="88"/>
  <c r="BI814" i="88"/>
  <c r="BI1131" i="88"/>
  <c r="BJ846" i="88"/>
  <c r="BJ1163" i="88"/>
  <c r="BI961" i="88"/>
  <c r="BI1278" i="88"/>
  <c r="BH907" i="88"/>
  <c r="BH1224" i="88"/>
  <c r="BJ883" i="88"/>
  <c r="BJ1200" i="88"/>
  <c r="BI887" i="88"/>
  <c r="BI1204" i="88"/>
  <c r="BI889" i="88"/>
  <c r="BI1206" i="88"/>
  <c r="BI989" i="88"/>
  <c r="BI1306" i="88"/>
  <c r="BI918" i="88"/>
  <c r="BI1235" i="88"/>
  <c r="BH863" i="88"/>
  <c r="BH1180" i="88"/>
  <c r="BG768" i="88"/>
  <c r="BG1085" i="88"/>
  <c r="BI949" i="88"/>
  <c r="BI1266" i="88"/>
  <c r="BI852" i="88"/>
  <c r="BI1169" i="88"/>
  <c r="BH933" i="88"/>
  <c r="BH1250" i="88"/>
  <c r="BJ955" i="88"/>
  <c r="BJ1272" i="88"/>
  <c r="BI879" i="88"/>
  <c r="BI1196" i="88"/>
  <c r="BI899" i="88"/>
  <c r="BI1216" i="88"/>
  <c r="BH896" i="88"/>
  <c r="BH1213" i="88"/>
  <c r="BH707" i="88"/>
  <c r="BH1024" i="88"/>
  <c r="BI798" i="88"/>
  <c r="BI1115" i="88"/>
  <c r="BI980" i="88"/>
  <c r="BI1297" i="88"/>
  <c r="BI805" i="88"/>
  <c r="BI1122" i="88"/>
  <c r="BI902" i="88"/>
  <c r="BI1219" i="88"/>
  <c r="BI816" i="88"/>
  <c r="BI1133" i="88"/>
  <c r="BI882" i="88"/>
  <c r="BI1199" i="88"/>
  <c r="BI742" i="88"/>
  <c r="BI1059" i="88"/>
  <c r="BH779" i="88"/>
  <c r="BH1096" i="88"/>
  <c r="BI856" i="88"/>
  <c r="BI1173" i="88"/>
  <c r="BI801" i="88"/>
  <c r="BI1118" i="88"/>
  <c r="BI970" i="88"/>
  <c r="BI1287" i="88"/>
  <c r="BH711" i="88"/>
  <c r="BH1028" i="88"/>
  <c r="BI764" i="88"/>
  <c r="BI1081" i="88"/>
  <c r="BJ858" i="88"/>
  <c r="BJ1175" i="88"/>
  <c r="BH782" i="88"/>
  <c r="BH1099" i="88"/>
  <c r="BH786" i="88"/>
  <c r="BH1103" i="88"/>
  <c r="BJ973" i="88"/>
  <c r="BJ1290" i="88"/>
  <c r="BJ889" i="88"/>
  <c r="BJ1206" i="88"/>
  <c r="BG750" i="88"/>
  <c r="BG1067" i="88"/>
  <c r="BI859" i="88"/>
  <c r="BI1176" i="88"/>
  <c r="BI955" i="88"/>
  <c r="BI1272" i="88"/>
  <c r="BI963" i="88"/>
  <c r="BI1280" i="88"/>
  <c r="BH971" i="88"/>
  <c r="BH1288" i="88"/>
  <c r="BI850" i="88"/>
  <c r="BI1167" i="88"/>
  <c r="BG702" i="88"/>
  <c r="BG1019" i="88"/>
  <c r="BJ909" i="88"/>
  <c r="BJ1226" i="88"/>
  <c r="BI957" i="88"/>
  <c r="BI1274" i="88"/>
  <c r="BH744" i="88"/>
  <c r="BH1061" i="88"/>
  <c r="BH732" i="88"/>
  <c r="BH1049" i="88"/>
  <c r="BG758" i="88"/>
  <c r="BG1075" i="88"/>
  <c r="BI964" i="88"/>
  <c r="BI1281" i="88"/>
  <c r="BJ891" i="88"/>
  <c r="BJ1208" i="88"/>
  <c r="BJ941" i="88"/>
  <c r="BJ1258" i="88"/>
  <c r="BG698" i="88"/>
  <c r="BG1015" i="88"/>
  <c r="BG780" i="88"/>
  <c r="BG1097" i="88"/>
  <c r="BI872" i="88"/>
  <c r="BI1189" i="88"/>
  <c r="BJ947" i="88"/>
  <c r="BJ1264" i="88"/>
  <c r="BJ815" i="88"/>
  <c r="BJ1132" i="88"/>
  <c r="BH716" i="88"/>
  <c r="BH1033" i="88"/>
  <c r="BI959" i="88"/>
  <c r="BI1276" i="88"/>
  <c r="BJ896" i="88"/>
  <c r="BJ1213" i="88"/>
  <c r="BG742" i="88"/>
  <c r="BG1059" i="88"/>
  <c r="BI857" i="88"/>
  <c r="BI1174" i="88"/>
  <c r="BI920" i="88"/>
  <c r="BI1237" i="88"/>
  <c r="BG720" i="88"/>
  <c r="BG1037" i="88"/>
  <c r="BG710" i="88"/>
  <c r="BG1027" i="88"/>
  <c r="BG748" i="88"/>
  <c r="BG1065" i="88"/>
  <c r="BI907" i="88"/>
  <c r="BI1224" i="88"/>
  <c r="BJ875" i="88"/>
  <c r="BJ1192" i="88"/>
  <c r="BH728" i="88"/>
  <c r="BH1045" i="88"/>
  <c r="BH704" i="88"/>
  <c r="BH1021" i="88"/>
  <c r="BH788" i="88"/>
  <c r="BH1105" i="88"/>
  <c r="BH899" i="88"/>
  <c r="BH1216" i="88"/>
  <c r="BI802" i="88"/>
  <c r="BI1119" i="88"/>
  <c r="BH939" i="88"/>
  <c r="BH1256" i="88"/>
  <c r="BI905" i="88"/>
  <c r="BI1222" i="88"/>
  <c r="BI946" i="88"/>
  <c r="BI1263" i="88"/>
  <c r="BI927" i="88"/>
  <c r="BI1244" i="88"/>
  <c r="BI848" i="88"/>
  <c r="BI1165" i="88"/>
  <c r="BG752" i="88"/>
  <c r="BG1069" i="88"/>
  <c r="BH963" i="88"/>
  <c r="BH1280" i="88"/>
  <c r="BH953" i="88"/>
  <c r="BH1270" i="88"/>
  <c r="BI884" i="88"/>
  <c r="BI1201" i="88"/>
  <c r="BJ868" i="88"/>
  <c r="BJ1185" i="88"/>
  <c r="BH739" i="88"/>
  <c r="BH1056" i="88"/>
  <c r="BH713" i="88"/>
  <c r="BH1030" i="88"/>
  <c r="BI922" i="88"/>
  <c r="BI1239" i="88"/>
  <c r="BI956" i="88"/>
  <c r="BI1273" i="88"/>
  <c r="BI934" i="88"/>
  <c r="BI1251" i="88"/>
  <c r="BI803" i="88"/>
  <c r="BI1120" i="88"/>
  <c r="BI982" i="88"/>
  <c r="BI1299" i="88"/>
  <c r="BH815" i="88"/>
  <c r="BH1132" i="88"/>
  <c r="BJ826" i="88"/>
  <c r="BJ1143" i="88"/>
  <c r="BH790" i="88"/>
  <c r="BH1107" i="88"/>
  <c r="BJ851" i="88"/>
  <c r="BJ1168" i="88"/>
  <c r="BI837" i="88"/>
  <c r="BI1154" i="88"/>
  <c r="BH981" i="88"/>
  <c r="BH1298" i="88"/>
  <c r="BI990" i="88"/>
  <c r="BI1307" i="88"/>
  <c r="BJ827" i="88"/>
  <c r="BJ1144" i="88"/>
  <c r="BG708" i="88"/>
  <c r="BG1025" i="88"/>
  <c r="BJ899" i="88"/>
  <c r="BJ1216" i="88"/>
  <c r="BI843" i="88"/>
  <c r="BI1160" i="88"/>
  <c r="BH771" i="88"/>
  <c r="BH1088" i="88"/>
  <c r="BI812" i="88"/>
  <c r="BI1129" i="88"/>
  <c r="BH761" i="88"/>
  <c r="BH1078" i="88"/>
  <c r="BI906" i="88"/>
  <c r="BI1223" i="88"/>
  <c r="BI730" i="88"/>
  <c r="BI1047" i="88"/>
  <c r="BH767" i="88"/>
  <c r="BH1084" i="88"/>
  <c r="BI892" i="88"/>
  <c r="BI1209" i="88"/>
  <c r="BI914" i="88"/>
  <c r="BI1231" i="88"/>
  <c r="BI710" i="88"/>
  <c r="BI1027" i="88"/>
  <c r="BH747" i="88"/>
  <c r="BH1064" i="88"/>
  <c r="BI908" i="88"/>
  <c r="BI1225" i="88"/>
  <c r="BH753" i="88"/>
  <c r="BH1070" i="88"/>
  <c r="BI978" i="88"/>
  <c r="BI1295" i="88"/>
  <c r="BH775" i="88"/>
  <c r="BH1092" i="88"/>
  <c r="BH725" i="88"/>
  <c r="BH1042" i="88"/>
  <c r="BI748" i="88"/>
  <c r="BI1065" i="88"/>
  <c r="BI708" i="88"/>
  <c r="BI1025" i="88"/>
  <c r="BJ901" i="88"/>
  <c r="BJ1218" i="88"/>
  <c r="BH762" i="88"/>
  <c r="BH1079" i="88"/>
  <c r="BH738" i="88"/>
  <c r="BH1055" i="88"/>
  <c r="BG798" i="88"/>
  <c r="BG1115" i="88"/>
  <c r="BJ963" i="88"/>
  <c r="BJ1280" i="88"/>
  <c r="BG736" i="88"/>
  <c r="BG1053" i="88"/>
  <c r="BJ850" i="88"/>
  <c r="BJ1167" i="88"/>
  <c r="BI806" i="88"/>
  <c r="BI1123" i="88"/>
  <c r="BI944" i="88"/>
  <c r="BI1261" i="88"/>
  <c r="BH969" i="88"/>
  <c r="BH1286" i="88"/>
  <c r="BG700" i="88"/>
  <c r="BG1017" i="88"/>
  <c r="BJ964" i="88"/>
  <c r="BJ1281" i="88"/>
  <c r="BG790" i="88"/>
  <c r="BG1107" i="88"/>
  <c r="BI894" i="88"/>
  <c r="BI1211" i="88"/>
  <c r="BI865" i="88"/>
  <c r="BI1182" i="88"/>
  <c r="BG792" i="88"/>
  <c r="BG1109" i="88"/>
  <c r="BI877" i="88"/>
  <c r="BI1194" i="88"/>
  <c r="BI851" i="88"/>
  <c r="BI1168" i="88"/>
  <c r="BH989" i="88"/>
  <c r="BH1306" i="88"/>
  <c r="BI868" i="88"/>
  <c r="BI1185" i="88"/>
  <c r="BJ807" i="88"/>
  <c r="BJ1124" i="88"/>
  <c r="BH900" i="88"/>
  <c r="BH1217" i="88"/>
  <c r="BH905" i="88"/>
  <c r="BH1222" i="88"/>
  <c r="BH720" i="88"/>
  <c r="BH1037" i="88"/>
  <c r="BH710" i="88"/>
  <c r="BH1027" i="88"/>
  <c r="BH748" i="88"/>
  <c r="BH1065" i="88"/>
  <c r="BI1264" i="88"/>
  <c r="BH949" i="88"/>
  <c r="BH1266" i="88"/>
  <c r="BG774" i="88"/>
  <c r="BG1091" i="88"/>
  <c r="BH946" i="88"/>
  <c r="BH1263" i="88"/>
  <c r="BG712" i="88"/>
  <c r="BG1029" i="88"/>
  <c r="BI967" i="88"/>
  <c r="BI1284" i="88"/>
  <c r="BJ916" i="88"/>
  <c r="BJ1233" i="88"/>
  <c r="BH912" i="88"/>
  <c r="BH1229" i="88"/>
  <c r="BJ860" i="88"/>
  <c r="BJ1177" i="88"/>
  <c r="BH865" i="88"/>
  <c r="BH1182" i="88"/>
  <c r="BJ966" i="88"/>
  <c r="BJ1283" i="88"/>
  <c r="BJ864" i="88"/>
  <c r="BJ1181" i="88"/>
  <c r="BH879" i="88"/>
  <c r="BH1196" i="88"/>
  <c r="BI930" i="88"/>
  <c r="BI1247" i="88"/>
  <c r="BJ872" i="88"/>
  <c r="BJ1189" i="88"/>
  <c r="BH808" i="88"/>
  <c r="BH1125" i="88"/>
  <c r="BJ839" i="88"/>
  <c r="BJ1156" i="88"/>
  <c r="BI811" i="88"/>
  <c r="BI826" i="88"/>
  <c r="BI870" i="88"/>
  <c r="BJ886" i="88"/>
  <c r="BH844" i="88"/>
  <c r="BH929" i="88"/>
  <c r="BI971" i="88"/>
  <c r="BI984" i="88"/>
  <c r="BJ837" i="88"/>
  <c r="BH777" i="88"/>
  <c r="P124" i="88"/>
  <c r="BI427" i="88" s="1"/>
  <c r="BI809" i="88"/>
  <c r="BH789" i="88"/>
  <c r="BI839" i="88"/>
  <c r="BH823" i="88"/>
  <c r="BI969" i="88"/>
  <c r="BJ870" i="88"/>
  <c r="BH891" i="88"/>
  <c r="BI973" i="88"/>
  <c r="BJ877" i="88"/>
  <c r="BJ624" i="88"/>
  <c r="BI864" i="88"/>
  <c r="BG724" i="88"/>
  <c r="BH733" i="88"/>
  <c r="BH881" i="88"/>
  <c r="BH973" i="88"/>
  <c r="W161" i="88"/>
  <c r="BJ464" i="88" s="1"/>
  <c r="BJ1128" i="88" s="1"/>
  <c r="BH749" i="88"/>
  <c r="BH709" i="88"/>
  <c r="BH773" i="88"/>
  <c r="P66" i="88"/>
  <c r="BI369" i="88" s="1"/>
  <c r="Q70" i="88"/>
  <c r="BJ373" i="88" s="1"/>
  <c r="BH703" i="88"/>
  <c r="BH717" i="88"/>
  <c r="BH781" i="88"/>
  <c r="BI891" i="88"/>
  <c r="BI911" i="88"/>
  <c r="BI909" i="88"/>
  <c r="BH937" i="88"/>
  <c r="BG756" i="88"/>
  <c r="BI827" i="88"/>
  <c r="P105" i="88"/>
  <c r="BI408" i="88" s="1"/>
  <c r="BH408" i="88"/>
  <c r="BH1072" i="88" s="1"/>
  <c r="P87" i="88"/>
  <c r="BI390" i="88" s="1"/>
  <c r="BH390" i="88"/>
  <c r="Q122" i="88"/>
  <c r="BJ425" i="88" s="1"/>
  <c r="BI425" i="88"/>
  <c r="Q138" i="88"/>
  <c r="BJ441" i="88" s="1"/>
  <c r="BI441" i="88"/>
  <c r="BI445" i="88"/>
  <c r="BI365" i="88"/>
  <c r="BJ610" i="88"/>
  <c r="BJ573" i="88"/>
  <c r="BH409" i="88"/>
  <c r="P101" i="88"/>
  <c r="BI404" i="88" s="1"/>
  <c r="BH404" i="88"/>
  <c r="P147" i="88"/>
  <c r="BI450" i="88" s="1"/>
  <c r="BH450" i="88"/>
  <c r="P109" i="88"/>
  <c r="BI412" i="88" s="1"/>
  <c r="BH412" i="88"/>
  <c r="BH1076" i="88" s="1"/>
  <c r="P91" i="88"/>
  <c r="BI394" i="88" s="1"/>
  <c r="BH394" i="88"/>
  <c r="Q90" i="88"/>
  <c r="BJ393" i="88" s="1"/>
  <c r="BI393" i="88"/>
  <c r="W154" i="88"/>
  <c r="BJ457" i="88" s="1"/>
  <c r="BI457" i="88"/>
  <c r="BI1121" i="88" s="1"/>
  <c r="Q134" i="88"/>
  <c r="BI437" i="88"/>
  <c r="P64" i="88"/>
  <c r="BI367" i="88" s="1"/>
  <c r="BH367" i="88"/>
  <c r="Q110" i="88"/>
  <c r="BJ413" i="88" s="1"/>
  <c r="BI413" i="88"/>
  <c r="BJ461" i="88"/>
  <c r="P73" i="88"/>
  <c r="BI376" i="88" s="1"/>
  <c r="BH376" i="88"/>
  <c r="P143" i="88"/>
  <c r="BI446" i="88" s="1"/>
  <c r="BI1110" i="88" s="1"/>
  <c r="BH446" i="88"/>
  <c r="P107" i="88"/>
  <c r="BI410" i="88" s="1"/>
  <c r="BH410" i="88"/>
  <c r="P144" i="88"/>
  <c r="BI447" i="88" s="1"/>
  <c r="BH447" i="88"/>
  <c r="BI429" i="88"/>
  <c r="BJ550" i="88"/>
  <c r="P95" i="88"/>
  <c r="BI398" i="88" s="1"/>
  <c r="BH398" i="88"/>
  <c r="P128" i="88"/>
  <c r="BI431" i="88" s="1"/>
  <c r="P140" i="88"/>
  <c r="BI443" i="88" s="1"/>
  <c r="P141" i="88"/>
  <c r="BI444" i="88" s="1"/>
  <c r="BH444" i="88"/>
  <c r="BI449" i="88"/>
  <c r="Q74" i="88"/>
  <c r="BJ377" i="88" s="1"/>
  <c r="BI377" i="88"/>
  <c r="BH371" i="88"/>
  <c r="BI389" i="88"/>
  <c r="BH387" i="88"/>
  <c r="BI381" i="88"/>
  <c r="W299" i="88"/>
  <c r="P116" i="88"/>
  <c r="BI419" i="88" s="1"/>
  <c r="BH419" i="88"/>
  <c r="P120" i="88"/>
  <c r="BI423" i="88" s="1"/>
  <c r="BH423" i="88"/>
  <c r="W319" i="88"/>
  <c r="BJ622" i="88" s="1"/>
  <c r="W287" i="88"/>
  <c r="BJ590" i="88" s="1"/>
  <c r="BI590" i="88"/>
  <c r="W275" i="88"/>
  <c r="BJ578" i="88" s="1"/>
  <c r="BI578" i="88"/>
  <c r="W245" i="88"/>
  <c r="BJ548" i="88" s="1"/>
  <c r="BI548" i="88"/>
  <c r="P69" i="88"/>
  <c r="BI372" i="88" s="1"/>
  <c r="BH372" i="88"/>
  <c r="P49" i="88"/>
  <c r="BI352" i="88" s="1"/>
  <c r="BH352" i="88"/>
  <c r="P77" i="88"/>
  <c r="BI380" i="88" s="1"/>
  <c r="BH380" i="88"/>
  <c r="BI385" i="88"/>
  <c r="BI397" i="88"/>
  <c r="Q106" i="88"/>
  <c r="BJ409" i="88" s="1"/>
  <c r="BI409" i="88"/>
  <c r="Q102" i="88"/>
  <c r="BJ405" i="88" s="1"/>
  <c r="BI405" i="88"/>
  <c r="BI349" i="88"/>
  <c r="BJ582" i="88"/>
  <c r="BI507" i="88"/>
  <c r="P137" i="88"/>
  <c r="BI440" i="88" s="1"/>
  <c r="BH440" i="88"/>
  <c r="P47" i="88"/>
  <c r="BI350" i="88" s="1"/>
  <c r="BH350" i="88"/>
  <c r="P133" i="88"/>
  <c r="BI436" i="88" s="1"/>
  <c r="BH436" i="88"/>
  <c r="P81" i="88"/>
  <c r="BI384" i="88" s="1"/>
  <c r="BH384" i="88"/>
  <c r="BH1048" i="88" s="1"/>
  <c r="P113" i="88"/>
  <c r="BI416" i="88" s="1"/>
  <c r="BH416" i="88"/>
  <c r="P145" i="88"/>
  <c r="BI448" i="88" s="1"/>
  <c r="BH448" i="88"/>
  <c r="P71" i="88"/>
  <c r="BI374" i="88" s="1"/>
  <c r="BH374" i="88"/>
  <c r="P135" i="88"/>
  <c r="BI438" i="88" s="1"/>
  <c r="BH438" i="88"/>
  <c r="P72" i="88"/>
  <c r="BI375" i="88" s="1"/>
  <c r="P104" i="88"/>
  <c r="BI407" i="88" s="1"/>
  <c r="BH379" i="88"/>
  <c r="W339" i="88"/>
  <c r="BJ642" i="88" s="1"/>
  <c r="Q54" i="88"/>
  <c r="BJ357" i="88" s="1"/>
  <c r="BI357" i="88"/>
  <c r="BJ534" i="88"/>
  <c r="BI607" i="88"/>
  <c r="BJ599" i="88"/>
  <c r="BJ634" i="88"/>
  <c r="W179" i="88"/>
  <c r="BJ482" i="88" s="1"/>
  <c r="BI482" i="88"/>
  <c r="X670" i="89" s="1"/>
  <c r="W194" i="88"/>
  <c r="BJ497" i="88" s="1"/>
  <c r="BI497" i="88"/>
  <c r="BI1161" i="88" s="1"/>
  <c r="W197" i="88"/>
  <c r="BJ500" i="88" s="1"/>
  <c r="BI500" i="88"/>
  <c r="BI1164" i="88" s="1"/>
  <c r="W250" i="88"/>
  <c r="BJ553" i="88" s="1"/>
  <c r="BI553" i="88"/>
  <c r="BI1217" i="88" s="1"/>
  <c r="BI516" i="88"/>
  <c r="M190" i="87"/>
  <c r="X687" i="89"/>
  <c r="Y257" i="89"/>
  <c r="BL560" i="89" s="1"/>
  <c r="M192" i="87"/>
  <c r="J283" i="87"/>
  <c r="V687" i="89"/>
  <c r="M193" i="87"/>
  <c r="W687" i="89"/>
  <c r="X663" i="89"/>
  <c r="L192" i="87"/>
  <c r="V671" i="89"/>
  <c r="X666" i="89"/>
  <c r="W304" i="88"/>
  <c r="BJ607" i="88" s="1"/>
  <c r="W204" i="88"/>
  <c r="BJ507" i="88" s="1"/>
  <c r="X689" i="89"/>
  <c r="P76" i="88"/>
  <c r="P68" i="88"/>
  <c r="BI371" i="88" s="1"/>
  <c r="V678" i="89"/>
  <c r="Y666" i="89"/>
  <c r="V690" i="89"/>
  <c r="BH652" i="89"/>
  <c r="BH658" i="89" s="1"/>
  <c r="BH659" i="89" s="1"/>
  <c r="BH655" i="89"/>
  <c r="J281" i="87"/>
  <c r="W689" i="89"/>
  <c r="L188" i="87"/>
  <c r="J278" i="87"/>
  <c r="W676" i="89"/>
  <c r="K237" i="87"/>
  <c r="K282" i="87" s="1"/>
  <c r="V672" i="89"/>
  <c r="E145" i="87"/>
  <c r="F145" i="87" s="1"/>
  <c r="W680" i="89"/>
  <c r="X669" i="89"/>
  <c r="V663" i="89"/>
  <c r="E144" i="87"/>
  <c r="F144" i="87" s="1"/>
  <c r="M189" i="87"/>
  <c r="BF996" i="88"/>
  <c r="K231" i="87"/>
  <c r="K276" i="87" s="1"/>
  <c r="K236" i="87"/>
  <c r="K281" i="87" s="1"/>
  <c r="Y682" i="89"/>
  <c r="Q142" i="88"/>
  <c r="BJ445" i="88" s="1"/>
  <c r="Q62" i="88"/>
  <c r="BJ365" i="88" s="1"/>
  <c r="P136" i="88"/>
  <c r="P84" i="88"/>
  <c r="Q86" i="88"/>
  <c r="BJ389" i="88" s="1"/>
  <c r="Q46" i="88"/>
  <c r="BJ349" i="88" s="1"/>
  <c r="Q94" i="88"/>
  <c r="Q78" i="88"/>
  <c r="BJ381" i="88" s="1"/>
  <c r="P112" i="88"/>
  <c r="P45" i="88"/>
  <c r="Q45" i="88" s="1"/>
  <c r="Q126" i="88"/>
  <c r="BJ429" i="88" s="1"/>
  <c r="J277" i="87"/>
  <c r="K233" i="87"/>
  <c r="K278" i="87" s="1"/>
  <c r="X683" i="89"/>
  <c r="K238" i="87"/>
  <c r="K283" i="87" s="1"/>
  <c r="R151" i="89"/>
  <c r="L234" i="87"/>
  <c r="L279" i="87" s="1"/>
  <c r="J280" i="87"/>
  <c r="K234" i="87"/>
  <c r="K279" i="87" s="1"/>
  <c r="K235" i="87"/>
  <c r="K280" i="87" s="1"/>
  <c r="W679" i="89"/>
  <c r="W675" i="89"/>
  <c r="Y672" i="89"/>
  <c r="V664" i="89"/>
  <c r="X664" i="89"/>
  <c r="V668" i="89"/>
  <c r="V683" i="89"/>
  <c r="V679" i="89"/>
  <c r="V686" i="89"/>
  <c r="V684" i="89"/>
  <c r="V669" i="89"/>
  <c r="V682" i="89"/>
  <c r="W668" i="89"/>
  <c r="W683" i="89"/>
  <c r="R89" i="89"/>
  <c r="W678" i="89"/>
  <c r="V665" i="89"/>
  <c r="V676" i="89"/>
  <c r="V675" i="89"/>
  <c r="R59" i="89"/>
  <c r="X668" i="89"/>
  <c r="V667" i="89"/>
  <c r="W669" i="89"/>
  <c r="V680" i="89"/>
  <c r="R144" i="89"/>
  <c r="BK447" i="89" s="1"/>
  <c r="R120" i="89"/>
  <c r="R135" i="89"/>
  <c r="BK438" i="89" s="1"/>
  <c r="R129" i="89"/>
  <c r="R108" i="89"/>
  <c r="R49" i="89"/>
  <c r="S49" i="89" s="1"/>
  <c r="R130" i="89"/>
  <c r="R80" i="89"/>
  <c r="R62" i="89"/>
  <c r="R126" i="89"/>
  <c r="R147" i="89"/>
  <c r="R79" i="89"/>
  <c r="R105" i="89"/>
  <c r="BK408" i="89" s="1"/>
  <c r="R91" i="89"/>
  <c r="BK394" i="89" s="1"/>
  <c r="R86" i="89"/>
  <c r="R84" i="89"/>
  <c r="R53" i="89"/>
  <c r="BK356" i="89" s="1"/>
  <c r="R103" i="89"/>
  <c r="R132" i="89"/>
  <c r="R112" i="89"/>
  <c r="R54" i="89"/>
  <c r="R118" i="89"/>
  <c r="R74" i="89"/>
  <c r="BK377" i="89" s="1"/>
  <c r="R138" i="89"/>
  <c r="R125" i="89"/>
  <c r="R101" i="89"/>
  <c r="R123" i="89"/>
  <c r="R111" i="89"/>
  <c r="BK414" i="89" s="1"/>
  <c r="R85" i="89"/>
  <c r="BK388" i="89" s="1"/>
  <c r="R150" i="89"/>
  <c r="R56" i="89"/>
  <c r="R99" i="89"/>
  <c r="R72" i="89"/>
  <c r="R100" i="89"/>
  <c r="R94" i="89"/>
  <c r="R109" i="89"/>
  <c r="R77" i="89"/>
  <c r="R61" i="89"/>
  <c r="R69" i="89"/>
  <c r="R149" i="89"/>
  <c r="R75" i="89"/>
  <c r="BK378" i="89" s="1"/>
  <c r="R63" i="89"/>
  <c r="BK366" i="89" s="1"/>
  <c r="R145" i="89"/>
  <c r="BK448" i="89" s="1"/>
  <c r="R133" i="89"/>
  <c r="BK436" i="89" s="1"/>
  <c r="X672" i="89"/>
  <c r="R87" i="89"/>
  <c r="M238" i="87"/>
  <c r="R117" i="89"/>
  <c r="BK420" i="89" s="1"/>
  <c r="X684" i="89"/>
  <c r="J282" i="87"/>
  <c r="W665" i="89"/>
  <c r="J279" i="87"/>
  <c r="N193" i="87"/>
  <c r="K187" i="87"/>
  <c r="M191" i="87"/>
  <c r="M236" i="87"/>
  <c r="L186" i="87"/>
  <c r="BF651" i="88"/>
  <c r="J195" i="87"/>
  <c r="L233" i="87"/>
  <c r="L238" i="87"/>
  <c r="L283" i="87" s="1"/>
  <c r="K268" i="87"/>
  <c r="K270" i="87" s="1"/>
  <c r="L268" i="87"/>
  <c r="L270" i="87" s="1"/>
  <c r="L237" i="87"/>
  <c r="L282" i="87" s="1"/>
  <c r="J240" i="87"/>
  <c r="L235" i="87"/>
  <c r="N238" i="87"/>
  <c r="N234" i="87"/>
  <c r="M237" i="87"/>
  <c r="M282" i="87" s="1"/>
  <c r="K232" i="87"/>
  <c r="M234" i="87"/>
  <c r="J268" i="87"/>
  <c r="J270" i="87" s="1"/>
  <c r="L236" i="87"/>
  <c r="L281" i="87" s="1"/>
  <c r="H121" i="90"/>
  <c r="H122" i="90" s="1"/>
  <c r="R139" i="89"/>
  <c r="X671" i="89"/>
  <c r="X680" i="89"/>
  <c r="X688" i="89"/>
  <c r="Y668" i="89"/>
  <c r="W664" i="89"/>
  <c r="Y665" i="89"/>
  <c r="X675" i="89"/>
  <c r="X676" i="89"/>
  <c r="W677" i="89"/>
  <c r="W682" i="89"/>
  <c r="Y671" i="89"/>
  <c r="W670" i="89"/>
  <c r="X681" i="89"/>
  <c r="X690" i="89"/>
  <c r="W663" i="89"/>
  <c r="X679" i="89"/>
  <c r="W688" i="89"/>
  <c r="X682" i="89"/>
  <c r="X667" i="89"/>
  <c r="X665" i="89"/>
  <c r="R119" i="89"/>
  <c r="BK422" i="89" s="1"/>
  <c r="R107" i="89"/>
  <c r="BK410" i="89" s="1"/>
  <c r="R83" i="89"/>
  <c r="BK386" i="89" s="1"/>
  <c r="R71" i="89"/>
  <c r="BK374" i="89" s="1"/>
  <c r="Y278" i="89"/>
  <c r="BL581" i="89" s="1"/>
  <c r="R95" i="89"/>
  <c r="BK398" i="89" s="1"/>
  <c r="Y688" i="89"/>
  <c r="R65" i="89"/>
  <c r="BK368" i="89" s="1"/>
  <c r="Y251" i="89"/>
  <c r="BL554" i="89" s="1"/>
  <c r="Q48" i="88"/>
  <c r="Y177" i="89"/>
  <c r="BL480" i="89" s="1"/>
  <c r="M235" i="87"/>
  <c r="Y321" i="89"/>
  <c r="BL624" i="89" s="1"/>
  <c r="Q120" i="88"/>
  <c r="Q88" i="88"/>
  <c r="W248" i="88"/>
  <c r="W252" i="88"/>
  <c r="W256" i="88"/>
  <c r="R113" i="89"/>
  <c r="BK416" i="89" s="1"/>
  <c r="Y256" i="89"/>
  <c r="BL559" i="89" s="1"/>
  <c r="Y244" i="89"/>
  <c r="BL547" i="89" s="1"/>
  <c r="Y676" i="89"/>
  <c r="R55" i="89"/>
  <c r="BK358" i="89" s="1"/>
  <c r="Y154" i="89"/>
  <c r="BL457" i="89" s="1"/>
  <c r="X674" i="89"/>
  <c r="Y311" i="89"/>
  <c r="BL614" i="89" s="1"/>
  <c r="Y292" i="89"/>
  <c r="BL595" i="89" s="1"/>
  <c r="W151" i="88"/>
  <c r="BJ454" i="88" s="1"/>
  <c r="W155" i="88"/>
  <c r="BJ458" i="88" s="1"/>
  <c r="W192" i="88"/>
  <c r="L2" i="87"/>
  <c r="F122" i="87"/>
  <c r="Q80" i="88"/>
  <c r="W224" i="88"/>
  <c r="BJ527" i="88" s="1"/>
  <c r="F100" i="87"/>
  <c r="F120" i="87"/>
  <c r="W166" i="88"/>
  <c r="BJ469" i="88" s="1"/>
  <c r="Q72" i="88"/>
  <c r="R127" i="89"/>
  <c r="BK430" i="89" s="1"/>
  <c r="Y258" i="89"/>
  <c r="BL561" i="89" s="1"/>
  <c r="Y262" i="89"/>
  <c r="BL565" i="89" s="1"/>
  <c r="Y228" i="89"/>
  <c r="BL531" i="89" s="1"/>
  <c r="W162" i="88"/>
  <c r="BJ465" i="88" s="1"/>
  <c r="Q108" i="88"/>
  <c r="W182" i="88"/>
  <c r="BJ485" i="88" s="1"/>
  <c r="W206" i="88"/>
  <c r="BJ509" i="88" s="1"/>
  <c r="Q58" i="88"/>
  <c r="BJ361" i="88" s="1"/>
  <c r="W290" i="88"/>
  <c r="W326" i="88"/>
  <c r="BJ629" i="88" s="1"/>
  <c r="W330" i="88"/>
  <c r="BJ633" i="88" s="1"/>
  <c r="Y168" i="89"/>
  <c r="BL471" i="89" s="1"/>
  <c r="W164" i="88"/>
  <c r="BJ467" i="88" s="1"/>
  <c r="W240" i="88"/>
  <c r="BJ543" i="88" s="1"/>
  <c r="Y663" i="89"/>
  <c r="W172" i="88"/>
  <c r="BJ475" i="88" s="1"/>
  <c r="W300" i="88"/>
  <c r="BJ603" i="88" s="1"/>
  <c r="W308" i="88"/>
  <c r="BJ611" i="88" s="1"/>
  <c r="R51" i="89"/>
  <c r="BK354" i="89" s="1"/>
  <c r="R131" i="89"/>
  <c r="BK434" i="89" s="1"/>
  <c r="Y294" i="89"/>
  <c r="Y260" i="89"/>
  <c r="BL563" i="89" s="1"/>
  <c r="Y158" i="89"/>
  <c r="BL461" i="89" s="1"/>
  <c r="X677" i="89"/>
  <c r="Y680" i="89"/>
  <c r="Y290" i="89"/>
  <c r="BL593" i="89" s="1"/>
  <c r="Y170" i="89"/>
  <c r="BL473" i="89" s="1"/>
  <c r="Y330" i="89"/>
  <c r="BL633" i="89" s="1"/>
  <c r="Q146" i="88"/>
  <c r="BJ449" i="88" s="1"/>
  <c r="Q100" i="88"/>
  <c r="S153" i="89"/>
  <c r="BL456" i="89" s="1"/>
  <c r="S67" i="89"/>
  <c r="BL370" i="89" s="1"/>
  <c r="R152" i="89"/>
  <c r="BK455" i="89" s="1"/>
  <c r="Q145" i="88"/>
  <c r="Q114" i="88"/>
  <c r="BJ417" i="88" s="1"/>
  <c r="Q82" i="88"/>
  <c r="BJ385" i="88" s="1"/>
  <c r="Q130" i="88"/>
  <c r="BJ433" i="88" s="1"/>
  <c r="Q56" i="88"/>
  <c r="P99" i="88"/>
  <c r="Q71" i="88"/>
  <c r="Q98" i="88"/>
  <c r="BJ401" i="88" s="1"/>
  <c r="Q107" i="88"/>
  <c r="BJ410" i="88" s="1"/>
  <c r="BJ1074" i="88" s="1"/>
  <c r="BH1000" i="89"/>
  <c r="BH999" i="89" s="1"/>
  <c r="BH1005" i="89" s="1"/>
  <c r="BH1006" i="89" s="1"/>
  <c r="BH1317" i="89"/>
  <c r="BH1319" i="89" s="1"/>
  <c r="Y186" i="89"/>
  <c r="BL489" i="89" s="1"/>
  <c r="BH348" i="88"/>
  <c r="Y310" i="89"/>
  <c r="BL613" i="89" s="1"/>
  <c r="P57" i="88"/>
  <c r="BI360" i="88" s="1"/>
  <c r="BI1024" i="88" s="1"/>
  <c r="Q73" i="88"/>
  <c r="BJ376" i="88" s="1"/>
  <c r="P89" i="88"/>
  <c r="BI392" i="88" s="1"/>
  <c r="Q105" i="88"/>
  <c r="BJ408" i="88" s="1"/>
  <c r="P121" i="88"/>
  <c r="BI424" i="88" s="1"/>
  <c r="Q137" i="88"/>
  <c r="BJ440" i="88" s="1"/>
  <c r="P79" i="88"/>
  <c r="BI382" i="88" s="1"/>
  <c r="P127" i="88"/>
  <c r="BI430" i="88" s="1"/>
  <c r="W216" i="88"/>
  <c r="BJ519" i="88" s="1"/>
  <c r="BF1313" i="88"/>
  <c r="W149" i="88"/>
  <c r="BJ452" i="88" s="1"/>
  <c r="W242" i="88"/>
  <c r="BJ545" i="88" s="1"/>
  <c r="W254" i="88"/>
  <c r="BJ557" i="88" s="1"/>
  <c r="W286" i="88"/>
  <c r="BJ589" i="88" s="1"/>
  <c r="W302" i="88"/>
  <c r="W306" i="88"/>
  <c r="BJ609" i="88" s="1"/>
  <c r="P83" i="88"/>
  <c r="BI386" i="88" s="1"/>
  <c r="P131" i="88"/>
  <c r="BI434" i="88" s="1"/>
  <c r="W284" i="88"/>
  <c r="BJ587" i="88" s="1"/>
  <c r="W288" i="88"/>
  <c r="BJ591" i="88" s="1"/>
  <c r="Q52" i="88"/>
  <c r="BJ355" i="88" s="1"/>
  <c r="P65" i="88"/>
  <c r="BI368" i="88" s="1"/>
  <c r="P97" i="88"/>
  <c r="BI400" i="88" s="1"/>
  <c r="P129" i="88"/>
  <c r="BI432" i="88" s="1"/>
  <c r="BI1096" i="88" s="1"/>
  <c r="W153" i="88"/>
  <c r="BJ456" i="88" s="1"/>
  <c r="P55" i="88"/>
  <c r="BI358" i="88" s="1"/>
  <c r="BI1022" i="88" s="1"/>
  <c r="P119" i="88"/>
  <c r="BI422" i="88" s="1"/>
  <c r="BI1086" i="88" s="1"/>
  <c r="W159" i="88"/>
  <c r="BJ462" i="88" s="1"/>
  <c r="W320" i="88"/>
  <c r="BJ623" i="88" s="1"/>
  <c r="W328" i="88"/>
  <c r="BJ631" i="88" s="1"/>
  <c r="W332" i="88"/>
  <c r="BJ635" i="88" s="1"/>
  <c r="W336" i="88"/>
  <c r="BJ639" i="88" s="1"/>
  <c r="Q148" i="88"/>
  <c r="BJ451" i="88" s="1"/>
  <c r="P139" i="88"/>
  <c r="BI442" i="88" s="1"/>
  <c r="BI1106" i="88" s="1"/>
  <c r="Q96" i="88"/>
  <c r="BJ399" i="88" s="1"/>
  <c r="R60" i="89"/>
  <c r="BK363" i="89" s="1"/>
  <c r="W238" i="88"/>
  <c r="BJ541" i="88" s="1"/>
  <c r="P63" i="88"/>
  <c r="BI366" i="88" s="1"/>
  <c r="BI1030" i="88" s="1"/>
  <c r="P111" i="88"/>
  <c r="BI414" i="88" s="1"/>
  <c r="BI1078" i="88" s="1"/>
  <c r="W272" i="88"/>
  <c r="BJ575" i="88" s="1"/>
  <c r="W276" i="88"/>
  <c r="BJ579" i="88" s="1"/>
  <c r="R141" i="89"/>
  <c r="BK444" i="89" s="1"/>
  <c r="Y166" i="89"/>
  <c r="BL469" i="89" s="1"/>
  <c r="P53" i="88"/>
  <c r="BI356" i="88" s="1"/>
  <c r="BI1020" i="88" s="1"/>
  <c r="P85" i="88"/>
  <c r="BI388" i="88" s="1"/>
  <c r="P117" i="88"/>
  <c r="BI420" i="88" s="1"/>
  <c r="Q133" i="88"/>
  <c r="BJ436" i="88" s="1"/>
  <c r="P51" i="88"/>
  <c r="BI354" i="88" s="1"/>
  <c r="BI1018" i="88" s="1"/>
  <c r="P67" i="88"/>
  <c r="BI370" i="88" s="1"/>
  <c r="P115" i="88"/>
  <c r="BI418" i="88" s="1"/>
  <c r="W232" i="88"/>
  <c r="BJ535" i="88" s="1"/>
  <c r="W264" i="88"/>
  <c r="BJ567" i="88" s="1"/>
  <c r="R93" i="89"/>
  <c r="BK396" i="89" s="1"/>
  <c r="Y334" i="89"/>
  <c r="BL637" i="89" s="1"/>
  <c r="Y242" i="89"/>
  <c r="BL545" i="89" s="1"/>
  <c r="BG1012" i="88"/>
  <c r="BG649" i="88"/>
  <c r="BG695" i="88"/>
  <c r="W258" i="88"/>
  <c r="BJ561" i="88" s="1"/>
  <c r="P103" i="88"/>
  <c r="BI406" i="88" s="1"/>
  <c r="BI1070" i="88" s="1"/>
  <c r="Q60" i="88"/>
  <c r="BJ363" i="88" s="1"/>
  <c r="P61" i="88"/>
  <c r="BI364" i="88" s="1"/>
  <c r="P93" i="88"/>
  <c r="BI396" i="88" s="1"/>
  <c r="Q109" i="88"/>
  <c r="BJ412" i="88" s="1"/>
  <c r="P125" i="88"/>
  <c r="BI428" i="88" s="1"/>
  <c r="BI1092" i="88" s="1"/>
  <c r="W274" i="88"/>
  <c r="BJ577" i="88" s="1"/>
  <c r="P59" i="88"/>
  <c r="BI362" i="88" s="1"/>
  <c r="P75" i="88"/>
  <c r="BI378" i="88" s="1"/>
  <c r="P123" i="88"/>
  <c r="BI426" i="88" s="1"/>
  <c r="Q92" i="88"/>
  <c r="BJ395" i="88" s="1"/>
  <c r="Q128" i="88"/>
  <c r="BJ431" i="88" s="1"/>
  <c r="R68" i="89"/>
  <c r="BK371" i="89" s="1"/>
  <c r="R102" i="89"/>
  <c r="BK405" i="89" s="1"/>
  <c r="R96" i="89"/>
  <c r="BK399" i="89" s="1"/>
  <c r="R58" i="89"/>
  <c r="BK361" i="89" s="1"/>
  <c r="R122" i="89"/>
  <c r="BK425" i="89" s="1"/>
  <c r="R114" i="89"/>
  <c r="BK417" i="89" s="1"/>
  <c r="R104" i="89"/>
  <c r="BK407" i="89" s="1"/>
  <c r="R124" i="89"/>
  <c r="BK427" i="89" s="1"/>
  <c r="R110" i="89"/>
  <c r="BK413" i="89" s="1"/>
  <c r="BI1016" i="89"/>
  <c r="BI699" i="89"/>
  <c r="BI653" i="89"/>
  <c r="BI655" i="89" s="1"/>
  <c r="R106" i="89"/>
  <c r="BK409" i="89" s="1"/>
  <c r="R88" i="89"/>
  <c r="BK391" i="89" s="1"/>
  <c r="R92" i="89"/>
  <c r="BK395" i="89" s="1"/>
  <c r="R64" i="89"/>
  <c r="BK367" i="89" s="1"/>
  <c r="R98" i="89"/>
  <c r="BK401" i="89" s="1"/>
  <c r="R136" i="89"/>
  <c r="BK439" i="89" s="1"/>
  <c r="R140" i="89"/>
  <c r="BK443" i="89" s="1"/>
  <c r="R70" i="89"/>
  <c r="BK373" i="89" s="1"/>
  <c r="R134" i="89"/>
  <c r="BK437" i="89" s="1"/>
  <c r="R52" i="89"/>
  <c r="BK355" i="89" s="1"/>
  <c r="R90" i="89"/>
  <c r="BK393" i="89" s="1"/>
  <c r="R148" i="89"/>
  <c r="BK451" i="89" s="1"/>
  <c r="R116" i="89"/>
  <c r="BK419" i="89" s="1"/>
  <c r="BJ352" i="89"/>
  <c r="R66" i="89"/>
  <c r="BK369" i="89" s="1"/>
  <c r="R146" i="89"/>
  <c r="BK449" i="89" s="1"/>
  <c r="R76" i="89"/>
  <c r="BK379" i="89" s="1"/>
  <c r="R78" i="89"/>
  <c r="BK381" i="89" s="1"/>
  <c r="R142" i="89"/>
  <c r="BK445" i="89" s="1"/>
  <c r="R128" i="89"/>
  <c r="BK431" i="89" s="1"/>
  <c r="R82" i="89"/>
  <c r="BK385" i="89" s="1"/>
  <c r="E123" i="87"/>
  <c r="F121" i="87"/>
  <c r="F102" i="87"/>
  <c r="F101" i="87"/>
  <c r="E103" i="87"/>
  <c r="D104" i="87"/>
  <c r="BI966" i="88" l="1"/>
  <c r="Q104" i="88"/>
  <c r="Q113" i="88"/>
  <c r="Q77" i="88"/>
  <c r="BJ380" i="88" s="1"/>
  <c r="BI886" i="88"/>
  <c r="Q140" i="88"/>
  <c r="BH1324" i="89"/>
  <c r="BH1325" i="89" s="1"/>
  <c r="BH1320" i="89"/>
  <c r="BH660" i="89"/>
  <c r="BH661" i="89" s="1"/>
  <c r="BF656" i="88"/>
  <c r="BF657" i="88" s="1"/>
  <c r="L280" i="87"/>
  <c r="Q69" i="88"/>
  <c r="BJ372" i="88" s="1"/>
  <c r="Q91" i="88"/>
  <c r="BJ394" i="88" s="1"/>
  <c r="Q64" i="88"/>
  <c r="BJ367" i="88" s="1"/>
  <c r="BJ714" i="88" s="1"/>
  <c r="M283" i="87"/>
  <c r="Q118" i="88"/>
  <c r="BJ421" i="88" s="1"/>
  <c r="BJ768" i="88" s="1"/>
  <c r="BI768" i="88"/>
  <c r="BI1037" i="88"/>
  <c r="BI1099" i="88"/>
  <c r="Q50" i="88"/>
  <c r="BJ353" i="88" s="1"/>
  <c r="Q132" i="88"/>
  <c r="Q116" i="88"/>
  <c r="BJ419" i="88" s="1"/>
  <c r="BJ766" i="88" s="1"/>
  <c r="Q66" i="88"/>
  <c r="BJ369" i="88" s="1"/>
  <c r="BJ716" i="88" s="1"/>
  <c r="Q124" i="88"/>
  <c r="BJ427" i="88" s="1"/>
  <c r="Q101" i="88"/>
  <c r="BJ404" i="88" s="1"/>
  <c r="BJ1068" i="88" s="1"/>
  <c r="L278" i="87"/>
  <c r="S97" i="89"/>
  <c r="BL400" i="89" s="1"/>
  <c r="BL747" i="89" s="1"/>
  <c r="S57" i="89"/>
  <c r="BL360" i="89" s="1"/>
  <c r="BL1024" i="89" s="1"/>
  <c r="S81" i="89"/>
  <c r="BL384" i="89" s="1"/>
  <c r="BL1048" i="89" s="1"/>
  <c r="BK819" i="89"/>
  <c r="BK1136" i="89"/>
  <c r="BL960" i="89"/>
  <c r="BL1277" i="89"/>
  <c r="BL1225" i="89"/>
  <c r="BL908" i="89"/>
  <c r="BK785" i="89"/>
  <c r="BK1102" i="89"/>
  <c r="BL907" i="89"/>
  <c r="BL1224" i="89"/>
  <c r="BK771" i="89"/>
  <c r="BK1088" i="89"/>
  <c r="BK985" i="89"/>
  <c r="BK1302" i="89"/>
  <c r="BL984" i="89"/>
  <c r="BL1301" i="89"/>
  <c r="BL961" i="89"/>
  <c r="BL1278" i="89"/>
  <c r="BL971" i="89"/>
  <c r="BL1288" i="89"/>
  <c r="BL901" i="89"/>
  <c r="BL1218" i="89"/>
  <c r="BL928" i="89"/>
  <c r="BL1245" i="89"/>
  <c r="BK725" i="89"/>
  <c r="BK1042" i="89"/>
  <c r="BL916" i="89"/>
  <c r="BL1233" i="89"/>
  <c r="BK915" i="89"/>
  <c r="BK1232" i="89"/>
  <c r="BK1270" i="89"/>
  <c r="BK953" i="89"/>
  <c r="BJ1034" i="89"/>
  <c r="BJ717" i="89"/>
  <c r="BK893" i="89"/>
  <c r="BK1210" i="89"/>
  <c r="BL717" i="89"/>
  <c r="BL1034" i="89"/>
  <c r="BL1297" i="89"/>
  <c r="BL980" i="89"/>
  <c r="BK1095" i="89"/>
  <c r="BK778" i="89"/>
  <c r="S137" i="89"/>
  <c r="BL440" i="89" s="1"/>
  <c r="BL787" i="89" s="1"/>
  <c r="BK767" i="89"/>
  <c r="BK1084" i="89"/>
  <c r="S112" i="89"/>
  <c r="BL415" i="89" s="1"/>
  <c r="BK415" i="89"/>
  <c r="BL848" i="89"/>
  <c r="BL1165" i="89"/>
  <c r="BK931" i="89"/>
  <c r="BK1248" i="89"/>
  <c r="BK717" i="89"/>
  <c r="BK1034" i="89"/>
  <c r="BL1259" i="89"/>
  <c r="BL942" i="89"/>
  <c r="BL906" i="89"/>
  <c r="BL1223" i="89"/>
  <c r="S103" i="89"/>
  <c r="BL406" i="89" s="1"/>
  <c r="BK406" i="89"/>
  <c r="BK742" i="89"/>
  <c r="BK1059" i="89"/>
  <c r="S115" i="89"/>
  <c r="BL418" i="89" s="1"/>
  <c r="BL1082" i="89" s="1"/>
  <c r="BL940" i="89"/>
  <c r="BL1257" i="89"/>
  <c r="BL910" i="89"/>
  <c r="BL1227" i="89"/>
  <c r="BL912" i="89"/>
  <c r="BL1229" i="89"/>
  <c r="S121" i="89"/>
  <c r="BL424" i="89" s="1"/>
  <c r="BL894" i="89"/>
  <c r="BL1211" i="89"/>
  <c r="BJ771" i="89"/>
  <c r="BJ1088" i="89"/>
  <c r="BK1200" i="89"/>
  <c r="BK883" i="89"/>
  <c r="BK1310" i="89"/>
  <c r="BK993" i="89"/>
  <c r="BK764" i="89"/>
  <c r="BK1081" i="89"/>
  <c r="BK733" i="89"/>
  <c r="BK1050" i="89"/>
  <c r="BK745" i="89"/>
  <c r="BK1062" i="89"/>
  <c r="BK757" i="89"/>
  <c r="BK1074" i="89"/>
  <c r="BK795" i="89"/>
  <c r="BK1112" i="89"/>
  <c r="BK724" i="89"/>
  <c r="BK1041" i="89"/>
  <c r="BK747" i="89"/>
  <c r="BK1064" i="89"/>
  <c r="BK707" i="89"/>
  <c r="BK1024" i="89"/>
  <c r="BJ787" i="89"/>
  <c r="BJ1104" i="89"/>
  <c r="BJ765" i="89"/>
  <c r="BJ1082" i="89"/>
  <c r="BK786" i="89"/>
  <c r="BK1103" i="89"/>
  <c r="BL827" i="89"/>
  <c r="BL1144" i="89"/>
  <c r="BK761" i="89"/>
  <c r="BK1078" i="89"/>
  <c r="BK755" i="89"/>
  <c r="BK1072" i="89"/>
  <c r="BJ747" i="89"/>
  <c r="BJ1064" i="89"/>
  <c r="BL876" i="89"/>
  <c r="BL1193" i="89"/>
  <c r="BK781" i="89"/>
  <c r="BK1098" i="89"/>
  <c r="BL818" i="89"/>
  <c r="BL1135" i="89"/>
  <c r="BK777" i="89"/>
  <c r="BK1094" i="89"/>
  <c r="BK705" i="89"/>
  <c r="BK1022" i="89"/>
  <c r="BK763" i="89"/>
  <c r="BK1080" i="89"/>
  <c r="BK769" i="89"/>
  <c r="BK1086" i="89"/>
  <c r="BK713" i="89"/>
  <c r="BK1030" i="89"/>
  <c r="BJ803" i="89"/>
  <c r="BJ1120" i="89"/>
  <c r="BJ731" i="89"/>
  <c r="BJ1048" i="89"/>
  <c r="BK787" i="89"/>
  <c r="BK1104" i="89"/>
  <c r="BJ755" i="89"/>
  <c r="BJ1072" i="89"/>
  <c r="BK765" i="89"/>
  <c r="BK1082" i="89"/>
  <c r="BK728" i="89"/>
  <c r="BK1045" i="89"/>
  <c r="BK702" i="89"/>
  <c r="BK1019" i="89"/>
  <c r="BK738" i="89"/>
  <c r="BK1055" i="89"/>
  <c r="BK752" i="89"/>
  <c r="BK1069" i="89"/>
  <c r="BK791" i="89"/>
  <c r="BK1108" i="89"/>
  <c r="BK802" i="89"/>
  <c r="BK1119" i="89"/>
  <c r="BK783" i="89"/>
  <c r="BK1100" i="89"/>
  <c r="BK794" i="89"/>
  <c r="BK1111" i="89"/>
  <c r="BK858" i="89"/>
  <c r="BK1175" i="89"/>
  <c r="BJ707" i="89"/>
  <c r="BJ1024" i="89"/>
  <c r="BK793" i="89"/>
  <c r="BK1110" i="89"/>
  <c r="BK732" i="89"/>
  <c r="BK1049" i="89"/>
  <c r="BK726" i="89"/>
  <c r="BK1043" i="89"/>
  <c r="BK766" i="89"/>
  <c r="BK1083" i="89"/>
  <c r="BK784" i="89"/>
  <c r="BK1101" i="89"/>
  <c r="BK748" i="89"/>
  <c r="BK1065" i="89"/>
  <c r="BK756" i="89"/>
  <c r="BK1073" i="89"/>
  <c r="BK760" i="89"/>
  <c r="BK1077" i="89"/>
  <c r="BK772" i="89"/>
  <c r="BK1089" i="89"/>
  <c r="BK718" i="89"/>
  <c r="BK1035" i="89"/>
  <c r="BL892" i="89"/>
  <c r="BL1209" i="89"/>
  <c r="BL804" i="89"/>
  <c r="BL1121" i="89"/>
  <c r="BK796" i="89"/>
  <c r="BK1113" i="89"/>
  <c r="BK798" i="89"/>
  <c r="BK1115" i="89"/>
  <c r="BK720" i="89"/>
  <c r="BK1037" i="89"/>
  <c r="BK714" i="89"/>
  <c r="BK1031" i="89"/>
  <c r="BK774" i="89"/>
  <c r="BK1091" i="89"/>
  <c r="BK708" i="89"/>
  <c r="BK1025" i="89"/>
  <c r="S143" i="89"/>
  <c r="BL446" i="89" s="1"/>
  <c r="BK710" i="89"/>
  <c r="BK1027" i="89"/>
  <c r="BK792" i="89"/>
  <c r="BK1109" i="89"/>
  <c r="BK716" i="89"/>
  <c r="BK1033" i="89"/>
  <c r="BK740" i="89"/>
  <c r="BK1057" i="89"/>
  <c r="BK790" i="89"/>
  <c r="BK1107" i="89"/>
  <c r="BK754" i="89"/>
  <c r="BK1071" i="89"/>
  <c r="BK746" i="89"/>
  <c r="BK1063" i="89"/>
  <c r="BK743" i="89"/>
  <c r="BK1060" i="89"/>
  <c r="BL816" i="89"/>
  <c r="BL1133" i="89"/>
  <c r="BL836" i="89"/>
  <c r="BL1153" i="89"/>
  <c r="BL803" i="89"/>
  <c r="BL1120" i="89"/>
  <c r="BL820" i="89"/>
  <c r="BL1137" i="89"/>
  <c r="BL808" i="89"/>
  <c r="BL1125" i="89"/>
  <c r="BK701" i="89"/>
  <c r="BK1018" i="89"/>
  <c r="BL878" i="89"/>
  <c r="BL1195" i="89"/>
  <c r="BK715" i="89"/>
  <c r="BK1032" i="89"/>
  <c r="BK721" i="89"/>
  <c r="BK1038" i="89"/>
  <c r="BK735" i="89"/>
  <c r="BK1052" i="89"/>
  <c r="BK703" i="89"/>
  <c r="BK1020" i="89"/>
  <c r="BK741" i="89"/>
  <c r="BK1058" i="89"/>
  <c r="BK890" i="89"/>
  <c r="BK1207" i="89"/>
  <c r="BK803" i="89"/>
  <c r="BK1120" i="89"/>
  <c r="BK731" i="89"/>
  <c r="BK1048" i="89"/>
  <c r="BJ723" i="89"/>
  <c r="BJ1040" i="89"/>
  <c r="BJ793" i="89"/>
  <c r="BJ1110" i="89"/>
  <c r="BL867" i="89"/>
  <c r="BL881" i="89"/>
  <c r="BK723" i="89"/>
  <c r="S73" i="89"/>
  <c r="BL376" i="89" s="1"/>
  <c r="BK868" i="89"/>
  <c r="BJ783" i="89"/>
  <c r="S87" i="89"/>
  <c r="BL390" i="89" s="1"/>
  <c r="BK390" i="89"/>
  <c r="S69" i="89"/>
  <c r="BL372" i="89" s="1"/>
  <c r="BK372" i="89"/>
  <c r="S56" i="89"/>
  <c r="BL359" i="89" s="1"/>
  <c r="BK359" i="89"/>
  <c r="S79" i="89"/>
  <c r="BL382" i="89" s="1"/>
  <c r="BK382" i="89"/>
  <c r="S62" i="89"/>
  <c r="BL365" i="89" s="1"/>
  <c r="BK365" i="89"/>
  <c r="S108" i="89"/>
  <c r="BL411" i="89" s="1"/>
  <c r="BL1075" i="89" s="1"/>
  <c r="BK411" i="89"/>
  <c r="S120" i="89"/>
  <c r="BL423" i="89" s="1"/>
  <c r="BK423" i="89"/>
  <c r="S151" i="89"/>
  <c r="BL454" i="89" s="1"/>
  <c r="BK454" i="89"/>
  <c r="BL521" i="89"/>
  <c r="BL1185" i="89" s="1"/>
  <c r="S139" i="89"/>
  <c r="BL442" i="89" s="1"/>
  <c r="BK442" i="89"/>
  <c r="S109" i="89"/>
  <c r="BL412" i="89" s="1"/>
  <c r="BK412" i="89"/>
  <c r="S100" i="89"/>
  <c r="BL403" i="89" s="1"/>
  <c r="BK403" i="89"/>
  <c r="S125" i="89"/>
  <c r="BL428" i="89" s="1"/>
  <c r="BK428" i="89"/>
  <c r="S138" i="89"/>
  <c r="BL441" i="89" s="1"/>
  <c r="BK441" i="89"/>
  <c r="S86" i="89"/>
  <c r="BL389" i="89" s="1"/>
  <c r="BK389" i="89"/>
  <c r="S126" i="89"/>
  <c r="BL429" i="89" s="1"/>
  <c r="BK429" i="89"/>
  <c r="S61" i="89"/>
  <c r="BL364" i="89" s="1"/>
  <c r="BK364" i="89"/>
  <c r="S94" i="89"/>
  <c r="BL397" i="89" s="1"/>
  <c r="BK397" i="89"/>
  <c r="S99" i="89"/>
  <c r="BL402" i="89" s="1"/>
  <c r="BK402" i="89"/>
  <c r="S150" i="89"/>
  <c r="BL453" i="89" s="1"/>
  <c r="BK453" i="89"/>
  <c r="S118" i="89"/>
  <c r="BL421" i="89" s="1"/>
  <c r="BL1085" i="89" s="1"/>
  <c r="BK421" i="89"/>
  <c r="S80" i="89"/>
  <c r="BL383" i="89" s="1"/>
  <c r="BK383" i="89"/>
  <c r="S129" i="89"/>
  <c r="BK432" i="89"/>
  <c r="S59" i="89"/>
  <c r="BL362" i="89" s="1"/>
  <c r="BK362" i="89"/>
  <c r="BK392" i="89"/>
  <c r="BK452" i="89"/>
  <c r="S77" i="89"/>
  <c r="BL380" i="89" s="1"/>
  <c r="BK380" i="89"/>
  <c r="BK375" i="89"/>
  <c r="S123" i="89"/>
  <c r="BL426" i="89" s="1"/>
  <c r="BK426" i="89"/>
  <c r="S101" i="89"/>
  <c r="BL404" i="89" s="1"/>
  <c r="BK404" i="89"/>
  <c r="S54" i="89"/>
  <c r="BL357" i="89" s="1"/>
  <c r="BK357" i="89"/>
  <c r="S132" i="89"/>
  <c r="BL435" i="89" s="1"/>
  <c r="BK435" i="89"/>
  <c r="S84" i="89"/>
  <c r="BL387" i="89" s="1"/>
  <c r="BK387" i="89"/>
  <c r="S147" i="89"/>
  <c r="BL450" i="89" s="1"/>
  <c r="BK450" i="89"/>
  <c r="S130" i="89"/>
  <c r="BL433" i="89" s="1"/>
  <c r="BK433" i="89"/>
  <c r="BL511" i="89"/>
  <c r="W673" i="89"/>
  <c r="L231" i="87"/>
  <c r="L276" i="87" s="1"/>
  <c r="M280" i="87"/>
  <c r="Y689" i="89"/>
  <c r="Y681" i="89"/>
  <c r="BI773" i="88"/>
  <c r="BI1090" i="88"/>
  <c r="BI711" i="88"/>
  <c r="BI1028" i="88"/>
  <c r="BJ751" i="88"/>
  <c r="BJ986" i="88"/>
  <c r="BJ1303" i="88"/>
  <c r="BI733" i="88"/>
  <c r="BI1050" i="88"/>
  <c r="BI739" i="88"/>
  <c r="BI1056" i="88"/>
  <c r="BJ958" i="88"/>
  <c r="BJ1275" i="88"/>
  <c r="BJ812" i="88"/>
  <c r="BJ1129" i="88"/>
  <c r="BJ792" i="88"/>
  <c r="BJ1109" i="88"/>
  <c r="BJ989" i="88"/>
  <c r="BJ1306" i="88"/>
  <c r="BH697" i="88"/>
  <c r="BH1014" i="88"/>
  <c r="BI732" i="88"/>
  <c r="BI1049" i="88"/>
  <c r="BJ937" i="88"/>
  <c r="BJ1254" i="88"/>
  <c r="BH766" i="88"/>
  <c r="BH1083" i="88"/>
  <c r="BI724" i="88"/>
  <c r="BI1041" i="88"/>
  <c r="BI745" i="88"/>
  <c r="BI1062" i="88"/>
  <c r="BI760" i="88"/>
  <c r="BI1077" i="88"/>
  <c r="BI740" i="88"/>
  <c r="BI1057" i="88"/>
  <c r="BH751" i="88"/>
  <c r="BH1068" i="88"/>
  <c r="BJ788" i="88"/>
  <c r="BJ1105" i="88"/>
  <c r="BI725" i="88"/>
  <c r="BI1042" i="88"/>
  <c r="BJ759" i="88"/>
  <c r="BJ1076" i="88"/>
  <c r="BJ908" i="88"/>
  <c r="BJ1225" i="88"/>
  <c r="BJ914" i="88"/>
  <c r="BJ1231" i="88"/>
  <c r="BI735" i="88"/>
  <c r="BI1052" i="88"/>
  <c r="BJ922" i="88"/>
  <c r="BJ1239" i="88"/>
  <c r="BJ982" i="88"/>
  <c r="BJ1299" i="88"/>
  <c r="BI747" i="88"/>
  <c r="BI1064" i="88"/>
  <c r="BJ938" i="88"/>
  <c r="BJ1255" i="88"/>
  <c r="BJ956" i="88"/>
  <c r="BJ1273" i="88"/>
  <c r="BJ892" i="88"/>
  <c r="BJ1209" i="88"/>
  <c r="BJ787" i="88"/>
  <c r="BJ1104" i="88"/>
  <c r="BJ723" i="88"/>
  <c r="BJ1040" i="88"/>
  <c r="BJ780" i="88"/>
  <c r="BJ1097" i="88"/>
  <c r="BJ950" i="88"/>
  <c r="BJ1267" i="88"/>
  <c r="BJ976" i="88"/>
  <c r="BJ1293" i="88"/>
  <c r="BJ856" i="88"/>
  <c r="BJ1173" i="88"/>
  <c r="BJ874" i="88"/>
  <c r="BJ1191" i="88"/>
  <c r="BJ805" i="88"/>
  <c r="BJ1122" i="88"/>
  <c r="BJ728" i="88"/>
  <c r="BJ1045" i="88"/>
  <c r="BJ854" i="88"/>
  <c r="BJ1171" i="88"/>
  <c r="BI863" i="88"/>
  <c r="BI1180" i="88"/>
  <c r="BJ847" i="88"/>
  <c r="BJ1164" i="88"/>
  <c r="BJ829" i="88"/>
  <c r="BJ1146" i="88"/>
  <c r="BJ881" i="88"/>
  <c r="BJ1198" i="88"/>
  <c r="BH726" i="88"/>
  <c r="BH1043" i="88"/>
  <c r="BI785" i="88"/>
  <c r="BI1102" i="88"/>
  <c r="BI795" i="88"/>
  <c r="BI1112" i="88"/>
  <c r="BI731" i="88"/>
  <c r="BI1048" i="88"/>
  <c r="BI697" i="88"/>
  <c r="BI1014" i="88"/>
  <c r="BJ929" i="88"/>
  <c r="BJ1246" i="88"/>
  <c r="BI756" i="88"/>
  <c r="BI1073" i="88"/>
  <c r="BH727" i="88"/>
  <c r="BH1044" i="88"/>
  <c r="BH719" i="88"/>
  <c r="BH1036" i="88"/>
  <c r="BI925" i="88"/>
  <c r="BI1242" i="88"/>
  <c r="BJ969" i="88"/>
  <c r="BJ1286" i="88"/>
  <c r="BI766" i="88"/>
  <c r="BI1083" i="88"/>
  <c r="BI736" i="88"/>
  <c r="BI1053" i="88"/>
  <c r="BJ724" i="88"/>
  <c r="BJ1041" i="88"/>
  <c r="BI790" i="88"/>
  <c r="BI1107" i="88"/>
  <c r="BJ897" i="88"/>
  <c r="BJ1214" i="88"/>
  <c r="BH757" i="88"/>
  <c r="BH1074" i="88"/>
  <c r="BH723" i="88"/>
  <c r="BH1040" i="88"/>
  <c r="BJ760" i="88"/>
  <c r="BJ1077" i="88"/>
  <c r="BJ740" i="88"/>
  <c r="BJ1057" i="88"/>
  <c r="BI759" i="88"/>
  <c r="BI1076" i="88"/>
  <c r="BI751" i="88"/>
  <c r="BI1068" i="88"/>
  <c r="BI712" i="88"/>
  <c r="BI1029" i="88"/>
  <c r="BI772" i="88"/>
  <c r="BI1089" i="88"/>
  <c r="BI716" i="88"/>
  <c r="BI1033" i="88"/>
  <c r="BI774" i="88"/>
  <c r="BI1091" i="88"/>
  <c r="BI706" i="88"/>
  <c r="BI1023" i="88"/>
  <c r="BI717" i="88"/>
  <c r="BI1034" i="88"/>
  <c r="BJ926" i="88"/>
  <c r="BJ1243" i="88"/>
  <c r="BI729" i="88"/>
  <c r="BI1046" i="88"/>
  <c r="BJ796" i="88"/>
  <c r="BJ1113" i="88"/>
  <c r="BJ980" i="88"/>
  <c r="BJ1297" i="88"/>
  <c r="BJ816" i="88"/>
  <c r="BJ1133" i="88"/>
  <c r="BJ736" i="88"/>
  <c r="BJ1053" i="88"/>
  <c r="BI829" i="88"/>
  <c r="BI1146" i="88"/>
  <c r="BH785" i="88"/>
  <c r="BH1102" i="88"/>
  <c r="BJ752" i="88"/>
  <c r="BJ1069" i="88"/>
  <c r="BJ895" i="88"/>
  <c r="BJ1212" i="88"/>
  <c r="BH734" i="88"/>
  <c r="BH1051" i="88"/>
  <c r="BI737" i="88"/>
  <c r="BI1054" i="88"/>
  <c r="BJ778" i="88"/>
  <c r="BJ1095" i="88"/>
  <c r="BI709" i="88"/>
  <c r="BI1026" i="88"/>
  <c r="BI743" i="88"/>
  <c r="BI1060" i="88"/>
  <c r="BJ710" i="88"/>
  <c r="BJ1027" i="88"/>
  <c r="BJ882" i="88"/>
  <c r="BJ1199" i="88"/>
  <c r="BJ783" i="88"/>
  <c r="BJ1100" i="88"/>
  <c r="BJ719" i="88"/>
  <c r="BJ1036" i="88"/>
  <c r="BJ746" i="88"/>
  <c r="BJ1063" i="88"/>
  <c r="BJ741" i="88"/>
  <c r="BJ1058" i="88"/>
  <c r="BJ978" i="88"/>
  <c r="BJ1295" i="88"/>
  <c r="BI715" i="88"/>
  <c r="BI1032" i="88"/>
  <c r="BJ934" i="88"/>
  <c r="BJ1251" i="88"/>
  <c r="BJ799" i="88"/>
  <c r="BJ1116" i="88"/>
  <c r="BJ866" i="88"/>
  <c r="BJ1183" i="88"/>
  <c r="BI771" i="88"/>
  <c r="BI1088" i="88"/>
  <c r="Q87" i="88"/>
  <c r="BJ390" i="88" s="1"/>
  <c r="BJ822" i="88"/>
  <c r="BJ1139" i="88"/>
  <c r="BJ890" i="88"/>
  <c r="BJ1207" i="88"/>
  <c r="BJ832" i="88"/>
  <c r="BJ1149" i="88"/>
  <c r="BJ801" i="88"/>
  <c r="BJ1118" i="88"/>
  <c r="BJ776" i="88"/>
  <c r="BJ1093" i="88"/>
  <c r="BJ954" i="88"/>
  <c r="BJ1271" i="88"/>
  <c r="BJ981" i="88"/>
  <c r="BJ1298" i="88"/>
  <c r="BI704" i="88"/>
  <c r="BI1021" i="88"/>
  <c r="BI754" i="88"/>
  <c r="BI1071" i="88"/>
  <c r="BH721" i="88"/>
  <c r="BH1038" i="88"/>
  <c r="BH763" i="88"/>
  <c r="BH1080" i="88"/>
  <c r="BH783" i="88"/>
  <c r="BH1100" i="88"/>
  <c r="BH787" i="88"/>
  <c r="BH1104" i="88"/>
  <c r="BI696" i="88"/>
  <c r="BI1013" i="88"/>
  <c r="BJ756" i="88"/>
  <c r="BJ1073" i="88"/>
  <c r="BI727" i="88"/>
  <c r="BI1044" i="88"/>
  <c r="BI719" i="88"/>
  <c r="BI1036" i="88"/>
  <c r="BJ925" i="88"/>
  <c r="BJ1242" i="88"/>
  <c r="BH770" i="88"/>
  <c r="BH1087" i="88"/>
  <c r="BH718" i="88"/>
  <c r="BH1035" i="88"/>
  <c r="BI796" i="88"/>
  <c r="BI1113" i="88"/>
  <c r="BI778" i="88"/>
  <c r="BI1095" i="88"/>
  <c r="BI776" i="88"/>
  <c r="BI1093" i="88"/>
  <c r="BI757" i="88"/>
  <c r="BI1074" i="88"/>
  <c r="BI723" i="88"/>
  <c r="BI1040" i="88"/>
  <c r="BH714" i="88"/>
  <c r="BH1031" i="88"/>
  <c r="BH741" i="88"/>
  <c r="BH1058" i="88"/>
  <c r="BH797" i="88"/>
  <c r="BH1114" i="88"/>
  <c r="BH756" i="88"/>
  <c r="BH1073" i="88"/>
  <c r="BI792" i="88"/>
  <c r="BI1109" i="88"/>
  <c r="BJ772" i="88"/>
  <c r="BJ1089" i="88"/>
  <c r="BI755" i="88"/>
  <c r="BI1072" i="88"/>
  <c r="BI700" i="88"/>
  <c r="BI1017" i="88"/>
  <c r="BJ888" i="88"/>
  <c r="BJ1205" i="88"/>
  <c r="BJ809" i="88"/>
  <c r="BJ1126" i="88"/>
  <c r="BJ904" i="88"/>
  <c r="BJ1221" i="88"/>
  <c r="BJ764" i="88"/>
  <c r="BJ1081" i="88"/>
  <c r="BJ708" i="88"/>
  <c r="BJ1025" i="88"/>
  <c r="BJ700" i="88"/>
  <c r="BJ1017" i="88"/>
  <c r="BI954" i="88"/>
  <c r="BI1271" i="88"/>
  <c r="BH795" i="88"/>
  <c r="BH1112" i="88"/>
  <c r="BI854" i="88"/>
  <c r="BI1171" i="88"/>
  <c r="BI699" i="88"/>
  <c r="BI1016" i="88"/>
  <c r="BI791" i="88"/>
  <c r="BI1108" i="88"/>
  <c r="BI794" i="88"/>
  <c r="BI1111" i="88"/>
  <c r="BI784" i="88"/>
  <c r="BI1101" i="88"/>
  <c r="BJ957" i="88"/>
  <c r="BJ1274" i="88"/>
  <c r="BJ720" i="88"/>
  <c r="BJ1037" i="88"/>
  <c r="BJ742" i="88"/>
  <c r="BJ1059" i="88"/>
  <c r="BJ924" i="88"/>
  <c r="BJ1241" i="88"/>
  <c r="BJ727" i="88"/>
  <c r="BJ1044" i="88"/>
  <c r="BI765" i="88"/>
  <c r="BI1082" i="88"/>
  <c r="BI767" i="88"/>
  <c r="BI1084" i="88"/>
  <c r="BJ798" i="88"/>
  <c r="BJ1115" i="88"/>
  <c r="BJ970" i="88"/>
  <c r="BJ1287" i="88"/>
  <c r="BJ803" i="88"/>
  <c r="BJ1120" i="88"/>
  <c r="BJ702" i="88"/>
  <c r="BJ1019" i="88"/>
  <c r="BI781" i="88"/>
  <c r="BI1098" i="88"/>
  <c r="BJ936" i="88"/>
  <c r="BJ1253" i="88"/>
  <c r="BI777" i="88"/>
  <c r="BI1094" i="88"/>
  <c r="BJ755" i="88"/>
  <c r="BJ1072" i="88"/>
  <c r="BJ748" i="88"/>
  <c r="BJ1065" i="88"/>
  <c r="BJ732" i="88"/>
  <c r="BJ1049" i="88"/>
  <c r="BJ814" i="88"/>
  <c r="BJ1131" i="88"/>
  <c r="BJ696" i="88"/>
  <c r="BJ1013" i="88"/>
  <c r="BJ712" i="88"/>
  <c r="BJ1029" i="88"/>
  <c r="BI718" i="88"/>
  <c r="BI1035" i="88"/>
  <c r="BJ900" i="88"/>
  <c r="BJ1217" i="88"/>
  <c r="BJ844" i="88"/>
  <c r="BJ1161" i="88"/>
  <c r="BJ946" i="88"/>
  <c r="BJ1263" i="88"/>
  <c r="BJ704" i="88"/>
  <c r="BJ1021" i="88"/>
  <c r="BI722" i="88"/>
  <c r="BI1039" i="88"/>
  <c r="BI721" i="88"/>
  <c r="BI1038" i="88"/>
  <c r="BI763" i="88"/>
  <c r="BI1080" i="88"/>
  <c r="BI783" i="88"/>
  <c r="BI1100" i="88"/>
  <c r="BI787" i="88"/>
  <c r="BI1104" i="88"/>
  <c r="BI752" i="88"/>
  <c r="BI1069" i="88"/>
  <c r="BI744" i="88"/>
  <c r="BI1061" i="88"/>
  <c r="BH699" i="88"/>
  <c r="BH1016" i="88"/>
  <c r="BI895" i="88"/>
  <c r="BI1212" i="88"/>
  <c r="BI937" i="88"/>
  <c r="BI1254" i="88"/>
  <c r="BI770" i="88"/>
  <c r="BI1087" i="88"/>
  <c r="BI728" i="88"/>
  <c r="BI1045" i="88"/>
  <c r="BJ1085" i="88"/>
  <c r="BH791" i="88"/>
  <c r="BH1108" i="88"/>
  <c r="BH745" i="88"/>
  <c r="BH1062" i="88"/>
  <c r="BH794" i="88"/>
  <c r="BH1111" i="88"/>
  <c r="BH793" i="88"/>
  <c r="BH1110" i="88"/>
  <c r="BJ808" i="88"/>
  <c r="BJ1125" i="88"/>
  <c r="BI714" i="88"/>
  <c r="BI1031" i="88"/>
  <c r="BJ804" i="88"/>
  <c r="BJ1121" i="88"/>
  <c r="BI741" i="88"/>
  <c r="BI1058" i="88"/>
  <c r="BI797" i="88"/>
  <c r="BI1114" i="88"/>
  <c r="BJ920" i="88"/>
  <c r="BJ1237" i="88"/>
  <c r="BI788" i="88"/>
  <c r="BI1105" i="88"/>
  <c r="BH737" i="88"/>
  <c r="BH1054" i="88"/>
  <c r="BJ971" i="88"/>
  <c r="BJ1288" i="88"/>
  <c r="BI753" i="88"/>
  <c r="BJ811" i="88"/>
  <c r="Q141" i="88"/>
  <c r="BJ444" i="88" s="1"/>
  <c r="BI705" i="88"/>
  <c r="BJ757" i="88"/>
  <c r="BH759" i="88"/>
  <c r="BI713" i="88"/>
  <c r="Q135" i="88"/>
  <c r="BJ438" i="88" s="1"/>
  <c r="Q95" i="88"/>
  <c r="BJ398" i="88" s="1"/>
  <c r="Q81" i="88"/>
  <c r="BJ384" i="88" s="1"/>
  <c r="BJ1048" i="88" s="1"/>
  <c r="BI900" i="88"/>
  <c r="BI844" i="88"/>
  <c r="BI707" i="88"/>
  <c r="BI847" i="88"/>
  <c r="BH755" i="88"/>
  <c r="BI701" i="88"/>
  <c r="BI761" i="88"/>
  <c r="BI793" i="88"/>
  <c r="BI775" i="88"/>
  <c r="Q49" i="88"/>
  <c r="BJ352" i="88" s="1"/>
  <c r="BI703" i="88"/>
  <c r="Q47" i="88"/>
  <c r="BJ350" i="88" s="1"/>
  <c r="BI789" i="88"/>
  <c r="BI769" i="88"/>
  <c r="BI779" i="88"/>
  <c r="Q147" i="88"/>
  <c r="BJ450" i="88" s="1"/>
  <c r="Q143" i="88"/>
  <c r="BJ446" i="88" s="1"/>
  <c r="BH731" i="88"/>
  <c r="BI804" i="88"/>
  <c r="BJ443" i="88"/>
  <c r="BJ403" i="88"/>
  <c r="BJ551" i="88"/>
  <c r="BJ1215" i="88" s="1"/>
  <c r="BJ351" i="88"/>
  <c r="BJ602" i="88"/>
  <c r="Q68" i="88"/>
  <c r="BJ371" i="88" s="1"/>
  <c r="BI402" i="88"/>
  <c r="BJ407" i="88"/>
  <c r="BJ411" i="88"/>
  <c r="BJ375" i="88"/>
  <c r="BJ383" i="88"/>
  <c r="BJ435" i="88"/>
  <c r="BI379" i="88"/>
  <c r="BJ448" i="88"/>
  <c r="BJ391" i="88"/>
  <c r="BJ1055" i="88" s="1"/>
  <c r="BI415" i="88"/>
  <c r="BI387" i="88"/>
  <c r="Q112" i="88"/>
  <c r="BJ415" i="88" s="1"/>
  <c r="BJ374" i="88"/>
  <c r="BJ1038" i="88" s="1"/>
  <c r="Q144" i="88"/>
  <c r="BJ447" i="88" s="1"/>
  <c r="BJ559" i="88"/>
  <c r="BJ397" i="88"/>
  <c r="BI439" i="88"/>
  <c r="BJ359" i="88"/>
  <c r="BJ416" i="88"/>
  <c r="BJ555" i="88"/>
  <c r="BJ1219" i="88" s="1"/>
  <c r="BJ423" i="88"/>
  <c r="BJ437" i="88"/>
  <c r="Y667" i="89"/>
  <c r="X686" i="89"/>
  <c r="Q76" i="88"/>
  <c r="BJ379" i="88" s="1"/>
  <c r="M279" i="87"/>
  <c r="BH1316" i="89"/>
  <c r="BH1002" i="89"/>
  <c r="BI652" i="89"/>
  <c r="BF1315" i="88"/>
  <c r="BF1312" i="88"/>
  <c r="BF1318" i="88" s="1"/>
  <c r="BF1319" i="88" s="1"/>
  <c r="Z73" i="34" s="1"/>
  <c r="BF998" i="88"/>
  <c r="H15" i="67"/>
  <c r="E146" i="87"/>
  <c r="F146" i="87" s="1"/>
  <c r="Q84" i="88"/>
  <c r="BJ387" i="88" s="1"/>
  <c r="Q136" i="88"/>
  <c r="BJ348" i="88"/>
  <c r="BI348" i="88"/>
  <c r="J285" i="87"/>
  <c r="J288" i="87" s="1"/>
  <c r="M233" i="87"/>
  <c r="S89" i="89"/>
  <c r="Z72" i="91"/>
  <c r="H36" i="66" s="1"/>
  <c r="S149" i="89"/>
  <c r="BL452" i="89" s="1"/>
  <c r="S72" i="89"/>
  <c r="BL375" i="89" s="1"/>
  <c r="S145" i="89"/>
  <c r="BL448" i="89" s="1"/>
  <c r="S91" i="89"/>
  <c r="BL394" i="89" s="1"/>
  <c r="S144" i="89"/>
  <c r="BL447" i="89" s="1"/>
  <c r="S75" i="89"/>
  <c r="BL378" i="89" s="1"/>
  <c r="S105" i="89"/>
  <c r="BL408" i="89" s="1"/>
  <c r="S63" i="89"/>
  <c r="BL366" i="89" s="1"/>
  <c r="S53" i="89"/>
  <c r="BL356" i="89" s="1"/>
  <c r="BL352" i="89"/>
  <c r="S111" i="89"/>
  <c r="BL414" i="89" s="1"/>
  <c r="S74" i="89"/>
  <c r="BL377" i="89" s="1"/>
  <c r="S119" i="89"/>
  <c r="BL422" i="89" s="1"/>
  <c r="S85" i="89"/>
  <c r="BL388" i="89" s="1"/>
  <c r="S135" i="89"/>
  <c r="BL438" i="89" s="1"/>
  <c r="S133" i="89"/>
  <c r="BL436" i="89" s="1"/>
  <c r="BK352" i="89"/>
  <c r="N283" i="87"/>
  <c r="M281" i="87"/>
  <c r="S117" i="89"/>
  <c r="BL420" i="89" s="1"/>
  <c r="L187" i="87"/>
  <c r="M186" i="87"/>
  <c r="M188" i="87"/>
  <c r="N189" i="87"/>
  <c r="N279" i="87" s="1"/>
  <c r="BG651" i="88"/>
  <c r="K195" i="87"/>
  <c r="K198" i="87" s="1"/>
  <c r="L232" i="87"/>
  <c r="M231" i="87"/>
  <c r="K240" i="87"/>
  <c r="K277" i="87"/>
  <c r="J243" i="87"/>
  <c r="H123" i="90"/>
  <c r="H124" i="90" s="1"/>
  <c r="H125" i="90" s="1"/>
  <c r="S83" i="89"/>
  <c r="BL386" i="89" s="1"/>
  <c r="X678" i="89"/>
  <c r="Y664" i="89"/>
  <c r="X685" i="89"/>
  <c r="X673" i="89"/>
  <c r="S55" i="89"/>
  <c r="BL358" i="89" s="1"/>
  <c r="S107" i="89"/>
  <c r="BL410" i="89" s="1"/>
  <c r="S95" i="89"/>
  <c r="BL398" i="89" s="1"/>
  <c r="S113" i="89"/>
  <c r="BL416" i="89" s="1"/>
  <c r="S71" i="89"/>
  <c r="BL374" i="89" s="1"/>
  <c r="S65" i="89"/>
  <c r="BL368" i="89" s="1"/>
  <c r="N235" i="87"/>
  <c r="M2" i="87"/>
  <c r="F123" i="87"/>
  <c r="Q55" i="88"/>
  <c r="S131" i="89"/>
  <c r="BL434" i="89" s="1"/>
  <c r="S127" i="89"/>
  <c r="BL430" i="89" s="1"/>
  <c r="S51" i="89"/>
  <c r="BL354" i="89" s="1"/>
  <c r="Y678" i="89"/>
  <c r="S106" i="89"/>
  <c r="BL409" i="89" s="1"/>
  <c r="S114" i="89"/>
  <c r="BL417" i="89" s="1"/>
  <c r="S96" i="89"/>
  <c r="BL399" i="89" s="1"/>
  <c r="Q139" i="88"/>
  <c r="S124" i="89"/>
  <c r="BL427" i="89" s="1"/>
  <c r="S98" i="89"/>
  <c r="BL401" i="89" s="1"/>
  <c r="S68" i="89"/>
  <c r="BL371" i="89" s="1"/>
  <c r="S58" i="89"/>
  <c r="BL361" i="89" s="1"/>
  <c r="S104" i="89"/>
  <c r="BL407" i="89" s="1"/>
  <c r="S110" i="89"/>
  <c r="BL413" i="89" s="1"/>
  <c r="S152" i="89"/>
  <c r="BL455" i="89" s="1"/>
  <c r="Q127" i="88"/>
  <c r="Q99" i="88"/>
  <c r="BJ402" i="88" s="1"/>
  <c r="Q115" i="88"/>
  <c r="BJ418" i="88" s="1"/>
  <c r="Q67" i="88"/>
  <c r="BJ370" i="88" s="1"/>
  <c r="Q75" i="88"/>
  <c r="BJ378" i="88" s="1"/>
  <c r="BJ1042" i="88" s="1"/>
  <c r="Q83" i="88"/>
  <c r="BJ386" i="88" s="1"/>
  <c r="Q57" i="88"/>
  <c r="BJ360" i="88" s="1"/>
  <c r="S60" i="89"/>
  <c r="BL363" i="89" s="1"/>
  <c r="BH1012" i="88"/>
  <c r="BH695" i="88"/>
  <c r="BH649" i="88"/>
  <c r="Q97" i="88"/>
  <c r="BJ400" i="88" s="1"/>
  <c r="Q89" i="88"/>
  <c r="BJ392" i="88" s="1"/>
  <c r="Q59" i="88"/>
  <c r="BJ362" i="88" s="1"/>
  <c r="S122" i="89"/>
  <c r="BL425" i="89" s="1"/>
  <c r="Q61" i="88"/>
  <c r="BJ364" i="88" s="1"/>
  <c r="Q119" i="88"/>
  <c r="BJ422" i="88" s="1"/>
  <c r="BG996" i="88"/>
  <c r="Q51" i="88"/>
  <c r="BJ354" i="88" s="1"/>
  <c r="BJ1018" i="88" s="1"/>
  <c r="Q117" i="88"/>
  <c r="BJ420" i="88" s="1"/>
  <c r="Q85" i="88"/>
  <c r="BJ388" i="88" s="1"/>
  <c r="Q111" i="88"/>
  <c r="BJ414" i="88" s="1"/>
  <c r="Q63" i="88"/>
  <c r="BJ366" i="88" s="1"/>
  <c r="N237" i="87"/>
  <c r="S93" i="89"/>
  <c r="BL396" i="89" s="1"/>
  <c r="Q123" i="88"/>
  <c r="BJ426" i="88" s="1"/>
  <c r="Q79" i="88"/>
  <c r="BJ382" i="88" s="1"/>
  <c r="Q93" i="88"/>
  <c r="BJ396" i="88" s="1"/>
  <c r="Q53" i="88"/>
  <c r="BJ356" i="88" s="1"/>
  <c r="Y683" i="89"/>
  <c r="S141" i="89"/>
  <c r="BL444" i="89" s="1"/>
  <c r="Q129" i="88"/>
  <c r="BJ432" i="88" s="1"/>
  <c r="S102" i="89"/>
  <c r="BL405" i="89" s="1"/>
  <c r="Q125" i="88"/>
  <c r="BJ428" i="88" s="1"/>
  <c r="BG1313" i="88"/>
  <c r="Q131" i="88"/>
  <c r="BJ434" i="88" s="1"/>
  <c r="Q103" i="88"/>
  <c r="BJ406" i="88" s="1"/>
  <c r="Q121" i="88"/>
  <c r="BJ424" i="88" s="1"/>
  <c r="Q65" i="88"/>
  <c r="BJ368" i="88" s="1"/>
  <c r="S142" i="89"/>
  <c r="BL445" i="89" s="1"/>
  <c r="S76" i="89"/>
  <c r="BL379" i="89" s="1"/>
  <c r="S66" i="89"/>
  <c r="BL369" i="89" s="1"/>
  <c r="S148" i="89"/>
  <c r="BL451" i="89" s="1"/>
  <c r="S90" i="89"/>
  <c r="BL393" i="89" s="1"/>
  <c r="S70" i="89"/>
  <c r="BL373" i="89" s="1"/>
  <c r="S88" i="89"/>
  <c r="BL391" i="89" s="1"/>
  <c r="S82" i="89"/>
  <c r="BL385" i="89" s="1"/>
  <c r="BJ1016" i="89"/>
  <c r="BJ699" i="89"/>
  <c r="BJ653" i="89"/>
  <c r="S140" i="89"/>
  <c r="BL443" i="89" s="1"/>
  <c r="S136" i="89"/>
  <c r="BL439" i="89" s="1"/>
  <c r="S128" i="89"/>
  <c r="BL431" i="89" s="1"/>
  <c r="S52" i="89"/>
  <c r="BL355" i="89" s="1"/>
  <c r="S64" i="89"/>
  <c r="BL367" i="89" s="1"/>
  <c r="S92" i="89"/>
  <c r="BL395" i="89" s="1"/>
  <c r="BI1000" i="89"/>
  <c r="BI999" i="89" s="1"/>
  <c r="S78" i="89"/>
  <c r="BL381" i="89" s="1"/>
  <c r="S146" i="89"/>
  <c r="BL449" i="89" s="1"/>
  <c r="S116" i="89"/>
  <c r="BL419" i="89" s="1"/>
  <c r="S134" i="89"/>
  <c r="BL437" i="89" s="1"/>
  <c r="BI1317" i="89"/>
  <c r="BI1319" i="89" s="1"/>
  <c r="BI1320" i="89" s="1"/>
  <c r="E125" i="87"/>
  <c r="E124" i="87"/>
  <c r="E104" i="87"/>
  <c r="D105" i="87"/>
  <c r="F103" i="87"/>
  <c r="BJ1033" i="88" l="1"/>
  <c r="BJ1083" i="88"/>
  <c r="BL765" i="89"/>
  <c r="BL1064" i="89"/>
  <c r="BI658" i="89"/>
  <c r="BI659" i="89" s="1"/>
  <c r="BL1016" i="89"/>
  <c r="BH1003" i="89"/>
  <c r="BJ1031" i="88"/>
  <c r="BF1003" i="88"/>
  <c r="BF1004" i="88" s="1"/>
  <c r="BF999" i="88"/>
  <c r="BF1316" i="88"/>
  <c r="BJ695" i="88"/>
  <c r="BL731" i="89"/>
  <c r="BL707" i="89"/>
  <c r="BL1104" i="89"/>
  <c r="BL742" i="89"/>
  <c r="BL1059" i="89"/>
  <c r="BL725" i="89"/>
  <c r="BL1042" i="89"/>
  <c r="BL753" i="89"/>
  <c r="BL1070" i="89"/>
  <c r="BL762" i="89"/>
  <c r="BL1079" i="89"/>
  <c r="BL767" i="89"/>
  <c r="BL1084" i="89"/>
  <c r="BL771" i="89"/>
  <c r="BL1088" i="89"/>
  <c r="BL778" i="89"/>
  <c r="BL1095" i="89"/>
  <c r="BL785" i="89"/>
  <c r="BL1102" i="89"/>
  <c r="BK1070" i="89"/>
  <c r="BK753" i="89"/>
  <c r="BK1079" i="89"/>
  <c r="BK762" i="89"/>
  <c r="BL796" i="89"/>
  <c r="BL1113" i="89"/>
  <c r="BL790" i="89"/>
  <c r="BL1107" i="89"/>
  <c r="BL791" i="89"/>
  <c r="BL1108" i="89"/>
  <c r="BL780" i="89"/>
  <c r="BL1097" i="89"/>
  <c r="BL704" i="89"/>
  <c r="BL1021" i="89"/>
  <c r="BK768" i="89"/>
  <c r="BK1085" i="89"/>
  <c r="BL712" i="89"/>
  <c r="BL1029" i="89"/>
  <c r="BL728" i="89"/>
  <c r="BL1045" i="89"/>
  <c r="BL702" i="89"/>
  <c r="BL1019" i="89"/>
  <c r="BL738" i="89"/>
  <c r="BL1055" i="89"/>
  <c r="BL716" i="89"/>
  <c r="BL1033" i="89"/>
  <c r="BL754" i="89"/>
  <c r="BL1071" i="89"/>
  <c r="BL774" i="89"/>
  <c r="BL1091" i="89"/>
  <c r="BL756" i="89"/>
  <c r="BL1073" i="89"/>
  <c r="BL781" i="89"/>
  <c r="BL1098" i="89"/>
  <c r="BL763" i="89"/>
  <c r="BL1080" i="89"/>
  <c r="BL733" i="89"/>
  <c r="BL1050" i="89"/>
  <c r="BL783" i="89"/>
  <c r="BL1100" i="89"/>
  <c r="BL724" i="89"/>
  <c r="BL1041" i="89"/>
  <c r="BL713" i="89"/>
  <c r="BL1030" i="89"/>
  <c r="BL741" i="89"/>
  <c r="BL1058" i="89"/>
  <c r="BK797" i="89"/>
  <c r="BK1114" i="89"/>
  <c r="BK782" i="89"/>
  <c r="BK1099" i="89"/>
  <c r="BK751" i="89"/>
  <c r="BK1068" i="89"/>
  <c r="BK722" i="89"/>
  <c r="BK1039" i="89"/>
  <c r="BK739" i="89"/>
  <c r="BK1056" i="89"/>
  <c r="BL749" i="89"/>
  <c r="BL1066" i="89"/>
  <c r="BL711" i="89"/>
  <c r="BL1028" i="89"/>
  <c r="BL736" i="89"/>
  <c r="BL1053" i="89"/>
  <c r="BL775" i="89"/>
  <c r="BL1092" i="89"/>
  <c r="BL759" i="89"/>
  <c r="BL1076" i="89"/>
  <c r="BK801" i="89"/>
  <c r="BK1118" i="89"/>
  <c r="BK758" i="89"/>
  <c r="BK1075" i="89"/>
  <c r="BK729" i="89"/>
  <c r="BK1046" i="89"/>
  <c r="BK719" i="89"/>
  <c r="BK1036" i="89"/>
  <c r="BL714" i="89"/>
  <c r="BL1031" i="89"/>
  <c r="BL798" i="89"/>
  <c r="BL1115" i="89"/>
  <c r="BL703" i="89"/>
  <c r="BL1020" i="89"/>
  <c r="BL794" i="89"/>
  <c r="BL1111" i="89"/>
  <c r="BL799" i="89"/>
  <c r="BL1116" i="89"/>
  <c r="BL734" i="89"/>
  <c r="BL1051" i="89"/>
  <c r="BL773" i="89"/>
  <c r="BL1090" i="89"/>
  <c r="BK779" i="89"/>
  <c r="BK1096" i="89"/>
  <c r="BK749" i="89"/>
  <c r="BK1066" i="89"/>
  <c r="BK711" i="89"/>
  <c r="BK1028" i="89"/>
  <c r="BK736" i="89"/>
  <c r="BK1053" i="89"/>
  <c r="BK775" i="89"/>
  <c r="BK1092" i="89"/>
  <c r="BK759" i="89"/>
  <c r="BK1076" i="89"/>
  <c r="BL770" i="89"/>
  <c r="BL1087" i="89"/>
  <c r="BL706" i="89"/>
  <c r="BL1023" i="89"/>
  <c r="BL737" i="89"/>
  <c r="BL1054" i="89"/>
  <c r="BL720" i="89"/>
  <c r="BL1037" i="89"/>
  <c r="BL726" i="89"/>
  <c r="BL1043" i="89"/>
  <c r="BL752" i="89"/>
  <c r="BL1069" i="89"/>
  <c r="BL743" i="89"/>
  <c r="BL1060" i="89"/>
  <c r="BL708" i="89"/>
  <c r="BL1025" i="89"/>
  <c r="BL745" i="89"/>
  <c r="BL1062" i="89"/>
  <c r="BL761" i="89"/>
  <c r="BL1078" i="89"/>
  <c r="BL755" i="89"/>
  <c r="BL1072" i="89"/>
  <c r="BL795" i="89"/>
  <c r="BL1112" i="89"/>
  <c r="BL858" i="89"/>
  <c r="BL1175" i="89"/>
  <c r="BL797" i="89"/>
  <c r="BL1114" i="89"/>
  <c r="BL782" i="89"/>
  <c r="BL1099" i="89"/>
  <c r="BL751" i="89"/>
  <c r="BL1068" i="89"/>
  <c r="BK727" i="89"/>
  <c r="BK1044" i="89"/>
  <c r="BK709" i="89"/>
  <c r="BK1026" i="89"/>
  <c r="BK730" i="89"/>
  <c r="BK1047" i="89"/>
  <c r="BK800" i="89"/>
  <c r="BK1117" i="89"/>
  <c r="BK744" i="89"/>
  <c r="BK1061" i="89"/>
  <c r="BK776" i="89"/>
  <c r="BK1093" i="89"/>
  <c r="BK788" i="89"/>
  <c r="BK1105" i="89"/>
  <c r="BK750" i="89"/>
  <c r="BK1067" i="89"/>
  <c r="BK789" i="89"/>
  <c r="BK1106" i="89"/>
  <c r="BL801" i="89"/>
  <c r="BL1118" i="89"/>
  <c r="BL729" i="89"/>
  <c r="BL1046" i="89"/>
  <c r="BL719" i="89"/>
  <c r="BL1036" i="89"/>
  <c r="BL732" i="89"/>
  <c r="BL1049" i="89"/>
  <c r="BL772" i="89"/>
  <c r="BL1089" i="89"/>
  <c r="BL760" i="89"/>
  <c r="BL1077" i="89"/>
  <c r="BL748" i="89"/>
  <c r="BL1065" i="89"/>
  <c r="BL764" i="89"/>
  <c r="BL1081" i="89"/>
  <c r="BL777" i="89"/>
  <c r="BL1094" i="89"/>
  <c r="BL721" i="89"/>
  <c r="BL1038" i="89"/>
  <c r="BL705" i="89"/>
  <c r="BL1022" i="89"/>
  <c r="BL769" i="89"/>
  <c r="BL1086" i="89"/>
  <c r="BK799" i="89"/>
  <c r="BK1116" i="89"/>
  <c r="BL784" i="89"/>
  <c r="BL1101" i="89"/>
  <c r="BL766" i="89"/>
  <c r="BL1083" i="89"/>
  <c r="BL786" i="89"/>
  <c r="BL1103" i="89"/>
  <c r="BL740" i="89"/>
  <c r="BL1057" i="89"/>
  <c r="BL792" i="89"/>
  <c r="BL1109" i="89"/>
  <c r="BL710" i="89"/>
  <c r="BL1027" i="89"/>
  <c r="BL802" i="89"/>
  <c r="BL1119" i="89"/>
  <c r="BL718" i="89"/>
  <c r="BL1035" i="89"/>
  <c r="BL746" i="89"/>
  <c r="BL1063" i="89"/>
  <c r="BL701" i="89"/>
  <c r="BL1018" i="89"/>
  <c r="BL715" i="89"/>
  <c r="BL1032" i="89"/>
  <c r="BL757" i="89"/>
  <c r="BL1074" i="89"/>
  <c r="BL735" i="89"/>
  <c r="BL1052" i="89"/>
  <c r="BL722" i="89"/>
  <c r="BL1039" i="89"/>
  <c r="BK780" i="89"/>
  <c r="BK1097" i="89"/>
  <c r="BK734" i="89"/>
  <c r="BK1051" i="89"/>
  <c r="BK704" i="89"/>
  <c r="BK1021" i="89"/>
  <c r="BK773" i="89"/>
  <c r="BK1090" i="89"/>
  <c r="BL727" i="89"/>
  <c r="BL1044" i="89"/>
  <c r="BL709" i="89"/>
  <c r="BL1026" i="89"/>
  <c r="BL730" i="89"/>
  <c r="BL1047" i="89"/>
  <c r="BL800" i="89"/>
  <c r="BL1117" i="89"/>
  <c r="BL744" i="89"/>
  <c r="BL1061" i="89"/>
  <c r="BL776" i="89"/>
  <c r="BL1093" i="89"/>
  <c r="BL788" i="89"/>
  <c r="BL1105" i="89"/>
  <c r="BL750" i="89"/>
  <c r="BL1067" i="89"/>
  <c r="BL789" i="89"/>
  <c r="BL1106" i="89"/>
  <c r="BK770" i="89"/>
  <c r="BK1087" i="89"/>
  <c r="BK712" i="89"/>
  <c r="BK1029" i="89"/>
  <c r="BK706" i="89"/>
  <c r="BK1023" i="89"/>
  <c r="BK737" i="89"/>
  <c r="BK1054" i="89"/>
  <c r="BL723" i="89"/>
  <c r="BL1040" i="89"/>
  <c r="BL793" i="89"/>
  <c r="BL1110" i="89"/>
  <c r="BL768" i="89"/>
  <c r="BL868" i="89"/>
  <c r="BL758" i="89"/>
  <c r="BL432" i="89"/>
  <c r="BL392" i="89"/>
  <c r="Y674" i="89"/>
  <c r="BJ745" i="88"/>
  <c r="BJ1062" i="88"/>
  <c r="BJ779" i="88"/>
  <c r="BJ1096" i="88"/>
  <c r="BJ747" i="88"/>
  <c r="BJ1064" i="88"/>
  <c r="BJ770" i="88"/>
  <c r="BJ1087" i="88"/>
  <c r="BI762" i="88"/>
  <c r="BI1079" i="88"/>
  <c r="BJ758" i="88"/>
  <c r="BJ1075" i="88"/>
  <c r="BJ750" i="88"/>
  <c r="BJ1067" i="88"/>
  <c r="BJ715" i="88"/>
  <c r="BJ1032" i="88"/>
  <c r="BJ781" i="88"/>
  <c r="BJ1098" i="88"/>
  <c r="BJ775" i="88"/>
  <c r="BJ1092" i="88"/>
  <c r="BJ703" i="88"/>
  <c r="BJ1020" i="88"/>
  <c r="BJ729" i="88"/>
  <c r="BJ1046" i="88"/>
  <c r="BJ735" i="88"/>
  <c r="BJ1052" i="88"/>
  <c r="BJ734" i="88"/>
  <c r="BJ1051" i="88"/>
  <c r="BJ744" i="88"/>
  <c r="BJ1061" i="88"/>
  <c r="BJ774" i="88"/>
  <c r="BJ1091" i="88"/>
  <c r="BJ754" i="88"/>
  <c r="BJ1071" i="88"/>
  <c r="BJ949" i="88"/>
  <c r="BJ1266" i="88"/>
  <c r="BJ790" i="88"/>
  <c r="BJ1107" i="88"/>
  <c r="BJ797" i="88"/>
  <c r="BJ1114" i="88"/>
  <c r="BJ697" i="88"/>
  <c r="BJ1014" i="88"/>
  <c r="BJ743" i="88"/>
  <c r="BJ1060" i="88"/>
  <c r="BJ711" i="88"/>
  <c r="BJ1028" i="88"/>
  <c r="BI786" i="88"/>
  <c r="BI1103" i="88"/>
  <c r="BJ718" i="88"/>
  <c r="BJ1035" i="88"/>
  <c r="BJ771" i="88"/>
  <c r="BJ1088" i="88"/>
  <c r="BJ773" i="88"/>
  <c r="BJ1090" i="88"/>
  <c r="BJ767" i="88"/>
  <c r="BJ1084" i="88"/>
  <c r="BJ709" i="88"/>
  <c r="BJ1026" i="88"/>
  <c r="BJ717" i="88"/>
  <c r="BJ1034" i="88"/>
  <c r="BJ749" i="88"/>
  <c r="BJ1066" i="88"/>
  <c r="BJ763" i="88"/>
  <c r="BJ1080" i="88"/>
  <c r="BJ906" i="88"/>
  <c r="BJ1223" i="88"/>
  <c r="BJ762" i="88"/>
  <c r="BJ1079" i="88"/>
  <c r="BJ795" i="88"/>
  <c r="BJ1112" i="88"/>
  <c r="BJ730" i="88"/>
  <c r="BJ1047" i="88"/>
  <c r="BJ737" i="88"/>
  <c r="BJ1054" i="88"/>
  <c r="BJ698" i="88"/>
  <c r="BJ1015" i="88"/>
  <c r="BJ761" i="88"/>
  <c r="BJ1078" i="88"/>
  <c r="BJ707" i="88"/>
  <c r="BJ1024" i="88"/>
  <c r="BJ794" i="88"/>
  <c r="BJ1111" i="88"/>
  <c r="BJ782" i="88"/>
  <c r="BJ1099" i="88"/>
  <c r="BJ793" i="88"/>
  <c r="BJ1110" i="88"/>
  <c r="BJ791" i="88"/>
  <c r="BJ1108" i="88"/>
  <c r="BJ753" i="88"/>
  <c r="BJ1070" i="88"/>
  <c r="BJ713" i="88"/>
  <c r="BJ1030" i="88"/>
  <c r="BJ769" i="88"/>
  <c r="BJ1086" i="88"/>
  <c r="BJ739" i="88"/>
  <c r="BJ1056" i="88"/>
  <c r="BJ733" i="88"/>
  <c r="BJ1050" i="88"/>
  <c r="BJ765" i="88"/>
  <c r="BJ1082" i="88"/>
  <c r="BJ726" i="88"/>
  <c r="BJ1043" i="88"/>
  <c r="BJ784" i="88"/>
  <c r="BJ1101" i="88"/>
  <c r="BJ706" i="88"/>
  <c r="BJ1023" i="88"/>
  <c r="BI734" i="88"/>
  <c r="BI1051" i="88"/>
  <c r="BI726" i="88"/>
  <c r="BI1043" i="88"/>
  <c r="BJ722" i="88"/>
  <c r="BJ1039" i="88"/>
  <c r="BI749" i="88"/>
  <c r="BI1066" i="88"/>
  <c r="BJ699" i="88"/>
  <c r="BJ1016" i="88"/>
  <c r="BJ785" i="88"/>
  <c r="BJ1102" i="88"/>
  <c r="BJ731" i="88"/>
  <c r="BJ902" i="88"/>
  <c r="BJ725" i="88"/>
  <c r="BJ898" i="88"/>
  <c r="BJ701" i="88"/>
  <c r="BJ721" i="88"/>
  <c r="BJ738" i="88"/>
  <c r="BJ358" i="88"/>
  <c r="BJ430" i="88"/>
  <c r="BJ439" i="88"/>
  <c r="BJ442" i="88"/>
  <c r="Y687" i="89"/>
  <c r="N192" i="87"/>
  <c r="N282" i="87" s="1"/>
  <c r="Y686" i="89"/>
  <c r="N190" i="87"/>
  <c r="N280" i="87" s="1"/>
  <c r="BH1322" i="89"/>
  <c r="BI1316" i="89"/>
  <c r="H15" i="66"/>
  <c r="BH1007" i="89"/>
  <c r="BH1008" i="89" s="1"/>
  <c r="BI1002" i="89"/>
  <c r="BJ652" i="89"/>
  <c r="BJ655" i="89"/>
  <c r="BI660" i="89"/>
  <c r="BF1320" i="88"/>
  <c r="BF1321" i="88" s="1"/>
  <c r="BG1315" i="88"/>
  <c r="BG1316" i="88" s="1"/>
  <c r="BG1312" i="88"/>
  <c r="BG998" i="88"/>
  <c r="N188" i="87"/>
  <c r="I15" i="67"/>
  <c r="M278" i="87"/>
  <c r="K285" i="87"/>
  <c r="K288" i="87" s="1"/>
  <c r="BJ1012" i="88"/>
  <c r="BI695" i="88"/>
  <c r="BI1012" i="88"/>
  <c r="BG656" i="88"/>
  <c r="M232" i="87"/>
  <c r="Y685" i="89"/>
  <c r="N233" i="87"/>
  <c r="L277" i="87"/>
  <c r="BL699" i="89"/>
  <c r="BK1016" i="89"/>
  <c r="BK699" i="89"/>
  <c r="M187" i="87"/>
  <c r="N186" i="87"/>
  <c r="BH651" i="88"/>
  <c r="L195" i="87"/>
  <c r="L198" i="87" s="1"/>
  <c r="N191" i="87"/>
  <c r="K243" i="87"/>
  <c r="Y670" i="89"/>
  <c r="N236" i="87"/>
  <c r="M276" i="87"/>
  <c r="L240" i="87"/>
  <c r="N231" i="87"/>
  <c r="H126" i="90"/>
  <c r="H127" i="90" s="1"/>
  <c r="H135" i="90" s="1"/>
  <c r="F154" i="87"/>
  <c r="H39" i="66"/>
  <c r="Y675" i="89"/>
  <c r="Y679" i="89"/>
  <c r="Y677" i="89"/>
  <c r="Y673" i="89"/>
  <c r="N2" i="87"/>
  <c r="BH996" i="88"/>
  <c r="BI649" i="88"/>
  <c r="BH1313" i="88"/>
  <c r="BJ1317" i="89"/>
  <c r="BJ1319" i="89" s="1"/>
  <c r="BK653" i="89"/>
  <c r="BJ1000" i="89"/>
  <c r="BJ999" i="89" s="1"/>
  <c r="F124" i="87"/>
  <c r="E130" i="87"/>
  <c r="F134" i="87"/>
  <c r="E126" i="87"/>
  <c r="F125" i="87"/>
  <c r="D106" i="87"/>
  <c r="E105" i="87"/>
  <c r="F104" i="87"/>
  <c r="BJ1320" i="89" l="1"/>
  <c r="K15" i="67"/>
  <c r="I15" i="66"/>
  <c r="BI1003" i="89"/>
  <c r="BI661" i="89"/>
  <c r="BG1003" i="88"/>
  <c r="BG1004" i="88" s="1"/>
  <c r="BG999" i="88"/>
  <c r="BG657" i="88"/>
  <c r="E129" i="87"/>
  <c r="F129" i="87" s="1"/>
  <c r="N278" i="87"/>
  <c r="BL739" i="89"/>
  <c r="BL1056" i="89"/>
  <c r="BL779" i="89"/>
  <c r="BL1096" i="89"/>
  <c r="BJ786" i="88"/>
  <c r="BJ1103" i="88"/>
  <c r="BJ777" i="88"/>
  <c r="BJ1094" i="88"/>
  <c r="BJ705" i="88"/>
  <c r="BJ1022" i="88"/>
  <c r="BJ789" i="88"/>
  <c r="BJ1106" i="88"/>
  <c r="BG1320" i="88"/>
  <c r="BG1321" i="88" s="1"/>
  <c r="BG1318" i="88"/>
  <c r="BG1319" i="88" s="1"/>
  <c r="AA73" i="34" s="1"/>
  <c r="BI1324" i="89"/>
  <c r="BI1322" i="89"/>
  <c r="BI1323" i="89" s="1"/>
  <c r="AA73" i="91" s="1"/>
  <c r="BH1323" i="89"/>
  <c r="Z73" i="91" s="1"/>
  <c r="BJ1316" i="89"/>
  <c r="BJ658" i="89"/>
  <c r="BJ659" i="89" s="1"/>
  <c r="BI1007" i="89"/>
  <c r="BI1008" i="89" s="1"/>
  <c r="BI1005" i="89"/>
  <c r="BI1006" i="89" s="1"/>
  <c r="AA72" i="91" s="1"/>
  <c r="BH656" i="88"/>
  <c r="BH657" i="88" s="1"/>
  <c r="BJ1002" i="89"/>
  <c r="BK652" i="89"/>
  <c r="BK655" i="89"/>
  <c r="BH1315" i="88"/>
  <c r="BH1316" i="88" s="1"/>
  <c r="BH1312" i="88"/>
  <c r="BH998" i="88"/>
  <c r="BJ660" i="89"/>
  <c r="M277" i="87"/>
  <c r="E150" i="87"/>
  <c r="F150" i="87" s="1"/>
  <c r="E147" i="87"/>
  <c r="F147" i="87" s="1"/>
  <c r="F151" i="87"/>
  <c r="E148" i="87"/>
  <c r="F148" i="87" s="1"/>
  <c r="E149" i="87"/>
  <c r="F149" i="87" s="1"/>
  <c r="F153" i="87"/>
  <c r="F152" i="87"/>
  <c r="N276" i="87"/>
  <c r="L285" i="87"/>
  <c r="L288" i="87" s="1"/>
  <c r="N187" i="87"/>
  <c r="BI651" i="88"/>
  <c r="M195" i="87"/>
  <c r="M198" i="87" s="1"/>
  <c r="N281" i="87"/>
  <c r="N232" i="87"/>
  <c r="L243" i="87"/>
  <c r="M240" i="87"/>
  <c r="BI996" i="88"/>
  <c r="BI1313" i="88"/>
  <c r="BJ649" i="88"/>
  <c r="BK1000" i="89"/>
  <c r="BK999" i="89" s="1"/>
  <c r="BL653" i="89"/>
  <c r="BK1317" i="89"/>
  <c r="BK1319" i="89" s="1"/>
  <c r="BK1320" i="89" s="1"/>
  <c r="E128" i="87"/>
  <c r="F126" i="87"/>
  <c r="F132" i="87"/>
  <c r="F131" i="87"/>
  <c r="F130" i="87"/>
  <c r="E127" i="87"/>
  <c r="F105" i="87"/>
  <c r="E106" i="87"/>
  <c r="D107" i="87"/>
  <c r="K15" i="66" l="1"/>
  <c r="O65" i="85" s="1"/>
  <c r="BJ1003" i="89"/>
  <c r="BI1325" i="89"/>
  <c r="BJ661" i="89"/>
  <c r="BH1003" i="88"/>
  <c r="BH1004" i="88" s="1"/>
  <c r="BH999" i="88"/>
  <c r="BJ1322" i="89"/>
  <c r="BJ1323" i="89" s="1"/>
  <c r="AB73" i="91" s="1"/>
  <c r="K36" i="67" s="1"/>
  <c r="BI656" i="88"/>
  <c r="I36" i="67"/>
  <c r="AA85" i="91"/>
  <c r="I16" i="67" s="1"/>
  <c r="BJ1324" i="89"/>
  <c r="BJ1325" i="89" s="1"/>
  <c r="AA74" i="91"/>
  <c r="I36" i="66"/>
  <c r="J36" i="66" s="1"/>
  <c r="BH1318" i="88"/>
  <c r="BH1319" i="88" s="1"/>
  <c r="AB73" i="34" s="1"/>
  <c r="BH1320" i="88"/>
  <c r="BH1321" i="88" s="1"/>
  <c r="Z74" i="91"/>
  <c r="H36" i="67"/>
  <c r="Z85" i="91"/>
  <c r="H16" i="67" s="1"/>
  <c r="BK1316" i="89"/>
  <c r="BJ1005" i="89"/>
  <c r="BJ1006" i="89" s="1"/>
  <c r="AB72" i="91" s="1"/>
  <c r="BJ1007" i="89"/>
  <c r="BJ1008" i="89" s="1"/>
  <c r="BK1002" i="89"/>
  <c r="BK658" i="89"/>
  <c r="BK659" i="89" s="1"/>
  <c r="BL652" i="89"/>
  <c r="BL655" i="89"/>
  <c r="BI1315" i="88"/>
  <c r="BI1316" i="88" s="1"/>
  <c r="BI1312" i="88"/>
  <c r="BI998" i="88"/>
  <c r="BI999" i="88" s="1"/>
  <c r="BK660" i="89"/>
  <c r="L15" i="67"/>
  <c r="N277" i="87"/>
  <c r="BJ651" i="88"/>
  <c r="N195" i="87"/>
  <c r="N198" i="87" s="1"/>
  <c r="N240" i="87"/>
  <c r="M285" i="87"/>
  <c r="M288" i="87" s="1"/>
  <c r="M243" i="87"/>
  <c r="BI1003" i="88"/>
  <c r="BJ996" i="88"/>
  <c r="BJ1313" i="88"/>
  <c r="BL1000" i="89"/>
  <c r="BL999" i="89" s="1"/>
  <c r="BL1317" i="89"/>
  <c r="BL1319" i="89" s="1"/>
  <c r="BL1320" i="89" s="1"/>
  <c r="F128" i="87"/>
  <c r="F133" i="87"/>
  <c r="F127" i="87"/>
  <c r="F106" i="87"/>
  <c r="D108" i="87"/>
  <c r="E107" i="87"/>
  <c r="L15" i="66" l="1"/>
  <c r="P65" i="85" s="1"/>
  <c r="BK1003" i="89"/>
  <c r="BK661" i="89"/>
  <c r="BI657" i="88"/>
  <c r="BI1004" i="88"/>
  <c r="BK1322" i="89"/>
  <c r="BK1323" i="89" s="1"/>
  <c r="AC73" i="91" s="1"/>
  <c r="AC85" i="91" s="1"/>
  <c r="L16" i="67" s="1"/>
  <c r="AB85" i="91"/>
  <c r="K16" i="67" s="1"/>
  <c r="BJ656" i="88"/>
  <c r="BJ657" i="88" s="1"/>
  <c r="AB74" i="91"/>
  <c r="K36" i="66"/>
  <c r="BI1318" i="88"/>
  <c r="BI1319" i="88" s="1"/>
  <c r="AC73" i="34" s="1"/>
  <c r="BI1320" i="88"/>
  <c r="BI1321" i="88" s="1"/>
  <c r="BK1324" i="89"/>
  <c r="BL1316" i="89"/>
  <c r="BK1005" i="89"/>
  <c r="BK1006" i="89" s="1"/>
  <c r="AC72" i="91" s="1"/>
  <c r="L36" i="66" s="1"/>
  <c r="BK1007" i="89"/>
  <c r="BK1008" i="89" s="1"/>
  <c r="BL1002" i="89"/>
  <c r="BL658" i="89"/>
  <c r="BL659" i="89" s="1"/>
  <c r="BJ1315" i="88"/>
  <c r="BJ1316" i="88" s="1"/>
  <c r="BJ1312" i="88"/>
  <c r="BJ998" i="88"/>
  <c r="BL660" i="89"/>
  <c r="BL661" i="89" s="1"/>
  <c r="M15" i="67"/>
  <c r="N243" i="87"/>
  <c r="AB243" i="87" s="1"/>
  <c r="N285" i="87"/>
  <c r="N288" i="87" s="1"/>
  <c r="E108" i="87"/>
  <c r="D109" i="87"/>
  <c r="F107" i="87"/>
  <c r="M15" i="66" l="1"/>
  <c r="Q65" i="85" s="1"/>
  <c r="BL1003" i="89"/>
  <c r="BK1325" i="89"/>
  <c r="BJ1003" i="88"/>
  <c r="BJ1004" i="88" s="1"/>
  <c r="BJ999" i="88"/>
  <c r="BL1322" i="89"/>
  <c r="BL1323" i="89" s="1"/>
  <c r="AD73" i="91" s="1"/>
  <c r="M36" i="67" s="1"/>
  <c r="L36" i="67"/>
  <c r="BL1324" i="89"/>
  <c r="BL1325" i="89" s="1"/>
  <c r="BJ1320" i="88"/>
  <c r="BJ1321" i="88" s="1"/>
  <c r="BJ1318" i="88"/>
  <c r="BJ1319" i="88" s="1"/>
  <c r="AD73" i="34" s="1"/>
  <c r="AC74" i="91"/>
  <c r="BL1005" i="89"/>
  <c r="BL1006" i="89" s="1"/>
  <c r="AD72" i="91" s="1"/>
  <c r="BL1007" i="89"/>
  <c r="BL1008" i="89" s="1"/>
  <c r="D110" i="87"/>
  <c r="E109" i="87"/>
  <c r="F108" i="87"/>
  <c r="AD74" i="91" l="1"/>
  <c r="AD85" i="91"/>
  <c r="M16" i="67" s="1"/>
  <c r="M36" i="66"/>
  <c r="F109" i="87"/>
  <c r="E110" i="87"/>
  <c r="D111" i="87"/>
  <c r="F110" i="87" l="1"/>
  <c r="E111" i="87"/>
  <c r="D112" i="87"/>
  <c r="F111" i="87" l="1"/>
  <c r="E112" i="87"/>
  <c r="D113" i="87"/>
  <c r="F112" i="87" l="1"/>
  <c r="D114" i="87"/>
  <c r="E114" i="87" s="1"/>
  <c r="F114" i="87" s="1"/>
  <c r="E113" i="87"/>
  <c r="F113" i="87" l="1"/>
  <c r="AA61" i="34" l="1"/>
  <c r="AB61" i="34"/>
  <c r="AC61" i="34"/>
  <c r="AD61" i="34"/>
  <c r="Z61" i="34"/>
  <c r="F25" i="34"/>
  <c r="AD50" i="34"/>
  <c r="AC50" i="34"/>
  <c r="AB50" i="34"/>
  <c r="AA50" i="34"/>
  <c r="Z50" i="34"/>
  <c r="Y50" i="34"/>
  <c r="X50" i="34"/>
  <c r="W50" i="34"/>
  <c r="V50" i="34"/>
  <c r="U50" i="34"/>
  <c r="AD46" i="34"/>
  <c r="AC46" i="34"/>
  <c r="AB46" i="34"/>
  <c r="AA46" i="34"/>
  <c r="Z46" i="34"/>
  <c r="Y46" i="34"/>
  <c r="X46" i="34"/>
  <c r="W46" i="34"/>
  <c r="V46" i="34"/>
  <c r="U46" i="34"/>
  <c r="AD43" i="34"/>
  <c r="AC43" i="34"/>
  <c r="AB43" i="34"/>
  <c r="AA43" i="34"/>
  <c r="Z43" i="34"/>
  <c r="Y43" i="34"/>
  <c r="X43" i="34"/>
  <c r="W43" i="34"/>
  <c r="V43" i="34"/>
  <c r="AD42" i="34"/>
  <c r="AC42" i="34"/>
  <c r="AB42" i="34"/>
  <c r="AA42" i="34"/>
  <c r="Z42" i="34"/>
  <c r="Y42" i="34"/>
  <c r="X42" i="34"/>
  <c r="W42" i="34"/>
  <c r="V42" i="34"/>
  <c r="U43" i="34"/>
  <c r="U42" i="34"/>
  <c r="AD39" i="34"/>
  <c r="AC39" i="34"/>
  <c r="AB39" i="34"/>
  <c r="AA39" i="34"/>
  <c r="Z39" i="34"/>
  <c r="Y39" i="34"/>
  <c r="X39" i="34"/>
  <c r="W39" i="34"/>
  <c r="V39" i="34"/>
  <c r="U39" i="34"/>
  <c r="AD33" i="34"/>
  <c r="AC33" i="34"/>
  <c r="AB33" i="34"/>
  <c r="AA33" i="34"/>
  <c r="Z33" i="34"/>
  <c r="Y33" i="34"/>
  <c r="X33" i="34"/>
  <c r="W33" i="34"/>
  <c r="V33" i="34"/>
  <c r="U33" i="34"/>
  <c r="Y36" i="34" l="1"/>
  <c r="AB36" i="34"/>
  <c r="Z36" i="34"/>
  <c r="U36" i="34"/>
  <c r="AC36" i="34"/>
  <c r="X36" i="34"/>
  <c r="V36" i="34"/>
  <c r="AD36" i="34"/>
  <c r="AA36" i="34"/>
  <c r="W36" i="34"/>
  <c r="K303" i="87"/>
  <c r="L303" i="87"/>
  <c r="M303" i="87"/>
  <c r="J303" i="87"/>
  <c r="N303" i="87"/>
  <c r="W47" i="34"/>
  <c r="AA47" i="34"/>
  <c r="Y47" i="34"/>
  <c r="AC47" i="34"/>
  <c r="V47" i="34"/>
  <c r="Z47" i="34"/>
  <c r="AD47" i="34"/>
  <c r="X47" i="34"/>
  <c r="AB47" i="34"/>
  <c r="M105" i="60" l="1"/>
  <c r="N105" i="60"/>
  <c r="O105" i="60"/>
  <c r="P105" i="60"/>
  <c r="Q105" i="60"/>
  <c r="I26" i="36" l="1"/>
  <c r="I24" i="36"/>
  <c r="I23" i="36"/>
  <c r="I21" i="36"/>
  <c r="I20" i="36"/>
  <c r="I19" i="36"/>
  <c r="F4" i="86" l="1"/>
  <c r="F5" i="85"/>
  <c r="I9" i="85" l="1"/>
  <c r="I8" i="86" s="1"/>
  <c r="J9" i="85"/>
  <c r="J8" i="86" s="1"/>
  <c r="K9" i="85"/>
  <c r="K8" i="86" s="1"/>
  <c r="L9" i="85"/>
  <c r="L8" i="86" s="1"/>
  <c r="M9" i="85"/>
  <c r="N9" i="85"/>
  <c r="O9" i="85"/>
  <c r="N8" i="86" s="1"/>
  <c r="P9" i="85"/>
  <c r="O8" i="86" s="1"/>
  <c r="Q9" i="85"/>
  <c r="P8" i="86" s="1"/>
  <c r="I10" i="85"/>
  <c r="I9" i="86" s="1"/>
  <c r="J10" i="85"/>
  <c r="J9" i="86" s="1"/>
  <c r="K10" i="85"/>
  <c r="K9" i="86" s="1"/>
  <c r="L10" i="85"/>
  <c r="L9" i="86" s="1"/>
  <c r="M10" i="85"/>
  <c r="N10" i="85"/>
  <c r="O10" i="85"/>
  <c r="N9" i="86" s="1"/>
  <c r="P10" i="85"/>
  <c r="O9" i="86" s="1"/>
  <c r="Q10" i="85"/>
  <c r="P9" i="86" s="1"/>
  <c r="H10" i="85"/>
  <c r="H9" i="86" s="1"/>
  <c r="H9" i="85"/>
  <c r="H8" i="86" s="1"/>
  <c r="M9" i="86" l="1"/>
  <c r="M8" i="86"/>
  <c r="E14" i="85"/>
  <c r="I2" i="85"/>
  <c r="J2" i="85" s="1"/>
  <c r="K2" i="85" s="1"/>
  <c r="L2" i="85" s="1"/>
  <c r="M2" i="85" s="1"/>
  <c r="N2" i="85" s="1"/>
  <c r="O2" i="85" s="1"/>
  <c r="P2" i="85" s="1"/>
  <c r="Q2" i="85" s="1"/>
  <c r="C105" i="84"/>
  <c r="C104" i="84"/>
  <c r="C103" i="84"/>
  <c r="C102" i="84"/>
  <c r="C101" i="84"/>
  <c r="C100" i="84"/>
  <c r="F94" i="84"/>
  <c r="E94" i="84"/>
  <c r="D94" i="84"/>
  <c r="C94" i="84"/>
  <c r="F76" i="84"/>
  <c r="E76" i="84"/>
  <c r="D76" i="84"/>
  <c r="C76" i="84"/>
  <c r="F63" i="84"/>
  <c r="E63" i="84"/>
  <c r="D63" i="84"/>
  <c r="F44" i="84"/>
  <c r="E44" i="84"/>
  <c r="D44" i="84"/>
  <c r="C44" i="84"/>
  <c r="C19" i="84"/>
  <c r="C105" i="83"/>
  <c r="C104" i="83"/>
  <c r="C103" i="83"/>
  <c r="C102" i="83"/>
  <c r="C101" i="83"/>
  <c r="C100" i="83"/>
  <c r="F94" i="83"/>
  <c r="E94" i="83"/>
  <c r="D94" i="83"/>
  <c r="C94" i="83"/>
  <c r="F76" i="83"/>
  <c r="E76" i="83"/>
  <c r="D76" i="83"/>
  <c r="C76" i="83"/>
  <c r="F72" i="83"/>
  <c r="E72" i="83"/>
  <c r="D72" i="83"/>
  <c r="C72" i="83"/>
  <c r="F63" i="83"/>
  <c r="E63" i="83"/>
  <c r="D63" i="83"/>
  <c r="F44" i="83"/>
  <c r="E44" i="83"/>
  <c r="D44" i="83"/>
  <c r="C44" i="83"/>
  <c r="C19" i="83"/>
  <c r="F89" i="81"/>
  <c r="E89" i="81"/>
  <c r="D89" i="81"/>
  <c r="C89" i="81"/>
  <c r="F85" i="81"/>
  <c r="E85" i="81"/>
  <c r="D85" i="81"/>
  <c r="C85" i="81"/>
  <c r="F83" i="81"/>
  <c r="E83" i="81"/>
  <c r="D83" i="81"/>
  <c r="C83" i="81"/>
  <c r="C72" i="81"/>
  <c r="F71" i="81"/>
  <c r="E71" i="81"/>
  <c r="D71" i="81"/>
  <c r="C71" i="81"/>
  <c r="M500" i="72" s="1" a="1"/>
  <c r="M502" i="72" s="1"/>
  <c r="S502" i="72" s="1"/>
  <c r="F70" i="81"/>
  <c r="E70" i="81"/>
  <c r="M489" i="72" s="1" a="1"/>
  <c r="M490" i="72" s="1"/>
  <c r="S490" i="72" s="1"/>
  <c r="D70" i="81"/>
  <c r="C70" i="81"/>
  <c r="F69" i="81"/>
  <c r="E69" i="81"/>
  <c r="D69" i="81"/>
  <c r="C69" i="81"/>
  <c r="F59" i="81"/>
  <c r="E59" i="81"/>
  <c r="D59" i="81"/>
  <c r="C59" i="81"/>
  <c r="F45" i="81"/>
  <c r="F46" i="81" s="1"/>
  <c r="E45" i="81"/>
  <c r="E46" i="81" s="1"/>
  <c r="D45" i="81"/>
  <c r="D46" i="81" s="1"/>
  <c r="C45" i="81"/>
  <c r="C46" i="81" s="1"/>
  <c r="F24" i="81"/>
  <c r="F24" i="84" s="1"/>
  <c r="E24" i="81"/>
  <c r="E24" i="84" s="1"/>
  <c r="D24" i="81"/>
  <c r="C24" i="81"/>
  <c r="C24" i="84" s="1"/>
  <c r="F23" i="81"/>
  <c r="E23" i="81"/>
  <c r="D23" i="81"/>
  <c r="D23" i="84" s="1"/>
  <c r="C23" i="81"/>
  <c r="C23" i="84" s="1"/>
  <c r="F89" i="80"/>
  <c r="E89" i="80"/>
  <c r="D89" i="80"/>
  <c r="C89" i="80"/>
  <c r="F85" i="80"/>
  <c r="E85" i="80"/>
  <c r="D85" i="80"/>
  <c r="C85" i="80"/>
  <c r="F83" i="80"/>
  <c r="E83" i="80"/>
  <c r="D83" i="80"/>
  <c r="C83" i="80"/>
  <c r="F71" i="80"/>
  <c r="E71" i="80"/>
  <c r="D71" i="80"/>
  <c r="C71" i="80"/>
  <c r="D500" i="72" s="1" a="1"/>
  <c r="D503" i="72" s="1"/>
  <c r="J503" i="72" s="1"/>
  <c r="F70" i="80"/>
  <c r="E70" i="80"/>
  <c r="D70" i="80"/>
  <c r="C70" i="80"/>
  <c r="F69" i="80"/>
  <c r="E69" i="80"/>
  <c r="D69" i="80"/>
  <c r="C69" i="80"/>
  <c r="F59" i="80"/>
  <c r="E59" i="80"/>
  <c r="D59" i="80"/>
  <c r="C59" i="80"/>
  <c r="F45" i="80"/>
  <c r="F46" i="80" s="1"/>
  <c r="E45" i="80"/>
  <c r="E46" i="80" s="1"/>
  <c r="D45" i="80"/>
  <c r="D46" i="80" s="1"/>
  <c r="C45" i="80"/>
  <c r="F24" i="80"/>
  <c r="F24" i="83" s="1"/>
  <c r="E24" i="80"/>
  <c r="E24" i="83" s="1"/>
  <c r="D24" i="80"/>
  <c r="C24" i="80"/>
  <c r="C24" i="83" s="1"/>
  <c r="F23" i="80"/>
  <c r="F23" i="83" s="1"/>
  <c r="E23" i="80"/>
  <c r="E23" i="83" s="1"/>
  <c r="D23" i="80"/>
  <c r="C23" i="80"/>
  <c r="C23" i="83" s="1"/>
  <c r="F89" i="79"/>
  <c r="E89" i="79"/>
  <c r="D89" i="79"/>
  <c r="C89" i="79"/>
  <c r="F85" i="79"/>
  <c r="E85" i="79"/>
  <c r="D85" i="79"/>
  <c r="C85" i="79"/>
  <c r="F83" i="79"/>
  <c r="E83" i="79"/>
  <c r="D83" i="79"/>
  <c r="C83" i="79"/>
  <c r="C72" i="79"/>
  <c r="C72" i="84" s="1"/>
  <c r="F71" i="79"/>
  <c r="E71" i="79"/>
  <c r="D71" i="79"/>
  <c r="C71" i="79"/>
  <c r="F70" i="79"/>
  <c r="E70" i="79"/>
  <c r="D70" i="79"/>
  <c r="C70" i="79"/>
  <c r="F69" i="79"/>
  <c r="E69" i="79"/>
  <c r="D69" i="79"/>
  <c r="C69" i="79"/>
  <c r="F59" i="79"/>
  <c r="E59" i="79"/>
  <c r="D59" i="79"/>
  <c r="C59" i="79"/>
  <c r="F45" i="79"/>
  <c r="F46" i="79" s="1"/>
  <c r="E45" i="79"/>
  <c r="E46" i="79" s="1"/>
  <c r="D45" i="79"/>
  <c r="C45" i="79"/>
  <c r="C46" i="79" s="1"/>
  <c r="F27" i="79"/>
  <c r="E27" i="79"/>
  <c r="D27" i="79"/>
  <c r="C27" i="79"/>
  <c r="M246" i="72" s="1" a="1"/>
  <c r="M248" i="72" s="1"/>
  <c r="S248" i="72" s="1"/>
  <c r="F26" i="79"/>
  <c r="E26" i="79"/>
  <c r="D26" i="79"/>
  <c r="C26" i="79"/>
  <c r="F25" i="79"/>
  <c r="E25" i="79"/>
  <c r="D25" i="79"/>
  <c r="C25" i="79"/>
  <c r="F89" i="74"/>
  <c r="E89" i="74"/>
  <c r="D89" i="74"/>
  <c r="C89" i="74"/>
  <c r="F85" i="74"/>
  <c r="E85" i="74"/>
  <c r="D85" i="74"/>
  <c r="C85" i="74"/>
  <c r="F83" i="74"/>
  <c r="E83" i="74"/>
  <c r="D83" i="74"/>
  <c r="C83" i="74"/>
  <c r="F71" i="74"/>
  <c r="E71" i="74"/>
  <c r="D71" i="74"/>
  <c r="C71" i="74"/>
  <c r="F70" i="74"/>
  <c r="E70" i="74"/>
  <c r="D70" i="74"/>
  <c r="C70" i="74"/>
  <c r="F69" i="74"/>
  <c r="F73" i="74" s="1"/>
  <c r="E69" i="74"/>
  <c r="D69" i="74"/>
  <c r="C69" i="74"/>
  <c r="F59" i="74"/>
  <c r="E59" i="74"/>
  <c r="D59" i="74"/>
  <c r="C59" i="74"/>
  <c r="F45" i="74"/>
  <c r="F46" i="74" s="1"/>
  <c r="E45" i="74"/>
  <c r="E46" i="74" s="1"/>
  <c r="D45" i="74"/>
  <c r="D46" i="74" s="1"/>
  <c r="C45" i="74"/>
  <c r="C46" i="74" s="1"/>
  <c r="F27" i="74"/>
  <c r="E27" i="74"/>
  <c r="D27" i="74"/>
  <c r="C27" i="74"/>
  <c r="F26" i="74"/>
  <c r="E26" i="74"/>
  <c r="D26" i="74"/>
  <c r="C26" i="74"/>
  <c r="F25" i="74"/>
  <c r="E25" i="74"/>
  <c r="D25" i="74"/>
  <c r="C25" i="74"/>
  <c r="F89" i="73"/>
  <c r="E89" i="73"/>
  <c r="D89" i="73"/>
  <c r="C89" i="73"/>
  <c r="C89" i="84" s="1"/>
  <c r="F71" i="73"/>
  <c r="F71" i="84" s="1"/>
  <c r="E71" i="73"/>
  <c r="E71" i="84" s="1"/>
  <c r="D71" i="73"/>
  <c r="C71" i="73"/>
  <c r="F70" i="73"/>
  <c r="F70" i="84" s="1"/>
  <c r="E70" i="73"/>
  <c r="D70" i="73"/>
  <c r="C70" i="73"/>
  <c r="C70" i="84" s="1"/>
  <c r="F69" i="73"/>
  <c r="F69" i="84" s="1"/>
  <c r="E69" i="73"/>
  <c r="E69" i="84" s="1"/>
  <c r="D69" i="73"/>
  <c r="C69" i="73"/>
  <c r="F59" i="73"/>
  <c r="E59" i="73"/>
  <c r="D59" i="73"/>
  <c r="C59" i="73"/>
  <c r="F45" i="73"/>
  <c r="E45" i="73"/>
  <c r="D45" i="73"/>
  <c r="D46" i="73" s="1"/>
  <c r="C45" i="73"/>
  <c r="F27" i="73"/>
  <c r="F27" i="84" s="1"/>
  <c r="E27" i="73"/>
  <c r="E27" i="84" s="1"/>
  <c r="D27" i="73"/>
  <c r="C27" i="73"/>
  <c r="C27" i="84" s="1"/>
  <c r="F26" i="73"/>
  <c r="F26" i="84" s="1"/>
  <c r="E26" i="73"/>
  <c r="D26" i="73"/>
  <c r="C26" i="73"/>
  <c r="C26" i="84" s="1"/>
  <c r="F25" i="73"/>
  <c r="E25" i="73"/>
  <c r="E25" i="84" s="1"/>
  <c r="D25" i="73"/>
  <c r="C25" i="73"/>
  <c r="C25" i="84" s="1"/>
  <c r="F89" i="68"/>
  <c r="F89" i="83" s="1"/>
  <c r="E89" i="68"/>
  <c r="D89" i="68"/>
  <c r="C89" i="68"/>
  <c r="C89" i="83" s="1"/>
  <c r="F71" i="68"/>
  <c r="F71" i="83" s="1"/>
  <c r="E71" i="68"/>
  <c r="E71" i="83" s="1"/>
  <c r="D71" i="68"/>
  <c r="C71" i="68"/>
  <c r="F70" i="68"/>
  <c r="F70" i="83" s="1"/>
  <c r="E70" i="68"/>
  <c r="D70" i="68"/>
  <c r="C70" i="68"/>
  <c r="C70" i="83" s="1"/>
  <c r="F69" i="68"/>
  <c r="F69" i="83" s="1"/>
  <c r="E69" i="68"/>
  <c r="D69" i="68"/>
  <c r="C69" i="68"/>
  <c r="C73" i="68" s="1"/>
  <c r="F59" i="68"/>
  <c r="E59" i="68"/>
  <c r="D59" i="68"/>
  <c r="C59" i="68"/>
  <c r="F45" i="68"/>
  <c r="F46" i="68" s="1"/>
  <c r="E45" i="68"/>
  <c r="E46" i="68" s="1"/>
  <c r="D45" i="68"/>
  <c r="C45" i="68"/>
  <c r="C46" i="68" s="1"/>
  <c r="F27" i="68"/>
  <c r="E27" i="68"/>
  <c r="D27" i="68"/>
  <c r="D27" i="83" s="1"/>
  <c r="C27" i="68"/>
  <c r="F26" i="68"/>
  <c r="F26" i="83" s="1"/>
  <c r="E26" i="68"/>
  <c r="D26" i="68"/>
  <c r="D26" i="83" s="1"/>
  <c r="C26" i="68"/>
  <c r="F25" i="68"/>
  <c r="E25" i="68"/>
  <c r="E25" i="83" s="1"/>
  <c r="D25" i="68"/>
  <c r="D25" i="83" s="1"/>
  <c r="C25" i="68"/>
  <c r="C25" i="83" s="1"/>
  <c r="P522" i="72"/>
  <c r="D90" i="81" s="1"/>
  <c r="O522" i="72"/>
  <c r="N522" i="72"/>
  <c r="G522" i="72"/>
  <c r="D90" i="80" s="1"/>
  <c r="F522" i="72"/>
  <c r="E522" i="72"/>
  <c r="C90" i="80" s="1"/>
  <c r="R509" i="72"/>
  <c r="R515" i="72" s="1"/>
  <c r="Q509" i="72"/>
  <c r="Q515" i="72" s="1"/>
  <c r="P509" i="72"/>
  <c r="P515" i="72" s="1"/>
  <c r="O509" i="72"/>
  <c r="O515" i="72" s="1"/>
  <c r="N509" i="72"/>
  <c r="N515" i="72" s="1"/>
  <c r="M509" i="72"/>
  <c r="S508" i="72"/>
  <c r="S507" i="72"/>
  <c r="S506" i="72"/>
  <c r="R498" i="72"/>
  <c r="R504" i="72" s="1"/>
  <c r="Q498" i="72"/>
  <c r="Q504" i="72" s="1"/>
  <c r="P498" i="72"/>
  <c r="P504" i="72" s="1"/>
  <c r="O498" i="72"/>
  <c r="O504" i="72" s="1"/>
  <c r="N498" i="72"/>
  <c r="N504" i="72" s="1"/>
  <c r="M498" i="72"/>
  <c r="I498" i="72"/>
  <c r="I504" i="72" s="1"/>
  <c r="H498" i="72"/>
  <c r="H504" i="72" s="1"/>
  <c r="G498" i="72"/>
  <c r="G504" i="72" s="1"/>
  <c r="F498" i="72"/>
  <c r="F504" i="72" s="1"/>
  <c r="E498" i="72"/>
  <c r="E504" i="72" s="1"/>
  <c r="D498" i="72"/>
  <c r="S497" i="72"/>
  <c r="J497" i="72"/>
  <c r="S496" i="72"/>
  <c r="J496" i="72"/>
  <c r="S495" i="72"/>
  <c r="J495" i="72"/>
  <c r="R487" i="72"/>
  <c r="R493" i="72" s="1"/>
  <c r="Q487" i="72"/>
  <c r="Q493" i="72" s="1"/>
  <c r="P487" i="72"/>
  <c r="P493" i="72" s="1"/>
  <c r="O487" i="72"/>
  <c r="O493" i="72" s="1"/>
  <c r="N487" i="72"/>
  <c r="N493" i="72" s="1"/>
  <c r="M487" i="72"/>
  <c r="I487" i="72"/>
  <c r="I493" i="72" s="1"/>
  <c r="H487" i="72"/>
  <c r="H493" i="72" s="1"/>
  <c r="G487" i="72"/>
  <c r="G493" i="72" s="1"/>
  <c r="F487" i="72"/>
  <c r="F493" i="72" s="1"/>
  <c r="E487" i="72"/>
  <c r="E493" i="72" s="1"/>
  <c r="D487" i="72"/>
  <c r="S486" i="72"/>
  <c r="J486" i="72"/>
  <c r="S485" i="72"/>
  <c r="J485" i="72"/>
  <c r="S484" i="72"/>
  <c r="J484" i="72"/>
  <c r="R476" i="72"/>
  <c r="R482" i="72" s="1"/>
  <c r="Q476" i="72"/>
  <c r="Q482" i="72" s="1"/>
  <c r="P476" i="72"/>
  <c r="P482" i="72" s="1"/>
  <c r="O476" i="72"/>
  <c r="O482" i="72" s="1"/>
  <c r="N476" i="72"/>
  <c r="N482" i="72" s="1"/>
  <c r="M476" i="72"/>
  <c r="I476" i="72"/>
  <c r="I482" i="72" s="1"/>
  <c r="H476" i="72"/>
  <c r="H482" i="72" s="1"/>
  <c r="G476" i="72"/>
  <c r="G482" i="72" s="1"/>
  <c r="F476" i="72"/>
  <c r="F482" i="72" s="1"/>
  <c r="E476" i="72"/>
  <c r="E482" i="72" s="1"/>
  <c r="D476" i="72"/>
  <c r="S475" i="72"/>
  <c r="J475" i="72"/>
  <c r="S474" i="72"/>
  <c r="J474" i="72"/>
  <c r="S473" i="72"/>
  <c r="J473" i="72"/>
  <c r="O465" i="72"/>
  <c r="N465" i="72"/>
  <c r="F465" i="72"/>
  <c r="E465" i="72"/>
  <c r="R459" i="72"/>
  <c r="Q459" i="72"/>
  <c r="P459" i="72"/>
  <c r="M459" i="72"/>
  <c r="I459" i="72"/>
  <c r="H459" i="72"/>
  <c r="G459" i="72"/>
  <c r="F459" i="72"/>
  <c r="E459" i="72"/>
  <c r="D459" i="72"/>
  <c r="O458" i="72"/>
  <c r="S458" i="72" s="1"/>
  <c r="J458" i="72"/>
  <c r="N457" i="72"/>
  <c r="N459" i="72" s="1"/>
  <c r="J457" i="72"/>
  <c r="S456" i="72"/>
  <c r="J456" i="72"/>
  <c r="R448" i="72"/>
  <c r="Q448" i="72"/>
  <c r="P448" i="72"/>
  <c r="M448" i="72"/>
  <c r="I448" i="72"/>
  <c r="H448" i="72"/>
  <c r="G448" i="72"/>
  <c r="G454" i="72" s="1"/>
  <c r="D86" i="80" s="1"/>
  <c r="F448" i="72"/>
  <c r="F454" i="72" s="1"/>
  <c r="E448" i="72"/>
  <c r="E454" i="72" s="1"/>
  <c r="D448" i="72"/>
  <c r="O447" i="72"/>
  <c r="O448" i="72" s="1"/>
  <c r="O454" i="72" s="1"/>
  <c r="N446" i="72"/>
  <c r="N448" i="72" s="1"/>
  <c r="N454" i="72" s="1"/>
  <c r="R432" i="72"/>
  <c r="Q432" i="72"/>
  <c r="P432" i="72"/>
  <c r="D84" i="81" s="1"/>
  <c r="O432" i="72"/>
  <c r="N432" i="72"/>
  <c r="M432" i="72"/>
  <c r="I432" i="72"/>
  <c r="H432" i="72"/>
  <c r="G432" i="72"/>
  <c r="F432" i="72"/>
  <c r="E432" i="72"/>
  <c r="D432" i="72"/>
  <c r="S431" i="72"/>
  <c r="J431" i="72"/>
  <c r="S430" i="72"/>
  <c r="J430" i="72"/>
  <c r="S429" i="72"/>
  <c r="J429" i="72"/>
  <c r="S374" i="72"/>
  <c r="R374" i="72"/>
  <c r="F82" i="81" s="1"/>
  <c r="Q374" i="72"/>
  <c r="E82" i="81" s="1"/>
  <c r="P374" i="72"/>
  <c r="J374" i="72"/>
  <c r="I374" i="72"/>
  <c r="F82" i="80" s="1"/>
  <c r="H374" i="72"/>
  <c r="E82" i="80" s="1"/>
  <c r="G374" i="72"/>
  <c r="M368" i="72"/>
  <c r="M374" i="72" s="1"/>
  <c r="D368" i="72"/>
  <c r="D374" i="72" s="1"/>
  <c r="O367" i="72"/>
  <c r="O368" i="72" s="1"/>
  <c r="O374" i="72" s="1"/>
  <c r="F367" i="72"/>
  <c r="F368" i="72" s="1"/>
  <c r="F374" i="72" s="1"/>
  <c r="N366" i="72"/>
  <c r="N368" i="72" s="1"/>
  <c r="E366" i="72"/>
  <c r="E368" i="72" s="1"/>
  <c r="P345" i="72"/>
  <c r="D90" i="79" s="1"/>
  <c r="O345" i="72"/>
  <c r="N345" i="72"/>
  <c r="G345" i="72"/>
  <c r="D90" i="74" s="1"/>
  <c r="F345" i="72"/>
  <c r="E345" i="72"/>
  <c r="R332" i="72"/>
  <c r="R338" i="72" s="1"/>
  <c r="Q332" i="72"/>
  <c r="Q338" i="72" s="1"/>
  <c r="P332" i="72"/>
  <c r="P338" i="72" s="1"/>
  <c r="O332" i="72"/>
  <c r="O338" i="72" s="1"/>
  <c r="N332" i="72"/>
  <c r="N338" i="72" s="1"/>
  <c r="M332" i="72"/>
  <c r="S331" i="72"/>
  <c r="S330" i="72"/>
  <c r="S329" i="72"/>
  <c r="R321" i="72"/>
  <c r="R327" i="72" s="1"/>
  <c r="Q321" i="72"/>
  <c r="Q327" i="72" s="1"/>
  <c r="P321" i="72"/>
  <c r="P327" i="72" s="1"/>
  <c r="O321" i="72"/>
  <c r="O327" i="72" s="1"/>
  <c r="N321" i="72"/>
  <c r="N327" i="72" s="1"/>
  <c r="M321" i="72"/>
  <c r="I321" i="72"/>
  <c r="I327" i="72" s="1"/>
  <c r="H321" i="72"/>
  <c r="H327" i="72" s="1"/>
  <c r="G321" i="72"/>
  <c r="G327" i="72" s="1"/>
  <c r="F321" i="72"/>
  <c r="F327" i="72" s="1"/>
  <c r="E321" i="72"/>
  <c r="E327" i="72" s="1"/>
  <c r="D321" i="72"/>
  <c r="S320" i="72"/>
  <c r="J320" i="72"/>
  <c r="S319" i="72"/>
  <c r="J319" i="72"/>
  <c r="S318" i="72"/>
  <c r="J318" i="72"/>
  <c r="R310" i="72"/>
  <c r="R316" i="72" s="1"/>
  <c r="Q310" i="72"/>
  <c r="Q316" i="72" s="1"/>
  <c r="P310" i="72"/>
  <c r="P316" i="72" s="1"/>
  <c r="O310" i="72"/>
  <c r="O316" i="72" s="1"/>
  <c r="N310" i="72"/>
  <c r="N316" i="72" s="1"/>
  <c r="M310" i="72"/>
  <c r="I310" i="72"/>
  <c r="I316" i="72" s="1"/>
  <c r="H310" i="72"/>
  <c r="H316" i="72" s="1"/>
  <c r="G310" i="72"/>
  <c r="G316" i="72" s="1"/>
  <c r="F310" i="72"/>
  <c r="F316" i="72" s="1"/>
  <c r="E310" i="72"/>
  <c r="E316" i="72" s="1"/>
  <c r="D310" i="72"/>
  <c r="S309" i="72"/>
  <c r="J309" i="72"/>
  <c r="S308" i="72"/>
  <c r="J308" i="72"/>
  <c r="S307" i="72"/>
  <c r="J307" i="72"/>
  <c r="R299" i="72"/>
  <c r="R305" i="72" s="1"/>
  <c r="Q299" i="72"/>
  <c r="Q305" i="72" s="1"/>
  <c r="P299" i="72"/>
  <c r="P305" i="72" s="1"/>
  <c r="O299" i="72"/>
  <c r="O305" i="72" s="1"/>
  <c r="N299" i="72"/>
  <c r="N305" i="72" s="1"/>
  <c r="M299" i="72"/>
  <c r="I299" i="72"/>
  <c r="I305" i="72" s="1"/>
  <c r="H299" i="72"/>
  <c r="H305" i="72" s="1"/>
  <c r="G299" i="72"/>
  <c r="G305" i="72" s="1"/>
  <c r="F299" i="72"/>
  <c r="F305" i="72" s="1"/>
  <c r="E299" i="72"/>
  <c r="E305" i="72" s="1"/>
  <c r="D299" i="72"/>
  <c r="S298" i="72"/>
  <c r="J298" i="72"/>
  <c r="S297" i="72"/>
  <c r="J297" i="72"/>
  <c r="S296" i="72"/>
  <c r="J296" i="72"/>
  <c r="O288" i="72"/>
  <c r="N288" i="72"/>
  <c r="F288" i="72"/>
  <c r="E288" i="72"/>
  <c r="R282" i="72"/>
  <c r="Q282" i="72"/>
  <c r="P282" i="72"/>
  <c r="M282" i="72"/>
  <c r="I282" i="72"/>
  <c r="H282" i="72"/>
  <c r="G282" i="72"/>
  <c r="F282" i="72"/>
  <c r="E282" i="72"/>
  <c r="D282" i="72"/>
  <c r="O281" i="72"/>
  <c r="S281" i="72" s="1"/>
  <c r="J281" i="72"/>
  <c r="N280" i="72"/>
  <c r="N282" i="72" s="1"/>
  <c r="J280" i="72"/>
  <c r="S279" i="72"/>
  <c r="J279" i="72"/>
  <c r="R271" i="72"/>
  <c r="Q271" i="72"/>
  <c r="P271" i="72"/>
  <c r="P277" i="72" s="1"/>
  <c r="D86" i="79" s="1"/>
  <c r="O271" i="72"/>
  <c r="O277" i="72" s="1"/>
  <c r="N271" i="72"/>
  <c r="N277" i="72" s="1"/>
  <c r="M271" i="72"/>
  <c r="I271" i="72"/>
  <c r="H271" i="72"/>
  <c r="G271" i="72"/>
  <c r="G277" i="72" s="1"/>
  <c r="D86" i="74" s="1"/>
  <c r="F271" i="72"/>
  <c r="F277" i="72" s="1"/>
  <c r="E271" i="72"/>
  <c r="E277" i="72" s="1"/>
  <c r="D271" i="72"/>
  <c r="R255" i="72"/>
  <c r="Q255" i="72"/>
  <c r="P255" i="72"/>
  <c r="O255" i="72"/>
  <c r="N255" i="72"/>
  <c r="C84" i="79" s="1"/>
  <c r="M255" i="72"/>
  <c r="I255" i="72"/>
  <c r="H255" i="72"/>
  <c r="G255" i="72"/>
  <c r="D84" i="74" s="1"/>
  <c r="F255" i="72"/>
  <c r="E255" i="72"/>
  <c r="D255" i="72"/>
  <c r="S254" i="72"/>
  <c r="J254" i="72"/>
  <c r="S253" i="72"/>
  <c r="J253" i="72"/>
  <c r="S252" i="72"/>
  <c r="J252" i="72"/>
  <c r="P197" i="72"/>
  <c r="D82" i="79" s="1"/>
  <c r="G197" i="72"/>
  <c r="M191" i="72"/>
  <c r="D191" i="72"/>
  <c r="O190" i="72"/>
  <c r="O191" i="72" s="1"/>
  <c r="O197" i="72" s="1"/>
  <c r="F190" i="72"/>
  <c r="F191" i="72" s="1"/>
  <c r="F197" i="72" s="1"/>
  <c r="N189" i="72"/>
  <c r="N191" i="72" s="1"/>
  <c r="E189" i="72"/>
  <c r="E191" i="72" s="1"/>
  <c r="E197" i="72" s="1"/>
  <c r="P168" i="72"/>
  <c r="D90" i="73" s="1"/>
  <c r="O168" i="72"/>
  <c r="N168" i="72"/>
  <c r="G168" i="72"/>
  <c r="D90" i="68" s="1"/>
  <c r="F168" i="72"/>
  <c r="E168" i="72"/>
  <c r="M157" i="72" a="1"/>
  <c r="M157" i="72" s="1"/>
  <c r="R155" i="72"/>
  <c r="R161" i="72" s="1"/>
  <c r="Q155" i="72"/>
  <c r="Q161" i="72" s="1"/>
  <c r="P155" i="72"/>
  <c r="P161" i="72" s="1"/>
  <c r="O155" i="72"/>
  <c r="O161" i="72" s="1"/>
  <c r="N155" i="72"/>
  <c r="N161" i="72" s="1"/>
  <c r="M155" i="72"/>
  <c r="S154" i="72"/>
  <c r="S153" i="72"/>
  <c r="S152" i="72"/>
  <c r="P147" i="72"/>
  <c r="G147" i="72"/>
  <c r="R144" i="72"/>
  <c r="R150" i="72" s="1"/>
  <c r="Q144" i="72"/>
  <c r="Q150" i="72" s="1"/>
  <c r="P144" i="72"/>
  <c r="O144" i="72"/>
  <c r="O150" i="72" s="1"/>
  <c r="N144" i="72"/>
  <c r="N150" i="72" s="1"/>
  <c r="M144" i="72"/>
  <c r="I144" i="72"/>
  <c r="I150" i="72" s="1"/>
  <c r="H144" i="72"/>
  <c r="H150" i="72" s="1"/>
  <c r="G144" i="72"/>
  <c r="F144" i="72"/>
  <c r="F150" i="72" s="1"/>
  <c r="E144" i="72"/>
  <c r="E150" i="72" s="1"/>
  <c r="D144" i="72"/>
  <c r="S143" i="72"/>
  <c r="J143" i="72"/>
  <c r="S142" i="72"/>
  <c r="J142" i="72"/>
  <c r="S141" i="72"/>
  <c r="J141" i="72"/>
  <c r="R133" i="72"/>
  <c r="R139" i="72" s="1"/>
  <c r="Q133" i="72"/>
  <c r="Q139" i="72" s="1"/>
  <c r="P133" i="72"/>
  <c r="P139" i="72" s="1"/>
  <c r="O133" i="72"/>
  <c r="N133" i="72"/>
  <c r="N139" i="72" s="1"/>
  <c r="M133" i="72"/>
  <c r="I133" i="72"/>
  <c r="I139" i="72" s="1"/>
  <c r="H133" i="72"/>
  <c r="H139" i="72" s="1"/>
  <c r="G133" i="72"/>
  <c r="G139" i="72" s="1"/>
  <c r="F133" i="72"/>
  <c r="F139" i="72" s="1"/>
  <c r="E133" i="72"/>
  <c r="E139" i="72" s="1"/>
  <c r="D133" i="72"/>
  <c r="S132" i="72"/>
  <c r="J132" i="72"/>
  <c r="S131" i="72"/>
  <c r="J131" i="72"/>
  <c r="S130" i="72"/>
  <c r="J130" i="72"/>
  <c r="P125" i="72"/>
  <c r="R122" i="72"/>
  <c r="R128" i="72" s="1"/>
  <c r="Q122" i="72"/>
  <c r="Q128" i="72" s="1"/>
  <c r="P122" i="72"/>
  <c r="M122" i="72"/>
  <c r="I122" i="72"/>
  <c r="I128" i="72" s="1"/>
  <c r="H122" i="72"/>
  <c r="H128" i="72" s="1"/>
  <c r="G122" i="72"/>
  <c r="G128" i="72" s="1"/>
  <c r="F122" i="72"/>
  <c r="F128" i="72" s="1"/>
  <c r="E122" i="72"/>
  <c r="E128" i="72" s="1"/>
  <c r="D122" i="72"/>
  <c r="O121" i="72"/>
  <c r="O122" i="72" s="1"/>
  <c r="O128" i="72" s="1"/>
  <c r="J121" i="72"/>
  <c r="N120" i="72"/>
  <c r="N122" i="72" s="1"/>
  <c r="N128" i="72" s="1"/>
  <c r="J120" i="72"/>
  <c r="S119" i="72"/>
  <c r="J119" i="72"/>
  <c r="O111" i="72"/>
  <c r="N111" i="72"/>
  <c r="F111" i="72"/>
  <c r="E111" i="72"/>
  <c r="M110" i="72"/>
  <c r="S110" i="72" s="1"/>
  <c r="R105" i="72"/>
  <c r="Q105" i="72"/>
  <c r="P105" i="72"/>
  <c r="M105" i="72"/>
  <c r="I105" i="72"/>
  <c r="H105" i="72"/>
  <c r="G105" i="72"/>
  <c r="F105" i="72"/>
  <c r="E105" i="72"/>
  <c r="D105" i="72"/>
  <c r="O104" i="72"/>
  <c r="S104" i="72" s="1"/>
  <c r="J104" i="72"/>
  <c r="N103" i="72"/>
  <c r="N105" i="72" s="1"/>
  <c r="J103" i="72"/>
  <c r="S102" i="72"/>
  <c r="J102" i="72"/>
  <c r="R94" i="72"/>
  <c r="Q94" i="72"/>
  <c r="P94" i="72"/>
  <c r="P100" i="72" s="1"/>
  <c r="D86" i="73" s="1"/>
  <c r="M94" i="72"/>
  <c r="I94" i="72"/>
  <c r="H94" i="72"/>
  <c r="G94" i="72"/>
  <c r="G100" i="72" s="1"/>
  <c r="D86" i="68" s="1"/>
  <c r="F94" i="72"/>
  <c r="F100" i="72" s="1"/>
  <c r="E94" i="72"/>
  <c r="E100" i="72" s="1"/>
  <c r="D94" i="72"/>
  <c r="O93" i="72"/>
  <c r="O94" i="72" s="1"/>
  <c r="O100" i="72" s="1"/>
  <c r="N92" i="72"/>
  <c r="N94" i="72" s="1"/>
  <c r="N100" i="72" s="1"/>
  <c r="R83" i="72"/>
  <c r="Q83" i="72"/>
  <c r="Q89" i="72" s="1"/>
  <c r="E85" i="73" s="1"/>
  <c r="E85" i="84" s="1"/>
  <c r="P83" i="72"/>
  <c r="P89" i="72" s="1"/>
  <c r="D85" i="73" s="1"/>
  <c r="D85" i="84" s="1"/>
  <c r="M83" i="72"/>
  <c r="I83" i="72"/>
  <c r="H83" i="72"/>
  <c r="H89" i="72" s="1"/>
  <c r="E85" i="68" s="1"/>
  <c r="E85" i="83" s="1"/>
  <c r="G83" i="72"/>
  <c r="G89" i="72" s="1"/>
  <c r="D85" i="68" s="1"/>
  <c r="D85" i="83" s="1"/>
  <c r="D83" i="72"/>
  <c r="O82" i="72"/>
  <c r="O83" i="72" s="1"/>
  <c r="O89" i="72" s="1"/>
  <c r="F82" i="72"/>
  <c r="F83" i="72" s="1"/>
  <c r="F89" i="72" s="1"/>
  <c r="N81" i="72"/>
  <c r="N83" i="72" s="1"/>
  <c r="N89" i="72" s="1"/>
  <c r="E81" i="72"/>
  <c r="E83" i="72" s="1"/>
  <c r="E89" i="72" s="1"/>
  <c r="S80" i="72"/>
  <c r="S83" i="72" s="1"/>
  <c r="J80" i="72"/>
  <c r="J83" i="72" s="1"/>
  <c r="R78" i="72"/>
  <c r="Q78" i="72"/>
  <c r="P78" i="72"/>
  <c r="D84" i="73" s="1"/>
  <c r="O78" i="72"/>
  <c r="N78" i="72"/>
  <c r="M78" i="72"/>
  <c r="I78" i="72"/>
  <c r="H78" i="72"/>
  <c r="G78" i="72"/>
  <c r="D84" i="68" s="1"/>
  <c r="F78" i="72"/>
  <c r="E78" i="72"/>
  <c r="D78" i="72"/>
  <c r="S77" i="72"/>
  <c r="J77" i="72"/>
  <c r="S76" i="72"/>
  <c r="J76" i="72"/>
  <c r="S75" i="72"/>
  <c r="J75" i="72"/>
  <c r="R25" i="72"/>
  <c r="Q25" i="72"/>
  <c r="P25" i="72"/>
  <c r="P31" i="72" s="1"/>
  <c r="D83" i="73" s="1"/>
  <c r="M25" i="72"/>
  <c r="I25" i="72"/>
  <c r="H25" i="72"/>
  <c r="G25" i="72"/>
  <c r="G31" i="72" s="1"/>
  <c r="D83" i="68" s="1"/>
  <c r="F25" i="72"/>
  <c r="F31" i="72" s="1"/>
  <c r="E25" i="72"/>
  <c r="E31" i="72" s="1"/>
  <c r="D25" i="72"/>
  <c r="O24" i="72"/>
  <c r="J24" i="72"/>
  <c r="N23" i="72"/>
  <c r="N25" i="72" s="1"/>
  <c r="N31" i="72" s="1"/>
  <c r="J23" i="72"/>
  <c r="S22" i="72"/>
  <c r="J22" i="72"/>
  <c r="P20" i="72"/>
  <c r="G20" i="72"/>
  <c r="D82" i="68" s="1"/>
  <c r="M14" i="72"/>
  <c r="D14" i="72"/>
  <c r="O13" i="72"/>
  <c r="O14" i="72" s="1"/>
  <c r="O20" i="72" s="1"/>
  <c r="F13" i="72"/>
  <c r="F14" i="72" s="1"/>
  <c r="F20" i="72" s="1"/>
  <c r="N12" i="72"/>
  <c r="N14" i="72" s="1"/>
  <c r="N20" i="72" s="1"/>
  <c r="E12" i="72"/>
  <c r="E14" i="72" s="1"/>
  <c r="V135" i="60"/>
  <c r="V136" i="60" s="1"/>
  <c r="V142" i="60" s="1"/>
  <c r="U135" i="60"/>
  <c r="U136" i="60" s="1"/>
  <c r="U142" i="60" s="1"/>
  <c r="T135" i="60"/>
  <c r="T136" i="60" s="1"/>
  <c r="T142" i="60" s="1"/>
  <c r="D72" i="79" s="1"/>
  <c r="V131" i="60"/>
  <c r="U131" i="60"/>
  <c r="T131" i="60"/>
  <c r="V106" i="60"/>
  <c r="V116" i="60" s="1"/>
  <c r="F39" i="73" s="1"/>
  <c r="F39" i="84" s="1"/>
  <c r="U106" i="60"/>
  <c r="U116" i="60" s="1"/>
  <c r="E39" i="73" s="1"/>
  <c r="T106" i="60"/>
  <c r="T116" i="60" s="1"/>
  <c r="D39" i="73" s="1"/>
  <c r="D39" i="84" s="1"/>
  <c r="S106" i="60"/>
  <c r="S116" i="60" s="1"/>
  <c r="R106" i="60"/>
  <c r="R116" i="60" s="1"/>
  <c r="Q106" i="60"/>
  <c r="P106" i="60"/>
  <c r="O106" i="60"/>
  <c r="N106" i="60"/>
  <c r="M106" i="60"/>
  <c r="V105" i="60"/>
  <c r="V115" i="60" s="1"/>
  <c r="F39" i="68" s="1"/>
  <c r="U105" i="60"/>
  <c r="U115" i="60" s="1"/>
  <c r="E39" i="68" s="1"/>
  <c r="T105" i="60"/>
  <c r="T115" i="60" s="1"/>
  <c r="D39" i="68" s="1"/>
  <c r="S105" i="60"/>
  <c r="S115" i="60" s="1"/>
  <c r="R105" i="60"/>
  <c r="R115" i="60" s="1"/>
  <c r="V72" i="60"/>
  <c r="F22" i="79" s="1"/>
  <c r="U72" i="60"/>
  <c r="E22" i="79" s="1"/>
  <c r="E28" i="79" s="1"/>
  <c r="T72" i="60"/>
  <c r="D22" i="79" s="1"/>
  <c r="S72" i="60"/>
  <c r="R72" i="60"/>
  <c r="Q72" i="60"/>
  <c r="P72" i="60"/>
  <c r="O72" i="60"/>
  <c r="N72" i="60"/>
  <c r="M72" i="60"/>
  <c r="V70" i="60"/>
  <c r="F22" i="74" s="1"/>
  <c r="U70" i="60"/>
  <c r="E22" i="74" s="1"/>
  <c r="T70" i="60"/>
  <c r="D22" i="74" s="1"/>
  <c r="S70" i="60"/>
  <c r="R70" i="60"/>
  <c r="Q70" i="60"/>
  <c r="P70" i="60"/>
  <c r="O70" i="60"/>
  <c r="N70" i="60"/>
  <c r="M70" i="60"/>
  <c r="Q68" i="60"/>
  <c r="P68" i="60"/>
  <c r="O68" i="60"/>
  <c r="N68" i="60"/>
  <c r="M68" i="60"/>
  <c r="Q67" i="60"/>
  <c r="P67" i="60"/>
  <c r="O67" i="60"/>
  <c r="N67" i="60"/>
  <c r="M67" i="60"/>
  <c r="Q65" i="60"/>
  <c r="P65" i="60"/>
  <c r="O65" i="60"/>
  <c r="N65" i="60"/>
  <c r="M65" i="60"/>
  <c r="Q64" i="60"/>
  <c r="P64" i="60"/>
  <c r="O64" i="60"/>
  <c r="N64" i="60"/>
  <c r="M64" i="60"/>
  <c r="V41" i="60"/>
  <c r="V67" i="60" s="1"/>
  <c r="U41" i="60"/>
  <c r="U67" i="60" s="1"/>
  <c r="T41" i="60"/>
  <c r="T67" i="60" s="1"/>
  <c r="S41" i="60"/>
  <c r="S67" i="60" s="1"/>
  <c r="R41" i="60"/>
  <c r="R67" i="60" s="1"/>
  <c r="V38" i="60"/>
  <c r="V64" i="60" s="1"/>
  <c r="U38" i="60"/>
  <c r="U64" i="60" s="1"/>
  <c r="T38" i="60"/>
  <c r="T64" i="60" s="1"/>
  <c r="S38" i="60"/>
  <c r="S64" i="60" s="1"/>
  <c r="R38" i="60"/>
  <c r="R64" i="60" s="1"/>
  <c r="V16" i="60"/>
  <c r="V22" i="60" s="1"/>
  <c r="U16" i="60"/>
  <c r="U22" i="60" s="1"/>
  <c r="T16" i="60"/>
  <c r="T22" i="60" s="1"/>
  <c r="S16" i="60"/>
  <c r="S22" i="60" s="1"/>
  <c r="R16" i="60"/>
  <c r="R22" i="60" s="1"/>
  <c r="Q16" i="60"/>
  <c r="Q22" i="60" s="1"/>
  <c r="P16" i="60"/>
  <c r="P22" i="60" s="1"/>
  <c r="O16" i="60"/>
  <c r="O22" i="60" s="1"/>
  <c r="N16" i="60"/>
  <c r="N22" i="60" s="1"/>
  <c r="M16" i="60"/>
  <c r="M22" i="60" s="1"/>
  <c r="F12" i="60"/>
  <c r="AF6" i="60"/>
  <c r="AE6" i="60"/>
  <c r="AD6" i="60"/>
  <c r="AC6" i="60"/>
  <c r="AB6" i="60"/>
  <c r="AA6" i="60"/>
  <c r="Z6" i="60"/>
  <c r="Y6" i="60"/>
  <c r="X6" i="60"/>
  <c r="W6" i="60"/>
  <c r="V6" i="60"/>
  <c r="U6" i="60"/>
  <c r="T6" i="60"/>
  <c r="S6" i="60"/>
  <c r="R6" i="60"/>
  <c r="Q6" i="60"/>
  <c r="P6" i="60"/>
  <c r="O6" i="60"/>
  <c r="N6" i="60"/>
  <c r="M6" i="60"/>
  <c r="L6" i="60"/>
  <c r="AF5" i="60"/>
  <c r="AE5" i="60"/>
  <c r="AD5" i="60"/>
  <c r="AC5" i="60"/>
  <c r="AB5" i="60"/>
  <c r="AA5" i="60"/>
  <c r="Z5" i="60"/>
  <c r="Y5" i="60"/>
  <c r="X5" i="60"/>
  <c r="W5" i="60"/>
  <c r="V5" i="60"/>
  <c r="U5" i="60"/>
  <c r="T5" i="60"/>
  <c r="S5" i="60"/>
  <c r="R5" i="60"/>
  <c r="Q5" i="60"/>
  <c r="P5" i="60"/>
  <c r="O5" i="60"/>
  <c r="N5" i="60"/>
  <c r="M5" i="60"/>
  <c r="L5" i="60"/>
  <c r="AF4" i="60"/>
  <c r="AE4" i="60"/>
  <c r="AD4" i="60"/>
  <c r="AC4" i="60"/>
  <c r="AB4" i="60"/>
  <c r="AA4" i="60"/>
  <c r="Z4" i="60"/>
  <c r="Y4" i="60"/>
  <c r="X4" i="60"/>
  <c r="W4" i="60"/>
  <c r="V4" i="60"/>
  <c r="U4" i="60"/>
  <c r="T4" i="60"/>
  <c r="S4" i="60"/>
  <c r="R4" i="60"/>
  <c r="Q4" i="60"/>
  <c r="P4" i="60"/>
  <c r="O4" i="60"/>
  <c r="N4" i="60"/>
  <c r="M4" i="60"/>
  <c r="AF3" i="60"/>
  <c r="AE3" i="60"/>
  <c r="AD3" i="60"/>
  <c r="AC3" i="60"/>
  <c r="AB3" i="60"/>
  <c r="AA3" i="60"/>
  <c r="Z3" i="60"/>
  <c r="Y3" i="60"/>
  <c r="X3" i="60"/>
  <c r="W3" i="60"/>
  <c r="V3" i="60"/>
  <c r="U3" i="60"/>
  <c r="T3" i="60"/>
  <c r="S3" i="60"/>
  <c r="R3" i="60"/>
  <c r="Q3" i="60"/>
  <c r="P3" i="60"/>
  <c r="O3" i="60"/>
  <c r="N3" i="60"/>
  <c r="M3" i="60"/>
  <c r="L3" i="60"/>
  <c r="AF2" i="60"/>
  <c r="AE2" i="60"/>
  <c r="AD2" i="60"/>
  <c r="AC2" i="60"/>
  <c r="AB2" i="60"/>
  <c r="AA2" i="60"/>
  <c r="Z2" i="60"/>
  <c r="Y2" i="60"/>
  <c r="X2" i="60"/>
  <c r="W2" i="60"/>
  <c r="V2" i="60"/>
  <c r="U2" i="60"/>
  <c r="T2" i="60"/>
  <c r="S2" i="60"/>
  <c r="R2" i="60"/>
  <c r="Q2" i="60"/>
  <c r="P2" i="60"/>
  <c r="O2" i="60"/>
  <c r="N2" i="60"/>
  <c r="M2" i="60"/>
  <c r="L2" i="60"/>
  <c r="M68" i="70"/>
  <c r="L68" i="70"/>
  <c r="K68" i="70"/>
  <c r="I68" i="70"/>
  <c r="H68" i="70"/>
  <c r="G68" i="70"/>
  <c r="F68" i="70"/>
  <c r="E68" i="70"/>
  <c r="D68" i="70"/>
  <c r="C68" i="70"/>
  <c r="M64" i="70"/>
  <c r="L64" i="70"/>
  <c r="K64" i="70"/>
  <c r="I64" i="70"/>
  <c r="H64" i="70"/>
  <c r="G64" i="70"/>
  <c r="F64" i="70"/>
  <c r="F65" i="70" s="1"/>
  <c r="E64" i="70"/>
  <c r="D65" i="70" s="1"/>
  <c r="D64" i="70"/>
  <c r="C64" i="70"/>
  <c r="M60" i="70"/>
  <c r="L60" i="70"/>
  <c r="K60" i="70"/>
  <c r="I60" i="70"/>
  <c r="H60" i="70"/>
  <c r="G60" i="70"/>
  <c r="F60" i="70"/>
  <c r="E60" i="70"/>
  <c r="D60" i="70"/>
  <c r="C60" i="70"/>
  <c r="M52" i="70"/>
  <c r="L52" i="70"/>
  <c r="K52" i="70"/>
  <c r="I52" i="70"/>
  <c r="H52" i="70"/>
  <c r="M47" i="70"/>
  <c r="L47" i="70"/>
  <c r="K47" i="70"/>
  <c r="I47" i="70"/>
  <c r="H47" i="70"/>
  <c r="G47" i="70"/>
  <c r="F47" i="70"/>
  <c r="E47" i="70"/>
  <c r="D47" i="70"/>
  <c r="C47" i="70"/>
  <c r="M38" i="70"/>
  <c r="L38" i="70"/>
  <c r="K38" i="70"/>
  <c r="I38" i="70"/>
  <c r="H38" i="70"/>
  <c r="G38" i="70"/>
  <c r="F38" i="70"/>
  <c r="E38" i="70"/>
  <c r="D38" i="70"/>
  <c r="C38" i="70"/>
  <c r="M37" i="70"/>
  <c r="L37" i="70"/>
  <c r="K37" i="70"/>
  <c r="I37" i="70"/>
  <c r="H37" i="70"/>
  <c r="G37" i="70"/>
  <c r="F37" i="70"/>
  <c r="E37" i="70"/>
  <c r="D37" i="70"/>
  <c r="C37" i="70"/>
  <c r="M36" i="70"/>
  <c r="L36" i="70"/>
  <c r="K36" i="70"/>
  <c r="I36" i="70"/>
  <c r="H36" i="70"/>
  <c r="G36" i="70"/>
  <c r="F36" i="70"/>
  <c r="E36" i="70"/>
  <c r="D36" i="70"/>
  <c r="C36" i="70"/>
  <c r="G17" i="70"/>
  <c r="F17" i="70"/>
  <c r="E17" i="70"/>
  <c r="D17" i="70"/>
  <c r="C17" i="70"/>
  <c r="G16" i="70"/>
  <c r="F16" i="70"/>
  <c r="E16" i="70"/>
  <c r="D16" i="70"/>
  <c r="C16" i="70"/>
  <c r="G15" i="70"/>
  <c r="F15" i="70"/>
  <c r="E15" i="70"/>
  <c r="D15" i="70"/>
  <c r="C15" i="70"/>
  <c r="G14" i="70"/>
  <c r="F14" i="70"/>
  <c r="E14" i="70"/>
  <c r="D14" i="70"/>
  <c r="C14" i="70"/>
  <c r="G12" i="70"/>
  <c r="F12" i="70"/>
  <c r="E12" i="70"/>
  <c r="D12" i="70"/>
  <c r="C12" i="70"/>
  <c r="M68" i="69"/>
  <c r="L68" i="69"/>
  <c r="K68" i="69"/>
  <c r="I68" i="69"/>
  <c r="H68" i="69"/>
  <c r="G68" i="69"/>
  <c r="F68" i="69"/>
  <c r="E68" i="69"/>
  <c r="D68" i="69"/>
  <c r="C68" i="69"/>
  <c r="M64" i="69"/>
  <c r="L64" i="69"/>
  <c r="K64" i="69"/>
  <c r="I64" i="69"/>
  <c r="H64" i="69"/>
  <c r="G64" i="69"/>
  <c r="F64" i="69"/>
  <c r="F65" i="69" s="1"/>
  <c r="E64" i="69"/>
  <c r="D65" i="69" s="1"/>
  <c r="D64" i="69"/>
  <c r="C64" i="69"/>
  <c r="M56" i="69"/>
  <c r="L56" i="69"/>
  <c r="K56" i="69"/>
  <c r="J56" i="69"/>
  <c r="I56" i="69"/>
  <c r="H56" i="69"/>
  <c r="G56" i="69"/>
  <c r="F56" i="69"/>
  <c r="E56" i="69"/>
  <c r="D56" i="69"/>
  <c r="C56" i="69"/>
  <c r="M55" i="69"/>
  <c r="L55" i="69"/>
  <c r="K55" i="69"/>
  <c r="J55" i="69"/>
  <c r="I55" i="69"/>
  <c r="H55" i="69"/>
  <c r="G55" i="69"/>
  <c r="F55" i="69"/>
  <c r="E55" i="69"/>
  <c r="D55" i="69"/>
  <c r="C55" i="69"/>
  <c r="M52" i="69"/>
  <c r="L52" i="69"/>
  <c r="K52" i="69"/>
  <c r="I52" i="69"/>
  <c r="H52" i="69"/>
  <c r="M47" i="69"/>
  <c r="L47" i="69"/>
  <c r="K47" i="69"/>
  <c r="I47" i="69"/>
  <c r="H47" i="69"/>
  <c r="G47" i="69"/>
  <c r="F47" i="69"/>
  <c r="E47" i="69"/>
  <c r="D47" i="69"/>
  <c r="C47" i="69"/>
  <c r="M38" i="69"/>
  <c r="L38" i="69"/>
  <c r="K38" i="69"/>
  <c r="I38" i="69"/>
  <c r="H38" i="69"/>
  <c r="G38" i="69"/>
  <c r="F38" i="69"/>
  <c r="E38" i="69"/>
  <c r="D38" i="69"/>
  <c r="C38" i="69"/>
  <c r="M37" i="69"/>
  <c r="L37" i="69"/>
  <c r="K37" i="69"/>
  <c r="I37" i="69"/>
  <c r="H37" i="69"/>
  <c r="G37" i="69"/>
  <c r="F37" i="69"/>
  <c r="E37" i="69"/>
  <c r="D37" i="69"/>
  <c r="C37" i="69"/>
  <c r="M36" i="69"/>
  <c r="L36" i="69"/>
  <c r="K36" i="69"/>
  <c r="I36" i="69"/>
  <c r="H36" i="69"/>
  <c r="G36" i="69"/>
  <c r="F36" i="69"/>
  <c r="E36" i="69"/>
  <c r="D36" i="69"/>
  <c r="C36" i="69"/>
  <c r="G17" i="69"/>
  <c r="F17" i="69"/>
  <c r="E17" i="69"/>
  <c r="D17" i="69"/>
  <c r="C17" i="69"/>
  <c r="G16" i="69"/>
  <c r="F16" i="69"/>
  <c r="E16" i="69"/>
  <c r="D16" i="69"/>
  <c r="C16" i="69"/>
  <c r="G15" i="69"/>
  <c r="F15" i="69"/>
  <c r="E15" i="69"/>
  <c r="D15" i="69"/>
  <c r="C15" i="69"/>
  <c r="G14" i="69"/>
  <c r="F14" i="69"/>
  <c r="E14" i="69"/>
  <c r="D14" i="69"/>
  <c r="C14" i="69"/>
  <c r="G12" i="69"/>
  <c r="F12" i="69"/>
  <c r="E12" i="69"/>
  <c r="D12" i="69"/>
  <c r="C12" i="69"/>
  <c r="M68" i="64"/>
  <c r="F92" i="81" s="1"/>
  <c r="L68" i="64"/>
  <c r="K68" i="64"/>
  <c r="D92" i="81" s="1"/>
  <c r="I68" i="64"/>
  <c r="H68" i="64"/>
  <c r="O68" i="64" s="1"/>
  <c r="G68" i="64"/>
  <c r="F68" i="64"/>
  <c r="E68" i="64"/>
  <c r="D68" i="64"/>
  <c r="C68" i="64"/>
  <c r="J60" i="64"/>
  <c r="G41" i="64"/>
  <c r="D41" i="64"/>
  <c r="C41" i="64"/>
  <c r="F41" i="64"/>
  <c r="E41" i="64"/>
  <c r="G31" i="64"/>
  <c r="F31" i="64"/>
  <c r="E31" i="64"/>
  <c r="D31" i="64"/>
  <c r="C31" i="64"/>
  <c r="J26" i="64"/>
  <c r="G18" i="64"/>
  <c r="F18" i="64"/>
  <c r="F61" i="64" s="1"/>
  <c r="F66" i="64" s="1"/>
  <c r="E18" i="64"/>
  <c r="D18" i="64"/>
  <c r="D61" i="64" s="1"/>
  <c r="D66" i="64" s="1"/>
  <c r="C18" i="64"/>
  <c r="J13" i="64"/>
  <c r="J12" i="64"/>
  <c r="M68" i="65"/>
  <c r="L68" i="65"/>
  <c r="K68" i="65"/>
  <c r="D38" i="80" s="1"/>
  <c r="I68" i="65"/>
  <c r="H68" i="65"/>
  <c r="O68" i="65" s="1"/>
  <c r="G68" i="65"/>
  <c r="F68" i="65"/>
  <c r="E68" i="65"/>
  <c r="D68" i="65"/>
  <c r="C68" i="65"/>
  <c r="J60" i="65"/>
  <c r="M57" i="65"/>
  <c r="M57" i="69" s="1"/>
  <c r="L57" i="65"/>
  <c r="L57" i="69" s="1"/>
  <c r="K57" i="65"/>
  <c r="K57" i="69" s="1"/>
  <c r="I57" i="65"/>
  <c r="I57" i="69" s="1"/>
  <c r="H57" i="65"/>
  <c r="G57" i="65"/>
  <c r="G57" i="69" s="1"/>
  <c r="F57" i="65"/>
  <c r="F57" i="69" s="1"/>
  <c r="E57" i="65"/>
  <c r="E57" i="69" s="1"/>
  <c r="D57" i="65"/>
  <c r="D57" i="69" s="1"/>
  <c r="C57" i="65"/>
  <c r="C57" i="69" s="1"/>
  <c r="G31" i="65"/>
  <c r="F31" i="65"/>
  <c r="E31" i="65"/>
  <c r="D31" i="65"/>
  <c r="C31" i="65"/>
  <c r="G18" i="65"/>
  <c r="G61" i="65" s="1"/>
  <c r="G66" i="65" s="1"/>
  <c r="F18" i="65"/>
  <c r="F61" i="65" s="1"/>
  <c r="F66" i="65" s="1"/>
  <c r="E18" i="65"/>
  <c r="D18" i="65"/>
  <c r="D61" i="65" s="1"/>
  <c r="D66" i="65" s="1"/>
  <c r="C18" i="65"/>
  <c r="C61" i="65" s="1"/>
  <c r="C66" i="65" s="1"/>
  <c r="J12" i="65"/>
  <c r="AE94" i="43"/>
  <c r="AD94" i="43"/>
  <c r="AC94" i="43"/>
  <c r="AA94" i="43"/>
  <c r="Z94" i="43"/>
  <c r="Y94" i="43"/>
  <c r="X94" i="43"/>
  <c r="W94" i="43"/>
  <c r="V94" i="43"/>
  <c r="U94" i="43"/>
  <c r="T94" i="43"/>
  <c r="S94" i="43"/>
  <c r="R94" i="43"/>
  <c r="P94" i="43"/>
  <c r="O94" i="43"/>
  <c r="N94" i="43"/>
  <c r="M94" i="43"/>
  <c r="L94" i="43"/>
  <c r="AB92" i="43"/>
  <c r="AB91" i="43"/>
  <c r="AB90" i="43"/>
  <c r="AB89" i="43"/>
  <c r="AB88" i="43"/>
  <c r="AB87" i="43"/>
  <c r="AB86" i="43"/>
  <c r="AB85" i="43"/>
  <c r="AB84" i="43"/>
  <c r="AB83" i="43"/>
  <c r="AE57" i="43"/>
  <c r="AD57" i="43"/>
  <c r="AC57" i="43"/>
  <c r="AB57" i="43"/>
  <c r="AA57" i="43"/>
  <c r="Z57" i="43"/>
  <c r="Y57" i="43"/>
  <c r="X57" i="43"/>
  <c r="W57" i="43"/>
  <c r="V57" i="43"/>
  <c r="R57" i="43"/>
  <c r="I13" i="65" s="1"/>
  <c r="Q57" i="43"/>
  <c r="H13" i="65" s="1"/>
  <c r="O13" i="65" s="1"/>
  <c r="P57" i="43"/>
  <c r="O57" i="43"/>
  <c r="N57" i="43"/>
  <c r="M57" i="43"/>
  <c r="L57" i="43"/>
  <c r="AE46" i="43"/>
  <c r="AD46" i="43"/>
  <c r="AC46" i="43"/>
  <c r="AB46" i="43"/>
  <c r="AA46" i="43"/>
  <c r="Z46" i="43"/>
  <c r="Y46" i="43"/>
  <c r="X46" i="43"/>
  <c r="W46" i="43"/>
  <c r="V46" i="43"/>
  <c r="U46" i="43"/>
  <c r="T46" i="43"/>
  <c r="T67" i="43" s="1"/>
  <c r="L13" i="64" s="1"/>
  <c r="S46" i="43"/>
  <c r="S67" i="43" s="1"/>
  <c r="K13" i="64" s="1"/>
  <c r="R46" i="43"/>
  <c r="Q46" i="43"/>
  <c r="P46" i="43"/>
  <c r="O46" i="43"/>
  <c r="N46" i="43"/>
  <c r="M46" i="43"/>
  <c r="L46" i="43"/>
  <c r="AE45" i="43"/>
  <c r="AD45" i="43"/>
  <c r="AC45" i="43"/>
  <c r="AB45" i="43"/>
  <c r="AA45" i="43"/>
  <c r="Z45" i="43"/>
  <c r="Y45" i="43"/>
  <c r="X45" i="43"/>
  <c r="W45" i="43"/>
  <c r="V45" i="43"/>
  <c r="U45" i="43"/>
  <c r="T45" i="43"/>
  <c r="S45" i="43"/>
  <c r="R45" i="43"/>
  <c r="Q45" i="43"/>
  <c r="P45" i="43"/>
  <c r="O45" i="43"/>
  <c r="N45" i="43"/>
  <c r="M45" i="43"/>
  <c r="L45" i="43"/>
  <c r="AE31" i="43"/>
  <c r="AD31" i="43"/>
  <c r="AC31" i="43"/>
  <c r="AB31" i="43"/>
  <c r="AA31" i="43"/>
  <c r="Z31" i="43"/>
  <c r="Y31" i="43"/>
  <c r="X31" i="43"/>
  <c r="W31" i="43"/>
  <c r="V31" i="43"/>
  <c r="U31" i="43"/>
  <c r="T31" i="43"/>
  <c r="S31" i="43"/>
  <c r="R31" i="43"/>
  <c r="Q31" i="43"/>
  <c r="P31" i="43"/>
  <c r="O31" i="43"/>
  <c r="N31" i="43"/>
  <c r="M31" i="43"/>
  <c r="L31" i="43"/>
  <c r="AE6" i="43"/>
  <c r="AD6" i="43"/>
  <c r="AC6" i="43"/>
  <c r="AB6" i="43"/>
  <c r="AA6" i="43"/>
  <c r="Z6" i="43"/>
  <c r="Y6" i="43"/>
  <c r="X6" i="43"/>
  <c r="W6" i="43"/>
  <c r="V6" i="43"/>
  <c r="U6" i="43"/>
  <c r="T6" i="43"/>
  <c r="S6" i="43"/>
  <c r="R6" i="43"/>
  <c r="Q6" i="43"/>
  <c r="P6" i="43"/>
  <c r="O6" i="43"/>
  <c r="N6" i="43"/>
  <c r="M6" i="43"/>
  <c r="L6" i="43"/>
  <c r="K6" i="43"/>
  <c r="AE5" i="43"/>
  <c r="AD5" i="43"/>
  <c r="AC5" i="43"/>
  <c r="AB5" i="43"/>
  <c r="AA5" i="43"/>
  <c r="Z5" i="43"/>
  <c r="Y5" i="43"/>
  <c r="X5" i="43"/>
  <c r="W5" i="43"/>
  <c r="V5" i="43"/>
  <c r="U5" i="43"/>
  <c r="T5" i="43"/>
  <c r="S5" i="43"/>
  <c r="R5" i="43"/>
  <c r="Q5" i="43"/>
  <c r="P5" i="43"/>
  <c r="O5" i="43"/>
  <c r="N5" i="43"/>
  <c r="M5" i="43"/>
  <c r="L5" i="43"/>
  <c r="K5" i="43"/>
  <c r="AE4" i="43"/>
  <c r="AD4" i="43"/>
  <c r="AC4" i="43"/>
  <c r="AB4" i="43"/>
  <c r="AA4" i="43"/>
  <c r="Z4" i="43"/>
  <c r="Y4" i="43"/>
  <c r="X4" i="43"/>
  <c r="W4" i="43"/>
  <c r="V4" i="43"/>
  <c r="U4" i="43"/>
  <c r="T4" i="43"/>
  <c r="S4" i="43"/>
  <c r="R4" i="43"/>
  <c r="Q4" i="43"/>
  <c r="P4" i="43"/>
  <c r="O4" i="43"/>
  <c r="N4" i="43"/>
  <c r="M4" i="43"/>
  <c r="L4" i="43"/>
  <c r="AE3" i="43"/>
  <c r="AD3" i="43"/>
  <c r="AC3" i="43"/>
  <c r="AB3" i="43"/>
  <c r="AA3" i="43"/>
  <c r="Z3" i="43"/>
  <c r="Y3" i="43"/>
  <c r="X3" i="43"/>
  <c r="W3" i="43"/>
  <c r="V3" i="43"/>
  <c r="U3" i="43"/>
  <c r="T3" i="43"/>
  <c r="S3" i="43"/>
  <c r="R3" i="43"/>
  <c r="Q3" i="43"/>
  <c r="P3" i="43"/>
  <c r="O3" i="43"/>
  <c r="N3" i="43"/>
  <c r="M3" i="43"/>
  <c r="L3" i="43"/>
  <c r="K3" i="43"/>
  <c r="AE2" i="43"/>
  <c r="AD2" i="43"/>
  <c r="AC2" i="43"/>
  <c r="AB2" i="43"/>
  <c r="AA2" i="43"/>
  <c r="Z2" i="43"/>
  <c r="Y2" i="43"/>
  <c r="X2" i="43"/>
  <c r="W2" i="43"/>
  <c r="V2" i="43"/>
  <c r="U2" i="43"/>
  <c r="T2" i="43"/>
  <c r="S2" i="43"/>
  <c r="R2" i="43"/>
  <c r="Q2" i="43"/>
  <c r="P2" i="43"/>
  <c r="O2" i="43"/>
  <c r="N2" i="43"/>
  <c r="M2" i="43"/>
  <c r="L2" i="43"/>
  <c r="K2" i="43"/>
  <c r="AK62" i="42"/>
  <c r="AJ62" i="42"/>
  <c r="AI62" i="42"/>
  <c r="AH62" i="42"/>
  <c r="AG62" i="42"/>
  <c r="AF62" i="42"/>
  <c r="AE62" i="42"/>
  <c r="AD62" i="42"/>
  <c r="AC62" i="42"/>
  <c r="AB62" i="42"/>
  <c r="AA62" i="42"/>
  <c r="Z62" i="42"/>
  <c r="Y62" i="42"/>
  <c r="X62" i="42"/>
  <c r="W62" i="42"/>
  <c r="V62" i="42"/>
  <c r="U62" i="42"/>
  <c r="T62" i="42"/>
  <c r="S62" i="42"/>
  <c r="R62" i="42"/>
  <c r="C46" i="42"/>
  <c r="C35" i="42" s="1"/>
  <c r="C59" i="42" s="1"/>
  <c r="C45" i="42"/>
  <c r="C34" i="42" s="1"/>
  <c r="C58" i="42" s="1"/>
  <c r="C86" i="42" s="1"/>
  <c r="C44" i="42"/>
  <c r="C33" i="42" s="1"/>
  <c r="C57" i="42" s="1"/>
  <c r="C70" i="42" s="1"/>
  <c r="C98" i="42" s="1"/>
  <c r="C43" i="42"/>
  <c r="C32" i="42" s="1"/>
  <c r="C56" i="42" s="1"/>
  <c r="C42" i="42"/>
  <c r="C31" i="42" s="1"/>
  <c r="C55" i="42" s="1"/>
  <c r="C41" i="42"/>
  <c r="C30" i="42" s="1"/>
  <c r="C54" i="42" s="1"/>
  <c r="C67" i="42" s="1"/>
  <c r="C95" i="42" s="1"/>
  <c r="C40" i="42"/>
  <c r="C29" i="42" s="1"/>
  <c r="C53" i="42" s="1"/>
  <c r="C66" i="42" s="1"/>
  <c r="C94" i="42" s="1"/>
  <c r="R11" i="42"/>
  <c r="S11" i="42" s="1"/>
  <c r="AH90" i="42"/>
  <c r="AK6" i="42"/>
  <c r="AJ6" i="42"/>
  <c r="AI6" i="42"/>
  <c r="AH6" i="42"/>
  <c r="AG6" i="42"/>
  <c r="AF6" i="42"/>
  <c r="AE6" i="42"/>
  <c r="AD6" i="42"/>
  <c r="AC6" i="42"/>
  <c r="AB6" i="42"/>
  <c r="AA6" i="42"/>
  <c r="Z6" i="42"/>
  <c r="Y6" i="42"/>
  <c r="X6" i="42"/>
  <c r="W6" i="42"/>
  <c r="V6" i="42"/>
  <c r="U6" i="42"/>
  <c r="T6" i="42"/>
  <c r="S6" i="42"/>
  <c r="R6" i="42"/>
  <c r="AK5" i="42"/>
  <c r="AJ5" i="42"/>
  <c r="AI5" i="42"/>
  <c r="AH5" i="42"/>
  <c r="AG5" i="42"/>
  <c r="AF5" i="42"/>
  <c r="AE5" i="42"/>
  <c r="AD5" i="42"/>
  <c r="AC5" i="42"/>
  <c r="AB5" i="42"/>
  <c r="AA5" i="42"/>
  <c r="Z5" i="42"/>
  <c r="Y5" i="42"/>
  <c r="X5" i="42"/>
  <c r="W5" i="42"/>
  <c r="V5" i="42"/>
  <c r="U5" i="42"/>
  <c r="T5" i="42"/>
  <c r="S5" i="42"/>
  <c r="R5" i="42"/>
  <c r="AK4" i="42"/>
  <c r="AJ4" i="42"/>
  <c r="AI4" i="42"/>
  <c r="AH4" i="42"/>
  <c r="AG4" i="42"/>
  <c r="AF4" i="42"/>
  <c r="AE4" i="42"/>
  <c r="AD4" i="42"/>
  <c r="AC4" i="42"/>
  <c r="AB4" i="42"/>
  <c r="AA4" i="42"/>
  <c r="Z4" i="42"/>
  <c r="Y4" i="42"/>
  <c r="Y40" i="42" s="1"/>
  <c r="X4" i="42"/>
  <c r="W4" i="42"/>
  <c r="V4" i="42"/>
  <c r="U4" i="42"/>
  <c r="T4" i="42"/>
  <c r="S4" i="42"/>
  <c r="R4" i="42"/>
  <c r="AK3" i="42"/>
  <c r="AJ3" i="42"/>
  <c r="AI3" i="42"/>
  <c r="AH3" i="42"/>
  <c r="AG3" i="42"/>
  <c r="AF3" i="42"/>
  <c r="AE3" i="42"/>
  <c r="AD3" i="42"/>
  <c r="AC3" i="42"/>
  <c r="AB3" i="42"/>
  <c r="AA3" i="42"/>
  <c r="Z3" i="42"/>
  <c r="Y3" i="42"/>
  <c r="X3" i="42"/>
  <c r="W3" i="42"/>
  <c r="V3" i="42"/>
  <c r="U3" i="42"/>
  <c r="T3" i="42"/>
  <c r="S3" i="42"/>
  <c r="R3" i="42"/>
  <c r="AK2" i="42"/>
  <c r="AJ2" i="42"/>
  <c r="AI2" i="42"/>
  <c r="AH2" i="42"/>
  <c r="AG2" i="42"/>
  <c r="AF2" i="42"/>
  <c r="AE2" i="42"/>
  <c r="AD2" i="42"/>
  <c r="AC2" i="42"/>
  <c r="AB2" i="42"/>
  <c r="AA2" i="42"/>
  <c r="Z2" i="42"/>
  <c r="Y2" i="42"/>
  <c r="X2" i="42"/>
  <c r="W2" i="42"/>
  <c r="V2" i="42"/>
  <c r="U2" i="42"/>
  <c r="T2" i="42"/>
  <c r="S2" i="42"/>
  <c r="R2" i="42"/>
  <c r="M68" i="63"/>
  <c r="L68" i="63"/>
  <c r="K68" i="63"/>
  <c r="I68" i="63"/>
  <c r="P68" i="63" s="1"/>
  <c r="H68" i="63"/>
  <c r="G68" i="63"/>
  <c r="F68" i="63"/>
  <c r="E68" i="63"/>
  <c r="D68" i="63"/>
  <c r="C68" i="63"/>
  <c r="M64" i="63"/>
  <c r="L64" i="63"/>
  <c r="K64" i="63"/>
  <c r="I64" i="63"/>
  <c r="H64" i="63"/>
  <c r="G64" i="63"/>
  <c r="F64" i="63"/>
  <c r="E64" i="63"/>
  <c r="D64" i="63"/>
  <c r="C64" i="63"/>
  <c r="J60" i="63"/>
  <c r="J52" i="63"/>
  <c r="J51" i="63"/>
  <c r="M39" i="63"/>
  <c r="L39" i="63"/>
  <c r="K39" i="63"/>
  <c r="I39" i="63"/>
  <c r="H39" i="63"/>
  <c r="G39" i="63"/>
  <c r="G41" i="63" s="1"/>
  <c r="F39" i="63"/>
  <c r="F41" i="63" s="1"/>
  <c r="E39" i="63"/>
  <c r="E41" i="63" s="1"/>
  <c r="D39" i="63"/>
  <c r="D41" i="63" s="1"/>
  <c r="C39" i="63"/>
  <c r="C41" i="63" s="1"/>
  <c r="N28" i="63"/>
  <c r="G18" i="63"/>
  <c r="G61" i="63" s="1"/>
  <c r="F18" i="63"/>
  <c r="E18" i="63"/>
  <c r="D18" i="63"/>
  <c r="D28" i="63" s="1"/>
  <c r="D31" i="63" s="1"/>
  <c r="C18" i="63"/>
  <c r="C28" i="63" s="1"/>
  <c r="C31" i="63" s="1"/>
  <c r="M68" i="62"/>
  <c r="L68" i="62"/>
  <c r="K68" i="62"/>
  <c r="I68" i="62"/>
  <c r="H68" i="62"/>
  <c r="G68" i="62"/>
  <c r="F68" i="62"/>
  <c r="E68" i="62"/>
  <c r="D68" i="62"/>
  <c r="C68" i="62"/>
  <c r="M64" i="62"/>
  <c r="L64" i="62"/>
  <c r="K64" i="62"/>
  <c r="I64" i="62"/>
  <c r="H64" i="62"/>
  <c r="G64" i="62"/>
  <c r="F64" i="62"/>
  <c r="E64" i="62"/>
  <c r="D64" i="62"/>
  <c r="C64" i="62"/>
  <c r="J60" i="62"/>
  <c r="J52" i="62"/>
  <c r="J51" i="62"/>
  <c r="M39" i="62"/>
  <c r="L39" i="62"/>
  <c r="K39" i="62"/>
  <c r="I39" i="62"/>
  <c r="H39" i="62"/>
  <c r="H39" i="69" s="1"/>
  <c r="G18" i="62"/>
  <c r="G61" i="62" s="1"/>
  <c r="F18" i="62"/>
  <c r="F61" i="62" s="1"/>
  <c r="E18" i="62"/>
  <c r="D18" i="62"/>
  <c r="D28" i="62" s="1"/>
  <c r="D31" i="62" s="1"/>
  <c r="C18" i="62"/>
  <c r="AE107" i="37"/>
  <c r="AD107" i="37"/>
  <c r="AC107" i="37"/>
  <c r="AB107" i="37"/>
  <c r="AA107" i="37"/>
  <c r="Z107" i="37"/>
  <c r="Y107" i="37"/>
  <c r="X107" i="37"/>
  <c r="W107" i="37"/>
  <c r="V107" i="37"/>
  <c r="P107" i="37"/>
  <c r="O107" i="37"/>
  <c r="N107" i="37"/>
  <c r="M107" i="37"/>
  <c r="L107" i="37"/>
  <c r="U102" i="37"/>
  <c r="T102" i="37"/>
  <c r="S102" i="37"/>
  <c r="R102" i="37"/>
  <c r="R107" i="37" s="1"/>
  <c r="J102" i="37"/>
  <c r="AE81" i="37"/>
  <c r="AE89" i="37" s="1"/>
  <c r="AD81" i="37"/>
  <c r="AD89" i="37" s="1"/>
  <c r="AC81" i="37"/>
  <c r="AC89" i="37" s="1"/>
  <c r="AB81" i="37"/>
  <c r="AA81" i="37"/>
  <c r="Z81" i="37"/>
  <c r="Z89" i="37" s="1"/>
  <c r="Y81" i="37"/>
  <c r="Y89" i="37" s="1"/>
  <c r="X81" i="37"/>
  <c r="X89" i="37" s="1"/>
  <c r="W81" i="37"/>
  <c r="V81" i="37"/>
  <c r="V89" i="37" s="1"/>
  <c r="P81" i="37"/>
  <c r="P89" i="37" s="1"/>
  <c r="O81" i="37"/>
  <c r="O89" i="37" s="1"/>
  <c r="N81" i="37"/>
  <c r="M81" i="37"/>
  <c r="M89" i="37" s="1"/>
  <c r="L81" i="37"/>
  <c r="L89" i="37" s="1"/>
  <c r="J81" i="37"/>
  <c r="U72" i="37"/>
  <c r="U81" i="37" s="1"/>
  <c r="U89" i="37" s="1"/>
  <c r="T72" i="37"/>
  <c r="T81" i="37" s="1"/>
  <c r="S72" i="37"/>
  <c r="S81" i="37" s="1"/>
  <c r="R72" i="37"/>
  <c r="R81" i="37" s="1"/>
  <c r="Q81" i="37"/>
  <c r="AE67" i="37"/>
  <c r="AD67" i="37"/>
  <c r="AC67" i="37"/>
  <c r="AB67" i="37"/>
  <c r="AA67" i="37"/>
  <c r="Z67" i="37"/>
  <c r="Y67" i="37"/>
  <c r="X67" i="37"/>
  <c r="W67" i="37"/>
  <c r="V67" i="37"/>
  <c r="P67" i="37"/>
  <c r="O67" i="37"/>
  <c r="N67" i="37"/>
  <c r="M67" i="37"/>
  <c r="L67" i="37"/>
  <c r="AE57" i="37"/>
  <c r="AD57" i="37"/>
  <c r="AC57" i="37"/>
  <c r="AB57" i="37"/>
  <c r="AA57" i="37"/>
  <c r="Z57" i="37"/>
  <c r="Y57" i="37"/>
  <c r="X57" i="37"/>
  <c r="W57" i="37"/>
  <c r="V57" i="37"/>
  <c r="P57" i="37"/>
  <c r="O57" i="37"/>
  <c r="N57" i="37"/>
  <c r="M57" i="37"/>
  <c r="L57" i="37"/>
  <c r="AE56" i="37"/>
  <c r="AD56" i="37"/>
  <c r="AC56" i="37"/>
  <c r="AB56" i="37"/>
  <c r="AA56" i="37"/>
  <c r="Z56" i="37"/>
  <c r="Y56" i="37"/>
  <c r="X56" i="37"/>
  <c r="W56" i="37"/>
  <c r="V56" i="37"/>
  <c r="P56" i="37"/>
  <c r="O56" i="37"/>
  <c r="N56" i="37"/>
  <c r="M56" i="37"/>
  <c r="L56" i="37"/>
  <c r="AE46" i="37"/>
  <c r="AD46" i="37"/>
  <c r="AC46" i="37"/>
  <c r="AB46" i="37"/>
  <c r="AA46" i="37"/>
  <c r="Z46" i="37"/>
  <c r="Y46" i="37"/>
  <c r="X46" i="37"/>
  <c r="W46" i="37"/>
  <c r="V46" i="37"/>
  <c r="P46" i="37"/>
  <c r="O46" i="37"/>
  <c r="N46" i="37"/>
  <c r="M46" i="37"/>
  <c r="L46" i="37"/>
  <c r="AE45" i="37"/>
  <c r="AD45" i="37"/>
  <c r="AC45" i="37"/>
  <c r="AB45" i="37"/>
  <c r="AA45" i="37"/>
  <c r="Z45" i="37"/>
  <c r="Y45" i="37"/>
  <c r="X45" i="37"/>
  <c r="W45" i="37"/>
  <c r="V45" i="37"/>
  <c r="P45" i="37"/>
  <c r="O45" i="37"/>
  <c r="N45" i="37"/>
  <c r="M45" i="37"/>
  <c r="L45" i="37"/>
  <c r="J45" i="37"/>
  <c r="J43" i="37"/>
  <c r="J42" i="37"/>
  <c r="J41" i="37"/>
  <c r="J40" i="37"/>
  <c r="J39" i="37"/>
  <c r="J38" i="37"/>
  <c r="U37" i="37"/>
  <c r="T37" i="37"/>
  <c r="S37" i="37"/>
  <c r="R37" i="37"/>
  <c r="Q37" i="37"/>
  <c r="J37" i="37"/>
  <c r="U36" i="37"/>
  <c r="T36" i="37"/>
  <c r="S36" i="37"/>
  <c r="R36" i="37"/>
  <c r="Q36" i="37"/>
  <c r="J36" i="37"/>
  <c r="U35" i="37"/>
  <c r="T35" i="37"/>
  <c r="S35" i="37"/>
  <c r="R35" i="37"/>
  <c r="Q35" i="37"/>
  <c r="J35" i="37"/>
  <c r="U34" i="37"/>
  <c r="T34" i="37"/>
  <c r="S34" i="37"/>
  <c r="R34" i="37"/>
  <c r="Q34" i="37"/>
  <c r="J34" i="37"/>
  <c r="AE31" i="37"/>
  <c r="AD31" i="37"/>
  <c r="AC31" i="37"/>
  <c r="AB31" i="37"/>
  <c r="AA31" i="37"/>
  <c r="Z31" i="37"/>
  <c r="Y31" i="37"/>
  <c r="X31" i="37"/>
  <c r="W31" i="37"/>
  <c r="V31" i="37"/>
  <c r="P31" i="37"/>
  <c r="O31" i="37"/>
  <c r="N31" i="37"/>
  <c r="M31" i="37"/>
  <c r="L31" i="37"/>
  <c r="U20" i="37"/>
  <c r="T20" i="37"/>
  <c r="S20" i="37"/>
  <c r="R20" i="37"/>
  <c r="Q20" i="37"/>
  <c r="U19" i="37"/>
  <c r="T19" i="37"/>
  <c r="S19" i="37"/>
  <c r="R19" i="37"/>
  <c r="Q19" i="37"/>
  <c r="U15" i="37"/>
  <c r="U46" i="37" s="1"/>
  <c r="T15" i="37"/>
  <c r="T46" i="37" s="1"/>
  <c r="S15" i="37"/>
  <c r="S46" i="37" s="1"/>
  <c r="R15" i="37"/>
  <c r="R46" i="37" s="1"/>
  <c r="Q15" i="37"/>
  <c r="Q46" i="37" s="1"/>
  <c r="AE6" i="37"/>
  <c r="AD6" i="37"/>
  <c r="AC6" i="37"/>
  <c r="AB6" i="37"/>
  <c r="AA6" i="37"/>
  <c r="Z6" i="37"/>
  <c r="Y6" i="37"/>
  <c r="X6" i="37"/>
  <c r="W6" i="37"/>
  <c r="V6" i="37"/>
  <c r="U6" i="37"/>
  <c r="T6" i="37"/>
  <c r="S6" i="37"/>
  <c r="R6" i="37"/>
  <c r="Q6" i="37"/>
  <c r="P6" i="37"/>
  <c r="O6" i="37"/>
  <c r="N6" i="37"/>
  <c r="M6" i="37"/>
  <c r="L6" i="37"/>
  <c r="K6" i="37"/>
  <c r="AE5" i="37"/>
  <c r="AD5" i="37"/>
  <c r="AC5" i="37"/>
  <c r="AB5" i="37"/>
  <c r="AA5" i="37"/>
  <c r="Z5" i="37"/>
  <c r="Y5" i="37"/>
  <c r="X5" i="37"/>
  <c r="W5" i="37"/>
  <c r="V5" i="37"/>
  <c r="U5" i="37"/>
  <c r="T5" i="37"/>
  <c r="S5" i="37"/>
  <c r="R5" i="37"/>
  <c r="Q5" i="37"/>
  <c r="P5" i="37"/>
  <c r="O5" i="37"/>
  <c r="N5" i="37"/>
  <c r="M5" i="37"/>
  <c r="L5" i="37"/>
  <c r="K5" i="37"/>
  <c r="C5" i="37"/>
  <c r="AE4" i="37"/>
  <c r="AD4" i="37"/>
  <c r="AC4" i="37"/>
  <c r="AB4" i="37"/>
  <c r="AA4" i="37"/>
  <c r="Z4" i="37"/>
  <c r="Y4" i="37"/>
  <c r="X4" i="37"/>
  <c r="W4" i="37"/>
  <c r="V4" i="37"/>
  <c r="U4" i="37"/>
  <c r="T4" i="37"/>
  <c r="S4" i="37"/>
  <c r="R4" i="37"/>
  <c r="Q4" i="37"/>
  <c r="P4" i="37"/>
  <c r="O4" i="37"/>
  <c r="N4" i="37"/>
  <c r="M4" i="37"/>
  <c r="L4" i="37"/>
  <c r="AE3" i="37"/>
  <c r="AD3" i="37"/>
  <c r="AC3" i="37"/>
  <c r="AB3" i="37"/>
  <c r="AA3" i="37"/>
  <c r="Z3" i="37"/>
  <c r="Y3" i="37"/>
  <c r="X3" i="37"/>
  <c r="W3" i="37"/>
  <c r="V3" i="37"/>
  <c r="U3" i="37"/>
  <c r="T3" i="37"/>
  <c r="S3" i="37"/>
  <c r="R3" i="37"/>
  <c r="Q3" i="37"/>
  <c r="P3" i="37"/>
  <c r="O3" i="37"/>
  <c r="N3" i="37"/>
  <c r="M3" i="37"/>
  <c r="L3" i="37"/>
  <c r="K3" i="37"/>
  <c r="AE2" i="37"/>
  <c r="AD2" i="37"/>
  <c r="AC2" i="37"/>
  <c r="AB2" i="37"/>
  <c r="AA2" i="37"/>
  <c r="Z2" i="37"/>
  <c r="Y2" i="37"/>
  <c r="X2" i="37"/>
  <c r="W2" i="37"/>
  <c r="V2" i="37"/>
  <c r="U2" i="37"/>
  <c r="T2" i="37"/>
  <c r="S2" i="37"/>
  <c r="R2" i="37"/>
  <c r="Q2" i="37"/>
  <c r="P2" i="37"/>
  <c r="O2" i="37"/>
  <c r="N2" i="37"/>
  <c r="M2" i="37"/>
  <c r="L2" i="37"/>
  <c r="K2" i="37"/>
  <c r="Q31" i="36"/>
  <c r="Q30" i="36"/>
  <c r="Q29" i="36"/>
  <c r="Q28" i="36"/>
  <c r="Q27" i="36"/>
  <c r="Q26" i="36"/>
  <c r="Q25" i="36"/>
  <c r="Q24" i="36"/>
  <c r="AD23" i="36"/>
  <c r="AC23" i="36"/>
  <c r="AB23" i="36"/>
  <c r="AA23" i="36"/>
  <c r="Z23" i="36"/>
  <c r="Q23" i="36"/>
  <c r="Q22" i="36"/>
  <c r="Q21" i="36"/>
  <c r="Q20" i="36"/>
  <c r="Q19" i="36"/>
  <c r="S11" i="36"/>
  <c r="S105" i="36" s="1"/>
  <c r="Q11" i="36"/>
  <c r="AL6" i="36"/>
  <c r="AK6" i="36"/>
  <c r="AJ6" i="36"/>
  <c r="AI6" i="36"/>
  <c r="AH6" i="36"/>
  <c r="AG6" i="36"/>
  <c r="AF6" i="36"/>
  <c r="AE6" i="36"/>
  <c r="AD6" i="36"/>
  <c r="AC6" i="36"/>
  <c r="AB6" i="36"/>
  <c r="AA6" i="36"/>
  <c r="Z6" i="36"/>
  <c r="Y6" i="36"/>
  <c r="X6" i="36"/>
  <c r="W6" i="36"/>
  <c r="V6" i="36"/>
  <c r="U6" i="36"/>
  <c r="T6" i="36"/>
  <c r="S6" i="36"/>
  <c r="AL5" i="36"/>
  <c r="AK5" i="36"/>
  <c r="AJ5" i="36"/>
  <c r="AI5" i="36"/>
  <c r="AH5" i="36"/>
  <c r="AG5" i="36"/>
  <c r="AF5" i="36"/>
  <c r="AE5" i="36"/>
  <c r="AD5" i="36"/>
  <c r="AC5" i="36"/>
  <c r="AB5" i="36"/>
  <c r="AA5" i="36"/>
  <c r="Z5" i="36"/>
  <c r="Y5" i="36"/>
  <c r="X5" i="36"/>
  <c r="W5" i="36"/>
  <c r="V5" i="36"/>
  <c r="U5" i="36"/>
  <c r="T5" i="36"/>
  <c r="S5" i="36"/>
  <c r="AL4" i="36"/>
  <c r="AK4" i="36"/>
  <c r="AJ4" i="36"/>
  <c r="AJ37" i="36" s="1"/>
  <c r="AI4" i="36"/>
  <c r="AI47" i="36" s="1"/>
  <c r="AH4" i="36"/>
  <c r="AG4" i="36"/>
  <c r="AF4" i="36"/>
  <c r="AF38" i="36" s="1"/>
  <c r="AF114" i="36" s="1"/>
  <c r="AE4" i="36"/>
  <c r="AE39" i="36" s="1"/>
  <c r="AE75" i="36" s="1"/>
  <c r="AD4" i="36"/>
  <c r="AC4" i="36"/>
  <c r="AB4" i="36"/>
  <c r="AA4" i="36"/>
  <c r="AA57" i="36" s="1"/>
  <c r="AA134" i="36" s="1"/>
  <c r="Z4" i="36"/>
  <c r="Y4" i="36"/>
  <c r="X4" i="36"/>
  <c r="X38" i="36" s="1"/>
  <c r="X114" i="36" s="1"/>
  <c r="W4" i="36"/>
  <c r="V4" i="36"/>
  <c r="U4" i="36"/>
  <c r="T4" i="36"/>
  <c r="T58" i="36" s="1"/>
  <c r="T135" i="36" s="1"/>
  <c r="S4" i="36"/>
  <c r="S59" i="36" s="1"/>
  <c r="AL3" i="36"/>
  <c r="AK3" i="36"/>
  <c r="AJ3" i="36"/>
  <c r="AI3" i="36"/>
  <c r="AH3" i="36"/>
  <c r="AG3" i="36"/>
  <c r="AF3" i="36"/>
  <c r="AE3" i="36"/>
  <c r="AD3" i="36"/>
  <c r="AC3" i="36"/>
  <c r="AB3" i="36"/>
  <c r="AA3" i="36"/>
  <c r="Z3" i="36"/>
  <c r="Y3" i="36"/>
  <c r="X3" i="36"/>
  <c r="W3" i="36"/>
  <c r="V3" i="36"/>
  <c r="U3" i="36"/>
  <c r="T3" i="36"/>
  <c r="S3" i="36"/>
  <c r="AL2" i="36"/>
  <c r="AK2" i="36"/>
  <c r="AJ2" i="36"/>
  <c r="AI2" i="36"/>
  <c r="AH2" i="36"/>
  <c r="AG2" i="36"/>
  <c r="AF2" i="36"/>
  <c r="AE2" i="36"/>
  <c r="AD2" i="36"/>
  <c r="AC2" i="36"/>
  <c r="AB2" i="36"/>
  <c r="AA2" i="36"/>
  <c r="Z2" i="36"/>
  <c r="Y2" i="36"/>
  <c r="X2" i="36"/>
  <c r="W2" i="36"/>
  <c r="V2" i="36"/>
  <c r="U2" i="36"/>
  <c r="T2" i="36"/>
  <c r="S2" i="36"/>
  <c r="M68" i="67"/>
  <c r="L68" i="67"/>
  <c r="K68" i="67"/>
  <c r="I68" i="67"/>
  <c r="P68" i="67" s="1"/>
  <c r="H68" i="67"/>
  <c r="G68" i="67"/>
  <c r="F68" i="67"/>
  <c r="E68" i="67"/>
  <c r="D68" i="67"/>
  <c r="C68" i="67"/>
  <c r="M64" i="67"/>
  <c r="L64" i="67"/>
  <c r="K64" i="67"/>
  <c r="I64" i="67"/>
  <c r="H64" i="67"/>
  <c r="G64" i="67"/>
  <c r="F64" i="67"/>
  <c r="E64" i="67"/>
  <c r="D64" i="67"/>
  <c r="C64" i="67"/>
  <c r="J60" i="67"/>
  <c r="J52" i="67"/>
  <c r="J52" i="70" s="1"/>
  <c r="M50" i="67"/>
  <c r="M50" i="70" s="1"/>
  <c r="L50" i="67"/>
  <c r="L50" i="70" s="1"/>
  <c r="K50" i="67"/>
  <c r="K50" i="70" s="1"/>
  <c r="I50" i="67"/>
  <c r="H50" i="67"/>
  <c r="J47" i="67"/>
  <c r="J47" i="70" s="1"/>
  <c r="M39" i="67"/>
  <c r="L39" i="67"/>
  <c r="K39" i="67"/>
  <c r="I39" i="67"/>
  <c r="H39" i="67"/>
  <c r="G39" i="67"/>
  <c r="F39" i="67"/>
  <c r="F39" i="70" s="1"/>
  <c r="E39" i="67"/>
  <c r="E39" i="70" s="1"/>
  <c r="D39" i="67"/>
  <c r="C39" i="67"/>
  <c r="M31" i="67"/>
  <c r="L31" i="67"/>
  <c r="K31" i="67"/>
  <c r="J31" i="67"/>
  <c r="I31" i="67"/>
  <c r="H31" i="67"/>
  <c r="G31" i="67"/>
  <c r="F31" i="67"/>
  <c r="E31" i="67"/>
  <c r="D31" i="67"/>
  <c r="C31" i="67"/>
  <c r="G18" i="67"/>
  <c r="F18" i="67"/>
  <c r="E18" i="67"/>
  <c r="D18" i="67"/>
  <c r="C18" i="67"/>
  <c r="J15" i="67"/>
  <c r="M68" i="66"/>
  <c r="L68" i="66"/>
  <c r="K68" i="66"/>
  <c r="I68" i="66"/>
  <c r="H68" i="66"/>
  <c r="G68" i="66"/>
  <c r="F68" i="66"/>
  <c r="E68" i="66"/>
  <c r="D68" i="66"/>
  <c r="C68" i="66"/>
  <c r="M64" i="66"/>
  <c r="L64" i="66"/>
  <c r="K64" i="66"/>
  <c r="I64" i="66"/>
  <c r="H64" i="66"/>
  <c r="G64" i="66"/>
  <c r="F64" i="66"/>
  <c r="E64" i="66"/>
  <c r="D64" i="66"/>
  <c r="C64" i="66"/>
  <c r="M60" i="66"/>
  <c r="M60" i="69" s="1"/>
  <c r="L60" i="66"/>
  <c r="L60" i="69" s="1"/>
  <c r="K60" i="66"/>
  <c r="K60" i="69" s="1"/>
  <c r="I60" i="66"/>
  <c r="I60" i="69" s="1"/>
  <c r="H60" i="66"/>
  <c r="H60" i="69" s="1"/>
  <c r="G60" i="66"/>
  <c r="G60" i="69" s="1"/>
  <c r="F60" i="66"/>
  <c r="F60" i="69" s="1"/>
  <c r="E60" i="66"/>
  <c r="D60" i="66"/>
  <c r="D60" i="69" s="1"/>
  <c r="C60" i="66"/>
  <c r="C60" i="69" s="1"/>
  <c r="J52" i="66"/>
  <c r="O51" i="66"/>
  <c r="O50" i="66"/>
  <c r="M50" i="66"/>
  <c r="L50" i="66"/>
  <c r="K50" i="66"/>
  <c r="I50" i="66"/>
  <c r="H50" i="66"/>
  <c r="J47" i="66"/>
  <c r="J47" i="69" s="1"/>
  <c r="O39" i="66"/>
  <c r="O41" i="66" s="1"/>
  <c r="M39" i="66"/>
  <c r="M39" i="69" s="1"/>
  <c r="L39" i="66"/>
  <c r="K39" i="66"/>
  <c r="I39" i="66"/>
  <c r="I39" i="69" s="1"/>
  <c r="G39" i="66"/>
  <c r="G39" i="69" s="1"/>
  <c r="F39" i="66"/>
  <c r="F39" i="69" s="1"/>
  <c r="E39" i="66"/>
  <c r="E39" i="69" s="1"/>
  <c r="D39" i="66"/>
  <c r="D39" i="69" s="1"/>
  <c r="C39" i="66"/>
  <c r="C39" i="69" s="1"/>
  <c r="O31" i="66"/>
  <c r="M31" i="66"/>
  <c r="L31" i="66"/>
  <c r="K31" i="66"/>
  <c r="J31" i="66"/>
  <c r="I31" i="66"/>
  <c r="H31" i="66"/>
  <c r="I32" i="66" s="1"/>
  <c r="G31" i="66"/>
  <c r="F31" i="66"/>
  <c r="E31" i="66"/>
  <c r="D31" i="66"/>
  <c r="C31" i="66"/>
  <c r="O18" i="66"/>
  <c r="O61" i="66" s="1"/>
  <c r="G18" i="66"/>
  <c r="F18" i="66"/>
  <c r="E18" i="66"/>
  <c r="D18" i="66"/>
  <c r="C18" i="66"/>
  <c r="J15" i="66"/>
  <c r="C212" i="7"/>
  <c r="C211" i="7"/>
  <c r="C210" i="7"/>
  <c r="C209" i="7"/>
  <c r="C208" i="7"/>
  <c r="C207" i="7"/>
  <c r="C206" i="7"/>
  <c r="C205" i="7"/>
  <c r="C204" i="7"/>
  <c r="C203" i="7"/>
  <c r="C202" i="7"/>
  <c r="C201" i="7"/>
  <c r="C200" i="7"/>
  <c r="C199" i="7"/>
  <c r="C198" i="7"/>
  <c r="C197" i="7"/>
  <c r="C196" i="7"/>
  <c r="C195" i="7"/>
  <c r="C194" i="7"/>
  <c r="C193" i="7"/>
  <c r="C192" i="7"/>
  <c r="C191" i="7"/>
  <c r="C190" i="7"/>
  <c r="C189" i="7"/>
  <c r="C170" i="7"/>
  <c r="C169" i="7"/>
  <c r="C168" i="7"/>
  <c r="C167" i="7"/>
  <c r="C166" i="7"/>
  <c r="C165" i="7"/>
  <c r="C164" i="7"/>
  <c r="C163" i="7"/>
  <c r="C162" i="7"/>
  <c r="C161" i="7"/>
  <c r="C160" i="7"/>
  <c r="C159" i="7"/>
  <c r="C158" i="7"/>
  <c r="C157" i="7"/>
  <c r="C156" i="7"/>
  <c r="C155" i="7"/>
  <c r="C154" i="7"/>
  <c r="C153" i="7"/>
  <c r="C152" i="7"/>
  <c r="C151" i="7"/>
  <c r="C150" i="7"/>
  <c r="C149" i="7"/>
  <c r="C148" i="7"/>
  <c r="C147" i="7"/>
  <c r="Q184" i="7"/>
  <c r="M184" i="7"/>
  <c r="Y100" i="7"/>
  <c r="O79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Z43" i="7"/>
  <c r="V43" i="7"/>
  <c r="R43" i="7"/>
  <c r="N43" i="7"/>
  <c r="C41" i="7"/>
  <c r="C55" i="7" s="1"/>
  <c r="C71" i="7" s="1"/>
  <c r="C92" i="7" s="1"/>
  <c r="C40" i="7"/>
  <c r="C54" i="7" s="1"/>
  <c r="C70" i="7" s="1"/>
  <c r="C91" i="7" s="1"/>
  <c r="C53" i="7"/>
  <c r="C69" i="7" s="1"/>
  <c r="C90" i="7" s="1"/>
  <c r="AE30" i="7"/>
  <c r="AE58" i="7" s="1"/>
  <c r="AD30" i="7"/>
  <c r="AD58" i="7" s="1"/>
  <c r="AC30" i="7"/>
  <c r="AC58" i="7" s="1"/>
  <c r="AB30" i="7"/>
  <c r="AB58" i="7" s="1"/>
  <c r="AA30" i="7"/>
  <c r="AA58" i="7" s="1"/>
  <c r="Z30" i="7"/>
  <c r="Z58" i="7" s="1"/>
  <c r="Y30" i="7"/>
  <c r="Y58" i="7" s="1"/>
  <c r="X30" i="7"/>
  <c r="X58" i="7" s="1"/>
  <c r="W30" i="7"/>
  <c r="W58" i="7" s="1"/>
  <c r="V30" i="7"/>
  <c r="V58" i="7" s="1"/>
  <c r="U30" i="7"/>
  <c r="U58" i="7" s="1"/>
  <c r="T30" i="7"/>
  <c r="T58" i="7" s="1"/>
  <c r="S30" i="7"/>
  <c r="S58" i="7" s="1"/>
  <c r="R30" i="7"/>
  <c r="R58" i="7" s="1"/>
  <c r="Q30" i="7"/>
  <c r="Q58" i="7" s="1"/>
  <c r="P30" i="7"/>
  <c r="P58" i="7" s="1"/>
  <c r="O30" i="7"/>
  <c r="O58" i="7" s="1"/>
  <c r="N30" i="7"/>
  <c r="N58" i="7" s="1"/>
  <c r="M30" i="7"/>
  <c r="M58" i="7" s="1"/>
  <c r="L30" i="7"/>
  <c r="L58" i="7" s="1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C5" i="7"/>
  <c r="AE4" i="7"/>
  <c r="AD4" i="7"/>
  <c r="AC4" i="7"/>
  <c r="AB4" i="7"/>
  <c r="AA4" i="7"/>
  <c r="Z4" i="7"/>
  <c r="Y4" i="7"/>
  <c r="X4" i="7"/>
  <c r="W4" i="7"/>
  <c r="V4" i="7"/>
  <c r="U4" i="7"/>
  <c r="T4" i="7"/>
  <c r="S4" i="7"/>
  <c r="R4" i="7"/>
  <c r="Q4" i="7"/>
  <c r="P4" i="7"/>
  <c r="O4" i="7"/>
  <c r="N4" i="7"/>
  <c r="M4" i="7"/>
  <c r="L4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Q24" i="34"/>
  <c r="N24" i="34"/>
  <c r="M24" i="34"/>
  <c r="L24" i="34"/>
  <c r="M21" i="34"/>
  <c r="L21" i="34"/>
  <c r="F21" i="34"/>
  <c r="F19" i="34"/>
  <c r="F18" i="34"/>
  <c r="F17" i="34"/>
  <c r="F16" i="34"/>
  <c r="F15" i="34"/>
  <c r="AN6" i="34"/>
  <c r="AN7" i="34" s="1"/>
  <c r="AM6" i="34"/>
  <c r="AM7" i="34" s="1"/>
  <c r="AL6" i="34"/>
  <c r="AL7" i="34" s="1"/>
  <c r="AK6" i="34"/>
  <c r="AK7" i="34" s="1"/>
  <c r="AJ6" i="34"/>
  <c r="AJ7" i="34" s="1"/>
  <c r="AI6" i="34"/>
  <c r="AI7" i="34" s="1"/>
  <c r="AH6" i="34"/>
  <c r="AH7" i="34" s="1"/>
  <c r="AG6" i="34"/>
  <c r="AG7" i="34" s="1"/>
  <c r="AF6" i="34"/>
  <c r="AF7" i="34" s="1"/>
  <c r="AE6" i="34"/>
  <c r="AE7" i="34" s="1"/>
  <c r="AD6" i="34"/>
  <c r="AD7" i="34" s="1"/>
  <c r="AC6" i="34"/>
  <c r="AC7" i="34" s="1"/>
  <c r="AB6" i="34"/>
  <c r="AB7" i="34" s="1"/>
  <c r="AA6" i="34"/>
  <c r="AA7" i="34" s="1"/>
  <c r="Z6" i="34"/>
  <c r="Z7" i="34" s="1"/>
  <c r="Y6" i="34"/>
  <c r="Y7" i="34" s="1"/>
  <c r="X6" i="34"/>
  <c r="X7" i="34" s="1"/>
  <c r="W6" i="34"/>
  <c r="W7" i="34" s="1"/>
  <c r="V6" i="34"/>
  <c r="V7" i="34" s="1"/>
  <c r="U6" i="34"/>
  <c r="U7" i="34" s="1"/>
  <c r="AN5" i="34"/>
  <c r="AM5" i="34"/>
  <c r="AL5" i="34"/>
  <c r="AK5" i="34"/>
  <c r="AJ5" i="34"/>
  <c r="AI5" i="34"/>
  <c r="AH5" i="34"/>
  <c r="AG5" i="34"/>
  <c r="AF5" i="34"/>
  <c r="AE5" i="34"/>
  <c r="AD5" i="34"/>
  <c r="AC5" i="34"/>
  <c r="AB5" i="34"/>
  <c r="AA5" i="34"/>
  <c r="Z5" i="34"/>
  <c r="Y5" i="34"/>
  <c r="X5" i="34"/>
  <c r="W5" i="34"/>
  <c r="V5" i="34"/>
  <c r="U5" i="34"/>
  <c r="AN4" i="34"/>
  <c r="AM4" i="34"/>
  <c r="AL4" i="34"/>
  <c r="AK4" i="34"/>
  <c r="AJ4" i="34"/>
  <c r="AI4" i="34"/>
  <c r="AH4" i="34"/>
  <c r="AG4" i="34"/>
  <c r="AF4" i="34"/>
  <c r="AE4" i="34"/>
  <c r="AD4" i="34"/>
  <c r="AC4" i="34"/>
  <c r="AB4" i="34"/>
  <c r="AA4" i="34"/>
  <c r="Z4" i="34"/>
  <c r="Y4" i="34"/>
  <c r="X4" i="34"/>
  <c r="W4" i="34"/>
  <c r="V4" i="34"/>
  <c r="U4" i="34"/>
  <c r="AN3" i="34"/>
  <c r="AM3" i="34"/>
  <c r="AL3" i="34"/>
  <c r="AK3" i="34"/>
  <c r="AJ3" i="34"/>
  <c r="AI3" i="34"/>
  <c r="AH3" i="34"/>
  <c r="AG3" i="34"/>
  <c r="AF3" i="34"/>
  <c r="AE3" i="34"/>
  <c r="AD3" i="34"/>
  <c r="AC3" i="34"/>
  <c r="AB3" i="34"/>
  <c r="AA3" i="34"/>
  <c r="Z3" i="34"/>
  <c r="Y3" i="34"/>
  <c r="X3" i="34"/>
  <c r="W3" i="34"/>
  <c r="V3" i="34"/>
  <c r="U3" i="34"/>
  <c r="AN2" i="34"/>
  <c r="AM2" i="34"/>
  <c r="AL2" i="34"/>
  <c r="AK2" i="34"/>
  <c r="AJ2" i="34"/>
  <c r="AI2" i="34"/>
  <c r="AH2" i="34"/>
  <c r="AG2" i="34"/>
  <c r="AF2" i="34"/>
  <c r="AE2" i="34"/>
  <c r="AD2" i="34"/>
  <c r="AC2" i="34"/>
  <c r="AB2" i="34"/>
  <c r="AA2" i="34"/>
  <c r="Z2" i="34"/>
  <c r="Y2" i="34"/>
  <c r="X2" i="34"/>
  <c r="W2" i="34"/>
  <c r="V2" i="34"/>
  <c r="U2" i="34"/>
  <c r="AE141" i="7"/>
  <c r="O141" i="7"/>
  <c r="AE99" i="7"/>
  <c r="AC100" i="7"/>
  <c r="AA99" i="7"/>
  <c r="Y79" i="7"/>
  <c r="U43" i="7"/>
  <c r="P43" i="7"/>
  <c r="M78" i="7"/>
  <c r="T43" i="7"/>
  <c r="S43" i="7"/>
  <c r="K27" i="2"/>
  <c r="L27" i="2" s="1"/>
  <c r="M27" i="2" s="1"/>
  <c r="C5" i="2"/>
  <c r="D32" i="64" l="1"/>
  <c r="D83" i="84"/>
  <c r="G150" i="72"/>
  <c r="D301" i="72" a="1"/>
  <c r="D304" i="72" s="1"/>
  <c r="J304" i="72" s="1"/>
  <c r="E59" i="84"/>
  <c r="E70" i="84"/>
  <c r="E89" i="84"/>
  <c r="D323" i="72" a="1"/>
  <c r="M312" i="72" a="1"/>
  <c r="D402" i="72" a="1"/>
  <c r="D489" i="72" a="1"/>
  <c r="K39" i="69"/>
  <c r="E28" i="74"/>
  <c r="L39" i="69"/>
  <c r="F28" i="74"/>
  <c r="S509" i="72"/>
  <c r="D59" i="83"/>
  <c r="D135" i="72" a="1"/>
  <c r="D136" i="72" s="1"/>
  <c r="J136" i="72" s="1"/>
  <c r="D89" i="83"/>
  <c r="M62" i="72" a="1"/>
  <c r="M64" i="72" s="1"/>
  <c r="S64" i="72" s="1"/>
  <c r="D232" i="72" a="1"/>
  <c r="D234" i="72" s="1"/>
  <c r="J234" i="72" s="1"/>
  <c r="M239" i="72" a="1"/>
  <c r="M241" i="72" s="1"/>
  <c r="S241" i="72" s="1"/>
  <c r="J27" i="2"/>
  <c r="I27" i="2" s="1"/>
  <c r="H5" i="85" s="1"/>
  <c r="E59" i="83"/>
  <c r="E70" i="83"/>
  <c r="E89" i="83"/>
  <c r="J52" i="69"/>
  <c r="C39" i="70"/>
  <c r="D39" i="70"/>
  <c r="F117" i="72"/>
  <c r="D90" i="83"/>
  <c r="D59" i="84"/>
  <c r="C84" i="68"/>
  <c r="F294" i="72"/>
  <c r="T31" i="37"/>
  <c r="G32" i="67"/>
  <c r="U31" i="37"/>
  <c r="J487" i="72"/>
  <c r="C73" i="74"/>
  <c r="K32" i="67"/>
  <c r="D28" i="74"/>
  <c r="C22" i="79"/>
  <c r="G61" i="66"/>
  <c r="G61" i="69" s="1"/>
  <c r="M32" i="67"/>
  <c r="Q31" i="37"/>
  <c r="N97" i="37"/>
  <c r="AA97" i="37"/>
  <c r="AB97" i="37"/>
  <c r="AE112" i="37"/>
  <c r="Y112" i="37"/>
  <c r="N112" i="37"/>
  <c r="S112" i="37"/>
  <c r="C61" i="62"/>
  <c r="C28" i="62"/>
  <c r="C31" i="62" s="1"/>
  <c r="F32" i="65"/>
  <c r="E61" i="64"/>
  <c r="E66" i="64" s="1"/>
  <c r="E19" i="64"/>
  <c r="E32" i="64"/>
  <c r="F69" i="69"/>
  <c r="E69" i="70"/>
  <c r="O25" i="72"/>
  <c r="O31" i="72" s="1"/>
  <c r="C83" i="73" s="1"/>
  <c r="C83" i="84" s="1"/>
  <c r="S24" i="72"/>
  <c r="J282" i="72"/>
  <c r="E294" i="72"/>
  <c r="S310" i="72"/>
  <c r="E471" i="72"/>
  <c r="M313" i="72"/>
  <c r="S313" i="72" s="1"/>
  <c r="F32" i="66"/>
  <c r="H32" i="67"/>
  <c r="C41" i="67"/>
  <c r="J60" i="70"/>
  <c r="E32" i="65"/>
  <c r="N117" i="72"/>
  <c r="P150" i="72"/>
  <c r="S155" i="72"/>
  <c r="J476" i="72"/>
  <c r="S498" i="72"/>
  <c r="C45" i="84"/>
  <c r="C69" i="84"/>
  <c r="C71" i="84"/>
  <c r="G39" i="70"/>
  <c r="J13" i="65"/>
  <c r="C70" i="65"/>
  <c r="D312" i="72" a="1"/>
  <c r="M301" i="72" a="1"/>
  <c r="M302" i="72" s="1"/>
  <c r="S302" i="72" s="1"/>
  <c r="M323" i="72" a="1"/>
  <c r="G32" i="65"/>
  <c r="D28" i="79"/>
  <c r="C86" i="68"/>
  <c r="P128" i="72"/>
  <c r="C41" i="66"/>
  <c r="D32" i="67"/>
  <c r="L32" i="67"/>
  <c r="C84" i="73"/>
  <c r="S144" i="72"/>
  <c r="C90" i="79"/>
  <c r="C71" i="83"/>
  <c r="F73" i="80"/>
  <c r="F28" i="81"/>
  <c r="R31" i="37"/>
  <c r="D83" i="83"/>
  <c r="D86" i="83"/>
  <c r="J133" i="72"/>
  <c r="C90" i="73"/>
  <c r="C84" i="80"/>
  <c r="D73" i="68"/>
  <c r="D73" i="74"/>
  <c r="D69" i="72" a="1"/>
  <c r="D71" i="72" s="1"/>
  <c r="J71" i="72" s="1"/>
  <c r="S133" i="72"/>
  <c r="S255" i="72"/>
  <c r="E73" i="68"/>
  <c r="E73" i="74"/>
  <c r="U57" i="7"/>
  <c r="C61" i="66"/>
  <c r="C22" i="74"/>
  <c r="S332" i="72"/>
  <c r="N471" i="72"/>
  <c r="F89" i="84"/>
  <c r="L69" i="62"/>
  <c r="G28" i="63"/>
  <c r="G31" i="63" s="1"/>
  <c r="C86" i="80"/>
  <c r="AB89" i="37"/>
  <c r="D32" i="62"/>
  <c r="R44" i="42"/>
  <c r="S44" i="42" s="1"/>
  <c r="T44" i="42" s="1"/>
  <c r="U44" i="42" s="1"/>
  <c r="V44" i="42" s="1"/>
  <c r="W44" i="42" s="1"/>
  <c r="X44" i="42" s="1"/>
  <c r="Y44" i="42" s="1"/>
  <c r="Z44" i="42" s="1"/>
  <c r="AA44" i="42" s="1"/>
  <c r="AB44" i="42" s="1"/>
  <c r="AC44" i="42" s="1"/>
  <c r="AD44" i="42" s="1"/>
  <c r="AE44" i="42" s="1"/>
  <c r="AF44" i="42" s="1"/>
  <c r="AG44" i="42" s="1"/>
  <c r="AH44" i="42" s="1"/>
  <c r="AI44" i="42" s="1"/>
  <c r="AJ44" i="42" s="1"/>
  <c r="AK44" i="42" s="1"/>
  <c r="R41" i="42"/>
  <c r="R40" i="42"/>
  <c r="R45" i="42"/>
  <c r="S45" i="42" s="1"/>
  <c r="T45" i="42" s="1"/>
  <c r="U45" i="42" s="1"/>
  <c r="V45" i="42" s="1"/>
  <c r="W45" i="42" s="1"/>
  <c r="X45" i="42" s="1"/>
  <c r="Y45" i="42" s="1"/>
  <c r="Z45" i="42" s="1"/>
  <c r="AA45" i="42" s="1"/>
  <c r="AB45" i="42" s="1"/>
  <c r="AC45" i="42" s="1"/>
  <c r="AD45" i="42" s="1"/>
  <c r="AE45" i="42" s="1"/>
  <c r="AF45" i="42" s="1"/>
  <c r="AG45" i="42" s="1"/>
  <c r="AH45" i="42" s="1"/>
  <c r="AI45" i="42" s="1"/>
  <c r="AJ45" i="42" s="1"/>
  <c r="AK45" i="42" s="1"/>
  <c r="R43" i="42"/>
  <c r="S43" i="42" s="1"/>
  <c r="T43" i="42" s="1"/>
  <c r="U43" i="42" s="1"/>
  <c r="V43" i="42" s="1"/>
  <c r="W43" i="42" s="1"/>
  <c r="X43" i="42" s="1"/>
  <c r="Y43" i="42" s="1"/>
  <c r="Z43" i="42" s="1"/>
  <c r="AA43" i="42" s="1"/>
  <c r="AB43" i="42" s="1"/>
  <c r="AC43" i="42" s="1"/>
  <c r="AD43" i="42" s="1"/>
  <c r="AE43" i="42" s="1"/>
  <c r="AF43" i="42" s="1"/>
  <c r="AG43" i="42" s="1"/>
  <c r="AH43" i="42" s="1"/>
  <c r="AI43" i="42" s="1"/>
  <c r="AJ43" i="42" s="1"/>
  <c r="AK43" i="42" s="1"/>
  <c r="R42" i="42"/>
  <c r="S42" i="42" s="1"/>
  <c r="T42" i="42" s="1"/>
  <c r="U42" i="42" s="1"/>
  <c r="V42" i="42" s="1"/>
  <c r="W42" i="42" s="1"/>
  <c r="X42" i="42" s="1"/>
  <c r="Y42" i="42" s="1"/>
  <c r="Z42" i="42" s="1"/>
  <c r="AA42" i="42" s="1"/>
  <c r="AB42" i="42" s="1"/>
  <c r="AC42" i="42" s="1"/>
  <c r="AD42" i="42" s="1"/>
  <c r="AE42" i="42" s="1"/>
  <c r="AF42" i="42" s="1"/>
  <c r="AG42" i="42" s="1"/>
  <c r="AH42" i="42" s="1"/>
  <c r="AI42" i="42" s="1"/>
  <c r="AJ42" i="42" s="1"/>
  <c r="AK42" i="42" s="1"/>
  <c r="R46" i="42"/>
  <c r="S46" i="42" s="1"/>
  <c r="T46" i="42" s="1"/>
  <c r="U46" i="42" s="1"/>
  <c r="V46" i="42" s="1"/>
  <c r="W46" i="42" s="1"/>
  <c r="X46" i="42" s="1"/>
  <c r="Y46" i="42" s="1"/>
  <c r="Z46" i="42" s="1"/>
  <c r="AA46" i="42" s="1"/>
  <c r="AB46" i="42" s="1"/>
  <c r="AC46" i="42" s="1"/>
  <c r="AD46" i="42" s="1"/>
  <c r="AE46" i="42" s="1"/>
  <c r="AF46" i="42" s="1"/>
  <c r="AG46" i="42" s="1"/>
  <c r="AH46" i="42" s="1"/>
  <c r="AI46" i="42" s="1"/>
  <c r="AJ46" i="42" s="1"/>
  <c r="AK46" i="42" s="1"/>
  <c r="F19" i="65"/>
  <c r="S121" i="72"/>
  <c r="J299" i="72"/>
  <c r="E88" i="79"/>
  <c r="S321" i="72"/>
  <c r="J432" i="72"/>
  <c r="S476" i="72"/>
  <c r="F88" i="80"/>
  <c r="C73" i="79"/>
  <c r="E19" i="66"/>
  <c r="O32" i="66"/>
  <c r="AC112" i="37"/>
  <c r="C61" i="63"/>
  <c r="S41" i="42"/>
  <c r="S40" i="42"/>
  <c r="D19" i="64"/>
  <c r="I69" i="70"/>
  <c r="J78" i="72"/>
  <c r="E117" i="72"/>
  <c r="C87" i="68" s="1"/>
  <c r="C90" i="68"/>
  <c r="F355" i="72"/>
  <c r="D88" i="74"/>
  <c r="F471" i="72"/>
  <c r="F532" i="72" s="1"/>
  <c r="C73" i="80"/>
  <c r="C73" i="83" s="1"/>
  <c r="C73" i="81"/>
  <c r="T40" i="42"/>
  <c r="T41" i="42"/>
  <c r="O23" i="60"/>
  <c r="S78" i="72"/>
  <c r="J122" i="72"/>
  <c r="J144" i="72"/>
  <c r="C86" i="74"/>
  <c r="C86" i="83" s="1"/>
  <c r="S487" i="72"/>
  <c r="J498" i="72"/>
  <c r="D28" i="80"/>
  <c r="D73" i="80"/>
  <c r="M478" i="72" a="1"/>
  <c r="M479" i="72" s="1"/>
  <c r="S479" i="72" s="1"/>
  <c r="S31" i="37"/>
  <c r="W97" i="37"/>
  <c r="AE97" i="37"/>
  <c r="U41" i="42"/>
  <c r="U40" i="42"/>
  <c r="K69" i="65"/>
  <c r="P68" i="65"/>
  <c r="G32" i="64"/>
  <c r="J105" i="72"/>
  <c r="C84" i="74"/>
  <c r="C84" i="83" s="1"/>
  <c r="S299" i="72"/>
  <c r="J310" i="72"/>
  <c r="C90" i="74"/>
  <c r="S432" i="72"/>
  <c r="J459" i="72"/>
  <c r="E73" i="80"/>
  <c r="E28" i="81"/>
  <c r="F41" i="67"/>
  <c r="M97" i="37"/>
  <c r="X97" i="37"/>
  <c r="V41" i="42"/>
  <c r="V40" i="42"/>
  <c r="D211" i="72" a="1"/>
  <c r="D212" i="72" s="1"/>
  <c r="J25" i="72"/>
  <c r="C83" i="68"/>
  <c r="C83" i="83" s="1"/>
  <c r="D88" i="68"/>
  <c r="J255" i="72"/>
  <c r="C88" i="80"/>
  <c r="D88" i="81"/>
  <c r="Y57" i="34"/>
  <c r="AC57" i="34"/>
  <c r="AA57" i="34"/>
  <c r="S24" i="34" s="1"/>
  <c r="V57" i="34"/>
  <c r="AB57" i="34"/>
  <c r="X57" i="34"/>
  <c r="W57" i="34"/>
  <c r="Z57" i="34"/>
  <c r="U57" i="34"/>
  <c r="AD57" i="34"/>
  <c r="K32" i="66"/>
  <c r="G41" i="66"/>
  <c r="G41" i="67"/>
  <c r="AE66" i="37"/>
  <c r="W89" i="37"/>
  <c r="W41" i="42"/>
  <c r="W40" i="42"/>
  <c r="S103" i="72"/>
  <c r="E88" i="68"/>
  <c r="M159" i="72"/>
  <c r="S159" i="72" s="1"/>
  <c r="C86" i="79"/>
  <c r="J321" i="72"/>
  <c r="C84" i="81"/>
  <c r="C90" i="81"/>
  <c r="C90" i="84" s="1"/>
  <c r="M69" i="72" a="1"/>
  <c r="D89" i="84"/>
  <c r="E32" i="66"/>
  <c r="M32" i="66"/>
  <c r="D32" i="63"/>
  <c r="X41" i="42"/>
  <c r="Y41" i="42" s="1"/>
  <c r="Z41" i="42" s="1"/>
  <c r="AA41" i="42" s="1"/>
  <c r="AB41" i="42" s="1"/>
  <c r="AC41" i="42" s="1"/>
  <c r="AD41" i="42" s="1"/>
  <c r="AE41" i="42" s="1"/>
  <c r="AF41" i="42" s="1"/>
  <c r="AG41" i="42" s="1"/>
  <c r="AH41" i="42" s="1"/>
  <c r="AI41" i="42" s="1"/>
  <c r="AJ41" i="42" s="1"/>
  <c r="AK41" i="42" s="1"/>
  <c r="X40" i="42"/>
  <c r="F32" i="67"/>
  <c r="AH126" i="36"/>
  <c r="Z126" i="36"/>
  <c r="AG126" i="36"/>
  <c r="Y126" i="36"/>
  <c r="AF126" i="36"/>
  <c r="X126" i="36"/>
  <c r="AJ126" i="36"/>
  <c r="AB126" i="36"/>
  <c r="T126" i="36"/>
  <c r="AE126" i="36"/>
  <c r="W126" i="36"/>
  <c r="AK126" i="36"/>
  <c r="AC126" i="36"/>
  <c r="U126" i="36"/>
  <c r="AL126" i="36"/>
  <c r="AD126" i="36"/>
  <c r="V126" i="36"/>
  <c r="AI126" i="36"/>
  <c r="AA126" i="36"/>
  <c r="S126" i="36"/>
  <c r="AA89" i="37"/>
  <c r="Z40" i="42"/>
  <c r="AA40" i="42" s="1"/>
  <c r="AB40" i="42" s="1"/>
  <c r="AC40" i="42" s="1"/>
  <c r="AD40" i="42" s="1"/>
  <c r="AE40" i="42" s="1"/>
  <c r="AF40" i="42" s="1"/>
  <c r="AG40" i="42" s="1"/>
  <c r="AH40" i="42" s="1"/>
  <c r="AI40" i="42" s="1"/>
  <c r="AJ40" i="42" s="1"/>
  <c r="AK40" i="42" s="1"/>
  <c r="G19" i="65"/>
  <c r="O105" i="72"/>
  <c r="N294" i="72"/>
  <c r="E88" i="80"/>
  <c r="M232" i="72" a="1"/>
  <c r="D315" i="72"/>
  <c r="J315" i="72" s="1"/>
  <c r="D313" i="72"/>
  <c r="J313" i="72" s="1"/>
  <c r="D314" i="72"/>
  <c r="J314" i="72" s="1"/>
  <c r="D326" i="72"/>
  <c r="J326" i="72" s="1"/>
  <c r="D323" i="72"/>
  <c r="D325" i="72"/>
  <c r="J325" i="72" s="1"/>
  <c r="D324" i="72"/>
  <c r="M325" i="72"/>
  <c r="S325" i="72" s="1"/>
  <c r="M323" i="72"/>
  <c r="M324" i="72"/>
  <c r="D492" i="72"/>
  <c r="J492" i="72" s="1"/>
  <c r="D491" i="72"/>
  <c r="J491" i="72" s="1"/>
  <c r="D490" i="72"/>
  <c r="J490" i="72" s="1"/>
  <c r="M135" i="72" a="1"/>
  <c r="D146" i="72" a="1"/>
  <c r="D302" i="72"/>
  <c r="J302" i="72" s="1"/>
  <c r="D500" i="72"/>
  <c r="M500" i="72"/>
  <c r="D124" i="72" a="1"/>
  <c r="M124" i="72" a="1"/>
  <c r="D303" i="72"/>
  <c r="J303" i="72" s="1"/>
  <c r="D478" i="72" a="1"/>
  <c r="D501" i="72"/>
  <c r="M501" i="72"/>
  <c r="M146" i="72" a="1"/>
  <c r="D502" i="72"/>
  <c r="J502" i="72" s="1"/>
  <c r="J504" i="72" s="1"/>
  <c r="D73" i="83"/>
  <c r="D70" i="83"/>
  <c r="D71" i="83"/>
  <c r="D69" i="84"/>
  <c r="D70" i="84"/>
  <c r="D71" i="84"/>
  <c r="J14" i="65"/>
  <c r="S136" i="36"/>
  <c r="H57" i="69"/>
  <c r="O57" i="65"/>
  <c r="J57" i="65"/>
  <c r="J57" i="69" s="1"/>
  <c r="T11" i="42"/>
  <c r="S75" i="42"/>
  <c r="R75" i="42"/>
  <c r="G28" i="62"/>
  <c r="G31" i="62" s="1"/>
  <c r="AJ113" i="36"/>
  <c r="C87" i="42"/>
  <c r="C72" i="42"/>
  <c r="C100" i="42" s="1"/>
  <c r="C85" i="42"/>
  <c r="AB59" i="42"/>
  <c r="AB110" i="43"/>
  <c r="AB102" i="43"/>
  <c r="U67" i="43"/>
  <c r="M13" i="64" s="1"/>
  <c r="U57" i="43"/>
  <c r="M13" i="65" s="1"/>
  <c r="AE43" i="36"/>
  <c r="AE119" i="36" s="1"/>
  <c r="T11" i="36"/>
  <c r="T145" i="36" s="1"/>
  <c r="AE35" i="36"/>
  <c r="AE111" i="36" s="1"/>
  <c r="AE38" i="36"/>
  <c r="AE74" i="36" s="1"/>
  <c r="AE40" i="36"/>
  <c r="AE116" i="36" s="1"/>
  <c r="AI44" i="36"/>
  <c r="AI120" i="36" s="1"/>
  <c r="AA35" i="36"/>
  <c r="AA111" i="36" s="1"/>
  <c r="W38" i="36"/>
  <c r="W74" i="36" s="1"/>
  <c r="S40" i="36"/>
  <c r="S116" i="36" s="1"/>
  <c r="S57" i="43"/>
  <c r="K13" i="65" s="1"/>
  <c r="T57" i="43"/>
  <c r="L13" i="65" s="1"/>
  <c r="AB94" i="43"/>
  <c r="K39" i="70"/>
  <c r="L39" i="70"/>
  <c r="M39" i="70"/>
  <c r="I39" i="70"/>
  <c r="H39" i="70"/>
  <c r="S44" i="36"/>
  <c r="S120" i="36" s="1"/>
  <c r="W47" i="36"/>
  <c r="W83" i="36" s="1"/>
  <c r="S53" i="36"/>
  <c r="S130" i="36" s="1"/>
  <c r="S56" i="37"/>
  <c r="M69" i="63"/>
  <c r="AG54" i="42"/>
  <c r="J68" i="69"/>
  <c r="W43" i="36"/>
  <c r="W79" i="36" s="1"/>
  <c r="AE44" i="36"/>
  <c r="AE120" i="36" s="1"/>
  <c r="AE47" i="36"/>
  <c r="AE123" i="36" s="1"/>
  <c r="W57" i="36"/>
  <c r="W134" i="36" s="1"/>
  <c r="J68" i="63"/>
  <c r="C38" i="79" s="1"/>
  <c r="AG83" i="42"/>
  <c r="E69" i="66"/>
  <c r="I69" i="66"/>
  <c r="AJ87" i="42"/>
  <c r="E69" i="67"/>
  <c r="S56" i="36"/>
  <c r="S66" i="37"/>
  <c r="H69" i="62"/>
  <c r="M69" i="62"/>
  <c r="C65" i="69"/>
  <c r="G69" i="69"/>
  <c r="M69" i="69"/>
  <c r="F69" i="70"/>
  <c r="K69" i="70"/>
  <c r="W204" i="60"/>
  <c r="AA204" i="60"/>
  <c r="M69" i="66"/>
  <c r="F69" i="67"/>
  <c r="K69" i="67"/>
  <c r="AI40" i="36"/>
  <c r="AI116" i="36" s="1"/>
  <c r="W54" i="36"/>
  <c r="W131" i="36" s="1"/>
  <c r="W59" i="36"/>
  <c r="S107" i="37"/>
  <c r="E69" i="62"/>
  <c r="I69" i="62"/>
  <c r="F69" i="63"/>
  <c r="T84" i="42"/>
  <c r="T87" i="42"/>
  <c r="G69" i="65"/>
  <c r="F69" i="64"/>
  <c r="X204" i="60"/>
  <c r="AB204" i="60"/>
  <c r="D45" i="83"/>
  <c r="D69" i="63"/>
  <c r="H69" i="63"/>
  <c r="L69" i="63"/>
  <c r="AF56" i="42"/>
  <c r="E69" i="69"/>
  <c r="Y204" i="60"/>
  <c r="J50" i="66"/>
  <c r="D19" i="66"/>
  <c r="O19" i="66"/>
  <c r="J50" i="67"/>
  <c r="L5" i="85"/>
  <c r="L4" i="86" s="1"/>
  <c r="Q17" i="60"/>
  <c r="G65" i="67"/>
  <c r="G65" i="62"/>
  <c r="G65" i="66"/>
  <c r="G8" i="66" s="1"/>
  <c r="G65" i="63"/>
  <c r="G8" i="63" s="1"/>
  <c r="N27" i="2"/>
  <c r="I5" i="85"/>
  <c r="I4" i="86" s="1"/>
  <c r="K5" i="85"/>
  <c r="K4" i="86" s="1"/>
  <c r="P17" i="60"/>
  <c r="F65" i="63"/>
  <c r="F8" i="63" s="1"/>
  <c r="F65" i="67"/>
  <c r="F8" i="67" s="1"/>
  <c r="F65" i="62"/>
  <c r="F65" i="66"/>
  <c r="F8" i="66" s="1"/>
  <c r="J5" i="85"/>
  <c r="J4" i="86" s="1"/>
  <c r="O17" i="60"/>
  <c r="E65" i="62"/>
  <c r="E65" i="66"/>
  <c r="E8" i="66" s="1"/>
  <c r="E65" i="63"/>
  <c r="E65" i="67"/>
  <c r="E8" i="67" s="1"/>
  <c r="AI123" i="36"/>
  <c r="AI83" i="36"/>
  <c r="Q97" i="37"/>
  <c r="Q89" i="37"/>
  <c r="C83" i="42"/>
  <c r="C68" i="42"/>
  <c r="C96" i="42" s="1"/>
  <c r="E18" i="69"/>
  <c r="G32" i="66"/>
  <c r="L32" i="66"/>
  <c r="E41" i="66"/>
  <c r="J60" i="66"/>
  <c r="J60" i="69" s="1"/>
  <c r="D69" i="66"/>
  <c r="J68" i="66"/>
  <c r="C38" i="68" s="1"/>
  <c r="C38" i="83" s="1"/>
  <c r="D18" i="70"/>
  <c r="D19" i="67"/>
  <c r="E32" i="67"/>
  <c r="I32" i="67"/>
  <c r="E41" i="67"/>
  <c r="D61" i="67"/>
  <c r="D69" i="67"/>
  <c r="W35" i="36"/>
  <c r="AB37" i="36"/>
  <c r="AB113" i="36" s="1"/>
  <c r="S38" i="36"/>
  <c r="S74" i="36" s="1"/>
  <c r="AA38" i="36"/>
  <c r="AA74" i="36" s="1"/>
  <c r="AI38" i="36"/>
  <c r="AI74" i="36" s="1"/>
  <c r="W39" i="36"/>
  <c r="W75" i="36" s="1"/>
  <c r="AJ39" i="36"/>
  <c r="AJ115" i="36" s="1"/>
  <c r="AA40" i="36"/>
  <c r="AA116" i="36" s="1"/>
  <c r="AF42" i="36"/>
  <c r="AF78" i="36" s="1"/>
  <c r="T43" i="36"/>
  <c r="T119" i="36" s="1"/>
  <c r="AB43" i="36"/>
  <c r="AB119" i="36" s="1"/>
  <c r="AJ43" i="36"/>
  <c r="AJ119" i="36" s="1"/>
  <c r="AA44" i="36"/>
  <c r="AA120" i="36" s="1"/>
  <c r="AF46" i="36"/>
  <c r="AF122" i="36" s="1"/>
  <c r="T47" i="36"/>
  <c r="T123" i="36" s="1"/>
  <c r="AB47" i="36"/>
  <c r="AB123" i="36" s="1"/>
  <c r="AJ47" i="36"/>
  <c r="AJ123" i="36" s="1"/>
  <c r="W53" i="36"/>
  <c r="W130" i="36" s="1"/>
  <c r="T54" i="36"/>
  <c r="W56" i="36"/>
  <c r="T57" i="36"/>
  <c r="T134" i="36" s="1"/>
  <c r="AB57" i="36"/>
  <c r="AB134" i="36" s="1"/>
  <c r="W58" i="36"/>
  <c r="W135" i="36" s="1"/>
  <c r="T59" i="36"/>
  <c r="T136" i="36" s="1"/>
  <c r="S145" i="36"/>
  <c r="O66" i="37"/>
  <c r="X66" i="37"/>
  <c r="AB66" i="37"/>
  <c r="T97" i="37"/>
  <c r="O97" i="37"/>
  <c r="M112" i="37"/>
  <c r="R112" i="37"/>
  <c r="X112" i="37"/>
  <c r="AB112" i="37"/>
  <c r="D19" i="62"/>
  <c r="E61" i="62"/>
  <c r="D19" i="63"/>
  <c r="F61" i="63"/>
  <c r="U83" i="42"/>
  <c r="Y82" i="42"/>
  <c r="Y87" i="42"/>
  <c r="AC83" i="42"/>
  <c r="AC86" i="42"/>
  <c r="AK86" i="42"/>
  <c r="AK83" i="42"/>
  <c r="AK82" i="42"/>
  <c r="S103" i="42"/>
  <c r="AC54" i="42"/>
  <c r="Y55" i="42"/>
  <c r="Y86" i="42"/>
  <c r="C71" i="42"/>
  <c r="C99" i="42" s="1"/>
  <c r="C81" i="42"/>
  <c r="Y90" i="42"/>
  <c r="AG90" i="42"/>
  <c r="G67" i="65"/>
  <c r="G70" i="65"/>
  <c r="C84" i="84"/>
  <c r="C85" i="73"/>
  <c r="C85" i="84" s="1"/>
  <c r="S105" i="72"/>
  <c r="C88" i="68"/>
  <c r="F88" i="68"/>
  <c r="F88" i="73"/>
  <c r="C88" i="74"/>
  <c r="F88" i="74"/>
  <c r="D88" i="79"/>
  <c r="N374" i="72"/>
  <c r="M460" i="72"/>
  <c r="C86" i="81"/>
  <c r="D88" i="80"/>
  <c r="C88" i="81"/>
  <c r="F88" i="81"/>
  <c r="F18" i="69"/>
  <c r="D32" i="66"/>
  <c r="H32" i="66"/>
  <c r="F41" i="66"/>
  <c r="P68" i="66"/>
  <c r="D107" i="72" s="1"/>
  <c r="E18" i="70"/>
  <c r="E19" i="70" s="1"/>
  <c r="E19" i="67"/>
  <c r="E61" i="67"/>
  <c r="AF37" i="36"/>
  <c r="AF113" i="36" s="1"/>
  <c r="T38" i="36"/>
  <c r="T114" i="36" s="1"/>
  <c r="AB38" i="36"/>
  <c r="AB114" i="36" s="1"/>
  <c r="AJ38" i="36"/>
  <c r="AJ114" i="36" s="1"/>
  <c r="T42" i="36"/>
  <c r="T78" i="36" s="1"/>
  <c r="AJ42" i="36"/>
  <c r="AJ78" i="36" s="1"/>
  <c r="W119" i="36"/>
  <c r="T46" i="36"/>
  <c r="T122" i="36" s="1"/>
  <c r="AJ46" i="36"/>
  <c r="AJ122" i="36" s="1"/>
  <c r="X53" i="36"/>
  <c r="X130" i="36" s="1"/>
  <c r="X56" i="36"/>
  <c r="X133" i="36" s="1"/>
  <c r="X58" i="36"/>
  <c r="X135" i="36" s="1"/>
  <c r="L66" i="37"/>
  <c r="P66" i="37"/>
  <c r="Y66" i="37"/>
  <c r="AC66" i="37"/>
  <c r="S67" i="37"/>
  <c r="L97" i="37"/>
  <c r="P97" i="37"/>
  <c r="Y97" i="37"/>
  <c r="AC97" i="37"/>
  <c r="E19" i="62"/>
  <c r="E19" i="63"/>
  <c r="G69" i="63"/>
  <c r="Z54" i="42"/>
  <c r="T103" i="42"/>
  <c r="W85" i="42"/>
  <c r="C82" i="42"/>
  <c r="R90" i="42"/>
  <c r="Z90" i="42"/>
  <c r="E72" i="81"/>
  <c r="E73" i="81" s="1"/>
  <c r="E78" i="81" s="1"/>
  <c r="E72" i="79"/>
  <c r="D106" i="72"/>
  <c r="E20" i="72"/>
  <c r="N197" i="72"/>
  <c r="M283" i="72"/>
  <c r="E355" i="72"/>
  <c r="C82" i="74"/>
  <c r="C87" i="74"/>
  <c r="C18" i="69"/>
  <c r="G18" i="69"/>
  <c r="G19" i="69" s="1"/>
  <c r="F19" i="66"/>
  <c r="F69" i="66"/>
  <c r="F18" i="70"/>
  <c r="F19" i="70" s="1"/>
  <c r="F19" i="67"/>
  <c r="F61" i="67"/>
  <c r="T37" i="36"/>
  <c r="T113" i="36" s="1"/>
  <c r="AF39" i="36"/>
  <c r="AF115" i="36" s="1"/>
  <c r="X42" i="36"/>
  <c r="X78" i="36" s="1"/>
  <c r="X43" i="36"/>
  <c r="X119" i="36" s="1"/>
  <c r="AF43" i="36"/>
  <c r="AF119" i="36" s="1"/>
  <c r="X46" i="36"/>
  <c r="X122" i="36" s="1"/>
  <c r="X47" i="36"/>
  <c r="X123" i="36" s="1"/>
  <c r="AF47" i="36"/>
  <c r="AF123" i="36" s="1"/>
  <c r="X54" i="36"/>
  <c r="X131" i="36" s="1"/>
  <c r="X57" i="36"/>
  <c r="S58" i="36"/>
  <c r="X59" i="36"/>
  <c r="X136" i="36" s="1"/>
  <c r="M66" i="37"/>
  <c r="V66" i="37"/>
  <c r="Z66" i="37"/>
  <c r="AD66" i="37"/>
  <c r="N89" i="37"/>
  <c r="T89" i="37"/>
  <c r="V97" i="37"/>
  <c r="Z97" i="37"/>
  <c r="AD97" i="37"/>
  <c r="O112" i="37"/>
  <c r="V112" i="37"/>
  <c r="Z112" i="37"/>
  <c r="AD112" i="37"/>
  <c r="F19" i="62"/>
  <c r="E28" i="62"/>
  <c r="E31" i="62" s="1"/>
  <c r="E32" i="62" s="1"/>
  <c r="F69" i="62"/>
  <c r="J68" i="62"/>
  <c r="C92" i="74" s="1"/>
  <c r="P68" i="62"/>
  <c r="D284" i="72" s="1"/>
  <c r="H284" i="72" s="1"/>
  <c r="H288" i="72" s="1"/>
  <c r="D286" i="72" s="1"/>
  <c r="J286" i="72" s="1"/>
  <c r="F19" i="63"/>
  <c r="E28" i="63"/>
  <c r="E31" i="63" s="1"/>
  <c r="E32" i="63" s="1"/>
  <c r="D61" i="63"/>
  <c r="AI90" i="42"/>
  <c r="AE90" i="42"/>
  <c r="AA90" i="42"/>
  <c r="W90" i="42"/>
  <c r="S90" i="42"/>
  <c r="AJ90" i="42"/>
  <c r="AF90" i="42"/>
  <c r="AB90" i="42"/>
  <c r="X90" i="42"/>
  <c r="T90" i="42"/>
  <c r="W84" i="42"/>
  <c r="AE57" i="42"/>
  <c r="AH86" i="42"/>
  <c r="U90" i="42"/>
  <c r="AC90" i="42"/>
  <c r="AK90" i="42"/>
  <c r="F70" i="64"/>
  <c r="F67" i="64"/>
  <c r="E67" i="64"/>
  <c r="F72" i="81"/>
  <c r="F73" i="81" s="1"/>
  <c r="F78" i="81" s="1"/>
  <c r="F72" i="79"/>
  <c r="C86" i="73"/>
  <c r="D88" i="83"/>
  <c r="C88" i="79"/>
  <c r="F88" i="79"/>
  <c r="D18" i="69"/>
  <c r="D19" i="69" s="1"/>
  <c r="G19" i="66"/>
  <c r="D41" i="66"/>
  <c r="G69" i="66"/>
  <c r="C18" i="70"/>
  <c r="G18" i="70"/>
  <c r="G19" i="67"/>
  <c r="D41" i="67"/>
  <c r="C61" i="67"/>
  <c r="G61" i="67"/>
  <c r="G69" i="67"/>
  <c r="AA39" i="36"/>
  <c r="AA75" i="36" s="1"/>
  <c r="S35" i="36"/>
  <c r="S111" i="36" s="1"/>
  <c r="AI35" i="36"/>
  <c r="AI71" i="36" s="1"/>
  <c r="X37" i="36"/>
  <c r="X113" i="36" s="1"/>
  <c r="S39" i="36"/>
  <c r="S115" i="36" s="1"/>
  <c r="AI39" i="36"/>
  <c r="AI115" i="36" s="1"/>
  <c r="W40" i="36"/>
  <c r="W116" i="36" s="1"/>
  <c r="AB42" i="36"/>
  <c r="AB118" i="36" s="1"/>
  <c r="S43" i="36"/>
  <c r="S60" i="36" s="1"/>
  <c r="AA43" i="36"/>
  <c r="AI43" i="36"/>
  <c r="W44" i="36"/>
  <c r="W120" i="36" s="1"/>
  <c r="AB46" i="36"/>
  <c r="AB122" i="36" s="1"/>
  <c r="S47" i="36"/>
  <c r="S64" i="36" s="1"/>
  <c r="S141" i="36" s="1"/>
  <c r="AA47" i="36"/>
  <c r="T53" i="36"/>
  <c r="T130" i="36" s="1"/>
  <c r="S54" i="36"/>
  <c r="S131" i="36" s="1"/>
  <c r="AA54" i="36"/>
  <c r="AA131" i="36" s="1"/>
  <c r="T56" i="36"/>
  <c r="T133" i="36" s="1"/>
  <c r="S57" i="36"/>
  <c r="S134" i="36" s="1"/>
  <c r="N66" i="37"/>
  <c r="W66" i="37"/>
  <c r="AA66" i="37"/>
  <c r="L112" i="37"/>
  <c r="P112" i="37"/>
  <c r="W112" i="37"/>
  <c r="AA112" i="37"/>
  <c r="G19" i="62"/>
  <c r="F28" i="62"/>
  <c r="F31" i="62" s="1"/>
  <c r="D61" i="62"/>
  <c r="D69" i="62"/>
  <c r="G19" i="63"/>
  <c r="F28" i="63"/>
  <c r="F31" i="63" s="1"/>
  <c r="G32" i="63" s="1"/>
  <c r="E61" i="63"/>
  <c r="E69" i="63"/>
  <c r="I69" i="63"/>
  <c r="X87" i="42"/>
  <c r="X84" i="42"/>
  <c r="AB84" i="42"/>
  <c r="AF87" i="42"/>
  <c r="AF55" i="42"/>
  <c r="AJ56" i="42"/>
  <c r="R103" i="42"/>
  <c r="U82" i="42"/>
  <c r="T83" i="42"/>
  <c r="AE84" i="42"/>
  <c r="U86" i="42"/>
  <c r="AC87" i="42"/>
  <c r="C69" i="42"/>
  <c r="C97" i="42" s="1"/>
  <c r="C84" i="42"/>
  <c r="V90" i="42"/>
  <c r="AD90" i="42"/>
  <c r="D67" i="65"/>
  <c r="C28" i="79"/>
  <c r="M211" i="72" a="1"/>
  <c r="M211" i="72" s="1"/>
  <c r="C39" i="73"/>
  <c r="C39" i="84" s="1"/>
  <c r="F178" i="72"/>
  <c r="N178" i="72"/>
  <c r="C82" i="73"/>
  <c r="C85" i="68"/>
  <c r="C85" i="83" s="1"/>
  <c r="E88" i="73"/>
  <c r="D88" i="73"/>
  <c r="D88" i="84" s="1"/>
  <c r="D90" i="84"/>
  <c r="E88" i="74"/>
  <c r="E88" i="83" s="1"/>
  <c r="J327" i="72"/>
  <c r="E374" i="72"/>
  <c r="D460" i="72"/>
  <c r="C87" i="80"/>
  <c r="E88" i="81"/>
  <c r="D73" i="79"/>
  <c r="D19" i="65"/>
  <c r="D32" i="65"/>
  <c r="E61" i="65"/>
  <c r="E66" i="65" s="1"/>
  <c r="F67" i="65" s="1"/>
  <c r="F70" i="65"/>
  <c r="G19" i="64"/>
  <c r="F32" i="64"/>
  <c r="C61" i="64"/>
  <c r="C66" i="64" s="1"/>
  <c r="D67" i="64" s="1"/>
  <c r="G61" i="64"/>
  <c r="G66" i="64" s="1"/>
  <c r="G67" i="64" s="1"/>
  <c r="D70" i="64"/>
  <c r="J68" i="64"/>
  <c r="C92" i="81" s="1"/>
  <c r="G65" i="70"/>
  <c r="H65" i="70" s="1"/>
  <c r="I65" i="70" s="1"/>
  <c r="K65" i="70" s="1"/>
  <c r="L65" i="70" s="1"/>
  <c r="M65" i="70" s="1"/>
  <c r="D69" i="70"/>
  <c r="H69" i="70"/>
  <c r="M69" i="70"/>
  <c r="M125" i="72"/>
  <c r="S125" i="72" s="1"/>
  <c r="D137" i="72"/>
  <c r="J137" i="72" s="1"/>
  <c r="M135" i="72"/>
  <c r="D147" i="72"/>
  <c r="M158" i="72"/>
  <c r="O282" i="72"/>
  <c r="O294" i="72" s="1"/>
  <c r="C87" i="79" s="1"/>
  <c r="D301" i="72"/>
  <c r="J301" i="72" s="1"/>
  <c r="J305" i="72" s="1"/>
  <c r="M303" i="72"/>
  <c r="S303" i="72" s="1"/>
  <c r="D312" i="72"/>
  <c r="J312" i="72" s="1"/>
  <c r="M314" i="72"/>
  <c r="S314" i="72" s="1"/>
  <c r="M326" i="72"/>
  <c r="S326" i="72" s="1"/>
  <c r="S327" i="72" s="1"/>
  <c r="O459" i="72"/>
  <c r="O471" i="72" s="1"/>
  <c r="C87" i="81" s="1"/>
  <c r="M480" i="72"/>
  <c r="S480" i="72" s="1"/>
  <c r="D489" i="72"/>
  <c r="J489" i="72" s="1"/>
  <c r="M491" i="72"/>
  <c r="S491" i="72" s="1"/>
  <c r="M503" i="72"/>
  <c r="S503" i="72" s="1"/>
  <c r="S504" i="72" s="1"/>
  <c r="F73" i="68"/>
  <c r="F73" i="83" s="1"/>
  <c r="C73" i="73"/>
  <c r="C73" i="84" s="1"/>
  <c r="D239" i="72" a="1"/>
  <c r="D242" i="72" s="1"/>
  <c r="J242" i="72" s="1"/>
  <c r="C45" i="83"/>
  <c r="D450" i="72" a="1"/>
  <c r="M402" i="72" a="1"/>
  <c r="C69" i="83"/>
  <c r="E19" i="65"/>
  <c r="E70" i="64"/>
  <c r="E69" i="64"/>
  <c r="G65" i="69"/>
  <c r="H65" i="69" s="1"/>
  <c r="I65" i="69" s="1"/>
  <c r="K65" i="69" s="1"/>
  <c r="L65" i="69" s="1"/>
  <c r="M65" i="69" s="1"/>
  <c r="D69" i="69"/>
  <c r="M106" i="72"/>
  <c r="D138" i="72"/>
  <c r="J138" i="72" s="1"/>
  <c r="D283" i="72"/>
  <c r="M304" i="72"/>
  <c r="S304" i="72" s="1"/>
  <c r="M315" i="72"/>
  <c r="S315" i="72" s="1"/>
  <c r="M481" i="72"/>
  <c r="S481" i="72" s="1"/>
  <c r="M492" i="72"/>
  <c r="S492" i="72" s="1"/>
  <c r="D73" i="73"/>
  <c r="D82" i="73"/>
  <c r="E26" i="83"/>
  <c r="E27" i="83"/>
  <c r="D82" i="74"/>
  <c r="D84" i="79"/>
  <c r="D84" i="84" s="1"/>
  <c r="D82" i="80"/>
  <c r="D84" i="80"/>
  <c r="D84" i="83" s="1"/>
  <c r="D72" i="81"/>
  <c r="D73" i="81" s="1"/>
  <c r="D82" i="81"/>
  <c r="D69" i="83"/>
  <c r="S23" i="72"/>
  <c r="S25" i="72" s="1"/>
  <c r="S120" i="72"/>
  <c r="S122" i="72" s="1"/>
  <c r="M127" i="72"/>
  <c r="S127" i="72" s="1"/>
  <c r="D135" i="72"/>
  <c r="J135" i="72" s="1"/>
  <c r="D149" i="72"/>
  <c r="J149" i="72" s="1"/>
  <c r="M160" i="72"/>
  <c r="S160" i="72" s="1"/>
  <c r="S161" i="72" s="1"/>
  <c r="M301" i="72"/>
  <c r="S301" i="72" s="1"/>
  <c r="M312" i="72"/>
  <c r="S312" i="72" s="1"/>
  <c r="P454" i="72"/>
  <c r="D86" i="81" s="1"/>
  <c r="D86" i="84" s="1"/>
  <c r="M478" i="72"/>
  <c r="S478" i="72" s="1"/>
  <c r="M489" i="72"/>
  <c r="S489" i="72" s="1"/>
  <c r="D55" i="72" a="1"/>
  <c r="E73" i="73"/>
  <c r="F27" i="83"/>
  <c r="M273" i="72" a="1"/>
  <c r="D92" i="80"/>
  <c r="E69" i="83"/>
  <c r="F69" i="65"/>
  <c r="J14" i="64"/>
  <c r="F19" i="64"/>
  <c r="C70" i="64"/>
  <c r="K69" i="64"/>
  <c r="C65" i="70"/>
  <c r="S280" i="72"/>
  <c r="S282" i="72" s="1"/>
  <c r="S457" i="72"/>
  <c r="S459" i="72" s="1"/>
  <c r="D62" i="72" a="1"/>
  <c r="F73" i="73"/>
  <c r="D246" i="72" a="1"/>
  <c r="D249" i="72" s="1"/>
  <c r="J249" i="72" s="1"/>
  <c r="D273" i="72" a="1"/>
  <c r="D25" i="84"/>
  <c r="D26" i="84"/>
  <c r="D45" i="84"/>
  <c r="D38" i="81"/>
  <c r="M450" i="72" a="1"/>
  <c r="C50" i="7"/>
  <c r="C66" i="7" s="1"/>
  <c r="C87" i="7" s="1"/>
  <c r="E20" i="87"/>
  <c r="E47" i="87" s="1"/>
  <c r="E75" i="87" s="1"/>
  <c r="E27" i="87"/>
  <c r="E54" i="87" s="1"/>
  <c r="E82" i="87" s="1"/>
  <c r="E34" i="87"/>
  <c r="C47" i="7"/>
  <c r="C63" i="7" s="1"/>
  <c r="C84" i="7" s="1"/>
  <c r="E24" i="87"/>
  <c r="E51" i="87" s="1"/>
  <c r="E79" i="87" s="1"/>
  <c r="E31" i="87"/>
  <c r="E17" i="87"/>
  <c r="E44" i="87" s="1"/>
  <c r="E72" i="87" s="1"/>
  <c r="C51" i="7"/>
  <c r="C67" i="7" s="1"/>
  <c r="C88" i="7" s="1"/>
  <c r="E28" i="87"/>
  <c r="E55" i="87" s="1"/>
  <c r="E83" i="87" s="1"/>
  <c r="E21" i="87"/>
  <c r="E48" i="87" s="1"/>
  <c r="E76" i="87" s="1"/>
  <c r="E35" i="87"/>
  <c r="C48" i="7"/>
  <c r="C64" i="7" s="1"/>
  <c r="C85" i="7" s="1"/>
  <c r="E32" i="87"/>
  <c r="E25" i="87"/>
  <c r="E52" i="87" s="1"/>
  <c r="E80" i="87" s="1"/>
  <c r="E18" i="87"/>
  <c r="E45" i="87" s="1"/>
  <c r="E73" i="87" s="1"/>
  <c r="C52" i="7"/>
  <c r="C68" i="7" s="1"/>
  <c r="C89" i="7" s="1"/>
  <c r="E36" i="87"/>
  <c r="C49" i="7"/>
  <c r="C65" i="7" s="1"/>
  <c r="C86" i="7" s="1"/>
  <c r="E33" i="87"/>
  <c r="E19" i="87"/>
  <c r="E46" i="87" s="1"/>
  <c r="E74" i="87" s="1"/>
  <c r="E26" i="87"/>
  <c r="E53" i="87" s="1"/>
  <c r="E81" i="87" s="1"/>
  <c r="P57" i="7"/>
  <c r="T57" i="7"/>
  <c r="Q57" i="7"/>
  <c r="V57" i="7"/>
  <c r="Z57" i="7"/>
  <c r="S57" i="7"/>
  <c r="N57" i="7"/>
  <c r="R57" i="7"/>
  <c r="W100" i="7"/>
  <c r="W79" i="7"/>
  <c r="W43" i="7"/>
  <c r="W57" i="7" s="1"/>
  <c r="N141" i="7"/>
  <c r="N184" i="7"/>
  <c r="V141" i="7"/>
  <c r="V184" i="7"/>
  <c r="AD99" i="7"/>
  <c r="AD78" i="7"/>
  <c r="AD100" i="7"/>
  <c r="AD79" i="7"/>
  <c r="W99" i="7"/>
  <c r="U226" i="7"/>
  <c r="U141" i="7"/>
  <c r="X100" i="7"/>
  <c r="X79" i="7"/>
  <c r="X43" i="7"/>
  <c r="X57" i="7" s="1"/>
  <c r="X99" i="7"/>
  <c r="X78" i="7"/>
  <c r="AB100" i="7"/>
  <c r="AB79" i="7"/>
  <c r="AB43" i="7"/>
  <c r="AB57" i="7" s="1"/>
  <c r="AB99" i="7"/>
  <c r="AB78" i="7"/>
  <c r="O184" i="7"/>
  <c r="O226" i="7"/>
  <c r="S184" i="7"/>
  <c r="S226" i="7"/>
  <c r="W184" i="7"/>
  <c r="W226" i="7"/>
  <c r="AA184" i="7"/>
  <c r="AA226" i="7"/>
  <c r="AE184" i="7"/>
  <c r="AE226" i="7"/>
  <c r="AD43" i="7"/>
  <c r="AD57" i="7" s="1"/>
  <c r="Q99" i="7"/>
  <c r="W78" i="7"/>
  <c r="Y226" i="7"/>
  <c r="Y141" i="7"/>
  <c r="S141" i="7"/>
  <c r="U184" i="7"/>
  <c r="V226" i="7"/>
  <c r="AA100" i="7"/>
  <c r="AA79" i="7"/>
  <c r="AA43" i="7"/>
  <c r="AA57" i="7" s="1"/>
  <c r="R141" i="7"/>
  <c r="R184" i="7"/>
  <c r="Z141" i="7"/>
  <c r="Z184" i="7"/>
  <c r="N100" i="7"/>
  <c r="N79" i="7"/>
  <c r="N99" i="7"/>
  <c r="N78" i="7"/>
  <c r="R226" i="7"/>
  <c r="Y43" i="7"/>
  <c r="Y57" i="7" s="1"/>
  <c r="Y99" i="7"/>
  <c r="Y78" i="7"/>
  <c r="AC43" i="7"/>
  <c r="AC57" i="7" s="1"/>
  <c r="AC99" i="7"/>
  <c r="AC78" i="7"/>
  <c r="L184" i="7"/>
  <c r="L226" i="7"/>
  <c r="L141" i="7"/>
  <c r="P184" i="7"/>
  <c r="P226" i="7"/>
  <c r="P141" i="7"/>
  <c r="T184" i="7"/>
  <c r="T226" i="7"/>
  <c r="T141" i="7"/>
  <c r="X184" i="7"/>
  <c r="X226" i="7"/>
  <c r="X141" i="7"/>
  <c r="AB184" i="7"/>
  <c r="AB226" i="7"/>
  <c r="AB141" i="7"/>
  <c r="V99" i="7"/>
  <c r="V78" i="7"/>
  <c r="V100" i="7"/>
  <c r="V79" i="7"/>
  <c r="AA78" i="7"/>
  <c r="AC79" i="7"/>
  <c r="M226" i="7"/>
  <c r="M141" i="7"/>
  <c r="AC226" i="7"/>
  <c r="AC141" i="7"/>
  <c r="W141" i="7"/>
  <c r="Y184" i="7"/>
  <c r="Z226" i="7"/>
  <c r="M43" i="7"/>
  <c r="M57" i="7" s="1"/>
  <c r="M100" i="7"/>
  <c r="M79" i="7"/>
  <c r="AE100" i="7"/>
  <c r="AE79" i="7"/>
  <c r="AE43" i="7"/>
  <c r="AE57" i="7" s="1"/>
  <c r="AD141" i="7"/>
  <c r="AD184" i="7"/>
  <c r="O99" i="7"/>
  <c r="O78" i="7"/>
  <c r="O43" i="7"/>
  <c r="O57" i="7" s="1"/>
  <c r="L99" i="7"/>
  <c r="L78" i="7"/>
  <c r="L43" i="7"/>
  <c r="L57" i="7" s="1"/>
  <c r="L100" i="7"/>
  <c r="L79" i="7"/>
  <c r="Z99" i="7"/>
  <c r="Z78" i="7"/>
  <c r="Z100" i="7"/>
  <c r="Z79" i="7"/>
  <c r="AE78" i="7"/>
  <c r="M99" i="7"/>
  <c r="O100" i="7"/>
  <c r="Q226" i="7"/>
  <c r="Q141" i="7"/>
  <c r="AA141" i="7"/>
  <c r="AC184" i="7"/>
  <c r="N226" i="7"/>
  <c r="AD226" i="7"/>
  <c r="P99" i="7"/>
  <c r="T99" i="7"/>
  <c r="S25" i="34"/>
  <c r="V59" i="36"/>
  <c r="V58" i="36"/>
  <c r="V135" i="36" s="1"/>
  <c r="V57" i="36"/>
  <c r="V56" i="36"/>
  <c r="V133" i="36" s="1"/>
  <c r="V54" i="36"/>
  <c r="V131" i="36" s="1"/>
  <c r="V53" i="36"/>
  <c r="V130" i="36" s="1"/>
  <c r="V47" i="36"/>
  <c r="V43" i="36"/>
  <c r="V38" i="36"/>
  <c r="V46" i="36"/>
  <c r="V42" i="36"/>
  <c r="V118" i="36" s="1"/>
  <c r="V37" i="36"/>
  <c r="V113" i="36" s="1"/>
  <c r="Z59" i="36"/>
  <c r="Z136" i="36" s="1"/>
  <c r="Z57" i="36"/>
  <c r="Z134" i="36" s="1"/>
  <c r="Z54" i="36"/>
  <c r="Z131" i="36" s="1"/>
  <c r="Z47" i="36"/>
  <c r="Z43" i="36"/>
  <c r="Z38" i="36"/>
  <c r="Z46" i="36"/>
  <c r="Z42" i="36"/>
  <c r="Z118" i="36" s="1"/>
  <c r="Z37" i="36"/>
  <c r="Z113" i="36" s="1"/>
  <c r="AD47" i="36"/>
  <c r="AD43" i="36"/>
  <c r="AD38" i="36"/>
  <c r="AD46" i="36"/>
  <c r="AD42" i="36"/>
  <c r="AD118" i="36" s="1"/>
  <c r="AD37" i="36"/>
  <c r="AD113" i="36" s="1"/>
  <c r="AH47" i="36"/>
  <c r="AH43" i="36"/>
  <c r="AH39" i="36"/>
  <c r="AH115" i="36" s="1"/>
  <c r="AH38" i="36"/>
  <c r="AH46" i="36"/>
  <c r="AH42" i="36"/>
  <c r="AH118" i="36" s="1"/>
  <c r="AH37" i="36"/>
  <c r="AH113" i="36" s="1"/>
  <c r="AL47" i="36"/>
  <c r="AL43" i="36"/>
  <c r="AL39" i="36"/>
  <c r="AL115" i="36" s="1"/>
  <c r="AL38" i="36"/>
  <c r="AL46" i="36"/>
  <c r="AL42" i="36"/>
  <c r="AL118" i="36" s="1"/>
  <c r="AL37" i="36"/>
  <c r="AL113" i="36" s="1"/>
  <c r="V36" i="36"/>
  <c r="V72" i="36" s="1"/>
  <c r="AD36" i="36"/>
  <c r="AL36" i="36"/>
  <c r="AL72" i="36" s="1"/>
  <c r="V41" i="36"/>
  <c r="V117" i="36" s="1"/>
  <c r="AD41" i="36"/>
  <c r="AD117" i="36" s="1"/>
  <c r="AL41" i="36"/>
  <c r="AL117" i="36" s="1"/>
  <c r="V45" i="36"/>
  <c r="AD45" i="36"/>
  <c r="AL45" i="36"/>
  <c r="R86" i="42"/>
  <c r="R58" i="42"/>
  <c r="E60" i="69"/>
  <c r="E61" i="66"/>
  <c r="D38" i="68"/>
  <c r="D38" i="83" s="1"/>
  <c r="D92" i="68"/>
  <c r="D92" i="83" s="1"/>
  <c r="K69" i="66"/>
  <c r="E38" i="73"/>
  <c r="E38" i="84" s="1"/>
  <c r="E92" i="73"/>
  <c r="E92" i="84" s="1"/>
  <c r="L69" i="67"/>
  <c r="I69" i="67"/>
  <c r="V35" i="36"/>
  <c r="AD35" i="36"/>
  <c r="AD71" i="36" s="1"/>
  <c r="AL35" i="36"/>
  <c r="AL71" i="36" s="1"/>
  <c r="Y36" i="36"/>
  <c r="Y112" i="36" s="1"/>
  <c r="AG36" i="36"/>
  <c r="AG112" i="36" s="1"/>
  <c r="Y37" i="36"/>
  <c r="Y73" i="36" s="1"/>
  <c r="AG37" i="36"/>
  <c r="AG113" i="36" s="1"/>
  <c r="V39" i="36"/>
  <c r="V115" i="36" s="1"/>
  <c r="V40" i="36"/>
  <c r="V76" i="36" s="1"/>
  <c r="AD40" i="36"/>
  <c r="AD116" i="36" s="1"/>
  <c r="AL40" i="36"/>
  <c r="AL76" i="36" s="1"/>
  <c r="Y41" i="36"/>
  <c r="AG41" i="36"/>
  <c r="AG77" i="36" s="1"/>
  <c r="Y42" i="36"/>
  <c r="Y118" i="36" s="1"/>
  <c r="AG42" i="36"/>
  <c r="AG118" i="36" s="1"/>
  <c r="V44" i="36"/>
  <c r="AD44" i="36"/>
  <c r="AL44" i="36"/>
  <c r="Y45" i="36"/>
  <c r="AG45" i="36"/>
  <c r="Y46" i="36"/>
  <c r="AG46" i="36"/>
  <c r="X74" i="36"/>
  <c r="AF74" i="36"/>
  <c r="W53" i="42"/>
  <c r="W81" i="42"/>
  <c r="R54" i="42"/>
  <c r="C61" i="69"/>
  <c r="E92" i="68"/>
  <c r="E92" i="83" s="1"/>
  <c r="E38" i="68"/>
  <c r="E38" i="83" s="1"/>
  <c r="L69" i="66"/>
  <c r="H69" i="67"/>
  <c r="J68" i="67"/>
  <c r="F92" i="73"/>
  <c r="F92" i="84" s="1"/>
  <c r="F38" i="73"/>
  <c r="M69" i="67"/>
  <c r="Z36" i="36"/>
  <c r="Z112" i="36" s="1"/>
  <c r="AH36" i="36"/>
  <c r="AH72" i="36" s="1"/>
  <c r="Z41" i="36"/>
  <c r="Z117" i="36" s="1"/>
  <c r="AH41" i="36"/>
  <c r="AH117" i="36" s="1"/>
  <c r="Z45" i="36"/>
  <c r="AH45" i="36"/>
  <c r="R67" i="37"/>
  <c r="R66" i="37"/>
  <c r="R45" i="37"/>
  <c r="R57" i="37"/>
  <c r="R97" i="37"/>
  <c r="R89" i="37"/>
  <c r="AE85" i="42"/>
  <c r="AH58" i="42"/>
  <c r="U87" i="42"/>
  <c r="U59" i="42"/>
  <c r="AK87" i="42"/>
  <c r="AK59" i="42"/>
  <c r="F61" i="66"/>
  <c r="F66" i="66" s="1"/>
  <c r="F70" i="66" s="1"/>
  <c r="H69" i="66"/>
  <c r="U44" i="36"/>
  <c r="U40" i="36"/>
  <c r="U116" i="36" s="1"/>
  <c r="U39" i="36"/>
  <c r="U115" i="36" s="1"/>
  <c r="U35" i="36"/>
  <c r="U59" i="36"/>
  <c r="U136" i="36" s="1"/>
  <c r="U58" i="36"/>
  <c r="U57" i="36"/>
  <c r="U134" i="36" s="1"/>
  <c r="U56" i="36"/>
  <c r="U133" i="36" s="1"/>
  <c r="U54" i="36"/>
  <c r="U131" i="36" s="1"/>
  <c r="U53" i="36"/>
  <c r="U47" i="36"/>
  <c r="U43" i="36"/>
  <c r="U38" i="36"/>
  <c r="Y44" i="36"/>
  <c r="Y40" i="36"/>
  <c r="Y116" i="36" s="1"/>
  <c r="Y39" i="36"/>
  <c r="Y115" i="36" s="1"/>
  <c r="Y35" i="36"/>
  <c r="Y59" i="36"/>
  <c r="Y136" i="36" s="1"/>
  <c r="Y58" i="36"/>
  <c r="Y57" i="36"/>
  <c r="Y134" i="36" s="1"/>
  <c r="Y56" i="36"/>
  <c r="Y133" i="36" s="1"/>
  <c r="Y54" i="36"/>
  <c r="Y131" i="36" s="1"/>
  <c r="Y53" i="36"/>
  <c r="Y130" i="36" s="1"/>
  <c r="Y47" i="36"/>
  <c r="Y43" i="36"/>
  <c r="Y38" i="36"/>
  <c r="AC44" i="36"/>
  <c r="AC40" i="36"/>
  <c r="AC116" i="36" s="1"/>
  <c r="AC35" i="36"/>
  <c r="AC47" i="36"/>
  <c r="AC43" i="36"/>
  <c r="AC38" i="36"/>
  <c r="AG44" i="36"/>
  <c r="AG40" i="36"/>
  <c r="AG116" i="36" s="1"/>
  <c r="AG35" i="36"/>
  <c r="AG71" i="36" s="1"/>
  <c r="AG47" i="36"/>
  <c r="AG43" i="36"/>
  <c r="AG39" i="36"/>
  <c r="AG115" i="36" s="1"/>
  <c r="AG38" i="36"/>
  <c r="AK44" i="36"/>
  <c r="AK40" i="36"/>
  <c r="AK116" i="36" s="1"/>
  <c r="AK35" i="36"/>
  <c r="AK47" i="36"/>
  <c r="AK43" i="36"/>
  <c r="AK39" i="36"/>
  <c r="AK115" i="36" s="1"/>
  <c r="AK38" i="36"/>
  <c r="Z39" i="36"/>
  <c r="Z56" i="36" s="1"/>
  <c r="Z133" i="36" s="1"/>
  <c r="AD39" i="36"/>
  <c r="AD115" i="36" s="1"/>
  <c r="Z35" i="36"/>
  <c r="Z71" i="36" s="1"/>
  <c r="AH35" i="36"/>
  <c r="U36" i="36"/>
  <c r="U112" i="36" s="1"/>
  <c r="AC36" i="36"/>
  <c r="AC112" i="36" s="1"/>
  <c r="AK36" i="36"/>
  <c r="AK112" i="36" s="1"/>
  <c r="U37" i="36"/>
  <c r="AC37" i="36"/>
  <c r="AC73" i="36" s="1"/>
  <c r="AK37" i="36"/>
  <c r="Z40" i="36"/>
  <c r="Z76" i="36" s="1"/>
  <c r="AH40" i="36"/>
  <c r="U41" i="36"/>
  <c r="U117" i="36" s="1"/>
  <c r="AC41" i="36"/>
  <c r="AC77" i="36" s="1"/>
  <c r="AK41" i="36"/>
  <c r="AK117" i="36" s="1"/>
  <c r="U42" i="36"/>
  <c r="U118" i="36" s="1"/>
  <c r="AC42" i="36"/>
  <c r="AC118" i="36" s="1"/>
  <c r="AK42" i="36"/>
  <c r="AK118" i="36" s="1"/>
  <c r="Z44" i="36"/>
  <c r="AH44" i="36"/>
  <c r="U45" i="36"/>
  <c r="AC45" i="36"/>
  <c r="AK45" i="36"/>
  <c r="U46" i="36"/>
  <c r="AC46" i="36"/>
  <c r="AK46" i="36"/>
  <c r="AE80" i="36"/>
  <c r="R56" i="37"/>
  <c r="U97" i="37"/>
  <c r="Q112" i="37"/>
  <c r="Q107" i="37"/>
  <c r="U112" i="37"/>
  <c r="U107" i="37"/>
  <c r="AE81" i="42"/>
  <c r="AE53" i="42"/>
  <c r="AH82" i="42"/>
  <c r="AH54" i="42"/>
  <c r="AK55" i="42"/>
  <c r="Z86" i="42"/>
  <c r="Z58" i="42"/>
  <c r="S97" i="37"/>
  <c r="S89" i="37"/>
  <c r="AC82" i="42"/>
  <c r="X83" i="42"/>
  <c r="X55" i="42"/>
  <c r="AF83" i="42"/>
  <c r="X56" i="42"/>
  <c r="D61" i="66"/>
  <c r="F92" i="68"/>
  <c r="F92" i="83" s="1"/>
  <c r="F38" i="68"/>
  <c r="F38" i="83" s="1"/>
  <c r="AB39" i="36"/>
  <c r="AB115" i="36" s="1"/>
  <c r="T35" i="36"/>
  <c r="T71" i="36" s="1"/>
  <c r="X35" i="36"/>
  <c r="X71" i="36" s="1"/>
  <c r="AB35" i="36"/>
  <c r="AF35" i="36"/>
  <c r="AJ35" i="36"/>
  <c r="AJ111" i="36" s="1"/>
  <c r="S36" i="36"/>
  <c r="S112" i="36" s="1"/>
  <c r="W36" i="36"/>
  <c r="W112" i="36" s="1"/>
  <c r="AA36" i="36"/>
  <c r="AA112" i="36" s="1"/>
  <c r="AE36" i="36"/>
  <c r="AE112" i="36" s="1"/>
  <c r="AI36" i="36"/>
  <c r="AI112" i="36" s="1"/>
  <c r="T39" i="36"/>
  <c r="T115" i="36" s="1"/>
  <c r="X39" i="36"/>
  <c r="X115" i="36" s="1"/>
  <c r="T40" i="36"/>
  <c r="T116" i="36" s="1"/>
  <c r="X40" i="36"/>
  <c r="X116" i="36" s="1"/>
  <c r="AB40" i="36"/>
  <c r="AB116" i="36" s="1"/>
  <c r="AF40" i="36"/>
  <c r="AF116" i="36" s="1"/>
  <c r="AJ40" i="36"/>
  <c r="AJ116" i="36" s="1"/>
  <c r="S41" i="36"/>
  <c r="S117" i="36" s="1"/>
  <c r="W41" i="36"/>
  <c r="W117" i="36" s="1"/>
  <c r="AA41" i="36"/>
  <c r="AA117" i="36" s="1"/>
  <c r="AE41" i="36"/>
  <c r="AE117" i="36" s="1"/>
  <c r="AI41" i="36"/>
  <c r="AI117" i="36" s="1"/>
  <c r="T44" i="36"/>
  <c r="X44" i="36"/>
  <c r="AB44" i="36"/>
  <c r="AF44" i="36"/>
  <c r="AJ44" i="36"/>
  <c r="S45" i="36"/>
  <c r="W45" i="36"/>
  <c r="AA45" i="36"/>
  <c r="AE45" i="36"/>
  <c r="AI45" i="36"/>
  <c r="S52" i="36"/>
  <c r="T67" i="37"/>
  <c r="S57" i="37"/>
  <c r="D38" i="74"/>
  <c r="D92" i="74"/>
  <c r="K69" i="62"/>
  <c r="C92" i="79"/>
  <c r="Y59" i="42"/>
  <c r="AG87" i="42"/>
  <c r="AG59" i="42"/>
  <c r="H107" i="72"/>
  <c r="H111" i="72" s="1"/>
  <c r="D92" i="73"/>
  <c r="D92" i="84" s="1"/>
  <c r="D38" i="73"/>
  <c r="D38" i="84" s="1"/>
  <c r="D40" i="84" s="1"/>
  <c r="AC39" i="36"/>
  <c r="AC115" i="36" s="1"/>
  <c r="T36" i="36"/>
  <c r="T112" i="36" s="1"/>
  <c r="X36" i="36"/>
  <c r="X112" i="36" s="1"/>
  <c r="AB36" i="36"/>
  <c r="AB112" i="36" s="1"/>
  <c r="AF36" i="36"/>
  <c r="AF112" i="36" s="1"/>
  <c r="AJ36" i="36"/>
  <c r="AJ112" i="36" s="1"/>
  <c r="S37" i="36"/>
  <c r="S113" i="36" s="1"/>
  <c r="W37" i="36"/>
  <c r="W113" i="36" s="1"/>
  <c r="AA37" i="36"/>
  <c r="AA113" i="36" s="1"/>
  <c r="AE37" i="36"/>
  <c r="AE113" i="36" s="1"/>
  <c r="AI37" i="36"/>
  <c r="AI113" i="36" s="1"/>
  <c r="T41" i="36"/>
  <c r="T117" i="36" s="1"/>
  <c r="X41" i="36"/>
  <c r="X117" i="36" s="1"/>
  <c r="AB41" i="36"/>
  <c r="AB117" i="36" s="1"/>
  <c r="AF41" i="36"/>
  <c r="AF117" i="36" s="1"/>
  <c r="AJ41" i="36"/>
  <c r="AJ117" i="36" s="1"/>
  <c r="S42" i="36"/>
  <c r="S118" i="36" s="1"/>
  <c r="W42" i="36"/>
  <c r="W118" i="36" s="1"/>
  <c r="AA42" i="36"/>
  <c r="AA78" i="36" s="1"/>
  <c r="AE42" i="36"/>
  <c r="AE118" i="36" s="1"/>
  <c r="AI42" i="36"/>
  <c r="AI118" i="36" s="1"/>
  <c r="T45" i="36"/>
  <c r="X45" i="36"/>
  <c r="AB45" i="36"/>
  <c r="AF45" i="36"/>
  <c r="AJ45" i="36"/>
  <c r="S46" i="36"/>
  <c r="W46" i="36"/>
  <c r="AA46" i="36"/>
  <c r="AE46" i="36"/>
  <c r="AI46" i="36"/>
  <c r="Q67" i="37"/>
  <c r="Q66" i="37"/>
  <c r="Q57" i="37"/>
  <c r="Q56" i="37"/>
  <c r="Q45" i="37"/>
  <c r="U67" i="37"/>
  <c r="U66" i="37"/>
  <c r="U57" i="37"/>
  <c r="U56" i="37"/>
  <c r="U45" i="37"/>
  <c r="S45" i="37"/>
  <c r="T112" i="37"/>
  <c r="T107" i="37"/>
  <c r="G69" i="62"/>
  <c r="D38" i="79"/>
  <c r="D92" i="79"/>
  <c r="K69" i="63"/>
  <c r="V81" i="42"/>
  <c r="V53" i="42"/>
  <c r="AD81" i="42"/>
  <c r="AD53" i="42"/>
  <c r="T55" i="42"/>
  <c r="AB83" i="42"/>
  <c r="AB55" i="42"/>
  <c r="AJ83" i="42"/>
  <c r="AJ55" i="42"/>
  <c r="AJ84" i="42"/>
  <c r="AG86" i="42"/>
  <c r="AG58" i="42"/>
  <c r="T59" i="42"/>
  <c r="AB87" i="42"/>
  <c r="AJ59" i="42"/>
  <c r="K69" i="69"/>
  <c r="L69" i="69"/>
  <c r="T45" i="37"/>
  <c r="T56" i="37"/>
  <c r="T57" i="37"/>
  <c r="T66" i="37"/>
  <c r="E92" i="74"/>
  <c r="E38" i="74"/>
  <c r="E92" i="79"/>
  <c r="E38" i="79"/>
  <c r="F92" i="74"/>
  <c r="F38" i="74"/>
  <c r="F92" i="79"/>
  <c r="F38" i="79"/>
  <c r="D46" i="79"/>
  <c r="D46" i="84" s="1"/>
  <c r="G69" i="64"/>
  <c r="G70" i="64"/>
  <c r="L43" i="86" s="1"/>
  <c r="E92" i="81"/>
  <c r="L69" i="64"/>
  <c r="E38" i="81"/>
  <c r="D39" i="83"/>
  <c r="E38" i="80"/>
  <c r="E92" i="80"/>
  <c r="L69" i="65"/>
  <c r="M69" i="64"/>
  <c r="C46" i="73"/>
  <c r="C46" i="84" s="1"/>
  <c r="D69" i="65"/>
  <c r="D70" i="65"/>
  <c r="H69" i="65"/>
  <c r="O69" i="65" s="1"/>
  <c r="J68" i="65"/>
  <c r="E39" i="83"/>
  <c r="E69" i="65"/>
  <c r="E39" i="84"/>
  <c r="F38" i="80"/>
  <c r="F92" i="80"/>
  <c r="M69" i="65"/>
  <c r="F38" i="81"/>
  <c r="H69" i="64"/>
  <c r="O69" i="64" s="1"/>
  <c r="H69" i="69"/>
  <c r="C39" i="68"/>
  <c r="D46" i="68"/>
  <c r="D46" i="83" s="1"/>
  <c r="C46" i="80"/>
  <c r="C46" i="83" s="1"/>
  <c r="D461" i="72"/>
  <c r="I69" i="65"/>
  <c r="P68" i="64"/>
  <c r="M461" i="72" s="1"/>
  <c r="D69" i="64"/>
  <c r="I69" i="64"/>
  <c r="I69" i="69"/>
  <c r="P23" i="60"/>
  <c r="Q23" i="60" s="1"/>
  <c r="R23" i="60" s="1"/>
  <c r="S23" i="60" s="1"/>
  <c r="T23" i="60" s="1"/>
  <c r="N23" i="60"/>
  <c r="M23" i="60" s="1"/>
  <c r="M467" i="72" a="1"/>
  <c r="M470" i="72" s="1"/>
  <c r="S470" i="72" s="1"/>
  <c r="F39" i="83"/>
  <c r="V204" i="60"/>
  <c r="Z204" i="60"/>
  <c r="U204" i="60"/>
  <c r="D78" i="80"/>
  <c r="G69" i="70"/>
  <c r="L69" i="70"/>
  <c r="F24" i="34"/>
  <c r="W53" i="34"/>
  <c r="W54" i="34" s="1"/>
  <c r="W64" i="34" s="1"/>
  <c r="AA53" i="34"/>
  <c r="AA54" i="34" s="1"/>
  <c r="S23" i="34" s="1"/>
  <c r="X53" i="34"/>
  <c r="X54" i="34" s="1"/>
  <c r="AB53" i="34"/>
  <c r="AB54" i="34" s="1"/>
  <c r="Y53" i="34"/>
  <c r="Y54" i="34" s="1"/>
  <c r="AC53" i="34"/>
  <c r="AC54" i="34" s="1"/>
  <c r="V53" i="34"/>
  <c r="V54" i="34" s="1"/>
  <c r="V64" i="34" s="1"/>
  <c r="Z53" i="34"/>
  <c r="Z54" i="34" s="1"/>
  <c r="AD53" i="34"/>
  <c r="AD54" i="34" s="1"/>
  <c r="U47" i="34"/>
  <c r="U53" i="34" s="1"/>
  <c r="U54" i="34" s="1"/>
  <c r="F20" i="34"/>
  <c r="F22" i="34" s="1"/>
  <c r="F23" i="34" s="1"/>
  <c r="S16" i="34"/>
  <c r="S18" i="34"/>
  <c r="S15" i="34"/>
  <c r="S17" i="34"/>
  <c r="S19" i="34"/>
  <c r="S22" i="34"/>
  <c r="S20" i="34"/>
  <c r="S21" i="34"/>
  <c r="M451" i="72"/>
  <c r="R451" i="72" s="1"/>
  <c r="R454" i="72" s="1"/>
  <c r="F86" i="81" s="1"/>
  <c r="M450" i="72"/>
  <c r="M452" i="72"/>
  <c r="S452" i="72" s="1"/>
  <c r="M453" i="72"/>
  <c r="S453" i="72" s="1"/>
  <c r="F59" i="84"/>
  <c r="D452" i="72"/>
  <c r="J452" i="72" s="1"/>
  <c r="D453" i="72"/>
  <c r="J453" i="72" s="1"/>
  <c r="D451" i="72"/>
  <c r="I451" i="72" s="1"/>
  <c r="I454" i="72" s="1"/>
  <c r="F86" i="80" s="1"/>
  <c r="D450" i="72"/>
  <c r="C59" i="83"/>
  <c r="M274" i="72"/>
  <c r="R274" i="72" s="1"/>
  <c r="R277" i="72" s="1"/>
  <c r="F86" i="79" s="1"/>
  <c r="M273" i="72"/>
  <c r="M276" i="72"/>
  <c r="S276" i="72" s="1"/>
  <c r="M275" i="72"/>
  <c r="S275" i="72" s="1"/>
  <c r="C59" i="84"/>
  <c r="D273" i="72"/>
  <c r="D276" i="72"/>
  <c r="J276" i="72" s="1"/>
  <c r="D275" i="72"/>
  <c r="J275" i="72" s="1"/>
  <c r="D274" i="72"/>
  <c r="I274" i="72" s="1"/>
  <c r="I277" i="72" s="1"/>
  <c r="F86" i="74" s="1"/>
  <c r="F59" i="83"/>
  <c r="M96" i="72" a="1"/>
  <c r="D96" i="72" a="1"/>
  <c r="M249" i="72"/>
  <c r="S249" i="72" s="1"/>
  <c r="M246" i="72"/>
  <c r="M247" i="72"/>
  <c r="M242" i="72"/>
  <c r="S242" i="72" s="1"/>
  <c r="M239" i="72"/>
  <c r="E26" i="84"/>
  <c r="M240" i="72"/>
  <c r="M234" i="72"/>
  <c r="S234" i="72" s="1"/>
  <c r="M235" i="72"/>
  <c r="S235" i="72" s="1"/>
  <c r="M233" i="72"/>
  <c r="M232" i="72"/>
  <c r="F25" i="84"/>
  <c r="F28" i="79"/>
  <c r="D246" i="72"/>
  <c r="C27" i="83"/>
  <c r="C28" i="74"/>
  <c r="D239" i="72"/>
  <c r="D240" i="72"/>
  <c r="D235" i="72"/>
  <c r="J235" i="72" s="1"/>
  <c r="D232" i="72"/>
  <c r="D233" i="72"/>
  <c r="M72" i="72"/>
  <c r="S72" i="72" s="1"/>
  <c r="M71" i="72"/>
  <c r="S71" i="72" s="1"/>
  <c r="M70" i="72"/>
  <c r="M69" i="72"/>
  <c r="D27" i="84"/>
  <c r="M62" i="72"/>
  <c r="M63" i="72"/>
  <c r="M65" i="72"/>
  <c r="S65" i="72" s="1"/>
  <c r="M55" i="72" a="1"/>
  <c r="D72" i="72"/>
  <c r="J72" i="72" s="1"/>
  <c r="D69" i="72"/>
  <c r="D70" i="72"/>
  <c r="D65" i="72"/>
  <c r="J65" i="72" s="1"/>
  <c r="D64" i="72"/>
  <c r="J64" i="72" s="1"/>
  <c r="D63" i="72"/>
  <c r="D62" i="72"/>
  <c r="C26" i="83"/>
  <c r="D55" i="72"/>
  <c r="D58" i="72"/>
  <c r="J58" i="72" s="1"/>
  <c r="D57" i="72"/>
  <c r="J57" i="72" s="1"/>
  <c r="D56" i="72"/>
  <c r="F25" i="83"/>
  <c r="M405" i="72"/>
  <c r="S405" i="72" s="1"/>
  <c r="M404" i="72"/>
  <c r="S404" i="72" s="1"/>
  <c r="M403" i="72"/>
  <c r="R403" i="72" s="1"/>
  <c r="R406" i="72" s="1"/>
  <c r="M402" i="72"/>
  <c r="D24" i="84"/>
  <c r="D28" i="81"/>
  <c r="C28" i="81"/>
  <c r="E23" i="84"/>
  <c r="F23" i="84"/>
  <c r="M395" i="72" a="1"/>
  <c r="D405" i="72"/>
  <c r="J405" i="72" s="1"/>
  <c r="D404" i="72"/>
  <c r="J404" i="72" s="1"/>
  <c r="D403" i="72"/>
  <c r="I403" i="72" s="1"/>
  <c r="I406" i="72" s="1"/>
  <c r="D402" i="72"/>
  <c r="D24" i="83"/>
  <c r="D23" i="83"/>
  <c r="D395" i="72" a="1"/>
  <c r="E28" i="80"/>
  <c r="E78" i="80" s="1"/>
  <c r="F28" i="80"/>
  <c r="F78" i="80" s="1"/>
  <c r="C28" i="80"/>
  <c r="Q211" i="72"/>
  <c r="Q215" i="72" s="1"/>
  <c r="M212" i="72"/>
  <c r="M213" i="72"/>
  <c r="S213" i="72" s="1"/>
  <c r="M214" i="72"/>
  <c r="S214" i="72" s="1"/>
  <c r="I212" i="72"/>
  <c r="I215" i="72" s="1"/>
  <c r="D213" i="72"/>
  <c r="J213" i="72" s="1"/>
  <c r="D214" i="72"/>
  <c r="J214" i="72" s="1"/>
  <c r="D211" i="72"/>
  <c r="E45" i="84"/>
  <c r="T96" i="36"/>
  <c r="AE76" i="36"/>
  <c r="S97" i="36"/>
  <c r="S76" i="36"/>
  <c r="AJ73" i="36"/>
  <c r="W92" i="36"/>
  <c r="AA95" i="36"/>
  <c r="AE115" i="36"/>
  <c r="T95" i="36"/>
  <c r="D290" i="72" a="1"/>
  <c r="F46" i="83"/>
  <c r="F45" i="84"/>
  <c r="E46" i="83"/>
  <c r="J46" i="85"/>
  <c r="L47" i="85"/>
  <c r="J48" i="85"/>
  <c r="L49" i="85"/>
  <c r="J50" i="85"/>
  <c r="K32" i="85"/>
  <c r="K34" i="85"/>
  <c r="K47" i="85"/>
  <c r="L31" i="85"/>
  <c r="J34" i="85"/>
  <c r="K46" i="85"/>
  <c r="K48" i="85"/>
  <c r="K50" i="85"/>
  <c r="J31" i="85"/>
  <c r="L32" i="85"/>
  <c r="J33" i="85"/>
  <c r="L34" i="85"/>
  <c r="J32" i="85"/>
  <c r="L33" i="85"/>
  <c r="L46" i="85"/>
  <c r="J47" i="85"/>
  <c r="L48" i="85"/>
  <c r="J49" i="85"/>
  <c r="L50" i="85"/>
  <c r="K31" i="85"/>
  <c r="K33" i="85"/>
  <c r="K49" i="85"/>
  <c r="I34" i="7"/>
  <c r="J34" i="7" s="1"/>
  <c r="E45" i="83"/>
  <c r="F45" i="83"/>
  <c r="I36" i="7"/>
  <c r="J36" i="7" s="1"/>
  <c r="U99" i="7"/>
  <c r="I33" i="7"/>
  <c r="I37" i="7"/>
  <c r="J37" i="7" s="1"/>
  <c r="T78" i="7"/>
  <c r="R99" i="7"/>
  <c r="S99" i="7"/>
  <c r="P78" i="7"/>
  <c r="I35" i="7"/>
  <c r="J35" i="7" s="1"/>
  <c r="Q78" i="7"/>
  <c r="S78" i="7"/>
  <c r="E46" i="73"/>
  <c r="F46" i="73"/>
  <c r="F46" i="84" s="1"/>
  <c r="J68" i="70"/>
  <c r="H4" i="86" l="1"/>
  <c r="H34" i="85"/>
  <c r="H47" i="85"/>
  <c r="H33" i="85"/>
  <c r="H32" i="85"/>
  <c r="H50" i="85"/>
  <c r="H49" i="85"/>
  <c r="H48" i="85"/>
  <c r="H18" i="85" s="1"/>
  <c r="H46" i="85"/>
  <c r="H31" i="85"/>
  <c r="I33" i="85"/>
  <c r="I32" i="85"/>
  <c r="I31" i="85"/>
  <c r="N17" i="60"/>
  <c r="C65" i="63"/>
  <c r="C8" i="63" s="1"/>
  <c r="F66" i="63"/>
  <c r="C65" i="66"/>
  <c r="C8" i="66" s="1"/>
  <c r="D65" i="63"/>
  <c r="D8" i="63" s="1"/>
  <c r="C65" i="62"/>
  <c r="C8" i="62" s="1"/>
  <c r="I48" i="85"/>
  <c r="I49" i="85"/>
  <c r="I46" i="85"/>
  <c r="I34" i="85"/>
  <c r="I19" i="85" s="1"/>
  <c r="I47" i="85"/>
  <c r="I17" i="85" s="1"/>
  <c r="D65" i="66"/>
  <c r="D8" i="66" s="1"/>
  <c r="C65" i="67"/>
  <c r="D65" i="62"/>
  <c r="D8" i="62" s="1"/>
  <c r="M17" i="60"/>
  <c r="I50" i="85"/>
  <c r="D65" i="67"/>
  <c r="D8" i="67" s="1"/>
  <c r="AE79" i="36"/>
  <c r="E73" i="83"/>
  <c r="D66" i="62"/>
  <c r="J316" i="72"/>
  <c r="G66" i="67"/>
  <c r="J493" i="72"/>
  <c r="D40" i="68"/>
  <c r="D40" i="83"/>
  <c r="L17" i="86"/>
  <c r="F72" i="84"/>
  <c r="G66" i="63"/>
  <c r="G70" i="63" s="1"/>
  <c r="L42" i="86" s="1"/>
  <c r="C66" i="62"/>
  <c r="C70" i="62" s="1"/>
  <c r="H16" i="86" s="1"/>
  <c r="H35" i="85"/>
  <c r="H20" i="85" s="1"/>
  <c r="I35" i="85"/>
  <c r="S493" i="72"/>
  <c r="J35" i="85"/>
  <c r="J20" i="85" s="1"/>
  <c r="J277" i="72"/>
  <c r="K35" i="85"/>
  <c r="K37" i="85" s="1"/>
  <c r="L35" i="85"/>
  <c r="L20" i="85" s="1"/>
  <c r="I43" i="86"/>
  <c r="T52" i="36"/>
  <c r="C38" i="81"/>
  <c r="AA56" i="36"/>
  <c r="AA133" i="36" s="1"/>
  <c r="T91" i="36"/>
  <c r="AH73" i="36"/>
  <c r="H43" i="86"/>
  <c r="F40" i="83"/>
  <c r="F40" i="68"/>
  <c r="G8" i="67"/>
  <c r="K15" i="86"/>
  <c r="AK72" i="36"/>
  <c r="D113" i="72" a="1"/>
  <c r="D116" i="72" s="1"/>
  <c r="J116" i="72" s="1"/>
  <c r="AB78" i="36"/>
  <c r="AK75" i="36"/>
  <c r="AL73" i="36"/>
  <c r="J43" i="86"/>
  <c r="AL116" i="36"/>
  <c r="AE77" i="36"/>
  <c r="W123" i="36"/>
  <c r="Z78" i="36"/>
  <c r="T111" i="36"/>
  <c r="D40" i="73"/>
  <c r="M108" i="72" s="1"/>
  <c r="R108" i="72" s="1"/>
  <c r="R111" i="72" s="1"/>
  <c r="K17" i="86"/>
  <c r="D71" i="64"/>
  <c r="K43" i="86"/>
  <c r="V77" i="36"/>
  <c r="X64" i="34"/>
  <c r="X84" i="34" s="1"/>
  <c r="E71" i="64"/>
  <c r="C66" i="66"/>
  <c r="C70" i="66" s="1"/>
  <c r="H15" i="86" s="1"/>
  <c r="D71" i="65"/>
  <c r="I17" i="86"/>
  <c r="AE71" i="36"/>
  <c r="V96" i="36"/>
  <c r="V116" i="36"/>
  <c r="U64" i="34"/>
  <c r="U84" i="34" s="1"/>
  <c r="H17" i="86"/>
  <c r="X92" i="36"/>
  <c r="C38" i="74"/>
  <c r="G66" i="66"/>
  <c r="G70" i="66" s="1"/>
  <c r="L15" i="86" s="1"/>
  <c r="Y97" i="36"/>
  <c r="AA92" i="36"/>
  <c r="O117" i="72"/>
  <c r="C87" i="73" s="1"/>
  <c r="C87" i="84" s="1"/>
  <c r="M107" i="72"/>
  <c r="Q107" i="72" s="1"/>
  <c r="Q111" i="72" s="1"/>
  <c r="J406" i="72"/>
  <c r="J139" i="72"/>
  <c r="S316" i="72"/>
  <c r="O355" i="72"/>
  <c r="C87" i="83"/>
  <c r="E72" i="84"/>
  <c r="D61" i="70"/>
  <c r="S211" i="72"/>
  <c r="S482" i="72"/>
  <c r="D82" i="83"/>
  <c r="S277" i="72"/>
  <c r="M468" i="72"/>
  <c r="R468" i="72" s="1"/>
  <c r="J107" i="72"/>
  <c r="M316" i="72"/>
  <c r="D504" i="72"/>
  <c r="C90" i="83"/>
  <c r="S406" i="72"/>
  <c r="M161" i="72"/>
  <c r="D72" i="84"/>
  <c r="M149" i="72"/>
  <c r="S149" i="72" s="1"/>
  <c r="M148" i="72"/>
  <c r="S148" i="72" s="1"/>
  <c r="M147" i="72"/>
  <c r="D481" i="72"/>
  <c r="J481" i="72" s="1"/>
  <c r="D479" i="72"/>
  <c r="J479" i="72" s="1"/>
  <c r="D480" i="72"/>
  <c r="J480" i="72" s="1"/>
  <c r="D127" i="72"/>
  <c r="J127" i="72" s="1"/>
  <c r="D124" i="72"/>
  <c r="D125" i="72"/>
  <c r="J125" i="72" s="1"/>
  <c r="D126" i="72"/>
  <c r="J126" i="72" s="1"/>
  <c r="D139" i="72"/>
  <c r="D493" i="72"/>
  <c r="D327" i="72"/>
  <c r="D146" i="72"/>
  <c r="D148" i="72"/>
  <c r="J148" i="72" s="1"/>
  <c r="J150" i="72" s="1"/>
  <c r="D478" i="72"/>
  <c r="J478" i="72" s="1"/>
  <c r="D305" i="72"/>
  <c r="M138" i="72"/>
  <c r="S138" i="72" s="1"/>
  <c r="M137" i="72"/>
  <c r="S137" i="72" s="1"/>
  <c r="M136" i="72"/>
  <c r="S136" i="72" s="1"/>
  <c r="S305" i="72"/>
  <c r="M146" i="72"/>
  <c r="M327" i="72"/>
  <c r="M124" i="72"/>
  <c r="S124" i="72" s="1"/>
  <c r="M126" i="72"/>
  <c r="S126" i="72" s="1"/>
  <c r="AJ76" i="36"/>
  <c r="AE72" i="36"/>
  <c r="AJ71" i="36"/>
  <c r="AE78" i="36"/>
  <c r="T76" i="36"/>
  <c r="AC78" i="36"/>
  <c r="Z94" i="36"/>
  <c r="U72" i="36"/>
  <c r="U75" i="36"/>
  <c r="Y91" i="36"/>
  <c r="U95" i="36"/>
  <c r="V97" i="36"/>
  <c r="V136" i="36"/>
  <c r="Z97" i="36"/>
  <c r="AL112" i="36"/>
  <c r="AJ77" i="36"/>
  <c r="W73" i="36"/>
  <c r="Y96" i="36"/>
  <c r="Y135" i="36"/>
  <c r="W97" i="36"/>
  <c r="W136" i="36"/>
  <c r="S94" i="36"/>
  <c r="S133" i="36"/>
  <c r="X95" i="36"/>
  <c r="X134" i="36"/>
  <c r="T77" i="36"/>
  <c r="S91" i="36"/>
  <c r="AB72" i="36"/>
  <c r="U91" i="36"/>
  <c r="U130" i="36"/>
  <c r="U96" i="36"/>
  <c r="U135" i="36"/>
  <c r="X83" i="36"/>
  <c r="V95" i="36"/>
  <c r="V134" i="36"/>
  <c r="T60" i="36"/>
  <c r="T137" i="36" s="1"/>
  <c r="S137" i="36"/>
  <c r="AE114" i="36"/>
  <c r="W94" i="36"/>
  <c r="W133" i="36"/>
  <c r="AG73" i="36"/>
  <c r="X118" i="36"/>
  <c r="AL75" i="36"/>
  <c r="AD75" i="36"/>
  <c r="S96" i="36"/>
  <c r="S135" i="36"/>
  <c r="T92" i="36"/>
  <c r="T131" i="36"/>
  <c r="M469" i="72"/>
  <c r="S469" i="72" s="1"/>
  <c r="U11" i="42"/>
  <c r="U103" i="42" s="1"/>
  <c r="T75" i="42"/>
  <c r="T48" i="42"/>
  <c r="Y48" i="42"/>
  <c r="X48" i="42"/>
  <c r="V48" i="42"/>
  <c r="R48" i="42"/>
  <c r="S48" i="42"/>
  <c r="W48" i="42"/>
  <c r="U48" i="42"/>
  <c r="AC58" i="42"/>
  <c r="U55" i="42"/>
  <c r="AG55" i="42"/>
  <c r="Y58" i="42"/>
  <c r="AG82" i="42"/>
  <c r="W56" i="42"/>
  <c r="AJ82" i="36"/>
  <c r="AJ118" i="36"/>
  <c r="AI76" i="36"/>
  <c r="AK76" i="36"/>
  <c r="X96" i="36"/>
  <c r="W95" i="36"/>
  <c r="S114" i="36"/>
  <c r="AD73" i="36"/>
  <c r="S55" i="36"/>
  <c r="S93" i="36" s="1"/>
  <c r="AB79" i="36"/>
  <c r="AJ75" i="36"/>
  <c r="W96" i="36"/>
  <c r="V78" i="36"/>
  <c r="AC75" i="36"/>
  <c r="AA80" i="36"/>
  <c r="S61" i="36"/>
  <c r="S138" i="36" s="1"/>
  <c r="X97" i="36"/>
  <c r="AA73" i="36"/>
  <c r="T74" i="36"/>
  <c r="U11" i="36"/>
  <c r="U145" i="36" s="1"/>
  <c r="T105" i="36"/>
  <c r="AF73" i="36"/>
  <c r="S73" i="36"/>
  <c r="Z95" i="36"/>
  <c r="Z58" i="36"/>
  <c r="AA58" i="36" s="1"/>
  <c r="AA135" i="36" s="1"/>
  <c r="AJ79" i="36"/>
  <c r="W114" i="36"/>
  <c r="X111" i="36"/>
  <c r="T94" i="36"/>
  <c r="W76" i="36"/>
  <c r="S80" i="36"/>
  <c r="AB111" i="36"/>
  <c r="AB49" i="36"/>
  <c r="AG111" i="36"/>
  <c r="AG49" i="36"/>
  <c r="Y111" i="36"/>
  <c r="Y49" i="36"/>
  <c r="Y94" i="36"/>
  <c r="V75" i="36"/>
  <c r="Y113" i="36"/>
  <c r="AL78" i="36"/>
  <c r="Y71" i="36"/>
  <c r="X49" i="36"/>
  <c r="AB82" i="36"/>
  <c r="T79" i="36"/>
  <c r="Z111" i="36"/>
  <c r="Z49" i="36"/>
  <c r="AF82" i="36"/>
  <c r="V111" i="36"/>
  <c r="V49" i="36"/>
  <c r="W71" i="36"/>
  <c r="W49" i="36"/>
  <c r="AA71" i="36"/>
  <c r="AA49" i="36"/>
  <c r="AH111" i="36"/>
  <c r="AH49" i="36"/>
  <c r="AC76" i="36"/>
  <c r="AH78" i="36"/>
  <c r="X72" i="36"/>
  <c r="U78" i="36"/>
  <c r="AJ49" i="36"/>
  <c r="T49" i="36"/>
  <c r="AB74" i="36"/>
  <c r="U111" i="36"/>
  <c r="U49" i="36"/>
  <c r="W115" i="36"/>
  <c r="AI80" i="36"/>
  <c r="AI111" i="36"/>
  <c r="AI49" i="36"/>
  <c r="AE83" i="36"/>
  <c r="AK111" i="36"/>
  <c r="AK49" i="36"/>
  <c r="AD111" i="36"/>
  <c r="AD49" i="36"/>
  <c r="AH112" i="36"/>
  <c r="AH77" i="36"/>
  <c r="AF77" i="36"/>
  <c r="U76" i="36"/>
  <c r="AH71" i="36"/>
  <c r="AK71" i="36"/>
  <c r="T97" i="36"/>
  <c r="V73" i="36"/>
  <c r="AF71" i="36"/>
  <c r="AF49" i="36"/>
  <c r="AC111" i="36"/>
  <c r="AC49" i="36"/>
  <c r="AB54" i="36"/>
  <c r="AB131" i="36" s="1"/>
  <c r="AL111" i="36"/>
  <c r="AL49" i="36"/>
  <c r="S71" i="36"/>
  <c r="S49" i="36"/>
  <c r="AE49" i="36"/>
  <c r="AK58" i="42"/>
  <c r="T56" i="42"/>
  <c r="AF84" i="42"/>
  <c r="W57" i="42"/>
  <c r="AF59" i="42"/>
  <c r="AC59" i="42"/>
  <c r="U58" i="42"/>
  <c r="AC55" i="42"/>
  <c r="AI75" i="36"/>
  <c r="AG117" i="36"/>
  <c r="Z92" i="36"/>
  <c r="AF75" i="36"/>
  <c r="AJ83" i="36"/>
  <c r="X91" i="36"/>
  <c r="AG76" i="36"/>
  <c r="AH75" i="36"/>
  <c r="AB73" i="36"/>
  <c r="V92" i="36"/>
  <c r="AD78" i="36"/>
  <c r="AI73" i="36"/>
  <c r="AC71" i="36"/>
  <c r="Z53" i="36"/>
  <c r="Z77" i="36"/>
  <c r="AI72" i="36"/>
  <c r="T75" i="36"/>
  <c r="AB71" i="36"/>
  <c r="X82" i="36"/>
  <c r="AI114" i="36"/>
  <c r="AF118" i="36"/>
  <c r="U94" i="36"/>
  <c r="W111" i="36"/>
  <c r="V94" i="36"/>
  <c r="N301" i="87"/>
  <c r="M301" i="87"/>
  <c r="J301" i="87"/>
  <c r="K301" i="87"/>
  <c r="L301" i="87"/>
  <c r="V85" i="34"/>
  <c r="V84" i="34"/>
  <c r="W84" i="34"/>
  <c r="W85" i="34"/>
  <c r="Y64" i="34"/>
  <c r="K300" i="87"/>
  <c r="M467" i="72"/>
  <c r="Q467" i="72" s="1"/>
  <c r="AC57" i="36"/>
  <c r="AC134" i="36" s="1"/>
  <c r="F71" i="64"/>
  <c r="Z64" i="34"/>
  <c r="J300" i="87"/>
  <c r="J331" i="87" s="1"/>
  <c r="AC64" i="34"/>
  <c r="M308" i="87" s="1"/>
  <c r="M334" i="87" s="1"/>
  <c r="M300" i="87"/>
  <c r="AD64" i="34"/>
  <c r="N308" i="87" s="1"/>
  <c r="N334" i="87" s="1"/>
  <c r="N300" i="87"/>
  <c r="AB64" i="34"/>
  <c r="L300" i="87"/>
  <c r="M290" i="72" a="1"/>
  <c r="M292" i="72" s="1"/>
  <c r="S292" i="72" s="1"/>
  <c r="T99" i="42"/>
  <c r="G71" i="65"/>
  <c r="G19" i="70"/>
  <c r="E19" i="69"/>
  <c r="O135" i="72"/>
  <c r="O139" i="72" s="1"/>
  <c r="E532" i="72"/>
  <c r="C82" i="80"/>
  <c r="P283" i="72"/>
  <c r="P288" i="72" s="1"/>
  <c r="AB95" i="36"/>
  <c r="AG72" i="36"/>
  <c r="V71" i="36"/>
  <c r="U97" i="36"/>
  <c r="D248" i="72"/>
  <c r="J248" i="72" s="1"/>
  <c r="Y83" i="42"/>
  <c r="T82" i="36"/>
  <c r="Z82" i="42"/>
  <c r="E61" i="70"/>
  <c r="E66" i="67"/>
  <c r="P460" i="72"/>
  <c r="P465" i="72" s="1"/>
  <c r="D78" i="81"/>
  <c r="G283" i="72"/>
  <c r="G288" i="72" s="1"/>
  <c r="S119" i="36"/>
  <c r="S79" i="36"/>
  <c r="M334" i="72" a="1"/>
  <c r="W78" i="36"/>
  <c r="AF76" i="36"/>
  <c r="AK78" i="36"/>
  <c r="AK54" i="42"/>
  <c r="U54" i="42"/>
  <c r="O532" i="72"/>
  <c r="C82" i="79"/>
  <c r="N355" i="72"/>
  <c r="U77" i="36"/>
  <c r="X94" i="36"/>
  <c r="AB76" i="36"/>
  <c r="Y95" i="36"/>
  <c r="E40" i="83"/>
  <c r="G71" i="64"/>
  <c r="AB56" i="42"/>
  <c r="Y54" i="42"/>
  <c r="X59" i="42"/>
  <c r="J284" i="72"/>
  <c r="T83" i="36"/>
  <c r="C92" i="68"/>
  <c r="C92" i="83" s="1"/>
  <c r="AE56" i="42"/>
  <c r="AF79" i="36"/>
  <c r="AA114" i="36"/>
  <c r="D82" i="84"/>
  <c r="P106" i="72"/>
  <c r="P111" i="72" s="1"/>
  <c r="P117" i="72" s="1"/>
  <c r="M482" i="72"/>
  <c r="E88" i="84"/>
  <c r="D70" i="62"/>
  <c r="AA123" i="36"/>
  <c r="AA83" i="36"/>
  <c r="AI119" i="36"/>
  <c r="AI79" i="36"/>
  <c r="G61" i="70"/>
  <c r="M493" i="72"/>
  <c r="C86" i="84"/>
  <c r="F61" i="70"/>
  <c r="F66" i="67"/>
  <c r="F66" i="70" s="1"/>
  <c r="M504" i="72"/>
  <c r="E178" i="72"/>
  <c r="C82" i="68"/>
  <c r="F19" i="69"/>
  <c r="C82" i="81"/>
  <c r="N532" i="72"/>
  <c r="F88" i="84"/>
  <c r="M284" i="72"/>
  <c r="E66" i="63"/>
  <c r="F67" i="63" s="1"/>
  <c r="E8" i="63"/>
  <c r="C88" i="83"/>
  <c r="S75" i="36"/>
  <c r="AB77" i="36"/>
  <c r="Y75" i="36"/>
  <c r="AA115" i="36"/>
  <c r="AA72" i="36"/>
  <c r="AL77" i="36"/>
  <c r="AB83" i="36"/>
  <c r="R82" i="42"/>
  <c r="F73" i="79"/>
  <c r="F73" i="84" s="1"/>
  <c r="AC113" i="36"/>
  <c r="AI78" i="36"/>
  <c r="S78" i="36"/>
  <c r="X77" i="36"/>
  <c r="X73" i="36"/>
  <c r="AC72" i="36"/>
  <c r="T118" i="36"/>
  <c r="W91" i="36"/>
  <c r="AA77" i="36"/>
  <c r="Z73" i="36"/>
  <c r="X75" i="36"/>
  <c r="Z75" i="36"/>
  <c r="AB75" i="36"/>
  <c r="D241" i="72"/>
  <c r="J241" i="72" s="1"/>
  <c r="D247" i="72"/>
  <c r="I247" i="72" s="1"/>
  <c r="I250" i="72" s="1"/>
  <c r="AD76" i="36"/>
  <c r="Z72" i="36"/>
  <c r="S95" i="36"/>
  <c r="S92" i="36"/>
  <c r="T73" i="36"/>
  <c r="Y72" i="36"/>
  <c r="AC117" i="36"/>
  <c r="W77" i="36"/>
  <c r="AF72" i="36"/>
  <c r="AD77" i="36"/>
  <c r="AG78" i="36"/>
  <c r="Z115" i="36"/>
  <c r="AF111" i="36"/>
  <c r="AA76" i="36"/>
  <c r="W72" i="36"/>
  <c r="D467" i="72" a="1"/>
  <c r="D470" i="72" s="1"/>
  <c r="J470" i="72" s="1"/>
  <c r="W80" i="36"/>
  <c r="AJ74" i="36"/>
  <c r="AF83" i="36"/>
  <c r="X79" i="36"/>
  <c r="D66" i="67"/>
  <c r="D70" i="67" s="1"/>
  <c r="I41" i="86" s="1"/>
  <c r="M511" i="72" a="1"/>
  <c r="D73" i="84"/>
  <c r="E70" i="65"/>
  <c r="E67" i="65"/>
  <c r="G460" i="72"/>
  <c r="F32" i="63"/>
  <c r="F32" i="62"/>
  <c r="S123" i="36"/>
  <c r="S83" i="36"/>
  <c r="AA119" i="36"/>
  <c r="AA79" i="36"/>
  <c r="C61" i="70"/>
  <c r="D316" i="72"/>
  <c r="M305" i="72"/>
  <c r="G106" i="72"/>
  <c r="G111" i="72" s="1"/>
  <c r="G117" i="72" s="1"/>
  <c r="E73" i="79"/>
  <c r="E73" i="84" s="1"/>
  <c r="F88" i="83"/>
  <c r="D19" i="70"/>
  <c r="G32" i="62"/>
  <c r="G66" i="62"/>
  <c r="G8" i="62"/>
  <c r="E66" i="62"/>
  <c r="E8" i="62"/>
  <c r="F66" i="62"/>
  <c r="F8" i="62"/>
  <c r="J5" i="87"/>
  <c r="M5" i="85"/>
  <c r="R17" i="60"/>
  <c r="H65" i="67"/>
  <c r="H8" i="67" s="1"/>
  <c r="H65" i="62"/>
  <c r="H8" i="62" s="1"/>
  <c r="H65" i="66"/>
  <c r="H8" i="66" s="1"/>
  <c r="H17" i="66" s="1"/>
  <c r="H65" i="63"/>
  <c r="H8" i="63" s="1"/>
  <c r="H14" i="63" s="1"/>
  <c r="O27" i="2"/>
  <c r="J141" i="7"/>
  <c r="I141" i="7"/>
  <c r="AA64" i="34"/>
  <c r="K308" i="87" s="1"/>
  <c r="K334" i="87" s="1"/>
  <c r="F26" i="34"/>
  <c r="D17" i="73"/>
  <c r="D17" i="79"/>
  <c r="D17" i="68"/>
  <c r="D17" i="74"/>
  <c r="U23" i="60"/>
  <c r="V82" i="36"/>
  <c r="V122" i="36"/>
  <c r="V91" i="36"/>
  <c r="H461" i="72"/>
  <c r="H465" i="72" s="1"/>
  <c r="D463" i="72" s="1"/>
  <c r="J463" i="72" s="1"/>
  <c r="AB86" i="42"/>
  <c r="AB58" i="42"/>
  <c r="AJ82" i="42"/>
  <c r="AJ54" i="42"/>
  <c r="Y81" i="42"/>
  <c r="Y53" i="42"/>
  <c r="AK84" i="42"/>
  <c r="AK56" i="42"/>
  <c r="X81" i="42"/>
  <c r="X53" i="42"/>
  <c r="F70" i="63"/>
  <c r="AE82" i="36"/>
  <c r="AE122" i="36"/>
  <c r="T81" i="36"/>
  <c r="T121" i="36"/>
  <c r="S84" i="42"/>
  <c r="S56" i="42"/>
  <c r="AI86" i="42"/>
  <c r="AI58" i="42"/>
  <c r="AE86" i="42"/>
  <c r="AE58" i="42"/>
  <c r="S83" i="42"/>
  <c r="S55" i="42"/>
  <c r="AA81" i="36"/>
  <c r="AA121" i="36"/>
  <c r="AF80" i="36"/>
  <c r="AF120" i="36"/>
  <c r="R85" i="42"/>
  <c r="R57" i="42"/>
  <c r="AH84" i="42"/>
  <c r="AH56" i="42"/>
  <c r="AD83" i="42"/>
  <c r="AD55" i="42"/>
  <c r="R83" i="42"/>
  <c r="R55" i="42"/>
  <c r="Y79" i="36"/>
  <c r="Y119" i="36"/>
  <c r="F61" i="69"/>
  <c r="AG122" i="36"/>
  <c r="AG82" i="36"/>
  <c r="AL120" i="36"/>
  <c r="AL80" i="36"/>
  <c r="V121" i="36"/>
  <c r="V81" i="36"/>
  <c r="AD83" i="36"/>
  <c r="AD123" i="36"/>
  <c r="AG75" i="36"/>
  <c r="AE73" i="36"/>
  <c r="AJ72" i="36"/>
  <c r="T72" i="36"/>
  <c r="S72" i="36"/>
  <c r="Q461" i="72"/>
  <c r="Q465" i="72" s="1"/>
  <c r="M463" i="72" s="1"/>
  <c r="S463" i="72" s="1"/>
  <c r="E40" i="84"/>
  <c r="X86" i="42"/>
  <c r="X58" i="42"/>
  <c r="AC85" i="42"/>
  <c r="AC57" i="42"/>
  <c r="AF82" i="42"/>
  <c r="AF54" i="42"/>
  <c r="AK81" i="42"/>
  <c r="AK53" i="42"/>
  <c r="U81" i="42"/>
  <c r="U53" i="42"/>
  <c r="AB85" i="42"/>
  <c r="AB57" i="42"/>
  <c r="AG84" i="42"/>
  <c r="AG56" i="42"/>
  <c r="AJ81" i="42"/>
  <c r="AJ53" i="42"/>
  <c r="T81" i="42"/>
  <c r="T53" i="42"/>
  <c r="AD85" i="42"/>
  <c r="AD57" i="42"/>
  <c r="AA82" i="36"/>
  <c r="AA122" i="36"/>
  <c r="AF81" i="36"/>
  <c r="AF121" i="36"/>
  <c r="AD58" i="42"/>
  <c r="AD86" i="42"/>
  <c r="S85" i="42"/>
  <c r="S57" i="42"/>
  <c r="AD82" i="42"/>
  <c r="AD54" i="42"/>
  <c r="S81" i="42"/>
  <c r="S53" i="42"/>
  <c r="AI83" i="42"/>
  <c r="AI55" i="42"/>
  <c r="AA83" i="42"/>
  <c r="AA55" i="42"/>
  <c r="W82" i="42"/>
  <c r="W54" i="42"/>
  <c r="W83" i="42"/>
  <c r="W55" i="42"/>
  <c r="S87" i="42"/>
  <c r="S59" i="42"/>
  <c r="W121" i="36"/>
  <c r="W81" i="36"/>
  <c r="AB120" i="36"/>
  <c r="AB80" i="36"/>
  <c r="D61" i="69"/>
  <c r="D66" i="66"/>
  <c r="R81" i="42"/>
  <c r="R53" i="42"/>
  <c r="AD87" i="42"/>
  <c r="AD59" i="42"/>
  <c r="R87" i="42"/>
  <c r="R59" i="42"/>
  <c r="R99" i="42"/>
  <c r="R71" i="42"/>
  <c r="G67" i="63"/>
  <c r="AK122" i="36"/>
  <c r="AK82" i="36"/>
  <c r="AC121" i="36"/>
  <c r="AC81" i="36"/>
  <c r="AK73" i="36"/>
  <c r="AK113" i="36"/>
  <c r="AK119" i="36"/>
  <c r="AK79" i="36"/>
  <c r="AG79" i="36"/>
  <c r="AG119" i="36"/>
  <c r="AC123" i="36"/>
  <c r="AC83" i="36"/>
  <c r="Y83" i="36"/>
  <c r="Y123" i="36"/>
  <c r="Y80" i="36"/>
  <c r="Y120" i="36"/>
  <c r="U114" i="36"/>
  <c r="U74" i="36"/>
  <c r="U92" i="36"/>
  <c r="F38" i="84"/>
  <c r="F40" i="84" s="1"/>
  <c r="F40" i="73"/>
  <c r="Y122" i="36"/>
  <c r="Y82" i="36"/>
  <c r="AD120" i="36"/>
  <c r="AD80" i="36"/>
  <c r="AH74" i="36"/>
  <c r="AH114" i="36"/>
  <c r="AD82" i="36"/>
  <c r="AD122" i="36"/>
  <c r="Z122" i="36"/>
  <c r="Z82" i="36"/>
  <c r="V114" i="36"/>
  <c r="V74" i="36"/>
  <c r="C92" i="80"/>
  <c r="C38" i="80"/>
  <c r="AG85" i="42"/>
  <c r="AG57" i="42"/>
  <c r="T82" i="42"/>
  <c r="T54" i="42"/>
  <c r="AF85" i="42"/>
  <c r="AF57" i="42"/>
  <c r="U84" i="42"/>
  <c r="U56" i="42"/>
  <c r="AJ81" i="36"/>
  <c r="AJ121" i="36"/>
  <c r="AA57" i="42"/>
  <c r="AA85" i="42"/>
  <c r="AA53" i="42"/>
  <c r="AA81" i="42"/>
  <c r="S102" i="36"/>
  <c r="Z81" i="42"/>
  <c r="Z53" i="42"/>
  <c r="Z87" i="42"/>
  <c r="Z59" i="42"/>
  <c r="V87" i="42"/>
  <c r="V59" i="42"/>
  <c r="R97" i="42"/>
  <c r="R69" i="42"/>
  <c r="AK121" i="36"/>
  <c r="AK81" i="36"/>
  <c r="Z120" i="36"/>
  <c r="Z80" i="36"/>
  <c r="AC119" i="36"/>
  <c r="AC79" i="36"/>
  <c r="G66" i="70"/>
  <c r="G70" i="67"/>
  <c r="L41" i="86" s="1"/>
  <c r="Z121" i="36"/>
  <c r="Z81" i="36"/>
  <c r="AL114" i="36"/>
  <c r="AL74" i="36"/>
  <c r="AH122" i="36"/>
  <c r="AH82" i="36"/>
  <c r="AH83" i="36"/>
  <c r="AH123" i="36"/>
  <c r="Z83" i="36"/>
  <c r="Z123" i="36"/>
  <c r="AK77" i="36"/>
  <c r="Z116" i="36"/>
  <c r="V112" i="36"/>
  <c r="Y76" i="36"/>
  <c r="AI77" i="36"/>
  <c r="S77" i="36"/>
  <c r="X76" i="36"/>
  <c r="U71" i="36"/>
  <c r="Y78" i="36"/>
  <c r="E40" i="73"/>
  <c r="E40" i="68"/>
  <c r="D109" i="72" s="1"/>
  <c r="AJ86" i="42"/>
  <c r="AJ58" i="42"/>
  <c r="T86" i="42"/>
  <c r="T58" i="42"/>
  <c r="Y85" i="42"/>
  <c r="Y57" i="42"/>
  <c r="AB82" i="42"/>
  <c r="AB54" i="42"/>
  <c r="AG81" i="42"/>
  <c r="AG53" i="42"/>
  <c r="X85" i="42"/>
  <c r="X57" i="42"/>
  <c r="AC84" i="42"/>
  <c r="AC56" i="42"/>
  <c r="AF53" i="42"/>
  <c r="AF81" i="42"/>
  <c r="V85" i="42"/>
  <c r="V57" i="42"/>
  <c r="W82" i="36"/>
  <c r="W122" i="36"/>
  <c r="AB81" i="36"/>
  <c r="AB121" i="36"/>
  <c r="V86" i="42"/>
  <c r="V58" i="42"/>
  <c r="AI84" i="42"/>
  <c r="AI56" i="42"/>
  <c r="V54" i="42"/>
  <c r="V82" i="42"/>
  <c r="AI87" i="42"/>
  <c r="AI59" i="42"/>
  <c r="AE83" i="42"/>
  <c r="AE55" i="42"/>
  <c r="AA82" i="42"/>
  <c r="AA54" i="42"/>
  <c r="AA87" i="42"/>
  <c r="AA59" i="42"/>
  <c r="W86" i="42"/>
  <c r="W58" i="42"/>
  <c r="W87" i="42"/>
  <c r="W59" i="42"/>
  <c r="S82" i="42"/>
  <c r="S54" i="42"/>
  <c r="S98" i="36"/>
  <c r="AI81" i="36"/>
  <c r="AI121" i="36"/>
  <c r="S81" i="36"/>
  <c r="S121" i="36"/>
  <c r="S62" i="36"/>
  <c r="S139" i="36" s="1"/>
  <c r="X80" i="36"/>
  <c r="X120" i="36"/>
  <c r="AH85" i="42"/>
  <c r="AH57" i="42"/>
  <c r="AH83" i="42"/>
  <c r="AH55" i="42"/>
  <c r="AD84" i="42"/>
  <c r="AD56" i="42"/>
  <c r="Z84" i="42"/>
  <c r="Z56" i="42"/>
  <c r="V84" i="42"/>
  <c r="V56" i="42"/>
  <c r="R84" i="42"/>
  <c r="R56" i="42"/>
  <c r="R95" i="42"/>
  <c r="R67" i="42"/>
  <c r="AC122" i="36"/>
  <c r="AC82" i="36"/>
  <c r="U121" i="36"/>
  <c r="U81" i="36"/>
  <c r="AK123" i="36"/>
  <c r="AK83" i="36"/>
  <c r="AG83" i="36"/>
  <c r="AG123" i="36"/>
  <c r="U119" i="36"/>
  <c r="U79" i="36"/>
  <c r="AG121" i="36"/>
  <c r="AG81" i="36"/>
  <c r="V120" i="36"/>
  <c r="V80" i="36"/>
  <c r="Y77" i="36"/>
  <c r="Y117" i="36"/>
  <c r="E61" i="69"/>
  <c r="E66" i="66"/>
  <c r="AL121" i="36"/>
  <c r="AL81" i="36"/>
  <c r="AL79" i="36"/>
  <c r="AL119" i="36"/>
  <c r="AD114" i="36"/>
  <c r="AD74" i="36"/>
  <c r="Z74" i="36"/>
  <c r="Z114" i="36"/>
  <c r="V79" i="36"/>
  <c r="V119" i="36"/>
  <c r="C40" i="68"/>
  <c r="C39" i="83"/>
  <c r="C40" i="83" s="1"/>
  <c r="AF86" i="42"/>
  <c r="AF58" i="42"/>
  <c r="AK85" i="42"/>
  <c r="AK57" i="42"/>
  <c r="U85" i="42"/>
  <c r="U57" i="42"/>
  <c r="X82" i="42"/>
  <c r="X54" i="42"/>
  <c r="AC81" i="42"/>
  <c r="AC53" i="42"/>
  <c r="AJ85" i="42"/>
  <c r="AJ57" i="42"/>
  <c r="T85" i="42"/>
  <c r="T57" i="42"/>
  <c r="Y84" i="42"/>
  <c r="Y56" i="42"/>
  <c r="AB81" i="42"/>
  <c r="AB53" i="42"/>
  <c r="AI82" i="36"/>
  <c r="AI122" i="36"/>
  <c r="S82" i="36"/>
  <c r="S63" i="36"/>
  <c r="S140" i="36" s="1"/>
  <c r="S122" i="36"/>
  <c r="X81" i="36"/>
  <c r="X121" i="36"/>
  <c r="AA118" i="36"/>
  <c r="AA59" i="36"/>
  <c r="AA136" i="36" s="1"/>
  <c r="AI85" i="42"/>
  <c r="AI57" i="42"/>
  <c r="AA84" i="42"/>
  <c r="AA56" i="42"/>
  <c r="AI81" i="42"/>
  <c r="AI53" i="42"/>
  <c r="AI82" i="42"/>
  <c r="AI54" i="42"/>
  <c r="AE82" i="42"/>
  <c r="AE54" i="42"/>
  <c r="AE87" i="42"/>
  <c r="AE59" i="42"/>
  <c r="AA58" i="42"/>
  <c r="AA86" i="42"/>
  <c r="S86" i="42"/>
  <c r="S58" i="42"/>
  <c r="S90" i="36"/>
  <c r="AE121" i="36"/>
  <c r="AE81" i="36"/>
  <c r="AJ120" i="36"/>
  <c r="AJ80" i="36"/>
  <c r="T120" i="36"/>
  <c r="T80" i="36"/>
  <c r="Z85" i="42"/>
  <c r="Z57" i="42"/>
  <c r="AH81" i="42"/>
  <c r="AH53" i="42"/>
  <c r="AH87" i="42"/>
  <c r="AH59" i="42"/>
  <c r="Z83" i="42"/>
  <c r="Z55" i="42"/>
  <c r="V83" i="42"/>
  <c r="V55" i="42"/>
  <c r="U122" i="36"/>
  <c r="U82" i="36"/>
  <c r="AH120" i="36"/>
  <c r="AH80" i="36"/>
  <c r="AH76" i="36"/>
  <c r="AH116" i="36"/>
  <c r="U73" i="36"/>
  <c r="U113" i="36"/>
  <c r="AK114" i="36"/>
  <c r="AK74" i="36"/>
  <c r="AK120" i="36"/>
  <c r="AK80" i="36"/>
  <c r="AG114" i="36"/>
  <c r="AG74" i="36"/>
  <c r="AG80" i="36"/>
  <c r="AG120" i="36"/>
  <c r="AC114" i="36"/>
  <c r="AC74" i="36"/>
  <c r="AC120" i="36"/>
  <c r="AC80" i="36"/>
  <c r="Y114" i="36"/>
  <c r="Y74" i="36"/>
  <c r="Y92" i="36"/>
  <c r="U123" i="36"/>
  <c r="U83" i="36"/>
  <c r="U120" i="36"/>
  <c r="U80" i="36"/>
  <c r="AH121" i="36"/>
  <c r="AH81" i="36"/>
  <c r="T64" i="36"/>
  <c r="T141" i="36" s="1"/>
  <c r="C92" i="73"/>
  <c r="C92" i="84" s="1"/>
  <c r="C38" i="73"/>
  <c r="Y121" i="36"/>
  <c r="Y81" i="36"/>
  <c r="AD121" i="36"/>
  <c r="AD81" i="36"/>
  <c r="AD72" i="36"/>
  <c r="AD112" i="36"/>
  <c r="AL82" i="36"/>
  <c r="AL122" i="36"/>
  <c r="AL83" i="36"/>
  <c r="AL123" i="36"/>
  <c r="AH79" i="36"/>
  <c r="AH119" i="36"/>
  <c r="AD79" i="36"/>
  <c r="AD119" i="36"/>
  <c r="Z79" i="36"/>
  <c r="Z119" i="36"/>
  <c r="V83" i="36"/>
  <c r="V123" i="36"/>
  <c r="S454" i="72"/>
  <c r="Q450" i="72"/>
  <c r="Q454" i="72" s="1"/>
  <c r="E86" i="81" s="1"/>
  <c r="M454" i="72"/>
  <c r="D454" i="72"/>
  <c r="H450" i="72"/>
  <c r="H454" i="72" s="1"/>
  <c r="E86" i="80" s="1"/>
  <c r="J454" i="72"/>
  <c r="Q273" i="72"/>
  <c r="Q277" i="72" s="1"/>
  <c r="E86" i="79" s="1"/>
  <c r="M277" i="72"/>
  <c r="H273" i="72"/>
  <c r="H277" i="72" s="1"/>
  <c r="E86" i="74" s="1"/>
  <c r="D277" i="72"/>
  <c r="M97" i="72"/>
  <c r="R97" i="72" s="1"/>
  <c r="R100" i="72" s="1"/>
  <c r="F86" i="73" s="1"/>
  <c r="F86" i="84" s="1"/>
  <c r="M96" i="72"/>
  <c r="M98" i="72"/>
  <c r="S98" i="72" s="1"/>
  <c r="M99" i="72"/>
  <c r="S99" i="72" s="1"/>
  <c r="D98" i="72"/>
  <c r="J98" i="72" s="1"/>
  <c r="D97" i="72"/>
  <c r="I97" i="72" s="1"/>
  <c r="I100" i="72" s="1"/>
  <c r="F86" i="68" s="1"/>
  <c r="F86" i="83" s="1"/>
  <c r="D99" i="72"/>
  <c r="J99" i="72" s="1"/>
  <c r="D96" i="72"/>
  <c r="R247" i="72"/>
  <c r="R250" i="72" s="1"/>
  <c r="M250" i="72"/>
  <c r="Q246" i="72"/>
  <c r="Q250" i="72" s="1"/>
  <c r="R240" i="72"/>
  <c r="R243" i="72" s="1"/>
  <c r="M243" i="72"/>
  <c r="Q239" i="72"/>
  <c r="Q243" i="72" s="1"/>
  <c r="M236" i="72"/>
  <c r="Q232" i="72"/>
  <c r="Q236" i="72" s="1"/>
  <c r="R233" i="72"/>
  <c r="R236" i="72" s="1"/>
  <c r="H246" i="72"/>
  <c r="H250" i="72" s="1"/>
  <c r="I240" i="72"/>
  <c r="I243" i="72" s="1"/>
  <c r="H239" i="72"/>
  <c r="H243" i="72" s="1"/>
  <c r="I233" i="72"/>
  <c r="I236" i="72" s="1"/>
  <c r="D236" i="72"/>
  <c r="H232" i="72"/>
  <c r="H236" i="72" s="1"/>
  <c r="M73" i="72"/>
  <c r="Q69" i="72"/>
  <c r="Q73" i="72" s="1"/>
  <c r="R70" i="72"/>
  <c r="R63" i="72"/>
  <c r="R66" i="72" s="1"/>
  <c r="M66" i="72"/>
  <c r="Q62" i="72"/>
  <c r="Q66" i="72" s="1"/>
  <c r="M55" i="72"/>
  <c r="M58" i="72"/>
  <c r="S58" i="72" s="1"/>
  <c r="M56" i="72"/>
  <c r="M57" i="72"/>
  <c r="S57" i="72" s="1"/>
  <c r="I70" i="72"/>
  <c r="I73" i="72" s="1"/>
  <c r="D73" i="72"/>
  <c r="H69" i="72"/>
  <c r="H73" i="72" s="1"/>
  <c r="D66" i="72"/>
  <c r="H62" i="72"/>
  <c r="H66" i="72" s="1"/>
  <c r="I63" i="72"/>
  <c r="I66" i="72" s="1"/>
  <c r="I56" i="72"/>
  <c r="I59" i="72" s="1"/>
  <c r="H55" i="72"/>
  <c r="H59" i="72" s="1"/>
  <c r="D59" i="72"/>
  <c r="M406" i="72"/>
  <c r="Q402" i="72"/>
  <c r="Q406" i="72" s="1"/>
  <c r="M398" i="72"/>
  <c r="S398" i="72" s="1"/>
  <c r="M397" i="72"/>
  <c r="S397" i="72" s="1"/>
  <c r="M396" i="72"/>
  <c r="R396" i="72" s="1"/>
  <c r="R399" i="72" s="1"/>
  <c r="M395" i="72"/>
  <c r="D406" i="72"/>
  <c r="H402" i="72"/>
  <c r="H406" i="72" s="1"/>
  <c r="D396" i="72"/>
  <c r="I396" i="72" s="1"/>
  <c r="I399" i="72" s="1"/>
  <c r="D395" i="72"/>
  <c r="D398" i="72"/>
  <c r="J398" i="72" s="1"/>
  <c r="D397" i="72"/>
  <c r="J397" i="72" s="1"/>
  <c r="R212" i="72"/>
  <c r="R215" i="72" s="1"/>
  <c r="M215" i="72"/>
  <c r="J212" i="72"/>
  <c r="D215" i="72"/>
  <c r="H211" i="72"/>
  <c r="H215" i="72" s="1"/>
  <c r="D290" i="72"/>
  <c r="D293" i="72"/>
  <c r="J293" i="72" s="1"/>
  <c r="D292" i="72"/>
  <c r="J292" i="72" s="1"/>
  <c r="D291" i="72"/>
  <c r="I291" i="72" s="1"/>
  <c r="AB56" i="36"/>
  <c r="AB133" i="36" s="1"/>
  <c r="U52" i="36"/>
  <c r="T90" i="36"/>
  <c r="H17" i="85"/>
  <c r="H16" i="85"/>
  <c r="J18" i="85"/>
  <c r="K19" i="85"/>
  <c r="J17" i="85"/>
  <c r="I18" i="85"/>
  <c r="K17" i="85"/>
  <c r="L18" i="85"/>
  <c r="L16" i="85"/>
  <c r="K16" i="85"/>
  <c r="K18" i="85"/>
  <c r="J19" i="85"/>
  <c r="J16" i="85"/>
  <c r="L19" i="85"/>
  <c r="I16" i="85"/>
  <c r="L17" i="85"/>
  <c r="R100" i="7"/>
  <c r="R79" i="7"/>
  <c r="J33" i="7"/>
  <c r="U100" i="7"/>
  <c r="T100" i="7"/>
  <c r="S100" i="7"/>
  <c r="S79" i="7"/>
  <c r="Q100" i="7"/>
  <c r="P100" i="7"/>
  <c r="U79" i="7"/>
  <c r="T79" i="7"/>
  <c r="Q79" i="7"/>
  <c r="P79" i="7"/>
  <c r="M113" i="72" a="1"/>
  <c r="E46" i="84"/>
  <c r="L52" i="85"/>
  <c r="J52" i="85"/>
  <c r="K52" i="85"/>
  <c r="I52" i="85" l="1"/>
  <c r="H19" i="85"/>
  <c r="J60" i="87"/>
  <c r="J53" i="87" s="1"/>
  <c r="J37" i="87"/>
  <c r="J59" i="87"/>
  <c r="J52" i="87" s="1"/>
  <c r="J36" i="87"/>
  <c r="J64" i="87"/>
  <c r="J33" i="87"/>
  <c r="J26" i="87" s="1"/>
  <c r="J63" i="87"/>
  <c r="J91" i="87" s="1"/>
  <c r="J34" i="87"/>
  <c r="J27" i="87" s="1"/>
  <c r="J62" i="87"/>
  <c r="J55" i="87" s="1"/>
  <c r="J31" i="87"/>
  <c r="J24" i="87" s="1"/>
  <c r="J61" i="87"/>
  <c r="J54" i="87" s="1"/>
  <c r="J58" i="87"/>
  <c r="J51" i="87" s="1"/>
  <c r="J35" i="87"/>
  <c r="J28" i="87" s="1"/>
  <c r="J32" i="87"/>
  <c r="J25" i="87" s="1"/>
  <c r="D66" i="63"/>
  <c r="D70" i="63" s="1"/>
  <c r="I42" i="86" s="1"/>
  <c r="C66" i="63"/>
  <c r="C70" i="63" s="1"/>
  <c r="H42" i="86" s="1"/>
  <c r="H52" i="85"/>
  <c r="C66" i="69"/>
  <c r="C70" i="69" s="1"/>
  <c r="D67" i="62"/>
  <c r="I37" i="85"/>
  <c r="C8" i="67"/>
  <c r="C66" i="67"/>
  <c r="C70" i="67" s="1"/>
  <c r="H41" i="86" s="1"/>
  <c r="K20" i="85"/>
  <c r="K22" i="85" s="1"/>
  <c r="H37" i="85"/>
  <c r="I20" i="85"/>
  <c r="D113" i="72"/>
  <c r="D114" i="72"/>
  <c r="I114" i="72" s="1"/>
  <c r="J37" i="85"/>
  <c r="L37" i="85"/>
  <c r="D67" i="63"/>
  <c r="J130" i="87"/>
  <c r="J127" i="87"/>
  <c r="J128" i="87"/>
  <c r="J126" i="87"/>
  <c r="J120" i="87"/>
  <c r="J133" i="87"/>
  <c r="J121" i="87"/>
  <c r="J123" i="87"/>
  <c r="J124" i="87"/>
  <c r="J131" i="87"/>
  <c r="J132" i="87"/>
  <c r="J125" i="87"/>
  <c r="J129" i="87"/>
  <c r="J122" i="87"/>
  <c r="M139" i="72"/>
  <c r="D250" i="72"/>
  <c r="C66" i="70"/>
  <c r="C70" i="70" s="1"/>
  <c r="D115" i="72"/>
  <c r="J115" i="72" s="1"/>
  <c r="S99" i="36"/>
  <c r="M128" i="72"/>
  <c r="D71" i="63"/>
  <c r="AA94" i="36"/>
  <c r="AE125" i="36"/>
  <c r="AE127" i="36" s="1"/>
  <c r="S107" i="72"/>
  <c r="G67" i="66"/>
  <c r="U85" i="34"/>
  <c r="L45" i="86"/>
  <c r="X85" i="34"/>
  <c r="X86" i="34" s="1"/>
  <c r="T98" i="36"/>
  <c r="G66" i="69"/>
  <c r="M293" i="72"/>
  <c r="S293" i="72" s="1"/>
  <c r="D67" i="67"/>
  <c r="D66" i="70"/>
  <c r="D67" i="70" s="1"/>
  <c r="T61" i="36"/>
  <c r="T138" i="36" s="1"/>
  <c r="G71" i="63"/>
  <c r="K42" i="86"/>
  <c r="AC54" i="36"/>
  <c r="AC92" i="36" s="1"/>
  <c r="J101" i="87"/>
  <c r="J100" i="87"/>
  <c r="J102" i="87"/>
  <c r="J103" i="87"/>
  <c r="J104" i="87"/>
  <c r="J105" i="87"/>
  <c r="J106" i="87"/>
  <c r="J107" i="87"/>
  <c r="J108" i="87"/>
  <c r="J109" i="87"/>
  <c r="J149" i="87" s="1"/>
  <c r="J110" i="87"/>
  <c r="J111" i="87"/>
  <c r="J112" i="87"/>
  <c r="J113" i="87"/>
  <c r="F71" i="65"/>
  <c r="J17" i="86"/>
  <c r="D71" i="62"/>
  <c r="I16" i="86"/>
  <c r="U60" i="36"/>
  <c r="U137" i="36" s="1"/>
  <c r="H17" i="67"/>
  <c r="H14" i="67"/>
  <c r="H14" i="70" s="1"/>
  <c r="M47" i="85" s="1"/>
  <c r="G465" i="72"/>
  <c r="G471" i="72" s="1"/>
  <c r="J460" i="72"/>
  <c r="Q471" i="72"/>
  <c r="E87" i="81" s="1"/>
  <c r="S128" i="72"/>
  <c r="F84" i="74"/>
  <c r="S240" i="72"/>
  <c r="C82" i="84"/>
  <c r="M150" i="72"/>
  <c r="S246" i="72"/>
  <c r="I45" i="86"/>
  <c r="H12" i="66"/>
  <c r="H13" i="66"/>
  <c r="H14" i="66"/>
  <c r="H14" i="62"/>
  <c r="H17" i="62"/>
  <c r="H13" i="67"/>
  <c r="H12" i="67"/>
  <c r="T125" i="36"/>
  <c r="T127" i="36" s="1"/>
  <c r="M290" i="72"/>
  <c r="Q290" i="72" s="1"/>
  <c r="J246" i="72"/>
  <c r="J69" i="72"/>
  <c r="S62" i="72"/>
  <c r="C82" i="83"/>
  <c r="S150" i="72"/>
  <c r="E71" i="65"/>
  <c r="E84" i="79"/>
  <c r="D467" i="72"/>
  <c r="H467" i="72" s="1"/>
  <c r="H471" i="72" s="1"/>
  <c r="E87" i="80" s="1"/>
  <c r="S106" i="72"/>
  <c r="J63" i="72"/>
  <c r="J247" i="72"/>
  <c r="L308" i="87"/>
  <c r="L334" i="87" s="1"/>
  <c r="AB85" i="34"/>
  <c r="J308" i="87"/>
  <c r="J334" i="87" s="1"/>
  <c r="J124" i="72"/>
  <c r="J128" i="72" s="1"/>
  <c r="D128" i="72"/>
  <c r="D482" i="72"/>
  <c r="D150" i="72"/>
  <c r="J482" i="72"/>
  <c r="N331" i="87"/>
  <c r="L331" i="87"/>
  <c r="K331" i="87"/>
  <c r="L306" i="87"/>
  <c r="L305" i="87" s="1"/>
  <c r="L332" i="87"/>
  <c r="K306" i="87"/>
  <c r="K305" i="87" s="1"/>
  <c r="K332" i="87"/>
  <c r="M306" i="87"/>
  <c r="M305" i="87" s="1"/>
  <c r="M332" i="87"/>
  <c r="J306" i="87"/>
  <c r="J305" i="87" s="1"/>
  <c r="J332" i="87"/>
  <c r="N306" i="87"/>
  <c r="N305" i="87" s="1"/>
  <c r="N332" i="87"/>
  <c r="M331" i="87"/>
  <c r="S125" i="36"/>
  <c r="S127" i="36" s="1"/>
  <c r="AJ125" i="36"/>
  <c r="AJ127" i="36" s="1"/>
  <c r="AA125" i="36"/>
  <c r="AA127" i="36" s="1"/>
  <c r="L15" i="63" s="1"/>
  <c r="Z125" i="36"/>
  <c r="Z127" i="36" s="1"/>
  <c r="K15" i="63" s="1"/>
  <c r="AG125" i="36"/>
  <c r="AG127" i="36" s="1"/>
  <c r="AC125" i="36"/>
  <c r="AC127" i="36" s="1"/>
  <c r="AD125" i="36"/>
  <c r="AD127" i="36" s="1"/>
  <c r="V125" i="36"/>
  <c r="V127" i="36" s="1"/>
  <c r="Z96" i="36"/>
  <c r="Z135" i="36"/>
  <c r="T55" i="36"/>
  <c r="T132" i="36" s="1"/>
  <c r="S132" i="36"/>
  <c r="S144" i="36" s="1"/>
  <c r="AF125" i="36"/>
  <c r="AF127" i="36" s="1"/>
  <c r="W125" i="36"/>
  <c r="W127" i="36" s="1"/>
  <c r="AL125" i="36"/>
  <c r="AL127" i="36" s="1"/>
  <c r="AI125" i="36"/>
  <c r="AI127" i="36" s="1"/>
  <c r="U125" i="36"/>
  <c r="U127" i="36" s="1"/>
  <c r="Y125" i="36"/>
  <c r="Y127" i="36" s="1"/>
  <c r="I15" i="63" s="1"/>
  <c r="AB125" i="36"/>
  <c r="AB127" i="36" s="1"/>
  <c r="M15" i="63" s="1"/>
  <c r="M15" i="70" s="1"/>
  <c r="X125" i="36"/>
  <c r="X127" i="36" s="1"/>
  <c r="H15" i="63" s="1"/>
  <c r="AA53" i="36"/>
  <c r="AA130" i="36" s="1"/>
  <c r="Z130" i="36"/>
  <c r="Z91" i="36"/>
  <c r="AK125" i="36"/>
  <c r="AK127" i="36" s="1"/>
  <c r="AH125" i="36"/>
  <c r="AH127" i="36" s="1"/>
  <c r="H45" i="86"/>
  <c r="V11" i="42"/>
  <c r="V103" i="42" s="1"/>
  <c r="U75" i="42"/>
  <c r="Z48" i="42"/>
  <c r="AD89" i="42"/>
  <c r="AD91" i="42" s="1"/>
  <c r="AG89" i="42"/>
  <c r="AG91" i="42" s="1"/>
  <c r="AG61" i="42"/>
  <c r="AE89" i="42"/>
  <c r="AE91" i="42" s="1"/>
  <c r="V89" i="42"/>
  <c r="V91" i="42" s="1"/>
  <c r="W89" i="42"/>
  <c r="W91" i="42" s="1"/>
  <c r="H15" i="64" s="1"/>
  <c r="AJ89" i="42"/>
  <c r="AJ91" i="42" s="1"/>
  <c r="AK89" i="42"/>
  <c r="AK91" i="42" s="1"/>
  <c r="AI61" i="42"/>
  <c r="AI63" i="42" s="1"/>
  <c r="AD61" i="42"/>
  <c r="AD63" i="42" s="1"/>
  <c r="T89" i="42"/>
  <c r="T91" i="42" s="1"/>
  <c r="U89" i="42"/>
  <c r="U91" i="42" s="1"/>
  <c r="AA89" i="42"/>
  <c r="AA91" i="42" s="1"/>
  <c r="M15" i="64" s="1"/>
  <c r="M18" i="64" s="1"/>
  <c r="S89" i="42"/>
  <c r="S91" i="42" s="1"/>
  <c r="AH89" i="42"/>
  <c r="AH91" i="42" s="1"/>
  <c r="AE61" i="42"/>
  <c r="AE63" i="42" s="1"/>
  <c r="V61" i="42"/>
  <c r="Z89" i="42"/>
  <c r="Z91" i="42" s="1"/>
  <c r="L15" i="64" s="1"/>
  <c r="L18" i="64" s="1"/>
  <c r="W61" i="42"/>
  <c r="W63" i="42" s="1"/>
  <c r="H15" i="65" s="1"/>
  <c r="AI89" i="42"/>
  <c r="AI91" i="42" s="1"/>
  <c r="AB61" i="42"/>
  <c r="AB63" i="42" s="1"/>
  <c r="AC61" i="42"/>
  <c r="AC63" i="42" s="1"/>
  <c r="AF89" i="42"/>
  <c r="AF91" i="42" s="1"/>
  <c r="R89" i="42"/>
  <c r="R91" i="42" s="1"/>
  <c r="AB89" i="42"/>
  <c r="AB91" i="42" s="1"/>
  <c r="AC89" i="42"/>
  <c r="AC91" i="42" s="1"/>
  <c r="X89" i="42"/>
  <c r="X91" i="42" s="1"/>
  <c r="I15" i="64" s="1"/>
  <c r="I18" i="64" s="1"/>
  <c r="Y89" i="42"/>
  <c r="Y91" i="42" s="1"/>
  <c r="K15" i="64" s="1"/>
  <c r="K18" i="64" s="1"/>
  <c r="AH61" i="42"/>
  <c r="AH63" i="42" s="1"/>
  <c r="Z61" i="42"/>
  <c r="Z63" i="42" s="1"/>
  <c r="L15" i="65" s="1"/>
  <c r="AA61" i="42"/>
  <c r="AA63" i="42" s="1"/>
  <c r="M15" i="65" s="1"/>
  <c r="R61" i="42"/>
  <c r="R63" i="42" s="1"/>
  <c r="T61" i="42"/>
  <c r="T63" i="42" s="1"/>
  <c r="U61" i="42"/>
  <c r="U63" i="42" s="1"/>
  <c r="X61" i="42"/>
  <c r="X63" i="42" s="1"/>
  <c r="I15" i="65" s="1"/>
  <c r="Y61" i="42"/>
  <c r="Y63" i="42" s="1"/>
  <c r="K15" i="65" s="1"/>
  <c r="AF61" i="42"/>
  <c r="AF63" i="42" s="1"/>
  <c r="S61" i="42"/>
  <c r="S63" i="42" s="1"/>
  <c r="AJ61" i="42"/>
  <c r="AJ63" i="42" s="1"/>
  <c r="AK61" i="42"/>
  <c r="AK63" i="42" s="1"/>
  <c r="S71" i="42"/>
  <c r="S66" i="36"/>
  <c r="Z85" i="36"/>
  <c r="Z87" i="36" s="1"/>
  <c r="K15" i="62" s="1"/>
  <c r="AL85" i="36"/>
  <c r="AL87" i="36" s="1"/>
  <c r="T85" i="36"/>
  <c r="T87" i="36" s="1"/>
  <c r="AC95" i="36"/>
  <c r="AI85" i="36"/>
  <c r="AI87" i="36" s="1"/>
  <c r="AD85" i="36"/>
  <c r="AD87" i="36" s="1"/>
  <c r="AJ85" i="36"/>
  <c r="AJ87" i="36" s="1"/>
  <c r="AE85" i="36"/>
  <c r="AE87" i="36" s="1"/>
  <c r="AG85" i="36"/>
  <c r="AG87" i="36" s="1"/>
  <c r="X85" i="36"/>
  <c r="X87" i="36" s="1"/>
  <c r="H15" i="62" s="1"/>
  <c r="V11" i="36"/>
  <c r="V145" i="36" s="1"/>
  <c r="U105" i="36"/>
  <c r="AK85" i="36"/>
  <c r="AK87" i="36" s="1"/>
  <c r="U85" i="36"/>
  <c r="U87" i="36" s="1"/>
  <c r="AB92" i="36"/>
  <c r="AF85" i="36"/>
  <c r="AF87" i="36" s="1"/>
  <c r="AH85" i="36"/>
  <c r="AH87" i="36" s="1"/>
  <c r="W85" i="36"/>
  <c r="W87" i="36" s="1"/>
  <c r="V85" i="36"/>
  <c r="V87" i="36" s="1"/>
  <c r="AB85" i="36"/>
  <c r="AB87" i="36" s="1"/>
  <c r="M15" i="62" s="1"/>
  <c r="S85" i="36"/>
  <c r="S87" i="36" s="1"/>
  <c r="AA85" i="36"/>
  <c r="AA87" i="36" s="1"/>
  <c r="L15" i="62" s="1"/>
  <c r="Y85" i="36"/>
  <c r="Y87" i="36" s="1"/>
  <c r="I15" i="62" s="1"/>
  <c r="AC85" i="36"/>
  <c r="AC87" i="36" s="1"/>
  <c r="U71" i="42"/>
  <c r="T71" i="42"/>
  <c r="S99" i="42"/>
  <c r="AD57" i="36"/>
  <c r="AD134" i="36" s="1"/>
  <c r="M291" i="72"/>
  <c r="R291" i="72" s="1"/>
  <c r="AA85" i="34"/>
  <c r="AD85" i="34"/>
  <c r="AC85" i="34"/>
  <c r="Z85" i="34"/>
  <c r="Y85" i="34"/>
  <c r="Y84" i="34"/>
  <c r="U86" i="34"/>
  <c r="V86" i="34"/>
  <c r="W86" i="34"/>
  <c r="BJ689" i="89"/>
  <c r="BI671" i="89"/>
  <c r="BI688" i="89"/>
  <c r="BI681" i="89"/>
  <c r="BL664" i="89"/>
  <c r="BJ684" i="89"/>
  <c r="BK664" i="89"/>
  <c r="BJ683" i="89"/>
  <c r="BH690" i="89"/>
  <c r="BH665" i="89"/>
  <c r="BI687" i="89"/>
  <c r="BJ666" i="89"/>
  <c r="BH676" i="89"/>
  <c r="BK672" i="89"/>
  <c r="BI674" i="89"/>
  <c r="BH675" i="89"/>
  <c r="BJ690" i="89"/>
  <c r="BI675" i="89"/>
  <c r="BJ681" i="89"/>
  <c r="BH674" i="89"/>
  <c r="BI683" i="89"/>
  <c r="BI673" i="89"/>
  <c r="BI664" i="89"/>
  <c r="BJ679" i="89"/>
  <c r="BK687" i="89"/>
  <c r="BJ675" i="89"/>
  <c r="BK663" i="89"/>
  <c r="BK688" i="89"/>
  <c r="BI666" i="89"/>
  <c r="BH686" i="89"/>
  <c r="BK668" i="89"/>
  <c r="BJ674" i="89"/>
  <c r="BJ687" i="89"/>
  <c r="BK683" i="89"/>
  <c r="BI685" i="89"/>
  <c r="BL672" i="89"/>
  <c r="BI679" i="89"/>
  <c r="BH672" i="89"/>
  <c r="BJ668" i="89"/>
  <c r="BH670" i="89"/>
  <c r="BL687" i="89"/>
  <c r="BI677" i="89"/>
  <c r="BK678" i="89"/>
  <c r="BK685" i="89"/>
  <c r="BJ671" i="89"/>
  <c r="BI686" i="89"/>
  <c r="BL666" i="89"/>
  <c r="BK666" i="89"/>
  <c r="BJ667" i="89"/>
  <c r="BH681" i="89"/>
  <c r="BI678" i="89"/>
  <c r="BJ686" i="89"/>
  <c r="BK689" i="89"/>
  <c r="BH669" i="89"/>
  <c r="BH664" i="89"/>
  <c r="BH682" i="89"/>
  <c r="BI665" i="89"/>
  <c r="BH687" i="89"/>
  <c r="BI669" i="89"/>
  <c r="BK680" i="89"/>
  <c r="BI684" i="89"/>
  <c r="BI663" i="89"/>
  <c r="BL667" i="89"/>
  <c r="BH678" i="89"/>
  <c r="BI667" i="89"/>
  <c r="BH667" i="89"/>
  <c r="BL690" i="89"/>
  <c r="BK684" i="89"/>
  <c r="BH668" i="89"/>
  <c r="BI689" i="89"/>
  <c r="BI676" i="89"/>
  <c r="BJ685" i="89"/>
  <c r="BJ665" i="89"/>
  <c r="BJ676" i="89"/>
  <c r="BH673" i="89"/>
  <c r="BH685" i="89"/>
  <c r="BH680" i="89"/>
  <c r="BI682" i="89"/>
  <c r="BL668" i="89"/>
  <c r="BI672" i="89"/>
  <c r="BJ669" i="89"/>
  <c r="BH689" i="89"/>
  <c r="BL669" i="89"/>
  <c r="BK671" i="89"/>
  <c r="BJ680" i="89"/>
  <c r="BH677" i="89"/>
  <c r="BJ678" i="89"/>
  <c r="BL682" i="89"/>
  <c r="BL663" i="89"/>
  <c r="BH671" i="89"/>
  <c r="BK669" i="89"/>
  <c r="BH683" i="89"/>
  <c r="BK670" i="89"/>
  <c r="BL681" i="89"/>
  <c r="BJ672" i="89"/>
  <c r="BH684" i="89"/>
  <c r="BH663" i="89"/>
  <c r="BH666" i="89"/>
  <c r="BL684" i="89"/>
  <c r="BH679" i="89"/>
  <c r="BI680" i="89"/>
  <c r="BH688" i="89"/>
  <c r="BL689" i="89"/>
  <c r="BL674" i="89"/>
  <c r="BK674" i="89"/>
  <c r="BI670" i="89"/>
  <c r="BI668" i="89"/>
  <c r="BI690" i="89"/>
  <c r="BK677" i="89"/>
  <c r="BL671" i="89"/>
  <c r="BJ663" i="89"/>
  <c r="BL686" i="89"/>
  <c r="BJ670" i="89"/>
  <c r="BJ664" i="89"/>
  <c r="BL683" i="89"/>
  <c r="BK681" i="89"/>
  <c r="BK665" i="89"/>
  <c r="BJ682" i="89"/>
  <c r="BK690" i="89"/>
  <c r="BL676" i="89"/>
  <c r="BJ677" i="89"/>
  <c r="BL680" i="89"/>
  <c r="BK682" i="89"/>
  <c r="BK667" i="89"/>
  <c r="BK676" i="89"/>
  <c r="BL675" i="89"/>
  <c r="BJ673" i="89"/>
  <c r="BL679" i="89"/>
  <c r="BK679" i="89"/>
  <c r="BJ688" i="89"/>
  <c r="BL665" i="89"/>
  <c r="BL688" i="89"/>
  <c r="BL678" i="89"/>
  <c r="BK675" i="89"/>
  <c r="BK686" i="89"/>
  <c r="BL677" i="89"/>
  <c r="BL685" i="89"/>
  <c r="BK673" i="89"/>
  <c r="BL670" i="89"/>
  <c r="BL673" i="89"/>
  <c r="H19" i="86"/>
  <c r="H28" i="86" s="1"/>
  <c r="R467" i="72"/>
  <c r="S461" i="72"/>
  <c r="H17" i="63"/>
  <c r="S26" i="34"/>
  <c r="S108" i="72"/>
  <c r="E67" i="67"/>
  <c r="H12" i="62"/>
  <c r="H13" i="62"/>
  <c r="R73" i="72"/>
  <c r="S70" i="72"/>
  <c r="P471" i="72"/>
  <c r="M462" i="72"/>
  <c r="S283" i="72"/>
  <c r="S135" i="72"/>
  <c r="S139" i="72" s="1"/>
  <c r="Q284" i="72"/>
  <c r="Q288" i="72" s="1"/>
  <c r="M286" i="72" s="1"/>
  <c r="S286" i="72" s="1"/>
  <c r="J239" i="72"/>
  <c r="S100" i="72"/>
  <c r="D71" i="67"/>
  <c r="K5" i="87"/>
  <c r="N5" i="85"/>
  <c r="M4" i="86" s="1"/>
  <c r="M24" i="86" s="1"/>
  <c r="S17" i="60"/>
  <c r="I65" i="62"/>
  <c r="I8" i="62" s="1"/>
  <c r="I65" i="66"/>
  <c r="I8" i="66" s="1"/>
  <c r="I17" i="66" s="1"/>
  <c r="J17" i="66" s="1"/>
  <c r="I65" i="63"/>
  <c r="I8" i="63" s="1"/>
  <c r="I65" i="67"/>
  <c r="I8" i="67" s="1"/>
  <c r="P27" i="2"/>
  <c r="D469" i="72"/>
  <c r="J469" i="72" s="1"/>
  <c r="D468" i="72"/>
  <c r="I468" i="72" s="1"/>
  <c r="H12" i="63"/>
  <c r="E70" i="63"/>
  <c r="E67" i="63"/>
  <c r="M335" i="72"/>
  <c r="M334" i="72"/>
  <c r="M337" i="72"/>
  <c r="S337" i="72" s="1"/>
  <c r="M336" i="72"/>
  <c r="S336" i="72" s="1"/>
  <c r="J283" i="72"/>
  <c r="S460" i="72"/>
  <c r="H13" i="63"/>
  <c r="F67" i="67"/>
  <c r="F70" i="67"/>
  <c r="G294" i="72"/>
  <c r="D285" i="72"/>
  <c r="E84" i="74"/>
  <c r="S63" i="72"/>
  <c r="J232" i="72"/>
  <c r="D243" i="72"/>
  <c r="S247" i="72"/>
  <c r="S250" i="72" s="1"/>
  <c r="G67" i="67"/>
  <c r="E67" i="62"/>
  <c r="E70" i="62"/>
  <c r="G70" i="62"/>
  <c r="L16" i="86" s="1"/>
  <c r="L19" i="86" s="1"/>
  <c r="L28" i="86" s="1"/>
  <c r="L30" i="86" s="1"/>
  <c r="G67" i="62"/>
  <c r="J106" i="72"/>
  <c r="M512" i="72"/>
  <c r="M511" i="72"/>
  <c r="M514" i="72"/>
  <c r="S514" i="72" s="1"/>
  <c r="M513" i="72"/>
  <c r="S513" i="72" s="1"/>
  <c r="D108" i="72"/>
  <c r="E66" i="70"/>
  <c r="E70" i="70" s="1"/>
  <c r="E70" i="67"/>
  <c r="J41" i="86" s="1"/>
  <c r="J399" i="72"/>
  <c r="S399" i="72"/>
  <c r="F70" i="62"/>
  <c r="F67" i="62"/>
  <c r="D87" i="68"/>
  <c r="G178" i="72"/>
  <c r="D87" i="73"/>
  <c r="P178" i="72"/>
  <c r="M285" i="72"/>
  <c r="P294" i="72"/>
  <c r="O178" i="72"/>
  <c r="C88" i="73"/>
  <c r="C88" i="84" s="1"/>
  <c r="V63" i="42"/>
  <c r="J109" i="72"/>
  <c r="E17" i="79"/>
  <c r="E17" i="74"/>
  <c r="E17" i="68"/>
  <c r="E17" i="73"/>
  <c r="V23" i="60"/>
  <c r="D17" i="84"/>
  <c r="C38" i="84"/>
  <c r="C40" i="84" s="1"/>
  <c r="C40" i="73"/>
  <c r="E66" i="69"/>
  <c r="E70" i="66"/>
  <c r="J15" i="86" s="1"/>
  <c r="E67" i="66"/>
  <c r="AG63" i="42"/>
  <c r="S97" i="42"/>
  <c r="S69" i="42"/>
  <c r="D66" i="69"/>
  <c r="D70" i="66"/>
  <c r="D67" i="66"/>
  <c r="R98" i="42"/>
  <c r="R70" i="42"/>
  <c r="G70" i="69"/>
  <c r="S101" i="36"/>
  <c r="T63" i="36"/>
  <c r="T140" i="36" s="1"/>
  <c r="S100" i="36"/>
  <c r="T62" i="36"/>
  <c r="T139" i="36" s="1"/>
  <c r="F66" i="69"/>
  <c r="F67" i="66"/>
  <c r="G71" i="66"/>
  <c r="T99" i="36"/>
  <c r="G67" i="70"/>
  <c r="G70" i="70"/>
  <c r="D17" i="83"/>
  <c r="U98" i="36"/>
  <c r="F70" i="70"/>
  <c r="S67" i="42"/>
  <c r="S95" i="42"/>
  <c r="D70" i="70"/>
  <c r="D71" i="70" s="1"/>
  <c r="T102" i="36"/>
  <c r="U64" i="36"/>
  <c r="U141" i="36" s="1"/>
  <c r="R96" i="42"/>
  <c r="R68" i="42"/>
  <c r="AB59" i="36"/>
  <c r="AB136" i="36" s="1"/>
  <c r="AA97" i="36"/>
  <c r="R100" i="42"/>
  <c r="R72" i="42"/>
  <c r="R94" i="42"/>
  <c r="R66" i="42"/>
  <c r="J461" i="72"/>
  <c r="Q96" i="72"/>
  <c r="Q100" i="72" s="1"/>
  <c r="E86" i="73" s="1"/>
  <c r="E86" i="84" s="1"/>
  <c r="M100" i="72"/>
  <c r="D100" i="72"/>
  <c r="H96" i="72"/>
  <c r="H100" i="72" s="1"/>
  <c r="E86" i="68" s="1"/>
  <c r="E86" i="83" s="1"/>
  <c r="J100" i="72"/>
  <c r="S239" i="72"/>
  <c r="S243" i="72" s="1"/>
  <c r="F84" i="79"/>
  <c r="S232" i="72"/>
  <c r="S233" i="72"/>
  <c r="J240" i="72"/>
  <c r="J233" i="72"/>
  <c r="S69" i="72"/>
  <c r="R56" i="72"/>
  <c r="R59" i="72" s="1"/>
  <c r="Q55" i="72"/>
  <c r="Q59" i="72" s="1"/>
  <c r="M59" i="72"/>
  <c r="J70" i="72"/>
  <c r="J73" i="72" s="1"/>
  <c r="J62" i="72"/>
  <c r="J66" i="72" s="1"/>
  <c r="J56" i="72"/>
  <c r="J55" i="72"/>
  <c r="M399" i="72"/>
  <c r="Q395" i="72"/>
  <c r="Q399" i="72" s="1"/>
  <c r="F84" i="81"/>
  <c r="D399" i="72"/>
  <c r="H395" i="72"/>
  <c r="H399" i="72" s="1"/>
  <c r="F84" i="80"/>
  <c r="S212" i="72"/>
  <c r="S215" i="72" s="1"/>
  <c r="J211" i="72"/>
  <c r="J215" i="72" s="1"/>
  <c r="AB94" i="36"/>
  <c r="AC56" i="36"/>
  <c r="AC133" i="36" s="1"/>
  <c r="H290" i="72"/>
  <c r="H294" i="72" s="1"/>
  <c r="E87" i="74" s="1"/>
  <c r="U90" i="36"/>
  <c r="V52" i="36"/>
  <c r="R290" i="72"/>
  <c r="AA96" i="36"/>
  <c r="AB58" i="36"/>
  <c r="AB135" i="36" s="1"/>
  <c r="M116" i="72"/>
  <c r="S116" i="72" s="1"/>
  <c r="M115" i="72"/>
  <c r="S115" i="72" s="1"/>
  <c r="M114" i="72"/>
  <c r="R114" i="72" s="1"/>
  <c r="M113" i="72"/>
  <c r="H113" i="72"/>
  <c r="H117" i="72" s="1"/>
  <c r="E87" i="68" s="1"/>
  <c r="L22" i="85"/>
  <c r="H22" i="85"/>
  <c r="I22" i="85"/>
  <c r="J22" i="85"/>
  <c r="J92" i="87" l="1"/>
  <c r="K63" i="87"/>
  <c r="K32" i="87"/>
  <c r="K25" i="87" s="1"/>
  <c r="K62" i="87"/>
  <c r="K55" i="87" s="1"/>
  <c r="K31" i="87"/>
  <c r="K24" i="87" s="1"/>
  <c r="K59" i="87"/>
  <c r="K52" i="87" s="1"/>
  <c r="K36" i="87"/>
  <c r="K33" i="87"/>
  <c r="K26" i="87" s="1"/>
  <c r="K60" i="87"/>
  <c r="K53" i="87" s="1"/>
  <c r="K37" i="87"/>
  <c r="K34" i="87"/>
  <c r="K27" i="87" s="1"/>
  <c r="K64" i="87"/>
  <c r="K92" i="87" s="1"/>
  <c r="K35" i="87"/>
  <c r="K28" i="87" s="1"/>
  <c r="K61" i="87"/>
  <c r="K54" i="87" s="1"/>
  <c r="K58" i="87"/>
  <c r="K51" i="87" s="1"/>
  <c r="S73" i="72"/>
  <c r="S66" i="72"/>
  <c r="M78" i="86"/>
  <c r="M30" i="86"/>
  <c r="J243" i="72"/>
  <c r="J150" i="87"/>
  <c r="J148" i="87"/>
  <c r="J152" i="87"/>
  <c r="J151" i="87"/>
  <c r="K126" i="87"/>
  <c r="K127" i="87"/>
  <c r="K125" i="87"/>
  <c r="K120" i="87"/>
  <c r="K133" i="87"/>
  <c r="K122" i="87"/>
  <c r="K123" i="87"/>
  <c r="K132" i="87"/>
  <c r="K121" i="87"/>
  <c r="K128" i="87"/>
  <c r="K124" i="87"/>
  <c r="K130" i="87"/>
  <c r="K131" i="87"/>
  <c r="K129" i="87"/>
  <c r="J236" i="72"/>
  <c r="L15" i="70"/>
  <c r="S55" i="72"/>
  <c r="AD54" i="36"/>
  <c r="AD131" i="36" s="1"/>
  <c r="AC131" i="36"/>
  <c r="J153" i="87"/>
  <c r="V60" i="36"/>
  <c r="V137" i="36" s="1"/>
  <c r="I467" i="72"/>
  <c r="D462" i="72"/>
  <c r="U55" i="36"/>
  <c r="U132" i="36" s="1"/>
  <c r="J146" i="87"/>
  <c r="J144" i="87"/>
  <c r="J143" i="87"/>
  <c r="J141" i="87"/>
  <c r="U61" i="36"/>
  <c r="U138" i="36" s="1"/>
  <c r="H13" i="70"/>
  <c r="J145" i="87"/>
  <c r="K101" i="87"/>
  <c r="K102" i="87"/>
  <c r="K100" i="87"/>
  <c r="K103" i="87"/>
  <c r="K104" i="87"/>
  <c r="K105" i="87"/>
  <c r="K106" i="87"/>
  <c r="K107" i="87"/>
  <c r="K108" i="87"/>
  <c r="K109" i="87"/>
  <c r="K110" i="87"/>
  <c r="K111" i="87"/>
  <c r="K112" i="87"/>
  <c r="K113" i="87"/>
  <c r="AB53" i="36"/>
  <c r="AB130" i="36" s="1"/>
  <c r="E71" i="62"/>
  <c r="J16" i="86"/>
  <c r="J19" i="86" s="1"/>
  <c r="J28" i="86" s="1"/>
  <c r="J147" i="87"/>
  <c r="J140" i="87"/>
  <c r="J136" i="87"/>
  <c r="E67" i="70"/>
  <c r="F67" i="70"/>
  <c r="E71" i="63"/>
  <c r="J42" i="86"/>
  <c r="J45" i="86" s="1"/>
  <c r="J48" i="86" s="1"/>
  <c r="AD92" i="36"/>
  <c r="E71" i="67"/>
  <c r="F71" i="70"/>
  <c r="F71" i="62"/>
  <c r="K16" i="86"/>
  <c r="K19" i="86" s="1"/>
  <c r="K28" i="86" s="1"/>
  <c r="I17" i="67"/>
  <c r="J17" i="67" s="1"/>
  <c r="I14" i="67"/>
  <c r="J14" i="67" s="1"/>
  <c r="H13" i="69"/>
  <c r="J116" i="87"/>
  <c r="J142" i="87"/>
  <c r="AE54" i="36"/>
  <c r="AE131" i="36" s="1"/>
  <c r="D71" i="66"/>
  <c r="I15" i="86"/>
  <c r="I19" i="86" s="1"/>
  <c r="I28" i="86" s="1"/>
  <c r="G71" i="67"/>
  <c r="K41" i="86"/>
  <c r="K45" i="86" s="1"/>
  <c r="L48" i="86" s="1"/>
  <c r="H17" i="70"/>
  <c r="M50" i="85" s="1"/>
  <c r="J39" i="87"/>
  <c r="J90" i="87"/>
  <c r="J83" i="87"/>
  <c r="J88" i="87"/>
  <c r="J81" i="87"/>
  <c r="J87" i="87"/>
  <c r="J80" i="87"/>
  <c r="J79" i="87"/>
  <c r="J89" i="87"/>
  <c r="J82" i="87"/>
  <c r="H18" i="67"/>
  <c r="H61" i="67" s="1"/>
  <c r="H66" i="67" s="1"/>
  <c r="H70" i="67" s="1"/>
  <c r="H71" i="67" s="1"/>
  <c r="H12" i="70"/>
  <c r="M46" i="85" s="1"/>
  <c r="H14" i="69"/>
  <c r="M32" i="85" s="1"/>
  <c r="M17" i="85" s="1"/>
  <c r="I48" i="86"/>
  <c r="I14" i="62"/>
  <c r="J14" i="62" s="1"/>
  <c r="I17" i="62"/>
  <c r="I17" i="69" s="1"/>
  <c r="N35" i="85" s="1"/>
  <c r="I13" i="67"/>
  <c r="J13" i="67" s="1"/>
  <c r="I12" i="67"/>
  <c r="J12" i="67" s="1"/>
  <c r="I12" i="66"/>
  <c r="J12" i="66" s="1"/>
  <c r="I13" i="66"/>
  <c r="J13" i="66" s="1"/>
  <c r="I14" i="66"/>
  <c r="S236" i="72"/>
  <c r="S284" i="72"/>
  <c r="J250" i="72"/>
  <c r="F71" i="66"/>
  <c r="I15" i="70"/>
  <c r="N48" i="85" s="1"/>
  <c r="K29" i="65"/>
  <c r="K31" i="65" s="1"/>
  <c r="K18" i="65"/>
  <c r="K29" i="64"/>
  <c r="K31" i="64" s="1"/>
  <c r="K61" i="64"/>
  <c r="K19" i="64"/>
  <c r="I18" i="65"/>
  <c r="I29" i="65"/>
  <c r="I31" i="65" s="1"/>
  <c r="M29" i="65"/>
  <c r="M31" i="65" s="1"/>
  <c r="M18" i="65"/>
  <c r="I29" i="64"/>
  <c r="I31" i="64" s="1"/>
  <c r="I61" i="64"/>
  <c r="I66" i="64" s="1"/>
  <c r="O15" i="65"/>
  <c r="J15" i="65"/>
  <c r="J18" i="65" s="1"/>
  <c r="J61" i="65" s="1"/>
  <c r="C12" i="80" s="1"/>
  <c r="C81" i="80" s="1"/>
  <c r="C91" i="80" s="1"/>
  <c r="C93" i="80" s="1"/>
  <c r="H18" i="65"/>
  <c r="L29" i="65"/>
  <c r="L31" i="65" s="1"/>
  <c r="L18" i="65"/>
  <c r="L29" i="64"/>
  <c r="L31" i="64" s="1"/>
  <c r="L61" i="64"/>
  <c r="L19" i="64"/>
  <c r="O15" i="64"/>
  <c r="J15" i="64"/>
  <c r="J18" i="64" s="1"/>
  <c r="J61" i="64" s="1"/>
  <c r="C12" i="81" s="1"/>
  <c r="C81" i="81" s="1"/>
  <c r="C91" i="81" s="1"/>
  <c r="C93" i="81" s="1"/>
  <c r="H18" i="64"/>
  <c r="I19" i="64" s="1"/>
  <c r="H15" i="70"/>
  <c r="M48" i="85" s="1"/>
  <c r="M29" i="64"/>
  <c r="M31" i="64" s="1"/>
  <c r="M61" i="64"/>
  <c r="M19" i="64"/>
  <c r="Y86" i="34"/>
  <c r="U42" i="60"/>
  <c r="U68" i="60" s="1"/>
  <c r="E22" i="73" s="1"/>
  <c r="K15" i="69"/>
  <c r="K50" i="62"/>
  <c r="K50" i="69" s="1"/>
  <c r="I15" i="69"/>
  <c r="N33" i="85" s="1"/>
  <c r="I50" i="62"/>
  <c r="I50" i="69" s="1"/>
  <c r="T93" i="36"/>
  <c r="M15" i="69"/>
  <c r="M50" i="62"/>
  <c r="M50" i="69" s="1"/>
  <c r="L15" i="69"/>
  <c r="L50" i="62"/>
  <c r="L50" i="69" s="1"/>
  <c r="T144" i="36"/>
  <c r="T146" i="36" s="1"/>
  <c r="AA91" i="36"/>
  <c r="R102" i="42"/>
  <c r="R104" i="42" s="1"/>
  <c r="W11" i="42"/>
  <c r="W103" i="42" s="1"/>
  <c r="V75" i="42"/>
  <c r="R74" i="42"/>
  <c r="R76" i="42" s="1"/>
  <c r="AA48" i="42"/>
  <c r="U99" i="42"/>
  <c r="J15" i="62"/>
  <c r="H15" i="69"/>
  <c r="M33" i="85" s="1"/>
  <c r="H50" i="62"/>
  <c r="H50" i="69" s="1"/>
  <c r="H18" i="62"/>
  <c r="H61" i="62" s="1"/>
  <c r="H66" i="62" s="1"/>
  <c r="F71" i="63"/>
  <c r="T66" i="36"/>
  <c r="V105" i="36"/>
  <c r="W11" i="36"/>
  <c r="W145" i="36" s="1"/>
  <c r="S104" i="36"/>
  <c r="S106" i="36" s="1"/>
  <c r="AE57" i="36"/>
  <c r="AE134" i="36" s="1"/>
  <c r="AD95" i="36"/>
  <c r="M51" i="67"/>
  <c r="M51" i="70" s="1"/>
  <c r="T42" i="60"/>
  <c r="T68" i="60" s="1"/>
  <c r="D22" i="73" s="1"/>
  <c r="K16" i="70"/>
  <c r="K51" i="67"/>
  <c r="K51" i="70" s="1"/>
  <c r="K41" i="67"/>
  <c r="I51" i="67"/>
  <c r="I51" i="70" s="1"/>
  <c r="I16" i="70"/>
  <c r="N49" i="85" s="1"/>
  <c r="I41" i="67"/>
  <c r="J16" i="67"/>
  <c r="J16" i="70" s="1"/>
  <c r="H51" i="67"/>
  <c r="H16" i="70"/>
  <c r="M49" i="85" s="1"/>
  <c r="H41" i="67"/>
  <c r="BJ1011" i="89"/>
  <c r="BJ1012" i="89" s="1"/>
  <c r="AB78" i="91" s="1"/>
  <c r="BJ693" i="89"/>
  <c r="BJ694" i="89" s="1"/>
  <c r="BJ1328" i="89"/>
  <c r="BJ1329" i="89" s="1"/>
  <c r="BK693" i="89"/>
  <c r="BK694" i="89" s="1"/>
  <c r="BK1011" i="89"/>
  <c r="BK1012" i="89" s="1"/>
  <c r="AC78" i="91" s="1"/>
  <c r="BK1328" i="89"/>
  <c r="BK1329" i="89" s="1"/>
  <c r="BI693" i="89"/>
  <c r="BI694" i="89" s="1"/>
  <c r="BI1328" i="89"/>
  <c r="BI1329" i="89" s="1"/>
  <c r="BI1011" i="89"/>
  <c r="BI1012" i="89" s="1"/>
  <c r="AA78" i="91" s="1"/>
  <c r="BH1328" i="89"/>
  <c r="BH1329" i="89" s="1"/>
  <c r="BH1011" i="89"/>
  <c r="BH1012" i="89" s="1"/>
  <c r="Z78" i="91" s="1"/>
  <c r="BH693" i="89"/>
  <c r="BH694" i="89" s="1"/>
  <c r="BL693" i="89"/>
  <c r="BL694" i="89" s="1"/>
  <c r="BL1328" i="89"/>
  <c r="BL1329" i="89" s="1"/>
  <c r="BL1011" i="89"/>
  <c r="BL1012" i="89" s="1"/>
  <c r="AD78" i="91" s="1"/>
  <c r="S146" i="36"/>
  <c r="M82" i="86"/>
  <c r="M79" i="86"/>
  <c r="M85" i="86"/>
  <c r="M62" i="86"/>
  <c r="M86" i="86"/>
  <c r="M65" i="86"/>
  <c r="M68" i="86"/>
  <c r="M63" i="86"/>
  <c r="M69" i="86"/>
  <c r="M81" i="86"/>
  <c r="M83" i="86"/>
  <c r="M66" i="86"/>
  <c r="M80" i="86"/>
  <c r="M64" i="86"/>
  <c r="M61" i="86"/>
  <c r="M84" i="86"/>
  <c r="M67" i="86"/>
  <c r="I50" i="63"/>
  <c r="I50" i="70" s="1"/>
  <c r="M515" i="72"/>
  <c r="M338" i="72"/>
  <c r="I17" i="63"/>
  <c r="I12" i="63"/>
  <c r="I14" i="63"/>
  <c r="I13" i="63"/>
  <c r="H17" i="69"/>
  <c r="D87" i="79"/>
  <c r="P355" i="72"/>
  <c r="I462" i="72"/>
  <c r="I465" i="72" s="1"/>
  <c r="D464" i="72" s="1"/>
  <c r="G71" i="62"/>
  <c r="R462" i="72"/>
  <c r="R465" i="72" s="1"/>
  <c r="J59" i="72"/>
  <c r="E71" i="70"/>
  <c r="R285" i="72"/>
  <c r="R288" i="72" s="1"/>
  <c r="M287" i="72" s="1"/>
  <c r="S287" i="72" s="1"/>
  <c r="D87" i="80"/>
  <c r="G532" i="72"/>
  <c r="H12" i="69"/>
  <c r="M31" i="85" s="1"/>
  <c r="I108" i="72"/>
  <c r="I111" i="72" s="1"/>
  <c r="D110" i="72" s="1"/>
  <c r="S515" i="72"/>
  <c r="I285" i="72"/>
  <c r="I288" i="72" s="1"/>
  <c r="D287" i="72" s="1"/>
  <c r="J287" i="72" s="1"/>
  <c r="S338" i="72"/>
  <c r="L5" i="87"/>
  <c r="O5" i="85"/>
  <c r="N4" i="86" s="1"/>
  <c r="N24" i="86" s="1"/>
  <c r="T17" i="60"/>
  <c r="K65" i="63"/>
  <c r="K65" i="67"/>
  <c r="K65" i="62"/>
  <c r="K65" i="66"/>
  <c r="Q27" i="2"/>
  <c r="I12" i="62"/>
  <c r="J12" i="62" s="1"/>
  <c r="I13" i="62"/>
  <c r="D87" i="81"/>
  <c r="P532" i="72"/>
  <c r="Q294" i="72"/>
  <c r="E87" i="79" s="1"/>
  <c r="D87" i="74"/>
  <c r="G355" i="72"/>
  <c r="F71" i="67"/>
  <c r="H19" i="67"/>
  <c r="F17" i="74"/>
  <c r="F17" i="68"/>
  <c r="F17" i="79"/>
  <c r="F17" i="73"/>
  <c r="T100" i="36"/>
  <c r="U62" i="36"/>
  <c r="U139" i="36" s="1"/>
  <c r="V99" i="42"/>
  <c r="V71" i="42"/>
  <c r="AC59" i="36"/>
  <c r="AC136" i="36" s="1"/>
  <c r="AB97" i="36"/>
  <c r="D70" i="69"/>
  <c r="D71" i="69" s="1"/>
  <c r="D67" i="69"/>
  <c r="E71" i="66"/>
  <c r="E17" i="84"/>
  <c r="U102" i="36"/>
  <c r="V64" i="36"/>
  <c r="V141" i="36" s="1"/>
  <c r="T95" i="42"/>
  <c r="T67" i="42"/>
  <c r="G71" i="70"/>
  <c r="T101" i="36"/>
  <c r="U63" i="36"/>
  <c r="U140" i="36" s="1"/>
  <c r="T97" i="42"/>
  <c r="T69" i="42"/>
  <c r="S100" i="42"/>
  <c r="S72" i="42"/>
  <c r="S96" i="42"/>
  <c r="S68" i="42"/>
  <c r="F67" i="69"/>
  <c r="F70" i="69"/>
  <c r="G71" i="69" s="1"/>
  <c r="G67" i="69"/>
  <c r="S94" i="42"/>
  <c r="S66" i="42"/>
  <c r="S98" i="42"/>
  <c r="S70" i="42"/>
  <c r="E67" i="69"/>
  <c r="E70" i="69"/>
  <c r="E17" i="83"/>
  <c r="E87" i="83"/>
  <c r="I290" i="72"/>
  <c r="I294" i="72" s="1"/>
  <c r="F87" i="74" s="1"/>
  <c r="S56" i="72"/>
  <c r="S59" i="72" s="1"/>
  <c r="E84" i="81"/>
  <c r="E84" i="80"/>
  <c r="I113" i="72"/>
  <c r="H50" i="63"/>
  <c r="H18" i="63"/>
  <c r="J15" i="63"/>
  <c r="AB96" i="36"/>
  <c r="AC58" i="36"/>
  <c r="AC135" i="36" s="1"/>
  <c r="AC94" i="36"/>
  <c r="AD56" i="36"/>
  <c r="AD133" i="36" s="1"/>
  <c r="V90" i="36"/>
  <c r="W52" i="36"/>
  <c r="Q113" i="72"/>
  <c r="Q117" i="72" s="1"/>
  <c r="E87" i="73" s="1"/>
  <c r="L58" i="87" l="1"/>
  <c r="L51" i="87" s="1"/>
  <c r="L35" i="87"/>
  <c r="L28" i="87" s="1"/>
  <c r="L34" i="87"/>
  <c r="L27" i="87" s="1"/>
  <c r="L62" i="87"/>
  <c r="L55" i="87" s="1"/>
  <c r="L31" i="87"/>
  <c r="L24" i="87" s="1"/>
  <c r="L59" i="87"/>
  <c r="L52" i="87" s="1"/>
  <c r="L36" i="87"/>
  <c r="L63" i="87"/>
  <c r="L32" i="87"/>
  <c r="L25" i="87" s="1"/>
  <c r="L60" i="87"/>
  <c r="L53" i="87" s="1"/>
  <c r="L37" i="87"/>
  <c r="L61" i="87"/>
  <c r="L54" i="87" s="1"/>
  <c r="L64" i="87"/>
  <c r="L92" i="87" s="1"/>
  <c r="L33" i="87"/>
  <c r="L26" i="87" s="1"/>
  <c r="K91" i="87"/>
  <c r="V98" i="36"/>
  <c r="N67" i="86"/>
  <c r="N30" i="86"/>
  <c r="J15" i="69"/>
  <c r="V55" i="36"/>
  <c r="V132" i="36" s="1"/>
  <c r="U93" i="36"/>
  <c r="K151" i="87"/>
  <c r="M35" i="85"/>
  <c r="M20" i="85" s="1"/>
  <c r="L131" i="87"/>
  <c r="L125" i="87"/>
  <c r="L126" i="87"/>
  <c r="L124" i="87"/>
  <c r="L133" i="87"/>
  <c r="L132" i="87"/>
  <c r="L121" i="87"/>
  <c r="L122" i="87"/>
  <c r="L120" i="87"/>
  <c r="L123" i="87"/>
  <c r="L129" i="87"/>
  <c r="L130" i="87"/>
  <c r="L128" i="87"/>
  <c r="L127" i="87"/>
  <c r="W60" i="36"/>
  <c r="W137" i="36" s="1"/>
  <c r="M16" i="85"/>
  <c r="J50" i="62"/>
  <c r="J50" i="69" s="1"/>
  <c r="I12" i="70"/>
  <c r="N46" i="85" s="1"/>
  <c r="V61" i="36"/>
  <c r="V138" i="36" s="1"/>
  <c r="U99" i="36"/>
  <c r="L22" i="86"/>
  <c r="K153" i="87"/>
  <c r="K147" i="87"/>
  <c r="I22" i="86"/>
  <c r="J156" i="87"/>
  <c r="J158" i="87" s="1"/>
  <c r="K144" i="87"/>
  <c r="AC53" i="36"/>
  <c r="AC130" i="36" s="1"/>
  <c r="K152" i="87"/>
  <c r="AF54" i="36"/>
  <c r="AF131" i="36" s="1"/>
  <c r="AB91" i="36"/>
  <c r="J12" i="63"/>
  <c r="S462" i="72"/>
  <c r="K143" i="87"/>
  <c r="K22" i="86"/>
  <c r="J22" i="86"/>
  <c r="K149" i="87"/>
  <c r="K141" i="87"/>
  <c r="AE92" i="36"/>
  <c r="D87" i="83"/>
  <c r="N66" i="86" s="1"/>
  <c r="K148" i="87"/>
  <c r="K116" i="87"/>
  <c r="K39" i="87"/>
  <c r="L102" i="87"/>
  <c r="L100" i="87"/>
  <c r="L101" i="87"/>
  <c r="L103" i="87"/>
  <c r="L104" i="87"/>
  <c r="L105" i="87"/>
  <c r="L106" i="87"/>
  <c r="L107" i="87"/>
  <c r="L108" i="87"/>
  <c r="L109" i="87"/>
  <c r="L110" i="87"/>
  <c r="L111" i="87"/>
  <c r="L112" i="87"/>
  <c r="L113" i="87"/>
  <c r="I18" i="67"/>
  <c r="I61" i="67" s="1"/>
  <c r="I66" i="67" s="1"/>
  <c r="I70" i="67" s="1"/>
  <c r="I71" i="67" s="1"/>
  <c r="K48" i="86"/>
  <c r="K150" i="87"/>
  <c r="K146" i="87"/>
  <c r="K145" i="87"/>
  <c r="K142" i="87"/>
  <c r="K140" i="87"/>
  <c r="K136" i="87"/>
  <c r="K88" i="87"/>
  <c r="K81" i="87"/>
  <c r="K89" i="87"/>
  <c r="K82" i="87"/>
  <c r="K87" i="87"/>
  <c r="K80" i="87"/>
  <c r="K79" i="87"/>
  <c r="J66" i="87"/>
  <c r="J86" i="87"/>
  <c r="K90" i="87"/>
  <c r="K83" i="87"/>
  <c r="I13" i="69"/>
  <c r="O33" i="85"/>
  <c r="H28" i="62"/>
  <c r="H31" i="62" s="1"/>
  <c r="H32" i="62" s="1"/>
  <c r="I117" i="72"/>
  <c r="F87" i="68" s="1"/>
  <c r="I13" i="70"/>
  <c r="L51" i="67"/>
  <c r="L51" i="70" s="1"/>
  <c r="N18" i="85"/>
  <c r="O49" i="85"/>
  <c r="L32" i="64"/>
  <c r="L32" i="65"/>
  <c r="M32" i="65"/>
  <c r="K66" i="64"/>
  <c r="D12" i="81"/>
  <c r="D81" i="81" s="1"/>
  <c r="D91" i="81" s="1"/>
  <c r="D93" i="81" s="1"/>
  <c r="D96" i="81" s="1"/>
  <c r="H61" i="64"/>
  <c r="H19" i="64"/>
  <c r="O19" i="64" s="1"/>
  <c r="H29" i="64"/>
  <c r="O18" i="64"/>
  <c r="L66" i="64"/>
  <c r="E12" i="81"/>
  <c r="E81" i="81" s="1"/>
  <c r="O18" i="65"/>
  <c r="H29" i="65"/>
  <c r="H19" i="65"/>
  <c r="O19" i="65" s="1"/>
  <c r="H61" i="65"/>
  <c r="I70" i="64"/>
  <c r="K32" i="64"/>
  <c r="F12" i="81"/>
  <c r="F81" i="81" s="1"/>
  <c r="M66" i="64"/>
  <c r="C96" i="81"/>
  <c r="C63" i="81"/>
  <c r="C63" i="80"/>
  <c r="C96" i="80"/>
  <c r="I19" i="65"/>
  <c r="I61" i="65"/>
  <c r="I66" i="65" s="1"/>
  <c r="K61" i="65"/>
  <c r="K19" i="65"/>
  <c r="M32" i="64"/>
  <c r="L61" i="65"/>
  <c r="L19" i="65"/>
  <c r="M61" i="65"/>
  <c r="M19" i="65"/>
  <c r="K32" i="65"/>
  <c r="L16" i="70"/>
  <c r="M41" i="67"/>
  <c r="L41" i="67"/>
  <c r="V42" i="60"/>
  <c r="V68" i="60" s="1"/>
  <c r="F22" i="73" s="1"/>
  <c r="F28" i="73" s="1"/>
  <c r="F28" i="84" s="1"/>
  <c r="E87" i="84"/>
  <c r="U144" i="36"/>
  <c r="U146" i="36" s="1"/>
  <c r="S102" i="42"/>
  <c r="S104" i="42" s="1"/>
  <c r="S74" i="42"/>
  <c r="S76" i="42" s="1"/>
  <c r="X11" i="42"/>
  <c r="W75" i="42"/>
  <c r="AB48" i="42"/>
  <c r="H19" i="62"/>
  <c r="U66" i="36"/>
  <c r="W105" i="36"/>
  <c r="X11" i="36"/>
  <c r="X145" i="36" s="1"/>
  <c r="T104" i="36"/>
  <c r="T106" i="36" s="1"/>
  <c r="E71" i="69"/>
  <c r="AF57" i="36"/>
  <c r="AF134" i="36" s="1"/>
  <c r="AE95" i="36"/>
  <c r="M16" i="70"/>
  <c r="AD80" i="91"/>
  <c r="AD84" i="91"/>
  <c r="AC80" i="91"/>
  <c r="AC84" i="91"/>
  <c r="AA84" i="91"/>
  <c r="AA80" i="91"/>
  <c r="AB80" i="91"/>
  <c r="AB84" i="91"/>
  <c r="Z80" i="91"/>
  <c r="Z84" i="91"/>
  <c r="E22" i="84"/>
  <c r="E28" i="73"/>
  <c r="E28" i="84" s="1"/>
  <c r="D28" i="73"/>
  <c r="D28" i="84" s="1"/>
  <c r="D22" i="84"/>
  <c r="H51" i="70"/>
  <c r="J51" i="67"/>
  <c r="J51" i="70" s="1"/>
  <c r="I18" i="62"/>
  <c r="I28" i="62" s="1"/>
  <c r="I31" i="62" s="1"/>
  <c r="J13" i="63"/>
  <c r="J13" i="70" s="1"/>
  <c r="I18" i="63"/>
  <c r="N68" i="86"/>
  <c r="N64" i="86"/>
  <c r="N65" i="86"/>
  <c r="N81" i="86"/>
  <c r="N85" i="86"/>
  <c r="N79" i="86"/>
  <c r="N62" i="86"/>
  <c r="N69" i="86"/>
  <c r="N61" i="86"/>
  <c r="N84" i="86"/>
  <c r="N80" i="86"/>
  <c r="N63" i="86"/>
  <c r="N82" i="86"/>
  <c r="N86" i="86"/>
  <c r="N78" i="86"/>
  <c r="H67" i="67"/>
  <c r="M5" i="87"/>
  <c r="P5" i="85"/>
  <c r="U17" i="60"/>
  <c r="L65" i="67"/>
  <c r="L65" i="62"/>
  <c r="L65" i="66"/>
  <c r="L65" i="63"/>
  <c r="R27" i="2"/>
  <c r="K8" i="63"/>
  <c r="D16" i="79"/>
  <c r="D18" i="79" s="1"/>
  <c r="D288" i="72"/>
  <c r="D294" i="72" s="1"/>
  <c r="D87" i="84"/>
  <c r="N83" i="86" s="1"/>
  <c r="S285" i="72"/>
  <c r="S288" i="72" s="1"/>
  <c r="S294" i="72" s="1"/>
  <c r="J13" i="62"/>
  <c r="J13" i="69" s="1"/>
  <c r="I12" i="69"/>
  <c r="N31" i="85" s="1"/>
  <c r="J464" i="72"/>
  <c r="D465" i="72"/>
  <c r="D471" i="72" s="1"/>
  <c r="I14" i="70"/>
  <c r="N47" i="85" s="1"/>
  <c r="J14" i="63"/>
  <c r="J14" i="70" s="1"/>
  <c r="M288" i="72"/>
  <c r="M294" i="72" s="1"/>
  <c r="J462" i="72"/>
  <c r="R294" i="72"/>
  <c r="F87" i="79" s="1"/>
  <c r="J17" i="62"/>
  <c r="J17" i="69" s="1"/>
  <c r="K8" i="66"/>
  <c r="D16" i="68"/>
  <c r="X103" i="42"/>
  <c r="D16" i="74"/>
  <c r="D18" i="74" s="1"/>
  <c r="K8" i="62"/>
  <c r="K17" i="62" s="1"/>
  <c r="J285" i="72"/>
  <c r="J288" i="72" s="1"/>
  <c r="J294" i="72" s="1"/>
  <c r="J110" i="72"/>
  <c r="D111" i="72"/>
  <c r="D117" i="72" s="1"/>
  <c r="M464" i="72"/>
  <c r="R471" i="72"/>
  <c r="F87" i="81" s="1"/>
  <c r="I471" i="72"/>
  <c r="F87" i="80" s="1"/>
  <c r="I17" i="70"/>
  <c r="N50" i="85" s="1"/>
  <c r="N20" i="85" s="1"/>
  <c r="J17" i="63"/>
  <c r="J17" i="70" s="1"/>
  <c r="J18" i="67"/>
  <c r="J12" i="70"/>
  <c r="D16" i="73"/>
  <c r="K8" i="67"/>
  <c r="J108" i="72"/>
  <c r="J12" i="69"/>
  <c r="I14" i="69"/>
  <c r="N32" i="85" s="1"/>
  <c r="J14" i="66"/>
  <c r="J14" i="69" s="1"/>
  <c r="AC97" i="36"/>
  <c r="AD59" i="36"/>
  <c r="AD136" i="36" s="1"/>
  <c r="W98" i="36"/>
  <c r="X60" i="36"/>
  <c r="X137" i="36" s="1"/>
  <c r="F17" i="84"/>
  <c r="K15" i="70"/>
  <c r="O48" i="85" s="1"/>
  <c r="V93" i="36"/>
  <c r="W55" i="36"/>
  <c r="W132" i="36" s="1"/>
  <c r="T70" i="42"/>
  <c r="T98" i="42"/>
  <c r="V102" i="36"/>
  <c r="W64" i="36"/>
  <c r="W141" i="36" s="1"/>
  <c r="W99" i="42"/>
  <c r="W71" i="42"/>
  <c r="U100" i="36"/>
  <c r="V62" i="36"/>
  <c r="V139" i="36" s="1"/>
  <c r="F17" i="83"/>
  <c r="T96" i="42"/>
  <c r="T68" i="42"/>
  <c r="T66" i="42"/>
  <c r="T94" i="42"/>
  <c r="F71" i="69"/>
  <c r="T100" i="42"/>
  <c r="T72" i="42"/>
  <c r="U69" i="42"/>
  <c r="U97" i="42"/>
  <c r="U101" i="36"/>
  <c r="V63" i="36"/>
  <c r="V140" i="36" s="1"/>
  <c r="U95" i="42"/>
  <c r="U67" i="42"/>
  <c r="H19" i="63"/>
  <c r="H61" i="63"/>
  <c r="H28" i="63"/>
  <c r="H31" i="63" s="1"/>
  <c r="H32" i="63" s="1"/>
  <c r="H18" i="70"/>
  <c r="H50" i="70"/>
  <c r="J50" i="63"/>
  <c r="J50" i="70" s="1"/>
  <c r="AE56" i="36"/>
  <c r="AE133" i="36" s="1"/>
  <c r="AD94" i="36"/>
  <c r="J15" i="70"/>
  <c r="AC96" i="36"/>
  <c r="AD58" i="36"/>
  <c r="AD135" i="36" s="1"/>
  <c r="X52" i="36"/>
  <c r="W90" i="36"/>
  <c r="H70" i="62"/>
  <c r="H71" i="62" s="1"/>
  <c r="H67" i="62"/>
  <c r="M52" i="85"/>
  <c r="M18" i="85"/>
  <c r="R113" i="72"/>
  <c r="R117" i="72" s="1"/>
  <c r="F87" i="73" s="1"/>
  <c r="J66" i="67" l="1"/>
  <c r="L91" i="87"/>
  <c r="M61" i="87"/>
  <c r="M54" i="87" s="1"/>
  <c r="M60" i="87"/>
  <c r="M53" i="87" s="1"/>
  <c r="M34" i="87"/>
  <c r="M27" i="87" s="1"/>
  <c r="M62" i="87"/>
  <c r="M55" i="87" s="1"/>
  <c r="M33" i="87"/>
  <c r="M26" i="87" s="1"/>
  <c r="M58" i="87"/>
  <c r="M51" i="87" s="1"/>
  <c r="M35" i="87"/>
  <c r="M28" i="87" s="1"/>
  <c r="M37" i="87"/>
  <c r="M31" i="87"/>
  <c r="M24" i="87" s="1"/>
  <c r="M64" i="87"/>
  <c r="M92" i="87" s="1"/>
  <c r="M63" i="87"/>
  <c r="M32" i="87"/>
  <c r="M25" i="87" s="1"/>
  <c r="M59" i="87"/>
  <c r="M52" i="87" s="1"/>
  <c r="M36" i="87"/>
  <c r="J94" i="87"/>
  <c r="J96" i="87" s="1"/>
  <c r="I18" i="70"/>
  <c r="AD53" i="36"/>
  <c r="AD130" i="36" s="1"/>
  <c r="W61" i="36"/>
  <c r="W138" i="36" s="1"/>
  <c r="M130" i="87"/>
  <c r="M123" i="87"/>
  <c r="M133" i="87"/>
  <c r="M126" i="87"/>
  <c r="M132" i="87"/>
  <c r="M131" i="87"/>
  <c r="M120" i="87"/>
  <c r="M121" i="87"/>
  <c r="M122" i="87"/>
  <c r="M128" i="87"/>
  <c r="M129" i="87"/>
  <c r="M127" i="87"/>
  <c r="M124" i="87"/>
  <c r="M125" i="87"/>
  <c r="K12" i="67"/>
  <c r="K13" i="67"/>
  <c r="K14" i="67"/>
  <c r="K17" i="66"/>
  <c r="K17" i="69" s="1"/>
  <c r="O35" i="85" s="1"/>
  <c r="K12" i="66"/>
  <c r="K14" i="66"/>
  <c r="K13" i="66"/>
  <c r="AC91" i="36"/>
  <c r="V99" i="36"/>
  <c r="J111" i="72"/>
  <c r="J117" i="72" s="1"/>
  <c r="I32" i="62"/>
  <c r="I67" i="67"/>
  <c r="K156" i="87"/>
  <c r="K158" i="87" s="1"/>
  <c r="L143" i="87"/>
  <c r="L142" i="87"/>
  <c r="AG54" i="36"/>
  <c r="AG131" i="36" s="1"/>
  <c r="AF92" i="36"/>
  <c r="L150" i="87"/>
  <c r="L146" i="87"/>
  <c r="L151" i="87"/>
  <c r="L147" i="87"/>
  <c r="L148" i="87"/>
  <c r="L141" i="87"/>
  <c r="L152" i="87"/>
  <c r="L153" i="87"/>
  <c r="L145" i="87"/>
  <c r="L116" i="87"/>
  <c r="I19" i="63"/>
  <c r="K17" i="67"/>
  <c r="M100" i="87"/>
  <c r="M101" i="87"/>
  <c r="M102" i="87"/>
  <c r="M103" i="87"/>
  <c r="M104" i="87"/>
  <c r="M105" i="87"/>
  <c r="M106" i="87"/>
  <c r="M107" i="87"/>
  <c r="M108" i="87"/>
  <c r="M109" i="87"/>
  <c r="M110" i="87"/>
  <c r="M111" i="87"/>
  <c r="M112" i="87"/>
  <c r="M113" i="87"/>
  <c r="I19" i="67"/>
  <c r="L149" i="87"/>
  <c r="L144" i="87"/>
  <c r="L140" i="87"/>
  <c r="L136" i="87"/>
  <c r="K86" i="87"/>
  <c r="K66" i="87"/>
  <c r="K94" i="87" s="1"/>
  <c r="K96" i="87" s="1"/>
  <c r="L39" i="87"/>
  <c r="L79" i="87"/>
  <c r="L90" i="87"/>
  <c r="L83" i="87"/>
  <c r="L89" i="87"/>
  <c r="L82" i="87"/>
  <c r="L88" i="87"/>
  <c r="L81" i="87"/>
  <c r="L87" i="87"/>
  <c r="L80" i="87"/>
  <c r="V144" i="36"/>
  <c r="V146" i="36" s="1"/>
  <c r="F87" i="83"/>
  <c r="P49" i="85"/>
  <c r="J18" i="63"/>
  <c r="J28" i="63" s="1"/>
  <c r="J31" i="63" s="1"/>
  <c r="AD86" i="91"/>
  <c r="N326" i="87" s="1"/>
  <c r="M16" i="66"/>
  <c r="AB86" i="91"/>
  <c r="L326" i="87" s="1"/>
  <c r="K16" i="66"/>
  <c r="AC86" i="91"/>
  <c r="M326" i="87" s="1"/>
  <c r="L16" i="66"/>
  <c r="AA86" i="91"/>
  <c r="K326" i="87" s="1"/>
  <c r="I16" i="66"/>
  <c r="Z86" i="91"/>
  <c r="J326" i="87" s="1"/>
  <c r="H16" i="66"/>
  <c r="O4" i="86"/>
  <c r="P48" i="85"/>
  <c r="J465" i="72"/>
  <c r="J471" i="72" s="1"/>
  <c r="P33" i="85"/>
  <c r="E12" i="80"/>
  <c r="E81" i="80" s="1"/>
  <c r="L66" i="65"/>
  <c r="I70" i="65"/>
  <c r="C78" i="80"/>
  <c r="D518" i="72" a="1"/>
  <c r="H215" i="60"/>
  <c r="H31" i="64"/>
  <c r="O29" i="64"/>
  <c r="J29" i="64"/>
  <c r="J31" i="64" s="1"/>
  <c r="C78" i="81"/>
  <c r="H216" i="60"/>
  <c r="M518" i="72" a="1"/>
  <c r="O61" i="65"/>
  <c r="H66" i="65"/>
  <c r="F12" i="80"/>
  <c r="F81" i="80" s="1"/>
  <c r="M66" i="65"/>
  <c r="L67" i="64"/>
  <c r="L70" i="64"/>
  <c r="H66" i="64"/>
  <c r="O61" i="64"/>
  <c r="K70" i="64"/>
  <c r="K67" i="64"/>
  <c r="T102" i="42"/>
  <c r="T104" i="42" s="1"/>
  <c r="D12" i="80"/>
  <c r="D81" i="80" s="1"/>
  <c r="D91" i="80" s="1"/>
  <c r="D93" i="80" s="1"/>
  <c r="D96" i="80" s="1"/>
  <c r="K66" i="65"/>
  <c r="K70" i="65" s="1"/>
  <c r="N17" i="86" s="1"/>
  <c r="M67" i="64"/>
  <c r="M70" i="64"/>
  <c r="J29" i="65"/>
  <c r="J31" i="65" s="1"/>
  <c r="H31" i="65"/>
  <c r="O29" i="65"/>
  <c r="F22" i="84"/>
  <c r="F87" i="84"/>
  <c r="T74" i="42"/>
  <c r="T76" i="42" s="1"/>
  <c r="Y11" i="42"/>
  <c r="Y103" i="42" s="1"/>
  <c r="X75" i="42"/>
  <c r="AC48" i="42"/>
  <c r="U104" i="36"/>
  <c r="U106" i="36" s="1"/>
  <c r="V66" i="36"/>
  <c r="X105" i="36"/>
  <c r="Y11" i="36"/>
  <c r="Y145" i="36" s="1"/>
  <c r="AF95" i="36"/>
  <c r="AG57" i="36"/>
  <c r="AG134" i="36" s="1"/>
  <c r="I61" i="63"/>
  <c r="I28" i="63"/>
  <c r="I31" i="63" s="1"/>
  <c r="I32" i="63" s="1"/>
  <c r="I19" i="62"/>
  <c r="I61" i="62"/>
  <c r="I66" i="62" s="1"/>
  <c r="D16" i="83"/>
  <c r="D18" i="83" s="1"/>
  <c r="D18" i="68"/>
  <c r="K12" i="63"/>
  <c r="K13" i="63"/>
  <c r="K14" i="63"/>
  <c r="K17" i="63"/>
  <c r="K17" i="70" s="1"/>
  <c r="O50" i="85" s="1"/>
  <c r="E16" i="74"/>
  <c r="E18" i="74" s="1"/>
  <c r="L8" i="62"/>
  <c r="L17" i="62" s="1"/>
  <c r="J18" i="62"/>
  <c r="N5" i="87"/>
  <c r="Q5" i="85"/>
  <c r="Q49" i="85" s="1"/>
  <c r="V17" i="60"/>
  <c r="M65" i="67"/>
  <c r="M65" i="62"/>
  <c r="M65" i="66"/>
  <c r="M65" i="63"/>
  <c r="L8" i="67"/>
  <c r="E16" i="73"/>
  <c r="D16" i="84"/>
  <c r="D18" i="84" s="1"/>
  <c r="D18" i="73"/>
  <c r="J61" i="67"/>
  <c r="C12" i="73" s="1"/>
  <c r="C15" i="73" s="1"/>
  <c r="S464" i="72"/>
  <c r="S465" i="72" s="1"/>
  <c r="S471" i="72" s="1"/>
  <c r="M465" i="72"/>
  <c r="M471" i="72" s="1"/>
  <c r="N17" i="85"/>
  <c r="N52" i="85"/>
  <c r="N16" i="85"/>
  <c r="E16" i="79"/>
  <c r="E18" i="79" s="1"/>
  <c r="L8" i="63"/>
  <c r="K12" i="62"/>
  <c r="K14" i="62"/>
  <c r="K13" i="62"/>
  <c r="E16" i="68"/>
  <c r="L8" i="66"/>
  <c r="W102" i="36"/>
  <c r="X64" i="36"/>
  <c r="X141" i="36" s="1"/>
  <c r="W93" i="36"/>
  <c r="X55" i="36"/>
  <c r="X132" i="36" s="1"/>
  <c r="U94" i="42"/>
  <c r="U66" i="42"/>
  <c r="AE59" i="36"/>
  <c r="AE136" i="36" s="1"/>
  <c r="AD97" i="36"/>
  <c r="V97" i="42"/>
  <c r="V69" i="42"/>
  <c r="X99" i="42"/>
  <c r="X71" i="42"/>
  <c r="W99" i="36"/>
  <c r="X61" i="36"/>
  <c r="X138" i="36" s="1"/>
  <c r="X98" i="36"/>
  <c r="Y60" i="36"/>
  <c r="Y137" i="36" s="1"/>
  <c r="V95" i="42"/>
  <c r="V67" i="42"/>
  <c r="U100" i="42"/>
  <c r="U72" i="42"/>
  <c r="V101" i="36"/>
  <c r="W63" i="36"/>
  <c r="W140" i="36" s="1"/>
  <c r="U96" i="42"/>
  <c r="U68" i="42"/>
  <c r="V100" i="36"/>
  <c r="W62" i="36"/>
  <c r="U98" i="42"/>
  <c r="U70" i="42"/>
  <c r="O18" i="85"/>
  <c r="AE58" i="36"/>
  <c r="AE135" i="36" s="1"/>
  <c r="AD96" i="36"/>
  <c r="AE53" i="36"/>
  <c r="AE130" i="36" s="1"/>
  <c r="AD91" i="36"/>
  <c r="H19" i="70"/>
  <c r="I19" i="70"/>
  <c r="H66" i="63"/>
  <c r="H61" i="70"/>
  <c r="AE94" i="36"/>
  <c r="AF56" i="36"/>
  <c r="AF133" i="36" s="1"/>
  <c r="Y52" i="36"/>
  <c r="X90" i="36"/>
  <c r="J70" i="67"/>
  <c r="M41" i="86" s="1"/>
  <c r="O24" i="86" l="1"/>
  <c r="O30" i="86" s="1"/>
  <c r="M91" i="87"/>
  <c r="AB326" i="87"/>
  <c r="N64" i="87"/>
  <c r="N92" i="87" s="1"/>
  <c r="N33" i="87"/>
  <c r="N26" i="87" s="1"/>
  <c r="N63" i="87"/>
  <c r="N32" i="87"/>
  <c r="N60" i="87"/>
  <c r="N53" i="87" s="1"/>
  <c r="N37" i="87"/>
  <c r="N59" i="87"/>
  <c r="N52" i="87" s="1"/>
  <c r="N36" i="87"/>
  <c r="N61" i="87"/>
  <c r="N54" i="87" s="1"/>
  <c r="N58" i="87"/>
  <c r="N51" i="87" s="1"/>
  <c r="N35" i="87"/>
  <c r="N28" i="87" s="1"/>
  <c r="N34" i="87"/>
  <c r="N27" i="87" s="1"/>
  <c r="N62" i="87"/>
  <c r="N55" i="87" s="1"/>
  <c r="N31" i="87"/>
  <c r="N24" i="87" s="1"/>
  <c r="AG92" i="36"/>
  <c r="O64" i="85"/>
  <c r="M150" i="87"/>
  <c r="L17" i="66"/>
  <c r="L17" i="69" s="1"/>
  <c r="P35" i="85" s="1"/>
  <c r="L14" i="66"/>
  <c r="L13" i="66"/>
  <c r="L12" i="66"/>
  <c r="L14" i="67"/>
  <c r="L12" i="67"/>
  <c r="L13" i="67"/>
  <c r="N131" i="87"/>
  <c r="N132" i="87"/>
  <c r="N133" i="87"/>
  <c r="N130" i="87"/>
  <c r="N120" i="87"/>
  <c r="N129" i="87"/>
  <c r="N127" i="87"/>
  <c r="N128" i="87"/>
  <c r="N126" i="87"/>
  <c r="N121" i="87"/>
  <c r="N125" i="87"/>
  <c r="N123" i="87"/>
  <c r="N124" i="87"/>
  <c r="N144" i="87" s="1"/>
  <c r="N122" i="87"/>
  <c r="K13" i="70"/>
  <c r="M152" i="87"/>
  <c r="K14" i="70"/>
  <c r="O47" i="85" s="1"/>
  <c r="M148" i="87"/>
  <c r="L156" i="87"/>
  <c r="L158" i="87" s="1"/>
  <c r="M153" i="87"/>
  <c r="M149" i="87"/>
  <c r="M142" i="87"/>
  <c r="AH54" i="36"/>
  <c r="AH131" i="36" s="1"/>
  <c r="M151" i="87"/>
  <c r="M147" i="87"/>
  <c r="M144" i="87"/>
  <c r="L17" i="67"/>
  <c r="O43" i="86"/>
  <c r="M116" i="87"/>
  <c r="M136" i="87"/>
  <c r="M140" i="87"/>
  <c r="K71" i="64"/>
  <c r="N43" i="86"/>
  <c r="M145" i="87"/>
  <c r="N101" i="87"/>
  <c r="N102" i="87"/>
  <c r="N100" i="87"/>
  <c r="N103" i="87"/>
  <c r="N104" i="87"/>
  <c r="N105" i="87"/>
  <c r="N106" i="87"/>
  <c r="N107" i="87"/>
  <c r="N108" i="87"/>
  <c r="N109" i="87"/>
  <c r="N110" i="87"/>
  <c r="N111" i="87"/>
  <c r="N112" i="87"/>
  <c r="N113" i="87"/>
  <c r="M146" i="87"/>
  <c r="M143" i="87"/>
  <c r="M141" i="87"/>
  <c r="M39" i="87"/>
  <c r="M87" i="87"/>
  <c r="M80" i="87"/>
  <c r="M90" i="87"/>
  <c r="M83" i="87"/>
  <c r="L66" i="87"/>
  <c r="L86" i="87"/>
  <c r="M89" i="87"/>
  <c r="M82" i="87"/>
  <c r="M88" i="87"/>
  <c r="M81" i="87"/>
  <c r="M79" i="87"/>
  <c r="O85" i="86"/>
  <c r="O66" i="86"/>
  <c r="O84" i="86"/>
  <c r="O67" i="86"/>
  <c r="O81" i="86"/>
  <c r="O83" i="86"/>
  <c r="O82" i="86"/>
  <c r="O68" i="86"/>
  <c r="O65" i="86"/>
  <c r="O64" i="86"/>
  <c r="J61" i="63"/>
  <c r="C12" i="79" s="1"/>
  <c r="J18" i="70"/>
  <c r="M51" i="66"/>
  <c r="M51" i="69" s="1"/>
  <c r="M16" i="69"/>
  <c r="Q34" i="85" s="1"/>
  <c r="Q19" i="85" s="1"/>
  <c r="M41" i="66"/>
  <c r="V39" i="60"/>
  <c r="V65" i="60" s="1"/>
  <c r="F22" i="68" s="1"/>
  <c r="I41" i="66"/>
  <c r="I16" i="69"/>
  <c r="N34" i="85" s="1"/>
  <c r="S42" i="60"/>
  <c r="S68" i="60" s="1"/>
  <c r="S39" i="60"/>
  <c r="S65" i="60" s="1"/>
  <c r="I18" i="66"/>
  <c r="I51" i="66"/>
  <c r="I51" i="69" s="1"/>
  <c r="H41" i="66"/>
  <c r="R42" i="60"/>
  <c r="R68" i="60" s="1"/>
  <c r="H51" i="66"/>
  <c r="H16" i="69"/>
  <c r="M34" i="85" s="1"/>
  <c r="J16" i="66"/>
  <c r="H18" i="66"/>
  <c r="R39" i="60"/>
  <c r="R65" i="60" s="1"/>
  <c r="L51" i="66"/>
  <c r="L51" i="69" s="1"/>
  <c r="U39" i="60"/>
  <c r="U65" i="60" s="1"/>
  <c r="E22" i="68" s="1"/>
  <c r="L41" i="66"/>
  <c r="L16" i="69"/>
  <c r="P34" i="85" s="1"/>
  <c r="P19" i="85" s="1"/>
  <c r="K51" i="66"/>
  <c r="K51" i="69" s="1"/>
  <c r="T39" i="60"/>
  <c r="T65" i="60" s="1"/>
  <c r="D22" i="68" s="1"/>
  <c r="K16" i="69"/>
  <c r="O34" i="85" s="1"/>
  <c r="O19" i="85" s="1"/>
  <c r="K41" i="66"/>
  <c r="P18" i="85"/>
  <c r="P4" i="86"/>
  <c r="P24" i="86" s="1"/>
  <c r="Q48" i="85"/>
  <c r="Q33" i="85"/>
  <c r="K71" i="65"/>
  <c r="L71" i="64"/>
  <c r="O66" i="65"/>
  <c r="J66" i="65"/>
  <c r="J70" i="65" s="1"/>
  <c r="M17" i="86" s="1"/>
  <c r="H70" i="65"/>
  <c r="I71" i="65" s="1"/>
  <c r="H67" i="65"/>
  <c r="O67" i="65" s="1"/>
  <c r="X215" i="60"/>
  <c r="Z215" i="60"/>
  <c r="U215" i="60"/>
  <c r="W215" i="60"/>
  <c r="V215" i="60"/>
  <c r="Y215" i="60"/>
  <c r="AA215" i="60"/>
  <c r="AB215" i="60"/>
  <c r="O31" i="65"/>
  <c r="H32" i="65"/>
  <c r="O32" i="65" s="1"/>
  <c r="I32" i="65"/>
  <c r="D519" i="72"/>
  <c r="J519" i="72" s="1"/>
  <c r="D521" i="72"/>
  <c r="J521" i="72" s="1"/>
  <c r="D520" i="72"/>
  <c r="J520" i="72" s="1"/>
  <c r="D518" i="72"/>
  <c r="K67" i="65"/>
  <c r="M70" i="65"/>
  <c r="M67" i="65"/>
  <c r="M520" i="72"/>
  <c r="S520" i="72" s="1"/>
  <c r="M519" i="72"/>
  <c r="S519" i="72" s="1"/>
  <c r="M521" i="72"/>
  <c r="S521" i="72" s="1"/>
  <c r="M518" i="72"/>
  <c r="L67" i="65"/>
  <c r="L70" i="65"/>
  <c r="M71" i="64"/>
  <c r="J66" i="64"/>
  <c r="J70" i="64" s="1"/>
  <c r="M43" i="86" s="1"/>
  <c r="H67" i="64"/>
  <c r="O67" i="64" s="1"/>
  <c r="O66" i="64"/>
  <c r="H70" i="64"/>
  <c r="I67" i="64"/>
  <c r="W216" i="60"/>
  <c r="X216" i="60"/>
  <c r="AA216" i="60"/>
  <c r="AB216" i="60"/>
  <c r="Y216" i="60"/>
  <c r="U216" i="60"/>
  <c r="V216" i="60"/>
  <c r="Z216" i="60"/>
  <c r="H32" i="64"/>
  <c r="O32" i="64" s="1"/>
  <c r="O31" i="64"/>
  <c r="I32" i="64"/>
  <c r="I67" i="65"/>
  <c r="W66" i="36"/>
  <c r="W139" i="36"/>
  <c r="W144" i="36" s="1"/>
  <c r="W146" i="36" s="1"/>
  <c r="U102" i="42"/>
  <c r="U104" i="42" s="1"/>
  <c r="U74" i="42"/>
  <c r="U76" i="42" s="1"/>
  <c r="Z11" i="42"/>
  <c r="Z103" i="42" s="1"/>
  <c r="Y75" i="42"/>
  <c r="AD48" i="42"/>
  <c r="V104" i="36"/>
  <c r="V106" i="36" s="1"/>
  <c r="Y105" i="36"/>
  <c r="Z11" i="36"/>
  <c r="Z145" i="36" s="1"/>
  <c r="AG95" i="36"/>
  <c r="AH57" i="36"/>
  <c r="AH134" i="36" s="1"/>
  <c r="C33" i="73"/>
  <c r="C33" i="84" s="1"/>
  <c r="C81" i="73"/>
  <c r="C91" i="73" s="1"/>
  <c r="K18" i="63"/>
  <c r="I67" i="62"/>
  <c r="I70" i="62"/>
  <c r="I71" i="62" s="1"/>
  <c r="J66" i="62"/>
  <c r="J70" i="62" s="1"/>
  <c r="M16" i="86" s="1"/>
  <c r="I66" i="63"/>
  <c r="J66" i="63" s="1"/>
  <c r="I61" i="70"/>
  <c r="F16" i="73"/>
  <c r="M8" i="67"/>
  <c r="K12" i="69"/>
  <c r="O31" i="85" s="1"/>
  <c r="K18" i="66"/>
  <c r="K18" i="67"/>
  <c r="K12" i="70"/>
  <c r="O46" i="85" s="1"/>
  <c r="L12" i="63"/>
  <c r="L13" i="63"/>
  <c r="L14" i="63"/>
  <c r="L17" i="63"/>
  <c r="F16" i="79"/>
  <c r="F18" i="79" s="1"/>
  <c r="M8" i="63"/>
  <c r="O20" i="85"/>
  <c r="E16" i="83"/>
  <c r="E18" i="83" s="1"/>
  <c r="E18" i="68"/>
  <c r="K18" i="62"/>
  <c r="F16" i="68"/>
  <c r="M8" i="66"/>
  <c r="K13" i="69"/>
  <c r="J61" i="62"/>
  <c r="C12" i="74" s="1"/>
  <c r="J28" i="62"/>
  <c r="J31" i="62" s="1"/>
  <c r="E16" i="84"/>
  <c r="E18" i="84" s="1"/>
  <c r="E18" i="73"/>
  <c r="F16" i="74"/>
  <c r="F18" i="74" s="1"/>
  <c r="M8" i="62"/>
  <c r="M17" i="62" s="1"/>
  <c r="K14" i="69"/>
  <c r="O32" i="85" s="1"/>
  <c r="L14" i="62"/>
  <c r="L13" i="62"/>
  <c r="L12" i="62"/>
  <c r="X102" i="36"/>
  <c r="Y64" i="36"/>
  <c r="Y141" i="36" s="1"/>
  <c r="X99" i="36"/>
  <c r="Y61" i="36"/>
  <c r="Y138" i="36" s="1"/>
  <c r="AE97" i="36"/>
  <c r="AF59" i="36"/>
  <c r="AF136" i="36" s="1"/>
  <c r="X93" i="36"/>
  <c r="Y55" i="36"/>
  <c r="Y132" i="36" s="1"/>
  <c r="V98" i="42"/>
  <c r="V70" i="42"/>
  <c r="V96" i="42"/>
  <c r="V68" i="42"/>
  <c r="V100" i="42"/>
  <c r="V72" i="42"/>
  <c r="Y98" i="36"/>
  <c r="Z60" i="36"/>
  <c r="Z137" i="36" s="1"/>
  <c r="W100" i="36"/>
  <c r="X62" i="36"/>
  <c r="X139" i="36" s="1"/>
  <c r="W101" i="36"/>
  <c r="X63" i="36"/>
  <c r="X140" i="36" s="1"/>
  <c r="W95" i="42"/>
  <c r="W67" i="42"/>
  <c r="W97" i="42"/>
  <c r="W69" i="42"/>
  <c r="Y99" i="42"/>
  <c r="Y71" i="42"/>
  <c r="V94" i="42"/>
  <c r="V66" i="42"/>
  <c r="H67" i="63"/>
  <c r="H70" i="63"/>
  <c r="H66" i="70"/>
  <c r="AF53" i="36"/>
  <c r="AF130" i="36" s="1"/>
  <c r="AE91" i="36"/>
  <c r="AG56" i="36"/>
  <c r="AG133" i="36" s="1"/>
  <c r="AF94" i="36"/>
  <c r="Y90" i="36"/>
  <c r="Z52" i="36"/>
  <c r="AI54" i="36"/>
  <c r="AI131" i="36" s="1"/>
  <c r="AE96" i="36"/>
  <c r="AF58" i="36"/>
  <c r="AF135" i="36" s="1"/>
  <c r="N91" i="87" l="1"/>
  <c r="N39" i="87"/>
  <c r="N25" i="87"/>
  <c r="AA39" i="87"/>
  <c r="P64" i="85"/>
  <c r="L94" i="87"/>
  <c r="L96" i="87" s="1"/>
  <c r="P66" i="86"/>
  <c r="P30" i="86"/>
  <c r="O17" i="85"/>
  <c r="M17" i="66"/>
  <c r="M13" i="66"/>
  <c r="M14" i="66"/>
  <c r="M12" i="66"/>
  <c r="N149" i="87"/>
  <c r="M14" i="67"/>
  <c r="M12" i="67"/>
  <c r="M13" i="67"/>
  <c r="AH92" i="36"/>
  <c r="L17" i="70"/>
  <c r="P50" i="85" s="1"/>
  <c r="P20" i="85" s="1"/>
  <c r="N143" i="87"/>
  <c r="N142" i="87"/>
  <c r="L14" i="70"/>
  <c r="P47" i="85" s="1"/>
  <c r="N145" i="87"/>
  <c r="N147" i="87"/>
  <c r="N151" i="87"/>
  <c r="J61" i="70"/>
  <c r="N153" i="87"/>
  <c r="N152" i="87"/>
  <c r="N150" i="87"/>
  <c r="N116" i="87"/>
  <c r="AA116" i="87" s="1"/>
  <c r="M17" i="67"/>
  <c r="P17" i="86"/>
  <c r="N141" i="87"/>
  <c r="M156" i="87"/>
  <c r="M158" i="87" s="1"/>
  <c r="P43" i="86"/>
  <c r="N148" i="87"/>
  <c r="N146" i="87"/>
  <c r="N136" i="87"/>
  <c r="AA136" i="87" s="1"/>
  <c r="N140" i="87"/>
  <c r="L71" i="65"/>
  <c r="O17" i="86"/>
  <c r="N90" i="87"/>
  <c r="N83" i="87"/>
  <c r="N87" i="87"/>
  <c r="N80" i="87"/>
  <c r="M86" i="87"/>
  <c r="M66" i="87"/>
  <c r="M94" i="87" s="1"/>
  <c r="M96" i="87" s="1"/>
  <c r="N79" i="87"/>
  <c r="N89" i="87"/>
  <c r="N82" i="87"/>
  <c r="N88" i="87"/>
  <c r="N81" i="87"/>
  <c r="P85" i="86"/>
  <c r="P83" i="86"/>
  <c r="P68" i="86"/>
  <c r="X144" i="36"/>
  <c r="X146" i="36" s="1"/>
  <c r="P67" i="86"/>
  <c r="P82" i="86"/>
  <c r="P65" i="86"/>
  <c r="P84" i="86"/>
  <c r="C22" i="68"/>
  <c r="C22" i="83" s="1"/>
  <c r="H61" i="66"/>
  <c r="H19" i="66"/>
  <c r="H18" i="69"/>
  <c r="H19" i="69" s="1"/>
  <c r="D28" i="68"/>
  <c r="D28" i="83" s="1"/>
  <c r="D22" i="83"/>
  <c r="J16" i="69"/>
  <c r="J18" i="66"/>
  <c r="J61" i="66" s="1"/>
  <c r="M19" i="85"/>
  <c r="M37" i="85"/>
  <c r="N19" i="85"/>
  <c r="N22" i="85" s="1"/>
  <c r="N37" i="85"/>
  <c r="H51" i="69"/>
  <c r="J51" i="66"/>
  <c r="J51" i="69" s="1"/>
  <c r="C22" i="73"/>
  <c r="F22" i="83"/>
  <c r="F28" i="68"/>
  <c r="F28" i="83" s="1"/>
  <c r="E22" i="83"/>
  <c r="E28" i="68"/>
  <c r="E28" i="83" s="1"/>
  <c r="I19" i="66"/>
  <c r="I61" i="66"/>
  <c r="I18" i="69"/>
  <c r="Q18" i="85"/>
  <c r="R518" i="72"/>
  <c r="R522" i="72" s="1"/>
  <c r="Q518" i="72"/>
  <c r="Q522" i="72" s="1"/>
  <c r="M522" i="72"/>
  <c r="M532" i="72" s="1"/>
  <c r="H71" i="65"/>
  <c r="O71" i="65" s="1"/>
  <c r="O70" i="65"/>
  <c r="I71" i="64"/>
  <c r="O70" i="64"/>
  <c r="H71" i="64"/>
  <c r="O71" i="64" s="1"/>
  <c r="M71" i="65"/>
  <c r="I518" i="72"/>
  <c r="I522" i="72" s="1"/>
  <c r="H518" i="72"/>
  <c r="D522" i="72"/>
  <c r="D532" i="72" s="1"/>
  <c r="C41" i="73"/>
  <c r="C41" i="84" s="1"/>
  <c r="W104" i="36"/>
  <c r="W106" i="36" s="1"/>
  <c r="I67" i="63"/>
  <c r="V102" i="42"/>
  <c r="V104" i="42" s="1"/>
  <c r="AA11" i="42"/>
  <c r="AA103" i="42" s="1"/>
  <c r="Z75" i="42"/>
  <c r="V74" i="42"/>
  <c r="V76" i="42" s="1"/>
  <c r="AE48" i="42"/>
  <c r="X66" i="36"/>
  <c r="Z105" i="36"/>
  <c r="AA11" i="36"/>
  <c r="AA145" i="36" s="1"/>
  <c r="AI57" i="36"/>
  <c r="AI134" i="36" s="1"/>
  <c r="AH95" i="36"/>
  <c r="L18" i="62"/>
  <c r="L19" i="62" s="1"/>
  <c r="I66" i="70"/>
  <c r="I70" i="70" s="1"/>
  <c r="I70" i="63"/>
  <c r="I71" i="63" s="1"/>
  <c r="K19" i="63"/>
  <c r="K28" i="63"/>
  <c r="K31" i="63" s="1"/>
  <c r="K32" i="63" s="1"/>
  <c r="K61" i="63"/>
  <c r="K28" i="62"/>
  <c r="K31" i="62" s="1"/>
  <c r="K32" i="62" s="1"/>
  <c r="K61" i="62"/>
  <c r="K19" i="62"/>
  <c r="L13" i="69"/>
  <c r="O16" i="85"/>
  <c r="O52" i="85"/>
  <c r="F16" i="84"/>
  <c r="F18" i="84" s="1"/>
  <c r="F18" i="73"/>
  <c r="F16" i="83"/>
  <c r="F18" i="83" s="1"/>
  <c r="F18" i="68"/>
  <c r="L14" i="69"/>
  <c r="P32" i="85" s="1"/>
  <c r="L18" i="63"/>
  <c r="K61" i="67"/>
  <c r="K19" i="67"/>
  <c r="K18" i="70"/>
  <c r="K19" i="70" s="1"/>
  <c r="K61" i="66"/>
  <c r="K19" i="66"/>
  <c r="K18" i="69"/>
  <c r="L13" i="70"/>
  <c r="M14" i="62"/>
  <c r="M17" i="69"/>
  <c r="Q35" i="85" s="1"/>
  <c r="M13" i="62"/>
  <c r="M12" i="62"/>
  <c r="C81" i="74"/>
  <c r="C91" i="74" s="1"/>
  <c r="C93" i="74" s="1"/>
  <c r="C15" i="74"/>
  <c r="M17" i="63"/>
  <c r="M14" i="63"/>
  <c r="M12" i="63"/>
  <c r="M13" i="63"/>
  <c r="L12" i="69"/>
  <c r="P31" i="85" s="1"/>
  <c r="L18" i="66"/>
  <c r="O37" i="85"/>
  <c r="L12" i="70"/>
  <c r="P46" i="85" s="1"/>
  <c r="L18" i="67"/>
  <c r="W94" i="42"/>
  <c r="W66" i="42"/>
  <c r="X95" i="42"/>
  <c r="X67" i="42"/>
  <c r="Z71" i="42"/>
  <c r="Z99" i="42"/>
  <c r="W96" i="42"/>
  <c r="W68" i="42"/>
  <c r="W98" i="42"/>
  <c r="W70" i="42"/>
  <c r="X97" i="42"/>
  <c r="X69" i="42"/>
  <c r="W100" i="42"/>
  <c r="W72" i="42"/>
  <c r="Y93" i="36"/>
  <c r="Z55" i="36"/>
  <c r="Z132" i="36" s="1"/>
  <c r="AF97" i="36"/>
  <c r="AG59" i="36"/>
  <c r="AG136" i="36" s="1"/>
  <c r="Y102" i="36"/>
  <c r="Z64" i="36"/>
  <c r="Z141" i="36" s="1"/>
  <c r="X101" i="36"/>
  <c r="Y63" i="36"/>
  <c r="Y140" i="36" s="1"/>
  <c r="X100" i="36"/>
  <c r="Y62" i="36"/>
  <c r="Y139" i="36" s="1"/>
  <c r="Z98" i="36"/>
  <c r="AA60" i="36"/>
  <c r="AA137" i="36" s="1"/>
  <c r="Y99" i="36"/>
  <c r="Z61" i="36"/>
  <c r="Z138" i="36" s="1"/>
  <c r="AF91" i="36"/>
  <c r="AG53" i="36"/>
  <c r="AG130" i="36" s="1"/>
  <c r="AF96" i="36"/>
  <c r="AG58" i="36"/>
  <c r="AG135" i="36" s="1"/>
  <c r="C81" i="79"/>
  <c r="C15" i="79"/>
  <c r="C15" i="84" s="1"/>
  <c r="C12" i="84"/>
  <c r="AG94" i="36"/>
  <c r="AH56" i="36"/>
  <c r="AH133" i="36" s="1"/>
  <c r="H71" i="63"/>
  <c r="AI92" i="36"/>
  <c r="AJ54" i="36"/>
  <c r="AJ131" i="36" s="1"/>
  <c r="J70" i="63"/>
  <c r="M42" i="86" s="1"/>
  <c r="M45" i="86" s="1"/>
  <c r="J66" i="70"/>
  <c r="J70" i="70" s="1"/>
  <c r="H70" i="70"/>
  <c r="H67" i="70"/>
  <c r="Z90" i="36"/>
  <c r="AA52" i="36"/>
  <c r="C93" i="73"/>
  <c r="M48" i="86" l="1"/>
  <c r="Q64" i="85"/>
  <c r="P17" i="85"/>
  <c r="Y144" i="36"/>
  <c r="Y146" i="36" s="1"/>
  <c r="M17" i="70"/>
  <c r="Q50" i="85" s="1"/>
  <c r="Q20" i="85" s="1"/>
  <c r="N156" i="87"/>
  <c r="N158" i="87" s="1"/>
  <c r="M14" i="70"/>
  <c r="Q47" i="85" s="1"/>
  <c r="N66" i="87"/>
  <c r="N94" i="87" s="1"/>
  <c r="N96" i="87" s="1"/>
  <c r="N86" i="87"/>
  <c r="O22" i="85"/>
  <c r="M22" i="85"/>
  <c r="M18" i="63"/>
  <c r="M61" i="63" s="1"/>
  <c r="L28" i="62"/>
  <c r="L31" i="62" s="1"/>
  <c r="L32" i="62" s="1"/>
  <c r="C28" i="68"/>
  <c r="C28" i="83" s="1"/>
  <c r="D34" i="72" a="1"/>
  <c r="D36" i="72" s="1"/>
  <c r="J36" i="72" s="1"/>
  <c r="C22" i="84"/>
  <c r="M34" i="72" a="1"/>
  <c r="C28" i="73"/>
  <c r="C28" i="84" s="1"/>
  <c r="I66" i="66"/>
  <c r="I61" i="69"/>
  <c r="I19" i="69"/>
  <c r="K19" i="69"/>
  <c r="H61" i="69"/>
  <c r="H66" i="66"/>
  <c r="J18" i="69"/>
  <c r="S518" i="72"/>
  <c r="S522" i="72" s="1"/>
  <c r="S532" i="72" s="1"/>
  <c r="H522" i="72"/>
  <c r="J518" i="72"/>
  <c r="J522" i="72" s="1"/>
  <c r="J532" i="72" s="1"/>
  <c r="I532" i="72"/>
  <c r="F90" i="80"/>
  <c r="F91" i="80" s="1"/>
  <c r="F93" i="80" s="1"/>
  <c r="F96" i="80" s="1"/>
  <c r="Q532" i="72"/>
  <c r="E90" i="81"/>
  <c r="E91" i="81" s="1"/>
  <c r="E93" i="81" s="1"/>
  <c r="E96" i="81" s="1"/>
  <c r="R532" i="72"/>
  <c r="F90" i="81"/>
  <c r="F91" i="81" s="1"/>
  <c r="F93" i="81" s="1"/>
  <c r="F96" i="81" s="1"/>
  <c r="L61" i="62"/>
  <c r="E12" i="74" s="1"/>
  <c r="X104" i="36"/>
  <c r="X106" i="36" s="1"/>
  <c r="W102" i="42"/>
  <c r="W104" i="42" s="1"/>
  <c r="W74" i="42"/>
  <c r="W76" i="42" s="1"/>
  <c r="AB11" i="42"/>
  <c r="AB103" i="42" s="1"/>
  <c r="AA75" i="42"/>
  <c r="AF48" i="42"/>
  <c r="Y66" i="36"/>
  <c r="AA105" i="36"/>
  <c r="AB11" i="36"/>
  <c r="AB145" i="36" s="1"/>
  <c r="AI95" i="36"/>
  <c r="AJ57" i="36"/>
  <c r="AJ134" i="36" s="1"/>
  <c r="I67" i="70"/>
  <c r="K66" i="63"/>
  <c r="D12" i="79"/>
  <c r="P37" i="85"/>
  <c r="P16" i="85"/>
  <c r="P52" i="85"/>
  <c r="M18" i="62"/>
  <c r="D12" i="73"/>
  <c r="K66" i="67"/>
  <c r="K61" i="70"/>
  <c r="L61" i="63"/>
  <c r="L28" i="63"/>
  <c r="L31" i="63" s="1"/>
  <c r="L32" i="63" s="1"/>
  <c r="L19" i="63"/>
  <c r="D12" i="68"/>
  <c r="K61" i="69"/>
  <c r="K66" i="66"/>
  <c r="C63" i="74"/>
  <c r="C96" i="74"/>
  <c r="M13" i="69"/>
  <c r="M13" i="70"/>
  <c r="L61" i="67"/>
  <c r="L19" i="67"/>
  <c r="L18" i="70"/>
  <c r="L19" i="70" s="1"/>
  <c r="L61" i="66"/>
  <c r="L19" i="66"/>
  <c r="M14" i="69"/>
  <c r="Q32" i="85" s="1"/>
  <c r="M12" i="70"/>
  <c r="Q46" i="85" s="1"/>
  <c r="M18" i="67"/>
  <c r="K66" i="62"/>
  <c r="D12" i="74"/>
  <c r="M12" i="69"/>
  <c r="Q31" i="85" s="1"/>
  <c r="M18" i="66"/>
  <c r="L18" i="69"/>
  <c r="L19" i="69" s="1"/>
  <c r="AA98" i="36"/>
  <c r="AB60" i="36"/>
  <c r="AB137" i="36" s="1"/>
  <c r="Y69" i="42"/>
  <c r="Y97" i="42"/>
  <c r="X100" i="42"/>
  <c r="X72" i="42"/>
  <c r="X70" i="42"/>
  <c r="X98" i="42"/>
  <c r="Z93" i="36"/>
  <c r="AA55" i="36"/>
  <c r="AA132" i="36" s="1"/>
  <c r="X96" i="42"/>
  <c r="X68" i="42"/>
  <c r="Y95" i="42"/>
  <c r="Y67" i="42"/>
  <c r="Z99" i="36"/>
  <c r="AA61" i="36"/>
  <c r="AA138" i="36" s="1"/>
  <c r="Y100" i="36"/>
  <c r="Z62" i="36"/>
  <c r="Z139" i="36" s="1"/>
  <c r="Y101" i="36"/>
  <c r="Z63" i="36"/>
  <c r="Z140" i="36" s="1"/>
  <c r="Z102" i="36"/>
  <c r="AA64" i="36"/>
  <c r="AA141" i="36" s="1"/>
  <c r="AG97" i="36"/>
  <c r="AH59" i="36"/>
  <c r="AH136" i="36" s="1"/>
  <c r="X66" i="42"/>
  <c r="X94" i="42"/>
  <c r="AA99" i="42"/>
  <c r="AA71" i="42"/>
  <c r="AJ92" i="36"/>
  <c r="AK54" i="36"/>
  <c r="AK131" i="36" s="1"/>
  <c r="C91" i="79"/>
  <c r="C81" i="84"/>
  <c r="M77" i="86" s="1"/>
  <c r="AG91" i="36"/>
  <c r="AH53" i="36"/>
  <c r="AH130" i="36" s="1"/>
  <c r="AG96" i="36"/>
  <c r="AH58" i="36"/>
  <c r="AH135" i="36" s="1"/>
  <c r="AH94" i="36"/>
  <c r="AI56" i="36"/>
  <c r="AI133" i="36" s="1"/>
  <c r="AB52" i="36"/>
  <c r="AA90" i="36"/>
  <c r="H71" i="70"/>
  <c r="I71" i="70"/>
  <c r="C96" i="73"/>
  <c r="C63" i="73"/>
  <c r="H208" i="60" s="1"/>
  <c r="Q52" i="85" l="1"/>
  <c r="AA66" i="87"/>
  <c r="P22" i="85"/>
  <c r="Q17" i="85"/>
  <c r="M28" i="63"/>
  <c r="M31" i="63" s="1"/>
  <c r="M19" i="63"/>
  <c r="L66" i="62"/>
  <c r="L70" i="62" s="1"/>
  <c r="O16" i="86" s="1"/>
  <c r="D34" i="72"/>
  <c r="H34" i="72" s="1"/>
  <c r="H38" i="72" s="1"/>
  <c r="E84" i="68" s="1"/>
  <c r="E84" i="83" s="1"/>
  <c r="O63" i="86" s="1"/>
  <c r="D35" i="72"/>
  <c r="I35" i="72" s="1"/>
  <c r="I38" i="72" s="1"/>
  <c r="F84" i="68" s="1"/>
  <c r="F84" i="83" s="1"/>
  <c r="P63" i="86" s="1"/>
  <c r="D37" i="72"/>
  <c r="J37" i="72" s="1"/>
  <c r="M34" i="72"/>
  <c r="M35" i="72"/>
  <c r="M36" i="72"/>
  <c r="S36" i="72" s="1"/>
  <c r="M37" i="72"/>
  <c r="S37" i="72" s="1"/>
  <c r="J61" i="69"/>
  <c r="C12" i="68"/>
  <c r="J66" i="66"/>
  <c r="I70" i="66"/>
  <c r="I67" i="66"/>
  <c r="I66" i="69"/>
  <c r="H67" i="66"/>
  <c r="H70" i="66"/>
  <c r="H71" i="66" s="1"/>
  <c r="H66" i="69"/>
  <c r="Z144" i="36"/>
  <c r="Z146" i="36" s="1"/>
  <c r="E90" i="80"/>
  <c r="E91" i="80" s="1"/>
  <c r="E93" i="80" s="1"/>
  <c r="E96" i="80" s="1"/>
  <c r="H532" i="72"/>
  <c r="Q37" i="85"/>
  <c r="X102" i="42"/>
  <c r="X104" i="42" s="1"/>
  <c r="X74" i="42"/>
  <c r="X76" i="42" s="1"/>
  <c r="AC11" i="42"/>
  <c r="AC103" i="42" s="1"/>
  <c r="AB75" i="42"/>
  <c r="AG48" i="42"/>
  <c r="Y104" i="36"/>
  <c r="Y106" i="36" s="1"/>
  <c r="Z66" i="36"/>
  <c r="AB105" i="36"/>
  <c r="AC11" i="36"/>
  <c r="AC145" i="36" s="1"/>
  <c r="AK57" i="36"/>
  <c r="AK134" i="36" s="1"/>
  <c r="AJ95" i="36"/>
  <c r="D81" i="79"/>
  <c r="D91" i="79" s="1"/>
  <c r="D93" i="79" s="1"/>
  <c r="D96" i="79" s="1"/>
  <c r="D15" i="79"/>
  <c r="D19" i="79"/>
  <c r="D78" i="79" s="1"/>
  <c r="K67" i="63"/>
  <c r="K70" i="63"/>
  <c r="H211" i="60"/>
  <c r="C78" i="74"/>
  <c r="D341" i="72" a="1"/>
  <c r="M32" i="63"/>
  <c r="K67" i="62"/>
  <c r="K70" i="62"/>
  <c r="K66" i="69"/>
  <c r="K70" i="66"/>
  <c r="N15" i="86" s="1"/>
  <c r="K67" i="66"/>
  <c r="K70" i="67"/>
  <c r="N41" i="86" s="1"/>
  <c r="K67" i="67"/>
  <c r="K66" i="70"/>
  <c r="M19" i="66"/>
  <c r="M61" i="66"/>
  <c r="M61" i="67"/>
  <c r="M66" i="67" s="1"/>
  <c r="M19" i="67"/>
  <c r="M18" i="70"/>
  <c r="M19" i="70" s="1"/>
  <c r="E12" i="79"/>
  <c r="L66" i="63"/>
  <c r="D33" i="73"/>
  <c r="D51" i="73"/>
  <c r="D19" i="73"/>
  <c r="D15" i="73"/>
  <c r="D81" i="73"/>
  <c r="D12" i="84"/>
  <c r="F12" i="79"/>
  <c r="M66" i="63"/>
  <c r="D15" i="74"/>
  <c r="D81" i="74"/>
  <c r="D91" i="74" s="1"/>
  <c r="D93" i="74" s="1"/>
  <c r="D96" i="74" s="1"/>
  <c r="D19" i="74"/>
  <c r="Q16" i="85"/>
  <c r="L61" i="69"/>
  <c r="L66" i="66"/>
  <c r="E12" i="68"/>
  <c r="L66" i="67"/>
  <c r="E12" i="73"/>
  <c r="L61" i="70"/>
  <c r="D81" i="68"/>
  <c r="D51" i="68"/>
  <c r="D12" i="83"/>
  <c r="D33" i="68"/>
  <c r="D19" i="68"/>
  <c r="D15" i="68"/>
  <c r="E19" i="74"/>
  <c r="E78" i="74" s="1"/>
  <c r="E15" i="74"/>
  <c r="E81" i="74"/>
  <c r="M18" i="69"/>
  <c r="M19" i="69" s="1"/>
  <c r="M61" i="62"/>
  <c r="M28" i="62"/>
  <c r="M31" i="62" s="1"/>
  <c r="M32" i="62" s="1"/>
  <c r="M19" i="62"/>
  <c r="Z67" i="42"/>
  <c r="Z95" i="42"/>
  <c r="Z97" i="42"/>
  <c r="Z69" i="42"/>
  <c r="AB99" i="42"/>
  <c r="AB71" i="42"/>
  <c r="AA99" i="36"/>
  <c r="AB61" i="36"/>
  <c r="AB138" i="36" s="1"/>
  <c r="AA93" i="36"/>
  <c r="AB55" i="36"/>
  <c r="AB132" i="36" s="1"/>
  <c r="Z101" i="36"/>
  <c r="AA63" i="36"/>
  <c r="AA140" i="36" s="1"/>
  <c r="Z100" i="36"/>
  <c r="AA62" i="36"/>
  <c r="AA139" i="36" s="1"/>
  <c r="Y68" i="42"/>
  <c r="Y96" i="42"/>
  <c r="Y98" i="42"/>
  <c r="Y70" i="42"/>
  <c r="Y94" i="42"/>
  <c r="Y66" i="42"/>
  <c r="AH97" i="36"/>
  <c r="AI59" i="36"/>
  <c r="AI136" i="36" s="1"/>
  <c r="Y72" i="42"/>
  <c r="Y100" i="42"/>
  <c r="AA102" i="36"/>
  <c r="AB64" i="36"/>
  <c r="AB141" i="36" s="1"/>
  <c r="AB98" i="36"/>
  <c r="AC60" i="36"/>
  <c r="AC137" i="36" s="1"/>
  <c r="AI58" i="36"/>
  <c r="AI135" i="36" s="1"/>
  <c r="AH96" i="36"/>
  <c r="AL54" i="36"/>
  <c r="AL131" i="36" s="1"/>
  <c r="AK92" i="36"/>
  <c r="AI94" i="36"/>
  <c r="AJ56" i="36"/>
  <c r="AJ133" i="36" s="1"/>
  <c r="AI53" i="36"/>
  <c r="AI130" i="36" s="1"/>
  <c r="AH91" i="36"/>
  <c r="C93" i="79"/>
  <c r="C91" i="84"/>
  <c r="AC52" i="36"/>
  <c r="AB90" i="36"/>
  <c r="M164" i="72" a="1"/>
  <c r="C78" i="73"/>
  <c r="M66" i="70" l="1"/>
  <c r="M70" i="67"/>
  <c r="P41" i="86" s="1"/>
  <c r="L67" i="62"/>
  <c r="K71" i="62"/>
  <c r="N16" i="86"/>
  <c r="N19" i="86" s="1"/>
  <c r="N28" i="86" s="1"/>
  <c r="K71" i="63"/>
  <c r="N42" i="86"/>
  <c r="N45" i="86" s="1"/>
  <c r="Q22" i="85"/>
  <c r="J35" i="72"/>
  <c r="J34" i="72"/>
  <c r="D38" i="72"/>
  <c r="I71" i="66"/>
  <c r="C15" i="68"/>
  <c r="C15" i="83" s="1"/>
  <c r="C81" i="68"/>
  <c r="C81" i="83" s="1"/>
  <c r="C12" i="83"/>
  <c r="C33" i="68"/>
  <c r="I67" i="69"/>
  <c r="I70" i="69"/>
  <c r="R35" i="72"/>
  <c r="R38" i="72" s="1"/>
  <c r="F84" i="73" s="1"/>
  <c r="F84" i="84" s="1"/>
  <c r="P80" i="86" s="1"/>
  <c r="J70" i="66"/>
  <c r="M15" i="86" s="1"/>
  <c r="M19" i="86" s="1"/>
  <c r="J66" i="69"/>
  <c r="J70" i="69" s="1"/>
  <c r="H70" i="69"/>
  <c r="H71" i="69" s="1"/>
  <c r="H67" i="69"/>
  <c r="K71" i="66"/>
  <c r="Q34" i="72"/>
  <c r="Q38" i="72" s="1"/>
  <c r="E84" i="73" s="1"/>
  <c r="E84" i="84" s="1"/>
  <c r="O80" i="86" s="1"/>
  <c r="M38" i="72"/>
  <c r="AA144" i="36"/>
  <c r="AA146" i="36" s="1"/>
  <c r="D15" i="84"/>
  <c r="Y74" i="42"/>
  <c r="Y76" i="42" s="1"/>
  <c r="Y102" i="42"/>
  <c r="Y104" i="42" s="1"/>
  <c r="AD11" i="42"/>
  <c r="AD103" i="42" s="1"/>
  <c r="AC75" i="42"/>
  <c r="AH48" i="42"/>
  <c r="Z104" i="36"/>
  <c r="Z106" i="36" s="1"/>
  <c r="AC105" i="36"/>
  <c r="AD11" i="36"/>
  <c r="AD145" i="36" s="1"/>
  <c r="AA66" i="36"/>
  <c r="AL57" i="36"/>
  <c r="AL134" i="36" s="1"/>
  <c r="AK95" i="36"/>
  <c r="D19" i="83"/>
  <c r="E15" i="73"/>
  <c r="E51" i="73"/>
  <c r="E33" i="73"/>
  <c r="E19" i="73"/>
  <c r="E81" i="73"/>
  <c r="E12" i="84"/>
  <c r="D33" i="83"/>
  <c r="D41" i="68"/>
  <c r="D41" i="83" s="1"/>
  <c r="E81" i="68"/>
  <c r="E81" i="83" s="1"/>
  <c r="O60" i="86" s="1"/>
  <c r="E51" i="68"/>
  <c r="E19" i="68"/>
  <c r="E12" i="83"/>
  <c r="E15" i="68"/>
  <c r="E15" i="83" s="1"/>
  <c r="E33" i="68"/>
  <c r="M70" i="63"/>
  <c r="P42" i="86" s="1"/>
  <c r="M67" i="63"/>
  <c r="L70" i="63"/>
  <c r="L67" i="63"/>
  <c r="K70" i="69"/>
  <c r="K67" i="69"/>
  <c r="D344" i="72"/>
  <c r="J344" i="72" s="1"/>
  <c r="D341" i="72"/>
  <c r="D343" i="72"/>
  <c r="J343" i="72" s="1"/>
  <c r="D342" i="72"/>
  <c r="J342" i="72" s="1"/>
  <c r="D91" i="68"/>
  <c r="D81" i="83"/>
  <c r="N60" i="86" s="1"/>
  <c r="L70" i="67"/>
  <c r="L67" i="67"/>
  <c r="L66" i="70"/>
  <c r="M61" i="69"/>
  <c r="F12" i="74"/>
  <c r="M66" i="62"/>
  <c r="L70" i="66"/>
  <c r="L67" i="66"/>
  <c r="L66" i="69"/>
  <c r="F15" i="79"/>
  <c r="F19" i="79"/>
  <c r="F78" i="79" s="1"/>
  <c r="F81" i="79"/>
  <c r="D19" i="84"/>
  <c r="E19" i="79"/>
  <c r="E81" i="79"/>
  <c r="E15" i="79"/>
  <c r="F12" i="73"/>
  <c r="M61" i="70"/>
  <c r="K70" i="70"/>
  <c r="K71" i="70" s="1"/>
  <c r="K67" i="70"/>
  <c r="L71" i="62"/>
  <c r="D91" i="73"/>
  <c r="D81" i="84"/>
  <c r="N77" i="86" s="1"/>
  <c r="D41" i="73"/>
  <c r="D33" i="84"/>
  <c r="D15" i="83"/>
  <c r="D51" i="83"/>
  <c r="D54" i="68"/>
  <c r="D78" i="74"/>
  <c r="D54" i="73"/>
  <c r="D51" i="84"/>
  <c r="F12" i="68"/>
  <c r="M66" i="66"/>
  <c r="M66" i="69" s="1"/>
  <c r="AB211" i="60"/>
  <c r="Z211" i="60"/>
  <c r="AA211" i="60"/>
  <c r="V211" i="60"/>
  <c r="Y211" i="60"/>
  <c r="U211" i="60"/>
  <c r="W211" i="60"/>
  <c r="X211" i="60"/>
  <c r="K71" i="67"/>
  <c r="AA95" i="42"/>
  <c r="AA67" i="42"/>
  <c r="AC98" i="36"/>
  <c r="AD60" i="36"/>
  <c r="AD137" i="36" s="1"/>
  <c r="Z72" i="42"/>
  <c r="Z100" i="42"/>
  <c r="AA101" i="36"/>
  <c r="AB63" i="36"/>
  <c r="AB140" i="36" s="1"/>
  <c r="AB99" i="36"/>
  <c r="AC61" i="36"/>
  <c r="AC138" i="36" s="1"/>
  <c r="AA97" i="42"/>
  <c r="AA69" i="42"/>
  <c r="AB102" i="36"/>
  <c r="AC64" i="36"/>
  <c r="AC141" i="36" s="1"/>
  <c r="Z94" i="42"/>
  <c r="Z66" i="42"/>
  <c r="Z68" i="42"/>
  <c r="Z96" i="42"/>
  <c r="AA100" i="36"/>
  <c r="AB62" i="36"/>
  <c r="AB93" i="36"/>
  <c r="AC55" i="36"/>
  <c r="AC132" i="36" s="1"/>
  <c r="AC99" i="42"/>
  <c r="AC71" i="42"/>
  <c r="AI97" i="36"/>
  <c r="AJ59" i="36"/>
  <c r="AJ136" i="36" s="1"/>
  <c r="Z98" i="42"/>
  <c r="Z70" i="42"/>
  <c r="AJ53" i="36"/>
  <c r="AJ130" i="36" s="1"/>
  <c r="AI91" i="36"/>
  <c r="AI96" i="36"/>
  <c r="AJ58" i="36"/>
  <c r="AJ135" i="36" s="1"/>
  <c r="AL92" i="36"/>
  <c r="AC90" i="36"/>
  <c r="AD52" i="36"/>
  <c r="C93" i="84"/>
  <c r="C96" i="84" s="1"/>
  <c r="M87" i="86"/>
  <c r="M89" i="86" s="1"/>
  <c r="C96" i="79"/>
  <c r="C63" i="79"/>
  <c r="H212" i="60" s="1"/>
  <c r="AJ94" i="36"/>
  <c r="AK56" i="36"/>
  <c r="AK133" i="36" s="1"/>
  <c r="M166" i="72"/>
  <c r="S166" i="72" s="1"/>
  <c r="M165" i="72"/>
  <c r="S165" i="72" s="1"/>
  <c r="M164" i="72"/>
  <c r="M167" i="72"/>
  <c r="S167" i="72" s="1"/>
  <c r="Z208" i="60"/>
  <c r="V208" i="60"/>
  <c r="Y208" i="60"/>
  <c r="U208" i="60"/>
  <c r="AB208" i="60"/>
  <c r="X208" i="60"/>
  <c r="AA208" i="60"/>
  <c r="W208" i="60"/>
  <c r="O63" i="85" l="1"/>
  <c r="N48" i="86"/>
  <c r="M28" i="86"/>
  <c r="L71" i="67"/>
  <c r="O41" i="86"/>
  <c r="L71" i="63"/>
  <c r="O42" i="86"/>
  <c r="M22" i="86"/>
  <c r="L71" i="66"/>
  <c r="O15" i="86"/>
  <c r="O19" i="86" s="1"/>
  <c r="N22" i="86"/>
  <c r="J38" i="72"/>
  <c r="K71" i="69"/>
  <c r="S34" i="72"/>
  <c r="S35" i="72"/>
  <c r="I71" i="69"/>
  <c r="C33" i="83"/>
  <c r="C41" i="68"/>
  <c r="C41" i="83" s="1"/>
  <c r="M60" i="86"/>
  <c r="C91" i="68"/>
  <c r="AA104" i="36"/>
  <c r="AA106" i="36" s="1"/>
  <c r="AB66" i="36"/>
  <c r="AB139" i="36"/>
  <c r="AB144" i="36" s="1"/>
  <c r="AB146" i="36" s="1"/>
  <c r="Z102" i="42"/>
  <c r="Z104" i="42" s="1"/>
  <c r="Z74" i="42"/>
  <c r="Z76" i="42" s="1"/>
  <c r="AE11" i="42"/>
  <c r="AE103" i="42" s="1"/>
  <c r="AD75" i="42"/>
  <c r="AI48" i="42"/>
  <c r="AD105" i="36"/>
  <c r="AE11" i="36"/>
  <c r="AE145" i="36" s="1"/>
  <c r="AL95" i="36"/>
  <c r="E15" i="84"/>
  <c r="F19" i="68"/>
  <c r="D16" i="72" s="1" a="1"/>
  <c r="F15" i="68"/>
  <c r="F81" i="68"/>
  <c r="F51" i="68"/>
  <c r="F33" i="68"/>
  <c r="F12" i="83"/>
  <c r="D54" i="83"/>
  <c r="F33" i="73"/>
  <c r="F15" i="73"/>
  <c r="F15" i="84" s="1"/>
  <c r="F81" i="73"/>
  <c r="F81" i="84" s="1"/>
  <c r="P77" i="86" s="1"/>
  <c r="F51" i="73"/>
  <c r="F12" i="84"/>
  <c r="F19" i="73"/>
  <c r="F81" i="74"/>
  <c r="F19" i="74"/>
  <c r="F15" i="74"/>
  <c r="H341" i="72"/>
  <c r="D345" i="72"/>
  <c r="I341" i="72"/>
  <c r="I345" i="72" s="1"/>
  <c r="F90" i="74" s="1"/>
  <c r="E19" i="83"/>
  <c r="E19" i="84"/>
  <c r="D54" i="84"/>
  <c r="D93" i="73"/>
  <c r="D96" i="73" s="1"/>
  <c r="D91" i="84"/>
  <c r="M67" i="67"/>
  <c r="L67" i="69"/>
  <c r="L70" i="69"/>
  <c r="L71" i="69" s="1"/>
  <c r="M71" i="63"/>
  <c r="E41" i="68"/>
  <c r="E33" i="83"/>
  <c r="E51" i="83"/>
  <c r="E54" i="68"/>
  <c r="E54" i="83" s="1"/>
  <c r="E41" i="73"/>
  <c r="E41" i="84" s="1"/>
  <c r="E33" i="84"/>
  <c r="E78" i="79"/>
  <c r="M193" i="72" a="1"/>
  <c r="D93" i="68"/>
  <c r="D96" i="68" s="1"/>
  <c r="D91" i="83"/>
  <c r="E54" i="73"/>
  <c r="E54" i="84" s="1"/>
  <c r="E51" i="84"/>
  <c r="M67" i="66"/>
  <c r="M70" i="66"/>
  <c r="M109" i="72"/>
  <c r="D41" i="84"/>
  <c r="D78" i="73"/>
  <c r="D78" i="84" s="1"/>
  <c r="M70" i="69"/>
  <c r="M67" i="62"/>
  <c r="M70" i="62"/>
  <c r="L70" i="70"/>
  <c r="L71" i="70" s="1"/>
  <c r="L67" i="70"/>
  <c r="E81" i="84"/>
  <c r="O77" i="86" s="1"/>
  <c r="D78" i="68"/>
  <c r="D78" i="83" s="1"/>
  <c r="AK59" i="36"/>
  <c r="AK136" i="36" s="1"/>
  <c r="AJ97" i="36"/>
  <c r="AA96" i="42"/>
  <c r="AA68" i="42"/>
  <c r="AB101" i="36"/>
  <c r="AC63" i="36"/>
  <c r="AC140" i="36" s="1"/>
  <c r="AA100" i="42"/>
  <c r="AA72" i="42"/>
  <c r="AB95" i="42"/>
  <c r="AB67" i="42"/>
  <c r="AA98" i="42"/>
  <c r="AA70" i="42"/>
  <c r="AC93" i="36"/>
  <c r="AD55" i="36"/>
  <c r="AD132" i="36" s="1"/>
  <c r="AB100" i="36"/>
  <c r="AC62" i="36"/>
  <c r="AC139" i="36" s="1"/>
  <c r="AD98" i="36"/>
  <c r="AE60" i="36"/>
  <c r="AE137" i="36" s="1"/>
  <c r="AD71" i="42"/>
  <c r="AD99" i="42"/>
  <c r="AA94" i="42"/>
  <c r="AA66" i="42"/>
  <c r="AC99" i="36"/>
  <c r="AD61" i="36"/>
  <c r="AD138" i="36" s="1"/>
  <c r="Y212" i="60"/>
  <c r="W212" i="60"/>
  <c r="AB212" i="60"/>
  <c r="AA212" i="60"/>
  <c r="X212" i="60"/>
  <c r="U212" i="60"/>
  <c r="Z212" i="60"/>
  <c r="V212" i="60"/>
  <c r="AC102" i="36"/>
  <c r="AD64" i="36"/>
  <c r="AD141" i="36" s="1"/>
  <c r="AB97" i="42"/>
  <c r="AB69" i="42"/>
  <c r="AK94" i="36"/>
  <c r="AL56" i="36"/>
  <c r="AL133" i="36" s="1"/>
  <c r="AD90" i="36"/>
  <c r="AE52" i="36"/>
  <c r="C78" i="79"/>
  <c r="C78" i="84" s="1"/>
  <c r="M341" i="72" a="1"/>
  <c r="C63" i="84"/>
  <c r="AJ96" i="36"/>
  <c r="AK58" i="36"/>
  <c r="AK135" i="36" s="1"/>
  <c r="AJ91" i="36"/>
  <c r="AK53" i="36"/>
  <c r="AK130" i="36" s="1"/>
  <c r="M168" i="72"/>
  <c r="R164" i="72"/>
  <c r="R168" i="72" s="1"/>
  <c r="F90" i="73" s="1"/>
  <c r="Q164" i="72"/>
  <c r="Q168" i="72" s="1"/>
  <c r="AC144" i="36" l="1"/>
  <c r="AC146" i="36" s="1"/>
  <c r="M71" i="67"/>
  <c r="P45" i="86"/>
  <c r="O45" i="86"/>
  <c r="M71" i="62"/>
  <c r="P16" i="86"/>
  <c r="O28" i="86"/>
  <c r="O22" i="86"/>
  <c r="M71" i="66"/>
  <c r="P15" i="86"/>
  <c r="S38" i="72"/>
  <c r="C91" i="83"/>
  <c r="C93" i="68"/>
  <c r="AA102" i="42"/>
  <c r="AB104" i="36"/>
  <c r="AB106" i="36" s="1"/>
  <c r="AA74" i="42"/>
  <c r="AA76" i="42" s="1"/>
  <c r="AF11" i="42"/>
  <c r="AF103" i="42" s="1"/>
  <c r="AE75" i="42"/>
  <c r="AK48" i="42"/>
  <c r="AJ48" i="42"/>
  <c r="AE105" i="36"/>
  <c r="AF11" i="36"/>
  <c r="AF145" i="36" s="1"/>
  <c r="AC66" i="36"/>
  <c r="F15" i="83"/>
  <c r="M71" i="69"/>
  <c r="E78" i="68"/>
  <c r="E78" i="83" s="1"/>
  <c r="D93" i="83"/>
  <c r="D96" i="83" s="1"/>
  <c r="N70" i="86"/>
  <c r="N72" i="86" s="1"/>
  <c r="M194" i="72"/>
  <c r="R194" i="72" s="1"/>
  <c r="R197" i="72" s="1"/>
  <c r="F82" i="79" s="1"/>
  <c r="M193" i="72"/>
  <c r="M196" i="72"/>
  <c r="S196" i="72" s="1"/>
  <c r="M195" i="72"/>
  <c r="S195" i="72" s="1"/>
  <c r="E78" i="73"/>
  <c r="E78" i="84" s="1"/>
  <c r="F78" i="74"/>
  <c r="D193" i="72" a="1"/>
  <c r="D18" i="72"/>
  <c r="J18" i="72" s="1"/>
  <c r="D17" i="72"/>
  <c r="I17" i="72" s="1"/>
  <c r="I20" i="72" s="1"/>
  <c r="F82" i="68" s="1"/>
  <c r="D16" i="72"/>
  <c r="D19" i="72"/>
  <c r="J19" i="72" s="1"/>
  <c r="M67" i="70"/>
  <c r="M70" i="70"/>
  <c r="M71" i="70" s="1"/>
  <c r="F19" i="84"/>
  <c r="M16" i="72" a="1"/>
  <c r="F33" i="83"/>
  <c r="F41" i="68"/>
  <c r="F41" i="83" s="1"/>
  <c r="F19" i="83"/>
  <c r="O68" i="85"/>
  <c r="O82" i="85" s="1"/>
  <c r="O67" i="85"/>
  <c r="E41" i="83"/>
  <c r="M67" i="69"/>
  <c r="F41" i="73"/>
  <c r="F33" i="84"/>
  <c r="F51" i="83"/>
  <c r="F54" i="68"/>
  <c r="F54" i="83" s="1"/>
  <c r="M111" i="72"/>
  <c r="M117" i="72" s="1"/>
  <c r="S109" i="72"/>
  <c r="S111" i="72" s="1"/>
  <c r="S117" i="72" s="1"/>
  <c r="N87" i="86"/>
  <c r="N89" i="86" s="1"/>
  <c r="D93" i="84"/>
  <c r="D96" i="84" s="1"/>
  <c r="H345" i="72"/>
  <c r="E90" i="74" s="1"/>
  <c r="J341" i="72"/>
  <c r="J345" i="72" s="1"/>
  <c r="F54" i="73"/>
  <c r="F54" i="84" s="1"/>
  <c r="F51" i="84"/>
  <c r="F81" i="83"/>
  <c r="P60" i="86" s="1"/>
  <c r="AC101" i="36"/>
  <c r="AD63" i="36"/>
  <c r="AD140" i="36" s="1"/>
  <c r="AK97" i="36"/>
  <c r="AL59" i="36"/>
  <c r="AL136" i="36" s="1"/>
  <c r="AD99" i="36"/>
  <c r="AE61" i="36"/>
  <c r="AE138" i="36" s="1"/>
  <c r="AC100" i="36"/>
  <c r="AD62" i="36"/>
  <c r="AD139" i="36" s="1"/>
  <c r="AB94" i="42"/>
  <c r="AB66" i="42"/>
  <c r="AE71" i="42"/>
  <c r="AE99" i="42"/>
  <c r="AB100" i="42"/>
  <c r="AB72" i="42"/>
  <c r="AA104" i="42"/>
  <c r="AD102" i="36"/>
  <c r="AE64" i="36"/>
  <c r="AE141" i="36" s="1"/>
  <c r="AB98" i="42"/>
  <c r="AB70" i="42"/>
  <c r="AC95" i="42"/>
  <c r="AC67" i="42"/>
  <c r="AC97" i="42"/>
  <c r="AC69" i="42"/>
  <c r="AE98" i="36"/>
  <c r="AF60" i="36"/>
  <c r="AF137" i="36" s="1"/>
  <c r="AD93" i="36"/>
  <c r="AE55" i="36"/>
  <c r="AE132" i="36" s="1"/>
  <c r="AB96" i="42"/>
  <c r="AB68" i="42"/>
  <c r="AK96" i="36"/>
  <c r="AL58" i="36"/>
  <c r="AL135" i="36" s="1"/>
  <c r="M341" i="72"/>
  <c r="M344" i="72"/>
  <c r="S344" i="72" s="1"/>
  <c r="M343" i="72"/>
  <c r="S343" i="72" s="1"/>
  <c r="M342" i="72"/>
  <c r="S342" i="72" s="1"/>
  <c r="AF52" i="36"/>
  <c r="AE90" i="36"/>
  <c r="AL94" i="36"/>
  <c r="AK91" i="36"/>
  <c r="AL53" i="36"/>
  <c r="AL130" i="36" s="1"/>
  <c r="E90" i="73"/>
  <c r="S164" i="72"/>
  <c r="S168" i="72" s="1"/>
  <c r="O48" i="86" l="1"/>
  <c r="AE45" i="86"/>
  <c r="P19" i="86"/>
  <c r="P48" i="86"/>
  <c r="AC104" i="36"/>
  <c r="AC106" i="36" s="1"/>
  <c r="C96" i="68"/>
  <c r="C63" i="68"/>
  <c r="C93" i="83"/>
  <c r="C96" i="83" s="1"/>
  <c r="M70" i="86"/>
  <c r="M72" i="86" s="1"/>
  <c r="S197" i="72"/>
  <c r="AD144" i="36"/>
  <c r="AD146" i="36" s="1"/>
  <c r="AB102" i="42"/>
  <c r="AB104" i="42" s="1"/>
  <c r="AB74" i="42"/>
  <c r="AB76" i="42" s="1"/>
  <c r="AG11" i="42"/>
  <c r="AG103" i="42" s="1"/>
  <c r="AF75" i="42"/>
  <c r="AF105" i="36"/>
  <c r="AG11" i="36"/>
  <c r="AG145" i="36" s="1"/>
  <c r="AD66" i="36"/>
  <c r="D86" i="72" a="1"/>
  <c r="D86" i="72" s="1"/>
  <c r="D27" i="72" a="1"/>
  <c r="D30" i="72" s="1"/>
  <c r="J30" i="72" s="1"/>
  <c r="J20" i="72"/>
  <c r="O81" i="85"/>
  <c r="O90" i="85"/>
  <c r="M19" i="72"/>
  <c r="S19" i="72" s="1"/>
  <c r="M18" i="72"/>
  <c r="S18" i="72" s="1"/>
  <c r="M17" i="72"/>
  <c r="R17" i="72" s="1"/>
  <c r="R20" i="72" s="1"/>
  <c r="M16" i="72"/>
  <c r="F78" i="73"/>
  <c r="F78" i="84" s="1"/>
  <c r="D20" i="72"/>
  <c r="H16" i="72"/>
  <c r="H20" i="72" s="1"/>
  <c r="F78" i="68"/>
  <c r="F78" i="83" s="1"/>
  <c r="D194" i="72"/>
  <c r="I194" i="72" s="1"/>
  <c r="I197" i="72" s="1"/>
  <c r="D195" i="72"/>
  <c r="J195" i="72" s="1"/>
  <c r="D196" i="72"/>
  <c r="J196" i="72" s="1"/>
  <c r="D193" i="72"/>
  <c r="F41" i="84"/>
  <c r="M27" i="72" a="1"/>
  <c r="M86" i="72" a="1"/>
  <c r="Q193" i="72"/>
  <c r="Q197" i="72" s="1"/>
  <c r="E82" i="79" s="1"/>
  <c r="M197" i="72"/>
  <c r="AD67" i="42"/>
  <c r="AD95" i="42"/>
  <c r="AF99" i="42"/>
  <c r="AF71" i="42"/>
  <c r="AF55" i="36"/>
  <c r="AF132" i="36" s="1"/>
  <c r="AE93" i="36"/>
  <c r="AD97" i="42"/>
  <c r="AD69" i="42"/>
  <c r="AL97" i="36"/>
  <c r="AC96" i="42"/>
  <c r="AC68" i="42"/>
  <c r="AC100" i="42"/>
  <c r="AC72" i="42"/>
  <c r="AD100" i="36"/>
  <c r="AE62" i="36"/>
  <c r="AE139" i="36" s="1"/>
  <c r="AE102" i="36"/>
  <c r="AF64" i="36"/>
  <c r="AF141" i="36" s="1"/>
  <c r="AF98" i="36"/>
  <c r="AG60" i="36"/>
  <c r="AG137" i="36" s="1"/>
  <c r="AC98" i="42"/>
  <c r="AC70" i="42"/>
  <c r="AC94" i="42"/>
  <c r="AC66" i="42"/>
  <c r="AE99" i="36"/>
  <c r="AF61" i="36"/>
  <c r="AF138" i="36" s="1"/>
  <c r="AD101" i="36"/>
  <c r="AE63" i="36"/>
  <c r="AE140" i="36" s="1"/>
  <c r="AL96" i="36"/>
  <c r="AG52" i="36"/>
  <c r="AF90" i="36"/>
  <c r="AL91" i="36"/>
  <c r="M345" i="72"/>
  <c r="Q341" i="72"/>
  <c r="Q345" i="72" s="1"/>
  <c r="R341" i="72"/>
  <c r="R345" i="72" s="1"/>
  <c r="P28" i="86" l="1"/>
  <c r="AE19" i="86"/>
  <c r="P22" i="86"/>
  <c r="H207" i="60"/>
  <c r="C78" i="68"/>
  <c r="C78" i="83" s="1"/>
  <c r="D164" i="72" a="1"/>
  <c r="C63" i="83"/>
  <c r="AE144" i="36"/>
  <c r="AE146" i="36" s="1"/>
  <c r="AD104" i="36"/>
  <c r="AD106" i="36" s="1"/>
  <c r="AC102" i="42"/>
  <c r="AC104" i="42" s="1"/>
  <c r="AC74" i="42"/>
  <c r="AH11" i="42"/>
  <c r="AH103" i="42" s="1"/>
  <c r="AG75" i="42"/>
  <c r="AE66" i="36"/>
  <c r="AG105" i="36"/>
  <c r="AH11" i="36"/>
  <c r="AH145" i="36" s="1"/>
  <c r="O93" i="85"/>
  <c r="D27" i="72"/>
  <c r="H27" i="72" s="1"/>
  <c r="H31" i="72" s="1"/>
  <c r="E83" i="68" s="1"/>
  <c r="E83" i="83" s="1"/>
  <c r="O62" i="86" s="1"/>
  <c r="D28" i="72"/>
  <c r="I28" i="72" s="1"/>
  <c r="D87" i="72"/>
  <c r="J87" i="72" s="1"/>
  <c r="D29" i="72"/>
  <c r="J29" i="72" s="1"/>
  <c r="J31" i="72" s="1"/>
  <c r="D88" i="72"/>
  <c r="J88" i="72" s="1"/>
  <c r="M87" i="72"/>
  <c r="S87" i="72" s="1"/>
  <c r="M86" i="72"/>
  <c r="M88" i="72"/>
  <c r="S88" i="72" s="1"/>
  <c r="M27" i="72"/>
  <c r="M28" i="72"/>
  <c r="R28" i="72" s="1"/>
  <c r="M30" i="72"/>
  <c r="S30" i="72" s="1"/>
  <c r="M29" i="72"/>
  <c r="S29" i="72" s="1"/>
  <c r="J197" i="72"/>
  <c r="J355" i="72" s="1"/>
  <c r="Q16" i="72"/>
  <c r="Q20" i="72" s="1"/>
  <c r="M20" i="72"/>
  <c r="F82" i="74"/>
  <c r="I355" i="72"/>
  <c r="E82" i="68"/>
  <c r="I86" i="72"/>
  <c r="I89" i="72" s="1"/>
  <c r="F85" i="68" s="1"/>
  <c r="F85" i="83" s="1"/>
  <c r="P64" i="86" s="1"/>
  <c r="F82" i="73"/>
  <c r="M355" i="72"/>
  <c r="D197" i="72"/>
  <c r="D355" i="72" s="1"/>
  <c r="H193" i="72"/>
  <c r="H197" i="72" s="1"/>
  <c r="S20" i="72"/>
  <c r="AG99" i="42"/>
  <c r="AG71" i="42"/>
  <c r="AD66" i="42"/>
  <c r="AD94" i="42"/>
  <c r="AF102" i="36"/>
  <c r="AG64" i="36"/>
  <c r="AG141" i="36" s="1"/>
  <c r="AD68" i="42"/>
  <c r="AD96" i="42"/>
  <c r="AD72" i="42"/>
  <c r="AD100" i="42"/>
  <c r="AD70" i="42"/>
  <c r="AD98" i="42"/>
  <c r="AE100" i="36"/>
  <c r="AF62" i="36"/>
  <c r="AF139" i="36" s="1"/>
  <c r="AE101" i="36"/>
  <c r="AF63" i="36"/>
  <c r="AF140" i="36" s="1"/>
  <c r="AG98" i="36"/>
  <c r="AH60" i="36"/>
  <c r="AH137" i="36" s="1"/>
  <c r="AF99" i="36"/>
  <c r="AG61" i="36"/>
  <c r="AG138" i="36" s="1"/>
  <c r="AC76" i="42"/>
  <c r="AE97" i="42"/>
  <c r="AE69" i="42"/>
  <c r="AF93" i="36"/>
  <c r="AG55" i="36"/>
  <c r="AG132" i="36" s="1"/>
  <c r="AE67" i="42"/>
  <c r="AE95" i="42"/>
  <c r="S341" i="72"/>
  <c r="S345" i="72" s="1"/>
  <c r="S355" i="72" s="1"/>
  <c r="F90" i="79"/>
  <c r="R355" i="72"/>
  <c r="E90" i="79"/>
  <c r="Q355" i="72"/>
  <c r="AG90" i="36"/>
  <c r="AH52" i="36"/>
  <c r="O97" i="85" l="1"/>
  <c r="D166" i="72"/>
  <c r="J166" i="72" s="1"/>
  <c r="D164" i="72"/>
  <c r="D167" i="72"/>
  <c r="J167" i="72" s="1"/>
  <c r="D165" i="72"/>
  <c r="I165" i="72" s="1"/>
  <c r="J165" i="72" s="1"/>
  <c r="X207" i="60"/>
  <c r="AA207" i="60"/>
  <c r="Y207" i="60"/>
  <c r="Z207" i="60"/>
  <c r="AB207" i="60"/>
  <c r="W207" i="60"/>
  <c r="V207" i="60"/>
  <c r="U207" i="60"/>
  <c r="AF144" i="36"/>
  <c r="AF146" i="36" s="1"/>
  <c r="AD102" i="42"/>
  <c r="AD104" i="42" s="1"/>
  <c r="AD74" i="42"/>
  <c r="AD76" i="42" s="1"/>
  <c r="AI11" i="42"/>
  <c r="AI103" i="42" s="1"/>
  <c r="AH75" i="42"/>
  <c r="AF66" i="36"/>
  <c r="AE104" i="36"/>
  <c r="AE106" i="36" s="1"/>
  <c r="AH105" i="36"/>
  <c r="AI11" i="36"/>
  <c r="AI145" i="36" s="1"/>
  <c r="J89" i="72"/>
  <c r="D31" i="72"/>
  <c r="D89" i="72"/>
  <c r="S89" i="72"/>
  <c r="S31" i="72"/>
  <c r="F82" i="84"/>
  <c r="P78" i="86" s="1"/>
  <c r="F91" i="74"/>
  <c r="F93" i="74" s="1"/>
  <c r="F96" i="74" s="1"/>
  <c r="F82" i="83"/>
  <c r="P61" i="86" s="1"/>
  <c r="M89" i="72"/>
  <c r="R86" i="72"/>
  <c r="R89" i="72" s="1"/>
  <c r="F85" i="73" s="1"/>
  <c r="F85" i="84" s="1"/>
  <c r="P81" i="86" s="1"/>
  <c r="E82" i="74"/>
  <c r="E91" i="74" s="1"/>
  <c r="E93" i="74" s="1"/>
  <c r="E96" i="74" s="1"/>
  <c r="H355" i="72"/>
  <c r="E82" i="73"/>
  <c r="M31" i="72"/>
  <c r="Q27" i="72"/>
  <c r="Q31" i="72" s="1"/>
  <c r="E83" i="73" s="1"/>
  <c r="E83" i="84" s="1"/>
  <c r="O79" i="86" s="1"/>
  <c r="I27" i="72"/>
  <c r="I31" i="72" s="1"/>
  <c r="AE96" i="42"/>
  <c r="AE68" i="42"/>
  <c r="AH99" i="42"/>
  <c r="AH71" i="42"/>
  <c r="AF97" i="42"/>
  <c r="AF69" i="42"/>
  <c r="AE70" i="42"/>
  <c r="AE98" i="42"/>
  <c r="AE66" i="42"/>
  <c r="AE94" i="42"/>
  <c r="AF101" i="36"/>
  <c r="AG63" i="36"/>
  <c r="AG140" i="36" s="1"/>
  <c r="AH98" i="36"/>
  <c r="AI60" i="36"/>
  <c r="AI137" i="36" s="1"/>
  <c r="AF100" i="36"/>
  <c r="AF104" i="36" s="1"/>
  <c r="AF106" i="36" s="1"/>
  <c r="AG62" i="36"/>
  <c r="AG139" i="36" s="1"/>
  <c r="AG144" i="36" s="1"/>
  <c r="AG146" i="36" s="1"/>
  <c r="AE100" i="42"/>
  <c r="AE72" i="42"/>
  <c r="AG102" i="36"/>
  <c r="AH64" i="36"/>
  <c r="AH141" i="36" s="1"/>
  <c r="AF95" i="42"/>
  <c r="AF67" i="42"/>
  <c r="AG93" i="36"/>
  <c r="AH55" i="36"/>
  <c r="AH132" i="36" s="1"/>
  <c r="AG99" i="36"/>
  <c r="AH61" i="36"/>
  <c r="AH138" i="36" s="1"/>
  <c r="E91" i="79"/>
  <c r="E90" i="84"/>
  <c r="O86" i="86" s="1"/>
  <c r="F91" i="79"/>
  <c r="F90" i="84"/>
  <c r="P86" i="86" s="1"/>
  <c r="AH90" i="36"/>
  <c r="AI52" i="36"/>
  <c r="P95" i="85" l="1"/>
  <c r="O71" i="85"/>
  <c r="O73" i="85" s="1"/>
  <c r="H164" i="72"/>
  <c r="I164" i="72"/>
  <c r="I168" i="72" s="1"/>
  <c r="F90" i="68" s="1"/>
  <c r="F90" i="83" s="1"/>
  <c r="P69" i="86" s="1"/>
  <c r="D168" i="72"/>
  <c r="D178" i="72" s="1"/>
  <c r="AE102" i="42"/>
  <c r="AE104" i="42" s="1"/>
  <c r="AE74" i="42"/>
  <c r="AE76" i="42" s="1"/>
  <c r="AJ11" i="42"/>
  <c r="AJ103" i="42" s="1"/>
  <c r="AI75" i="42"/>
  <c r="AG66" i="36"/>
  <c r="AI105" i="36"/>
  <c r="AJ11" i="36"/>
  <c r="AJ145" i="36" s="1"/>
  <c r="S178" i="72"/>
  <c r="M178" i="72"/>
  <c r="F83" i="68"/>
  <c r="R27" i="72"/>
  <c r="R31" i="72" s="1"/>
  <c r="Q178" i="72"/>
  <c r="E91" i="73"/>
  <c r="E93" i="73" s="1"/>
  <c r="E96" i="73" s="1"/>
  <c r="E82" i="84"/>
  <c r="O78" i="86" s="1"/>
  <c r="E82" i="83"/>
  <c r="O61" i="86" s="1"/>
  <c r="AF100" i="42"/>
  <c r="AF72" i="42"/>
  <c r="AG100" i="36"/>
  <c r="AH62" i="36"/>
  <c r="AH139" i="36" s="1"/>
  <c r="AF94" i="42"/>
  <c r="AF66" i="42"/>
  <c r="AF96" i="42"/>
  <c r="AF68" i="42"/>
  <c r="AF98" i="42"/>
  <c r="AF70" i="42"/>
  <c r="AH93" i="36"/>
  <c r="AI55" i="36"/>
  <c r="AI132" i="36" s="1"/>
  <c r="AG95" i="42"/>
  <c r="AG67" i="42"/>
  <c r="AH102" i="36"/>
  <c r="AI64" i="36"/>
  <c r="AI141" i="36" s="1"/>
  <c r="AI98" i="36"/>
  <c r="AJ60" i="36"/>
  <c r="AJ137" i="36" s="1"/>
  <c r="AG97" i="42"/>
  <c r="AG69" i="42"/>
  <c r="AI99" i="42"/>
  <c r="AI71" i="42"/>
  <c r="AH99" i="36"/>
  <c r="AI61" i="36"/>
  <c r="AI138" i="36" s="1"/>
  <c r="AG101" i="36"/>
  <c r="AH63" i="36"/>
  <c r="AH140" i="36" s="1"/>
  <c r="E93" i="79"/>
  <c r="E96" i="79" s="1"/>
  <c r="AJ52" i="36"/>
  <c r="AI90" i="36"/>
  <c r="F93" i="79"/>
  <c r="F96" i="79" s="1"/>
  <c r="O77" i="85" l="1"/>
  <c r="O79" i="85" s="1"/>
  <c r="O84" i="85" s="1"/>
  <c r="O83" i="85"/>
  <c r="I178" i="72"/>
  <c r="H168" i="72"/>
  <c r="J164" i="72"/>
  <c r="J168" i="72" s="1"/>
  <c r="J178" i="72" s="1"/>
  <c r="AH144" i="36"/>
  <c r="AH146" i="36" s="1"/>
  <c r="AF102" i="42"/>
  <c r="AF104" i="42" s="1"/>
  <c r="AK11" i="42"/>
  <c r="AK75" i="42" s="1"/>
  <c r="AJ75" i="42"/>
  <c r="AF74" i="42"/>
  <c r="AF76" i="42" s="1"/>
  <c r="AG104" i="36"/>
  <c r="AG106" i="36" s="1"/>
  <c r="AJ105" i="36"/>
  <c r="AK11" i="36"/>
  <c r="AK145" i="36" s="1"/>
  <c r="AH66" i="36"/>
  <c r="E91" i="84"/>
  <c r="O87" i="86" s="1"/>
  <c r="O89" i="86" s="1"/>
  <c r="F83" i="83"/>
  <c r="P62" i="86" s="1"/>
  <c r="F91" i="68"/>
  <c r="F83" i="73"/>
  <c r="R178" i="72"/>
  <c r="AG100" i="42"/>
  <c r="AG72" i="42"/>
  <c r="AJ98" i="36"/>
  <c r="AK60" i="36"/>
  <c r="AK137" i="36" s="1"/>
  <c r="AG98" i="42"/>
  <c r="AG70" i="42"/>
  <c r="AH101" i="36"/>
  <c r="AI63" i="36"/>
  <c r="AI140" i="36" s="1"/>
  <c r="AH95" i="42"/>
  <c r="AH67" i="42"/>
  <c r="AH97" i="42"/>
  <c r="AH69" i="42"/>
  <c r="AI93" i="36"/>
  <c r="AJ55" i="36"/>
  <c r="AJ132" i="36" s="1"/>
  <c r="AG96" i="42"/>
  <c r="AG68" i="42"/>
  <c r="AJ99" i="42"/>
  <c r="AJ71" i="42"/>
  <c r="AI99" i="36"/>
  <c r="AJ61" i="36"/>
  <c r="AJ138" i="36" s="1"/>
  <c r="AI102" i="36"/>
  <c r="AJ64" i="36"/>
  <c r="AJ141" i="36" s="1"/>
  <c r="AG94" i="42"/>
  <c r="AG66" i="42"/>
  <c r="AH100" i="36"/>
  <c r="AI62" i="36"/>
  <c r="AI139" i="36" s="1"/>
  <c r="AI144" i="36" s="1"/>
  <c r="AI146" i="36" s="1"/>
  <c r="AK52" i="36"/>
  <c r="AJ90" i="36"/>
  <c r="E90" i="68" l="1"/>
  <c r="H178" i="72"/>
  <c r="AK103" i="42"/>
  <c r="E93" i="84"/>
  <c r="E96" i="84" s="1"/>
  <c r="AG74" i="42"/>
  <c r="AG102" i="42"/>
  <c r="AG104" i="42" s="1"/>
  <c r="AH104" i="36"/>
  <c r="AH106" i="36" s="1"/>
  <c r="AK105" i="36"/>
  <c r="AL11" i="36"/>
  <c r="AL145" i="36" s="1"/>
  <c r="AI66" i="36"/>
  <c r="F91" i="83"/>
  <c r="F93" i="68"/>
  <c r="F96" i="68" s="1"/>
  <c r="F83" i="84"/>
  <c r="P79" i="86" s="1"/>
  <c r="F91" i="73"/>
  <c r="Q63" i="85" s="1"/>
  <c r="AK71" i="42"/>
  <c r="AK99" i="42"/>
  <c r="AH94" i="42"/>
  <c r="AH66" i="42"/>
  <c r="AI97" i="42"/>
  <c r="AI69" i="42"/>
  <c r="AI101" i="36"/>
  <c r="AJ63" i="36"/>
  <c r="AJ140" i="36" s="1"/>
  <c r="AJ102" i="36"/>
  <c r="AK64" i="36"/>
  <c r="AK141" i="36" s="1"/>
  <c r="AH96" i="42"/>
  <c r="AH68" i="42"/>
  <c r="AK98" i="36"/>
  <c r="AL60" i="36"/>
  <c r="AL137" i="36" s="1"/>
  <c r="AI100" i="36"/>
  <c r="AI104" i="36" s="1"/>
  <c r="AI106" i="36" s="1"/>
  <c r="AJ62" i="36"/>
  <c r="AJ139" i="36" s="1"/>
  <c r="AJ144" i="36" s="1"/>
  <c r="AJ146" i="36" s="1"/>
  <c r="AG76" i="42"/>
  <c r="AJ99" i="36"/>
  <c r="AK61" i="36"/>
  <c r="AK138" i="36" s="1"/>
  <c r="AJ93" i="36"/>
  <c r="AK55" i="36"/>
  <c r="AK132" i="36" s="1"/>
  <c r="AI95" i="42"/>
  <c r="AI67" i="42"/>
  <c r="AH98" i="42"/>
  <c r="AH70" i="42"/>
  <c r="AH100" i="42"/>
  <c r="AH72" i="42"/>
  <c r="AK90" i="36"/>
  <c r="AL52" i="36"/>
  <c r="E90" i="83" l="1"/>
  <c r="O69" i="86" s="1"/>
  <c r="E91" i="68"/>
  <c r="P63" i="85" s="1"/>
  <c r="AH102" i="42"/>
  <c r="AH104" i="42" s="1"/>
  <c r="AH74" i="42"/>
  <c r="AH76" i="42" s="1"/>
  <c r="AJ66" i="36"/>
  <c r="AL105" i="36"/>
  <c r="F93" i="83"/>
  <c r="F96" i="83" s="1"/>
  <c r="P70" i="86"/>
  <c r="P72" i="86" s="1"/>
  <c r="F93" i="73"/>
  <c r="F96" i="73" s="1"/>
  <c r="F91" i="84"/>
  <c r="AJ101" i="36"/>
  <c r="AK63" i="36"/>
  <c r="AK140" i="36" s="1"/>
  <c r="AI94" i="42"/>
  <c r="AI66" i="42"/>
  <c r="AI98" i="42"/>
  <c r="AI70" i="42"/>
  <c r="AK99" i="36"/>
  <c r="AL61" i="36"/>
  <c r="AL138" i="36" s="1"/>
  <c r="AK102" i="36"/>
  <c r="AL64" i="36"/>
  <c r="AL141" i="36" s="1"/>
  <c r="AJ100" i="36"/>
  <c r="AK62" i="36"/>
  <c r="AK139" i="36" s="1"/>
  <c r="AJ95" i="42"/>
  <c r="AJ67" i="42"/>
  <c r="AI100" i="42"/>
  <c r="AI72" i="42"/>
  <c r="AK93" i="36"/>
  <c r="AL55" i="36"/>
  <c r="AL132" i="36" s="1"/>
  <c r="AL98" i="36"/>
  <c r="AI96" i="42"/>
  <c r="AI68" i="42"/>
  <c r="AJ69" i="42"/>
  <c r="AJ97" i="42"/>
  <c r="AL90" i="36"/>
  <c r="AK144" i="36" l="1"/>
  <c r="AK146" i="36" s="1"/>
  <c r="E91" i="83"/>
  <c r="E93" i="68"/>
  <c r="E96" i="68" s="1"/>
  <c r="AI102" i="42"/>
  <c r="AI104" i="42" s="1"/>
  <c r="AI74" i="42"/>
  <c r="AI76" i="42" s="1"/>
  <c r="AK66" i="36"/>
  <c r="AJ104" i="36"/>
  <c r="AJ106" i="36" s="1"/>
  <c r="Q68" i="85"/>
  <c r="Q82" i="85" s="1"/>
  <c r="Q67" i="85"/>
  <c r="F93" i="84"/>
  <c r="F96" i="84" s="1"/>
  <c r="P87" i="86"/>
  <c r="P89" i="86" s="1"/>
  <c r="AE89" i="86" s="1"/>
  <c r="AK69" i="42"/>
  <c r="AK97" i="42"/>
  <c r="AK67" i="42"/>
  <c r="AK95" i="42"/>
  <c r="AJ100" i="42"/>
  <c r="AJ72" i="42"/>
  <c r="AL102" i="36"/>
  <c r="AJ94" i="42"/>
  <c r="AJ66" i="42"/>
  <c r="AK101" i="36"/>
  <c r="AL63" i="36"/>
  <c r="AL140" i="36" s="1"/>
  <c r="AL93" i="36"/>
  <c r="AJ98" i="42"/>
  <c r="AJ70" i="42"/>
  <c r="AJ96" i="42"/>
  <c r="AJ68" i="42"/>
  <c r="AK100" i="36"/>
  <c r="AL62" i="36"/>
  <c r="AL139" i="36" s="1"/>
  <c r="AL99" i="36"/>
  <c r="AL144" i="36" l="1"/>
  <c r="AL146" i="36" s="1"/>
  <c r="P68" i="85"/>
  <c r="P82" i="85" s="1"/>
  <c r="P67" i="85"/>
  <c r="P100" i="85" s="1"/>
  <c r="O70" i="86"/>
  <c r="O72" i="86" s="1"/>
  <c r="AE72" i="86" s="1"/>
  <c r="E93" i="83"/>
  <c r="E96" i="83" s="1"/>
  <c r="AJ102" i="42"/>
  <c r="AJ104" i="42" s="1"/>
  <c r="AJ74" i="42"/>
  <c r="AJ76" i="42" s="1"/>
  <c r="AL66" i="36"/>
  <c r="AK104" i="36"/>
  <c r="AK106" i="36" s="1"/>
  <c r="Q81" i="85"/>
  <c r="Q90" i="85"/>
  <c r="Q93" i="85" s="1"/>
  <c r="AL100" i="36"/>
  <c r="AK94" i="42"/>
  <c r="AK66" i="42"/>
  <c r="AK96" i="42"/>
  <c r="AK68" i="42"/>
  <c r="AK98" i="42"/>
  <c r="AK70" i="42"/>
  <c r="AL101" i="36"/>
  <c r="AK100" i="42"/>
  <c r="AK72" i="42"/>
  <c r="P90" i="85" l="1"/>
  <c r="P101" i="85" s="1"/>
  <c r="P81" i="85"/>
  <c r="AK102" i="42"/>
  <c r="AK104" i="42" s="1"/>
  <c r="AK74" i="42"/>
  <c r="AK76" i="42" s="1"/>
  <c r="AL104" i="36"/>
  <c r="AL106" i="36" s="1"/>
  <c r="P93" i="85" l="1"/>
  <c r="P97" i="85" s="1"/>
  <c r="N290" i="87"/>
  <c r="M290" i="87"/>
  <c r="L290" i="87"/>
  <c r="J290" i="87"/>
  <c r="K290" i="87"/>
  <c r="Q95" i="85" l="1"/>
  <c r="P71" i="85"/>
  <c r="P73" i="85" s="1"/>
  <c r="Q100" i="85" l="1"/>
  <c r="Q101" i="85"/>
  <c r="Q97" i="85"/>
  <c r="Q71" i="85" s="1"/>
  <c r="Q73" i="85" s="1"/>
  <c r="P83" i="85"/>
  <c r="P77" i="85"/>
  <c r="P79" i="85" s="1"/>
  <c r="P84" i="85" s="1"/>
  <c r="Q77" i="85" l="1"/>
  <c r="Q79" i="85" s="1"/>
  <c r="Q84" i="85" s="1"/>
  <c r="Q83" i="85"/>
  <c r="BJ647" i="88"/>
  <c r="BJ648" i="88" s="1"/>
  <c r="BJ654" i="88" s="1"/>
  <c r="BI647" i="88"/>
  <c r="BI648" i="88" s="1"/>
  <c r="BI654" i="88" s="1"/>
  <c r="BH647" i="88"/>
  <c r="BH648" i="88" s="1"/>
  <c r="BH654" i="88" s="1"/>
  <c r="BG647" i="88"/>
  <c r="BG648" i="88" s="1"/>
  <c r="BG654" i="88" s="1"/>
  <c r="BF647" i="88"/>
  <c r="BF648" i="88" s="1"/>
  <c r="BF654" i="88" s="1"/>
  <c r="BJ345" i="88"/>
  <c r="BI345" i="88"/>
  <c r="BH345" i="88"/>
  <c r="BG345" i="88"/>
  <c r="BF345" i="88"/>
  <c r="BJ994" i="88"/>
  <c r="BJ995" i="88" s="1"/>
  <c r="BJ1001" i="88" s="1"/>
  <c r="BI994" i="88"/>
  <c r="BI995" i="88" s="1"/>
  <c r="BI1001" i="88" s="1"/>
  <c r="BH994" i="88"/>
  <c r="BH995" i="88" s="1"/>
  <c r="BH1001" i="88" s="1"/>
  <c r="BG994" i="88"/>
  <c r="BG995" i="88" s="1"/>
  <c r="BG1001" i="88" s="1"/>
  <c r="BF995" i="88"/>
  <c r="BF1001" i="88" s="1"/>
  <c r="BG655" i="88" l="1"/>
  <c r="BJ655" i="88"/>
  <c r="BH655" i="88"/>
  <c r="BF655" i="88"/>
  <c r="BF1002" i="88"/>
  <c r="Z72" i="34" s="1"/>
  <c r="BH1002" i="88"/>
  <c r="AB72" i="34" s="1"/>
  <c r="BI1002" i="88"/>
  <c r="AC72" i="34" s="1"/>
  <c r="BG1002" i="88"/>
  <c r="AA72" i="34" s="1"/>
  <c r="BJ1002" i="88"/>
  <c r="AD72" i="34" s="1"/>
  <c r="BI655" i="88"/>
  <c r="Z84" i="34" l="1"/>
  <c r="Z86" i="34" s="1"/>
  <c r="J310" i="87" s="1"/>
  <c r="Z74" i="34"/>
  <c r="AD74" i="34"/>
  <c r="AD84" i="34"/>
  <c r="AD86" i="34" s="1"/>
  <c r="N310" i="87" s="1"/>
  <c r="N336" i="87" s="1"/>
  <c r="N338" i="87" s="1"/>
  <c r="AA74" i="34"/>
  <c r="AA84" i="34"/>
  <c r="AA86" i="34" s="1"/>
  <c r="K310" i="87" s="1"/>
  <c r="K336" i="87" s="1"/>
  <c r="K338" i="87" s="1"/>
  <c r="AC74" i="34"/>
  <c r="AC84" i="34"/>
  <c r="AC86" i="34" s="1"/>
  <c r="M310" i="87" s="1"/>
  <c r="M336" i="87" s="1"/>
  <c r="M338" i="87" s="1"/>
  <c r="AB74" i="34"/>
  <c r="AB84" i="34"/>
  <c r="AB86" i="34" s="1"/>
  <c r="L310" i="87" s="1"/>
  <c r="L336" i="87" s="1"/>
  <c r="L338" i="87" s="1"/>
  <c r="J336" i="87" l="1"/>
  <c r="J338" i="87" s="1"/>
  <c r="AB310" i="87"/>
</calcChain>
</file>

<file path=xl/sharedStrings.xml><?xml version="1.0" encoding="utf-8"?>
<sst xmlns="http://schemas.openxmlformats.org/spreadsheetml/2006/main" count="10597" uniqueCount="1266">
  <si>
    <t>ANSP ERT</t>
  </si>
  <si>
    <t>ANSP TRM</t>
  </si>
  <si>
    <t>MET ERT</t>
  </si>
  <si>
    <t>MET TRM</t>
  </si>
  <si>
    <t>Misc Items</t>
  </si>
  <si>
    <t>MET</t>
  </si>
  <si>
    <t>Summary&gt;&gt;</t>
  </si>
  <si>
    <t>Check (Nominal &amp; Base)</t>
  </si>
  <si>
    <t>Cost Summary</t>
  </si>
  <si>
    <t>Item</t>
  </si>
  <si>
    <t>Units</t>
  </si>
  <si>
    <t>Service Units Scenario:</t>
  </si>
  <si>
    <t>Total</t>
  </si>
  <si>
    <t>ANSP</t>
  </si>
  <si>
    <t>NSA</t>
  </si>
  <si>
    <t>UR Year:</t>
  </si>
  <si>
    <t>2020/21</t>
  </si>
  <si>
    <t>Price Base:</t>
  </si>
  <si>
    <t>Actual</t>
  </si>
  <si>
    <t>Forecast</t>
  </si>
  <si>
    <t>Index:</t>
  </si>
  <si>
    <t>Traffic</t>
  </si>
  <si>
    <t>Service Units</t>
  </si>
  <si>
    <t>En Route</t>
  </si>
  <si>
    <t>Terminal</t>
  </si>
  <si>
    <t>Determined Costs</t>
  </si>
  <si>
    <t>Entity:</t>
  </si>
  <si>
    <t>Real</t>
  </si>
  <si>
    <t>Staff</t>
  </si>
  <si>
    <t>€'000</t>
  </si>
  <si>
    <t>Other Opex</t>
  </si>
  <si>
    <t>Depreciation</t>
  </si>
  <si>
    <t>Cost of capital</t>
  </si>
  <si>
    <t>Exceptional items</t>
  </si>
  <si>
    <t>ANSP Profitability &amp; Cash Flow</t>
  </si>
  <si>
    <t>Nominal</t>
  </si>
  <si>
    <t>Profitability</t>
  </si>
  <si>
    <t>Sensitivities</t>
  </si>
  <si>
    <t>Revenue</t>
  </si>
  <si>
    <t>Opex</t>
  </si>
  <si>
    <t>EBITDA</t>
  </si>
  <si>
    <t>EBIT</t>
  </si>
  <si>
    <t>Cost of Debt</t>
  </si>
  <si>
    <t>%</t>
  </si>
  <si>
    <t>Pre-Tax Profit</t>
  </si>
  <si>
    <t>Tax Rate</t>
  </si>
  <si>
    <t>Tax</t>
  </si>
  <si>
    <t>Net Income</t>
  </si>
  <si>
    <t>EBITDA Margin</t>
  </si>
  <si>
    <t>EBIT Margin</t>
  </si>
  <si>
    <t>Pre-tax profit</t>
  </si>
  <si>
    <t>Cash Flow</t>
  </si>
  <si>
    <t>CFO</t>
  </si>
  <si>
    <t>Capex</t>
  </si>
  <si>
    <t>FCF</t>
  </si>
  <si>
    <t>Opening Cash Position</t>
  </si>
  <si>
    <t>Year End Cash</t>
  </si>
  <si>
    <t>Debt/EBITDA</t>
  </si>
  <si>
    <t>Ratio</t>
  </si>
  <si>
    <t>CFO/Debt</t>
  </si>
  <si>
    <t>END</t>
  </si>
  <si>
    <t>ANSP Cost Comparison</t>
  </si>
  <si>
    <t>IAA Staff</t>
  </si>
  <si>
    <t>FTEs</t>
  </si>
  <si>
    <t>#</t>
  </si>
  <si>
    <t>Unit Cost</t>
  </si>
  <si>
    <t>€</t>
  </si>
  <si>
    <t>Total Cost</t>
  </si>
  <si>
    <t>CAR Staff</t>
  </si>
  <si>
    <t>Staff Comparison</t>
  </si>
  <si>
    <t>Total Difference</t>
  </si>
  <si>
    <t>Total % Difference</t>
  </si>
  <si>
    <t>IAA Other Opex</t>
  </si>
  <si>
    <t>CAR Other Opex</t>
  </si>
  <si>
    <t>Other Opex Comparison</t>
  </si>
  <si>
    <t>Capital Costs</t>
  </si>
  <si>
    <t>IAA Capex</t>
  </si>
  <si>
    <t>Capitalisations</t>
  </si>
  <si>
    <t>New Dublin Tower</t>
  </si>
  <si>
    <t>CEROC</t>
  </si>
  <si>
    <t>COOPANS</t>
  </si>
  <si>
    <t>RADAR Upgrades</t>
  </si>
  <si>
    <t>Emergency Air Situation Display System</t>
  </si>
  <si>
    <t>NAV Aids Replacement</t>
  </si>
  <si>
    <t>Plant &amp; Equipment upgrades</t>
  </si>
  <si>
    <t>Structural Upgrades</t>
  </si>
  <si>
    <t>Other RP3</t>
  </si>
  <si>
    <t>Pre-RP3</t>
  </si>
  <si>
    <t>CAR Capex</t>
  </si>
  <si>
    <t>Capex Comparison</t>
  </si>
  <si>
    <t>IAA Cost of Capital</t>
  </si>
  <si>
    <t>Cost of Equity (Pre-Tax)</t>
  </si>
  <si>
    <t>Gearing</t>
  </si>
  <si>
    <t>Cost of Equity (Weighted)</t>
  </si>
  <si>
    <t>Cost of Debt (Weighted)</t>
  </si>
  <si>
    <t>WACC</t>
  </si>
  <si>
    <t>Cost of Capital</t>
  </si>
  <si>
    <t>CAR Cost of Capital</t>
  </si>
  <si>
    <t>Aiming Up</t>
  </si>
  <si>
    <t>Cost of Capital Comparison</t>
  </si>
  <si>
    <t>Rates Summary</t>
  </si>
  <si>
    <t>Scenario:</t>
  </si>
  <si>
    <t>Base</t>
  </si>
  <si>
    <t>000s</t>
  </si>
  <si>
    <t xml:space="preserve">DUC </t>
  </si>
  <si>
    <t>Supervision</t>
  </si>
  <si>
    <t>DUC YoY</t>
  </si>
  <si>
    <t>Union-wide Target</t>
  </si>
  <si>
    <t>Ireland DUC</t>
  </si>
  <si>
    <t>Target DUC</t>
  </si>
  <si>
    <t>Unit Rate</t>
  </si>
  <si>
    <t>Determined cost</t>
  </si>
  <si>
    <t>Inflation</t>
  </si>
  <si>
    <t>TRS</t>
  </si>
  <si>
    <t>Cost Sharing</t>
  </si>
  <si>
    <t>Incentives</t>
  </si>
  <si>
    <t>Charges Modulation</t>
  </si>
  <si>
    <t>Other Revenue</t>
  </si>
  <si>
    <t>Cross-financing</t>
  </si>
  <si>
    <t>Temporary UR</t>
  </si>
  <si>
    <t>Period Start</t>
  </si>
  <si>
    <t>Cost Data</t>
  </si>
  <si>
    <t>Period End</t>
  </si>
  <si>
    <t>Assumption</t>
  </si>
  <si>
    <t>Year</t>
  </si>
  <si>
    <t>Period Counter</t>
  </si>
  <si>
    <t>RP#</t>
  </si>
  <si>
    <t>RP2</t>
  </si>
  <si>
    <t>RP3</t>
  </si>
  <si>
    <t>RP4</t>
  </si>
  <si>
    <t>RP5</t>
  </si>
  <si>
    <t>Sources</t>
  </si>
  <si>
    <t>Act./For.</t>
  </si>
  <si>
    <t>Source:</t>
  </si>
  <si>
    <t>Non-Staff Opex</t>
  </si>
  <si>
    <t>Reporting Tables (June 21)</t>
  </si>
  <si>
    <t>IAA BP (21Jul21)</t>
  </si>
  <si>
    <t>Staff Opex</t>
  </si>
  <si>
    <t>Capex &amp; Depreication</t>
  </si>
  <si>
    <t>20210506 RP3 Fixed Asset Schedule</t>
  </si>
  <si>
    <t>20210708 Response on Cost of Capital</t>
  </si>
  <si>
    <t>MET BP (30Jun21)</t>
  </si>
  <si>
    <t>Deflated from 2018</t>
  </si>
  <si>
    <t>NSA cost model LM 26072021</t>
  </si>
  <si>
    <t>Imf April 21</t>
  </si>
  <si>
    <t>Price Base</t>
  </si>
  <si>
    <t>CPI</t>
  </si>
  <si>
    <t>Index</t>
  </si>
  <si>
    <t>WACC CPI</t>
  </si>
  <si>
    <t>Scenario</t>
  </si>
  <si>
    <t>En-route</t>
  </si>
  <si>
    <t xml:space="preserve">Modulated </t>
  </si>
  <si>
    <t>Costs for exempted VFR flights</t>
  </si>
  <si>
    <t>€'000s</t>
  </si>
  <si>
    <t>DUC Target</t>
  </si>
  <si>
    <t>RP2 UR</t>
  </si>
  <si>
    <t xml:space="preserve">€ </t>
  </si>
  <si>
    <t>Lists</t>
  </si>
  <si>
    <t>+10%</t>
  </si>
  <si>
    <t>-10%</t>
  </si>
  <si>
    <t>ANSP&gt;&gt;</t>
  </si>
  <si>
    <t>Project Details&gt;&gt;</t>
  </si>
  <si>
    <t>(Expand)</t>
  </si>
  <si>
    <t>Months of Depreciation&gt;&gt;</t>
  </si>
  <si>
    <t>Price Base: Nominal</t>
  </si>
  <si>
    <t>Project</t>
  </si>
  <si>
    <t>Project Group</t>
  </si>
  <si>
    <t>Asset Code</t>
  </si>
  <si>
    <t>Life: Years</t>
  </si>
  <si>
    <t>Life: Months</t>
  </si>
  <si>
    <t>2020 Projects</t>
  </si>
  <si>
    <t>2021 Projects</t>
  </si>
  <si>
    <t>2022 Projects</t>
  </si>
  <si>
    <t>2023 Project</t>
  </si>
  <si>
    <t>2024 Projects</t>
  </si>
  <si>
    <t>% of Year</t>
  </si>
  <si>
    <t>En-Route %</t>
  </si>
  <si>
    <t>Terminal %</t>
  </si>
  <si>
    <t>Previous Periods</t>
  </si>
  <si>
    <t>Capitalised Assets</t>
  </si>
  <si>
    <t>Total (Incl. non-regulated)</t>
  </si>
  <si>
    <t>Closing RAB</t>
  </si>
  <si>
    <t>ENR</t>
  </si>
  <si>
    <t>TER</t>
  </si>
  <si>
    <t>Notional Assets</t>
  </si>
  <si>
    <t>Depreciated Cost of Capital</t>
  </si>
  <si>
    <t>Current Period</t>
  </si>
  <si>
    <t xml:space="preserve">Total ANSP </t>
  </si>
  <si>
    <t>Capex in year</t>
  </si>
  <si>
    <t>Capitalisation</t>
  </si>
  <si>
    <t>(Expand for 2020)</t>
  </si>
  <si>
    <t>1 Year %</t>
  </si>
  <si>
    <t>N004 - CEROC Buildings</t>
  </si>
  <si>
    <t>N0040001</t>
  </si>
  <si>
    <t>N004 - CEROC Network Servers</t>
  </si>
  <si>
    <t>N0040002</t>
  </si>
  <si>
    <t>N004 - CEROC ATC Systems</t>
  </si>
  <si>
    <t>N0040003</t>
  </si>
  <si>
    <t>N004 - CEROC Voice Comm System</t>
  </si>
  <si>
    <t>N0040004</t>
  </si>
  <si>
    <t>N004 - CEROC Reserve Voice Com System</t>
  </si>
  <si>
    <t>N0040005</t>
  </si>
  <si>
    <t>N004 CEROC Voice Comm Recorder</t>
  </si>
  <si>
    <t>N0040006</t>
  </si>
  <si>
    <t>N004 - CEROC PABX</t>
  </si>
  <si>
    <t>N0040007</t>
  </si>
  <si>
    <t>N004-CEROC Centralised Monitor Monitoring</t>
  </si>
  <si>
    <t>N0040008</t>
  </si>
  <si>
    <t>Q001-CEROC Servers Workstation</t>
  </si>
  <si>
    <t>Q0010007</t>
  </si>
  <si>
    <t>Q001-CEROC Network Replacement</t>
  </si>
  <si>
    <t>Q0010008</t>
  </si>
  <si>
    <t>Q007 Nokia MNATP CEROC</t>
  </si>
  <si>
    <t>Q0070001</t>
  </si>
  <si>
    <t>Q029 - CEROC IT Equipment</t>
  </si>
  <si>
    <t>Q0290001</t>
  </si>
  <si>
    <t>Q029 -CEROC  Photocopier</t>
  </si>
  <si>
    <t>Q0290002</t>
  </si>
  <si>
    <t>Rosslare VHF - Cabins &amp; Civils Q015</t>
  </si>
  <si>
    <t>q0150001</t>
  </si>
  <si>
    <t>Q001- Coopans Hardware network</t>
  </si>
  <si>
    <t>Coopans Hardware network</t>
  </si>
  <si>
    <t>Q0010006</t>
  </si>
  <si>
    <t>P009 - New South East VHF Site</t>
  </si>
  <si>
    <t>New South East VHF Site</t>
  </si>
  <si>
    <t>P0090001</t>
  </si>
  <si>
    <t>T024 - UPS System Woodcock</t>
  </si>
  <si>
    <t>UPS System</t>
  </si>
  <si>
    <t>T0240005</t>
  </si>
  <si>
    <t>T024 -UPS System Shannon Tower</t>
  </si>
  <si>
    <t>T0240007</t>
  </si>
  <si>
    <t>T024 -UPS System Shannon Radar</t>
  </si>
  <si>
    <t>T0240006</t>
  </si>
  <si>
    <t>T024 - UPS System Cork</t>
  </si>
  <si>
    <t>T0240008</t>
  </si>
  <si>
    <t>S025 MICROSOFT SQL SERVER - HQ</t>
  </si>
  <si>
    <t>IT Network</t>
  </si>
  <si>
    <t>S0250002</t>
  </si>
  <si>
    <t>S025 DATACENTRE LICENSES - HQ</t>
  </si>
  <si>
    <t>S0250004</t>
  </si>
  <si>
    <t>S025 SUPPORT VMWARE VS 7 - HQ</t>
  </si>
  <si>
    <t>S0250006</t>
  </si>
  <si>
    <t>S025 MICROSOFT SQL SERVER -BCY</t>
  </si>
  <si>
    <t>S0250003</t>
  </si>
  <si>
    <t>S025 DATACENTRE LICENSES - BCY</t>
  </si>
  <si>
    <t>S0250005</t>
  </si>
  <si>
    <t>S025 SUPPORT VMWARE VS 7 - BCY</t>
  </si>
  <si>
    <t>S0250007</t>
  </si>
  <si>
    <t>S024 - AGILE HPE ARUBA BCY</t>
  </si>
  <si>
    <t>AGILE HPE ARUBA</t>
  </si>
  <si>
    <t>S0240005</t>
  </si>
  <si>
    <t>S024 - AGILE HPE ARUBA DAP</t>
  </si>
  <si>
    <t>S0240009</t>
  </si>
  <si>
    <t>S024 - AGILE HPE ARUBA HQ</t>
  </si>
  <si>
    <t>S0240008</t>
  </si>
  <si>
    <t>S024 - AGILE HPE ARUBA SHN</t>
  </si>
  <si>
    <t>S0240006</t>
  </si>
  <si>
    <t>S024 - AGILE HPE ARUBA Cork</t>
  </si>
  <si>
    <t>S0240010</t>
  </si>
  <si>
    <t>N008 - RAPS-SMD SENSOR MONITOR &amp; Analysis</t>
  </si>
  <si>
    <t>RAPS-SMD SENSOR MONITOR &amp; Analysis</t>
  </si>
  <si>
    <t>N0080007</t>
  </si>
  <si>
    <t>T017 - OPTIPLEX5060 W20007783</t>
  </si>
  <si>
    <t>IT Equipment</t>
  </si>
  <si>
    <t>T0170203</t>
  </si>
  <si>
    <t>T017 - OPTIPLEX5060 W20007913</t>
  </si>
  <si>
    <t>T0170211</t>
  </si>
  <si>
    <t>T017 - TOSHIBA X20 W20008068</t>
  </si>
  <si>
    <t>T0170213</t>
  </si>
  <si>
    <t>T017 - TOSHIBA X20 W20008012</t>
  </si>
  <si>
    <t>T0170235</t>
  </si>
  <si>
    <t>T017 - HP G7 CORE W20008095</t>
  </si>
  <si>
    <t>T0170249</t>
  </si>
  <si>
    <t>T017 - TOSHIBA W20008013</t>
  </si>
  <si>
    <t>T0170258</t>
  </si>
  <si>
    <t>T017 - TOSHIBA W20008083</t>
  </si>
  <si>
    <t>T0170260</t>
  </si>
  <si>
    <t>T017 - TOSHIBA W20008068</t>
  </si>
  <si>
    <t>T0170261</t>
  </si>
  <si>
    <t>T017 - TOSHIBA W20008069</t>
  </si>
  <si>
    <t>T0170262</t>
  </si>
  <si>
    <t>T017 - TOSHIBA W20008081</t>
  </si>
  <si>
    <t>T0170273</t>
  </si>
  <si>
    <t>T017 - TOSHIBA W20008077</t>
  </si>
  <si>
    <t>T0170291</t>
  </si>
  <si>
    <t>T017 - W20008077</t>
  </si>
  <si>
    <t>T0170292</t>
  </si>
  <si>
    <t>T0170294</t>
  </si>
  <si>
    <t>T017 - OPTIPLEX5060 W20007867</t>
  </si>
  <si>
    <t>T0170205</t>
  </si>
  <si>
    <t>T017 - OPTIPLEX5060 W20007900</t>
  </si>
  <si>
    <t>T0170206</t>
  </si>
  <si>
    <t>T017 - OPTIPLEX5060 W20007906</t>
  </si>
  <si>
    <t>T0170209</t>
  </si>
  <si>
    <t>T017 - TOSHIBA X20 W20008070</t>
  </si>
  <si>
    <t>T0170215</t>
  </si>
  <si>
    <t>T017 - TOSHIBA X20 W20008085</t>
  </si>
  <si>
    <t>T0170226</t>
  </si>
  <si>
    <t>T017 - TOSHIBA X20 W20008008</t>
  </si>
  <si>
    <t>T0170231</t>
  </si>
  <si>
    <t>T017 - TOSHIBA X20 W20008009</t>
  </si>
  <si>
    <t>T0170232</t>
  </si>
  <si>
    <t>T017 - TOSHIBA X20 W20008011</t>
  </si>
  <si>
    <t>T0170234</t>
  </si>
  <si>
    <t>T017 - TOSHIBA X20 W20008014</t>
  </si>
  <si>
    <t>T0170236</t>
  </si>
  <si>
    <t>T017 - TOSHIBA X20 W20008015</t>
  </si>
  <si>
    <t>T0170237</t>
  </si>
  <si>
    <t>T017 - TOSHIBA X20 W20008020</t>
  </si>
  <si>
    <t>T0170242</t>
  </si>
  <si>
    <t>T017 - TOSHIBA X20 W20008023</t>
  </si>
  <si>
    <t>T0170245</t>
  </si>
  <si>
    <t>T017 - TOSHIBA X20 W20008024</t>
  </si>
  <si>
    <t>T0170246</t>
  </si>
  <si>
    <t>T017 - TOSHIBA X20 W20008025</t>
  </si>
  <si>
    <t>T0170247</t>
  </si>
  <si>
    <t>T017 - HP G7 CORE W20008096</t>
  </si>
  <si>
    <t>T0170248</t>
  </si>
  <si>
    <t>T017 - HP G7 CORE W20008098</t>
  </si>
  <si>
    <t>T0170250</t>
  </si>
  <si>
    <t>T017 - LAPTOP W20007815</t>
  </si>
  <si>
    <t>T0170253</t>
  </si>
  <si>
    <t>T017 - OPTIPLEX5060 W20007883</t>
  </si>
  <si>
    <t>T0170254</t>
  </si>
  <si>
    <t>T017 - OPTIPLEX5060 W20007917</t>
  </si>
  <si>
    <t>T0170256</t>
  </si>
  <si>
    <t>T017 - TOSHIBA W20008070</t>
  </si>
  <si>
    <t>T0170263</t>
  </si>
  <si>
    <t>T017 - TOSHIBA W20008085</t>
  </si>
  <si>
    <t>T0170274</t>
  </si>
  <si>
    <t>T017 - HP250G7 CORE W20008093</t>
  </si>
  <si>
    <t>T0170278</t>
  </si>
  <si>
    <t>T017 - HP250G7 CORE W20008097</t>
  </si>
  <si>
    <t>T0170280</t>
  </si>
  <si>
    <t>T017 - HP250G7 CORE W20008100</t>
  </si>
  <si>
    <t>T0170281</t>
  </si>
  <si>
    <t>T017 - HP250G7 CORE W20008091</t>
  </si>
  <si>
    <t>T0170282</t>
  </si>
  <si>
    <t>T017 - HP250G7 CORE W20008096</t>
  </si>
  <si>
    <t>T0170283</t>
  </si>
  <si>
    <t>T017 - HP250G7 COREW20008098</t>
  </si>
  <si>
    <t>T0170284</t>
  </si>
  <si>
    <t>T017 - OPTIPLEX5060 W20007909</t>
  </si>
  <si>
    <t>T0170290</t>
  </si>
  <si>
    <t>T018 - MACBOOK PRO</t>
  </si>
  <si>
    <t>T0180061</t>
  </si>
  <si>
    <t>T018 - LOGITECH GROUP VIDEO HQ</t>
  </si>
  <si>
    <t>T0180064</t>
  </si>
  <si>
    <t>T017 - X20 LAPTOPS W20007838</t>
  </si>
  <si>
    <t>T0170204</t>
  </si>
  <si>
    <t>T017 - TOSHIBA X20 W20008071</t>
  </si>
  <si>
    <t>T0170216</t>
  </si>
  <si>
    <t>T017 - TOSHIBA X20 W20008072</t>
  </si>
  <si>
    <t>T0170217</t>
  </si>
  <si>
    <t>T017 - TOSHIBA X20 W20008079</t>
  </si>
  <si>
    <t>T0170223</t>
  </si>
  <si>
    <t>T017 - TOSHIBA X20 W20008018</t>
  </si>
  <si>
    <t>T0170240</t>
  </si>
  <si>
    <t>T017 - HP G7 CORE W20008101</t>
  </si>
  <si>
    <t>T0170251</t>
  </si>
  <si>
    <t>T017 - OPTIPLEX5060 W20007744</t>
  </si>
  <si>
    <t>T0170252</t>
  </si>
  <si>
    <t>T017 - TOSHIBA W20008071</t>
  </si>
  <si>
    <t>T0170264</t>
  </si>
  <si>
    <t>T017 - TOSHIBA W20008072</t>
  </si>
  <si>
    <t>T0170265</t>
  </si>
  <si>
    <t>T017 - TOSHIBA W20008079</t>
  </si>
  <si>
    <t>T0170271</t>
  </si>
  <si>
    <t>T017 - HP250G7 CORE W20008101</t>
  </si>
  <si>
    <t>T0170286</t>
  </si>
  <si>
    <t>T017 - HP250G7 CORE W20008103</t>
  </si>
  <si>
    <t>T0170288</t>
  </si>
  <si>
    <t>T017 - OPTIPLEX5060 W20007789</t>
  </si>
  <si>
    <t>T0170289</t>
  </si>
  <si>
    <t>T017 - QUEST W20007746</t>
  </si>
  <si>
    <t>T0170295</t>
  </si>
  <si>
    <t>T018 - HP COLOR LASERJET BCY</t>
  </si>
  <si>
    <t>T0180063</t>
  </si>
  <si>
    <t>T017 - TOSHIBA X20 W20008075</t>
  </si>
  <si>
    <t>T0170220</t>
  </si>
  <si>
    <t>T017 - TOSHIBA X20 W20008017</t>
  </si>
  <si>
    <t>T0170239</t>
  </si>
  <si>
    <t>T017 - TOSHIBA W20008075</t>
  </si>
  <si>
    <t>T0170268</t>
  </si>
  <si>
    <t>T022 - DAAMS OMP PACKAGE</t>
  </si>
  <si>
    <t>DAAMS OMP PACKAGE</t>
  </si>
  <si>
    <t>T0220001</t>
  </si>
  <si>
    <t>S024 - BCY ITRoom Upgrades</t>
  </si>
  <si>
    <t>IT Room Upgrades</t>
  </si>
  <si>
    <t>S0240011</t>
  </si>
  <si>
    <t>T019 - 2 Servers BCY</t>
  </si>
  <si>
    <t>IT Servers</t>
  </si>
  <si>
    <t>T0190003</t>
  </si>
  <si>
    <t>T019 - 1 Server SHN</t>
  </si>
  <si>
    <t>T0190004</t>
  </si>
  <si>
    <t>P003 - RBS Radios Rosslare</t>
  </si>
  <si>
    <t>RBS Radios Rosslare</t>
  </si>
  <si>
    <t>P0030002</t>
  </si>
  <si>
    <t>Q027 HQ ICT Room Upgrades</t>
  </si>
  <si>
    <t>ICT Room Upgrades</t>
  </si>
  <si>
    <t>Q0270010</t>
  </si>
  <si>
    <t>Q027 BCY ICT Room Upgrades</t>
  </si>
  <si>
    <t>Q0270009</t>
  </si>
  <si>
    <t>S004 - NRT2</t>
  </si>
  <si>
    <t>NRT2</t>
  </si>
  <si>
    <t>S0040015</t>
  </si>
  <si>
    <t>S0040014</t>
  </si>
  <si>
    <t>T013 - KF73875 FF AVIOR ELBRUS HBACK OPERATOR x2</t>
  </si>
  <si>
    <t>Office Equipment</t>
  </si>
  <si>
    <t>t0130005</t>
  </si>
  <si>
    <t>T013 - OFFICE CHAIRS SHEFFIELD GREY x2</t>
  </si>
  <si>
    <t>T0130004</t>
  </si>
  <si>
    <t>New Dublin Tower - Building</t>
  </si>
  <si>
    <t>R034</t>
  </si>
  <si>
    <t>2021-2024</t>
  </si>
  <si>
    <t>New Dublin Tower Equipment</t>
  </si>
  <si>
    <t>R035</t>
  </si>
  <si>
    <t>New Dublin Tower Equipment - Contingency</t>
  </si>
  <si>
    <t>R035A</t>
  </si>
  <si>
    <t>New Dublin Tower Equipment - Airspace redesign etc.</t>
  </si>
  <si>
    <t>New Dublin Tower Equipment - Communications Installations</t>
  </si>
  <si>
    <t>New Dublin Tower Equipment - IATS</t>
  </si>
  <si>
    <t>New Dublin Tower Equipment - Safety Case</t>
  </si>
  <si>
    <t>New Dublin Tower Equipment - ILS/IRVR Systems</t>
  </si>
  <si>
    <t>New Dublin Tower Equipment - Replacement ASMGCS &amp; GMR Tower</t>
  </si>
  <si>
    <t>New Dublin Tower Equipment - Infrastructure Changes (50% runway)</t>
  </si>
  <si>
    <t>New Dublin Tower Equipment - IAA Networks</t>
  </si>
  <si>
    <t>New Dublin Tower Equipment - ICT</t>
  </si>
  <si>
    <t>New Dublin Tower Equipment - Changes to Centralised Monitoring</t>
  </si>
  <si>
    <t>New Dublin Tower Equipment - M&amp;E/UPS/Cabling/Power</t>
  </si>
  <si>
    <t>COOPANS Build 3 Dublin</t>
  </si>
  <si>
    <t>L001A</t>
  </si>
  <si>
    <t>COOPANS Build 3 Shannon</t>
  </si>
  <si>
    <t>COOPANS Build 3.6 Onwards Dublin</t>
  </si>
  <si>
    <t>R001</t>
  </si>
  <si>
    <t>COOPANS Build 3.6 Onwards Shannon</t>
  </si>
  <si>
    <t>R001A</t>
  </si>
  <si>
    <t>COOPANS 2019 Roadmap Builds</t>
  </si>
  <si>
    <t>U002</t>
  </si>
  <si>
    <t>COOPANS 2019 Roadmap Builds Dub</t>
  </si>
  <si>
    <t>U002A</t>
  </si>
  <si>
    <t>COOPANS 2019 Roadmap Builds Shn</t>
  </si>
  <si>
    <t>SWIM Enabling project</t>
  </si>
  <si>
    <t>S001</t>
  </si>
  <si>
    <t>Emergency Air Situation Display System (DUB)</t>
  </si>
  <si>
    <t>U003</t>
  </si>
  <si>
    <t>Emergency Air Situation Display System (SHN)</t>
  </si>
  <si>
    <t>U003A</t>
  </si>
  <si>
    <t>Emergency Air Situation Display System Simulator (SHN)</t>
  </si>
  <si>
    <t>Emergency Air Situation Display System Simulator (DUB)</t>
  </si>
  <si>
    <t>NAV Aids Replacement Programme</t>
  </si>
  <si>
    <t>R005</t>
  </si>
  <si>
    <t>NAV Aids Replacement Programme Dublin ILS (3rd)</t>
  </si>
  <si>
    <t>R005A</t>
  </si>
  <si>
    <t>NAV Aids Replacement Programme Shannon ILS (1st)</t>
  </si>
  <si>
    <t>NAV Aids Replacement Programme Cork ILS (2nd)</t>
  </si>
  <si>
    <t>NAV Aids Replacement Programme Dublin IRVR</t>
  </si>
  <si>
    <t>NAV Aids Replacement Programme Shannon IRVR</t>
  </si>
  <si>
    <t>NAV Aids Replacement Programme Cork IRVR</t>
  </si>
  <si>
    <t>Plant &amp; Equipment upgrades (Chillers, AC etc.)</t>
  </si>
  <si>
    <t>RP3-PROP-3</t>
  </si>
  <si>
    <t>Plant &amp; Equipment upgrades Shannon En Route</t>
  </si>
  <si>
    <t>Plant &amp; Equipment upgrades Shannon Joint</t>
  </si>
  <si>
    <t>Plant &amp; Equipment upgrades Shannon Terminal</t>
  </si>
  <si>
    <t>Plant &amp; Equipment upgrades Dublin Joint</t>
  </si>
  <si>
    <t>Plant &amp; Equipment upgrades Cork Terminal</t>
  </si>
  <si>
    <t>Plant &amp; Equipment upgrades HQ Joint</t>
  </si>
  <si>
    <t>Climate action plan</t>
  </si>
  <si>
    <t>U011</t>
  </si>
  <si>
    <t>RADAR Overhaul - Woodcock Hill</t>
  </si>
  <si>
    <t>RADAR Overhaul</t>
  </si>
  <si>
    <t>RP3-SURV-1</t>
  </si>
  <si>
    <t>RADAR Overhaul - MT Gabriel 1 &amp; 2</t>
  </si>
  <si>
    <t>Voice Communication Switch</t>
  </si>
  <si>
    <t>VOIP Switch</t>
  </si>
  <si>
    <t>S005</t>
  </si>
  <si>
    <t>VOIP Switch CRK</t>
  </si>
  <si>
    <t>S005A</t>
  </si>
  <si>
    <t>VOIP Switch DUB</t>
  </si>
  <si>
    <t>VOIP Switch Ballycasey Main</t>
  </si>
  <si>
    <t>VOIP Switch STBU</t>
  </si>
  <si>
    <t>VOIP Test &amp; backup Ballycasey</t>
  </si>
  <si>
    <t>North Dublin Radar Building</t>
  </si>
  <si>
    <t>T006</t>
  </si>
  <si>
    <t>Structural Upgrades Dublin ACC</t>
  </si>
  <si>
    <t>RP3-PROP-4</t>
  </si>
  <si>
    <t>Structural Upgrades Ballycasey ACC</t>
  </si>
  <si>
    <t>Structural Upgrades Shannon Air Traffic Control Tower</t>
  </si>
  <si>
    <t>Restrucuring IT Costs ANSP</t>
  </si>
  <si>
    <t>U022</t>
  </si>
  <si>
    <t>Conditional Surveys</t>
  </si>
  <si>
    <t>RP3-PROP-1</t>
  </si>
  <si>
    <t>Conditional Surveys Shannon En Route</t>
  </si>
  <si>
    <t>Conditional Surveys Shannon Joint</t>
  </si>
  <si>
    <t>Conditional Surveys Shannon Terminal</t>
  </si>
  <si>
    <t>Conditional Surveys Dublin Joint</t>
  </si>
  <si>
    <t>Conditional Surveys Cork Terminal</t>
  </si>
  <si>
    <t>Replacement Dublin 2 RADAR Existing</t>
  </si>
  <si>
    <t>Replacement Dublin 2 RADAR</t>
  </si>
  <si>
    <t>Q012</t>
  </si>
  <si>
    <t>Replacement Dublin 2 RADAR New (Phase 2)</t>
  </si>
  <si>
    <t>Q012A</t>
  </si>
  <si>
    <t>Cork ATC Building Upgrade</t>
  </si>
  <si>
    <t>U016</t>
  </si>
  <si>
    <t>Energy Management Upgrades</t>
  </si>
  <si>
    <t>T007</t>
  </si>
  <si>
    <t>Energy Management Upgrades Dublin</t>
  </si>
  <si>
    <t>T007A</t>
  </si>
  <si>
    <t>Energy Management Upgrades Shannon</t>
  </si>
  <si>
    <t>Energy Management Upgrades Cork</t>
  </si>
  <si>
    <t>National Security System Network</t>
  </si>
  <si>
    <t>U013</t>
  </si>
  <si>
    <t>Replacement Airfield Cabling</t>
  </si>
  <si>
    <t>R006</t>
  </si>
  <si>
    <t>Replacement Airfield Cabling Dublin</t>
  </si>
  <si>
    <t>R006A</t>
  </si>
  <si>
    <t>Replacement Airfield Cabling Shannon</t>
  </si>
  <si>
    <t>Replacement Airfield Cabling Cork</t>
  </si>
  <si>
    <t>VHF Replacement Programme</t>
  </si>
  <si>
    <t>Q006</t>
  </si>
  <si>
    <t>VHF Replacement Dublin</t>
  </si>
  <si>
    <t>Q006A</t>
  </si>
  <si>
    <t>VHF Replacement Shannon</t>
  </si>
  <si>
    <t>VHF Replacement Cork</t>
  </si>
  <si>
    <t>VHF Replacement Remote Sites</t>
  </si>
  <si>
    <t>Met Server  SHN</t>
  </si>
  <si>
    <t>Met Server</t>
  </si>
  <si>
    <t>R016A</t>
  </si>
  <si>
    <t>Met Server  DUB</t>
  </si>
  <si>
    <t>Fire Safey Upgrade Works</t>
  </si>
  <si>
    <t>T008</t>
  </si>
  <si>
    <t>Fire Safey Upgrade Works Dublin</t>
  </si>
  <si>
    <t>T008A</t>
  </si>
  <si>
    <t>Fire Safey Upgrade Works Shannon</t>
  </si>
  <si>
    <t>Fire Safey Upgrade Works Cork</t>
  </si>
  <si>
    <t>IT Other Projects</t>
  </si>
  <si>
    <t>RP3-ICTS-1</t>
  </si>
  <si>
    <t>Barco Screen Replacement - BCY</t>
  </si>
  <si>
    <t>Barco Screen Replacement</t>
  </si>
  <si>
    <t>RP3-SURV-4</t>
  </si>
  <si>
    <t>Barco Screen Replacement - DAP</t>
  </si>
  <si>
    <t>Security Upgrades</t>
  </si>
  <si>
    <t>RP3-PROP-2</t>
  </si>
  <si>
    <t>Security Upgrades Shannon En Route</t>
  </si>
  <si>
    <t>Security Upgrades Shannon Joint</t>
  </si>
  <si>
    <t>Security Upgrades Dublin Joint</t>
  </si>
  <si>
    <t>Security Upgrades Dublin Terminal</t>
  </si>
  <si>
    <t>Security Upgrades Cork Terminal</t>
  </si>
  <si>
    <t>Security Upgrades HQ Joint</t>
  </si>
  <si>
    <t>Rostering project</t>
  </si>
  <si>
    <t>S027</t>
  </si>
  <si>
    <t>New Tower Simulator Dublin IATS</t>
  </si>
  <si>
    <t>R017</t>
  </si>
  <si>
    <t>EDISON Core Network &amp; Cyber Security</t>
  </si>
  <si>
    <t>S007</t>
  </si>
  <si>
    <t>Chiller and AHU Replacement Dublin</t>
  </si>
  <si>
    <t>T014</t>
  </si>
  <si>
    <t>U023 2.6 GHz Filters (SHN)</t>
  </si>
  <si>
    <t>U023 2.6 GHz Filters</t>
  </si>
  <si>
    <t>U023</t>
  </si>
  <si>
    <t>U023 2.6 GHz Filters (CRK)</t>
  </si>
  <si>
    <t>U023A</t>
  </si>
  <si>
    <t>U023 2.6 GHz Filters (DUB)</t>
  </si>
  <si>
    <t>SIEM &amp; SOC Software</t>
  </si>
  <si>
    <t>U019</t>
  </si>
  <si>
    <t>Aireon Infrastructure</t>
  </si>
  <si>
    <t>Q002</t>
  </si>
  <si>
    <t>Fire supression system</t>
  </si>
  <si>
    <t>U015</t>
  </si>
  <si>
    <t>Fire suppression system - Woodcock Hill</t>
  </si>
  <si>
    <t>U015A</t>
  </si>
  <si>
    <t>Fire suppression system - Mt Gabriel</t>
  </si>
  <si>
    <t>Fire suppression system - Dooncarton</t>
  </si>
  <si>
    <t>Fire suppression system - Malin Head</t>
  </si>
  <si>
    <t>Fire suppression system - Shannon Radar</t>
  </si>
  <si>
    <t>Fire suppression system - Dublin Radar</t>
  </si>
  <si>
    <t>Cyber Security / Management</t>
  </si>
  <si>
    <t>T001</t>
  </si>
  <si>
    <t>ICT Infrastructure</t>
  </si>
  <si>
    <t>U020</t>
  </si>
  <si>
    <t>Upgrades to cable ducting - remote sites</t>
  </si>
  <si>
    <t>Upgrades to cable ducting</t>
  </si>
  <si>
    <t>R007</t>
  </si>
  <si>
    <t>Upgrades to cable ducting Woodcock Hill</t>
  </si>
  <si>
    <t>R007A</t>
  </si>
  <si>
    <t>Upgrades to cable ducting Other remote sites</t>
  </si>
  <si>
    <t>IAA Smart Messenger (AFTN/SMHS) &amp; ROFDS Contingency</t>
  </si>
  <si>
    <t>IAA Smart Messenger</t>
  </si>
  <si>
    <t>U005</t>
  </si>
  <si>
    <t>IAA Smart Messenger (AFTN/SMHS)</t>
  </si>
  <si>
    <t>U005A</t>
  </si>
  <si>
    <t>BMS Upgrade Dublin / Ballycasey</t>
  </si>
  <si>
    <t>BMS Upgrade</t>
  </si>
  <si>
    <t>T010</t>
  </si>
  <si>
    <t>BMS Upgrade Dublin</t>
  </si>
  <si>
    <t>T010A</t>
  </si>
  <si>
    <t>BMS Upgrade Ballycasey</t>
  </si>
  <si>
    <t>ARTAS Upgrade</t>
  </si>
  <si>
    <t>RP3-SURV-2</t>
  </si>
  <si>
    <t>Frequency Expnasion Programme (Knock, Kerry &amp; Dublin)</t>
  </si>
  <si>
    <t>Frequency Expnasion Programme</t>
  </si>
  <si>
    <t>R009</t>
  </si>
  <si>
    <t>Frequency Expnasion Programme  Dublin</t>
  </si>
  <si>
    <t>R009A</t>
  </si>
  <si>
    <t>Frequency Expnasion Programme Knock</t>
  </si>
  <si>
    <t>Frequency Expnasion Programme Shannon (Woodcock Hill, Dooncarton, Glc)</t>
  </si>
  <si>
    <t>UPS System Replacement SHN/DUB</t>
  </si>
  <si>
    <t>UPS System Replacement</t>
  </si>
  <si>
    <t>S012</t>
  </si>
  <si>
    <t>UPS System Replacement DUB</t>
  </si>
  <si>
    <t>S012A</t>
  </si>
  <si>
    <t>UPS System Replacement SHN</t>
  </si>
  <si>
    <t>Remote Power Management</t>
  </si>
  <si>
    <t>R012</t>
  </si>
  <si>
    <t>A-SMGCS Enhancements</t>
  </si>
  <si>
    <t>R015</t>
  </si>
  <si>
    <t>LAN &amp; WAN Cybersecurity</t>
  </si>
  <si>
    <t>V006</t>
  </si>
  <si>
    <t>LAN &amp; WAN Cybersecurity HQ</t>
  </si>
  <si>
    <t>V006A</t>
  </si>
  <si>
    <t>LAN &amp; WAN Cybersecurity SHN</t>
  </si>
  <si>
    <t>Hardware &amp; Software Provision</t>
  </si>
  <si>
    <t>T018</t>
  </si>
  <si>
    <t>HW/SW Provision HQ - OTHER</t>
  </si>
  <si>
    <t>T018A</t>
  </si>
  <si>
    <t>HW/SW Provision DUB</t>
  </si>
  <si>
    <t>HW/SW Provision SHN</t>
  </si>
  <si>
    <t>HW/SW Provision</t>
  </si>
  <si>
    <t>V004</t>
  </si>
  <si>
    <t>V004A</t>
  </si>
  <si>
    <t>Automated Dependent Surveillance Broadcast Evaluation (ADS-B)</t>
  </si>
  <si>
    <t>K010</t>
  </si>
  <si>
    <t>Off the Glass Recording for VCCS Touchscreens</t>
  </si>
  <si>
    <t>Off the Glass Recording</t>
  </si>
  <si>
    <t>P004</t>
  </si>
  <si>
    <t>Off Glass Recording VCCS Dublin</t>
  </si>
  <si>
    <t>P004A</t>
  </si>
  <si>
    <t>Cessation of E1 Crcuits and Migration to IP (ERIN etc)</t>
  </si>
  <si>
    <t>V008</t>
  </si>
  <si>
    <t>Generator Replacement Programmes</t>
  </si>
  <si>
    <t>RP3-SURV-3</t>
  </si>
  <si>
    <t>Generator Replacements Shannon Remote Sites</t>
  </si>
  <si>
    <t>Software Licencing</t>
  </si>
  <si>
    <t>V005</t>
  </si>
  <si>
    <t>Software Licencing HQ</t>
  </si>
  <si>
    <t>V005A</t>
  </si>
  <si>
    <t>Software Licencing SHN</t>
  </si>
  <si>
    <t>PC / Laptop Replacements</t>
  </si>
  <si>
    <t>PC / Laptops</t>
  </si>
  <si>
    <t>T017</t>
  </si>
  <si>
    <t>PC/Laptops HQ - OTHER</t>
  </si>
  <si>
    <t>T017A</t>
  </si>
  <si>
    <t>PC/Laptops DUB</t>
  </si>
  <si>
    <t>PC/Laptops SHN</t>
  </si>
  <si>
    <t>PC/Laptop Replacements</t>
  </si>
  <si>
    <t>V003</t>
  </si>
  <si>
    <t>V003A</t>
  </si>
  <si>
    <t>Upgrades and Contingency IAA Net</t>
  </si>
  <si>
    <t>S002</t>
  </si>
  <si>
    <t>New En Route Contingency Facility</t>
  </si>
  <si>
    <t>N004</t>
  </si>
  <si>
    <t>New En Route Contingency Facility - ATM Equipment</t>
  </si>
  <si>
    <t>N004A</t>
  </si>
  <si>
    <t>New En Route Contingency Facility - Building</t>
  </si>
  <si>
    <t>Shannon Tower MEP</t>
  </si>
  <si>
    <t>J004A</t>
  </si>
  <si>
    <t>UMT Drone Protection System</t>
  </si>
  <si>
    <t>RP3-FDPS-2</t>
  </si>
  <si>
    <t>Enhancements to Financial Management Systems</t>
  </si>
  <si>
    <t>Q019</t>
  </si>
  <si>
    <t>Quadrant Roof-Light in Dublin ACC</t>
  </si>
  <si>
    <t>S020</t>
  </si>
  <si>
    <t>Generator replacement project</t>
  </si>
  <si>
    <t>U010</t>
  </si>
  <si>
    <t>Replacement of COOPANS Hardware</t>
  </si>
  <si>
    <t>COOPANS Hardware</t>
  </si>
  <si>
    <t>Q001</t>
  </si>
  <si>
    <t>COOPANS HARDWARE Shannon</t>
  </si>
  <si>
    <t>Q001A</t>
  </si>
  <si>
    <t>COOPANS HARDWARE Dublin</t>
  </si>
  <si>
    <t>PABX Infrastructure Upgrade BCY/CRK</t>
  </si>
  <si>
    <t>S009</t>
  </si>
  <si>
    <t>Test Equipment</t>
  </si>
  <si>
    <t>T003</t>
  </si>
  <si>
    <t>Multifunctional Devices - Network Printers</t>
  </si>
  <si>
    <t>U017</t>
  </si>
  <si>
    <t>Virtual Environment Server Replacements</t>
  </si>
  <si>
    <t>U018</t>
  </si>
  <si>
    <t>Server Replacements</t>
  </si>
  <si>
    <t>T019</t>
  </si>
  <si>
    <t>Server Replacements HQ</t>
  </si>
  <si>
    <t>T019A</t>
  </si>
  <si>
    <t>Server Replacements BCY</t>
  </si>
  <si>
    <t>Essential Security Upgrades</t>
  </si>
  <si>
    <t>T009</t>
  </si>
  <si>
    <t>Essential Security Upgrades DUB</t>
  </si>
  <si>
    <t>T009A</t>
  </si>
  <si>
    <t>Essential Security Upgrades Cork</t>
  </si>
  <si>
    <t>Essential Security Upgrades SHN</t>
  </si>
  <si>
    <t>Network test equipment</t>
  </si>
  <si>
    <t>U009</t>
  </si>
  <si>
    <t>Audio visual rooms</t>
  </si>
  <si>
    <t>S026</t>
  </si>
  <si>
    <t>Migration of FMTP from IPv4 to IPv6</t>
  </si>
  <si>
    <t>Q004</t>
  </si>
  <si>
    <t>PABX Infrastructure</t>
  </si>
  <si>
    <t>P005</t>
  </si>
  <si>
    <t>Gerator Upgrade Programme</t>
  </si>
  <si>
    <t>T004</t>
  </si>
  <si>
    <t>Gerator Upgrade Programme - Woodcock Hill</t>
  </si>
  <si>
    <t>T004A</t>
  </si>
  <si>
    <t>Test Equipment for Navigational Aid Systems</t>
  </si>
  <si>
    <t>Nav Aids Equipment</t>
  </si>
  <si>
    <t>S004</t>
  </si>
  <si>
    <t>Nav Aids Equipment Dublin</t>
  </si>
  <si>
    <t>S004A</t>
  </si>
  <si>
    <t>Nav Aids Equipment Cork</t>
  </si>
  <si>
    <t>Nav Aids Equipment Shannon</t>
  </si>
  <si>
    <t>Conference Centre Wi-FI &amp; UPS</t>
  </si>
  <si>
    <t>S033</t>
  </si>
  <si>
    <t>Mechanical and Electrical Requirements</t>
  </si>
  <si>
    <t>S022</t>
  </si>
  <si>
    <t>Controller Pilot Data Linking (CPDLC) SITA Ground Station expansion</t>
  </si>
  <si>
    <t>Q009</t>
  </si>
  <si>
    <t>Piloting New Technology</t>
  </si>
  <si>
    <t>L016</t>
  </si>
  <si>
    <t>Year Weighted</t>
  </si>
  <si>
    <t>Depreciation: Projects in Year</t>
  </si>
  <si>
    <t>Depreciation: RP3 Projects in other years</t>
  </si>
  <si>
    <t>Depreciation: Total RP3 Projects</t>
  </si>
  <si>
    <t>Depreciation: Pre-RP3 Projects</t>
  </si>
  <si>
    <t>Depreciation: Total</t>
  </si>
  <si>
    <t>Asset Base</t>
  </si>
  <si>
    <t>Asset Base: Year Average (excluding projects in year)</t>
  </si>
  <si>
    <t>Asset Base: Year Average + Changes in Year</t>
  </si>
  <si>
    <t>Asset Base: Year End</t>
  </si>
  <si>
    <t>`</t>
  </si>
  <si>
    <t>Check:</t>
  </si>
  <si>
    <t>Cost of Capital Depreciation</t>
  </si>
  <si>
    <t>(ANSP WACC &amp; Updated Apr 21 inflation)</t>
  </si>
  <si>
    <t>Previous Periods: Depreciated Cost of Capital</t>
  </si>
  <si>
    <t>Current Period: Depreciated Cost of Capital</t>
  </si>
  <si>
    <t>Total: Cost of Capital Depreciation</t>
  </si>
  <si>
    <t>Cost of Capital Depreication</t>
  </si>
  <si>
    <t>Cost Reduction</t>
  </si>
  <si>
    <t>Life: Years (IAA)</t>
  </si>
  <si>
    <t>Life: Years (CAR)</t>
  </si>
  <si>
    <t>Total (Incl. non-regualted)</t>
  </si>
  <si>
    <t>CAR Reduction</t>
  </si>
  <si>
    <t>(CAR WACC &amp; Apr 21 inflation)</t>
  </si>
  <si>
    <t>1% WACC Change Delta</t>
  </si>
  <si>
    <t>CAR Depreication Difference</t>
  </si>
  <si>
    <t>Scenarios&gt;&gt;</t>
  </si>
  <si>
    <t>Parameter</t>
  </si>
  <si>
    <t>Summary</t>
  </si>
  <si>
    <t>Real WACC: Parameter Selection</t>
  </si>
  <si>
    <t>RP3 Selected Scenario:</t>
  </si>
  <si>
    <t>IAA Mid</t>
  </si>
  <si>
    <t>PRB</t>
  </si>
  <si>
    <t>Reg 2019/317</t>
  </si>
  <si>
    <t>IAA BP Low</t>
  </si>
  <si>
    <t>IAA BP High</t>
  </si>
  <si>
    <t>CAR</t>
  </si>
  <si>
    <t>XXX</t>
  </si>
  <si>
    <t>Live Values</t>
  </si>
  <si>
    <t>Override by Year&gt;&gt;</t>
  </si>
  <si>
    <t>Unit</t>
  </si>
  <si>
    <t>Value</t>
  </si>
  <si>
    <t>Risk-free rate</t>
  </si>
  <si>
    <t>Corporate tax rate</t>
  </si>
  <si>
    <t>D/E ratio</t>
  </si>
  <si>
    <t>D/(D+E) ratio</t>
  </si>
  <si>
    <t>Unlevered beta</t>
  </si>
  <si>
    <t xml:space="preserve">Levered beta </t>
  </si>
  <si>
    <t>Equity risk premium</t>
  </si>
  <si>
    <t>Post-tax cost of equity</t>
  </si>
  <si>
    <t>Pre-tax cost of equity</t>
  </si>
  <si>
    <t>Cost of debt</t>
  </si>
  <si>
    <t>Aiming Up Increment</t>
  </si>
  <si>
    <t>RP2 Actual</t>
  </si>
  <si>
    <t>Calculated</t>
  </si>
  <si>
    <t>Nominal WACC</t>
  </si>
  <si>
    <t>Tax rate</t>
  </si>
  <si>
    <t>Capital structure</t>
  </si>
  <si>
    <t>Beta</t>
  </si>
  <si>
    <t>Risk premium</t>
  </si>
  <si>
    <t>Cost of Equity</t>
  </si>
  <si>
    <t>Debt cost</t>
  </si>
  <si>
    <t>Applied</t>
  </si>
  <si>
    <t>Cost of capital (pre-tax)</t>
  </si>
  <si>
    <t>NBV of Fixed Assets</t>
  </si>
  <si>
    <t>Capitalised Assets: Year Average + Changes in Year</t>
  </si>
  <si>
    <t>En-Route</t>
  </si>
  <si>
    <t>CAR Mid</t>
  </si>
  <si>
    <t>Type</t>
  </si>
  <si>
    <t>Operating expenditure</t>
  </si>
  <si>
    <t>Staff costs</t>
  </si>
  <si>
    <t>Override</t>
  </si>
  <si>
    <t>Headcount</t>
  </si>
  <si>
    <t>Pension costs</t>
  </si>
  <si>
    <t>ATCO</t>
  </si>
  <si>
    <t>Corporate Services</t>
  </si>
  <si>
    <t>Data Assistant</t>
  </si>
  <si>
    <t>Engineer</t>
  </si>
  <si>
    <t>Op Mgt Supp</t>
  </si>
  <si>
    <t>EWSS</t>
  </si>
  <si>
    <t>Overtime</t>
  </si>
  <si>
    <t>&lt;&lt; add staff category &gt;&gt;</t>
  </si>
  <si>
    <t>ANSP Headcount</t>
  </si>
  <si>
    <t>ANSP staff costs</t>
  </si>
  <si>
    <t>Of which pensions</t>
  </si>
  <si>
    <t>Unit Staff costs</t>
  </si>
  <si>
    <t>Disagregated Allocations Not Available</t>
  </si>
  <si>
    <t>En-Route Share</t>
  </si>
  <si>
    <t> </t>
  </si>
  <si>
    <t>Used</t>
  </si>
  <si>
    <t>Terminal Share</t>
  </si>
  <si>
    <t>Non - Staff costs</t>
  </si>
  <si>
    <t>Non-Staff Costs</t>
  </si>
  <si>
    <t>Travel</t>
  </si>
  <si>
    <t>Admin&amp;Other</t>
  </si>
  <si>
    <t>Training (Redected)</t>
  </si>
  <si>
    <t>Training (Redacted)</t>
  </si>
  <si>
    <t>Utilities</t>
  </si>
  <si>
    <t>-</t>
  </si>
  <si>
    <t>Telecoms (Redacted)</t>
  </si>
  <si>
    <t>Maintenance</t>
  </si>
  <si>
    <t>Operational</t>
  </si>
  <si>
    <t>Spares</t>
  </si>
  <si>
    <t>Power</t>
  </si>
  <si>
    <t>Flight checking</t>
  </si>
  <si>
    <t>Other</t>
  </si>
  <si>
    <t>Subscriptions</t>
  </si>
  <si>
    <t>Rent and rates</t>
  </si>
  <si>
    <t>Rent &amp; Rates</t>
  </si>
  <si>
    <t>Computing</t>
  </si>
  <si>
    <t>NIS</t>
  </si>
  <si>
    <t>Consultancy</t>
  </si>
  <si>
    <t>Insurance (Redacted)</t>
  </si>
  <si>
    <t>Building repairs</t>
  </si>
  <si>
    <t>Building Repairs</t>
  </si>
  <si>
    <t>Environmental</t>
  </si>
  <si>
    <t>Security (Redacted)</t>
  </si>
  <si>
    <t>Professional services</t>
  </si>
  <si>
    <t>Cleaning (Redacted)</t>
  </si>
  <si>
    <t>IAA Restructuring</t>
  </si>
  <si>
    <t>Impairment</t>
  </si>
  <si>
    <t>PR</t>
  </si>
  <si>
    <t>Staff related</t>
  </si>
  <si>
    <t>Redacted</t>
  </si>
  <si>
    <t>ANSP non staff costs</t>
  </si>
  <si>
    <t>Figures reconcile to line item totals in IAA BP</t>
  </si>
  <si>
    <t xml:space="preserve">Share </t>
  </si>
  <si>
    <t>Non-staff costs</t>
  </si>
  <si>
    <t>Share</t>
  </si>
  <si>
    <t xml:space="preserve">Exception items </t>
  </si>
  <si>
    <t>En-route cost</t>
  </si>
  <si>
    <t>Terminal cost</t>
  </si>
  <si>
    <t>Steer Scenario A/Scenario C</t>
  </si>
  <si>
    <t>Price Base: 2017</t>
  </si>
  <si>
    <t>ATCOs</t>
  </si>
  <si>
    <t>Corp Serv</t>
  </si>
  <si>
    <t>&lt;&lt; add cost &gt;&gt;</t>
  </si>
  <si>
    <t xml:space="preserve">                                                                                                                                                                                              Table 1 - Total Costs and Unit Costs</t>
  </si>
  <si>
    <t>Units: '000s</t>
  </si>
  <si>
    <t>Currency: €</t>
  </si>
  <si>
    <t>Actual costs RP2</t>
  </si>
  <si>
    <t>Determined costs - Performance Plan  - RP3</t>
  </si>
  <si>
    <t>Actual costs RP3</t>
  </si>
  <si>
    <t>Cost details</t>
  </si>
  <si>
    <t>2020/2021</t>
  </si>
  <si>
    <t>1.     Detail by nature (in nominal terms)</t>
  </si>
  <si>
    <t>1.1   Staff</t>
  </si>
  <si>
    <t xml:space="preserve">         of which, pension costs</t>
  </si>
  <si>
    <t>1.2   Other operating costs</t>
  </si>
  <si>
    <t>1.3   Depreciation</t>
  </si>
  <si>
    <t>1.4   Cost of capital</t>
  </si>
  <si>
    <t>1.5   Exceptional items</t>
  </si>
  <si>
    <t>1.6   Total costs</t>
  </si>
  <si>
    <t>Total          % n/n-1</t>
  </si>
  <si>
    <t>2.     Detail by service (in nominal terms)</t>
  </si>
  <si>
    <t>2.1   Air Traffic Management</t>
  </si>
  <si>
    <t>2.2   Communication</t>
  </si>
  <si>
    <t>2.3   Navigation</t>
  </si>
  <si>
    <t>2.4   Surveillance</t>
  </si>
  <si>
    <t>2.5   Search and rescue</t>
  </si>
  <si>
    <t>2.6   Aeronautical Information</t>
  </si>
  <si>
    <t>2.7   Meteorological services</t>
  </si>
  <si>
    <t>2.8   Supervision costs</t>
  </si>
  <si>
    <t>2.9   Other State costs</t>
  </si>
  <si>
    <t>2.10 Total costs</t>
  </si>
  <si>
    <t>3.   Complementary information (in nominal terms)</t>
  </si>
  <si>
    <t>Average asset base</t>
  </si>
  <si>
    <t>3.1  Net book val. fixed assets</t>
  </si>
  <si>
    <t>3.2  Adjustments total assets</t>
  </si>
  <si>
    <t>3.3  Net current assets</t>
  </si>
  <si>
    <t>3.4  Total asset base</t>
  </si>
  <si>
    <t>Cost of capital %</t>
  </si>
  <si>
    <t>3.5  Cost of capital pre tax rate</t>
  </si>
  <si>
    <t>3.6  Return on equity</t>
  </si>
  <si>
    <t>3.7  Average interest on debts</t>
  </si>
  <si>
    <t>3.8  Share of financing through equity</t>
  </si>
  <si>
    <t>Costs of common projects</t>
  </si>
  <si>
    <t>3.9  Common projects</t>
  </si>
  <si>
    <t xml:space="preserve">Costs of new and existing investments </t>
  </si>
  <si>
    <t>3.10  Depreciation</t>
  </si>
  <si>
    <t xml:space="preserve">3.11  Cost of capital </t>
  </si>
  <si>
    <t xml:space="preserve">3.12  Cost of leasing </t>
  </si>
  <si>
    <t xml:space="preserve">Eurocontrol costs </t>
  </si>
  <si>
    <t>3.13 Eurocontrol costs (Euro)</t>
  </si>
  <si>
    <t>3.14 Exchange rate (if applicable)</t>
  </si>
  <si>
    <t>3.15 Eurocontrol costs (national currency)</t>
  </si>
  <si>
    <t>4.  Total costs after deduction of costs for services to exempted flights (in nominal terms)</t>
  </si>
  <si>
    <t>4.1  Costs for exempted VFR flights</t>
  </si>
  <si>
    <t xml:space="preserve">4.2  Total determined/actual costs </t>
  </si>
  <si>
    <t>5.  Cost-efficiency KPI - Determined/Actual Unit Cost (in real terms)</t>
  </si>
  <si>
    <t>5.1  Inflation  %</t>
  </si>
  <si>
    <t>5.2  Inflation index (1)</t>
  </si>
  <si>
    <t>5.3  Total costs real terms (2)</t>
  </si>
  <si>
    <t>5.4 Total Service Units</t>
  </si>
  <si>
    <t>5.5 Unit cost in real terms prices (3)</t>
  </si>
  <si>
    <t>Costs and asset base items in '000  -  Service units in '000</t>
  </si>
  <si>
    <t>(1)  Inflation index - Base 100 in 2017</t>
  </si>
  <si>
    <t xml:space="preserve">(2)   Determined costs (performance plan) and actual costs in real terms </t>
  </si>
  <si>
    <t>(3)   Determined unit costs (performance plan) and actual unit costs in real terms</t>
  </si>
  <si>
    <t>MET&gt;&gt;</t>
  </si>
  <si>
    <t>Switch</t>
  </si>
  <si>
    <t>Project Value</t>
  </si>
  <si>
    <t>Completion Year</t>
  </si>
  <si>
    <t>Asset Life</t>
  </si>
  <si>
    <t>Opening RAB</t>
  </si>
  <si>
    <t>RAB</t>
  </si>
  <si>
    <t>Total ANSP</t>
  </si>
  <si>
    <t>Project (€000's)</t>
  </si>
  <si>
    <t>Capitalisation Year</t>
  </si>
  <si>
    <t>Asset Life (Years)</t>
  </si>
  <si>
    <t>Allocation to ASD&gt;&gt;</t>
  </si>
  <si>
    <t>AMAP</t>
  </si>
  <si>
    <t>RADAR Upgrade (2022)</t>
  </si>
  <si>
    <t>RADAR Upgrade (2024)</t>
  </si>
  <si>
    <t>AUTO Climate Network</t>
  </si>
  <si>
    <t>METCOM</t>
  </si>
  <si>
    <t>AUTOMETAR</t>
  </si>
  <si>
    <t>IMaMS</t>
  </si>
  <si>
    <t>HPC</t>
  </si>
  <si>
    <t>&lt;&lt; add project &gt;&gt;</t>
  </si>
  <si>
    <t>Total depreciation</t>
  </si>
  <si>
    <t>Assets</t>
  </si>
  <si>
    <t>New Assets</t>
  </si>
  <si>
    <t>€m</t>
  </si>
  <si>
    <t>New Projects</t>
  </si>
  <si>
    <t>Rollover</t>
  </si>
  <si>
    <t>PB BP:</t>
  </si>
  <si>
    <t>Details&gt;&gt;</t>
  </si>
  <si>
    <t>Heacount</t>
  </si>
  <si>
    <t>Corporate support staff cost</t>
  </si>
  <si>
    <t>Operational MET provision staff cost</t>
  </si>
  <si>
    <t>Technical/ICT staff support cost</t>
  </si>
  <si>
    <t>Development staff cost</t>
  </si>
  <si>
    <t>Exceptional Items</t>
  </si>
  <si>
    <t>EUMETSAT</t>
  </si>
  <si>
    <t>Corrected</t>
  </si>
  <si>
    <t>Supervision&gt;&gt;</t>
  </si>
  <si>
    <t>Unregulated</t>
  </si>
  <si>
    <t>Project (€m)</t>
  </si>
  <si>
    <t>Start Year</t>
  </si>
  <si>
    <t>Allocation to NSA&gt;&gt;</t>
  </si>
  <si>
    <t>New Regulator ICT Infrastructure Costs</t>
  </si>
  <si>
    <t>New Digital Online Regulatory System</t>
  </si>
  <si>
    <t>SAR</t>
  </si>
  <si>
    <t>CNS/ATM</t>
  </si>
  <si>
    <t>ATS</t>
  </si>
  <si>
    <t>PANS-OPS</t>
  </si>
  <si>
    <t>ANSD Management&amp; Support</t>
  </si>
  <si>
    <t>Economics</t>
  </si>
  <si>
    <t>Corporate Services &amp;Central</t>
  </si>
  <si>
    <t>NSA Headcount</t>
  </si>
  <si>
    <t>Training</t>
  </si>
  <si>
    <t>Operating Costs</t>
  </si>
  <si>
    <t>Administration</t>
  </si>
  <si>
    <t>Regulatory Software OPEX</t>
  </si>
  <si>
    <t>Economic Consultancy</t>
  </si>
  <si>
    <t>ICT Department OPEX</t>
  </si>
  <si>
    <t>Euroncontrol (Incl. ICAO &amp; ECAC)</t>
  </si>
  <si>
    <t>Total DC&gt;&gt;</t>
  </si>
  <si>
    <t>Ireland</t>
  </si>
  <si>
    <t>Currency: Euro</t>
  </si>
  <si>
    <t>All Entities</t>
  </si>
  <si>
    <t>Ireland - TCZ</t>
  </si>
  <si>
    <t>UR&gt;&gt;</t>
  </si>
  <si>
    <t>Unitss</t>
  </si>
  <si>
    <t>UR Control</t>
  </si>
  <si>
    <t>A. Cost-sharing</t>
  </si>
  <si>
    <t>Inflation (Art. 26)</t>
  </si>
  <si>
    <t>Rate</t>
  </si>
  <si>
    <t>(2017=100)</t>
  </si>
  <si>
    <t>PP Difference</t>
  </si>
  <si>
    <t>Cost Sharing (Art. 28)</t>
  </si>
  <si>
    <t>Carry over to subesquent RP Switch</t>
  </si>
  <si>
    <t>New and existing investments (Art. 28(4))</t>
  </si>
  <si>
    <t>Pension costs (Art. 28(6))</t>
  </si>
  <si>
    <t>Interest on loans (Art. 28(6))</t>
  </si>
  <si>
    <t>Changes in law (Art. 28(6))</t>
  </si>
  <si>
    <t>Max Overspend:</t>
  </si>
  <si>
    <t>Difference</t>
  </si>
  <si>
    <t>Other Cost Sharing</t>
  </si>
  <si>
    <t>Supervision ERT</t>
  </si>
  <si>
    <t>Competent authorities and qualified entities costs (Art. 28(5))</t>
  </si>
  <si>
    <t>Eurocontrol costs (Art. 28(5))</t>
  </si>
  <si>
    <t>Supervision TRM</t>
  </si>
  <si>
    <t>B. Traffic risk sharing</t>
  </si>
  <si>
    <t>Traffic Risk Sharing (Art. 27)</t>
  </si>
  <si>
    <t>Forecast SUs</t>
  </si>
  <si>
    <t>ERT</t>
  </si>
  <si>
    <t>TRM</t>
  </si>
  <si>
    <t>Variation %</t>
  </si>
  <si>
    <t>C. Financial incentive schemes on capacity and environment</t>
  </si>
  <si>
    <t>Capacity Incentive Scheme (Art. 11)</t>
  </si>
  <si>
    <t>Pivot Value</t>
  </si>
  <si>
    <t>Mins/Flight</t>
  </si>
  <si>
    <t>Deadband</t>
  </si>
  <si>
    <t>Threshold</t>
  </si>
  <si>
    <t>Bonus</t>
  </si>
  <si>
    <t>Penalty</t>
  </si>
  <si>
    <t>Actual Delay</t>
  </si>
  <si>
    <t>Bonus/Penalty Payment</t>
  </si>
  <si>
    <t>D. Other adjustments</t>
  </si>
  <si>
    <t>Adjustment to ensure revenue neutrality (Art. 32(1))</t>
  </si>
  <si>
    <t>Other Revenues (Art. 25)</t>
  </si>
  <si>
    <t>Union assistance programmes (Art. 25(3)(a))</t>
  </si>
  <si>
    <t>National public funding (Art. 25(3)(a))</t>
  </si>
  <si>
    <t>Commercial activities (Art. 25(3)(b))</t>
  </si>
  <si>
    <t>Revenues from contracts with airport operators (Art. 25(3)(c))</t>
  </si>
  <si>
    <t>Temporary unit rate applied in 2020/21 (Art. 29(5))</t>
  </si>
  <si>
    <t>Adjustment</t>
  </si>
  <si>
    <t>Lost Revenue 2020/21</t>
  </si>
  <si>
    <t>Years</t>
  </si>
  <si>
    <t>Table 3 - Complementary information on adjustments</t>
  </si>
  <si>
    <t>IAA</t>
  </si>
  <si>
    <t>FILTER</t>
  </si>
  <si>
    <t>Complementary information on adjustments</t>
  </si>
  <si>
    <t>Amounts</t>
  </si>
  <si>
    <t>After RP</t>
  </si>
  <si>
    <t>Inflation adjustment 2018</t>
  </si>
  <si>
    <t>Inflation adjustment 2019</t>
  </si>
  <si>
    <t>Total inflation adjustment up to 2019</t>
  </si>
  <si>
    <t>DELETED</t>
  </si>
  <si>
    <t>2020-2021</t>
  </si>
  <si>
    <t>Inflation adjustment 2020-2021</t>
  </si>
  <si>
    <t>Inflation adjustment 2022</t>
  </si>
  <si>
    <t>Inflation adjustment 2023</t>
  </si>
  <si>
    <t>Inflation adjustment 2024</t>
  </si>
  <si>
    <t>Total inflation Adjustment (Art. 26)*</t>
  </si>
  <si>
    <t>Traffic risk sharing up to 2017</t>
  </si>
  <si>
    <t>Traffic risk sharing 2018</t>
  </si>
  <si>
    <t>Traffic risk sharing 2019</t>
  </si>
  <si>
    <t>Total traffic risk sharing adjustements up to 2019</t>
  </si>
  <si>
    <t>Traffic risk sharing 2020-2021 (exceptional measures)</t>
  </si>
  <si>
    <t>Traffic risk sharing 2022</t>
  </si>
  <si>
    <t>Traffic risk sharing 2023</t>
  </si>
  <si>
    <t>Traffic risk sharing 2024</t>
  </si>
  <si>
    <t>Total traffic risk sharing adjustment (Art. 27(2) to 27(5))*</t>
  </si>
  <si>
    <t>Difference in investment costs 2020-2021 (exceptional measures)</t>
  </si>
  <si>
    <t>Difference in investment costs 2022</t>
  </si>
  <si>
    <t>Difference in investment costs 2023</t>
  </si>
  <si>
    <t>Difference in investment costs 2024</t>
  </si>
  <si>
    <t>Total adjustment relating to investment costs (Art. 28(4))</t>
  </si>
  <si>
    <t>Difference in competent authorities and QEs costs 2020-2021 (exc.meas.)</t>
  </si>
  <si>
    <t>Difference in competent authorities and QEs costs 2022</t>
  </si>
  <si>
    <t>Difference in competent authorities and QEs costs 2023</t>
  </si>
  <si>
    <t>Difference in competent authorities and QEs costs 2024</t>
  </si>
  <si>
    <t>Total adjustment relating to competent authorities and QEs costs (Art. 28(5))</t>
  </si>
  <si>
    <t>Difference in Eurocontrol costs 2020-2021 (exceptional measures)</t>
  </si>
  <si>
    <t>Difference in Eurocontrol costs 2022</t>
  </si>
  <si>
    <t>Difference in Eurocontrol costs 2023</t>
  </si>
  <si>
    <t>Difference in Eurocontrol costs 2024</t>
  </si>
  <si>
    <t>Total adjustment relating to Eurocontrol costs (Art. 28(5))</t>
  </si>
  <si>
    <t>Difference in pension costs 2020-2021 (exceptional measures)</t>
  </si>
  <si>
    <t>Difference in pension costs 2022</t>
  </si>
  <si>
    <t>Difference in pension costs 2023</t>
  </si>
  <si>
    <t>Difference in pension costs 2024</t>
  </si>
  <si>
    <t>Total adjustment relating to pension costs (Art. 28(6))</t>
  </si>
  <si>
    <t>Difference in interest on loans 2020-2021 (exceptional measures)</t>
  </si>
  <si>
    <t>Difference in interest on loans 2022</t>
  </si>
  <si>
    <t>Difference in interest on loans 2023</t>
  </si>
  <si>
    <t>Difference in interest on loans 2024</t>
  </si>
  <si>
    <t>Total adjustment relating to interest on loans (Art. 28(6))</t>
  </si>
  <si>
    <t>Costs relating to change in law 2020-2021 (exceptional measures)</t>
  </si>
  <si>
    <t>Costs relating to change in law 2022</t>
  </si>
  <si>
    <t>Costs relating to change in law 2023</t>
  </si>
  <si>
    <t>Costs relating to change in law 2024</t>
  </si>
  <si>
    <t>Total adjustment relating to change in law (Art. 28(6))</t>
  </si>
  <si>
    <t>Cost exempt from cost sharing up to 2017</t>
  </si>
  <si>
    <t>Cost exempt from cost sharing 2018</t>
  </si>
  <si>
    <t>Cost exempt from cost sharing 2019</t>
  </si>
  <si>
    <t>Total adjustment relating to cost exempt from previous RPs</t>
  </si>
  <si>
    <t>Financial incentives year up to 2017</t>
  </si>
  <si>
    <t>Financial incentives year 2018</t>
  </si>
  <si>
    <t>Financial incentives year 2019</t>
  </si>
  <si>
    <t>Total financial incentives up to 2019</t>
  </si>
  <si>
    <t>Financial incentives year 2022</t>
  </si>
  <si>
    <t>Financial incentives year 2023</t>
  </si>
  <si>
    <t>Financial incentives year 2024</t>
  </si>
  <si>
    <t>Total financial incentives (Art. 11(3) and 11(4))*</t>
  </si>
  <si>
    <t>Modulation of charges  up to 2017</t>
  </si>
  <si>
    <t>Modulation of charges  year 2018</t>
  </si>
  <si>
    <t>Modulation of charges  year 2019</t>
  </si>
  <si>
    <t>Total modulation of charges up 2019</t>
  </si>
  <si>
    <t>Modulation of charges 2020-2021</t>
  </si>
  <si>
    <t>Modulation of charges 2022</t>
  </si>
  <si>
    <t>Modulation of charges 2023</t>
  </si>
  <si>
    <t>Modulation of charges 2024</t>
  </si>
  <si>
    <t>Total adjustment relating to modulation of charges (Art. 32(1))*</t>
  </si>
  <si>
    <t>Traffic adjustment up to 2017</t>
  </si>
  <si>
    <t>Traffic adjustment 2018</t>
  </si>
  <si>
    <t>Traffic adjustment 2019</t>
  </si>
  <si>
    <t>Total traffic adjustments up to 2019</t>
  </si>
  <si>
    <t>Traffic adjustment on adjustments from previous RPs 2020</t>
  </si>
  <si>
    <t>Traffic adjustment on adjustments from previous RPs 2021</t>
  </si>
  <si>
    <t>Traffic adjustment on adjustments from previous RPs 2022</t>
  </si>
  <si>
    <t>Traffic adjustment on adjustments from previous RPs 2023</t>
  </si>
  <si>
    <t>Traffic adjustment on adjustments from previous RPs 2024</t>
  </si>
  <si>
    <t>Total traffic adjustment on adjustments from previous reference periods</t>
  </si>
  <si>
    <t>Traffic adjustment 2020-2021 (exceptional measures)</t>
  </si>
  <si>
    <t>Traffic adjustment 2022</t>
  </si>
  <si>
    <t>Traffic adjustment 2023</t>
  </si>
  <si>
    <t>Traffic adjustment 2024</t>
  </si>
  <si>
    <t>Total traffic adjustment (Art. 27(8) and 27(9))*</t>
  </si>
  <si>
    <t>Revenues received from Union assistance programmes up to 2017</t>
  </si>
  <si>
    <t>Revenues received from Union assistance programmes in 2018</t>
  </si>
  <si>
    <t>Revenues received from Union assistance programmes in 2019</t>
  </si>
  <si>
    <t>Total revenues received from Union assistance programmes up to 2019</t>
  </si>
  <si>
    <t>Revenues received from Union assistance programmes in 2020-2021</t>
  </si>
  <si>
    <t>Revenues received from Union assistance programmes in 2022</t>
  </si>
  <si>
    <t>Revenues received from Union assistance programmes in 2023</t>
  </si>
  <si>
    <t>Revenues received from Union assistance programmes in 2024</t>
  </si>
  <si>
    <t>Total revenues received from Union assistance programmes (Art. 25(3)(a))*</t>
  </si>
  <si>
    <t>Revenues received from national public funding up to 2017</t>
  </si>
  <si>
    <t>Revenues received from national public funding in 2018</t>
  </si>
  <si>
    <t>Revenues received from national public funding in 2019</t>
  </si>
  <si>
    <t>Total revenues received from national public funding up to 2019</t>
  </si>
  <si>
    <t>Revenues received from national public funding in 2020-2021</t>
  </si>
  <si>
    <t>Revenues received from national public funding in 2022</t>
  </si>
  <si>
    <t>Revenues received from national public funding in 2023</t>
  </si>
  <si>
    <t>Revenues received from national public funding in 2024</t>
  </si>
  <si>
    <t>Total revenues received from national public funding (Art. 25(3)(a))*</t>
  </si>
  <si>
    <t>Revenues from commercial activities up to 2017</t>
  </si>
  <si>
    <t>Revenues from commercial activities in 2018</t>
  </si>
  <si>
    <t>Revenues from commercial activities in 2019</t>
  </si>
  <si>
    <t>Total revenues from commercial activities up to 2019</t>
  </si>
  <si>
    <t>Revenues from commercial activities in 2020-2021</t>
  </si>
  <si>
    <t>Revenues from commercial activities in 2022</t>
  </si>
  <si>
    <t>Revenues from commercial activities in 2023</t>
  </si>
  <si>
    <t>Revenues from commercial activities in 2024</t>
  </si>
  <si>
    <t>Total revenues from commercial activities (Art. 25(3)(b))*</t>
  </si>
  <si>
    <t>Revenues from contracts with airport operators up to 2017</t>
  </si>
  <si>
    <t>Revenues from contracts with airport operators in 2018</t>
  </si>
  <si>
    <t>Revenues from contracts with airport operators in 2019</t>
  </si>
  <si>
    <t>Total revenues from contracts with airport operators up to 2019</t>
  </si>
  <si>
    <t>Revenues from contracts with airport operators in 2020-2021</t>
  </si>
  <si>
    <t>Revenues from contracts with airport operators in 2022</t>
  </si>
  <si>
    <t>Revenues from contracts with airport operators in 2023</t>
  </si>
  <si>
    <t>Revenues from contracts with airport operators in 2024</t>
  </si>
  <si>
    <t>Total revenues from contracts with airport operators (Art. 25(3)(c))*</t>
  </si>
  <si>
    <t>Revenue difference - revision of UR 2020-2021</t>
  </si>
  <si>
    <t>Revenue difference - revision of UR 2022</t>
  </si>
  <si>
    <t>Revenue difference - revision of UR 2023</t>
  </si>
  <si>
    <t>Revenue difference - revision of UR 2024</t>
  </si>
  <si>
    <t>Total revenue differences from temporary application of UR (Art. 29(5))</t>
  </si>
  <si>
    <t>Cross-financing to (-) / from (+) other charging zone(s) 2020-2021</t>
  </si>
  <si>
    <t>Cross-financing to (-) / from (+) other charging zone(s) relating to 2022</t>
  </si>
  <si>
    <t>Cross-financing to (-) / from (+) other charging zone(s) relating to 2023</t>
  </si>
  <si>
    <t>Cross-financing to (-) / from (+) other charging zone(s) relating to 2024</t>
  </si>
  <si>
    <t>Total cross-financing to (-) / from (+) other charging zone(s)</t>
  </si>
  <si>
    <t>Total adjustments</t>
  </si>
  <si>
    <t>Amounts  in '000  (national currency)</t>
  </si>
  <si>
    <t>* Including carry-overs relating to the previous reference period(s)</t>
  </si>
  <si>
    <t>Note: Adjustments relating to RP3 are to be calculated and carried forward only once the RP3 performance plan has been adopted in accordance with Article 16 (a) or (b)</t>
  </si>
  <si>
    <t xml:space="preserve">Table 2 - Unit rate calculation </t>
  </si>
  <si>
    <t>Reference period 3</t>
  </si>
  <si>
    <t>Table 2 A - Adjustments relating to year n</t>
  </si>
  <si>
    <t>Determined costs</t>
  </si>
  <si>
    <r>
      <t xml:space="preserve">1.1       Determined costs in nominal terms - VFR excl. - Table 1 </t>
    </r>
    <r>
      <rPr>
        <b/>
        <i/>
        <sz val="8"/>
        <rFont val="Calibri"/>
        <family val="2"/>
      </rPr>
      <t>(Art. 22)</t>
    </r>
  </si>
  <si>
    <t>Inflation adjustment calculation</t>
  </si>
  <si>
    <t>2.1       Determined costs subject to inflation adjustment</t>
  </si>
  <si>
    <t>2.2       Forecast inflation index - Table 1</t>
  </si>
  <si>
    <t>2.3       Actual inflation index  - Table 1</t>
  </si>
  <si>
    <t>2.4       Actual / forecast total inflation index (in %)</t>
  </si>
  <si>
    <r>
      <t xml:space="preserve">2.5       Inflation adjustment relating to year n </t>
    </r>
    <r>
      <rPr>
        <b/>
        <i/>
        <sz val="8"/>
        <rFont val="Calibri"/>
        <family val="2"/>
      </rPr>
      <t>(Art. 26)</t>
    </r>
  </si>
  <si>
    <t>Differences between determined and actual costs referred to in Article 28(4) to 28(6)</t>
  </si>
  <si>
    <r>
      <t xml:space="preserve">3.1       New and existing investments </t>
    </r>
    <r>
      <rPr>
        <i/>
        <sz val="8"/>
        <rFont val="Calibri"/>
        <family val="2"/>
      </rPr>
      <t>(Art. 28(4))</t>
    </r>
  </si>
  <si>
    <r>
      <t xml:space="preserve">3.3       Competent authorities and qualified entities costs </t>
    </r>
    <r>
      <rPr>
        <i/>
        <sz val="8"/>
        <rFont val="Calibri"/>
        <family val="2"/>
      </rPr>
      <t>(Art. 28(5))</t>
    </r>
  </si>
  <si>
    <r>
      <t xml:space="preserve">3.4       Eurocontrol costs </t>
    </r>
    <r>
      <rPr>
        <i/>
        <sz val="8"/>
        <rFont val="Calibri"/>
        <family val="2"/>
      </rPr>
      <t>(Art. 28(5))</t>
    </r>
  </si>
  <si>
    <r>
      <t xml:space="preserve">3.5       Pension costs </t>
    </r>
    <r>
      <rPr>
        <i/>
        <sz val="8"/>
        <rFont val="Calibri"/>
        <family val="2"/>
      </rPr>
      <t>(Art. 28(6))</t>
    </r>
  </si>
  <si>
    <r>
      <t xml:space="preserve">3.6       Interest on loans </t>
    </r>
    <r>
      <rPr>
        <i/>
        <sz val="8"/>
        <rFont val="Calibri"/>
        <family val="2"/>
      </rPr>
      <t>(Art. 28(6))</t>
    </r>
  </si>
  <si>
    <r>
      <t>3.7       Changes in law</t>
    </r>
    <r>
      <rPr>
        <i/>
        <sz val="8"/>
        <rFont val="Calibri"/>
        <family val="2"/>
      </rPr>
      <t xml:space="preserve"> (Art. 28(6))</t>
    </r>
  </si>
  <si>
    <r>
      <t xml:space="preserve">3.8       Differences between determined and actual costs relating to year n </t>
    </r>
    <r>
      <rPr>
        <b/>
        <i/>
        <sz val="8"/>
        <rFont val="Calibri"/>
        <family val="2"/>
      </rPr>
      <t>(Art. 28(4) to 28(6))</t>
    </r>
  </si>
  <si>
    <t>Traffic risk sharing adjustment</t>
  </si>
  <si>
    <t>4.1       Determined costs subject to traffic risk sharing</t>
  </si>
  <si>
    <t>4.2       % deviation % referred to in Article 27(2) and 27(5)</t>
  </si>
  <si>
    <t>4.3       % additional revenue returned to users referred to in Article 27(3) and 27(5)</t>
  </si>
  <si>
    <t>4.4       % loss of revenue borne by airspace users referred to in Article 27(3) and 27(5)</t>
  </si>
  <si>
    <t xml:space="preserve">4.5       % deviation referred to in Article 27(4) </t>
  </si>
  <si>
    <t>4.6       Forecast total service units (performance plan)</t>
  </si>
  <si>
    <t>4.7       Actual total service units</t>
  </si>
  <si>
    <t>4.8       Actual / forecast total service units (in %)</t>
  </si>
  <si>
    <r>
      <t xml:space="preserve">4.9       Traffic risk sharing adjustment relating to year n </t>
    </r>
    <r>
      <rPr>
        <b/>
        <i/>
        <sz val="8"/>
        <rFont val="Calibri"/>
        <family val="2"/>
      </rPr>
      <t>(Art. 27(2) to 27(5))</t>
    </r>
  </si>
  <si>
    <t>Traffic adjustments</t>
  </si>
  <si>
    <r>
      <t xml:space="preserve">5.1      For determined costs not subject to traffic risk-sharing </t>
    </r>
    <r>
      <rPr>
        <i/>
        <sz val="8"/>
        <rFont val="Calibri"/>
        <family val="2"/>
      </rPr>
      <t>(Art. 27(8))</t>
    </r>
  </si>
  <si>
    <r>
      <t xml:space="preserve">5.2      Adjustments to year n unit rate not subject to traffic risk-sharing </t>
    </r>
    <r>
      <rPr>
        <i/>
        <sz val="8"/>
        <rFont val="Calibri"/>
        <family val="2"/>
      </rPr>
      <t>(Art. 27(9))</t>
    </r>
  </si>
  <si>
    <r>
      <t xml:space="preserve">5.3      Traffic adjustements relating to year n </t>
    </r>
    <r>
      <rPr>
        <b/>
        <i/>
        <sz val="8"/>
        <rFont val="Calibri"/>
        <family val="2"/>
      </rPr>
      <t>(Art. 27(8) and 27(9))</t>
    </r>
  </si>
  <si>
    <t>Adjustments relating to financial incentives</t>
  </si>
  <si>
    <r>
      <t xml:space="preserve">6.1      Financial incentives relating to capacity </t>
    </r>
    <r>
      <rPr>
        <i/>
        <sz val="8"/>
        <rFont val="Calibri"/>
        <family val="2"/>
      </rPr>
      <t>(Art. 11(3))</t>
    </r>
  </si>
  <si>
    <r>
      <t xml:space="preserve">6.2      Financial incentives relating to environment </t>
    </r>
    <r>
      <rPr>
        <i/>
        <sz val="8"/>
        <rFont val="Calibri"/>
        <family val="2"/>
      </rPr>
      <t>(Art. 11(4))</t>
    </r>
  </si>
  <si>
    <r>
      <t xml:space="preserve">6.3      Additional financial incentives relating to capacity </t>
    </r>
    <r>
      <rPr>
        <i/>
        <sz val="8"/>
        <rFont val="Calibri"/>
        <family val="2"/>
      </rPr>
      <t>(Art. 11(4))</t>
    </r>
  </si>
  <si>
    <r>
      <t xml:space="preserve">6.4      Financial incentives relating to year n </t>
    </r>
    <r>
      <rPr>
        <b/>
        <i/>
        <sz val="8"/>
        <rFont val="Calibri"/>
        <family val="2"/>
      </rPr>
      <t>(Art. 11(3) and 11(4))</t>
    </r>
  </si>
  <si>
    <t>Modulation of charges</t>
  </si>
  <si>
    <r>
      <t xml:space="preserve">7.1      Adjustment to ensure revenue neutrality for modulation of charges in year n </t>
    </r>
    <r>
      <rPr>
        <b/>
        <i/>
        <sz val="8"/>
        <rFont val="Calibri"/>
        <family val="2"/>
      </rPr>
      <t>(Art. 32(1))</t>
    </r>
  </si>
  <si>
    <t xml:space="preserve">Revision of the unit rate </t>
  </si>
  <si>
    <t>8.1       Temporary unit rate applied in year n</t>
  </si>
  <si>
    <t>Footnote 2</t>
  </si>
  <si>
    <r>
      <t xml:space="preserve">8.2       Difference in revenue due to the temporary application of unit rate in year n </t>
    </r>
    <r>
      <rPr>
        <b/>
        <i/>
        <sz val="8"/>
        <rFont val="Calibri"/>
        <family val="2"/>
      </rPr>
      <t>(Art. 29(5))</t>
    </r>
  </si>
  <si>
    <t>Cross-financing between charging zones</t>
  </si>
  <si>
    <t>9.1       Cross-financing to (-) / from (+) other charging zone(s) relating to year n</t>
  </si>
  <si>
    <t>Other revenues</t>
  </si>
  <si>
    <r>
      <t xml:space="preserve">10.1     Union assistance programmes </t>
    </r>
    <r>
      <rPr>
        <i/>
        <sz val="8"/>
        <rFont val="Calibri"/>
        <family val="2"/>
      </rPr>
      <t>(Art. 25(3)(a))</t>
    </r>
  </si>
  <si>
    <r>
      <t>10.2     National public funding</t>
    </r>
    <r>
      <rPr>
        <i/>
        <sz val="8"/>
        <rFont val="Calibri"/>
        <family val="2"/>
      </rPr>
      <t xml:space="preserve"> (Art. 25(3)(a))</t>
    </r>
  </si>
  <si>
    <r>
      <t>10.3     Commercial activities (</t>
    </r>
    <r>
      <rPr>
        <i/>
        <sz val="8"/>
        <rFont val="Calibri"/>
        <family val="2"/>
      </rPr>
      <t>Art. 25(3)(b))</t>
    </r>
  </si>
  <si>
    <r>
      <t xml:space="preserve">10.4     Revenues from contracts with airport operators </t>
    </r>
    <r>
      <rPr>
        <i/>
        <sz val="8"/>
        <rFont val="Calibri"/>
        <family val="2"/>
      </rPr>
      <t>(Art. 25(3)(c))</t>
    </r>
  </si>
  <si>
    <r>
      <t xml:space="preserve">10.5     Total other revenues relating to year n </t>
    </r>
    <r>
      <rPr>
        <b/>
        <i/>
        <sz val="8"/>
        <rFont val="Calibri"/>
        <family val="2"/>
      </rPr>
      <t>(Art. 25(3))</t>
    </r>
  </si>
  <si>
    <t>Application of a lower unit rate</t>
  </si>
  <si>
    <t>Footnote 3</t>
  </si>
  <si>
    <r>
      <t xml:space="preserve">11.1     Loss of revenue relating to the application of a lower unit rate in n </t>
    </r>
    <r>
      <rPr>
        <b/>
        <i/>
        <sz val="8"/>
        <rFont val="Calibri"/>
        <family val="2"/>
      </rPr>
      <t>(Art. 29(6))</t>
    </r>
  </si>
  <si>
    <t>12        Total adjustments relating to year n</t>
  </si>
  <si>
    <t>Table 2 B - Calculation of the unit rate for year n (1)</t>
  </si>
  <si>
    <r>
      <t xml:space="preserve">13.1     Determined costs in nominal terms - VFR excl. </t>
    </r>
    <r>
      <rPr>
        <i/>
        <sz val="8"/>
        <rFont val="Calibri"/>
        <family val="2"/>
      </rPr>
      <t>(Art. 25(2)(a))</t>
    </r>
  </si>
  <si>
    <r>
      <t xml:space="preserve">13.2     Inflation adjustment : amount carried over to year n </t>
    </r>
    <r>
      <rPr>
        <i/>
        <sz val="8"/>
        <rFont val="Calibri"/>
        <family val="2"/>
      </rPr>
      <t>(Art. 25(2)(b))</t>
    </r>
  </si>
  <si>
    <r>
      <t xml:space="preserve">13.3     Traffic risk sharing adjustment : amounts carried over to year n </t>
    </r>
    <r>
      <rPr>
        <i/>
        <sz val="8"/>
        <rFont val="Calibri"/>
        <family val="2"/>
      </rPr>
      <t>(Art. 25(2)(c))</t>
    </r>
  </si>
  <si>
    <r>
      <t>13.4     Differences in costs as per Art. 28(4) to (6) : amounts carried over to year n</t>
    </r>
    <r>
      <rPr>
        <sz val="8"/>
        <rFont val="Calibri"/>
        <family val="2"/>
      </rPr>
      <t xml:space="preserve"> </t>
    </r>
    <r>
      <rPr>
        <i/>
        <sz val="8"/>
        <rFont val="Calibri"/>
        <family val="2"/>
      </rPr>
      <t>(Art. 25(2)(d))</t>
    </r>
  </si>
  <si>
    <r>
      <t xml:space="preserve">13.5     Financial incentives : amounts carried over to year n </t>
    </r>
    <r>
      <rPr>
        <i/>
        <sz val="8"/>
        <rFont val="Calibri"/>
        <family val="2"/>
      </rPr>
      <t>(Art. 25(2)(e))</t>
    </r>
  </si>
  <si>
    <r>
      <t>13.6     Modulation of charges : amounts carried over to year n</t>
    </r>
    <r>
      <rPr>
        <i/>
        <sz val="8"/>
        <rFont val="Calibri"/>
        <family val="2"/>
      </rPr>
      <t xml:space="preserve"> (Art. 25(2)(f))</t>
    </r>
  </si>
  <si>
    <r>
      <t xml:space="preserve">13.7     Traffic adjustments : amounts carried over to year n </t>
    </r>
    <r>
      <rPr>
        <sz val="8"/>
        <rFont val="Calibri"/>
        <family val="2"/>
      </rPr>
      <t>(Art. 25(2)(g) and (h))</t>
    </r>
  </si>
  <si>
    <r>
      <t xml:space="preserve">13.8     Other revenues </t>
    </r>
    <r>
      <rPr>
        <i/>
        <sz val="8"/>
        <rFont val="Calibri"/>
        <family val="2"/>
      </rPr>
      <t>(Art. 25(2)(i))</t>
    </r>
  </si>
  <si>
    <r>
      <t xml:space="preserve">13.9     Cross-financing between charging zones </t>
    </r>
    <r>
      <rPr>
        <i/>
        <sz val="8"/>
        <rFont val="Calibri"/>
        <family val="2"/>
      </rPr>
      <t>(Art. 25(2)(j))</t>
    </r>
  </si>
  <si>
    <r>
      <t xml:space="preserve">13.10   Difference in revenue from temporary application of unit rate </t>
    </r>
    <r>
      <rPr>
        <i/>
        <sz val="8"/>
        <rFont val="Calibri"/>
        <family val="2"/>
      </rPr>
      <t>(Art. 25(2)(k))</t>
    </r>
  </si>
  <si>
    <t>13.11  Grand total for the calculation of year n unit rate</t>
  </si>
  <si>
    <t>13.12  Forecast total service units for year n (performance plan)</t>
  </si>
  <si>
    <t xml:space="preserve">13.13  Unit rate for year n as per Art. 25(2) (in national currency) </t>
  </si>
  <si>
    <t>13.14  Reduction as per Art. 29(6), where applicable (in national currency)</t>
  </si>
  <si>
    <t>14        Applicable unit rate for year n</t>
  </si>
  <si>
    <t>Costs, revenues and other amounts  in '000  -  Service units in '000</t>
  </si>
  <si>
    <r>
      <t xml:space="preserve">(1) Including adjustments relating to previous reference periods </t>
    </r>
    <r>
      <rPr>
        <i/>
        <sz val="8"/>
        <rFont val="Calibri"/>
        <family val="2"/>
      </rPr>
      <t>(Art. 25(2)(l))</t>
    </r>
  </si>
  <si>
    <t>(2) Unit rate as per Art. 25(2) applied temporary in 2020 (in national currency)</t>
  </si>
  <si>
    <t xml:space="preserve">       Unit rate as per Art. 25(2) applied temporary in 2021 (in national currency)</t>
  </si>
  <si>
    <t>3)  Reduction as per Art. 29(6) applied In 2020 (in national currency)</t>
  </si>
  <si>
    <t xml:space="preserve">      Reduction as per Art. 29(6) applied In 2021 (in national currency)</t>
  </si>
  <si>
    <t>4) Forecast service units used for the unit rate as per Art. 25(2) applied temporary in 2020</t>
  </si>
  <si>
    <t xml:space="preserve">     Forecast service units used for the unit rate as per Art. 25(2) applied temporary in 2021</t>
  </si>
  <si>
    <t xml:space="preserve">      Unit rate as per Art. 25(2) applied temporary in 2021 (in national currency)</t>
  </si>
  <si>
    <t>3)  Reduction as per Art. 29(6) applied in 2020 (in national currency)</t>
  </si>
  <si>
    <t xml:space="preserve">      Reduction as per Art. 29(6) applied in 2021 (in national currency)</t>
  </si>
  <si>
    <t xml:space="preserve">Estimates made on assumption </t>
  </si>
  <si>
    <t>that actual TSUs 2021 are equal to</t>
  </si>
  <si>
    <t xml:space="preserve"> forecast and that the</t>
  </si>
  <si>
    <t xml:space="preserve"> revised plan is adopted in 2022</t>
  </si>
  <si>
    <t>DoT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</si>
</sst>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4">
    <numFmt numFmtId="41" formatCode="_-* #,##0_-;\-* #,##0_-;_-* &quot;-&quot;_-;_-@_-"/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_-&quot;£&quot;* #,##0.00_-;\-&quot;£&quot;* #,##0.00_-;_-&quot;£&quot;* &quot;-&quot;??_-;_-@_-"/>
    <numFmt numFmtId="165" formatCode="#,##0;[Red]\(#,##0\);\-"/>
    <numFmt numFmtId="166" formatCode="0.0%"/>
    <numFmt numFmtId="167" formatCode="#,##0.00;[Red]\(#,##0.00\);\-"/>
    <numFmt numFmtId="168" formatCode="#,##0.0%;[Red]\(#,##0.0%\);\-"/>
    <numFmt numFmtId="169" formatCode="#,##0.00%;[Red]\(#,##0.00%\);\-"/>
    <numFmt numFmtId="170" formatCode="#,##0%;[Red]\(#,##0%\);\-"/>
    <numFmt numFmtId="171" formatCode="_(* #,##0.00_);_(* \(#,##0.00\);_(* &quot;-&quot;??_);_(@_)"/>
    <numFmt numFmtId="172" formatCode="#,##0.0"/>
    <numFmt numFmtId="173" formatCode="0.0"/>
    <numFmt numFmtId="174" formatCode="_-* #,##0.0_-;\-* #,##0.0_-;_-* &quot;-&quot;??_-;_-@_-"/>
    <numFmt numFmtId="175" formatCode="#,##0.0;[Red]\(#,##0.0\);\-"/>
    <numFmt numFmtId="176" formatCode="#,##0.000"/>
    <numFmt numFmtId="177" formatCode="_(* #,##0.0_);_(* \(#,##0.0\);_(* &quot;-&quot;??_);_(@_)"/>
    <numFmt numFmtId="178" formatCode="_-\ #,##0.0_-;\-\ #,##0.0_-;_-\ &quot;-&quot;??_-;_-@_-"/>
    <numFmt numFmtId="179" formatCode="_-\ #,##0.00_-;\-\ #,##0.00_-;_-\ &quot;-&quot;??_-;_-@_-"/>
    <numFmt numFmtId="180" formatCode="_(* #,##0.0000000_);_(* \(#,##0.0000000\);_(* &quot;-&quot;??_);_(@_)"/>
    <numFmt numFmtId="181" formatCode="_-* #,##0.00\ _€_-;\-* #,##0.00\ _€_-;_-* &quot;-&quot;??\ _€_-;_-@_-"/>
    <numFmt numFmtId="182" formatCode="0.000000"/>
    <numFmt numFmtId="183" formatCode="#,##0.000000"/>
    <numFmt numFmtId="184" formatCode="_-* #,##0\ _€_-;\-* #,##0\ _€_-;_-* &quot;-&quot;??\ _€_-;_-@_-"/>
    <numFmt numFmtId="185" formatCode="#,##0.0000000000"/>
    <numFmt numFmtId="186" formatCode="_-* #,##0.00\ &quot;€&quot;_-;\-* #,##0.00\ &quot;€&quot;_-;_-* &quot;-&quot;??\ &quot;€&quot;_-;_-@_-"/>
    <numFmt numFmtId="187" formatCode="\$#,##0.0,_);[Red]&quot;($&quot;#,##0.0,\)"/>
    <numFmt numFmtId="188" formatCode="#,##0.00%;[Red]\(#,##0.00%\);&quot;-&quot;"/>
    <numFmt numFmtId="189" formatCode="#,##0;[Red]\-#,##0;\-"/>
    <numFmt numFmtId="190" formatCode="#,##0;[Red]\(#,##0\);&quot;-&quot;"/>
    <numFmt numFmtId="191" formatCode="#,##0,_);[Red]\(#,##0,\)"/>
    <numFmt numFmtId="192" formatCode="#,##0.00;[Red]\(#,##0.00\);&quot;-&quot;"/>
    <numFmt numFmtId="193" formatCode="_(* #,##0_);_(* \(#,##0\)"/>
    <numFmt numFmtId="194" formatCode="\ \-\ \ "/>
    <numFmt numFmtId="195" formatCode="mmm\-yyyy"/>
    <numFmt numFmtId="196" formatCode="dd\ mmm\ yy"/>
    <numFmt numFmtId="197" formatCode="#,##0;\(#,##0\)"/>
    <numFmt numFmtId="198" formatCode="#,##0;\-#,##0;\-"/>
    <numFmt numFmtId="199" formatCode="#,##0_ ;[Red]\(#,##0\);\-\ "/>
    <numFmt numFmtId="200" formatCode="#,##0;\(#,##0\);\-"/>
    <numFmt numFmtId="201" formatCode="#,###\ ;[Red]\(#,###\);[Blue]0\ ;[Magenta]&quot;null value !&quot;"/>
    <numFmt numFmtId="202" formatCode="&quot;þ&quot;;&quot;ý&quot;;&quot;¨&quot;"/>
    <numFmt numFmtId="203" formatCode="&quot;þ&quot;;;&quot;o&quot;;"/>
    <numFmt numFmtId="204" formatCode="#,##0.0_);[Red]\(#,##0.0\)"/>
    <numFmt numFmtId="205" formatCode="#,##0.00\ ;[Red]\(#,##0.00\)"/>
    <numFmt numFmtId="206" formatCode="_-* #,##0.00\ _л_в_._-;\-* #,##0.00\ _л_в_._-;_-* &quot;-&quot;??\ _л_в_._-;_-@_-"/>
    <numFmt numFmtId="207" formatCode="_-* #,##0.00\ _F_-;\-* #,##0.00\ _F_-;_-* &quot;-&quot;??\ _F_-;_-@_-"/>
    <numFmt numFmtId="208" formatCode="\$#,##0_);[Red]&quot;($&quot;#,##0\)"/>
    <numFmt numFmtId="209" formatCode="\$#,##0.00_);[Red]&quot;($&quot;#,##0.00\)"/>
    <numFmt numFmtId="210" formatCode="dd\-mmm\-yyyy;;"/>
    <numFmt numFmtId="211" formatCode="0.0;***;;"/>
    <numFmt numFmtId="212" formatCode="#,##0_);\(#,##0\);&quot;- &quot;;&quot;  &quot;@"/>
    <numFmt numFmtId="213" formatCode="_-* #,##0\ _D_M_-;\-* #,##0\ _D_M_-;_-* &quot;-&quot;\ _D_M_-;_-@_-"/>
    <numFmt numFmtId="214" formatCode="_-* #,##0.00\ _D_M_-;\-* #,##0.00\ _D_M_-;_-* &quot;-&quot;??\ _D_M_-;_-@_-"/>
    <numFmt numFmtId="215" formatCode="_-* #,##0.00\ _z_ł_-;\-* #,##0.00\ _z_ł_-;_-* &quot;-&quot;??\ _z_ł_-;_-@_-"/>
    <numFmt numFmtId="216" formatCode="[Green]&quot;é&quot;;[Red]&quot;ê&quot;;&quot;ù&quot;;"/>
    <numFmt numFmtId="217" formatCode="_(&quot;€&quot;* #,##0.00_);_(&quot;€&quot;* \(#,##0.00\);_(&quot;€&quot;* &quot;-&quot;??_);_(@_)"/>
    <numFmt numFmtId="218" formatCode="#,##0.00&quot; € &quot;;\-#,##0.00&quot; € &quot;;&quot; -&quot;#&quot; € &quot;;@\ "/>
    <numFmt numFmtId="219" formatCode="_-* #,##0.00\ [$€]_-;\-* #,##0.00\ [$€]_-;_-* &quot;-&quot;??\ [$€]_-;_-@_-"/>
    <numFmt numFmtId="220" formatCode="_-* #,##0.00\ [$€-1]_-;\-* #,##0.00\ [$€-1]_-;_-* &quot;-&quot;??\ [$€-1]_-"/>
    <numFmt numFmtId="221" formatCode="_-[$€-2]\ * #,##0.00_-;\-[$€-2]\ * #,##0.00_-;_-[$€-2]\ * &quot;-&quot;??_-"/>
    <numFmt numFmtId="222" formatCode="_-[$€-2]\ * #,##0.00_-;\-[$€-2]\ * #,##0.00_-;_-[$€-2]\ * &quot;-&quot;??_-;_-@_-"/>
    <numFmt numFmtId="223" formatCode="_([$€-2]* #,##0.00_);_([$€-2]* \(#,##0.00\);_([$€-2]* &quot;-&quot;??_)"/>
    <numFmt numFmtId="224" formatCode="#,##0.00\ [$€]\ ;\-#,##0.00\ [$€]\ ;&quot; -&quot;#\ [$€]\ ;@\ "/>
    <numFmt numFmtId="225" formatCode="0.0000;[Red]\-0.0000;"/>
    <numFmt numFmtId="226" formatCode="#,##0;\(#,##0\);0"/>
    <numFmt numFmtId="227" formatCode="_(* #,##0.0_%_);_(* \(#,##0.0_%\);_(* &quot; - &quot;_%_);_(@_)"/>
    <numFmt numFmtId="228" formatCode="_(* #,##0.0%_);_(* \(#,##0.0%\);_(* &quot; - &quot;\%_);_(@_)"/>
    <numFmt numFmtId="229" formatCode="_(* #,##0.0_);_(* \(#,##0.0\);_(* &quot; - &quot;_);_(@_)"/>
    <numFmt numFmtId="230" formatCode="_(* #,##0.00_);_(* \(#,##0.00\);_(* &quot; - &quot;_);_(@_)"/>
    <numFmt numFmtId="231" formatCode="_(* #,##0.000_);_(* \(#,##0.000\);_(* &quot; - &quot;_);_(@_)"/>
    <numFmt numFmtId="232" formatCode="#,##0;\(#,##0\);&quot;-&quot;"/>
    <numFmt numFmtId="233" formatCode="_ * #,##0_ ;_ * \-#,##0_ ;_ * &quot;-&quot;_ ;_ @_ "/>
    <numFmt numFmtId="234" formatCode="#,##0.0000_);\(#,##0.0000\);&quot;- &quot;;&quot;  &quot;@"/>
    <numFmt numFmtId="235" formatCode="#,##0.0_ ;[Red]\-#,##0.0\ "/>
    <numFmt numFmtId="236" formatCode="_-* #,##0\ [$F]_-;\-* #,##0\ [$F]_-;_-* &quot;-&quot;\ [$F]_-;_-@_-"/>
    <numFmt numFmtId="237" formatCode="#,##0.0_);\(#,##0.0\)"/>
    <numFmt numFmtId="238" formatCode="[Blue]#,##0\ ;[Red]\(#,##0\)"/>
    <numFmt numFmtId="239" formatCode="#,##0\ ;[Red]\(#,##0\);\-\ "/>
    <numFmt numFmtId="240" formatCode="&quot;Lookup&quot;\ 0"/>
    <numFmt numFmtId="241" formatCode="#,##0_);\(#,##0_)\)"/>
    <numFmt numFmtId="242" formatCode="#,##0.00&quot;$&quot;\ ;\(#,##0.00&quot;$&quot;\)"/>
    <numFmt numFmtId="243" formatCode="_-\ #,##0.0,,\ _€_-;[Red]\-\ #,##0.0,,\ _€_-;_-\ &quot;-&quot;\ _€_-;_-@_-"/>
    <numFmt numFmtId="244" formatCode="_-* #,##0.00\ &quot;F&quot;_-;\-* #,##0.00\ &quot;F&quot;_-;_-* &quot;-&quot;??\ &quot;F&quot;_-;_-@_-"/>
    <numFmt numFmtId="245" formatCode="0.000%;[Red]\-0.000%;"/>
    <numFmt numFmtId="246" formatCode="###0_);\(###0\);&quot;- &quot;;&quot;  &quot;@"/>
    <numFmt numFmtId="247" formatCode="_(* #,##0.0_);_(* \(#,##0.0\);_(* &quot;-&quot;?_);_(@_)"/>
    <numFmt numFmtId="248" formatCode="00\.00\.00\.0\.0000\.0"/>
    <numFmt numFmtId="249" formatCode="0.00%_);[Red]\(0.00%\);&quot;&quot;"/>
    <numFmt numFmtId="250" formatCode="0.000%_);[Red]\(0.000%\);&quot;&quot;"/>
    <numFmt numFmtId="251" formatCode="&quot;Period &quot;0"/>
    <numFmt numFmtId="252" formatCode="_-* #,##0.0\ _F_-;\-* #,##0.0\ _F_-;_-* &quot;-&quot;??\ _F_-;_-@_-"/>
    <numFmt numFmtId="253" formatCode="_-* #,##0\ _F_-;\-* #,##0\ _F_-;_-* &quot;-&quot;??\ _F_-;_-@_-"/>
    <numFmt numFmtId="254" formatCode="#,##0.0&quot;$&quot;\ ;\(#,##0.0&quot;$&quot;\)"/>
    <numFmt numFmtId="255" formatCode="0.00;[Red]\-0.00;"/>
    <numFmt numFmtId="256" formatCode="dd\-mmm\-yy;;"/>
    <numFmt numFmtId="257" formatCode="##0.00"/>
    <numFmt numFmtId="258" formatCode="###,000"/>
    <numFmt numFmtId="259" formatCode="##0.0"/>
    <numFmt numFmtId="260" formatCode="0\.0000\.0"/>
    <numFmt numFmtId="261" formatCode="_-* #,##0&quot; €&quot;_-;\-* #,##0&quot; €&quot;_-;_-* \-??&quot; €&quot;_-;_-@_-"/>
    <numFmt numFmtId="262" formatCode="0;[Red]\-0;;@"/>
    <numFmt numFmtId="263" formatCode="_-* #,##0\ _m_k_-;_-* #,##0\ _m_k\-;_-* &quot;-&quot;\ _m_k_-;_-@_-"/>
    <numFmt numFmtId="264" formatCode="#,##0_);[Red]\(#,##0\);"/>
    <numFmt numFmtId="265" formatCode="_-* #,##0\ &quot;mk&quot;_-;_-* #,##0\ &quot;mk&quot;\-;_-* &quot;-&quot;\ &quot;mk&quot;_-;_-@_-"/>
    <numFmt numFmtId="266" formatCode="_-&quot;€&quot;\ * #,##0.00_-;\-&quot;€&quot;\ * #,##0.00_-;_-&quot;€&quot;\ * &quot;-&quot;??_-;_-@_-"/>
    <numFmt numFmtId="267" formatCode="_-* #,##0\ &quot;DM&quot;_-;\-* #,##0\ &quot;DM&quot;_-;_-* &quot;-&quot;\ &quot;DM&quot;_-;_-@_-"/>
    <numFmt numFmtId="268" formatCode="_-* #,##0.00\ &quot;DM&quot;_-;\-* #,##0.00\ &quot;DM&quot;_-;_-* &quot;-&quot;??\ &quot;DM&quot;_-;_-@_-"/>
    <numFmt numFmtId="269" formatCode="&quot;Year &quot;0"/>
    <numFmt numFmtId="270" formatCode="_-* #,##0\ _€_-;\-* #,##0\ _€_-;_-* &quot;-&quot;\ _€_-;_-@_-"/>
    <numFmt numFmtId="271" formatCode="_ * #,##0.00_ ;_ * \-#,##0.00_ ;_ * &quot;-&quot;??_ ;_ @_ "/>
    <numFmt numFmtId="272" formatCode="0.00000000"/>
    <numFmt numFmtId="273" formatCode="0.00000"/>
    <numFmt numFmtId="274" formatCode="#,##0;[Red]#,##0"/>
  </numFmts>
  <fonts count="3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3"/>
      <color theme="0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9"/>
      <name val="Calibri"/>
      <family val="2"/>
    </font>
    <font>
      <sz val="11"/>
      <name val="Arial"/>
      <family val="2"/>
    </font>
    <font>
      <sz val="10"/>
      <name val="Arial"/>
      <family val="2"/>
    </font>
    <font>
      <i/>
      <sz val="9"/>
      <name val="Calibri"/>
      <family val="2"/>
    </font>
    <font>
      <strike/>
      <sz val="9"/>
      <name val="Calibri"/>
      <family val="2"/>
    </font>
    <font>
      <b/>
      <sz val="9"/>
      <name val="Calibri"/>
      <family val="2"/>
    </font>
    <font>
      <sz val="11"/>
      <name val="Calibri"/>
      <family val="2"/>
    </font>
    <font>
      <sz val="8.5"/>
      <name val="Calibri"/>
      <family val="2"/>
    </font>
    <font>
      <sz val="11"/>
      <name val="Arial"/>
      <family val="2"/>
    </font>
    <font>
      <b/>
      <sz val="8.5"/>
      <name val="Calibri"/>
      <family val="2"/>
    </font>
    <font>
      <sz val="9"/>
      <color rgb="FF00B050"/>
      <name val="Calibri"/>
      <family val="2"/>
    </font>
    <font>
      <i/>
      <sz val="9"/>
      <color rgb="FF00B050"/>
      <name val="Calibri"/>
      <family val="2"/>
    </font>
    <font>
      <strike/>
      <sz val="9"/>
      <color rgb="FF00B050"/>
      <name val="Calibri"/>
      <family val="2"/>
    </font>
    <font>
      <sz val="9"/>
      <color theme="4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charset val="238"/>
    </font>
    <font>
      <b/>
      <i/>
      <sz val="8"/>
      <name val="Calibri"/>
      <family val="2"/>
    </font>
    <font>
      <i/>
      <sz val="8"/>
      <name val="Calibri"/>
      <family val="2"/>
    </font>
    <font>
      <sz val="10"/>
      <color theme="4"/>
      <name val="Calibri"/>
      <family val="2"/>
    </font>
    <font>
      <sz val="10"/>
      <color rgb="FF00B050"/>
      <name val="Calibri"/>
      <family val="2"/>
    </font>
    <font>
      <sz val="10"/>
      <color rgb="FF0070C0"/>
      <name val="Calibri"/>
      <family val="2"/>
    </font>
    <font>
      <b/>
      <sz val="10"/>
      <color rgb="FF0070C0"/>
      <name val="Calibri"/>
      <family val="2"/>
    </font>
    <font>
      <b/>
      <sz val="10"/>
      <name val="Arial"/>
      <family val="2"/>
    </font>
    <font>
      <sz val="8"/>
      <name val="Calibri"/>
      <family val="2"/>
    </font>
    <font>
      <b/>
      <sz val="10"/>
      <color rgb="FF00B050"/>
      <name val="Calibri"/>
      <family val="2"/>
    </font>
    <font>
      <i/>
      <sz val="10"/>
      <name val="Calibri"/>
      <family val="2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i/>
      <sz val="9"/>
      <name val="Calibri"/>
      <family val="2"/>
    </font>
    <font>
      <i/>
      <sz val="9"/>
      <color rgb="FF0070C0"/>
      <name val="Calibri"/>
      <family val="2"/>
    </font>
    <font>
      <sz val="9"/>
      <color rgb="FF0070C0"/>
      <name val="Calibri"/>
      <family val="2"/>
    </font>
    <font>
      <b/>
      <sz val="9"/>
      <color theme="1"/>
      <name val="Calibri"/>
      <family val="2"/>
    </font>
    <font>
      <b/>
      <i/>
      <sz val="9"/>
      <color theme="1"/>
      <name val="Calibri"/>
      <family val="2"/>
    </font>
    <font>
      <sz val="9"/>
      <color theme="1"/>
      <name val="Calibri"/>
      <family val="2"/>
    </font>
    <font>
      <i/>
      <sz val="9"/>
      <color theme="1"/>
      <name val="Calibri"/>
      <family val="2"/>
    </font>
    <font>
      <i/>
      <sz val="9"/>
      <color theme="4"/>
      <name val="Calibri"/>
      <family val="2"/>
    </font>
    <font>
      <strike/>
      <sz val="9"/>
      <color theme="1"/>
      <name val="Calibri"/>
      <family val="2"/>
    </font>
    <font>
      <b/>
      <i/>
      <sz val="9"/>
      <color theme="4"/>
      <name val="Calibri"/>
      <family val="2"/>
    </font>
    <font>
      <b/>
      <sz val="9"/>
      <color theme="4"/>
      <name val="Calibri"/>
      <family val="2"/>
    </font>
    <font>
      <strike/>
      <sz val="9"/>
      <color theme="4"/>
      <name val="Calibri"/>
      <family val="2"/>
    </font>
    <font>
      <sz val="9"/>
      <color theme="6" tint="0.39997558519241921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theme="4"/>
      <name val="Calibri"/>
      <family val="2"/>
    </font>
    <font>
      <b/>
      <sz val="9"/>
      <color rgb="FFFF0000"/>
      <name val="Calibri"/>
      <family val="2"/>
    </font>
    <font>
      <sz val="9"/>
      <color rgb="FFFF0000"/>
      <name val="Calibri"/>
      <family val="2"/>
    </font>
    <font>
      <b/>
      <i/>
      <sz val="9"/>
      <color rgb="FF0070C0"/>
      <name val="Calibri"/>
      <family val="2"/>
    </font>
    <font>
      <b/>
      <sz val="9"/>
      <color rgb="FF0070C0"/>
      <name val="Calibri"/>
      <family val="2"/>
    </font>
    <font>
      <u/>
      <sz val="9"/>
      <name val="Calibri"/>
      <family val="2"/>
    </font>
    <font>
      <sz val="9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b/>
      <sz val="11"/>
      <name val="Arial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1"/>
      <name val="Times New Roman"/>
      <family val="1"/>
    </font>
    <font>
      <sz val="10"/>
      <name val="Arial"/>
      <family val="2"/>
      <charset val="204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10"/>
      <name val="Helv"/>
      <family val="2"/>
    </font>
    <font>
      <b/>
      <sz val="8"/>
      <color indexed="9"/>
      <name val="Arial"/>
      <family val="2"/>
    </font>
    <font>
      <i/>
      <sz val="8"/>
      <name val="Arial"/>
      <family val="2"/>
    </font>
    <font>
      <b/>
      <i/>
      <sz val="8"/>
      <color indexed="9"/>
      <name val="Arial"/>
      <family val="2"/>
    </font>
    <font>
      <b/>
      <i/>
      <sz val="10"/>
      <color indexed="32"/>
      <name val="Arial"/>
      <family val="2"/>
    </font>
    <font>
      <sz val="10"/>
      <name val="Book Antiqua"/>
      <family val="1"/>
    </font>
    <font>
      <b/>
      <i/>
      <sz val="10"/>
      <name val="Arial Narrow"/>
      <family val="2"/>
    </font>
    <font>
      <sz val="12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theme="1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204"/>
    </font>
    <font>
      <b/>
      <sz val="11"/>
      <color indexed="56"/>
      <name val="Calibri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Calibri"/>
      <family val="2"/>
      <charset val="238"/>
    </font>
    <font>
      <sz val="10"/>
      <color indexed="9"/>
      <name val="Arial"/>
      <family val="2"/>
    </font>
    <font>
      <sz val="11"/>
      <color indexed="9"/>
      <name val="Arial"/>
      <family val="2"/>
    </font>
    <font>
      <sz val="11"/>
      <color indexed="9"/>
      <name val="Calibri"/>
      <family val="2"/>
      <charset val="186"/>
    </font>
    <font>
      <sz val="11"/>
      <color indexed="9"/>
      <name val="Calibri"/>
      <family val="2"/>
      <charset val="204"/>
    </font>
    <font>
      <sz val="12"/>
      <color indexed="9"/>
      <name val="Calibri"/>
      <family val="2"/>
    </font>
    <font>
      <sz val="10"/>
      <name val="Frutiger 55 Roman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Helv"/>
    </font>
    <font>
      <b/>
      <sz val="8"/>
      <name val="Arial"/>
      <family val="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86"/>
    </font>
    <font>
      <sz val="10"/>
      <color indexed="12"/>
      <name val="Arial"/>
      <family val="2"/>
    </font>
    <font>
      <sz val="10"/>
      <name val="MS Sans Serif"/>
      <family val="2"/>
    </font>
    <font>
      <sz val="9"/>
      <color indexed="12"/>
      <name val="Arial"/>
      <family val="2"/>
    </font>
    <font>
      <sz val="7"/>
      <name val="Arial"/>
      <family val="2"/>
    </font>
    <font>
      <b/>
      <sz val="11"/>
      <color indexed="63"/>
      <name val="Calibri"/>
      <family val="2"/>
    </font>
    <font>
      <sz val="12"/>
      <color indexed="10"/>
      <name val="Calibri"/>
      <family val="2"/>
    </font>
    <font>
      <sz val="10"/>
      <color rgb="FFFF0000"/>
      <name val="Arial"/>
      <family val="2"/>
    </font>
    <font>
      <sz val="10"/>
      <name val="Times New Roman"/>
      <family val="1"/>
    </font>
    <font>
      <sz val="11"/>
      <color indexed="62"/>
      <name val="Calibri"/>
      <family val="2"/>
      <charset val="238"/>
    </font>
    <font>
      <sz val="12"/>
      <color indexed="17"/>
      <name val="Calibri"/>
      <family val="2"/>
    </font>
    <font>
      <sz val="8"/>
      <name val="Times New Roman"/>
      <family val="1"/>
    </font>
    <font>
      <sz val="11"/>
      <color indexed="17"/>
      <name val="Calibri"/>
      <family val="2"/>
    </font>
    <font>
      <sz val="10"/>
      <name val="ZapfDingbats"/>
      <family val="2"/>
    </font>
    <font>
      <sz val="10"/>
      <color indexed="40"/>
      <name val="Arial"/>
      <family val="2"/>
    </font>
    <font>
      <b/>
      <sz val="11"/>
      <color indexed="52"/>
      <name val="Arial"/>
      <family val="2"/>
    </font>
    <font>
      <b/>
      <sz val="12"/>
      <color indexed="52"/>
      <name val="Calibri"/>
      <family val="2"/>
    </font>
    <font>
      <b/>
      <sz val="10"/>
      <color rgb="FFFA7D00"/>
      <name val="Arial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b/>
      <sz val="11"/>
      <color indexed="9"/>
      <name val="Arial"/>
      <family val="2"/>
    </font>
    <font>
      <sz val="12"/>
      <color indexed="52"/>
      <name val="Calibri"/>
      <family val="2"/>
    </font>
    <font>
      <sz val="10"/>
      <color rgb="FFFA7D00"/>
      <name val="Arial"/>
      <family val="2"/>
    </font>
    <font>
      <sz val="14"/>
      <name val="Wingdings"/>
      <charset val="2"/>
    </font>
    <font>
      <sz val="22"/>
      <color indexed="12"/>
      <name val="Wingdings"/>
      <charset val="2"/>
    </font>
    <font>
      <sz val="22"/>
      <name val="Wingdings"/>
      <charset val="2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b/>
      <u val="singleAccounting"/>
      <sz val="11"/>
      <name val="Arial"/>
      <family val="2"/>
    </font>
    <font>
      <sz val="8"/>
      <name val="Palatino"/>
      <family val="1"/>
    </font>
    <font>
      <sz val="11"/>
      <name val="Arial"/>
      <family val="2"/>
      <charset val="204"/>
    </font>
    <font>
      <sz val="10"/>
      <name val="Times New Roman"/>
      <family val="1"/>
      <charset val="238"/>
    </font>
    <font>
      <sz val="10"/>
      <name val="Times New Roman"/>
      <family val="1"/>
      <charset val="204"/>
    </font>
    <font>
      <sz val="10"/>
      <color indexed="45"/>
      <name val="Arial"/>
      <family val="2"/>
    </font>
    <font>
      <b/>
      <sz val="8"/>
      <color indexed="10"/>
      <name val="Arial"/>
      <family val="2"/>
    </font>
    <font>
      <b/>
      <sz val="16"/>
      <color indexed="9"/>
      <name val="Arial"/>
      <family val="2"/>
    </font>
    <font>
      <b/>
      <sz val="16"/>
      <name val="Arial"/>
      <family val="2"/>
    </font>
    <font>
      <sz val="10"/>
      <name val="BERNHARD"/>
    </font>
    <font>
      <sz val="11"/>
      <color indexed="62"/>
      <name val="Calibri"/>
      <family val="2"/>
    </font>
    <font>
      <sz val="10"/>
      <color indexed="50"/>
      <name val="Arial"/>
      <family val="2"/>
    </font>
    <font>
      <sz val="11"/>
      <color indexed="8"/>
      <name val="Czcionka tekstu podstawowego"/>
      <family val="2"/>
      <charset val="238"/>
    </font>
    <font>
      <sz val="16"/>
      <name val="Wingdings"/>
      <charset val="2"/>
    </font>
    <font>
      <b/>
      <sz val="11"/>
      <color indexed="9"/>
      <name val="Calibri"/>
      <family val="2"/>
      <charset val="238"/>
    </font>
    <font>
      <b/>
      <sz val="10"/>
      <name val="CG Times (W1)"/>
    </font>
    <font>
      <sz val="12"/>
      <color indexed="62"/>
      <name val="Calibri"/>
      <family val="2"/>
    </font>
    <font>
      <sz val="10"/>
      <color rgb="FF3F3F76"/>
      <name val="Arial"/>
      <family val="2"/>
    </font>
    <font>
      <sz val="8"/>
      <name val="MS Sans Serif"/>
      <family val="2"/>
    </font>
    <font>
      <sz val="12"/>
      <color indexed="8"/>
      <name val="Calibri"/>
      <family val="2"/>
    </font>
    <font>
      <b/>
      <sz val="32"/>
      <name val="Helvetica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1"/>
      <color indexed="10"/>
      <name val="Calibri"/>
      <family val="2"/>
      <charset val="238"/>
    </font>
    <font>
      <sz val="10"/>
      <color indexed="24"/>
      <name val="Arial"/>
      <family val="2"/>
    </font>
    <font>
      <sz val="10"/>
      <name val="Helvetica"/>
      <family val="2"/>
    </font>
    <font>
      <sz val="7"/>
      <name val="Palatino"/>
      <family val="1"/>
    </font>
    <font>
      <sz val="9"/>
      <name val="Arial"/>
      <family val="2"/>
    </font>
    <font>
      <b/>
      <sz val="18"/>
      <color indexed="17"/>
      <name val="MS Sans Serif"/>
      <family val="2"/>
    </font>
    <font>
      <sz val="10"/>
      <color indexed="18"/>
      <name val="Arial"/>
      <family val="2"/>
    </font>
    <font>
      <sz val="10"/>
      <color indexed="23"/>
      <name val="Arial"/>
      <family val="2"/>
    </font>
    <font>
      <sz val="11"/>
      <color indexed="20"/>
      <name val="Calibri"/>
      <family val="2"/>
      <charset val="186"/>
    </font>
    <font>
      <sz val="9"/>
      <name val="Futura UBS Bk"/>
      <family val="2"/>
    </font>
    <font>
      <sz val="11"/>
      <color indexed="17"/>
      <name val="Calibri"/>
      <family val="2"/>
      <charset val="186"/>
    </font>
    <font>
      <b/>
      <sz val="12"/>
      <name val="Arial"/>
      <family val="2"/>
    </font>
    <font>
      <b/>
      <sz val="10"/>
      <name val="Tahoma"/>
      <family val="2"/>
    </font>
    <font>
      <b/>
      <u/>
      <sz val="16"/>
      <color indexed="10"/>
      <name val="Palatino"/>
      <family val="1"/>
    </font>
    <font>
      <b/>
      <sz val="15"/>
      <color indexed="62"/>
      <name val="Calibri"/>
      <family val="2"/>
    </font>
    <font>
      <b/>
      <sz val="10"/>
      <color indexed="18"/>
      <name val="Arial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i/>
      <sz val="12"/>
      <name val="Arial"/>
      <family val="2"/>
    </font>
    <font>
      <sz val="8"/>
      <color indexed="12"/>
      <name val="Helv"/>
    </font>
    <font>
      <sz val="8"/>
      <color indexed="49"/>
      <name val="Arial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186"/>
    </font>
    <font>
      <u/>
      <sz val="10"/>
      <color indexed="12"/>
      <name val="MS Sans Serif"/>
      <family val="2"/>
    </font>
    <font>
      <u/>
      <sz val="11"/>
      <color indexed="12"/>
      <name val="Calibri"/>
      <family val="2"/>
    </font>
    <font>
      <u/>
      <sz val="10"/>
      <color indexed="12"/>
      <name val="Arial"/>
      <family val="2"/>
    </font>
    <font>
      <b/>
      <sz val="8"/>
      <color indexed="12"/>
      <name val="Arial"/>
      <family val="2"/>
    </font>
    <font>
      <sz val="11"/>
      <color indexed="62"/>
      <name val="Arial"/>
      <family val="2"/>
    </font>
    <font>
      <b/>
      <sz val="10"/>
      <color indexed="14"/>
      <name val="Times New Roman"/>
      <family val="1"/>
    </font>
    <font>
      <sz val="12"/>
      <color indexed="14"/>
      <name val="Calibri"/>
      <family val="2"/>
    </font>
    <font>
      <sz val="11"/>
      <color indexed="14"/>
      <name val="Calibri"/>
      <family val="2"/>
      <scheme val="minor"/>
    </font>
    <font>
      <sz val="10"/>
      <color rgb="FF9C0006"/>
      <name val="Arial"/>
      <family val="2"/>
    </font>
    <font>
      <sz val="8"/>
      <color indexed="17"/>
      <name val="Arial"/>
      <family val="2"/>
    </font>
    <font>
      <sz val="10"/>
      <name val="Arial CE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b/>
      <sz val="18"/>
      <name val="Helvetica"/>
      <family val="2"/>
    </font>
    <font>
      <u/>
      <sz val="11"/>
      <color theme="10"/>
      <name val="Calibri"/>
      <family val="2"/>
      <scheme val="minor"/>
    </font>
    <font>
      <sz val="11"/>
      <color indexed="52"/>
      <name val="Calibri"/>
      <family val="2"/>
      <charset val="186"/>
    </font>
    <font>
      <sz val="8"/>
      <color indexed="47"/>
      <name val="Arial"/>
      <family val="2"/>
    </font>
    <font>
      <i/>
      <sz val="11"/>
      <color indexed="23"/>
      <name val="Calibri"/>
      <family val="2"/>
      <charset val="238"/>
    </font>
    <font>
      <b/>
      <sz val="22"/>
      <name val="Arial"/>
      <family val="2"/>
    </font>
    <font>
      <sz val="10"/>
      <name val="Times New Roman"/>
      <family val="1"/>
      <charset val="186"/>
    </font>
    <font>
      <sz val="14"/>
      <name val="Helvetica"/>
      <family val="2"/>
    </font>
    <font>
      <sz val="10"/>
      <name val="Helv"/>
    </font>
    <font>
      <sz val="12"/>
      <name val="CG Times (W1)"/>
    </font>
    <font>
      <sz val="8"/>
      <name val="Helv"/>
    </font>
    <font>
      <b/>
      <sz val="7"/>
      <name val="Arial"/>
      <family val="2"/>
    </font>
    <font>
      <sz val="8"/>
      <color indexed="40"/>
      <name val="Arial"/>
      <family val="2"/>
    </font>
    <font>
      <b/>
      <sz val="10"/>
      <name val="MS Sans Serif"/>
      <family val="2"/>
    </font>
    <font>
      <sz val="8"/>
      <color indexed="10"/>
      <name val="Arial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60"/>
      <name val="Calibri"/>
      <family val="2"/>
      <charset val="186"/>
    </font>
    <font>
      <sz val="11"/>
      <color indexed="60"/>
      <name val="Arial"/>
      <family val="2"/>
    </font>
    <font>
      <sz val="12"/>
      <color indexed="60"/>
      <name val="Calibri"/>
      <family val="2"/>
    </font>
    <font>
      <sz val="10"/>
      <color rgb="FF9C6500"/>
      <name val="Arial"/>
      <family val="2"/>
    </font>
    <font>
      <sz val="10"/>
      <color indexed="8"/>
      <name val="Calibri"/>
      <family val="2"/>
    </font>
    <font>
      <sz val="10"/>
      <color indexed="64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</font>
    <font>
      <sz val="10"/>
      <color indexed="54"/>
      <name val="Arial"/>
      <family val="2"/>
    </font>
    <font>
      <sz val="9"/>
      <color indexed="8"/>
      <name val="Arial"/>
      <family val="2"/>
    </font>
    <font>
      <sz val="8"/>
      <color indexed="12"/>
      <name val="Arial"/>
      <family val="2"/>
    </font>
    <font>
      <b/>
      <sz val="11"/>
      <color indexed="8"/>
      <name val="Calibri"/>
      <family val="2"/>
      <charset val="238"/>
    </font>
    <font>
      <b/>
      <sz val="11"/>
      <color indexed="6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  <family val="2"/>
    </font>
    <font>
      <sz val="9"/>
      <color indexed="9"/>
      <name val="Geneva"/>
      <family val="2"/>
    </font>
    <font>
      <sz val="9"/>
      <color indexed="9"/>
      <name val="Geneva"/>
    </font>
    <font>
      <sz val="10"/>
      <name val="Swiss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0"/>
      <color indexed="64"/>
      <name val="Arial"/>
      <family val="2"/>
      <charset val="204"/>
    </font>
    <font>
      <sz val="10"/>
      <name val="Arial MT"/>
      <family val="2"/>
    </font>
    <font>
      <b/>
      <sz val="10"/>
      <color indexed="8"/>
      <name val="Arial"/>
      <family val="2"/>
    </font>
    <font>
      <b/>
      <sz val="8"/>
      <name val="Swiss"/>
    </font>
    <font>
      <b/>
      <i/>
      <u/>
      <sz val="10"/>
      <name val="Arial"/>
      <family val="2"/>
    </font>
    <font>
      <sz val="11"/>
      <color indexed="20"/>
      <name val="Calibri"/>
      <family val="2"/>
      <charset val="238"/>
    </font>
    <font>
      <sz val="16"/>
      <name val="Times New Roman"/>
      <family val="1"/>
    </font>
    <font>
      <b/>
      <sz val="18"/>
      <color indexed="62"/>
      <name val="Cambria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rgb="FF006100"/>
      <name val="Arial"/>
      <family val="2"/>
    </font>
    <font>
      <b/>
      <sz val="13"/>
      <color indexed="9"/>
      <name val="Frutiger 55 Roman"/>
    </font>
    <font>
      <i/>
      <sz val="11"/>
      <color indexed="23"/>
      <name val="Calibri"/>
      <family val="2"/>
      <charset val="186"/>
    </font>
    <font>
      <sz val="11"/>
      <color indexed="60"/>
      <name val="Calibri"/>
      <family val="2"/>
      <charset val="238"/>
    </font>
    <font>
      <sz val="11"/>
      <color indexed="62"/>
      <name val="Calibri"/>
      <family val="2"/>
      <charset val="186"/>
    </font>
    <font>
      <sz val="8"/>
      <name val="Helvetica"/>
      <family val="2"/>
    </font>
    <font>
      <b/>
      <sz val="12"/>
      <color indexed="63"/>
      <name val="Calibri"/>
      <family val="2"/>
    </font>
    <font>
      <b/>
      <sz val="10"/>
      <color rgb="FF3F3F3F"/>
      <name val="Arial"/>
      <family val="2"/>
    </font>
    <font>
      <sz val="12"/>
      <name val="Arial"/>
      <family val="2"/>
    </font>
    <font>
      <b/>
      <u/>
      <sz val="10"/>
      <name val="Helvetica"/>
      <family val="2"/>
    </font>
    <font>
      <b/>
      <u/>
      <sz val="10"/>
      <name val="Helv"/>
    </font>
    <font>
      <b/>
      <u/>
      <sz val="10"/>
      <name val="Helv"/>
      <family val="2"/>
    </font>
    <font>
      <sz val="10"/>
      <name val="Century Gothic"/>
      <family val="2"/>
    </font>
    <font>
      <sz val="10"/>
      <color indexed="19"/>
      <name val="Arial"/>
      <family val="2"/>
    </font>
    <font>
      <b/>
      <sz val="7"/>
      <color indexed="12"/>
      <name val="Arial"/>
      <family val="2"/>
    </font>
    <font>
      <b/>
      <sz val="11"/>
      <color indexed="52"/>
      <name val="Calibri"/>
      <family val="2"/>
      <charset val="238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8.5"/>
      <name val="Arial"/>
      <family val="2"/>
    </font>
    <font>
      <sz val="7"/>
      <name val="Times New Roman"/>
      <family val="1"/>
    </font>
    <font>
      <sz val="11"/>
      <color indexed="10"/>
      <name val="Arial"/>
      <family val="2"/>
    </font>
    <font>
      <i/>
      <sz val="11"/>
      <color indexed="23"/>
      <name val="Arial"/>
      <family val="2"/>
    </font>
    <font>
      <b/>
      <i/>
      <sz val="10"/>
      <color indexed="10"/>
      <name val="Arial"/>
      <family val="2"/>
    </font>
    <font>
      <i/>
      <sz val="12"/>
      <color indexed="23"/>
      <name val="Calibri"/>
      <family val="2"/>
    </font>
    <font>
      <i/>
      <sz val="10"/>
      <color rgb="FF7F7F7F"/>
      <name val="Arial"/>
      <family val="2"/>
    </font>
    <font>
      <sz val="12"/>
      <name val="Arial MT"/>
    </font>
    <font>
      <b/>
      <sz val="16"/>
      <color indexed="24"/>
      <name val="Univers 45 Light"/>
      <family val="2"/>
    </font>
    <font>
      <b/>
      <sz val="14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b/>
      <sz val="13"/>
      <color indexed="62"/>
      <name val="Calibri"/>
      <family val="2"/>
      <scheme val="minor"/>
    </font>
    <font>
      <b/>
      <sz val="11"/>
      <color theme="3"/>
      <name val="Arial"/>
      <family val="2"/>
    </font>
    <font>
      <b/>
      <sz val="10"/>
      <name val="Helv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57"/>
      <name val="Arial"/>
      <family val="2"/>
    </font>
    <font>
      <b/>
      <sz val="11"/>
      <color indexed="63"/>
      <name val="Calibri"/>
      <family val="2"/>
      <charset val="186"/>
    </font>
    <font>
      <sz val="11"/>
      <color indexed="20"/>
      <name val="Arial"/>
      <family val="2"/>
    </font>
    <font>
      <sz val="11"/>
      <color indexed="17"/>
      <name val="Arial"/>
      <family val="2"/>
    </font>
    <font>
      <b/>
      <sz val="10"/>
      <color theme="0"/>
      <name val="Arial"/>
      <family val="2"/>
    </font>
    <font>
      <b/>
      <sz val="12"/>
      <color indexed="9"/>
      <name val="Calibri"/>
      <family val="2"/>
    </font>
    <font>
      <b/>
      <sz val="24"/>
      <name val="Helvetica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8"/>
      <name val="Calibri"/>
      <family val="2"/>
      <charset val="204"/>
    </font>
    <font>
      <i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rgb="FF000000"/>
      <name val="Calibri"/>
      <family val="2"/>
    </font>
    <font>
      <b/>
      <i/>
      <sz val="10"/>
      <color theme="1"/>
      <name val="Calibri"/>
      <family val="2"/>
    </font>
    <font>
      <b/>
      <i/>
      <sz val="10"/>
      <color rgb="FF000000"/>
      <name val="Calibri"/>
      <family val="2"/>
      <scheme val="minor"/>
    </font>
    <font>
      <b/>
      <sz val="18"/>
      <color theme="1"/>
      <name val="Calibri"/>
      <family val="2"/>
    </font>
    <font>
      <i/>
      <sz val="9"/>
      <color rgb="FFFF0000"/>
      <name val="Calibri"/>
      <family val="2"/>
    </font>
    <font>
      <b/>
      <sz val="10"/>
      <color rgb="FF000000"/>
      <name val="Calibri"/>
      <family val="2"/>
    </font>
    <font>
      <i/>
      <sz val="10"/>
      <color rgb="FF000000"/>
      <name val="Calibri"/>
      <family val="2"/>
    </font>
    <font>
      <b/>
      <sz val="13"/>
      <name val="Calibri"/>
      <family val="2"/>
    </font>
    <font>
      <b/>
      <sz val="13"/>
      <color theme="0" tint="-0.499984740745262"/>
      <name val="Calibri"/>
      <family val="2"/>
    </font>
    <font>
      <b/>
      <sz val="10"/>
      <color rgb="FF000000"/>
      <name val="Calibri"/>
    </font>
    <font>
      <b/>
      <sz val="10"/>
      <color theme="1"/>
      <name val="Calibri"/>
    </font>
    <font>
      <sz val="10"/>
      <color theme="1"/>
      <name val="Calibri"/>
    </font>
    <font>
      <sz val="10"/>
      <color rgb="FF000000"/>
      <name val="Calibri"/>
    </font>
    <font>
      <i/>
      <sz val="10"/>
      <color theme="1"/>
      <name val="Calibri"/>
    </font>
  </fonts>
  <fills count="1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gray0625">
        <fgColor indexed="9"/>
        <bgColor indexed="47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EEAD3" tint="0.799951170384838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1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1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14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62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7"/>
        <bgColor indexed="22"/>
      </patternFill>
    </fill>
    <fill>
      <patternFill patternType="solid">
        <fgColor indexed="53"/>
      </patternFill>
    </fill>
    <fill>
      <patternFill patternType="gray125">
        <fgColor indexed="11"/>
        <b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8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gray0625">
        <f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2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24"/>
        <bgColor indexed="46"/>
      </patternFill>
    </fill>
    <fill>
      <patternFill patternType="solid">
        <fgColor indexed="29"/>
        <bgColor indexed="45"/>
      </patternFill>
    </fill>
    <fill>
      <patternFill patternType="solid">
        <fgColor indexed="51"/>
        <bgColor indexed="13"/>
      </patternFill>
    </fill>
    <fill>
      <patternFill patternType="solid">
        <fgColor indexed="51"/>
        <bgColor indexed="64"/>
      </patternFill>
    </fill>
    <fill>
      <patternFill patternType="solid">
        <fgColor indexed="49"/>
        <bgColor indexed="64"/>
      </patternFill>
    </fill>
    <fill>
      <patternFill patternType="gray125">
        <fgColor indexed="15"/>
      </patternFill>
    </fill>
    <fill>
      <patternFill patternType="gray0625">
        <fgColor indexed="23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26"/>
      </patternFill>
    </fill>
    <fill>
      <patternFill patternType="mediumGray">
        <fgColor indexed="11"/>
      </patternFill>
    </fill>
    <fill>
      <patternFill patternType="mediumGray">
        <fgColor indexed="22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darkUp">
        <fgColor indexed="8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17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7D9D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FFE699"/>
        <bgColor indexed="64"/>
      </patternFill>
    </fill>
    <fill>
      <patternFill patternType="solid">
        <fgColor rgb="FFF2F2F2"/>
        <bgColor rgb="FF000000"/>
      </patternFill>
    </fill>
  </fills>
  <borders count="1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indexed="64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indexed="64"/>
      </right>
      <top style="thin">
        <color rgb="FFFFFFFF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indexed="64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hair">
        <color indexed="22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dashed">
        <color indexed="63"/>
      </left>
      <right style="dashed">
        <color indexed="63"/>
      </right>
      <top style="dashed">
        <color indexed="63"/>
      </top>
      <bottom style="dashed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ashed">
        <color indexed="28"/>
      </left>
      <right style="dashed">
        <color indexed="28"/>
      </right>
      <top style="dashed">
        <color indexed="28"/>
      </top>
      <bottom style="dashed">
        <color indexed="28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dotted">
        <color indexed="28"/>
      </left>
      <right style="dotted">
        <color indexed="28"/>
      </right>
      <top style="dotted">
        <color indexed="28"/>
      </top>
      <bottom style="dotted">
        <color indexed="28"/>
      </bottom>
      <diagonal/>
    </border>
    <border>
      <left style="hair">
        <color auto="1"/>
      </left>
      <right style="hair">
        <color auto="1"/>
      </right>
      <top style="dashed">
        <color auto="1"/>
      </top>
      <bottom style="dotted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dashed">
        <color indexed="55"/>
      </left>
      <right style="dashed">
        <color indexed="55"/>
      </right>
      <top style="dashed">
        <color indexed="55"/>
      </top>
      <bottom style="dashed">
        <color indexed="55"/>
      </bottom>
      <diagonal/>
    </border>
    <border>
      <left/>
      <right/>
      <top/>
      <bottom style="thick">
        <color indexed="4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/>
      <top style="hair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tted">
        <color indexed="10"/>
      </left>
      <right style="dotted">
        <color indexed="10"/>
      </right>
      <top style="dotted">
        <color indexed="10"/>
      </top>
      <bottom style="dotted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/>
      <top/>
      <bottom style="thick">
        <color indexed="48"/>
      </bottom>
      <diagonal/>
    </border>
    <border>
      <left/>
      <right style="thin">
        <color indexed="64"/>
      </right>
      <top/>
      <bottom style="thick">
        <color indexed="48"/>
      </bottom>
      <diagonal/>
    </border>
    <border>
      <left/>
      <right/>
      <top style="thick">
        <color indexed="48"/>
      </top>
      <bottom/>
      <diagonal/>
    </border>
    <border>
      <left/>
      <right style="thin">
        <color indexed="64"/>
      </right>
      <top style="thick">
        <color indexed="4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9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19"/>
      </top>
      <bottom style="double">
        <color indexed="1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thick">
        <color indexed="17"/>
      </bottom>
      <diagonal/>
    </border>
    <border>
      <left/>
      <right/>
      <top/>
      <bottom style="thick">
        <color indexed="11"/>
      </bottom>
      <diagonal/>
    </border>
    <border>
      <left/>
      <right/>
      <top/>
      <bottom style="medium">
        <color indexed="11"/>
      </bottom>
      <diagonal/>
    </border>
    <border>
      <left/>
      <right/>
      <top style="thin">
        <color indexed="17"/>
      </top>
      <bottom style="double">
        <color indexed="17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/>
      <right/>
      <top/>
      <bottom style="thin">
        <color indexed="4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medium">
        <color rgb="FF5B9BD5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indexed="64"/>
      </bottom>
      <diagonal/>
    </border>
    <border>
      <left style="thin">
        <color rgb="FFFFFFFF"/>
      </left>
      <right style="thin">
        <color indexed="64"/>
      </right>
      <top style="thin">
        <color rgb="FFFFFFFF"/>
      </top>
      <bottom style="thin">
        <color indexed="64"/>
      </bottom>
      <diagonal/>
    </border>
  </borders>
  <cellStyleXfs count="25910">
    <xf numFmtId="0" fontId="0" fillId="0" borderId="0"/>
    <xf numFmtId="9" fontId="1" fillId="0" borderId="0" applyFont="0" applyFill="0" applyBorder="0" applyAlignment="0" applyProtection="0"/>
    <xf numFmtId="0" fontId="3" fillId="4" borderId="0" applyProtection="0">
      <alignment vertical="center"/>
    </xf>
    <xf numFmtId="0" fontId="4" fillId="5" borderId="0">
      <alignment vertical="center"/>
    </xf>
    <xf numFmtId="0" fontId="5" fillId="0" borderId="1">
      <alignment vertical="center"/>
    </xf>
    <xf numFmtId="0" fontId="12" fillId="0" borderId="0"/>
    <xf numFmtId="171" fontId="17" fillId="0" borderId="0" applyFont="0" applyFill="0" applyBorder="0" applyAlignment="0" applyProtection="0"/>
    <xf numFmtId="0" fontId="18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8" fillId="0" borderId="0"/>
    <xf numFmtId="9" fontId="17" fillId="0" borderId="0" applyFont="0" applyFill="0" applyBorder="0" applyAlignment="0" applyProtection="0"/>
    <xf numFmtId="0" fontId="24" fillId="0" borderId="0"/>
    <xf numFmtId="9" fontId="17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9" fontId="15" fillId="0" borderId="0" applyFont="0" applyFill="0" applyBorder="0" applyAlignment="0" applyProtection="0"/>
    <xf numFmtId="181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8" fillId="0" borderId="0"/>
    <xf numFmtId="0" fontId="14" fillId="0" borderId="50" applyNumberFormat="0" applyFill="0" applyAlignment="0" applyProtection="0"/>
    <xf numFmtId="0" fontId="84" fillId="34" borderId="0" applyNumberFormat="0" applyBorder="0" applyAlignment="0" applyProtection="0"/>
    <xf numFmtId="0" fontId="84" fillId="38" borderId="0" applyNumberFormat="0" applyBorder="0" applyAlignment="0" applyProtection="0"/>
    <xf numFmtId="0" fontId="84" fillId="42" borderId="0" applyNumberFormat="0" applyBorder="0" applyAlignment="0" applyProtection="0"/>
    <xf numFmtId="0" fontId="84" fillId="46" borderId="0" applyNumberFormat="0" applyBorder="0" applyAlignment="0" applyProtection="0"/>
    <xf numFmtId="0" fontId="84" fillId="50" borderId="0" applyNumberFormat="0" applyBorder="0" applyAlignment="0" applyProtection="0"/>
    <xf numFmtId="0" fontId="84" fillId="54" borderId="0" applyNumberFormat="0" applyBorder="0" applyAlignment="0" applyProtection="0"/>
    <xf numFmtId="0" fontId="87" fillId="0" borderId="0"/>
    <xf numFmtId="0" fontId="86" fillId="29" borderId="0" applyNumberFormat="0" applyBorder="0" applyAlignment="0" applyProtection="0"/>
    <xf numFmtId="0" fontId="89" fillId="58" borderId="0" applyNumberFormat="0" applyBorder="0" applyAlignment="0" applyProtection="0"/>
    <xf numFmtId="43" fontId="1" fillId="0" borderId="0" applyFont="0" applyFill="0" applyBorder="0" applyAlignment="0" applyProtection="0"/>
    <xf numFmtId="0" fontId="17" fillId="0" borderId="0"/>
    <xf numFmtId="43" fontId="1" fillId="0" borderId="0" applyFont="0" applyFill="0" applyBorder="0" applyAlignment="0" applyProtection="0"/>
    <xf numFmtId="0" fontId="17" fillId="0" borderId="0"/>
    <xf numFmtId="0" fontId="84" fillId="34" borderId="0" applyNumberFormat="0" applyBorder="0" applyAlignment="0" applyProtection="0"/>
    <xf numFmtId="9" fontId="17" fillId="0" borderId="0" applyFont="0" applyFill="0" applyBorder="0" applyAlignment="0" applyProtection="0"/>
    <xf numFmtId="0" fontId="94" fillId="0" borderId="0" applyNumberFormat="0" applyFont="0" applyBorder="0" applyAlignment="0" applyProtection="0">
      <alignment horizontal="center" vertical="center" wrapText="1"/>
      <protection locked="0"/>
    </xf>
    <xf numFmtId="187" fontId="18" fillId="0" borderId="0" applyFill="0" applyBorder="0" applyAlignment="0" applyProtection="0"/>
    <xf numFmtId="0" fontId="18" fillId="0" borderId="0"/>
    <xf numFmtId="188" fontId="95" fillId="59" borderId="0" applyBorder="0">
      <alignment horizontal="center"/>
      <protection locked="0"/>
    </xf>
    <xf numFmtId="188" fontId="95" fillId="0" borderId="0" applyFill="0" applyBorder="0">
      <alignment horizontal="center"/>
    </xf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93" fillId="0" borderId="0" applyNumberFormat="0" applyFill="0" applyBorder="0" applyProtection="0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39" fillId="20" borderId="0"/>
    <xf numFmtId="0" fontId="18" fillId="20" borderId="0"/>
    <xf numFmtId="0" fontId="39" fillId="20" borderId="0"/>
    <xf numFmtId="0" fontId="39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97" fillId="20" borderId="0"/>
    <xf numFmtId="0" fontId="18" fillId="20" borderId="0"/>
    <xf numFmtId="0" fontId="97" fillId="20" borderId="0"/>
    <xf numFmtId="0" fontId="97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18" fillId="20" borderId="0"/>
    <xf numFmtId="0" fontId="18" fillId="20" borderId="0"/>
    <xf numFmtId="0" fontId="9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9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98" fillId="20" borderId="0"/>
    <xf numFmtId="0" fontId="98" fillId="20" borderId="0"/>
    <xf numFmtId="0" fontId="98" fillId="20" borderId="0"/>
    <xf numFmtId="0" fontId="9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8" fillId="20" borderId="0"/>
    <xf numFmtId="0" fontId="98" fillId="20" borderId="0"/>
    <xf numFmtId="0" fontId="9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99" fillId="20" borderId="0"/>
    <xf numFmtId="0" fontId="18" fillId="20" borderId="0"/>
    <xf numFmtId="0" fontId="99" fillId="20" borderId="0"/>
    <xf numFmtId="0" fontId="99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00" fillId="20" borderId="0"/>
    <xf numFmtId="0" fontId="18" fillId="20" borderId="0"/>
    <xf numFmtId="0" fontId="100" fillId="20" borderId="0"/>
    <xf numFmtId="0" fontId="100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93" fillId="20" borderId="0"/>
    <xf numFmtId="0" fontId="18" fillId="20" borderId="0"/>
    <xf numFmtId="0" fontId="93" fillId="20" borderId="0"/>
    <xf numFmtId="0" fontId="93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18" fillId="2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0"/>
    <xf numFmtId="189" fontId="18" fillId="15" borderId="0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0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0"/>
    <xf numFmtId="189" fontId="18" fillId="15" borderId="0"/>
    <xf numFmtId="189" fontId="18" fillId="15" borderId="0"/>
    <xf numFmtId="189" fontId="18" fillId="15" borderId="0"/>
    <xf numFmtId="189" fontId="18" fillId="15" borderId="51"/>
    <xf numFmtId="189" fontId="18" fillId="15" borderId="0"/>
    <xf numFmtId="189" fontId="18" fillId="15" borderId="51"/>
    <xf numFmtId="189" fontId="18" fillId="15" borderId="51"/>
    <xf numFmtId="189" fontId="18" fillId="15" borderId="0"/>
    <xf numFmtId="189" fontId="18" fillId="15" borderId="51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0"/>
    <xf numFmtId="189" fontId="18" fillId="15" borderId="0"/>
    <xf numFmtId="189" fontId="18" fillId="15" borderId="0"/>
    <xf numFmtId="189" fontId="18" fillId="15" borderId="51"/>
    <xf numFmtId="189" fontId="18" fillId="15" borderId="0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189" fontId="18" fillId="15" borderId="51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93" fillId="0" borderId="0" applyNumberFormat="0" applyFill="0" applyBorder="0" applyProtection="0"/>
    <xf numFmtId="0" fontId="18" fillId="15" borderId="0"/>
    <xf numFmtId="0" fontId="18" fillId="15" borderId="0"/>
    <xf numFmtId="0" fontId="97" fillId="15" borderId="0"/>
    <xf numFmtId="0" fontId="18" fillId="15" borderId="0"/>
    <xf numFmtId="0" fontId="18" fillId="15" borderId="0"/>
    <xf numFmtId="0" fontId="97" fillId="15" borderId="0"/>
    <xf numFmtId="0" fontId="18" fillId="15" borderId="0"/>
    <xf numFmtId="0" fontId="97" fillId="15" borderId="0"/>
    <xf numFmtId="0" fontId="18" fillId="15" borderId="0"/>
    <xf numFmtId="0" fontId="97" fillId="15" borderId="0"/>
    <xf numFmtId="0" fontId="97" fillId="15" borderId="0"/>
    <xf numFmtId="0" fontId="18" fillId="15" borderId="0"/>
    <xf numFmtId="0" fontId="18" fillId="15" borderId="0"/>
    <xf numFmtId="0" fontId="97" fillId="15" borderId="0"/>
    <xf numFmtId="0" fontId="18" fillId="15" borderId="0"/>
    <xf numFmtId="0" fontId="18" fillId="15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8" fillId="0" borderId="0"/>
    <xf numFmtId="0" fontId="18" fillId="0" borderId="0"/>
    <xf numFmtId="0" fontId="96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 applyNumberFormat="0" applyFont="0" applyBorder="0" applyAlignment="0"/>
    <xf numFmtId="0" fontId="18" fillId="0" borderId="0" applyNumberFormat="0" applyBorder="0" applyAlignment="0"/>
    <xf numFmtId="0" fontId="101" fillId="0" borderId="0" applyNumberFormat="0" applyFont="0" applyBorder="0" applyAlignment="0"/>
    <xf numFmtId="0" fontId="18" fillId="0" borderId="0" applyNumberFormat="0" applyBorder="0" applyAlignment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2" fillId="60" borderId="5">
      <alignment horizontal="center"/>
    </xf>
    <xf numFmtId="0" fontId="102" fillId="60" borderId="5">
      <alignment horizontal="center"/>
    </xf>
    <xf numFmtId="0" fontId="102" fillId="60" borderId="5">
      <alignment horizontal="center"/>
    </xf>
    <xf numFmtId="0" fontId="102" fillId="60" borderId="5">
      <alignment horizontal="center"/>
    </xf>
    <xf numFmtId="0" fontId="102" fillId="60" borderId="5">
      <alignment horizontal="center"/>
    </xf>
    <xf numFmtId="0" fontId="102" fillId="60" borderId="5">
      <alignment horizontal="center"/>
    </xf>
    <xf numFmtId="4" fontId="93" fillId="0" borderId="5"/>
    <xf numFmtId="4" fontId="93" fillId="0" borderId="5"/>
    <xf numFmtId="4" fontId="93" fillId="0" borderId="5"/>
    <xf numFmtId="4" fontId="93" fillId="0" borderId="5"/>
    <xf numFmtId="4" fontId="93" fillId="0" borderId="5"/>
    <xf numFmtId="4" fontId="93" fillId="0" borderId="5"/>
    <xf numFmtId="0" fontId="103" fillId="0" borderId="5">
      <alignment horizontal="center"/>
    </xf>
    <xf numFmtId="0" fontId="103" fillId="0" borderId="5">
      <alignment horizontal="center"/>
    </xf>
    <xf numFmtId="0" fontId="103" fillId="0" borderId="5">
      <alignment horizontal="center"/>
    </xf>
    <xf numFmtId="0" fontId="103" fillId="0" borderId="5">
      <alignment horizontal="center"/>
    </xf>
    <xf numFmtId="0" fontId="103" fillId="0" borderId="5">
      <alignment horizontal="center"/>
    </xf>
    <xf numFmtId="0" fontId="103" fillId="0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4" fillId="61" borderId="5">
      <alignment horizontal="center"/>
    </xf>
    <xf numFmtId="0" fontId="102" fillId="60" borderId="5"/>
    <xf numFmtId="0" fontId="102" fillId="60" borderId="5"/>
    <xf numFmtId="0" fontId="102" fillId="60" borderId="5"/>
    <xf numFmtId="0" fontId="102" fillId="60" borderId="5"/>
    <xf numFmtId="0" fontId="102" fillId="60" borderId="5"/>
    <xf numFmtId="0" fontId="102" fillId="60" borderId="5"/>
    <xf numFmtId="0" fontId="105" fillId="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39" fillId="20" borderId="0"/>
    <xf numFmtId="0" fontId="18" fillId="20" borderId="0"/>
    <xf numFmtId="0" fontId="39" fillId="20" borderId="0"/>
    <xf numFmtId="0" fontId="39" fillId="20" borderId="0"/>
    <xf numFmtId="0" fontId="18" fillId="20" borderId="0"/>
    <xf numFmtId="0" fontId="18" fillId="20" borderId="0"/>
    <xf numFmtId="0" fontId="39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97" fillId="20" borderId="0"/>
    <xf numFmtId="0" fontId="18" fillId="20" borderId="0"/>
    <xf numFmtId="0" fontId="97" fillId="20" borderId="0"/>
    <xf numFmtId="0" fontId="97" fillId="20" borderId="0"/>
    <xf numFmtId="0" fontId="18" fillId="20" borderId="0"/>
    <xf numFmtId="0" fontId="18" fillId="20" borderId="0"/>
    <xf numFmtId="0" fontId="97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99" fillId="20" borderId="0"/>
    <xf numFmtId="0" fontId="18" fillId="20" borderId="0"/>
    <xf numFmtId="0" fontId="99" fillId="20" borderId="0"/>
    <xf numFmtId="0" fontId="99" fillId="20" borderId="0"/>
    <xf numFmtId="0" fontId="18" fillId="20" borderId="0"/>
    <xf numFmtId="0" fontId="18" fillId="20" borderId="0"/>
    <xf numFmtId="0" fontId="99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00" fillId="20" borderId="0"/>
    <xf numFmtId="0" fontId="18" fillId="20" borderId="0"/>
    <xf numFmtId="0" fontId="100" fillId="20" borderId="0"/>
    <xf numFmtId="0" fontId="100" fillId="20" borderId="0"/>
    <xf numFmtId="0" fontId="18" fillId="20" borderId="0"/>
    <xf numFmtId="0" fontId="18" fillId="20" borderId="0"/>
    <xf numFmtId="0" fontId="100" fillId="20" borderId="0"/>
    <xf numFmtId="0" fontId="18" fillId="20" borderId="0"/>
    <xf numFmtId="0" fontId="18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93" fillId="20" borderId="0"/>
    <xf numFmtId="0" fontId="18" fillId="20" borderId="0"/>
    <xf numFmtId="0" fontId="93" fillId="20" borderId="0"/>
    <xf numFmtId="0" fontId="93" fillId="20" borderId="0"/>
    <xf numFmtId="0" fontId="18" fillId="20" borderId="0"/>
    <xf numFmtId="0" fontId="18" fillId="20" borderId="0"/>
    <xf numFmtId="0" fontId="93" fillId="20" borderId="0"/>
    <xf numFmtId="0" fontId="18" fillId="20" borderId="0"/>
    <xf numFmtId="0" fontId="18" fillId="20" borderId="0"/>
    <xf numFmtId="0" fontId="18" fillId="0" borderId="0"/>
    <xf numFmtId="0" fontId="18" fillId="0" borderId="0"/>
    <xf numFmtId="0" fontId="96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3" fillId="0" borderId="0" applyNumberFormat="0" applyFill="0" applyBorder="0" applyProtection="0"/>
    <xf numFmtId="0" fontId="93" fillId="0" borderId="0" applyNumberFormat="0" applyFill="0" applyBorder="0" applyProtection="0"/>
    <xf numFmtId="0" fontId="93" fillId="0" borderId="0" applyNumberFormat="0" applyFill="0" applyBorder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01" fillId="0" borderId="0"/>
    <xf numFmtId="0" fontId="1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6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0" fontId="18" fillId="0" borderId="0" applyNumberFormat="0" applyFill="0" applyBorder="0" applyAlignment="0" applyProtection="0"/>
    <xf numFmtId="0" fontId="108" fillId="0" borderId="0"/>
    <xf numFmtId="0" fontId="108" fillId="0" borderId="0"/>
    <xf numFmtId="190" fontId="95" fillId="59" borderId="0" applyBorder="0">
      <alignment horizontal="center"/>
      <protection locked="0"/>
    </xf>
    <xf numFmtId="190" fontId="95" fillId="0" borderId="0" applyFill="0" applyBorder="0">
      <alignment horizontal="center"/>
    </xf>
    <xf numFmtId="0" fontId="109" fillId="0" borderId="53" applyNumberFormat="0" applyFill="0" applyAlignment="0" applyProtection="0"/>
    <xf numFmtId="166" fontId="18" fillId="0" borderId="0">
      <protection locked="0"/>
    </xf>
    <xf numFmtId="191" fontId="18" fillId="0" borderId="0" applyFill="0" applyBorder="0" applyAlignment="0" applyProtection="0"/>
    <xf numFmtId="0" fontId="110" fillId="0" borderId="54" applyNumberFormat="0" applyFill="0" applyAlignment="0" applyProtection="0"/>
    <xf numFmtId="192" fontId="95" fillId="59" borderId="0" applyBorder="0">
      <alignment horizontal="center"/>
      <protection locked="0"/>
    </xf>
    <xf numFmtId="192" fontId="95" fillId="0" borderId="0" applyFill="0" applyBorder="0">
      <alignment horizontal="center"/>
    </xf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1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67" borderId="0" applyNumberFormat="0" applyBorder="0" applyAlignment="0" applyProtection="0"/>
    <xf numFmtId="0" fontId="15" fillId="62" borderId="0" applyNumberFormat="0" applyBorder="0" applyAlignment="0" applyProtection="0"/>
    <xf numFmtId="0" fontId="1" fillId="35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1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66" borderId="0" applyNumberFormat="0" applyBorder="0" applyAlignment="0" applyProtection="0"/>
    <xf numFmtId="0" fontId="15" fillId="58" borderId="0" applyNumberFormat="0" applyBorder="0" applyAlignment="0" applyProtection="0"/>
    <xf numFmtId="0" fontId="1" fillId="39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1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68" borderId="0" applyNumberFormat="0" applyBorder="0" applyAlignment="0" applyProtection="0"/>
    <xf numFmtId="0" fontId="15" fillId="63" borderId="0" applyNumberFormat="0" applyBorder="0" applyAlignment="0" applyProtection="0"/>
    <xf numFmtId="0" fontId="1" fillId="4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1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67" borderId="0" applyNumberFormat="0" applyBorder="0" applyAlignment="0" applyProtection="0"/>
    <xf numFmtId="0" fontId="15" fillId="64" borderId="0" applyNumberFormat="0" applyBorder="0" applyAlignment="0" applyProtection="0"/>
    <xf numFmtId="0" fontId="1" fillId="47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11" fillId="51" borderId="0" applyNumberFormat="0" applyBorder="0" applyAlignment="0" applyProtection="0"/>
    <xf numFmtId="0" fontId="1" fillId="51" borderId="0" applyNumberFormat="0" applyBorder="0" applyAlignment="0" applyProtection="0"/>
    <xf numFmtId="0" fontId="15" fillId="65" borderId="0" applyNumberFormat="0" applyBorder="0" applyAlignment="0" applyProtection="0"/>
    <xf numFmtId="0" fontId="1" fillId="51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1" fillId="55" borderId="0" applyNumberFormat="0" applyBorder="0" applyAlignment="0" applyProtection="0"/>
    <xf numFmtId="0" fontId="1" fillId="55" borderId="0" applyNumberFormat="0" applyBorder="0" applyAlignment="0" applyProtection="0"/>
    <xf numFmtId="0" fontId="15" fillId="66" borderId="0" applyNumberFormat="0" applyBorder="0" applyAlignment="0" applyProtection="0"/>
    <xf numFmtId="0" fontId="1" fillId="55" borderId="0" applyNumberFormat="0" applyBorder="0" applyAlignment="0" applyProtection="0"/>
    <xf numFmtId="0" fontId="15" fillId="66" borderId="0" applyNumberFormat="0" applyBorder="0" applyAlignment="0" applyProtection="0"/>
    <xf numFmtId="0" fontId="112" fillId="62" borderId="0" applyNumberFormat="0" applyBorder="0" applyAlignment="0" applyProtection="0"/>
    <xf numFmtId="0" fontId="112" fillId="58" borderId="0" applyNumberFormat="0" applyBorder="0" applyAlignment="0" applyProtection="0"/>
    <xf numFmtId="0" fontId="112" fillId="63" borderId="0" applyNumberFormat="0" applyBorder="0" applyAlignment="0" applyProtection="0"/>
    <xf numFmtId="0" fontId="112" fillId="64" borderId="0" applyNumberFormat="0" applyBorder="0" applyAlignment="0" applyProtection="0"/>
    <xf numFmtId="0" fontId="112" fillId="65" borderId="0" applyNumberFormat="0" applyBorder="0" applyAlignment="0" applyProtection="0"/>
    <xf numFmtId="0" fontId="112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3" fillId="62" borderId="0" applyNumberFormat="0" applyBorder="0" applyAlignment="0" applyProtection="0"/>
    <xf numFmtId="0" fontId="113" fillId="62" borderId="0" applyNumberFormat="0" applyBorder="0" applyAlignment="0" applyProtection="0"/>
    <xf numFmtId="0" fontId="15" fillId="62" borderId="0" applyNumberFormat="0" applyBorder="0" applyAlignment="0" applyProtection="0"/>
    <xf numFmtId="0" fontId="113" fillId="58" borderId="0" applyNumberFormat="0" applyBorder="0" applyAlignment="0" applyProtection="0"/>
    <xf numFmtId="0" fontId="113" fillId="58" borderId="0" applyNumberFormat="0" applyBorder="0" applyAlignment="0" applyProtection="0"/>
    <xf numFmtId="0" fontId="15" fillId="58" borderId="0" applyNumberFormat="0" applyBorder="0" applyAlignment="0" applyProtection="0"/>
    <xf numFmtId="0" fontId="113" fillId="63" borderId="0" applyNumberFormat="0" applyBorder="0" applyAlignment="0" applyProtection="0"/>
    <xf numFmtId="0" fontId="113" fillId="63" borderId="0" applyNumberFormat="0" applyBorder="0" applyAlignment="0" applyProtection="0"/>
    <xf numFmtId="0" fontId="15" fillId="63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5" fillId="64" borderId="0" applyNumberFormat="0" applyBorder="0" applyAlignment="0" applyProtection="0"/>
    <xf numFmtId="0" fontId="113" fillId="65" borderId="0" applyNumberFormat="0" applyBorder="0" applyAlignment="0" applyProtection="0"/>
    <xf numFmtId="0" fontId="113" fillId="65" borderId="0" applyNumberFormat="0" applyBorder="0" applyAlignment="0" applyProtection="0"/>
    <xf numFmtId="0" fontId="15" fillId="65" borderId="0" applyNumberFormat="0" applyBorder="0" applyAlignment="0" applyProtection="0"/>
    <xf numFmtId="0" fontId="113" fillId="66" borderId="0" applyNumberFormat="0" applyBorder="0" applyAlignment="0" applyProtection="0"/>
    <xf numFmtId="0" fontId="113" fillId="66" borderId="0" applyNumberFormat="0" applyBorder="0" applyAlignment="0" applyProtection="0"/>
    <xf numFmtId="0" fontId="15" fillId="66" borderId="0" applyNumberFormat="0" applyBorder="0" applyAlignment="0" applyProtection="0"/>
    <xf numFmtId="0" fontId="114" fillId="62" borderId="0" applyNumberFormat="0" applyBorder="0" applyAlignment="0" applyProtection="0"/>
    <xf numFmtId="0" fontId="114" fillId="62" borderId="0" applyNumberFormat="0" applyBorder="0" applyAlignment="0" applyProtection="0"/>
    <xf numFmtId="0" fontId="114" fillId="58" borderId="0" applyNumberFormat="0" applyBorder="0" applyAlignment="0" applyProtection="0"/>
    <xf numFmtId="0" fontId="114" fillId="58" borderId="0" applyNumberFormat="0" applyBorder="0" applyAlignment="0" applyProtection="0"/>
    <xf numFmtId="0" fontId="114" fillId="63" borderId="0" applyNumberFormat="0" applyBorder="0" applyAlignment="0" applyProtection="0"/>
    <xf numFmtId="0" fontId="114" fillId="63" borderId="0" applyNumberFormat="0" applyBorder="0" applyAlignment="0" applyProtection="0"/>
    <xf numFmtId="0" fontId="114" fillId="64" borderId="0" applyNumberFormat="0" applyBorder="0" applyAlignment="0" applyProtection="0"/>
    <xf numFmtId="0" fontId="114" fillId="64" borderId="0" applyNumberFormat="0" applyBorder="0" applyAlignment="0" applyProtection="0"/>
    <xf numFmtId="0" fontId="114" fillId="65" borderId="0" applyNumberFormat="0" applyBorder="0" applyAlignment="0" applyProtection="0"/>
    <xf numFmtId="0" fontId="114" fillId="65" borderId="0" applyNumberFormat="0" applyBorder="0" applyAlignment="0" applyProtection="0"/>
    <xf numFmtId="0" fontId="114" fillId="66" borderId="0" applyNumberFormat="0" applyBorder="0" applyAlignment="0" applyProtection="0"/>
    <xf numFmtId="0" fontId="114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5" fillId="62" borderId="0" applyNumberFormat="0" applyBorder="0" applyAlignment="0" applyProtection="0"/>
    <xf numFmtId="0" fontId="15" fillId="62" borderId="0" applyNumberFormat="0" applyBorder="0" applyAlignment="0" applyProtection="0"/>
    <xf numFmtId="0" fontId="1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58" borderId="0" applyNumberFormat="0" applyBorder="0" applyAlignment="0" applyProtection="0"/>
    <xf numFmtId="0" fontId="1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3" borderId="0" applyNumberFormat="0" applyBorder="0" applyAlignment="0" applyProtection="0"/>
    <xf numFmtId="0" fontId="1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5" borderId="0" applyNumberFormat="0" applyBorder="0" applyAlignment="0" applyProtection="0"/>
    <xf numFmtId="0" fontId="1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5" fillId="66" borderId="0" applyNumberFormat="0" applyBorder="0" applyAlignment="0" applyProtection="0"/>
    <xf numFmtId="0" fontId="15" fillId="69" borderId="0" applyNumberFormat="0" applyBorder="0" applyAlignment="0" applyProtection="0"/>
    <xf numFmtId="0" fontId="15" fillId="69" borderId="0" applyNumberFormat="0" applyBorder="0" applyAlignment="0" applyProtection="0"/>
    <xf numFmtId="0" fontId="116" fillId="69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6" fillId="66" borderId="0" applyNumberFormat="0" applyBorder="0" applyAlignment="0" applyProtection="0"/>
    <xf numFmtId="0" fontId="15" fillId="70" borderId="0" applyNumberFormat="0" applyBorder="0" applyAlignment="0" applyProtection="0"/>
    <xf numFmtId="0" fontId="15" fillId="70" borderId="0" applyNumberFormat="0" applyBorder="0" applyAlignment="0" applyProtection="0"/>
    <xf numFmtId="0" fontId="116" fillId="70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16" fillId="71" borderId="0" applyNumberFormat="0" applyBorder="0" applyAlignment="0" applyProtection="0"/>
    <xf numFmtId="0" fontId="15" fillId="69" borderId="0" applyNumberFormat="0" applyBorder="0" applyAlignment="0" applyProtection="0"/>
    <xf numFmtId="0" fontId="15" fillId="69" borderId="0" applyNumberFormat="0" applyBorder="0" applyAlignment="0" applyProtection="0"/>
    <xf numFmtId="0" fontId="116" fillId="69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6" fillId="66" borderId="0" applyNumberFormat="0" applyBorder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1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71" borderId="0" applyNumberFormat="0" applyBorder="0" applyAlignment="0" applyProtection="0"/>
    <xf numFmtId="0" fontId="15" fillId="72" borderId="0" applyNumberFormat="0" applyBorder="0" applyAlignment="0" applyProtection="0"/>
    <xf numFmtId="0" fontId="1" fillId="36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11" fillId="40" borderId="0" applyNumberFormat="0" applyBorder="0" applyAlignment="0" applyProtection="0"/>
    <xf numFmtId="0" fontId="1" fillId="40" borderId="0" applyNumberFormat="0" applyBorder="0" applyAlignment="0" applyProtection="0"/>
    <xf numFmtId="0" fontId="15" fillId="73" borderId="0" applyNumberFormat="0" applyBorder="0" applyAlignment="0" applyProtection="0"/>
    <xf numFmtId="0" fontId="1" fillId="40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1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76" borderId="0" applyNumberFormat="0" applyBorder="0" applyAlignment="0" applyProtection="0"/>
    <xf numFmtId="0" fontId="15" fillId="74" borderId="0" applyNumberFormat="0" applyBorder="0" applyAlignment="0" applyProtection="0"/>
    <xf numFmtId="0" fontId="1" fillId="4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1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71" borderId="0" applyNumberFormat="0" applyBorder="0" applyAlignment="0" applyProtection="0"/>
    <xf numFmtId="0" fontId="15" fillId="64" borderId="0" applyNumberFormat="0" applyBorder="0" applyAlignment="0" applyProtection="0"/>
    <xf numFmtId="0" fontId="1" fillId="48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11" fillId="52" borderId="0" applyNumberFormat="0" applyBorder="0" applyAlignment="0" applyProtection="0"/>
    <xf numFmtId="0" fontId="1" fillId="52" borderId="0" applyNumberFormat="0" applyBorder="0" applyAlignment="0" applyProtection="0"/>
    <xf numFmtId="0" fontId="15" fillId="72" borderId="0" applyNumberFormat="0" applyBorder="0" applyAlignment="0" applyProtection="0"/>
    <xf numFmtId="0" fontId="1" fillId="5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1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6" borderId="0" applyNumberFormat="0" applyBorder="0" applyAlignment="0" applyProtection="0"/>
    <xf numFmtId="0" fontId="15" fillId="75" borderId="0" applyNumberFormat="0" applyBorder="0" applyAlignment="0" applyProtection="0"/>
    <xf numFmtId="0" fontId="1" fillId="56" borderId="0" applyNumberFormat="0" applyBorder="0" applyAlignment="0" applyProtection="0"/>
    <xf numFmtId="0" fontId="15" fillId="75" borderId="0" applyNumberFormat="0" applyBorder="0" applyAlignment="0" applyProtection="0"/>
    <xf numFmtId="0" fontId="112" fillId="72" borderId="0" applyNumberFormat="0" applyBorder="0" applyAlignment="0" applyProtection="0"/>
    <xf numFmtId="0" fontId="112" fillId="73" borderId="0" applyNumberFormat="0" applyBorder="0" applyAlignment="0" applyProtection="0"/>
    <xf numFmtId="0" fontId="112" fillId="74" borderId="0" applyNumberFormat="0" applyBorder="0" applyAlignment="0" applyProtection="0"/>
    <xf numFmtId="0" fontId="112" fillId="64" borderId="0" applyNumberFormat="0" applyBorder="0" applyAlignment="0" applyProtection="0"/>
    <xf numFmtId="0" fontId="112" fillId="72" borderId="0" applyNumberFormat="0" applyBorder="0" applyAlignment="0" applyProtection="0"/>
    <xf numFmtId="0" fontId="112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13" fillId="72" borderId="0" applyNumberFormat="0" applyBorder="0" applyAlignment="0" applyProtection="0"/>
    <xf numFmtId="0" fontId="113" fillId="72" borderId="0" applyNumberFormat="0" applyBorder="0" applyAlignment="0" applyProtection="0"/>
    <xf numFmtId="0" fontId="15" fillId="72" borderId="0" applyNumberFormat="0" applyBorder="0" applyAlignment="0" applyProtection="0"/>
    <xf numFmtId="0" fontId="113" fillId="73" borderId="0" applyNumberFormat="0" applyBorder="0" applyAlignment="0" applyProtection="0"/>
    <xf numFmtId="0" fontId="113" fillId="73" borderId="0" applyNumberFormat="0" applyBorder="0" applyAlignment="0" applyProtection="0"/>
    <xf numFmtId="0" fontId="15" fillId="73" borderId="0" applyNumberFormat="0" applyBorder="0" applyAlignment="0" applyProtection="0"/>
    <xf numFmtId="0" fontId="113" fillId="74" borderId="0" applyNumberFormat="0" applyBorder="0" applyAlignment="0" applyProtection="0"/>
    <xf numFmtId="0" fontId="113" fillId="74" borderId="0" applyNumberFormat="0" applyBorder="0" applyAlignment="0" applyProtection="0"/>
    <xf numFmtId="0" fontId="15" fillId="74" borderId="0" applyNumberFormat="0" applyBorder="0" applyAlignment="0" applyProtection="0"/>
    <xf numFmtId="0" fontId="113" fillId="64" borderId="0" applyNumberFormat="0" applyBorder="0" applyAlignment="0" applyProtection="0"/>
    <xf numFmtId="0" fontId="113" fillId="64" borderId="0" applyNumberFormat="0" applyBorder="0" applyAlignment="0" applyProtection="0"/>
    <xf numFmtId="0" fontId="15" fillId="64" borderId="0" applyNumberFormat="0" applyBorder="0" applyAlignment="0" applyProtection="0"/>
    <xf numFmtId="0" fontId="113" fillId="72" borderId="0" applyNumberFormat="0" applyBorder="0" applyAlignment="0" applyProtection="0"/>
    <xf numFmtId="0" fontId="113" fillId="72" borderId="0" applyNumberFormat="0" applyBorder="0" applyAlignment="0" applyProtection="0"/>
    <xf numFmtId="0" fontId="15" fillId="72" borderId="0" applyNumberFormat="0" applyBorder="0" applyAlignment="0" applyProtection="0"/>
    <xf numFmtId="0" fontId="113" fillId="75" borderId="0" applyNumberFormat="0" applyBorder="0" applyAlignment="0" applyProtection="0"/>
    <xf numFmtId="0" fontId="113" fillId="75" borderId="0" applyNumberFormat="0" applyBorder="0" applyAlignment="0" applyProtection="0"/>
    <xf numFmtId="0" fontId="15" fillId="75" borderId="0" applyNumberFormat="0" applyBorder="0" applyAlignment="0" applyProtection="0"/>
    <xf numFmtId="0" fontId="114" fillId="72" borderId="0" applyNumberFormat="0" applyBorder="0" applyAlignment="0" applyProtection="0"/>
    <xf numFmtId="0" fontId="114" fillId="72" borderId="0" applyNumberFormat="0" applyBorder="0" applyAlignment="0" applyProtection="0"/>
    <xf numFmtId="0" fontId="114" fillId="73" borderId="0" applyNumberFormat="0" applyBorder="0" applyAlignment="0" applyProtection="0"/>
    <xf numFmtId="0" fontId="114" fillId="73" borderId="0" applyNumberFormat="0" applyBorder="0" applyAlignment="0" applyProtection="0"/>
    <xf numFmtId="0" fontId="114" fillId="74" borderId="0" applyNumberFormat="0" applyBorder="0" applyAlignment="0" applyProtection="0"/>
    <xf numFmtId="0" fontId="114" fillId="74" borderId="0" applyNumberFormat="0" applyBorder="0" applyAlignment="0" applyProtection="0"/>
    <xf numFmtId="0" fontId="114" fillId="64" borderId="0" applyNumberFormat="0" applyBorder="0" applyAlignment="0" applyProtection="0"/>
    <xf numFmtId="0" fontId="114" fillId="64" borderId="0" applyNumberFormat="0" applyBorder="0" applyAlignment="0" applyProtection="0"/>
    <xf numFmtId="0" fontId="114" fillId="72" borderId="0" applyNumberFormat="0" applyBorder="0" applyAlignment="0" applyProtection="0"/>
    <xf numFmtId="0" fontId="114" fillId="72" borderId="0" applyNumberFormat="0" applyBorder="0" applyAlignment="0" applyProtection="0"/>
    <xf numFmtId="0" fontId="114" fillId="75" borderId="0" applyNumberFormat="0" applyBorder="0" applyAlignment="0" applyProtection="0"/>
    <xf numFmtId="0" fontId="114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3" borderId="0" applyNumberFormat="0" applyBorder="0" applyAlignment="0" applyProtection="0"/>
    <xf numFmtId="0" fontId="1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64" borderId="0" applyNumberFormat="0" applyBorder="0" applyAlignment="0" applyProtection="0"/>
    <xf numFmtId="0" fontId="1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2" borderId="0" applyNumberFormat="0" applyBorder="0" applyAlignment="0" applyProtection="0"/>
    <xf numFmtId="0" fontId="115" fillId="72" borderId="0" applyNumberFormat="0" applyBorder="0" applyAlignment="0" applyProtection="0"/>
    <xf numFmtId="0" fontId="15" fillId="75" borderId="0" applyNumberFormat="0" applyBorder="0" applyAlignment="0" applyProtection="0"/>
    <xf numFmtId="0" fontId="15" fillId="75" borderId="0" applyNumberFormat="0" applyBorder="0" applyAlignment="0" applyProtection="0"/>
    <xf numFmtId="0" fontId="115" fillId="75" borderId="0" applyNumberFormat="0" applyBorder="0" applyAlignment="0" applyProtection="0"/>
    <xf numFmtId="0" fontId="15" fillId="69" borderId="0" applyNumberFormat="0" applyBorder="0" applyAlignment="0" applyProtection="0"/>
    <xf numFmtId="0" fontId="15" fillId="69" borderId="0" applyNumberFormat="0" applyBorder="0" applyAlignment="0" applyProtection="0"/>
    <xf numFmtId="0" fontId="116" fillId="69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6" fillId="66" borderId="0" applyNumberFormat="0" applyBorder="0" applyAlignment="0" applyProtection="0"/>
    <xf numFmtId="0" fontId="15" fillId="70" borderId="0" applyNumberFormat="0" applyBorder="0" applyAlignment="0" applyProtection="0"/>
    <xf numFmtId="0" fontId="15" fillId="70" borderId="0" applyNumberFormat="0" applyBorder="0" applyAlignment="0" applyProtection="0"/>
    <xf numFmtId="0" fontId="116" fillId="70" borderId="0" applyNumberFormat="0" applyBorder="0" applyAlignment="0" applyProtection="0"/>
    <xf numFmtId="0" fontId="15" fillId="71" borderId="0" applyNumberFormat="0" applyBorder="0" applyAlignment="0" applyProtection="0"/>
    <xf numFmtId="0" fontId="15" fillId="71" borderId="0" applyNumberFormat="0" applyBorder="0" applyAlignment="0" applyProtection="0"/>
    <xf numFmtId="0" fontId="116" fillId="71" borderId="0" applyNumberFormat="0" applyBorder="0" applyAlignment="0" applyProtection="0"/>
    <xf numFmtId="0" fontId="15" fillId="74" borderId="0" applyNumberFormat="0" applyBorder="0" applyAlignment="0" applyProtection="0"/>
    <xf numFmtId="0" fontId="15" fillId="74" borderId="0" applyNumberFormat="0" applyBorder="0" applyAlignment="0" applyProtection="0"/>
    <xf numFmtId="0" fontId="116" fillId="74" borderId="0" applyNumberFormat="0" applyBorder="0" applyAlignment="0" applyProtection="0"/>
    <xf numFmtId="0" fontId="15" fillId="66" borderId="0" applyNumberFormat="0" applyBorder="0" applyAlignment="0" applyProtection="0"/>
    <xf numFmtId="0" fontId="15" fillId="66" borderId="0" applyNumberFormat="0" applyBorder="0" applyAlignment="0" applyProtection="0"/>
    <xf numFmtId="0" fontId="116" fillId="66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19" fillId="37" borderId="0" applyNumberFormat="0" applyBorder="0" applyAlignment="0" applyProtection="0"/>
    <xf numFmtId="0" fontId="84" fillId="37" borderId="0" applyNumberFormat="0" applyBorder="0" applyAlignment="0" applyProtection="0"/>
    <xf numFmtId="0" fontId="84" fillId="79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19" fillId="41" borderId="0" applyNumberFormat="0" applyBorder="0" applyAlignment="0" applyProtection="0"/>
    <xf numFmtId="0" fontId="84" fillId="41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19" fillId="45" borderId="0" applyNumberFormat="0" applyBorder="0" applyAlignment="0" applyProtection="0"/>
    <xf numFmtId="0" fontId="84" fillId="45" borderId="0" applyNumberFormat="0" applyBorder="0" applyAlignment="0" applyProtection="0"/>
    <xf numFmtId="0" fontId="84" fillId="76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9" fillId="49" borderId="0" applyNumberFormat="0" applyBorder="0" applyAlignment="0" applyProtection="0"/>
    <xf numFmtId="0" fontId="84" fillId="49" borderId="0" applyNumberFormat="0" applyBorder="0" applyAlignment="0" applyProtection="0"/>
    <xf numFmtId="0" fontId="84" fillId="71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9" fillId="53" borderId="0" applyNumberFormat="0" applyBorder="0" applyAlignment="0" applyProtection="0"/>
    <xf numFmtId="0" fontId="84" fillId="53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19" fillId="57" borderId="0" applyNumberFormat="0" applyBorder="0" applyAlignment="0" applyProtection="0"/>
    <xf numFmtId="0" fontId="84" fillId="57" borderId="0" applyNumberFormat="0" applyBorder="0" applyAlignment="0" applyProtection="0"/>
    <xf numFmtId="0" fontId="84" fillId="66" borderId="0" applyNumberFormat="0" applyBorder="0" applyAlignment="0" applyProtection="0"/>
    <xf numFmtId="0" fontId="118" fillId="80" borderId="0" applyNumberFormat="0" applyBorder="0" applyAlignment="0" applyProtection="0"/>
    <xf numFmtId="0" fontId="120" fillId="77" borderId="0" applyNumberFormat="0" applyBorder="0" applyAlignment="0" applyProtection="0"/>
    <xf numFmtId="0" fontId="120" fillId="73" borderId="0" applyNumberFormat="0" applyBorder="0" applyAlignment="0" applyProtection="0"/>
    <xf numFmtId="0" fontId="120" fillId="74" borderId="0" applyNumberFormat="0" applyBorder="0" applyAlignment="0" applyProtection="0"/>
    <xf numFmtId="0" fontId="120" fillId="78" borderId="0" applyNumberFormat="0" applyBorder="0" applyAlignment="0" applyProtection="0"/>
    <xf numFmtId="0" fontId="120" fillId="79" borderId="0" applyNumberFormat="0" applyBorder="0" applyAlignment="0" applyProtection="0"/>
    <xf numFmtId="0" fontId="120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84" fillId="37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21" fillId="77" borderId="0" applyNumberFormat="0" applyBorder="0" applyAlignment="0" applyProtection="0"/>
    <xf numFmtId="0" fontId="121" fillId="77" borderId="0" applyNumberFormat="0" applyBorder="0" applyAlignment="0" applyProtection="0"/>
    <xf numFmtId="0" fontId="118" fillId="77" borderId="0" applyNumberFormat="0" applyBorder="0" applyAlignment="0" applyProtection="0"/>
    <xf numFmtId="0" fontId="121" fillId="73" borderId="0" applyNumberFormat="0" applyBorder="0" applyAlignment="0" applyProtection="0"/>
    <xf numFmtId="0" fontId="121" fillId="73" borderId="0" applyNumberFormat="0" applyBorder="0" applyAlignment="0" applyProtection="0"/>
    <xf numFmtId="0" fontId="118" fillId="73" borderId="0" applyNumberFormat="0" applyBorder="0" applyAlignment="0" applyProtection="0"/>
    <xf numFmtId="0" fontId="121" fillId="74" borderId="0" applyNumberFormat="0" applyBorder="0" applyAlignment="0" applyProtection="0"/>
    <xf numFmtId="0" fontId="121" fillId="74" borderId="0" applyNumberFormat="0" applyBorder="0" applyAlignment="0" applyProtection="0"/>
    <xf numFmtId="0" fontId="118" fillId="74" borderId="0" applyNumberFormat="0" applyBorder="0" applyAlignment="0" applyProtection="0"/>
    <xf numFmtId="0" fontId="121" fillId="78" borderId="0" applyNumberFormat="0" applyBorder="0" applyAlignment="0" applyProtection="0"/>
    <xf numFmtId="0" fontId="121" fillId="78" borderId="0" applyNumberFormat="0" applyBorder="0" applyAlignment="0" applyProtection="0"/>
    <xf numFmtId="0" fontId="118" fillId="78" borderId="0" applyNumberFormat="0" applyBorder="0" applyAlignment="0" applyProtection="0"/>
    <xf numFmtId="0" fontId="121" fillId="79" borderId="0" applyNumberFormat="0" applyBorder="0" applyAlignment="0" applyProtection="0"/>
    <xf numFmtId="0" fontId="121" fillId="79" borderId="0" applyNumberFormat="0" applyBorder="0" applyAlignment="0" applyProtection="0"/>
    <xf numFmtId="0" fontId="118" fillId="79" borderId="0" applyNumberFormat="0" applyBorder="0" applyAlignment="0" applyProtection="0"/>
    <xf numFmtId="0" fontId="121" fillId="80" borderId="0" applyNumberFormat="0" applyBorder="0" applyAlignment="0" applyProtection="0"/>
    <xf numFmtId="0" fontId="121" fillId="80" borderId="0" applyNumberFormat="0" applyBorder="0" applyAlignment="0" applyProtection="0"/>
    <xf numFmtId="0" fontId="118" fillId="80" borderId="0" applyNumberFormat="0" applyBorder="0" applyAlignment="0" applyProtection="0"/>
    <xf numFmtId="0" fontId="122" fillId="77" borderId="0" applyNumberFormat="0" applyBorder="0" applyAlignment="0" applyProtection="0"/>
    <xf numFmtId="0" fontId="122" fillId="77" borderId="0" applyNumberFormat="0" applyBorder="0" applyAlignment="0" applyProtection="0"/>
    <xf numFmtId="0" fontId="122" fillId="73" borderId="0" applyNumberFormat="0" applyBorder="0" applyAlignment="0" applyProtection="0"/>
    <xf numFmtId="0" fontId="122" fillId="73" borderId="0" applyNumberFormat="0" applyBorder="0" applyAlignment="0" applyProtection="0"/>
    <xf numFmtId="0" fontId="122" fillId="74" borderId="0" applyNumberFormat="0" applyBorder="0" applyAlignment="0" applyProtection="0"/>
    <xf numFmtId="0" fontId="122" fillId="74" borderId="0" applyNumberFormat="0" applyBorder="0" applyAlignment="0" applyProtection="0"/>
    <xf numFmtId="0" fontId="122" fillId="78" borderId="0" applyNumberFormat="0" applyBorder="0" applyAlignment="0" applyProtection="0"/>
    <xf numFmtId="0" fontId="122" fillId="78" borderId="0" applyNumberFormat="0" applyBorder="0" applyAlignment="0" applyProtection="0"/>
    <xf numFmtId="0" fontId="122" fillId="79" borderId="0" applyNumberFormat="0" applyBorder="0" applyAlignment="0" applyProtection="0"/>
    <xf numFmtId="0" fontId="122" fillId="79" borderId="0" applyNumberFormat="0" applyBorder="0" applyAlignment="0" applyProtection="0"/>
    <xf numFmtId="0" fontId="122" fillId="80" borderId="0" applyNumberFormat="0" applyBorder="0" applyAlignment="0" applyProtection="0"/>
    <xf numFmtId="0" fontId="122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77" borderId="0" applyNumberFormat="0" applyBorder="0" applyAlignment="0" applyProtection="0"/>
    <xf numFmtId="0" fontId="118" fillId="77" borderId="0" applyNumberFormat="0" applyBorder="0" applyAlignment="0" applyProtection="0"/>
    <xf numFmtId="0" fontId="123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3" borderId="0" applyNumberFormat="0" applyBorder="0" applyAlignment="0" applyProtection="0"/>
    <xf numFmtId="0" fontId="123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23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23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23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23" fillId="80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24" fillId="74" borderId="0" applyNumberFormat="0" applyBorder="0" applyAlignment="0" applyProtection="0"/>
    <xf numFmtId="0" fontId="118" fillId="66" borderId="0" applyNumberFormat="0" applyBorder="0" applyAlignment="0" applyProtection="0"/>
    <xf numFmtId="0" fontId="118" fillId="66" borderId="0" applyNumberFormat="0" applyBorder="0" applyAlignment="0" applyProtection="0"/>
    <xf numFmtId="0" fontId="124" fillId="66" borderId="0" applyNumberFormat="0" applyBorder="0" applyAlignment="0" applyProtection="0"/>
    <xf numFmtId="0" fontId="118" fillId="70" borderId="0" applyNumberFormat="0" applyBorder="0" applyAlignment="0" applyProtection="0"/>
    <xf numFmtId="0" fontId="118" fillId="70" borderId="0" applyNumberFormat="0" applyBorder="0" applyAlignment="0" applyProtection="0"/>
    <xf numFmtId="0" fontId="124" fillId="70" borderId="0" applyNumberFormat="0" applyBorder="0" applyAlignment="0" applyProtection="0"/>
    <xf numFmtId="0" fontId="118" fillId="81" borderId="0" applyNumberFormat="0" applyBorder="0" applyAlignment="0" applyProtection="0"/>
    <xf numFmtId="0" fontId="118" fillId="81" borderId="0" applyNumberFormat="0" applyBorder="0" applyAlignment="0" applyProtection="0"/>
    <xf numFmtId="0" fontId="124" fillId="81" borderId="0" applyNumberFormat="0" applyBorder="0" applyAlignment="0" applyProtection="0"/>
    <xf numFmtId="0" fontId="118" fillId="74" borderId="0" applyNumberFormat="0" applyBorder="0" applyAlignment="0" applyProtection="0"/>
    <xf numFmtId="0" fontId="118" fillId="74" borderId="0" applyNumberFormat="0" applyBorder="0" applyAlignment="0" applyProtection="0"/>
    <xf numFmtId="0" fontId="124" fillId="74" borderId="0" applyNumberFormat="0" applyBorder="0" applyAlignment="0" applyProtection="0"/>
    <xf numFmtId="0" fontId="118" fillId="82" borderId="0" applyNumberFormat="0" applyBorder="0" applyAlignment="0" applyProtection="0"/>
    <xf numFmtId="0" fontId="118" fillId="82" borderId="0" applyNumberFormat="0" applyBorder="0" applyAlignment="0" applyProtection="0"/>
    <xf numFmtId="0" fontId="124" fillId="82" borderId="0" applyNumberFormat="0" applyBorder="0" applyAlignment="0" applyProtection="0"/>
    <xf numFmtId="0" fontId="18" fillId="83" borderId="0" applyNumberFormat="0" applyBorder="0" applyAlignment="0" applyProtection="0"/>
    <xf numFmtId="0" fontId="18" fillId="8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5" fillId="84" borderId="0" applyNumberFormat="0" applyBorder="0" applyAlignment="0" applyProtection="0"/>
    <xf numFmtId="0" fontId="15" fillId="84" borderId="0" applyNumberFormat="0" applyBorder="0" applyAlignment="0" applyProtection="0"/>
    <xf numFmtId="0" fontId="118" fillId="85" borderId="0" applyNumberFormat="0" applyBorder="0" applyAlignment="0" applyProtection="0"/>
    <xf numFmtId="0" fontId="84" fillId="79" borderId="0" applyNumberFormat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84" fillId="34" borderId="0" applyNumberFormat="0" applyBorder="0" applyAlignment="0" applyProtection="0"/>
    <xf numFmtId="0" fontId="84" fillId="79" borderId="0" applyNumberFormat="0" applyBorder="0" applyAlignment="0" applyProtection="0"/>
    <xf numFmtId="0" fontId="119" fillId="34" borderId="0" applyNumberFormat="0" applyBorder="0" applyAlignment="0" applyProtection="0"/>
    <xf numFmtId="0" fontId="119" fillId="34" borderId="0" applyNumberFormat="0" applyBorder="0" applyAlignment="0" applyProtection="0"/>
    <xf numFmtId="0" fontId="84" fillId="79" borderId="0" applyNumberFormat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84" fillId="34" borderId="0" applyNumberFormat="0" applyBorder="0" applyAlignment="0" applyProtection="0"/>
    <xf numFmtId="0" fontId="118" fillId="86" borderId="0" applyNumberFormat="0" applyBorder="0" applyAlignment="0" applyProtection="0"/>
    <xf numFmtId="0" fontId="15" fillId="87" borderId="0" applyNumberFormat="0" applyBorder="0" applyAlignment="0" applyProtection="0"/>
    <xf numFmtId="0" fontId="15" fillId="88" borderId="0" applyNumberFormat="0" applyBorder="0" applyAlignment="0" applyProtection="0"/>
    <xf numFmtId="0" fontId="118" fillId="89" borderId="0" applyNumberFormat="0" applyBorder="0" applyAlignment="0" applyProtection="0"/>
    <xf numFmtId="0" fontId="84" fillId="70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19" fillId="38" borderId="0" applyNumberFormat="0" applyBorder="0" applyAlignment="0" applyProtection="0"/>
    <xf numFmtId="0" fontId="119" fillId="38" borderId="0" applyNumberFormat="0" applyBorder="0" applyAlignment="0" applyProtection="0"/>
    <xf numFmtId="0" fontId="84" fillId="38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84" fillId="38" borderId="0" applyNumberFormat="0" applyBorder="0" applyAlignment="0" applyProtection="0"/>
    <xf numFmtId="0" fontId="118" fillId="90" borderId="0" applyNumberFormat="0" applyBorder="0" applyAlignment="0" applyProtection="0"/>
    <xf numFmtId="0" fontId="15" fillId="87" borderId="0" applyNumberFormat="0" applyBorder="0" applyAlignment="0" applyProtection="0"/>
    <xf numFmtId="0" fontId="15" fillId="91" borderId="0" applyNumberFormat="0" applyBorder="0" applyAlignment="0" applyProtection="0"/>
    <xf numFmtId="0" fontId="118" fillId="88" borderId="0" applyNumberFormat="0" applyBorder="0" applyAlignment="0" applyProtection="0"/>
    <xf numFmtId="0" fontId="84" fillId="70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19" fillId="42" borderId="0" applyNumberFormat="0" applyBorder="0" applyAlignment="0" applyProtection="0"/>
    <xf numFmtId="0" fontId="119" fillId="42" borderId="0" applyNumberFormat="0" applyBorder="0" applyAlignment="0" applyProtection="0"/>
    <xf numFmtId="0" fontId="118" fillId="92" borderId="0" applyNumberFormat="0" applyBorder="0" applyAlignment="0" applyProtection="0"/>
    <xf numFmtId="0" fontId="84" fillId="42" borderId="0" applyNumberFormat="0" applyBorder="0" applyAlignment="0" applyProtection="0"/>
    <xf numFmtId="0" fontId="84" fillId="42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5" fillId="84" borderId="0" applyNumberFormat="0" applyBorder="0" applyAlignment="0" applyProtection="0"/>
    <xf numFmtId="0" fontId="15" fillId="88" borderId="0" applyNumberFormat="0" applyBorder="0" applyAlignment="0" applyProtection="0"/>
    <xf numFmtId="0" fontId="118" fillId="88" borderId="0" applyNumberFormat="0" applyBorder="0" applyAlignment="0" applyProtection="0"/>
    <xf numFmtId="0" fontId="84" fillId="93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9" fillId="46" borderId="0" applyNumberFormat="0" applyBorder="0" applyAlignment="0" applyProtection="0"/>
    <xf numFmtId="0" fontId="119" fillId="46" borderId="0" applyNumberFormat="0" applyBorder="0" applyAlignment="0" applyProtection="0"/>
    <xf numFmtId="0" fontId="118" fillId="78" borderId="0" applyNumberFormat="0" applyBorder="0" applyAlignment="0" applyProtection="0"/>
    <xf numFmtId="0" fontId="84" fillId="46" borderId="0" applyNumberFormat="0" applyBorder="0" applyAlignment="0" applyProtection="0"/>
    <xf numFmtId="0" fontId="84" fillId="46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5" fillId="83" borderId="0" applyNumberFormat="0" applyBorder="0" applyAlignment="0" applyProtection="0"/>
    <xf numFmtId="0" fontId="15" fillId="84" borderId="0" applyNumberFormat="0" applyBorder="0" applyAlignment="0" applyProtection="0"/>
    <xf numFmtId="0" fontId="118" fillId="85" borderId="0" applyNumberFormat="0" applyBorder="0" applyAlignment="0" applyProtection="0"/>
    <xf numFmtId="0" fontId="118" fillId="79" borderId="0" applyNumberFormat="0" applyBorder="0" applyAlignment="0" applyProtection="0"/>
    <xf numFmtId="0" fontId="125" fillId="79" borderId="0" applyNumberFormat="0" applyBorder="0" applyAlignment="0" applyProtection="0"/>
    <xf numFmtId="0" fontId="119" fillId="50" borderId="0" applyNumberFormat="0" applyBorder="0" applyAlignment="0" applyProtection="0"/>
    <xf numFmtId="0" fontId="119" fillId="50" borderId="0" applyNumberFormat="0" applyBorder="0" applyAlignment="0" applyProtection="0"/>
    <xf numFmtId="0" fontId="84" fillId="50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84" fillId="50" borderId="0" applyNumberFormat="0" applyBorder="0" applyAlignment="0" applyProtection="0"/>
    <xf numFmtId="0" fontId="118" fillId="79" borderId="0" applyNumberFormat="0" applyBorder="0" applyAlignment="0" applyProtection="0"/>
    <xf numFmtId="0" fontId="15" fillId="87" borderId="0" applyNumberFormat="0" applyBorder="0" applyAlignment="0" applyProtection="0"/>
    <xf numFmtId="0" fontId="15" fillId="94" borderId="0" applyNumberFormat="0" applyBorder="0" applyAlignment="0" applyProtection="0"/>
    <xf numFmtId="0" fontId="118" fillId="94" borderId="0" applyNumberFormat="0" applyBorder="0" applyAlignment="0" applyProtection="0"/>
    <xf numFmtId="0" fontId="118" fillId="95" borderId="0" applyNumberFormat="0" applyBorder="0" applyAlignment="0" applyProtection="0"/>
    <xf numFmtId="0" fontId="125" fillId="95" borderId="0" applyNumberFormat="0" applyBorder="0" applyAlignment="0" applyProtection="0"/>
    <xf numFmtId="0" fontId="119" fillId="54" borderId="0" applyNumberFormat="0" applyBorder="0" applyAlignment="0" applyProtection="0"/>
    <xf numFmtId="0" fontId="119" fillId="54" borderId="0" applyNumberFormat="0" applyBorder="0" applyAlignment="0" applyProtection="0"/>
    <xf numFmtId="0" fontId="84" fillId="54" borderId="0" applyNumberFormat="0" applyBorder="0" applyAlignment="0" applyProtection="0"/>
    <xf numFmtId="0" fontId="118" fillId="95" borderId="0" applyNumberFormat="0" applyBorder="0" applyAlignment="0" applyProtection="0"/>
    <xf numFmtId="0" fontId="118" fillId="95" borderId="0" applyNumberFormat="0" applyBorder="0" applyAlignment="0" applyProtection="0"/>
    <xf numFmtId="0" fontId="118" fillId="95" borderId="0" applyNumberFormat="0" applyBorder="0" applyAlignment="0" applyProtection="0"/>
    <xf numFmtId="0" fontId="84" fillId="54" borderId="0" applyNumberFormat="0" applyBorder="0" applyAlignment="0" applyProtection="0"/>
    <xf numFmtId="0" fontId="118" fillId="95" borderId="0" applyNumberFormat="0" applyBorder="0" applyAlignment="0" applyProtection="0"/>
    <xf numFmtId="0" fontId="126" fillId="96" borderId="5" applyNumberFormat="0">
      <alignment horizontal="center"/>
    </xf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95" borderId="0" applyNumberFormat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29" fillId="0" borderId="56">
      <alignment horizontal="center" vertical="center"/>
    </xf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93" fillId="0" borderId="0"/>
    <xf numFmtId="0" fontId="130" fillId="0" borderId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3" fillId="97" borderId="56"/>
    <xf numFmtId="0" fontId="134" fillId="0" borderId="0" applyFont="0" applyFill="0" applyBorder="0" applyAlignment="0" applyProtection="0"/>
    <xf numFmtId="0" fontId="134" fillId="0" borderId="0" applyFont="0" applyFill="0" applyBorder="0" applyAlignment="0" applyProtection="0"/>
    <xf numFmtId="193" fontId="135" fillId="97" borderId="56" applyBorder="0"/>
    <xf numFmtId="0" fontId="133" fillId="97" borderId="56">
      <alignment horizontal="center"/>
      <protection locked="0"/>
    </xf>
    <xf numFmtId="9" fontId="136" fillId="13" borderId="5">
      <alignment horizontal="right"/>
    </xf>
    <xf numFmtId="0" fontId="136" fillId="13" borderId="5">
      <alignment horizontal="right"/>
    </xf>
    <xf numFmtId="10" fontId="136" fillId="13" borderId="5">
      <alignment horizontal="right"/>
    </xf>
    <xf numFmtId="0" fontId="136" fillId="13" borderId="5">
      <alignment horizontal="right"/>
    </xf>
    <xf numFmtId="0" fontId="136" fillId="13" borderId="5">
      <alignment horizontal="right"/>
    </xf>
    <xf numFmtId="0" fontId="136" fillId="13" borderId="5">
      <alignment horizontal="right"/>
    </xf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8" fillId="98" borderId="0" applyNumberFormat="0" applyBorder="0" applyAlignment="0" applyProtection="0"/>
    <xf numFmtId="0" fontId="89" fillId="58" borderId="0" applyNumberFormat="0" applyBorder="0" applyAlignment="0" applyProtection="0"/>
    <xf numFmtId="0" fontId="76" fillId="28" borderId="0" applyNumberFormat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1" fillId="66" borderId="58" applyNumberFormat="0" applyAlignment="0" applyProtection="0"/>
    <xf numFmtId="0" fontId="141" fillId="66" borderId="58" applyNumberFormat="0" applyAlignment="0" applyProtection="0"/>
    <xf numFmtId="0" fontId="141" fillId="66" borderId="58" applyNumberFormat="0" applyAlignment="0" applyProtection="0"/>
    <xf numFmtId="194" fontId="140" fillId="0" borderId="0">
      <alignment horizontal="right"/>
    </xf>
    <xf numFmtId="195" fontId="91" fillId="0" borderId="0" applyNumberFormat="0" applyFont="0" applyAlignment="0">
      <alignment vertical="top"/>
    </xf>
    <xf numFmtId="0" fontId="89" fillId="58" borderId="0" applyNumberFormat="0" applyBorder="0" applyAlignment="0" applyProtection="0"/>
    <xf numFmtId="0" fontId="142" fillId="63" borderId="0" applyNumberFormat="0" applyBorder="0" applyAlignment="0" applyProtection="0"/>
    <xf numFmtId="0" fontId="143" fillId="0" borderId="60" applyNumberFormat="0" applyFont="0" applyFill="0" applyAlignment="0" applyProtection="0"/>
    <xf numFmtId="0" fontId="143" fillId="0" borderId="61" applyNumberFormat="0" applyFont="0" applyFill="0" applyAlignment="0" applyProtection="0"/>
    <xf numFmtId="0" fontId="144" fillId="63" borderId="0" applyNumberFormat="0" applyBorder="0" applyAlignment="0" applyProtection="0"/>
    <xf numFmtId="0" fontId="93" fillId="0" borderId="0" applyFont="0" applyFill="0" applyBorder="0" applyAlignment="0" applyProtection="0"/>
    <xf numFmtId="0" fontId="144" fillId="63" borderId="0" applyNumberFormat="0" applyBorder="0" applyAlignment="0" applyProtection="0"/>
    <xf numFmtId="0" fontId="145" fillId="0" borderId="0"/>
    <xf numFmtId="0" fontId="93" fillId="0" borderId="0" applyFont="0" applyFill="0" applyBorder="0" applyAlignment="0" applyProtection="0"/>
    <xf numFmtId="0" fontId="18" fillId="99" borderId="0" applyNumberFormat="0" applyBorder="0" applyAlignment="0" applyProtection="0"/>
    <xf numFmtId="196" fontId="121" fillId="100" borderId="5">
      <alignment horizontal="center"/>
    </xf>
    <xf numFmtId="197" fontId="18" fillId="101" borderId="62" applyNumberFormat="0">
      <alignment vertical="center"/>
    </xf>
    <xf numFmtId="198" fontId="18" fillId="15" borderId="62" applyNumberFormat="0">
      <alignment vertical="center"/>
    </xf>
    <xf numFmtId="198" fontId="18" fillId="15" borderId="62" applyNumberFormat="0">
      <alignment vertical="center"/>
    </xf>
    <xf numFmtId="198" fontId="18" fillId="15" borderId="62" applyNumberFormat="0">
      <alignment vertical="center"/>
    </xf>
    <xf numFmtId="1" fontId="18" fillId="102" borderId="62" applyNumberFormat="0">
      <alignment vertical="center"/>
    </xf>
    <xf numFmtId="1" fontId="18" fillId="102" borderId="62" applyNumberFormat="0">
      <alignment vertical="center"/>
    </xf>
    <xf numFmtId="1" fontId="18" fillId="102" borderId="62" applyNumberFormat="0">
      <alignment vertical="center"/>
    </xf>
    <xf numFmtId="197" fontId="18" fillId="102" borderId="62" applyNumberFormat="0">
      <alignment vertical="center"/>
    </xf>
    <xf numFmtId="197" fontId="18" fillId="102" borderId="62" applyNumberFormat="0">
      <alignment vertical="center"/>
    </xf>
    <xf numFmtId="197" fontId="18" fillId="102" borderId="62" applyNumberFormat="0">
      <alignment vertical="center"/>
    </xf>
    <xf numFmtId="197" fontId="18" fillId="20" borderId="62" applyNumberFormat="0">
      <alignment vertical="center"/>
    </xf>
    <xf numFmtId="197" fontId="18" fillId="20" borderId="62" applyNumberFormat="0">
      <alignment vertical="center"/>
    </xf>
    <xf numFmtId="197" fontId="18" fillId="20" borderId="62" applyNumberFormat="0">
      <alignment vertical="center"/>
    </xf>
    <xf numFmtId="199" fontId="146" fillId="0" borderId="0"/>
    <xf numFmtId="3" fontId="18" fillId="0" borderId="62" applyNumberFormat="0">
      <alignment vertical="center"/>
    </xf>
    <xf numFmtId="3" fontId="18" fillId="0" borderId="62" applyNumberFormat="0">
      <alignment vertical="center"/>
    </xf>
    <xf numFmtId="3" fontId="18" fillId="0" borderId="62" applyNumberFormat="0">
      <alignment vertical="center"/>
    </xf>
    <xf numFmtId="200" fontId="17" fillId="103" borderId="62" applyNumberFormat="0" applyFont="0" applyAlignment="0">
      <alignment vertical="center"/>
    </xf>
    <xf numFmtId="200" fontId="17" fillId="103" borderId="62" applyNumberFormat="0" applyFont="0" applyAlignment="0">
      <alignment vertical="center"/>
    </xf>
    <xf numFmtId="200" fontId="17" fillId="103" borderId="62" applyNumberFormat="0" applyFont="0" applyAlignmen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8" fillId="101" borderId="62" applyNumberFormat="0">
      <alignment vertical="center"/>
    </xf>
    <xf numFmtId="197" fontId="17" fillId="104" borderId="62" applyNumberFormat="0">
      <alignment vertical="center"/>
    </xf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8" fillId="67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79" fillId="31" borderId="45" applyNumberFormat="0" applyAlignment="0" applyProtection="0"/>
    <xf numFmtId="0" fontId="79" fillId="67" borderId="45" applyNumberFormat="0" applyAlignment="0" applyProtection="0"/>
    <xf numFmtId="0" fontId="79" fillId="67" borderId="45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9" fillId="31" borderId="45" applyNumberFormat="0" applyAlignment="0" applyProtection="0"/>
    <xf numFmtId="0" fontId="149" fillId="31" borderId="45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201" fontId="93" fillId="105" borderId="56" applyProtection="0"/>
    <xf numFmtId="0" fontId="18" fillId="83" borderId="0" applyNumberFormat="0" applyBorder="0" applyAlignment="0" applyProtection="0"/>
    <xf numFmtId="0" fontId="18" fillId="98" borderId="0" applyNumberFormat="0" applyBorder="0" applyAlignment="0" applyProtection="0"/>
    <xf numFmtId="0" fontId="18" fillId="99" borderId="0" applyNumberFormat="0" applyBorder="0" applyAlignment="0" applyProtection="0"/>
    <xf numFmtId="0" fontId="18" fillId="106" borderId="0" applyNumberFormat="0" applyBorder="0" applyAlignment="0" applyProtection="0"/>
    <xf numFmtId="0" fontId="90" fillId="81" borderId="63" applyNumberFormat="0" applyAlignment="0" applyProtection="0"/>
    <xf numFmtId="0" fontId="150" fillId="0" borderId="64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51" fillId="0" borderId="64" applyNumberFormat="0" applyFill="0" applyAlignment="0" applyProtection="0"/>
    <xf numFmtId="0" fontId="151" fillId="0" borderId="64" applyNumberFormat="0" applyFill="0" applyAlignment="0" applyProtection="0"/>
    <xf numFmtId="0" fontId="152" fillId="81" borderId="63" applyNumberFormat="0" applyAlignment="0" applyProtection="0"/>
    <xf numFmtId="0" fontId="152" fillId="81" borderId="63" applyNumberFormat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3" fillId="0" borderId="64" applyNumberFormat="0" applyFill="0" applyAlignment="0" applyProtection="0"/>
    <xf numFmtId="0" fontId="80" fillId="0" borderId="47" applyNumberFormat="0" applyFill="0" applyAlignment="0" applyProtection="0"/>
    <xf numFmtId="0" fontId="154" fillId="0" borderId="47" applyNumberFormat="0" applyFill="0" applyAlignment="0" applyProtection="0"/>
    <xf numFmtId="0" fontId="150" fillId="0" borderId="64" applyNumberFormat="0" applyFill="0" applyAlignment="0" applyProtection="0"/>
    <xf numFmtId="0" fontId="93" fillId="0" borderId="56">
      <alignment horizontal="left" vertical="center"/>
    </xf>
    <xf numFmtId="202" fontId="155" fillId="0" borderId="0" applyFill="0" applyBorder="0" applyProtection="0">
      <alignment horizontal="center" vertical="center"/>
    </xf>
    <xf numFmtId="203" fontId="156" fillId="59" borderId="66">
      <alignment horizontal="center" vertical="center"/>
      <protection locked="0"/>
    </xf>
    <xf numFmtId="203" fontId="157" fillId="0" borderId="0" applyFill="0" applyBorder="0">
      <alignment horizontal="center" vertical="center"/>
    </xf>
    <xf numFmtId="0" fontId="90" fillId="81" borderId="63" applyNumberFormat="0" applyAlignment="0" applyProtection="0"/>
    <xf numFmtId="0" fontId="89" fillId="58" borderId="0" applyNumberFormat="0" applyBorder="0" applyAlignment="0" applyProtection="0"/>
    <xf numFmtId="0" fontId="158" fillId="0" borderId="0" applyNumberFormat="0" applyFill="0" applyBorder="0" applyAlignment="0" applyProtection="0"/>
    <xf numFmtId="0" fontId="159" fillId="0" borderId="53" applyNumberFormat="0" applyFill="0" applyAlignment="0" applyProtection="0"/>
    <xf numFmtId="0" fontId="160" fillId="0" borderId="54" applyNumberFormat="0" applyFill="0" applyAlignment="0" applyProtection="0"/>
    <xf numFmtId="0" fontId="161" fillId="0" borderId="55" applyNumberFormat="0" applyFill="0" applyAlignment="0" applyProtection="0"/>
    <xf numFmtId="0" fontId="161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4" fontId="136" fillId="0" borderId="0">
      <alignment horizontal="center" vertical="center" wrapText="1"/>
    </xf>
    <xf numFmtId="0" fontId="93" fillId="0" borderId="0" applyFont="0" applyFill="0" applyBorder="0" applyAlignment="0" applyProtection="0"/>
    <xf numFmtId="0" fontId="122" fillId="86" borderId="0" applyNumberFormat="0" applyBorder="0" applyAlignment="0" applyProtection="0"/>
    <xf numFmtId="0" fontId="122" fillId="86" borderId="0" applyNumberFormat="0" applyBorder="0" applyAlignment="0" applyProtection="0"/>
    <xf numFmtId="0" fontId="122" fillId="90" borderId="0" applyNumberFormat="0" applyBorder="0" applyAlignment="0" applyProtection="0"/>
    <xf numFmtId="0" fontId="122" fillId="90" borderId="0" applyNumberFormat="0" applyBorder="0" applyAlignment="0" applyProtection="0"/>
    <xf numFmtId="0" fontId="122" fillId="92" borderId="0" applyNumberFormat="0" applyBorder="0" applyAlignment="0" applyProtection="0"/>
    <xf numFmtId="0" fontId="122" fillId="92" borderId="0" applyNumberFormat="0" applyBorder="0" applyAlignment="0" applyProtection="0"/>
    <xf numFmtId="0" fontId="122" fillId="78" borderId="0" applyNumberFormat="0" applyBorder="0" applyAlignment="0" applyProtection="0"/>
    <xf numFmtId="0" fontId="122" fillId="78" borderId="0" applyNumberFormat="0" applyBorder="0" applyAlignment="0" applyProtection="0"/>
    <xf numFmtId="0" fontId="122" fillId="79" borderId="0" applyNumberFormat="0" applyBorder="0" applyAlignment="0" applyProtection="0"/>
    <xf numFmtId="0" fontId="122" fillId="79" borderId="0" applyNumberFormat="0" applyBorder="0" applyAlignment="0" applyProtection="0"/>
    <xf numFmtId="0" fontId="122" fillId="95" borderId="0" applyNumberFormat="0" applyBorder="0" applyAlignment="0" applyProtection="0"/>
    <xf numFmtId="0" fontId="122" fillId="95" borderId="0" applyNumberFormat="0" applyBorder="0" applyAlignment="0" applyProtection="0"/>
    <xf numFmtId="0" fontId="164" fillId="0" borderId="0" applyNumberFormat="0" applyFill="0" applyBorder="0" applyAlignment="0" applyProtection="0"/>
    <xf numFmtId="0" fontId="165" fillId="0" borderId="0" applyNumberFormat="0">
      <alignment horizontal="center" wrapText="1"/>
    </xf>
    <xf numFmtId="0" fontId="165" fillId="0" borderId="0" applyNumberFormat="0">
      <alignment horizontal="center" wrapText="1"/>
    </xf>
    <xf numFmtId="204" fontId="18" fillId="0" borderId="0" applyFill="0" applyBorder="0" applyAlignment="0" applyProtection="0"/>
    <xf numFmtId="205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0" fontId="166" fillId="0" borderId="0" applyFont="0" applyFill="0" applyBorder="0" applyAlignment="0" applyProtection="0">
      <alignment horizontal="right"/>
    </xf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6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68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07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67" applyFont="0" applyFill="0" applyBorder="0" applyAlignment="0" applyProtection="0">
      <alignment horizontal="right"/>
    </xf>
    <xf numFmtId="0" fontId="18" fillId="0" borderId="67" applyFont="0" applyFill="0" applyBorder="0" applyAlignment="0" applyProtection="0">
      <alignment horizontal="right"/>
    </xf>
    <xf numFmtId="0" fontId="18" fillId="0" borderId="67" applyFont="0" applyFill="0" applyBorder="0" applyAlignment="0" applyProtection="0">
      <alignment horizontal="right"/>
    </xf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69" fillId="68" borderId="57" applyNumberFormat="0" applyFont="0" applyAlignment="0" applyProtection="0"/>
    <xf numFmtId="0" fontId="169" fillId="68" borderId="57" applyNumberFormat="0" applyFont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69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5" fillId="33" borderId="49" applyNumberFormat="0" applyFont="0" applyAlignment="0" applyProtection="0"/>
    <xf numFmtId="0" fontId="15" fillId="33" borderId="49" applyNumberFormat="0" applyFont="0" applyAlignment="0" applyProtection="0"/>
    <xf numFmtId="0" fontId="15" fillId="33" borderId="49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0" fillId="33" borderId="49" applyNumberFormat="0" applyFont="0" applyAlignment="0" applyProtection="0"/>
    <xf numFmtId="0" fontId="170" fillId="33" borderId="49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" fillId="33" borderId="49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" fillId="33" borderId="49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1" fillId="0" borderId="0" applyFill="0" applyBorder="0"/>
    <xf numFmtId="197" fontId="172" fillId="107" borderId="0" applyFont="0" applyAlignment="0">
      <alignment vertical="center" wrapText="1"/>
    </xf>
    <xf numFmtId="197" fontId="173" fillId="107" borderId="5" applyNumberFormat="0" applyBorder="0" applyAlignment="0">
      <alignment vertical="center" wrapText="1"/>
    </xf>
    <xf numFmtId="0" fontId="174" fillId="0" borderId="0"/>
    <xf numFmtId="0" fontId="174" fillId="0" borderId="0"/>
    <xf numFmtId="208" fontId="18" fillId="0" borderId="0" applyFill="0" applyBorder="0" applyAlignment="0" applyProtection="0"/>
    <xf numFmtId="209" fontId="18" fillId="0" borderId="0" applyFill="0" applyBorder="0" applyAlignment="0" applyProtection="0"/>
    <xf numFmtId="0" fontId="166" fillId="0" borderId="0" applyFont="0" applyFill="0" applyBorder="0" applyAlignment="0" applyProtection="0">
      <alignment horizontal="right"/>
    </xf>
    <xf numFmtId="164" fontId="140" fillId="0" borderId="0" applyFont="0" applyFill="0" applyBorder="0" applyAlignment="0" applyProtection="0"/>
    <xf numFmtId="164" fontId="140" fillId="0" borderId="0" applyFont="0" applyFill="0" applyBorder="0" applyAlignment="0" applyProtection="0"/>
    <xf numFmtId="164" fontId="140" fillId="0" borderId="0" applyFont="0" applyFill="0" applyBorder="0" applyAlignment="0" applyProtection="0"/>
    <xf numFmtId="164" fontId="140" fillId="0" borderId="0" applyFont="0" applyFill="0" applyBorder="0" applyAlignment="0" applyProtection="0"/>
    <xf numFmtId="0" fontId="18" fillId="106" borderId="0" applyNumberFormat="0" applyBorder="0" applyAlignment="0" applyProtection="0"/>
    <xf numFmtId="0" fontId="89" fillId="58" borderId="0" applyNumberFormat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38" fontId="176" fillId="97" borderId="4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66" fillId="0" borderId="0" applyFont="0" applyFill="0" applyBorder="0" applyAlignment="0" applyProtection="0"/>
    <xf numFmtId="210" fontId="93" fillId="101" borderId="56" applyFill="0" applyBorder="0" applyProtection="0">
      <alignment horizontal="left"/>
    </xf>
    <xf numFmtId="14" fontId="93" fillId="0" borderId="0" applyFont="0" applyFill="0" applyBorder="0" applyAlignment="0" applyProtection="0"/>
    <xf numFmtId="14" fontId="93" fillId="0" borderId="0" applyFont="0" applyFill="0" applyBorder="0" applyAlignment="0" applyProtection="0"/>
    <xf numFmtId="211" fontId="93" fillId="108" borderId="68" applyFill="0" applyBorder="0" applyProtection="0">
      <alignment horizontal="right"/>
      <protection locked="0"/>
    </xf>
    <xf numFmtId="0" fontId="18" fillId="83" borderId="0" applyNumberFormat="0" applyBorder="0" applyAlignment="0" applyProtection="0"/>
    <xf numFmtId="212" fontId="18" fillId="109" borderId="0" applyNumberFormat="0" applyFont="0" applyBorder="0" applyAlignment="0" applyProtection="0"/>
    <xf numFmtId="212" fontId="18" fillId="109" borderId="0" applyNumberFormat="0" applyFont="0" applyBorder="0" applyAlignment="0" applyProtection="0"/>
    <xf numFmtId="212" fontId="18" fillId="109" borderId="0" applyNumberFormat="0" applyFont="0" applyBorder="0" applyAlignment="0" applyProtection="0"/>
    <xf numFmtId="21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214" fontId="140" fillId="0" borderId="0" applyFont="0" applyFill="0" applyBorder="0" applyAlignment="0" applyProtection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166" fillId="0" borderId="69" applyNumberFormat="0" applyFont="0" applyFill="0" applyAlignment="0" applyProtection="0"/>
    <xf numFmtId="43" fontId="87" fillId="0" borderId="0" applyFont="0" applyFill="0" applyBorder="0" applyAlignment="0" applyProtection="0"/>
    <xf numFmtId="215" fontId="177" fillId="0" borderId="0" applyFont="0" applyFill="0" applyBorder="0" applyAlignment="0" applyProtection="0"/>
    <xf numFmtId="216" fontId="178" fillId="0" borderId="0" applyFill="0" applyBorder="0">
      <alignment horizontal="center" vertical="center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9" fillId="81" borderId="63" applyNumberFormat="0" applyAlignment="0" applyProtection="0"/>
    <xf numFmtId="0" fontId="92" fillId="110" borderId="0" applyNumberFormat="0" applyBorder="0" applyAlignment="0" applyProtection="0"/>
    <xf numFmtId="0" fontId="92" fillId="111" borderId="0" applyNumberFormat="0" applyBorder="0" applyAlignment="0" applyProtection="0"/>
    <xf numFmtId="0" fontId="92" fillId="112" borderId="0" applyNumberFormat="0" applyBorder="0" applyAlignment="0" applyProtection="0"/>
    <xf numFmtId="0" fontId="117" fillId="0" borderId="0" applyNumberFormat="0" applyFill="0" applyBorder="0" applyAlignment="0" applyProtection="0"/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4" fontId="180" fillId="0" borderId="70" applyFill="0" applyAlignment="0" applyProtection="0">
      <alignment horizontal="center"/>
    </xf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8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77" fillId="30" borderId="45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82" fillId="30" borderId="45" applyNumberFormat="0" applyAlignment="0" applyProtection="0"/>
    <xf numFmtId="0" fontId="182" fillId="30" borderId="45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28" fillId="0" borderId="0" applyNumberFormat="0" applyFill="0" applyBorder="0" applyAlignment="0" applyProtection="0"/>
    <xf numFmtId="217" fontId="18" fillId="0" borderId="0" applyFont="0" applyFill="0" applyBorder="0" applyAlignment="0" applyProtection="0"/>
    <xf numFmtId="218" fontId="18" fillId="0" borderId="0" applyFill="0" applyBorder="0" applyAlignment="0" applyProtection="0"/>
    <xf numFmtId="217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17" fontId="15" fillId="0" borderId="0" applyFont="0" applyFill="0" applyBorder="0" applyAlignment="0" applyProtection="0"/>
    <xf numFmtId="217" fontId="15" fillId="0" borderId="0" applyFont="0" applyFill="0" applyBorder="0" applyAlignment="0" applyProtection="0"/>
    <xf numFmtId="220" fontId="18" fillId="0" borderId="0" applyFont="0" applyFill="0" applyBorder="0" applyAlignment="0" applyProtection="0"/>
    <xf numFmtId="217" fontId="15" fillId="0" borderId="0" applyFont="0" applyFill="0" applyBorder="0" applyAlignment="0" applyProtection="0"/>
    <xf numFmtId="217" fontId="15" fillId="0" borderId="0" applyFont="0" applyFill="0" applyBorder="0" applyAlignment="0" applyProtection="0"/>
    <xf numFmtId="217" fontId="15" fillId="0" borderId="0" applyFont="0" applyFill="0" applyBorder="0" applyAlignment="0" applyProtection="0"/>
    <xf numFmtId="221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20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2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222" fontId="18" fillId="0" borderId="0" applyFont="0" applyFill="0" applyBorder="0" applyAlignment="0" applyProtection="0"/>
    <xf numFmtId="222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20" fontId="96" fillId="0" borderId="0" applyFont="0" applyFill="0" applyBorder="0" applyAlignment="0" applyProtection="0"/>
    <xf numFmtId="186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24" fontId="18" fillId="0" borderId="0" applyFill="0" applyBorder="0" applyAlignment="0" applyProtection="0"/>
    <xf numFmtId="0" fontId="183" fillId="0" borderId="0"/>
    <xf numFmtId="0" fontId="184" fillId="0" borderId="0"/>
    <xf numFmtId="0" fontId="18" fillId="0" borderId="0"/>
    <xf numFmtId="0" fontId="18" fillId="113" borderId="71" applyNumberFormat="0">
      <alignment vertical="center"/>
    </xf>
    <xf numFmtId="0" fontId="18" fillId="113" borderId="71" applyNumberFormat="0">
      <alignment vertical="center"/>
    </xf>
    <xf numFmtId="0" fontId="18" fillId="113" borderId="71" applyNumberFormat="0">
      <alignment vertical="center"/>
    </xf>
    <xf numFmtId="225" fontId="93" fillId="114" borderId="56" applyFill="0" applyBorder="0" applyProtection="0">
      <alignment horizontal="left"/>
    </xf>
    <xf numFmtId="0" fontId="128" fillId="0" borderId="0" applyNumberFormat="0" applyFill="0" applyBorder="0" applyAlignment="0" applyProtection="0"/>
    <xf numFmtId="226" fontId="18" fillId="13" borderId="0" applyNumberFormat="0" applyFont="0" applyBorder="0" applyAlignment="0" applyProtection="0"/>
    <xf numFmtId="226" fontId="18" fillId="13" borderId="0" applyNumberFormat="0" applyFont="0" applyBorder="0" applyAlignment="0" applyProtection="0"/>
    <xf numFmtId="226" fontId="18" fillId="13" borderId="0" applyNumberFormat="0" applyFont="0" applyBorder="0" applyAlignment="0" applyProtection="0"/>
    <xf numFmtId="0" fontId="185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227" fontId="186" fillId="0" borderId="0">
      <alignment horizontal="right" vertical="top"/>
    </xf>
    <xf numFmtId="228" fontId="187" fillId="0" borderId="0">
      <alignment horizontal="right" vertical="top"/>
    </xf>
    <xf numFmtId="0" fontId="186" fillId="0" borderId="0">
      <alignment horizontal="right" vertical="top"/>
    </xf>
    <xf numFmtId="0" fontId="187" fillId="0" borderId="0" applyFill="0" applyBorder="0">
      <alignment horizontal="right" vertical="top"/>
    </xf>
    <xf numFmtId="229" fontId="187" fillId="0" borderId="0" applyFill="0" applyBorder="0">
      <alignment horizontal="right" vertical="top"/>
    </xf>
    <xf numFmtId="230" fontId="187" fillId="0" borderId="0" applyFill="0" applyBorder="0">
      <alignment horizontal="right" vertical="top"/>
    </xf>
    <xf numFmtId="231" fontId="187" fillId="0" borderId="0" applyFill="0" applyBorder="0">
      <alignment horizontal="right" vertical="top"/>
    </xf>
    <xf numFmtId="0" fontId="188" fillId="0" borderId="0">
      <alignment horizontal="center" wrapText="1"/>
    </xf>
    <xf numFmtId="232" fontId="189" fillId="0" borderId="0" applyFill="0" applyBorder="0">
      <alignment vertical="top"/>
    </xf>
    <xf numFmtId="232" fontId="190" fillId="0" borderId="0" applyFill="0" applyBorder="0" applyProtection="0">
      <alignment vertical="top"/>
    </xf>
    <xf numFmtId="232" fontId="191" fillId="0" borderId="0">
      <alignment vertical="top"/>
    </xf>
    <xf numFmtId="233" fontId="187" fillId="0" borderId="0" applyFill="0" applyBorder="0" applyAlignment="0" applyProtection="0">
      <alignment horizontal="right" vertical="top"/>
    </xf>
    <xf numFmtId="232" fontId="173" fillId="0" borderId="0"/>
    <xf numFmtId="0" fontId="187" fillId="0" borderId="0" applyFill="0" applyBorder="0">
      <alignment horizontal="left" vertical="top"/>
    </xf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234" fontId="18" fillId="0" borderId="0" applyFont="0" applyFill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200" fontId="39" fillId="0" borderId="0">
      <alignment vertical="top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92" fillId="0" borderId="0" applyNumberFormat="0" applyFill="0" applyBorder="0" applyAlignment="0" applyProtection="0"/>
    <xf numFmtId="3" fontId="193" fillId="0" borderId="0" applyFont="0" applyFill="0" applyBorder="0" applyAlignment="0" applyProtection="0"/>
    <xf numFmtId="0" fontId="194" fillId="0" borderId="0" applyNumberFormat="0" applyFill="0" applyBorder="0" applyAlignment="0" applyProtection="0"/>
    <xf numFmtId="0" fontId="174" fillId="0" borderId="0"/>
    <xf numFmtId="0" fontId="18" fillId="0" borderId="0"/>
    <xf numFmtId="0" fontId="195" fillId="0" borderId="0" applyFill="0" applyBorder="0" applyProtection="0">
      <alignment horizontal="left"/>
    </xf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235" fontId="196" fillId="13" borderId="72" applyNumberFormat="0" applyFont="0" applyAlignment="0">
      <alignment vertical="center"/>
    </xf>
    <xf numFmtId="236" fontId="197" fillId="115" borderId="73" applyFont="0" applyFill="0" applyBorder="0" applyProtection="0">
      <alignment horizontal="center" vertical="center" wrapText="1"/>
      <protection locked="0"/>
    </xf>
    <xf numFmtId="236" fontId="197" fillId="115" borderId="73" applyFont="0" applyFill="0" applyBorder="0" applyProtection="0">
      <alignment horizontal="center" vertical="center" wrapText="1"/>
      <protection locked="0"/>
    </xf>
    <xf numFmtId="236" fontId="197" fillId="115" borderId="73" applyFont="0" applyFill="0" applyBorder="0" applyProtection="0">
      <alignment horizontal="center" vertical="center" wrapText="1"/>
      <protection locked="0"/>
    </xf>
    <xf numFmtId="212" fontId="198" fillId="0" borderId="0" applyNumberFormat="0" applyFill="0" applyBorder="0" applyAlignment="0" applyProtection="0"/>
    <xf numFmtId="0" fontId="17" fillId="0" borderId="0"/>
    <xf numFmtId="199" fontId="17" fillId="0" borderId="0"/>
    <xf numFmtId="199" fontId="17" fillId="0" borderId="0"/>
    <xf numFmtId="199" fontId="17" fillId="0" borderId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93" fillId="88" borderId="0" applyNumberFormat="0" applyBorder="0" applyAlignment="0" applyProtection="0"/>
    <xf numFmtId="0" fontId="199" fillId="20" borderId="74" applyNumberFormat="0">
      <alignment vertical="center"/>
    </xf>
    <xf numFmtId="0" fontId="144" fillId="63" borderId="0" applyNumberFormat="0" applyBorder="0" applyAlignment="0" applyProtection="0"/>
    <xf numFmtId="0" fontId="89" fillId="58" borderId="0" applyNumberFormat="0" applyBorder="0" applyAlignment="0" applyProtection="0"/>
    <xf numFmtId="0" fontId="89" fillId="58" borderId="0" applyNumberFormat="0" applyBorder="0" applyAlignment="0" applyProtection="0"/>
    <xf numFmtId="0" fontId="200" fillId="58" borderId="0" applyNumberFormat="0" applyBorder="0" applyAlignment="0" applyProtection="0"/>
    <xf numFmtId="166" fontId="18" fillId="13" borderId="5" applyNumberFormat="0" applyFont="0" applyBorder="0" applyAlignment="0" applyProtection="0"/>
    <xf numFmtId="0" fontId="166" fillId="0" borderId="0" applyFont="0" applyFill="0" applyBorder="0" applyAlignment="0" applyProtection="0">
      <alignment horizontal="right"/>
    </xf>
    <xf numFmtId="237" fontId="201" fillId="13" borderId="0" applyNumberFormat="0" applyFont="0" applyAlignment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202" fillId="63" borderId="0" applyNumberFormat="0" applyBorder="0" applyAlignment="0" applyProtection="0"/>
    <xf numFmtId="226" fontId="203" fillId="0" borderId="0" applyNumberFormat="0" applyFill="0" applyBorder="0" applyAlignment="0" applyProtection="0"/>
    <xf numFmtId="238" fontId="189" fillId="0" borderId="0"/>
    <xf numFmtId="226" fontId="203" fillId="0" borderId="0" applyNumberFormat="0" applyFill="0" applyBorder="0" applyAlignment="0" applyProtection="0"/>
    <xf numFmtId="238" fontId="203" fillId="0" borderId="0"/>
    <xf numFmtId="0" fontId="204" fillId="20" borderId="0"/>
    <xf numFmtId="0" fontId="205" fillId="116" borderId="0"/>
    <xf numFmtId="0" fontId="91" fillId="117" borderId="0" applyNumberFormat="0" applyFill="0" applyBorder="0" applyAlignment="0" applyProtection="0"/>
    <xf numFmtId="0" fontId="91" fillId="117" borderId="0" applyNumberFormat="0" applyFill="0" applyBorder="0" applyAlignment="0" applyProtection="0"/>
    <xf numFmtId="0" fontId="206" fillId="0" borderId="75" applyNumberFormat="0" applyFill="0" applyAlignment="0" applyProtection="0"/>
    <xf numFmtId="0" fontId="207" fillId="118" borderId="0" applyNumberFormat="0" applyFill="0" applyBorder="0" applyAlignment="0" applyProtection="0"/>
    <xf numFmtId="0" fontId="207" fillId="118" borderId="0" applyNumberFormat="0" applyFill="0" applyBorder="0" applyAlignment="0" applyProtection="0"/>
    <xf numFmtId="0" fontId="208" fillId="0" borderId="54" applyNumberFormat="0" applyFill="0" applyAlignment="0" applyProtection="0"/>
    <xf numFmtId="0" fontId="117" fillId="0" borderId="55" applyNumberFormat="0" applyFill="0" applyAlignment="0" applyProtection="0"/>
    <xf numFmtId="0" fontId="18" fillId="0" borderId="0" applyFill="0" applyBorder="0"/>
    <xf numFmtId="0" fontId="18" fillId="0" borderId="0" applyFill="0" applyBorder="0"/>
    <xf numFmtId="0" fontId="209" fillId="0" borderId="0" applyNumberFormat="0" applyFill="0" applyBorder="0" applyAlignment="0" applyProtection="0"/>
    <xf numFmtId="0" fontId="18" fillId="0" borderId="0" applyFill="0" applyBorder="0"/>
    <xf numFmtId="0" fontId="203" fillId="0" borderId="0"/>
    <xf numFmtId="0" fontId="210" fillId="0" borderId="0"/>
    <xf numFmtId="0" fontId="126" fillId="104" borderId="5" applyNumberFormat="0">
      <alignment horizontal="center"/>
    </xf>
    <xf numFmtId="0" fontId="211" fillId="0" borderId="0" applyFill="0" applyBorder="0" applyProtection="0">
      <alignment horizontal="right"/>
    </xf>
    <xf numFmtId="0" fontId="212" fillId="114" borderId="76" applyBorder="0">
      <alignment horizontal="center"/>
    </xf>
    <xf numFmtId="0" fontId="213" fillId="0" borderId="64" applyNumberFormat="0" applyFill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18" fillId="94" borderId="0" applyNumberFormat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89" fillId="58" borderId="0" applyNumberFormat="0" applyBorder="0" applyAlignment="0" applyProtection="0"/>
    <xf numFmtId="239" fontId="108" fillId="0" borderId="0" applyFont="0" applyBorder="0" applyAlignment="0"/>
    <xf numFmtId="0" fontId="215" fillId="0" borderId="0" applyNumberFormat="0" applyFill="0" applyBorder="0" applyAlignment="0" applyProtection="0"/>
    <xf numFmtId="0" fontId="216" fillId="0" borderId="0" applyNumberFormat="0" applyFill="0" applyBorder="0" applyAlignment="0" applyProtection="0">
      <alignment vertical="top"/>
      <protection locked="0"/>
    </xf>
    <xf numFmtId="0" fontId="144" fillId="63" borderId="0" applyNumberFormat="0" applyBorder="0" applyAlignment="0" applyProtection="0"/>
    <xf numFmtId="0" fontId="89" fillId="58" borderId="0" applyNumberFormat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200" fontId="218" fillId="0" borderId="0">
      <alignment vertical="top"/>
    </xf>
    <xf numFmtId="0" fontId="175" fillId="66" borderId="58" applyNumberFormat="0" applyAlignment="0" applyProtection="0"/>
    <xf numFmtId="0" fontId="162" fillId="97" borderId="77"/>
    <xf numFmtId="0" fontId="93" fillId="87" borderId="0" applyNumberFormat="0" applyBorder="0" applyAlignment="0" applyProtection="0"/>
    <xf numFmtId="197" fontId="193" fillId="97" borderId="66" applyNumberFormat="0">
      <alignment vertical="center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193" fillId="119" borderId="66" applyNumberFormat="0">
      <alignment vertical="center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93" fillId="119" borderId="66" applyNumberFormat="0">
      <alignment vertical="center"/>
      <protection locked="0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20" fillId="15" borderId="4" applyNumberFormat="0" applyAlignment="0">
      <alignment horizontal="left"/>
      <protection locked="0"/>
    </xf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18" fillId="97" borderId="78" applyNumberFormat="0" applyAlignment="0">
      <protection locked="0"/>
    </xf>
    <xf numFmtId="0" fontId="93" fillId="0" borderId="0" applyNumberFormat="0" applyFill="0" applyBorder="0" applyAlignment="0">
      <protection locked="0"/>
    </xf>
    <xf numFmtId="0" fontId="89" fillId="58" borderId="0" applyNumberFormat="0" applyBorder="0" applyAlignment="0" applyProtection="0"/>
    <xf numFmtId="0" fontId="89" fillId="58" borderId="0" applyNumberFormat="0" applyBorder="0" applyAlignment="0" applyProtection="0"/>
    <xf numFmtId="0" fontId="221" fillId="58" borderId="0" applyNumberFormat="0" applyBorder="0" applyAlignment="0" applyProtection="0"/>
    <xf numFmtId="0" fontId="76" fillId="28" borderId="0" applyNumberFormat="0" applyBorder="0" applyAlignment="0" applyProtection="0"/>
    <xf numFmtId="0" fontId="222" fillId="28" borderId="0" applyNumberFormat="0" applyBorder="0" applyAlignment="0" applyProtection="0"/>
    <xf numFmtId="0" fontId="223" fillId="28" borderId="0" applyNumberFormat="0" applyBorder="0" applyAlignment="0" applyProtection="0"/>
    <xf numFmtId="0" fontId="89" fillId="58" borderId="0" applyNumberFormat="0" applyBorder="0" applyAlignment="0" applyProtection="0"/>
    <xf numFmtId="0" fontId="224" fillId="0" borderId="0" applyNumberFormat="0" applyFill="0" applyBorder="0" applyProtection="0">
      <alignment horizontal="centerContinuous" wrapText="1"/>
    </xf>
    <xf numFmtId="0" fontId="127" fillId="0" borderId="0" applyNumberFormat="0" applyFill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5" fillId="68" borderId="57" applyNumberFormat="0" applyFont="0" applyAlignment="0" applyProtection="0"/>
    <xf numFmtId="0" fontId="225" fillId="68" borderId="57" applyNumberFormat="0" applyFont="0" applyAlignment="0" applyProtection="0"/>
    <xf numFmtId="0" fontId="225" fillId="68" borderId="57" applyNumberFormat="0" applyFont="0" applyAlignment="0" applyProtection="0"/>
    <xf numFmtId="0" fontId="120" fillId="86" borderId="0" applyNumberFormat="0" applyBorder="0" applyAlignment="0" applyProtection="0"/>
    <xf numFmtId="0" fontId="120" fillId="90" borderId="0" applyNumberFormat="0" applyBorder="0" applyAlignment="0" applyProtection="0"/>
    <xf numFmtId="0" fontId="120" fillId="92" borderId="0" applyNumberFormat="0" applyBorder="0" applyAlignment="0" applyProtection="0"/>
    <xf numFmtId="0" fontId="120" fillId="78" borderId="0" applyNumberFormat="0" applyBorder="0" applyAlignment="0" applyProtection="0"/>
    <xf numFmtId="0" fontId="120" fillId="79" borderId="0" applyNumberFormat="0" applyBorder="0" applyAlignment="0" applyProtection="0"/>
    <xf numFmtId="0" fontId="120" fillId="95" borderId="0" applyNumberFormat="0" applyBorder="0" applyAlignment="0" applyProtection="0"/>
    <xf numFmtId="0" fontId="226" fillId="63" borderId="0" applyNumberFormat="0" applyBorder="0" applyAlignment="0" applyProtection="0"/>
    <xf numFmtId="0" fontId="227" fillId="71" borderId="59" applyNumberFormat="0" applyAlignment="0" applyProtection="0"/>
    <xf numFmtId="0" fontId="227" fillId="71" borderId="59" applyNumberFormat="0" applyAlignment="0" applyProtection="0"/>
    <xf numFmtId="0" fontId="227" fillId="71" borderId="59" applyNumberFormat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229" fillId="81" borderId="63" applyNumberFormat="0" applyAlignment="0" applyProtection="0"/>
    <xf numFmtId="0" fontId="90" fillId="81" borderId="63" applyNumberFormat="0" applyAlignment="0" applyProtection="0"/>
    <xf numFmtId="38" fontId="230" fillId="0" borderId="0"/>
    <xf numFmtId="38" fontId="231" fillId="0" borderId="0"/>
    <xf numFmtId="38" fontId="232" fillId="0" borderId="0"/>
    <xf numFmtId="38" fontId="233" fillId="0" borderId="0"/>
    <xf numFmtId="0" fontId="95" fillId="0" borderId="0"/>
    <xf numFmtId="0" fontId="95" fillId="0" borderId="0"/>
    <xf numFmtId="0" fontId="18" fillId="0" borderId="0" applyFill="0" applyBorder="0">
      <alignment wrapText="1"/>
    </xf>
    <xf numFmtId="200" fontId="207" fillId="0" borderId="0" applyFont="0">
      <alignment vertical="top"/>
    </xf>
    <xf numFmtId="0" fontId="150" fillId="0" borderId="64" applyNumberFormat="0" applyFill="0" applyAlignment="0" applyProtection="0"/>
    <xf numFmtId="0" fontId="234" fillId="0" borderId="0" applyNumberFormat="0" applyFill="0" applyBorder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235" fontId="196" fillId="97" borderId="56" applyNumberFormat="0" applyFont="0" applyAlignment="0" applyProtection="0">
      <alignment vertical="center"/>
      <protection locked="0"/>
    </xf>
    <xf numFmtId="0" fontId="217" fillId="0" borderId="0" applyNumberFormat="0" applyFill="0" applyBorder="0" applyAlignment="0" applyProtection="0">
      <alignment vertical="top"/>
      <protection locked="0"/>
    </xf>
    <xf numFmtId="0" fontId="235" fillId="0" borderId="0" applyNumberFormat="0" applyFill="0" applyBorder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236" fillId="0" borderId="64" applyNumberFormat="0" applyFill="0" applyAlignment="0" applyProtection="0"/>
    <xf numFmtId="0" fontId="18" fillId="13" borderId="5" applyNumberFormat="0">
      <alignment horizontal="center"/>
      <protection locked="0"/>
    </xf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240" fontId="237" fillId="0" borderId="0" applyFill="0">
      <alignment horizontal="center"/>
    </xf>
    <xf numFmtId="0" fontId="238" fillId="0" borderId="0" applyNumberFormat="0" applyFill="0" applyBorder="0" applyAlignment="0" applyProtection="0"/>
    <xf numFmtId="0" fontId="239" fillId="0" borderId="0">
      <alignment horizontal="centerContinuous"/>
    </xf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241" fontId="196" fillId="0" borderId="0"/>
    <xf numFmtId="0" fontId="241" fillId="0" borderId="0" applyNumberFormat="0" applyFill="0" applyBorder="0" applyAlignment="0" applyProtection="0"/>
    <xf numFmtId="0" fontId="93" fillId="107" borderId="79" applyBorder="0">
      <alignment horizontal="left"/>
    </xf>
    <xf numFmtId="41" fontId="10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22" fillId="0" borderId="0" applyFont="0" applyFill="0" applyBorder="0" applyAlignment="0" applyProtection="0"/>
    <xf numFmtId="207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1" fontId="170" fillId="0" borderId="0" applyFont="0" applyFill="0" applyBorder="0" applyAlignment="0" applyProtection="0"/>
    <xf numFmtId="207" fontId="18" fillId="0" borderId="0" applyFont="0" applyFill="0" applyBorder="0" applyAlignment="0" applyProtection="0"/>
    <xf numFmtId="181" fontId="1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207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207" fontId="18" fillId="0" borderId="0" applyFont="0" applyFill="0" applyBorder="0" applyAlignment="0" applyProtection="0"/>
    <xf numFmtId="181" fontId="1" fillId="0" borderId="0" applyFont="0" applyFill="0" applyBorder="0" applyAlignment="0" applyProtection="0"/>
    <xf numFmtId="207" fontId="18" fillId="0" borderId="0" applyFont="0" applyFill="0" applyBorder="0" applyAlignment="0" applyProtection="0"/>
    <xf numFmtId="37" fontId="18" fillId="0" borderId="0" applyFill="0" applyBorder="0" applyAlignment="0"/>
    <xf numFmtId="242" fontId="18" fillId="0" borderId="0" applyFont="0" applyFill="0" applyBorder="0" applyAlignment="0" applyProtection="0"/>
    <xf numFmtId="0" fontId="134" fillId="0" borderId="0">
      <protection locked="0"/>
    </xf>
    <xf numFmtId="3" fontId="101" fillId="0" borderId="0">
      <alignment horizontal="center"/>
    </xf>
    <xf numFmtId="3" fontId="101" fillId="0" borderId="0">
      <alignment horizontal="center"/>
    </xf>
    <xf numFmtId="3" fontId="242" fillId="0" borderId="0">
      <alignment horizontal="center"/>
    </xf>
    <xf numFmtId="0" fontId="243" fillId="0" borderId="0" applyFont="0" applyFill="0" applyBorder="0" applyAlignment="0" applyProtection="0"/>
    <xf numFmtId="2" fontId="244" fillId="0" borderId="80" applyFont="0" applyFill="0" applyBorder="0" applyAlignment="0"/>
    <xf numFmtId="243" fontId="196" fillId="0" borderId="0" applyFont="0" applyFill="0" applyBorder="0" applyAlignment="0" applyProtection="0"/>
    <xf numFmtId="0" fontId="245" fillId="0" borderId="0"/>
    <xf numFmtId="0" fontId="246" fillId="0" borderId="0" applyNumberFormat="0" applyFill="0">
      <alignment vertical="center"/>
    </xf>
    <xf numFmtId="217" fontId="18" fillId="0" borderId="0" applyFont="0" applyFill="0" applyBorder="0" applyAlignment="0" applyProtection="0"/>
    <xf numFmtId="244" fontId="18" fillId="0" borderId="0" applyFont="0" applyFill="0" applyBorder="0" applyAlignment="0" applyProtection="0"/>
    <xf numFmtId="186" fontId="18" fillId="0" borderId="0" applyFont="0" applyFill="0" applyBorder="0" applyAlignment="0" applyProtection="0"/>
    <xf numFmtId="217" fontId="18" fillId="0" borderId="0" applyFont="0" applyFill="0" applyBorder="0" applyAlignment="0" applyProtection="0"/>
    <xf numFmtId="186" fontId="111" fillId="0" borderId="0" applyFont="0" applyFill="0" applyBorder="0" applyAlignment="0" applyProtection="0"/>
    <xf numFmtId="17" fontId="93" fillId="101" borderId="81" applyFill="0" applyBorder="0" applyProtection="0">
      <alignment horizontal="center"/>
    </xf>
    <xf numFmtId="245" fontId="93" fillId="114" borderId="0" applyFill="0" applyBorder="0" applyProtection="0">
      <alignment horizontal="center"/>
    </xf>
    <xf numFmtId="0" fontId="18" fillId="0" borderId="0"/>
    <xf numFmtId="0" fontId="247" fillId="1" borderId="0"/>
    <xf numFmtId="0" fontId="166" fillId="0" borderId="0" applyFont="0" applyFill="0" applyBorder="0" applyProtection="0">
      <alignment horizontal="right"/>
    </xf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93" fillId="101" borderId="82" applyNumberFormat="0" applyFont="0" applyFill="0" applyAlignment="0" applyProtection="0">
      <alignment vertical="center"/>
      <protection locked="0"/>
    </xf>
    <xf numFmtId="0" fontId="248" fillId="0" borderId="0" applyNumberFormat="0" applyBorder="0">
      <alignment horizontal="left" vertical="top"/>
    </xf>
    <xf numFmtId="0" fontId="193" fillId="101" borderId="82" applyNumberFormat="0" applyFont="0" applyFill="0" applyAlignment="0" applyProtection="0">
      <alignment vertical="center"/>
      <protection locked="0"/>
    </xf>
    <xf numFmtId="0" fontId="225" fillId="0" borderId="0"/>
    <xf numFmtId="0" fontId="249" fillId="0" borderId="0" applyNumberFormat="0" applyFill="0" applyBorder="0" applyAlignment="0" applyProtection="0"/>
    <xf numFmtId="40" fontId="140" fillId="0" borderId="0" applyFont="0" applyFill="0" applyBorder="0" applyAlignment="0">
      <alignment horizontal="centerContinuous"/>
    </xf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1" fillId="76" borderId="0" applyNumberFormat="0" applyBorder="0" applyAlignment="0" applyProtection="0"/>
    <xf numFmtId="0" fontId="250" fillId="76" borderId="0" applyNumberFormat="0" applyBorder="0" applyAlignment="0" applyProtection="0"/>
    <xf numFmtId="0" fontId="252" fillId="76" borderId="0" applyNumberFormat="0" applyBorder="0" applyAlignment="0" applyProtection="0"/>
    <xf numFmtId="0" fontId="252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0" fillId="76" borderId="0" applyNumberFormat="0" applyBorder="0" applyAlignment="0" applyProtection="0"/>
    <xf numFmtId="0" fontId="253" fillId="76" borderId="0" applyNumberFormat="0" applyBorder="0" applyAlignment="0" applyProtection="0"/>
    <xf numFmtId="0" fontId="86" fillId="29" borderId="0" applyNumberFormat="0" applyBorder="0" applyAlignment="0" applyProtection="0"/>
    <xf numFmtId="0" fontId="254" fillId="29" borderId="0" applyNumberFormat="0" applyBorder="0" applyAlignment="0" applyProtection="0"/>
    <xf numFmtId="0" fontId="250" fillId="76" borderId="0" applyNumberFormat="0" applyBorder="0" applyAlignment="0" applyProtection="0"/>
    <xf numFmtId="0" fontId="140" fillId="0" borderId="0"/>
    <xf numFmtId="0" fontId="140" fillId="0" borderId="0"/>
    <xf numFmtId="0" fontId="140" fillId="0" borderId="0"/>
    <xf numFmtId="0" fontId="140" fillId="0" borderId="0"/>
    <xf numFmtId="0" fontId="242" fillId="0" borderId="0"/>
    <xf numFmtId="207" fontId="108" fillId="0" borderId="0"/>
    <xf numFmtId="0" fontId="93" fillId="0" borderId="0" applyNumberFormat="0" applyFill="0" applyBorder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11" fillId="0" borderId="0"/>
    <xf numFmtId="0" fontId="15" fillId="0" borderId="0"/>
    <xf numFmtId="0" fontId="15" fillId="0" borderId="0"/>
    <xf numFmtId="0" fontId="17" fillId="0" borderId="0"/>
    <xf numFmtId="0" fontId="18" fillId="0" borderId="0" applyNumberFormat="0" applyFont="0" applyFill="0" applyBorder="0" applyAlignment="0" applyProtection="0"/>
    <xf numFmtId="0" fontId="18" fillId="0" borderId="0"/>
    <xf numFmtId="0" fontId="18" fillId="0" borderId="0"/>
    <xf numFmtId="0" fontId="111" fillId="0" borderId="0"/>
    <xf numFmtId="0" fontId="111" fillId="0" borderId="0"/>
    <xf numFmtId="0" fontId="17" fillId="0" borderId="0"/>
    <xf numFmtId="0" fontId="17" fillId="0" borderId="0"/>
    <xf numFmtId="0" fontId="15" fillId="0" borderId="0"/>
    <xf numFmtId="0" fontId="18" fillId="0" borderId="0"/>
    <xf numFmtId="0" fontId="17" fillId="0" borderId="0"/>
    <xf numFmtId="0" fontId="17" fillId="0" borderId="0"/>
    <xf numFmtId="0" fontId="15" fillId="0" borderId="0"/>
    <xf numFmtId="0" fontId="15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87" fillId="0" borderId="0"/>
    <xf numFmtId="0" fontId="255" fillId="0" borderId="0"/>
    <xf numFmtId="0" fontId="18" fillId="0" borderId="0"/>
    <xf numFmtId="0" fontId="256" fillId="0" borderId="0"/>
    <xf numFmtId="0" fontId="17" fillId="0" borderId="0"/>
    <xf numFmtId="0" fontId="256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256" fillId="0" borderId="0"/>
    <xf numFmtId="0" fontId="256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" fillId="0" borderId="0"/>
    <xf numFmtId="0" fontId="1" fillId="0" borderId="0"/>
    <xf numFmtId="0" fontId="18" fillId="0" borderId="0"/>
    <xf numFmtId="0" fontId="225" fillId="0" borderId="0"/>
    <xf numFmtId="0" fontId="18" fillId="0" borderId="0"/>
    <xf numFmtId="0" fontId="25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0" fillId="0" borderId="0"/>
    <xf numFmtId="0" fontId="18" fillId="0" borderId="0"/>
    <xf numFmtId="0" fontId="17" fillId="0" borderId="0"/>
    <xf numFmtId="0" fontId="140" fillId="0" borderId="0"/>
    <xf numFmtId="0" fontId="14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40" fillId="0" borderId="0"/>
    <xf numFmtId="0" fontId="140" fillId="0" borderId="0"/>
    <xf numFmtId="0" fontId="18" fillId="0" borderId="0"/>
    <xf numFmtId="0" fontId="140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40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57" fillId="0" borderId="0"/>
    <xf numFmtId="0" fontId="257" fillId="0" borderId="0"/>
    <xf numFmtId="0" fontId="18" fillId="0" borderId="0"/>
    <xf numFmtId="0" fontId="257" fillId="0" borderId="0"/>
    <xf numFmtId="0" fontId="96" fillId="0" borderId="0"/>
    <xf numFmtId="0" fontId="257" fillId="0" borderId="0"/>
    <xf numFmtId="0" fontId="140" fillId="0" borderId="0"/>
    <xf numFmtId="0" fontId="17" fillId="0" borderId="0"/>
    <xf numFmtId="0" fontId="17" fillId="0" borderId="0"/>
    <xf numFmtId="0" fontId="256" fillId="0" borderId="0"/>
    <xf numFmtId="0" fontId="1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87" fillId="0" borderId="0"/>
    <xf numFmtId="0" fontId="167" fillId="0" borderId="0"/>
    <xf numFmtId="0" fontId="87" fillId="0" borderId="0"/>
    <xf numFmtId="0" fontId="16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8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0" fillId="0" borderId="0"/>
    <xf numFmtId="0" fontId="140" fillId="0" borderId="0"/>
    <xf numFmtId="0" fontId="18" fillId="0" borderId="0"/>
    <xf numFmtId="0" fontId="18" fillId="0" borderId="0"/>
    <xf numFmtId="0" fontId="140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22" fillId="0" borderId="0"/>
    <xf numFmtId="0" fontId="140" fillId="0" borderId="0"/>
    <xf numFmtId="0" fontId="22" fillId="0" borderId="0"/>
    <xf numFmtId="0" fontId="140" fillId="0" borderId="0"/>
    <xf numFmtId="0" fontId="167" fillId="0" borderId="0"/>
    <xf numFmtId="0" fontId="8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67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96" fillId="0" borderId="0"/>
    <xf numFmtId="0" fontId="87" fillId="0" borderId="0"/>
    <xf numFmtId="0" fontId="167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18" fillId="0" borderId="0"/>
    <xf numFmtId="0" fontId="88" fillId="0" borderId="0"/>
    <xf numFmtId="0" fontId="18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40" fillId="0" borderId="0"/>
    <xf numFmtId="0" fontId="169" fillId="0" borderId="0"/>
    <xf numFmtId="0" fontId="18" fillId="0" borderId="0"/>
    <xf numFmtId="0" fontId="1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87" fillId="0" borderId="0"/>
    <xf numFmtId="0" fontId="256" fillId="0" borderId="0"/>
    <xf numFmtId="0" fontId="1" fillId="0" borderId="0"/>
    <xf numFmtId="0" fontId="1" fillId="0" borderId="0"/>
    <xf numFmtId="0" fontId="1" fillId="0" borderId="0"/>
    <xf numFmtId="0" fontId="2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88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7" fillId="0" borderId="0"/>
    <xf numFmtId="0" fontId="18" fillId="0" borderId="0"/>
    <xf numFmtId="0" fontId="15" fillId="0" borderId="0"/>
    <xf numFmtId="0" fontId="256" fillId="0" borderId="0"/>
    <xf numFmtId="0" fontId="256" fillId="0" borderId="0"/>
    <xf numFmtId="0" fontId="18" fillId="0" borderId="0"/>
    <xf numFmtId="0" fontId="256" fillId="0" borderId="0"/>
    <xf numFmtId="0" fontId="256" fillId="0" borderId="0"/>
    <xf numFmtId="0" fontId="18" fillId="0" borderId="0"/>
    <xf numFmtId="0" fontId="256" fillId="0" borderId="0"/>
    <xf numFmtId="0" fontId="256" fillId="0" borderId="0"/>
    <xf numFmtId="0" fontId="18" fillId="0" borderId="0"/>
    <xf numFmtId="0" fontId="256" fillId="0" borderId="0"/>
    <xf numFmtId="0" fontId="256" fillId="0" borderId="0"/>
    <xf numFmtId="0" fontId="18" fillId="0" borderId="0"/>
    <xf numFmtId="0" fontId="256" fillId="0" borderId="0"/>
    <xf numFmtId="0" fontId="256" fillId="0" borderId="0"/>
    <xf numFmtId="0" fontId="18" fillId="0" borderId="0"/>
    <xf numFmtId="0" fontId="96" fillId="0" borderId="0"/>
    <xf numFmtId="0" fontId="96" fillId="0" borderId="0"/>
    <xf numFmtId="0" fontId="18" fillId="0" borderId="0"/>
    <xf numFmtId="0" fontId="96" fillId="0" borderId="0"/>
    <xf numFmtId="0" fontId="96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  <xf numFmtId="0" fontId="88" fillId="0" borderId="0"/>
    <xf numFmtId="0" fontId="18" fillId="0" borderId="0"/>
    <xf numFmtId="0" fontId="18" fillId="0" borderId="0"/>
    <xf numFmtId="0" fontId="167" fillId="0" borderId="0"/>
    <xf numFmtId="0" fontId="17" fillId="0" borderId="0"/>
    <xf numFmtId="0" fontId="16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8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67" fillId="0" borderId="0"/>
    <xf numFmtId="0" fontId="17" fillId="0" borderId="0"/>
    <xf numFmtId="0" fontId="18" fillId="0" borderId="0" applyNumberFormat="0" applyFont="0" applyFill="0" applyBorder="0" applyAlignment="0" applyProtection="0"/>
    <xf numFmtId="0" fontId="18" fillId="0" borderId="0"/>
    <xf numFmtId="0" fontId="16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40" fillId="0" borderId="0"/>
    <xf numFmtId="0" fontId="18" fillId="0" borderId="0"/>
    <xf numFmtId="0" fontId="18" fillId="0" borderId="0"/>
    <xf numFmtId="0" fontId="9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8" fillId="0" borderId="0"/>
    <xf numFmtId="0" fontId="134" fillId="0" borderId="0"/>
    <xf numFmtId="0" fontId="18" fillId="0" borderId="0" applyNumberFormat="0" applyFill="0" applyBorder="0" applyAlignment="0" applyProtection="0"/>
    <xf numFmtId="0" fontId="17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7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40" fillId="0" borderId="0"/>
    <xf numFmtId="0" fontId="140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5" fillId="0" borderId="0"/>
    <xf numFmtId="0" fontId="140" fillId="0" borderId="0"/>
    <xf numFmtId="0" fontId="140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4" fillId="0" borderId="0"/>
    <xf numFmtId="0" fontId="114" fillId="0" borderId="0"/>
    <xf numFmtId="0" fontId="18" fillId="0" borderId="0"/>
    <xf numFmtId="0" fontId="258" fillId="0" borderId="0"/>
    <xf numFmtId="0" fontId="15" fillId="0" borderId="0"/>
    <xf numFmtId="0" fontId="15" fillId="0" borderId="0"/>
    <xf numFmtId="0" fontId="114" fillId="0" borderId="0"/>
    <xf numFmtId="0" fontId="15" fillId="0" borderId="0"/>
    <xf numFmtId="0" fontId="114" fillId="0" borderId="0"/>
    <xf numFmtId="0" fontId="18" fillId="0" borderId="0"/>
    <xf numFmtId="0" fontId="18" fillId="0" borderId="0" applyBorder="0"/>
    <xf numFmtId="0" fontId="18" fillId="0" borderId="0" applyBorder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  <xf numFmtId="0" fontId="14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8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14" fillId="0" borderId="0"/>
    <xf numFmtId="0" fontId="140" fillId="0" borderId="0"/>
    <xf numFmtId="0" fontId="140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40" fillId="0" borderId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 applyBorder="0"/>
    <xf numFmtId="0" fontId="18" fillId="0" borderId="0"/>
    <xf numFmtId="0" fontId="136" fillId="0" borderId="0">
      <alignment horizontal="left"/>
    </xf>
    <xf numFmtId="0" fontId="87" fillId="0" borderId="0"/>
    <xf numFmtId="0" fontId="87" fillId="0" borderId="0"/>
    <xf numFmtId="0" fontId="259" fillId="0" borderId="0"/>
    <xf numFmtId="0" fontId="260" fillId="0" borderId="0"/>
    <xf numFmtId="0" fontId="260" fillId="0" borderId="0"/>
    <xf numFmtId="0" fontId="177" fillId="0" borderId="0"/>
    <xf numFmtId="0" fontId="177" fillId="0" borderId="0"/>
    <xf numFmtId="0" fontId="18" fillId="0" borderId="0"/>
    <xf numFmtId="0" fontId="1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59" fillId="0" borderId="0"/>
    <xf numFmtId="0" fontId="143" fillId="0" borderId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226" fontId="261" fillId="0" borderId="0" applyNumberFormat="0" applyFill="0" applyBorder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246" fontId="18" fillId="0" borderId="0" applyFont="0" applyFill="0" applyBorder="0" applyAlignment="0" applyProtection="0"/>
    <xf numFmtId="0" fontId="18" fillId="0" borderId="56"/>
    <xf numFmtId="0" fontId="18" fillId="0" borderId="56"/>
    <xf numFmtId="0" fontId="18" fillId="0" borderId="56"/>
    <xf numFmtId="246" fontId="18" fillId="0" borderId="0" applyFont="0" applyFill="0" applyBorder="0" applyAlignment="0" applyProtection="0"/>
    <xf numFmtId="246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93" fontId="262" fillId="0" borderId="56" applyBorder="0"/>
    <xf numFmtId="1" fontId="18" fillId="0" borderId="0" applyFont="0" applyFill="0" applyBorder="0" applyAlignment="0" applyProtection="0"/>
    <xf numFmtId="1" fontId="18" fillId="0" borderId="0" applyFont="0" applyFill="0" applyBorder="0" applyAlignment="0" applyProtection="0"/>
    <xf numFmtId="1" fontId="18" fillId="0" borderId="0" applyFont="0" applyFill="0" applyBorder="0" applyAlignment="0" applyProtection="0"/>
    <xf numFmtId="247" fontId="263" fillId="0" borderId="0" applyFont="0" applyFill="0" applyBorder="0" applyProtection="0">
      <alignment horizontal="right"/>
    </xf>
    <xf numFmtId="248" fontId="93" fillId="0" borderId="56">
      <alignment horizontal="center" vertical="center"/>
    </xf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8" fillId="0" borderId="0"/>
    <xf numFmtId="0" fontId="98" fillId="0" borderId="0"/>
    <xf numFmtId="0" fontId="264" fillId="0" borderId="65" applyNumberFormat="0" applyFill="0" applyAlignment="0" applyProtection="0"/>
    <xf numFmtId="0" fontId="264" fillId="0" borderId="65" applyNumberFormat="0" applyFill="0" applyAlignment="0" applyProtection="0"/>
    <xf numFmtId="0" fontId="264" fillId="0" borderId="65" applyNumberFormat="0" applyFill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10" fontId="18" fillId="0" borderId="0" applyFill="0" applyBorder="0">
      <alignment horizontal="center" vertical="center"/>
    </xf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97" fillId="20" borderId="56" applyNumberFormat="0" applyFont="0" applyBorder="0" applyAlignment="0">
      <alignment horizontal="center"/>
      <protection locked="0"/>
    </xf>
    <xf numFmtId="0" fontId="266" fillId="0" borderId="0" applyFill="0" applyBorder="0" applyProtection="0">
      <alignment horizontal="left"/>
    </xf>
    <xf numFmtId="0" fontId="267" fillId="0" borderId="0" applyFill="0" applyBorder="0" applyProtection="0">
      <alignment horizontal="left"/>
    </xf>
    <xf numFmtId="1" fontId="268" fillId="0" borderId="0" applyProtection="0">
      <alignment horizontal="right" vertical="center"/>
    </xf>
    <xf numFmtId="0" fontId="269" fillId="0" borderId="0">
      <protection locked="0"/>
    </xf>
    <xf numFmtId="0" fontId="269" fillId="0" borderId="0">
      <protection locked="0"/>
    </xf>
    <xf numFmtId="0" fontId="270" fillId="0" borderId="0">
      <protection locked="0"/>
    </xf>
    <xf numFmtId="0" fontId="271" fillId="0" borderId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9" fillId="0" borderId="0" applyNumberFormat="0" applyFill="0" applyBorder="0" applyAlignment="0" applyProtection="0"/>
    <xf numFmtId="49" fontId="18" fillId="0" borderId="22" applyFill="0" applyProtection="0">
      <alignment vertical="center"/>
    </xf>
    <xf numFmtId="0" fontId="18" fillId="97" borderId="79" applyNumberFormat="0" applyFont="0" applyBorder="0" applyAlignment="0">
      <alignment horizontal="centerContinuous"/>
      <protection locked="0"/>
    </xf>
    <xf numFmtId="0" fontId="130" fillId="119" borderId="0" applyNumberFormat="0" applyFont="0" applyBorder="0" applyAlignment="0">
      <alignment horizontal="centerContinuous"/>
    </xf>
    <xf numFmtId="9" fontId="93" fillId="0" borderId="0" applyFont="0" applyFill="0" applyBorder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272" fillId="0" borderId="53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273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274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274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275" fillId="0" borderId="0" applyNumberFormat="0" applyFill="0" applyBorder="0" applyAlignment="0" applyProtection="0"/>
    <xf numFmtId="0" fontId="174" fillId="0" borderId="0"/>
    <xf numFmtId="249" fontId="93" fillId="108" borderId="68" applyFill="0" applyBorder="0" applyProtection="0">
      <alignment horizontal="right"/>
      <protection locked="0"/>
    </xf>
    <xf numFmtId="250" fontId="93" fillId="101" borderId="0" applyFill="0" applyBorder="0" applyAlignment="0" applyProtection="0">
      <alignment horizontal="right"/>
    </xf>
    <xf numFmtId="166" fontId="18" fillId="0" borderId="0" applyFill="0" applyBorder="0" applyAlignment="0" applyProtection="0"/>
    <xf numFmtId="10" fontId="18" fillId="0" borderId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10" fontId="140" fillId="0" borderId="0" applyFont="0" applyFill="0" applyBorder="0" applyAlignment="0" applyProtection="0"/>
    <xf numFmtId="10" fontId="140" fillId="0" borderId="0" applyFont="0" applyFill="0" applyBorder="0" applyAlignment="0" applyProtection="0"/>
    <xf numFmtId="10" fontId="18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7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43" fillId="0" borderId="0" applyFont="0" applyFill="0" applyBorder="0" applyProtection="0">
      <alignment horizontal="right"/>
    </xf>
    <xf numFmtId="10" fontId="277" fillId="120" borderId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93" fillId="0" borderId="0" applyFill="0" applyBorder="0" applyAlignment="0" applyProtection="0"/>
    <xf numFmtId="251" fontId="93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8" fillId="0" borderId="0" applyNumberFormat="0" applyFill="0" applyBorder="0" applyProtection="0">
      <alignment horizontal="left"/>
    </xf>
    <xf numFmtId="0" fontId="18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8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34" fillId="0" borderId="0" applyNumberFormat="0" applyFill="0" applyBorder="0" applyProtection="0">
      <alignment horizontal="left"/>
    </xf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07" fillId="0" borderId="18" applyFont="0">
      <alignment horizontal="right"/>
    </xf>
    <xf numFmtId="0" fontId="207" fillId="0" borderId="18" applyFont="0">
      <alignment horizontal="right"/>
    </xf>
    <xf numFmtId="0" fontId="113" fillId="0" borderId="84">
      <alignment horizontal="center"/>
    </xf>
    <xf numFmtId="0" fontId="113" fillId="0" borderId="84">
      <alignment horizontal="center"/>
    </xf>
    <xf numFmtId="0" fontId="113" fillId="0" borderId="84">
      <alignment horizontal="center"/>
    </xf>
    <xf numFmtId="0" fontId="113" fillId="0" borderId="84">
      <alignment horizontal="center"/>
    </xf>
    <xf numFmtId="0" fontId="113" fillId="0" borderId="84">
      <alignment horizontal="center"/>
    </xf>
    <xf numFmtId="10" fontId="134" fillId="0" borderId="0"/>
    <xf numFmtId="252" fontId="18" fillId="0" borderId="0">
      <protection locked="0"/>
    </xf>
    <xf numFmtId="253" fontId="18" fillId="0" borderId="0">
      <protection locked="0"/>
    </xf>
    <xf numFmtId="254" fontId="18" fillId="0" borderId="0">
      <protection locked="0"/>
    </xf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4" fillId="0" borderId="0" applyFont="0" applyFill="0" applyBorder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8" fillId="0" borderId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93" fillId="121" borderId="85" applyNumberFormat="0" applyFont="0" applyBorder="0" applyAlignment="0" applyProtection="0"/>
    <xf numFmtId="173" fontId="113" fillId="0" borderId="0"/>
    <xf numFmtId="0" fontId="150" fillId="0" borderId="64" applyNumberFormat="0" applyFill="0" applyAlignment="0" applyProtection="0"/>
    <xf numFmtId="9" fontId="17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40" fillId="0" borderId="0" applyFont="0" applyFill="0" applyBorder="0" applyAlignment="0" applyProtection="0"/>
    <xf numFmtId="0" fontId="134" fillId="0" borderId="0" applyNumberFormat="0" applyFont="0" applyFill="0" applyBorder="0" applyAlignment="0" applyProtection="0">
      <alignment horizontal="left"/>
    </xf>
    <xf numFmtId="15" fontId="134" fillId="0" borderId="0" applyFont="0" applyFill="0" applyBorder="0" applyAlignment="0" applyProtection="0"/>
    <xf numFmtId="0" fontId="247" fillId="0" borderId="60">
      <alignment horizontal="center"/>
    </xf>
    <xf numFmtId="0" fontId="247" fillId="0" borderId="60">
      <alignment horizontal="center"/>
    </xf>
    <xf numFmtId="0" fontId="247" fillId="0" borderId="60">
      <alignment horizontal="center"/>
    </xf>
    <xf numFmtId="3" fontId="134" fillId="0" borderId="0" applyFont="0" applyFill="0" applyBorder="0" applyAlignment="0" applyProtection="0"/>
    <xf numFmtId="0" fontId="134" fillId="122" borderId="0" applyNumberFormat="0" applyFont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93" fillId="0" borderId="0" applyFont="0" applyFill="0" applyBorder="0" applyAlignment="0" applyProtection="0"/>
    <xf numFmtId="255" fontId="93" fillId="101" borderId="56" applyFill="0" applyBorder="0" applyProtection="0">
      <alignment horizontal="left"/>
    </xf>
    <xf numFmtId="0" fontId="279" fillId="0" borderId="16" applyNumberFormat="0" applyFont="0" applyBorder="0" applyAlignment="0" applyProtection="0"/>
    <xf numFmtId="0" fontId="18" fillId="0" borderId="0" applyBorder="0" applyAlignment="0"/>
    <xf numFmtId="0" fontId="279" fillId="0" borderId="16" applyNumberFormat="0" applyFont="0" applyBorder="0" applyAlignment="0" applyProtection="0"/>
    <xf numFmtId="0" fontId="279" fillId="0" borderId="16" applyNumberFormat="0" applyFont="0" applyBorder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280" fillId="0" borderId="0" applyNumberFormat="0" applyFill="0" applyBorder="0" applyAlignment="0" applyProtection="0"/>
    <xf numFmtId="0" fontId="136" fillId="0" borderId="0"/>
    <xf numFmtId="0" fontId="136" fillId="0" borderId="0">
      <alignment horizontal="right"/>
    </xf>
    <xf numFmtId="0" fontId="136" fillId="0" borderId="0">
      <alignment horizontal="right"/>
    </xf>
    <xf numFmtId="0" fontId="18" fillId="0" borderId="86" applyFont="0" applyFill="0" applyBorder="0"/>
    <xf numFmtId="0" fontId="18" fillId="0" borderId="86" applyFont="0" applyFill="0" applyBorder="0"/>
    <xf numFmtId="0" fontId="18" fillId="0" borderId="86" applyFont="0" applyFill="0" applyBorder="0"/>
    <xf numFmtId="0" fontId="18" fillId="0" borderId="86" applyFont="0" applyFill="0" applyBorder="0"/>
    <xf numFmtId="0" fontId="18" fillId="0" borderId="86" applyFont="0" applyFill="0" applyBorder="0"/>
    <xf numFmtId="0" fontId="18" fillId="0" borderId="86" applyFont="0" applyFill="0" applyBorder="0"/>
    <xf numFmtId="0" fontId="18" fillId="0" borderId="0" applyFill="0" applyBorder="0" applyProtection="0">
      <alignment vertical="center"/>
    </xf>
    <xf numFmtId="0" fontId="18" fillId="0" borderId="0" applyFill="0" applyBorder="0" applyProtection="0">
      <alignment vertical="center"/>
    </xf>
    <xf numFmtId="0" fontId="18" fillId="0" borderId="0" applyFill="0" applyBorder="0" applyProtection="0">
      <alignment vertical="center"/>
    </xf>
    <xf numFmtId="0" fontId="118" fillId="86" borderId="0" applyNumberFormat="0" applyBorder="0" applyAlignment="0" applyProtection="0"/>
    <xf numFmtId="0" fontId="118" fillId="86" borderId="0" applyNumberFormat="0" applyBorder="0" applyAlignment="0" applyProtection="0"/>
    <xf numFmtId="0" fontId="123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23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23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8" borderId="0" applyNumberFormat="0" applyBorder="0" applyAlignment="0" applyProtection="0"/>
    <xf numFmtId="0" fontId="123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23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95" borderId="0" applyNumberFormat="0" applyBorder="0" applyAlignment="0" applyProtection="0"/>
    <xf numFmtId="0" fontId="123" fillId="95" borderId="0" applyNumberFormat="0" applyBorder="0" applyAlignment="0" applyProtection="0"/>
    <xf numFmtId="0" fontId="281" fillId="58" borderId="0" applyNumberFormat="0" applyBorder="0" applyAlignment="0" applyProtection="0"/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82" fillId="123" borderId="87" applyProtection="0">
      <alignment horizontal="center" vertical="center"/>
    </xf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50" fillId="0" borderId="64" applyNumberFormat="0" applyFill="0" applyAlignment="0" applyProtection="0"/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113" fillId="131" borderId="88" applyNumberFormat="0" applyProtection="0">
      <alignment horizontal="left" vertical="center" indent="1"/>
    </xf>
    <xf numFmtId="4" fontId="285" fillId="132" borderId="0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286" fillId="0" borderId="0"/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144" fillId="63" borderId="0" applyNumberFormat="0" applyBorder="0" applyAlignment="0" applyProtection="0"/>
    <xf numFmtId="0" fontId="75" fillId="27" borderId="0" applyNumberFormat="0" applyBorder="0" applyAlignment="0" applyProtection="0"/>
    <xf numFmtId="0" fontId="287" fillId="27" borderId="0" applyNumberFormat="0" applyBorder="0" applyAlignment="0" applyProtection="0"/>
    <xf numFmtId="0" fontId="144" fillId="63" borderId="0" applyNumberFormat="0" applyBorder="0" applyAlignment="0" applyProtection="0"/>
    <xf numFmtId="0" fontId="89" fillId="58" borderId="0" applyNumberFormat="0" applyBorder="0" applyAlignment="0" applyProtection="0"/>
    <xf numFmtId="0" fontId="288" fillId="135" borderId="0" applyNumberFormat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289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93" fillId="0" borderId="0" applyFont="0" applyFill="0" applyBorder="0" applyAlignment="0" applyProtection="0"/>
    <xf numFmtId="0" fontId="290" fillId="76" borderId="0" applyNumberFormat="0" applyBorder="0" applyAlignment="0" applyProtection="0"/>
    <xf numFmtId="0" fontId="140" fillId="136" borderId="0" applyNumberFormat="0" applyFont="0" applyBorder="0" applyAlignment="0" applyProtection="0"/>
    <xf numFmtId="197" fontId="91" fillId="137" borderId="0"/>
    <xf numFmtId="256" fontId="93" fillId="101" borderId="15" applyFill="0" applyBorder="0" applyProtection="0">
      <alignment horizontal="center"/>
    </xf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292" fillId="0" borderId="0" applyNumberFormat="0" applyFill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93" fillId="67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78" fillId="31" borderId="46" applyNumberFormat="0" applyAlignment="0" applyProtection="0"/>
    <xf numFmtId="0" fontId="78" fillId="67" borderId="46" applyNumberFormat="0" applyAlignment="0" applyProtection="0"/>
    <xf numFmtId="0" fontId="78" fillId="67" borderId="46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94" fillId="31" borderId="46" applyNumberFormat="0" applyAlignment="0" applyProtection="0"/>
    <xf numFmtId="0" fontId="294" fillId="31" borderId="46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7" fillId="129" borderId="62" applyNumberFormat="0">
      <alignment horizontal="center" vertical="center"/>
      <protection locked="0"/>
    </xf>
    <xf numFmtId="0" fontId="17" fillId="129" borderId="62" applyNumberFormat="0">
      <alignment horizontal="center" vertical="center"/>
      <protection locked="0"/>
    </xf>
    <xf numFmtId="0" fontId="17" fillId="129" borderId="62" applyNumberFormat="0">
      <alignment horizontal="center" vertical="center"/>
      <protection locked="0"/>
    </xf>
    <xf numFmtId="0" fontId="144" fillId="63" borderId="0" applyNumberFormat="0" applyBorder="0" applyAlignment="0" applyProtection="0"/>
    <xf numFmtId="0" fontId="15" fillId="0" borderId="0" applyNumberFormat="0" applyFont="0" applyFill="0" applyBorder="0" applyProtection="0">
      <alignment horizontal="left" vertical="center"/>
    </xf>
    <xf numFmtId="0" fontId="15" fillId="0" borderId="0" applyNumberFormat="0" applyFont="0" applyFill="0" applyBorder="0" applyProtection="0">
      <alignment horizontal="left" vertical="center"/>
    </xf>
    <xf numFmtId="0" fontId="295" fillId="0" borderId="89" applyNumberFormat="0" applyFill="0" applyProtection="0">
      <alignment horizontal="center" vertical="center" wrapText="1"/>
    </xf>
    <xf numFmtId="0" fontId="295" fillId="0" borderId="89" applyNumberFormat="0" applyFill="0" applyProtection="0">
      <alignment horizontal="center" vertical="center" wrapText="1"/>
    </xf>
    <xf numFmtId="0" fontId="295" fillId="0" borderId="90" applyNumberFormat="0" applyFill="0" applyProtection="0">
      <alignment horizontal="center" vertical="center" wrapText="1"/>
    </xf>
    <xf numFmtId="0" fontId="295" fillId="0" borderId="90" applyNumberFormat="0" applyFill="0" applyProtection="0">
      <alignment horizontal="center" vertical="center" wrapText="1"/>
    </xf>
    <xf numFmtId="0" fontId="136" fillId="0" borderId="89" applyNumberFormat="0" applyFill="0" applyProtection="0">
      <alignment horizontal="left" vertical="center" wrapText="1"/>
    </xf>
    <xf numFmtId="0" fontId="136" fillId="0" borderId="89" applyNumberFormat="0" applyFill="0" applyProtection="0">
      <alignment horizontal="left" vertical="center" wrapText="1"/>
    </xf>
    <xf numFmtId="0" fontId="136" fillId="0" borderId="89" applyNumberFormat="0" applyFill="0" applyProtection="0">
      <alignment horizontal="left" vertical="center" wrapText="1" indent="1"/>
    </xf>
    <xf numFmtId="0" fontId="136" fillId="0" borderId="89" applyNumberFormat="0" applyFill="0" applyProtection="0">
      <alignment horizontal="left" vertical="center" wrapText="1" indent="1"/>
    </xf>
    <xf numFmtId="257" fontId="136" fillId="0" borderId="90" applyFill="0" applyProtection="0">
      <alignment horizontal="right" vertical="center" wrapText="1"/>
    </xf>
    <xf numFmtId="257" fontId="136" fillId="0" borderId="90" applyFill="0" applyProtection="0">
      <alignment horizontal="right" vertical="center" wrapText="1"/>
    </xf>
    <xf numFmtId="257" fontId="136" fillId="0" borderId="89" applyFill="0" applyProtection="0">
      <alignment horizontal="right" vertical="center" wrapText="1"/>
    </xf>
    <xf numFmtId="257" fontId="136" fillId="0" borderId="89" applyFill="0" applyProtection="0">
      <alignment horizontal="right" vertical="center" wrapText="1"/>
    </xf>
    <xf numFmtId="258" fontId="136" fillId="0" borderId="89" applyFill="0" applyProtection="0">
      <alignment horizontal="right" vertical="center" wrapText="1"/>
    </xf>
    <xf numFmtId="258" fontId="136" fillId="0" borderId="89" applyFill="0" applyProtection="0">
      <alignment horizontal="right" vertical="center" wrapText="1"/>
    </xf>
    <xf numFmtId="0" fontId="136" fillId="0" borderId="0" applyNumberFormat="0" applyFill="0" applyBorder="0" applyProtection="0">
      <alignment horizontal="left" vertical="center" wrapText="1"/>
    </xf>
    <xf numFmtId="0" fontId="136" fillId="0" borderId="0" applyNumberFormat="0" applyFill="0" applyBorder="0" applyProtection="0">
      <alignment horizontal="left" vertical="center" wrapText="1" indent="1"/>
    </xf>
    <xf numFmtId="257" fontId="136" fillId="0" borderId="18" applyFill="0" applyProtection="0">
      <alignment horizontal="right" vertical="center" wrapText="1"/>
    </xf>
    <xf numFmtId="0" fontId="18" fillId="0" borderId="0" applyNumberFormat="0" applyFill="0" applyBorder="0" applyAlignment="0" applyProtection="0"/>
    <xf numFmtId="257" fontId="136" fillId="0" borderId="0" applyFill="0" applyBorder="0" applyProtection="0">
      <alignment horizontal="right" vertical="center" wrapText="1"/>
    </xf>
    <xf numFmtId="258" fontId="136" fillId="0" borderId="0" applyFill="0" applyBorder="0" applyProtection="0">
      <alignment horizontal="right" vertical="center" wrapText="1"/>
    </xf>
    <xf numFmtId="258" fontId="136" fillId="0" borderId="18" applyFill="0" applyProtection="0">
      <alignment horizontal="right" vertical="center" wrapText="1"/>
    </xf>
    <xf numFmtId="0" fontId="136" fillId="0" borderId="22" applyNumberFormat="0" applyFill="0" applyProtection="0">
      <alignment horizontal="left" vertical="center" wrapText="1"/>
    </xf>
    <xf numFmtId="0" fontId="136" fillId="0" borderId="22" applyNumberFormat="0" applyFill="0" applyProtection="0">
      <alignment horizontal="left" vertical="center" wrapText="1" indent="1"/>
    </xf>
    <xf numFmtId="257" fontId="136" fillId="0" borderId="23" applyFill="0" applyProtection="0">
      <alignment horizontal="right" vertical="center" wrapText="1"/>
    </xf>
    <xf numFmtId="257" fontId="136" fillId="0" borderId="22" applyFill="0" applyProtection="0">
      <alignment horizontal="right" vertical="center" wrapText="1"/>
    </xf>
    <xf numFmtId="259" fontId="136" fillId="0" borderId="0" applyFill="0" applyBorder="0" applyProtection="0">
      <alignment horizontal="right" vertical="center" wrapText="1"/>
    </xf>
    <xf numFmtId="0" fontId="136" fillId="0" borderId="91" applyNumberFormat="0" applyFill="0" applyProtection="0">
      <alignment horizontal="left" vertical="center" wrapText="1"/>
    </xf>
    <xf numFmtId="0" fontId="136" fillId="0" borderId="91" applyNumberFormat="0" applyFill="0" applyProtection="0">
      <alignment horizontal="left" vertical="center" wrapText="1" indent="1"/>
    </xf>
    <xf numFmtId="0" fontId="203" fillId="0" borderId="0" applyNumberFormat="0" applyFill="0" applyBorder="0" applyProtection="0">
      <alignment horizontal="left" vertical="center" wrapText="1"/>
    </xf>
    <xf numFmtId="257" fontId="136" fillId="0" borderId="92" applyFill="0" applyProtection="0">
      <alignment horizontal="right" vertical="center" wrapText="1"/>
    </xf>
    <xf numFmtId="257" fontId="136" fillId="0" borderId="91" applyFill="0" applyProtection="0">
      <alignment horizontal="right" vertical="center" wrapText="1"/>
    </xf>
    <xf numFmtId="259" fontId="136" fillId="0" borderId="91" applyFill="0" applyProtection="0">
      <alignment horizontal="right" vertical="center" wrapText="1"/>
    </xf>
    <xf numFmtId="258" fontId="136" fillId="0" borderId="91" applyFill="0" applyProtection="0">
      <alignment horizontal="right" vertical="center" wrapText="1"/>
    </xf>
    <xf numFmtId="0" fontId="18" fillId="0" borderId="0" applyNumberFormat="0" applyFill="0" applyBorder="0" applyProtection="0">
      <alignment vertical="center" wrapText="1"/>
    </xf>
    <xf numFmtId="0" fontId="18" fillId="0" borderId="0" applyNumberFormat="0" applyFill="0" applyBorder="0" applyProtection="0">
      <alignment vertical="center" wrapText="1"/>
    </xf>
    <xf numFmtId="0" fontId="39" fillId="0" borderId="0" applyNumberFormat="0" applyFill="0" applyBorder="0" applyProtection="0">
      <alignment horizontal="left" vertical="center" wrapText="1"/>
    </xf>
    <xf numFmtId="0" fontId="18" fillId="0" borderId="0" applyNumberFormat="0" applyFill="0" applyBorder="0" applyProtection="0">
      <alignment vertical="center" wrapText="1"/>
    </xf>
    <xf numFmtId="0" fontId="18" fillId="0" borderId="0" applyNumberFormat="0" applyFill="0" applyBorder="0" applyProtection="0">
      <alignment vertical="center" wrapText="1"/>
    </xf>
    <xf numFmtId="0" fontId="15" fillId="0" borderId="0" applyNumberFormat="0" applyFont="0" applyFill="0" applyBorder="0" applyProtection="0">
      <alignment horizontal="left" vertical="center"/>
    </xf>
    <xf numFmtId="0" fontId="15" fillId="0" borderId="0" applyNumberFormat="0" applyFont="0" applyFill="0" applyBorder="0" applyProtection="0">
      <alignment horizontal="left" vertical="center"/>
    </xf>
    <xf numFmtId="0" fontId="203" fillId="0" borderId="0" applyNumberFormat="0" applyFill="0" applyBorder="0" applyProtection="0">
      <alignment horizontal="left" vertical="center" wrapText="1"/>
    </xf>
    <xf numFmtId="0" fontId="97" fillId="0" borderId="0" applyNumberFormat="0" applyFill="0" applyBorder="0" applyProtection="0">
      <alignment vertical="center" wrapText="1"/>
    </xf>
    <xf numFmtId="0" fontId="15" fillId="0" borderId="93" applyNumberFormat="0" applyFont="0" applyFill="0" applyProtection="0">
      <alignment horizontal="center" vertical="center" wrapText="1"/>
    </xf>
    <xf numFmtId="0" fontId="15" fillId="0" borderId="93" applyNumberFormat="0" applyFont="0" applyFill="0" applyProtection="0">
      <alignment horizontal="center" vertical="center" wrapText="1"/>
    </xf>
    <xf numFmtId="0" fontId="203" fillId="0" borderId="93" applyNumberFormat="0" applyFill="0" applyProtection="0">
      <alignment horizontal="center" vertical="center" wrapText="1"/>
    </xf>
    <xf numFmtId="0" fontId="203" fillId="0" borderId="94" applyNumberFormat="0" applyFill="0" applyProtection="0">
      <alignment horizontal="center" vertical="center" wrapText="1"/>
    </xf>
    <xf numFmtId="0" fontId="203" fillId="0" borderId="93" applyNumberFormat="0" applyFill="0" applyProtection="0">
      <alignment horizontal="center" vertical="center" wrapText="1"/>
    </xf>
    <xf numFmtId="0" fontId="18" fillId="0" borderId="0"/>
    <xf numFmtId="0" fontId="15" fillId="0" borderId="0"/>
    <xf numFmtId="0" fontId="140" fillId="0" borderId="0"/>
    <xf numFmtId="0" fontId="15" fillId="0" borderId="0"/>
    <xf numFmtId="0" fontId="113" fillId="0" borderId="0"/>
    <xf numFmtId="0" fontId="18" fillId="0" borderId="0"/>
    <xf numFmtId="0" fontId="140" fillId="0" borderId="0"/>
    <xf numFmtId="0" fontId="18" fillId="0" borderId="0"/>
    <xf numFmtId="0" fontId="18" fillId="0" borderId="0"/>
    <xf numFmtId="0" fontId="113" fillId="0" borderId="0"/>
    <xf numFmtId="0" fontId="1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3" fillId="0" borderId="0"/>
    <xf numFmtId="0" fontId="1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0" fillId="0" borderId="0"/>
    <xf numFmtId="0" fontId="296" fillId="0" borderId="80" applyNumberFormat="0" applyFill="0" applyBorder="0" applyAlignment="0" applyProtection="0">
      <alignment horizontal="left"/>
    </xf>
    <xf numFmtId="0" fontId="297" fillId="0" borderId="80" applyNumberFormat="0" applyFill="0" applyBorder="0" applyAlignment="0" applyProtection="0">
      <alignment horizontal="left"/>
    </xf>
    <xf numFmtId="0" fontId="296" fillId="0" borderId="80" applyNumberFormat="0" applyFill="0" applyBorder="0" applyAlignment="0" applyProtection="0">
      <alignment horizontal="left"/>
    </xf>
    <xf numFmtId="0" fontId="296" fillId="0" borderId="80" applyNumberFormat="0" applyFill="0" applyBorder="0" applyAlignment="0" applyProtection="0">
      <alignment horizontal="left"/>
    </xf>
    <xf numFmtId="0" fontId="298" fillId="0" borderId="80" applyNumberFormat="0" applyFill="0" applyBorder="0" applyAlignment="0" applyProtection="0">
      <alignment horizontal="left"/>
    </xf>
    <xf numFmtId="14" fontId="292" fillId="0" borderId="16" applyNumberFormat="0" applyFill="0" applyBorder="0" applyAlignment="0" applyProtection="0">
      <alignment horizontal="center"/>
    </xf>
    <xf numFmtId="14" fontId="244" fillId="0" borderId="16" applyNumberFormat="0" applyFill="0" applyBorder="0" applyAlignment="0" applyProtection="0">
      <alignment horizontal="center"/>
    </xf>
    <xf numFmtId="14" fontId="292" fillId="0" borderId="16" applyNumberFormat="0" applyFill="0" applyBorder="0" applyAlignment="0" applyProtection="0">
      <alignment horizontal="center"/>
    </xf>
    <xf numFmtId="0" fontId="244" fillId="0" borderId="95" applyNumberFormat="0" applyFill="0" applyBorder="0" applyAlignment="0" applyProtection="0"/>
    <xf numFmtId="0" fontId="18" fillId="0" borderId="0"/>
    <xf numFmtId="0" fontId="299" fillId="0" borderId="0">
      <alignment horizontal="center" vertical="center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01" fillId="0" borderId="0"/>
    <xf numFmtId="0" fontId="101" fillId="0" borderId="0"/>
    <xf numFmtId="0" fontId="242" fillId="0" borderId="0"/>
    <xf numFmtId="0" fontId="108" fillId="0" borderId="36" applyFont="0" applyFill="0" applyAlignment="0" applyProtection="0"/>
    <xf numFmtId="0" fontId="108" fillId="0" borderId="36" applyFont="0" applyFill="0" applyAlignment="0" applyProtection="0"/>
    <xf numFmtId="0" fontId="108" fillId="0" borderId="36" applyFont="0" applyFill="0" applyAlignment="0" applyProtection="0"/>
    <xf numFmtId="0" fontId="108" fillId="0" borderId="36" applyFont="0" applyFill="0" applyAlignment="0" applyProtection="0"/>
    <xf numFmtId="0" fontId="108" fillId="0" borderId="36" applyFont="0" applyFill="0" applyAlignment="0" applyProtection="0"/>
    <xf numFmtId="226" fontId="300" fillId="0" borderId="96" applyNumberFormat="0" applyFont="0" applyFill="0" applyAlignment="0" applyProtection="0"/>
    <xf numFmtId="226" fontId="300" fillId="0" borderId="96" applyNumberFormat="0" applyFont="0" applyFill="0" applyAlignment="0" applyProtection="0"/>
    <xf numFmtId="260" fontId="93" fillId="0" borderId="56">
      <alignment horizontal="center" vertical="center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50" fillId="0" borderId="64" applyNumberFormat="0" applyFill="0" applyAlignment="0" applyProtection="0"/>
    <xf numFmtId="0" fontId="301" fillId="13" borderId="5">
      <alignment horizontal="center"/>
    </xf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302" fillId="71" borderId="58" applyNumberFormat="0" applyAlignment="0" applyProtection="0"/>
    <xf numFmtId="0" fontId="302" fillId="71" borderId="58" applyNumberFormat="0" applyAlignment="0" applyProtection="0"/>
    <xf numFmtId="0" fontId="302" fillId="71" borderId="58" applyNumberFormat="0" applyAlignment="0" applyProtection="0"/>
    <xf numFmtId="9" fontId="15" fillId="0" borderId="0" applyFont="0" applyFill="0" applyBorder="0" applyAlignment="0" applyProtection="0"/>
    <xf numFmtId="9" fontId="225" fillId="0" borderId="0" applyFont="0" applyFill="0" applyBorder="0" applyAlignment="0" applyProtection="0"/>
    <xf numFmtId="0" fontId="100" fillId="0" borderId="0" applyFill="0" applyBorder="0" applyProtection="0">
      <alignment horizontal="center" vertical="center"/>
    </xf>
    <xf numFmtId="0" fontId="303" fillId="0" borderId="0" applyBorder="0" applyProtection="0">
      <alignment vertical="center"/>
    </xf>
    <xf numFmtId="0" fontId="303" fillId="0" borderId="22" applyBorder="0" applyProtection="0">
      <alignment horizontal="right" vertical="center"/>
    </xf>
    <xf numFmtId="0" fontId="304" fillId="138" borderId="0" applyBorder="0" applyProtection="0">
      <alignment horizontal="centerContinuous" vertical="center"/>
    </xf>
    <xf numFmtId="0" fontId="304" fillId="139" borderId="22" applyBorder="0" applyProtection="0">
      <alignment horizontal="centerContinuous" vertical="center"/>
    </xf>
    <xf numFmtId="0" fontId="245" fillId="0" borderId="0" applyFill="0" applyBorder="0" applyProtection="0"/>
    <xf numFmtId="0" fontId="305" fillId="0" borderId="0" applyFill="0" applyBorder="0" applyProtection="0">
      <alignment horizontal="left"/>
    </xf>
    <xf numFmtId="0" fontId="306" fillId="0" borderId="0" applyFill="0" applyBorder="0" applyProtection="0">
      <alignment horizontal="left" vertical="top"/>
    </xf>
    <xf numFmtId="0" fontId="93" fillId="0" borderId="97" applyNumberFormat="0" applyFont="0" applyFill="0" applyAlignment="0" applyProtection="0">
      <alignment horizontal="right"/>
    </xf>
    <xf numFmtId="0" fontId="90" fillId="81" borderId="63" applyNumberFormat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7" fillId="0" borderId="0" applyNumberFormat="0" applyFill="0" applyBorder="0" applyAlignment="0" applyProtection="0"/>
    <xf numFmtId="0" fontId="308" fillId="0" borderId="0" applyNumberFormat="0" applyFill="0" applyBorder="0" applyAlignment="0" applyProtection="0"/>
    <xf numFmtId="0" fontId="308" fillId="0" borderId="0" applyNumberFormat="0" applyFill="0" applyBorder="0" applyAlignment="0" applyProtection="0"/>
    <xf numFmtId="262" fontId="93" fillId="0" borderId="0" applyFill="0" applyBorder="0" applyProtection="0">
      <alignment horizontal="left"/>
    </xf>
    <xf numFmtId="0" fontId="127" fillId="0" borderId="0" applyNumberFormat="0" applyFill="0" applyBorder="0" applyAlignment="0" applyProtection="0"/>
    <xf numFmtId="0" fontId="309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310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11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8" fillId="0" borderId="0" applyFont="0" applyFill="0" applyBorder="0" applyAlignment="0" applyProtection="0"/>
    <xf numFmtId="0" fontId="90" fillId="81" borderId="63" applyNumberFormat="0" applyAlignment="0" applyProtection="0"/>
    <xf numFmtId="0" fontId="312" fillId="67" borderId="0"/>
    <xf numFmtId="0" fontId="249" fillId="0" borderId="0" applyNumberFormat="0" applyFill="0" applyBorder="0" applyAlignment="0" applyProtection="0"/>
    <xf numFmtId="197" fontId="172" fillId="140" borderId="0" applyNumberFormat="0">
      <alignment vertical="center"/>
    </xf>
    <xf numFmtId="197" fontId="313" fillId="101" borderId="0" applyNumberFormat="0">
      <alignment vertical="center"/>
    </xf>
    <xf numFmtId="197" fontId="314" fillId="0" borderId="0" applyNumberFormat="0">
      <alignment vertical="center"/>
    </xf>
    <xf numFmtId="197" fontId="91" fillId="0" borderId="0" applyNumberFormat="0">
      <alignment vertical="center"/>
    </xf>
    <xf numFmtId="0" fontId="249" fillId="0" borderId="0" applyNumberFormat="0" applyFill="0" applyBorder="0" applyAlignment="0" applyProtection="0"/>
    <xf numFmtId="0" fontId="315" fillId="0" borderId="53" applyNumberFormat="0" applyFill="0" applyAlignment="0" applyProtection="0"/>
    <xf numFmtId="0" fontId="315" fillId="0" borderId="53" applyNumberFormat="0" applyFill="0" applyAlignment="0" applyProtection="0"/>
    <xf numFmtId="0" fontId="316" fillId="0" borderId="54" applyNumberFormat="0" applyFill="0" applyAlignment="0" applyProtection="0"/>
    <xf numFmtId="0" fontId="316" fillId="0" borderId="54" applyNumberFormat="0" applyFill="0" applyAlignment="0" applyProtection="0"/>
    <xf numFmtId="0" fontId="317" fillId="0" borderId="55" applyNumberFormat="0" applyFill="0" applyAlignment="0" applyProtection="0"/>
    <xf numFmtId="0" fontId="317" fillId="0" borderId="55" applyNumberFormat="0" applyFill="0" applyAlignment="0" applyProtection="0"/>
    <xf numFmtId="0" fontId="317" fillId="0" borderId="0" applyNumberFormat="0" applyFill="0" applyBorder="0" applyAlignment="0" applyProtection="0"/>
    <xf numFmtId="0" fontId="317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06" fillId="0" borderId="75" applyNumberFormat="0" applyFill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208" fillId="0" borderId="54" applyNumberFormat="0" applyFill="0" applyAlignment="0" applyProtection="0"/>
    <xf numFmtId="0" fontId="249" fillId="0" borderId="0" applyNumberFormat="0" applyFill="0" applyBorder="0" applyAlignment="0" applyProtection="0"/>
    <xf numFmtId="0" fontId="208" fillId="0" borderId="54" applyNumberFormat="0" applyFill="0" applyAlignment="0" applyProtection="0"/>
    <xf numFmtId="0" fontId="318" fillId="0" borderId="43" applyNumberFormat="0" applyFill="0" applyAlignment="0" applyProtection="0"/>
    <xf numFmtId="0" fontId="249" fillId="0" borderId="0" applyNumberFormat="0" applyFill="0" applyBorder="0" applyAlignment="0" applyProtection="0"/>
    <xf numFmtId="0" fontId="209" fillId="0" borderId="98" applyNumberFormat="0" applyFill="0" applyAlignment="0" applyProtection="0"/>
    <xf numFmtId="0" fontId="249" fillId="0" borderId="0" applyNumberFormat="0" applyFill="0" applyBorder="0" applyAlignment="0" applyProtection="0"/>
    <xf numFmtId="0" fontId="209" fillId="0" borderId="98" applyNumberFormat="0" applyFill="0" applyAlignment="0" applyProtection="0"/>
    <xf numFmtId="0" fontId="249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72" fillId="0" borderId="1" applyNumberFormat="0" applyFill="0" applyAlignment="0" applyProtection="0"/>
    <xf numFmtId="0" fontId="206" fillId="0" borderId="75" applyNumberFormat="0" applyFill="0" applyAlignment="0" applyProtection="0"/>
    <xf numFmtId="0" fontId="319" fillId="0" borderId="1" applyNumberFormat="0" applyFill="0" applyAlignment="0" applyProtection="0"/>
    <xf numFmtId="0" fontId="109" fillId="0" borderId="53" applyNumberFormat="0" applyFill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73" fillId="0" borderId="43" applyNumberFormat="0" applyFill="0" applyAlignment="0" applyProtection="0"/>
    <xf numFmtId="0" fontId="320" fillId="0" borderId="43" applyNumberFormat="0" applyFill="0" applyAlignment="0" applyProtection="0"/>
    <xf numFmtId="0" fontId="318" fillId="0" borderId="43" applyNumberFormat="0" applyFill="0" applyAlignment="0" applyProtection="0"/>
    <xf numFmtId="0" fontId="110" fillId="0" borderId="54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117" fillId="0" borderId="55" applyNumberFormat="0" applyFill="0" applyAlignment="0" applyProtection="0"/>
    <xf numFmtId="0" fontId="74" fillId="0" borderId="44" applyNumberFormat="0" applyFill="0" applyAlignment="0" applyProtection="0"/>
    <xf numFmtId="0" fontId="209" fillId="0" borderId="98" applyNumberFormat="0" applyFill="0" applyAlignment="0" applyProtection="0"/>
    <xf numFmtId="0" fontId="321" fillId="0" borderId="4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09" fillId="0" borderId="0" applyNumberFormat="0" applyFill="0" applyBorder="0" applyAlignment="0" applyProtection="0"/>
    <xf numFmtId="0" fontId="32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235" fontId="39" fillId="141" borderId="0" applyNumberFormat="0" applyBorder="0">
      <alignment vertical="center"/>
    </xf>
    <xf numFmtId="0" fontId="91" fillId="142" borderId="99" applyNumberFormat="0">
      <alignment horizontal="centerContinuous" vertical="center"/>
    </xf>
    <xf numFmtId="0" fontId="203" fillId="118" borderId="56" applyNumberFormat="0" applyBorder="0">
      <alignment horizontal="centerContinuous" vertical="center" wrapText="1"/>
    </xf>
    <xf numFmtId="0" fontId="173" fillId="118" borderId="56" applyNumberFormat="0" applyBorder="0">
      <alignment horizontal="centerContinuous" vertical="center" wrapText="1"/>
    </xf>
    <xf numFmtId="0" fontId="322" fillId="0" borderId="0">
      <alignment vertical="center"/>
    </xf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212" fontId="94" fillId="0" borderId="0" applyNumberFormat="0" applyFill="0" applyBorder="0" applyAlignment="0" applyProtection="0"/>
    <xf numFmtId="226" fontId="300" fillId="0" borderId="100" applyNumberFormat="0" applyFont="0" applyFill="0" applyAlignment="0" applyProtection="0"/>
    <xf numFmtId="226" fontId="300" fillId="0" borderId="100" applyNumberFormat="0" applyFont="0" applyFill="0" applyAlignment="0" applyProtection="0"/>
    <xf numFmtId="226" fontId="300" fillId="0" borderId="100" applyNumberFormat="0" applyFont="0" applyFill="0" applyAlignment="0" applyProtection="0"/>
    <xf numFmtId="226" fontId="300" fillId="0" borderId="100" applyNumberFormat="0" applyFont="0" applyFill="0" applyAlignment="0" applyProtection="0"/>
    <xf numFmtId="226" fontId="300" fillId="0" borderId="100" applyNumberFormat="0" applyFon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101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101" applyNumberFormat="0" applyFill="0" applyAlignment="0" applyProtection="0"/>
    <xf numFmtId="0" fontId="14" fillId="0" borderId="101" applyNumberFormat="0" applyFill="0" applyAlignment="0" applyProtection="0"/>
    <xf numFmtId="0" fontId="14" fillId="0" borderId="101" applyNumberFormat="0" applyFill="0" applyAlignment="0" applyProtection="0"/>
    <xf numFmtId="0" fontId="92" fillId="0" borderId="65" applyNumberFormat="0" applyFill="0" applyAlignment="0" applyProtection="0"/>
    <xf numFmtId="0" fontId="323" fillId="0" borderId="101" applyNumberFormat="0" applyFill="0" applyAlignment="0" applyProtection="0"/>
    <xf numFmtId="0" fontId="14" fillId="0" borderId="101" applyNumberFormat="0" applyFill="0" applyAlignment="0" applyProtection="0"/>
    <xf numFmtId="0" fontId="14" fillId="0" borderId="101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92" fillId="0" borderId="65" applyNumberFormat="0" applyFill="0" applyAlignment="0" applyProtection="0"/>
    <xf numFmtId="0" fontId="324" fillId="0" borderId="50" applyNumberFormat="0" applyFill="0" applyAlignment="0" applyProtection="0"/>
    <xf numFmtId="0" fontId="324" fillId="0" borderId="50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50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" fillId="0" borderId="50" applyNumberFormat="0" applyFill="0" applyAlignment="0" applyProtection="0"/>
    <xf numFmtId="0" fontId="14" fillId="0" borderId="50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108" fillId="0" borderId="102" applyFont="0" applyFill="0" applyAlignment="0" applyProtection="0"/>
    <xf numFmtId="0" fontId="312" fillId="67" borderId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26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89" fillId="58" borderId="0" applyNumberFormat="0" applyBorder="0" applyAlignment="0" applyProtection="0"/>
    <xf numFmtId="197" fontId="17" fillId="143" borderId="0" applyNumberFormat="0" applyFont="0" applyBorder="0" applyAlignment="0" applyProtection="0"/>
    <xf numFmtId="197" fontId="17" fillId="143" borderId="0" applyNumberFormat="0" applyFont="0" applyBorder="0" applyAlignment="0" applyProtection="0"/>
    <xf numFmtId="197" fontId="17" fillId="143" borderId="0" applyNumberFormat="0" applyFont="0" applyBorder="0" applyAlignment="0" applyProtection="0"/>
    <xf numFmtId="0" fontId="18" fillId="0" borderId="0"/>
    <xf numFmtId="0" fontId="326" fillId="0" borderId="0">
      <alignment vertical="center"/>
    </xf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6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8" fillId="58" borderId="0" applyNumberFormat="0" applyBorder="0" applyAlignment="0" applyProtection="0"/>
    <xf numFmtId="0" fontId="328" fillId="58" borderId="0" applyNumberFormat="0" applyBorder="0" applyAlignment="0" applyProtection="0"/>
    <xf numFmtId="0" fontId="329" fillId="63" borderId="0" applyNumberFormat="0" applyBorder="0" applyAlignment="0" applyProtection="0"/>
    <xf numFmtId="0" fontId="329" fillId="63" borderId="0" applyNumberFormat="0" applyBorder="0" applyAlignment="0" applyProtection="0"/>
    <xf numFmtId="264" fontId="93" fillId="108" borderId="103" applyFill="0" applyBorder="0" applyAlignment="0" applyProtection="0">
      <alignment horizontal="right"/>
      <protection locked="0"/>
    </xf>
    <xf numFmtId="265" fontId="18" fillId="0" borderId="0" applyFont="0" applyFill="0" applyBorder="0" applyAlignment="0" applyProtection="0"/>
    <xf numFmtId="266" fontId="140" fillId="0" borderId="0" applyFont="0" applyFill="0" applyBorder="0" applyAlignment="0" applyProtection="0"/>
    <xf numFmtId="266" fontId="140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330" fillId="32" borderId="48" applyNumberFormat="0" applyAlignment="0" applyProtection="0"/>
    <xf numFmtId="0" fontId="81" fillId="32" borderId="48" applyNumberFormat="0" applyAlignment="0" applyProtection="0"/>
    <xf numFmtId="0" fontId="90" fillId="81" borderId="63" applyNumberFormat="0" applyAlignment="0" applyProtection="0"/>
    <xf numFmtId="0" fontId="331" fillId="81" borderId="63" applyNumberFormat="0" applyAlignment="0" applyProtection="0"/>
    <xf numFmtId="0" fontId="150" fillId="0" borderId="64" applyNumberFormat="0" applyFill="0" applyAlignment="0" applyProtection="0"/>
    <xf numFmtId="0" fontId="18" fillId="144" borderId="0" applyNumberFormat="0" applyBorder="0" applyAlignment="0" applyProtection="0"/>
    <xf numFmtId="0" fontId="332" fillId="0" borderId="0" applyNumberFormat="0" applyFill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28" fillId="0" borderId="0" applyNumberFormat="0" applyFill="0" applyBorder="0" applyAlignment="0" applyProtection="0"/>
    <xf numFmtId="267" fontId="140" fillId="0" borderId="0" applyFont="0" applyFill="0" applyBorder="0" applyAlignment="0" applyProtection="0"/>
    <xf numFmtId="268" fontId="140" fillId="0" borderId="0" applyFon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34" fillId="0" borderId="0"/>
    <xf numFmtId="0" fontId="134" fillId="0" borderId="0"/>
    <xf numFmtId="0" fontId="18" fillId="74" borderId="0" applyNumberFormat="0" applyFont="0" applyBorder="0" applyAlignment="0" applyProtection="0"/>
    <xf numFmtId="0" fontId="18" fillId="74" borderId="0" applyNumberFormat="0" applyFont="0" applyBorder="0" applyAlignment="0" applyProtection="0"/>
    <xf numFmtId="0" fontId="18" fillId="74" borderId="0" applyNumberFormat="0" applyFont="0" applyBorder="0" applyAlignment="0" applyProtection="0"/>
    <xf numFmtId="0" fontId="143" fillId="0" borderId="0" applyFont="0" applyFill="0" applyBorder="0" applyProtection="0">
      <alignment horizontal="right"/>
    </xf>
    <xf numFmtId="269" fontId="93" fillId="0" borderId="0" applyFont="0" applyFill="0" applyBorder="0" applyAlignment="0" applyProtection="0"/>
    <xf numFmtId="0" fontId="245" fillId="0" borderId="22">
      <alignment horizontal="right"/>
    </xf>
    <xf numFmtId="0" fontId="90" fillId="81" borderId="63" applyNumberFormat="0" applyAlignment="0" applyProtection="0"/>
    <xf numFmtId="0" fontId="89" fillId="58" borderId="0" applyNumberFormat="0" applyBorder="0" applyAlignment="0" applyProtection="0"/>
    <xf numFmtId="0" fontId="89" fillId="58" borderId="0" applyNumberFormat="0" applyBorder="0" applyAlignment="0" applyProtection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145" borderId="0" applyNumberFormat="0" applyBorder="0" applyAlignment="0" applyProtection="0"/>
    <xf numFmtId="0" fontId="118" fillId="145" borderId="0" applyNumberFormat="0" applyBorder="0" applyAlignment="0" applyProtection="0"/>
    <xf numFmtId="0" fontId="124" fillId="145" borderId="0" applyNumberFormat="0" applyBorder="0" applyAlignment="0" applyProtection="0"/>
    <xf numFmtId="0" fontId="118" fillId="90" borderId="0" applyNumberFormat="0" applyBorder="0" applyAlignment="0" applyProtection="0"/>
    <xf numFmtId="0" fontId="118" fillId="90" borderId="0" applyNumberFormat="0" applyBorder="0" applyAlignment="0" applyProtection="0"/>
    <xf numFmtId="0" fontId="124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92" borderId="0" applyNumberFormat="0" applyBorder="0" applyAlignment="0" applyProtection="0"/>
    <xf numFmtId="0" fontId="124" fillId="92" borderId="0" applyNumberFormat="0" applyBorder="0" applyAlignment="0" applyProtection="0"/>
    <xf numFmtId="0" fontId="118" fillId="93" borderId="0" applyNumberFormat="0" applyBorder="0" applyAlignment="0" applyProtection="0"/>
    <xf numFmtId="0" fontId="118" fillId="93" borderId="0" applyNumberFormat="0" applyBorder="0" applyAlignment="0" applyProtection="0"/>
    <xf numFmtId="0" fontId="124" fillId="93" borderId="0" applyNumberFormat="0" applyBorder="0" applyAlignment="0" applyProtection="0"/>
    <xf numFmtId="0" fontId="118" fillId="79" borderId="0" applyNumberFormat="0" applyBorder="0" applyAlignment="0" applyProtection="0"/>
    <xf numFmtId="0" fontId="118" fillId="79" borderId="0" applyNumberFormat="0" applyBorder="0" applyAlignment="0" applyProtection="0"/>
    <xf numFmtId="0" fontId="124" fillId="79" borderId="0" applyNumberFormat="0" applyBorder="0" applyAlignment="0" applyProtection="0"/>
    <xf numFmtId="0" fontId="118" fillId="80" borderId="0" applyNumberFormat="0" applyBorder="0" applyAlignment="0" applyProtection="0"/>
    <xf numFmtId="0" fontId="118" fillId="80" borderId="0" applyNumberFormat="0" applyBorder="0" applyAlignment="0" applyProtection="0"/>
    <xf numFmtId="0" fontId="124" fillId="80" borderId="0" applyNumberFormat="0" applyBorder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333" fillId="82" borderId="58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334" fillId="67" borderId="59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335" fillId="67" borderId="58" applyNumberFormat="0" applyAlignment="0" applyProtection="0"/>
    <xf numFmtId="0" fontId="336" fillId="0" borderId="104" applyNumberFormat="0" applyFill="0" applyAlignment="0" applyProtection="0"/>
    <xf numFmtId="0" fontId="337" fillId="0" borderId="105" applyNumberFormat="0" applyFill="0" applyAlignment="0" applyProtection="0"/>
    <xf numFmtId="0" fontId="338" fillId="0" borderId="106" applyNumberFormat="0" applyFill="0" applyAlignment="0" applyProtection="0"/>
    <xf numFmtId="0" fontId="338" fillId="0" borderId="0" applyNumberFormat="0" applyFill="0" applyBorder="0" applyAlignment="0" applyProtection="0"/>
    <xf numFmtId="0" fontId="92" fillId="0" borderId="107" applyNumberFormat="0" applyFill="0" applyAlignment="0" applyProtection="0"/>
    <xf numFmtId="0" fontId="92" fillId="0" borderId="107" applyNumberFormat="0" applyFill="0" applyAlignment="0" applyProtection="0"/>
    <xf numFmtId="0" fontId="92" fillId="0" borderId="107" applyNumberFormat="0" applyFill="0" applyAlignment="0" applyProtection="0"/>
    <xf numFmtId="0" fontId="92" fillId="0" borderId="107" applyNumberFormat="0" applyFill="0" applyAlignment="0" applyProtection="0"/>
    <xf numFmtId="0" fontId="92" fillId="0" borderId="107" applyNumberFormat="0" applyFill="0" applyAlignment="0" applyProtection="0"/>
    <xf numFmtId="0" fontId="339" fillId="0" borderId="107" applyNumberFormat="0" applyFill="0" applyAlignment="0" applyProtection="0"/>
    <xf numFmtId="0" fontId="90" fillId="81" borderId="63" applyNumberFormat="0" applyAlignment="0" applyProtection="0"/>
    <xf numFmtId="0" fontId="90" fillId="81" borderId="63" applyNumberFormat="0" applyAlignment="0" applyProtection="0"/>
    <xf numFmtId="0" fontId="340" fillId="81" borderId="63" applyNumberFormat="0" applyAlignment="0" applyProtection="0"/>
    <xf numFmtId="0" fontId="283" fillId="0" borderId="0" applyNumberFormat="0" applyFill="0" applyBorder="0" applyAlignment="0" applyProtection="0"/>
    <xf numFmtId="0" fontId="283" fillId="0" borderId="0" applyNumberFormat="0" applyFill="0" applyBorder="0" applyAlignment="0" applyProtection="0"/>
    <xf numFmtId="0" fontId="341" fillId="0" borderId="0" applyNumberFormat="0" applyFill="0" applyBorder="0" applyAlignment="0" applyProtection="0"/>
    <xf numFmtId="0" fontId="250" fillId="82" borderId="0" applyNumberFormat="0" applyBorder="0" applyAlignment="0" applyProtection="0"/>
    <xf numFmtId="0" fontId="250" fillId="82" borderId="0" applyNumberFormat="0" applyBorder="0" applyAlignment="0" applyProtection="0"/>
    <xf numFmtId="0" fontId="342" fillId="82" borderId="0" applyNumberFormat="0" applyBorder="0" applyAlignment="0" applyProtection="0"/>
    <xf numFmtId="0" fontId="89" fillId="58" borderId="0" applyNumberFormat="0" applyBorder="0" applyAlignment="0" applyProtection="0"/>
    <xf numFmtId="0" fontId="89" fillId="58" borderId="0" applyNumberFormat="0" applyBorder="0" applyAlignment="0" applyProtection="0"/>
    <xf numFmtId="0" fontId="343" fillId="58" borderId="0" applyNumberFormat="0" applyBorder="0" applyAlignment="0" applyProtection="0"/>
    <xf numFmtId="0" fontId="128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344" fillId="0" borderId="0" applyNumberFormat="0" applyFill="0" applyBorder="0" applyAlignment="0" applyProtection="0"/>
    <xf numFmtId="0" fontId="18" fillId="68" borderId="108" applyNumberFormat="0" applyFont="0" applyAlignment="0" applyProtection="0"/>
    <xf numFmtId="0" fontId="18" fillId="68" borderId="108" applyNumberFormat="0" applyFont="0" applyAlignment="0" applyProtection="0"/>
    <xf numFmtId="0" fontId="18" fillId="68" borderId="108" applyNumberFormat="0" applyFont="0" applyAlignment="0" applyProtection="0"/>
    <xf numFmtId="0" fontId="18" fillId="68" borderId="108" applyNumberFormat="0" applyFont="0" applyAlignment="0" applyProtection="0"/>
    <xf numFmtId="0" fontId="150" fillId="0" borderId="64" applyNumberFormat="0" applyFill="0" applyAlignment="0" applyProtection="0"/>
    <xf numFmtId="0" fontId="150" fillId="0" borderId="64" applyNumberFormat="0" applyFill="0" applyAlignment="0" applyProtection="0"/>
    <xf numFmtId="0" fontId="345" fillId="0" borderId="64" applyNumberFormat="0" applyFill="0" applyAlignment="0" applyProtection="0"/>
    <xf numFmtId="0" fontId="127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346" fillId="0" borderId="0" applyNumberFormat="0" applyFill="0" applyBorder="0" applyAlignment="0" applyProtection="0"/>
    <xf numFmtId="0" fontId="347" fillId="70" borderId="0" applyNumberFormat="0" applyBorder="0" applyAlignment="0" applyProtection="0"/>
    <xf numFmtId="0" fontId="85" fillId="0" borderId="0" applyNumberFormat="0" applyFill="0" applyBorder="0" applyAlignment="0" applyProtection="0"/>
    <xf numFmtId="0" fontId="72" fillId="0" borderId="1" applyNumberFormat="0" applyFill="0" applyAlignment="0" applyProtection="0"/>
    <xf numFmtId="0" fontId="73" fillId="0" borderId="43" applyNumberFormat="0" applyFill="0" applyAlignment="0" applyProtection="0"/>
    <xf numFmtId="0" fontId="74" fillId="0" borderId="44" applyNumberFormat="0" applyFill="0" applyAlignment="0" applyProtection="0"/>
    <xf numFmtId="0" fontId="74" fillId="0" borderId="0" applyNumberFormat="0" applyFill="0" applyBorder="0" applyAlignment="0" applyProtection="0"/>
    <xf numFmtId="0" fontId="75" fillId="27" borderId="0" applyNumberFormat="0" applyBorder="0" applyAlignment="0" applyProtection="0"/>
    <xf numFmtId="0" fontId="76" fillId="28" borderId="0" applyNumberFormat="0" applyBorder="0" applyAlignment="0" applyProtection="0"/>
    <xf numFmtId="0" fontId="86" fillId="29" borderId="0" applyNumberFormat="0" applyBorder="0" applyAlignment="0" applyProtection="0"/>
    <xf numFmtId="0" fontId="78" fillId="31" borderId="46" applyNumberFormat="0" applyAlignment="0" applyProtection="0"/>
    <xf numFmtId="0" fontId="81" fillId="32" borderId="48" applyNumberFormat="0" applyAlignment="0" applyProtection="0"/>
    <xf numFmtId="0" fontId="83" fillId="0" borderId="0" applyNumberFormat="0" applyFill="0" applyBorder="0" applyAlignment="0" applyProtection="0"/>
    <xf numFmtId="0" fontId="18" fillId="0" borderId="0"/>
    <xf numFmtId="0" fontId="118" fillId="90" borderId="0" applyNumberFormat="0" applyBorder="0" applyAlignment="0" applyProtection="0"/>
    <xf numFmtId="0" fontId="18" fillId="0" borderId="0"/>
    <xf numFmtId="0" fontId="118" fillId="86" borderId="0" applyNumberFormat="0" applyBorder="0" applyAlignment="0" applyProtection="0"/>
    <xf numFmtId="0" fontId="118" fillId="90" borderId="0" applyNumberFormat="0" applyBorder="0" applyAlignment="0" applyProtection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8" fillId="0" borderId="0"/>
    <xf numFmtId="0" fontId="18" fillId="0" borderId="0"/>
    <xf numFmtId="0" fontId="297" fillId="0" borderId="80" applyNumberFormat="0" applyFill="0" applyBorder="0" applyAlignment="0" applyProtection="0">
      <alignment horizontal="left"/>
    </xf>
    <xf numFmtId="0" fontId="92" fillId="0" borderId="65" applyNumberFormat="0" applyFill="0" applyAlignment="0" applyProtection="0"/>
    <xf numFmtId="0" fontId="118" fillId="90" borderId="0" applyNumberFormat="0" applyBorder="0" applyAlignment="0" applyProtection="0"/>
    <xf numFmtId="2" fontId="244" fillId="0" borderId="80" applyFont="0" applyFill="0" applyBorder="0" applyAlignment="0"/>
    <xf numFmtId="0" fontId="118" fillId="92" borderId="0" applyNumberFormat="0" applyBorder="0" applyAlignment="0" applyProtection="0"/>
    <xf numFmtId="0" fontId="118" fillId="78" borderId="0" applyNumberFormat="0" applyBorder="0" applyAlignment="0" applyProtection="0"/>
    <xf numFmtId="0" fontId="118" fillId="95" borderId="0" applyNumberFormat="0" applyBorder="0" applyAlignment="0" applyProtection="0"/>
    <xf numFmtId="0" fontId="219" fillId="66" borderId="58" applyNumberFormat="0" applyAlignment="0" applyProtection="0"/>
    <xf numFmtId="0" fontId="118" fillId="79" borderId="0" applyNumberFormat="0" applyBorder="0" applyAlignment="0" applyProtection="0"/>
    <xf numFmtId="0" fontId="140" fillId="0" borderId="0"/>
    <xf numFmtId="0" fontId="140" fillId="0" borderId="0"/>
    <xf numFmtId="0" fontId="18" fillId="0" borderId="0"/>
    <xf numFmtId="0" fontId="18" fillId="0" borderId="0"/>
    <xf numFmtId="2" fontId="244" fillId="0" borderId="80" applyFont="0" applyFill="0" applyBorder="0" applyAlignment="0"/>
    <xf numFmtId="0" fontId="92" fillId="0" borderId="65" applyNumberFormat="0" applyFill="0" applyAlignment="0" applyProtection="0"/>
    <xf numFmtId="0" fontId="143" fillId="0" borderId="61" applyNumberFormat="0" applyFont="0" applyFill="0" applyAlignment="0" applyProtection="0"/>
    <xf numFmtId="4" fontId="113" fillId="97" borderId="59" applyNumberFormat="0" applyProtection="0">
      <alignment horizontal="left" vertical="center" indent="1"/>
    </xf>
    <xf numFmtId="2" fontId="244" fillId="0" borderId="80" applyFont="0" applyFill="0" applyBorder="0" applyAlignment="0"/>
    <xf numFmtId="0" fontId="131" fillId="71" borderId="58" applyNumberFormat="0" applyAlignment="0" applyProtection="0"/>
    <xf numFmtId="4" fontId="113" fillId="97" borderId="59" applyNumberFormat="0" applyProtection="0">
      <alignment vertical="center"/>
    </xf>
    <xf numFmtId="0" fontId="296" fillId="0" borderId="80" applyNumberFormat="0" applyFill="0" applyBorder="0" applyAlignment="0" applyProtection="0">
      <alignment horizontal="left"/>
    </xf>
    <xf numFmtId="0" fontId="92" fillId="0" borderId="65" applyNumberFormat="0" applyFill="0" applyAlignment="0" applyProtection="0"/>
    <xf numFmtId="0" fontId="219" fillId="66" borderId="58" applyNumberFormat="0" applyAlignment="0" applyProtection="0"/>
    <xf numFmtId="0" fontId="118" fillId="86" borderId="0" applyNumberFormat="0" applyBorder="0" applyAlignment="0" applyProtection="0"/>
    <xf numFmtId="0" fontId="92" fillId="0" borderId="65" applyNumberFormat="0" applyFill="0" applyAlignment="0" applyProtection="0"/>
    <xf numFmtId="0" fontId="297" fillId="0" borderId="80" applyNumberFormat="0" applyFill="0" applyBorder="0" applyAlignment="0" applyProtection="0">
      <alignment horizontal="left"/>
    </xf>
    <xf numFmtId="0" fontId="131" fillId="71" borderId="58" applyNumberFormat="0" applyAlignment="0" applyProtection="0"/>
    <xf numFmtId="0" fontId="18" fillId="0" borderId="0"/>
    <xf numFmtId="0" fontId="18" fillId="0" borderId="0"/>
    <xf numFmtId="0" fontId="140" fillId="0" borderId="0"/>
    <xf numFmtId="0" fontId="140" fillId="0" borderId="0"/>
    <xf numFmtId="0" fontId="118" fillId="86" borderId="0" applyNumberFormat="0" applyBorder="0" applyAlignment="0" applyProtection="0"/>
    <xf numFmtId="4" fontId="284" fillId="97" borderId="59" applyNumberFormat="0" applyProtection="0">
      <alignment vertical="center"/>
    </xf>
    <xf numFmtId="0" fontId="18" fillId="0" borderId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95" borderId="0" applyNumberFormat="0" applyBorder="0" applyAlignment="0" applyProtection="0"/>
    <xf numFmtId="0" fontId="118" fillId="92" borderId="0" applyNumberFormat="0" applyBorder="0" applyAlignment="0" applyProtection="0"/>
    <xf numFmtId="197" fontId="18" fillId="101" borderId="62" applyNumberFormat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20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20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7" fillId="0" borderId="0" applyFont="0" applyFill="0" applyBorder="0" applyAlignment="0" applyProtection="0"/>
    <xf numFmtId="215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20" fontId="96" fillId="0" borderId="0" applyFont="0" applyFill="0" applyBorder="0" applyAlignment="0" applyProtection="0"/>
    <xf numFmtId="215" fontId="15" fillId="0" borderId="0" applyFont="0" applyFill="0" applyBorder="0" applyAlignment="0" applyProtection="0"/>
    <xf numFmtId="215" fontId="15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257" fillId="0" borderId="0"/>
    <xf numFmtId="0" fontId="257" fillId="0" borderId="0"/>
    <xf numFmtId="0" fontId="257" fillId="0" borderId="0"/>
    <xf numFmtId="0" fontId="257" fillId="0" borderId="0"/>
    <xf numFmtId="0" fontId="17" fillId="0" borderId="0"/>
    <xf numFmtId="0" fontId="167" fillId="0" borderId="0"/>
    <xf numFmtId="0" fontId="88" fillId="0" borderId="0"/>
    <xf numFmtId="0" fontId="88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7" fillId="0" borderId="0"/>
    <xf numFmtId="9" fontId="167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19" fillId="66" borderId="58" applyNumberFormat="0" applyAlignment="0" applyProtection="0"/>
    <xf numFmtId="4" fontId="113" fillId="107" borderId="59" applyNumberFormat="0" applyProtection="0">
      <alignment horizontal="right" vertical="center"/>
    </xf>
    <xf numFmtId="0" fontId="296" fillId="0" borderId="80" applyNumberFormat="0" applyFill="0" applyBorder="0" applyAlignment="0" applyProtection="0">
      <alignment horizontal="left"/>
    </xf>
    <xf numFmtId="0" fontId="140" fillId="68" borderId="57" applyNumberFormat="0" applyFont="0" applyAlignment="0" applyProtection="0"/>
    <xf numFmtId="0" fontId="137" fillId="71" borderId="59" applyNumberFormat="0" applyAlignment="0" applyProtection="0"/>
    <xf numFmtId="0" fontId="131" fillId="71" borderId="58" applyNumberFormat="0" applyAlignment="0" applyProtection="0"/>
    <xf numFmtId="0" fontId="240" fillId="68" borderId="57" applyNumberFormat="0" applyFont="0" applyAlignment="0" applyProtection="0"/>
    <xf numFmtId="4" fontId="113" fillId="127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278" fillId="130" borderId="59" applyNumberFormat="0" applyProtection="0">
      <alignment horizontal="left" vertical="center" indent="1"/>
    </xf>
    <xf numFmtId="0" fontId="102" fillId="60" borderId="87">
      <alignment horizontal="center"/>
    </xf>
    <xf numFmtId="0" fontId="102" fillId="60" borderId="87">
      <alignment horizontal="center"/>
    </xf>
    <xf numFmtId="0" fontId="102" fillId="60" borderId="87">
      <alignment horizontal="center"/>
    </xf>
    <xf numFmtId="0" fontId="102" fillId="60" borderId="87">
      <alignment horizontal="center"/>
    </xf>
    <xf numFmtId="0" fontId="102" fillId="60" borderId="87">
      <alignment horizontal="center"/>
    </xf>
    <xf numFmtId="0" fontId="102" fillId="60" borderId="87">
      <alignment horizontal="center"/>
    </xf>
    <xf numFmtId="4" fontId="93" fillId="0" borderId="87"/>
    <xf numFmtId="4" fontId="93" fillId="0" borderId="87"/>
    <xf numFmtId="4" fontId="93" fillId="0" borderId="87"/>
    <xf numFmtId="4" fontId="93" fillId="0" borderId="87"/>
    <xf numFmtId="4" fontId="93" fillId="0" borderId="87"/>
    <xf numFmtId="4" fontId="93" fillId="0" borderId="87"/>
    <xf numFmtId="0" fontId="103" fillId="0" borderId="87">
      <alignment horizontal="center"/>
    </xf>
    <xf numFmtId="0" fontId="103" fillId="0" borderId="87">
      <alignment horizontal="center"/>
    </xf>
    <xf numFmtId="0" fontId="103" fillId="0" borderId="87">
      <alignment horizontal="center"/>
    </xf>
    <xf numFmtId="0" fontId="103" fillId="0" borderId="87">
      <alignment horizontal="center"/>
    </xf>
    <xf numFmtId="0" fontId="103" fillId="0" borderId="87">
      <alignment horizontal="center"/>
    </xf>
    <xf numFmtId="0" fontId="103" fillId="0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4" fillId="61" borderId="87">
      <alignment horizontal="center"/>
    </xf>
    <xf numFmtId="0" fontId="102" fillId="60" borderId="87"/>
    <xf numFmtId="0" fontId="102" fillId="60" borderId="87"/>
    <xf numFmtId="0" fontId="102" fillId="60" borderId="87"/>
    <xf numFmtId="0" fontId="102" fillId="60" borderId="87"/>
    <xf numFmtId="0" fontId="102" fillId="60" borderId="87"/>
    <xf numFmtId="0" fontId="102" fillId="60" borderId="87"/>
    <xf numFmtId="0" fontId="175" fillId="66" borderId="58" applyNumberFormat="0" applyAlignment="0" applyProtection="0"/>
    <xf numFmtId="0" fontId="269" fillId="0" borderId="0">
      <protection locked="0"/>
    </xf>
    <xf numFmtId="4" fontId="113" fillId="97" borderId="59" applyNumberFormat="0" applyProtection="0">
      <alignment horizontal="left" vertical="center" indent="1"/>
    </xf>
    <xf numFmtId="0" fontId="175" fillId="66" borderId="58" applyNumberFormat="0" applyAlignment="0" applyProtection="0"/>
    <xf numFmtId="0" fontId="137" fillId="71" borderId="59" applyNumberFormat="0" applyAlignment="0" applyProtection="0"/>
    <xf numFmtId="0" fontId="18" fillId="68" borderId="57" applyNumberFormat="0" applyFont="0" applyAlignment="0" applyProtection="0"/>
    <xf numFmtId="0" fontId="132" fillId="71" borderId="58" applyNumberFormat="0" applyAlignment="0" applyProtection="0"/>
    <xf numFmtId="4" fontId="113" fillId="123" borderId="59" applyNumberFormat="0" applyProtection="0">
      <alignment horizontal="right" vertical="center"/>
    </xf>
    <xf numFmtId="0" fontId="15" fillId="68" borderId="57" applyNumberFormat="0" applyFont="0" applyAlignment="0" applyProtection="0"/>
    <xf numFmtId="0" fontId="278" fillId="0" borderId="83">
      <alignment horizontal="center"/>
    </xf>
    <xf numFmtId="4" fontId="113" fillId="113" borderId="59" applyNumberFormat="0" applyProtection="0">
      <alignment horizontal="right" vertical="center"/>
    </xf>
    <xf numFmtId="0" fontId="137" fillId="71" borderId="59" applyNumberFormat="0" applyAlignment="0" applyProtection="0"/>
    <xf numFmtId="0" fontId="92" fillId="0" borderId="65" applyNumberFormat="0" applyFill="0" applyAlignment="0" applyProtection="0"/>
    <xf numFmtId="0" fontId="219" fillId="66" borderId="58" applyNumberFormat="0" applyAlignment="0" applyProtection="0"/>
    <xf numFmtId="4" fontId="113" fillId="133" borderId="59" applyNumberFormat="0" applyProtection="0">
      <alignment horizontal="left" vertical="center" indent="1"/>
    </xf>
    <xf numFmtId="0" fontId="228" fillId="0" borderId="65" applyNumberFormat="0" applyFill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4" fontId="113" fillId="125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0" fontId="175" fillId="66" borderId="58" applyNumberFormat="0" applyAlignment="0" applyProtection="0"/>
    <xf numFmtId="0" fontId="131" fillId="71" borderId="58" applyNumberFormat="0" applyAlignment="0" applyProtection="0"/>
    <xf numFmtId="0" fontId="140" fillId="68" borderId="57" applyNumberFormat="0" applyFont="0" applyAlignment="0" applyProtection="0"/>
    <xf numFmtId="0" fontId="18" fillId="104" borderId="59" applyNumberFormat="0" applyProtection="0">
      <alignment horizontal="left" vertical="center" indent="1"/>
    </xf>
    <xf numFmtId="4" fontId="113" fillId="129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265" fillId="71" borderId="59" applyNumberFormat="0" applyAlignment="0" applyProtection="0"/>
    <xf numFmtId="4" fontId="113" fillId="131" borderId="59" applyNumberFormat="0" applyProtection="0">
      <alignment horizontal="left" vertical="center" indent="1"/>
    </xf>
    <xf numFmtId="4" fontId="113" fillId="128" borderId="59" applyNumberFormat="0" applyProtection="0">
      <alignment horizontal="right" vertical="center"/>
    </xf>
    <xf numFmtId="0" fontId="131" fillId="71" borderId="58" applyNumberFormat="0" applyAlignment="0" applyProtection="0"/>
    <xf numFmtId="0" fontId="175" fillId="66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261" fontId="196" fillId="0" borderId="58">
      <alignment horizontal="center" vertical="center" wrapText="1"/>
    </xf>
    <xf numFmtId="0" fontId="267" fillId="0" borderId="83">
      <alignment horizontal="center" vertical="center"/>
    </xf>
    <xf numFmtId="0" fontId="17" fillId="0" borderId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40" fillId="0" borderId="0"/>
    <xf numFmtId="0" fontId="17" fillId="0" borderId="0"/>
    <xf numFmtId="0" fontId="88" fillId="0" borderId="0"/>
    <xf numFmtId="43" fontId="17" fillId="0" borderId="0" applyFont="0" applyFill="0" applyBorder="0" applyAlignment="0" applyProtection="0"/>
    <xf numFmtId="0" fontId="15" fillId="62" borderId="0" applyNumberFormat="0" applyBorder="0" applyAlignment="0" applyProtection="0"/>
    <xf numFmtId="0" fontId="15" fillId="58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5" fillId="65" borderId="0" applyNumberFormat="0" applyBorder="0" applyAlignment="0" applyProtection="0"/>
    <xf numFmtId="0" fontId="15" fillId="66" borderId="0" applyNumberFormat="0" applyBorder="0" applyAlignment="0" applyProtection="0"/>
    <xf numFmtId="0" fontId="15" fillId="72" borderId="0" applyNumberFormat="0" applyBorder="0" applyAlignment="0" applyProtection="0"/>
    <xf numFmtId="0" fontId="15" fillId="73" borderId="0" applyNumberFormat="0" applyBorder="0" applyAlignment="0" applyProtection="0"/>
    <xf numFmtId="0" fontId="15" fillId="74" borderId="0" applyNumberFormat="0" applyBorder="0" applyAlignment="0" applyProtection="0"/>
    <xf numFmtId="0" fontId="15" fillId="64" borderId="0" applyNumberFormat="0" applyBorder="0" applyAlignment="0" applyProtection="0"/>
    <xf numFmtId="0" fontId="15" fillId="72" borderId="0" applyNumberFormat="0" applyBorder="0" applyAlignment="0" applyProtection="0"/>
    <xf numFmtId="0" fontId="15" fillId="75" borderId="0" applyNumberFormat="0" applyBorder="0" applyAlignment="0" applyProtection="0"/>
    <xf numFmtId="0" fontId="118" fillId="77" borderId="0" applyNumberFormat="0" applyBorder="0" applyAlignment="0" applyProtection="0"/>
    <xf numFmtId="0" fontId="118" fillId="73" borderId="0" applyNumberFormat="0" applyBorder="0" applyAlignment="0" applyProtection="0"/>
    <xf numFmtId="0" fontId="118" fillId="74" borderId="0" applyNumberFormat="0" applyBorder="0" applyAlignment="0" applyProtection="0"/>
    <xf numFmtId="0" fontId="118" fillId="78" borderId="0" applyNumberFormat="0" applyBorder="0" applyAlignment="0" applyProtection="0"/>
    <xf numFmtId="0" fontId="118" fillId="79" borderId="0" applyNumberFormat="0" applyBorder="0" applyAlignment="0" applyProtection="0"/>
    <xf numFmtId="0" fontId="118" fillId="80" borderId="0" applyNumberFormat="0" applyBorder="0" applyAlignment="0" applyProtection="0"/>
    <xf numFmtId="0" fontId="18" fillId="68" borderId="57" applyNumberFormat="0" applyFon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0" fontId="127" fillId="0" borderId="0" applyNumberFormat="0" applyFill="0" applyBorder="0" applyAlignment="0" applyProtection="0"/>
    <xf numFmtId="0" fontId="140" fillId="68" borderId="57" applyNumberFormat="0" applyFon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50" fillId="0" borderId="64" applyNumberFormat="0" applyFill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92" fillId="0" borderId="65" applyNumberFormat="0" applyFill="0" applyAlignment="0" applyProtection="0"/>
    <xf numFmtId="221" fontId="18" fillId="0" borderId="0" applyFont="0" applyFill="0" applyBorder="0" applyAlignment="0" applyProtection="0"/>
    <xf numFmtId="0" fontId="18" fillId="20" borderId="59" applyNumberFormat="0">
      <alignment vertical="center"/>
    </xf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5" fillId="66" borderId="58" applyNumberFormat="0" applyAlignment="0" applyProtection="0"/>
    <xf numFmtId="0" fontId="89" fillId="58" borderId="0" applyNumberFormat="0" applyBorder="0" applyAlignment="0" applyProtection="0"/>
    <xf numFmtId="0" fontId="137" fillId="71" borderId="59" applyNumberFormat="0" applyAlignment="0" applyProtection="0"/>
    <xf numFmtId="0" fontId="175" fillId="66" borderId="58" applyNumberFormat="0" applyAlignment="0" applyProtection="0"/>
    <xf numFmtId="0" fontId="92" fillId="0" borderId="65" applyNumberFormat="0" applyFill="0" applyAlignment="0" applyProtection="0"/>
    <xf numFmtId="181" fontId="15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31" fillId="71" borderId="58" applyNumberFormat="0" applyAlignment="0" applyProtection="0"/>
    <xf numFmtId="0" fontId="140" fillId="68" borderId="57" applyNumberFormat="0" applyFont="0" applyAlignment="0" applyProtection="0"/>
    <xf numFmtId="270" fontId="18" fillId="0" borderId="0" applyFont="0" applyFill="0" applyBorder="0" applyAlignment="0" applyProtection="0"/>
    <xf numFmtId="270" fontId="140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5" fillId="0" borderId="0" applyFont="0" applyFill="0" applyBorder="0" applyAlignment="0" applyProtection="0"/>
    <xf numFmtId="270" fontId="140" fillId="0" borderId="0" applyFont="0" applyFill="0" applyBorder="0" applyAlignment="0" applyProtection="0"/>
    <xf numFmtId="270" fontId="15" fillId="0" borderId="0" applyFont="0" applyFill="0" applyBorder="0" applyAlignment="0" applyProtection="0"/>
    <xf numFmtId="270" fontId="15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233" fontId="18" fillId="0" borderId="0" applyFont="0" applyFill="0" applyBorder="0" applyAlignment="0" applyProtection="0"/>
    <xf numFmtId="271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250" fillId="76" borderId="0" applyNumberFormat="0" applyBorder="0" applyAlignment="0" applyProtection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7" fillId="0" borderId="0"/>
    <xf numFmtId="0" fontId="17" fillId="0" borderId="0"/>
    <xf numFmtId="0" fontId="17" fillId="0" borderId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49" fillId="0" borderId="0" applyNumberFormat="0" applyFill="0" applyBorder="0" applyAlignment="0" applyProtection="0"/>
    <xf numFmtId="0" fontId="302" fillId="71" borderId="58" applyNumberFormat="0" applyAlignment="0" applyProtection="0"/>
    <xf numFmtId="14" fontId="244" fillId="0" borderId="16" applyNumberFormat="0" applyFill="0" applyBorder="0" applyAlignment="0" applyProtection="0">
      <alignment horizontal="center"/>
    </xf>
    <xf numFmtId="0" fontId="297" fillId="0" borderId="80" applyNumberFormat="0" applyFill="0" applyBorder="0" applyAlignment="0" applyProtection="0">
      <alignment horizontal="left"/>
    </xf>
    <xf numFmtId="0" fontId="1" fillId="0" borderId="0"/>
    <xf numFmtId="0" fontId="140" fillId="0" borderId="0"/>
    <xf numFmtId="0" fontId="140" fillId="0" borderId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4" fontId="94" fillId="131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284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5" borderId="59" applyNumberFormat="0" applyProtection="0">
      <alignment horizontal="left" vertical="center" indent="1"/>
    </xf>
    <xf numFmtId="4" fontId="284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240" fillId="68" borderId="57" applyNumberFormat="0" applyFont="0" applyAlignment="0" applyProtection="0"/>
    <xf numFmtId="0" fontId="264" fillId="0" borderId="65" applyNumberFormat="0" applyFill="0" applyAlignment="0" applyProtection="0"/>
    <xf numFmtId="0" fontId="15" fillId="68" borderId="57" applyNumberFormat="0" applyFont="0" applyAlignment="0" applyProtection="0"/>
    <xf numFmtId="0" fontId="18" fillId="68" borderId="5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" fillId="0" borderId="0"/>
    <xf numFmtId="0" fontId="15" fillId="68" borderId="5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7" fillId="71" borderId="59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7" fillId="0" borderId="0"/>
    <xf numFmtId="0" fontId="17" fillId="0" borderId="0"/>
    <xf numFmtId="0" fontId="17" fillId="0" borderId="0"/>
    <xf numFmtId="0" fontId="140" fillId="68" borderId="57" applyNumberFormat="0" applyFont="0" applyAlignment="0" applyProtection="0"/>
    <xf numFmtId="0" fontId="17" fillId="0" borderId="0"/>
    <xf numFmtId="0" fontId="17" fillId="0" borderId="0"/>
    <xf numFmtId="0" fontId="17" fillId="0" borderId="0"/>
    <xf numFmtId="0" fontId="87" fillId="0" borderId="0"/>
    <xf numFmtId="0" fontId="17" fillId="0" borderId="0"/>
    <xf numFmtId="0" fontId="1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256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207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270" fontId="15" fillId="0" borderId="0" applyFont="0" applyFill="0" applyBorder="0" applyAlignment="0" applyProtection="0"/>
    <xf numFmtId="270" fontId="140" fillId="0" borderId="0" applyFont="0" applyFill="0" applyBorder="0" applyAlignment="0" applyProtection="0"/>
    <xf numFmtId="270" fontId="15" fillId="0" borderId="0" applyFont="0" applyFill="0" applyBorder="0" applyAlignment="0" applyProtection="0"/>
    <xf numFmtId="270" fontId="18" fillId="0" borderId="0" applyFont="0" applyFill="0" applyBorder="0" applyAlignment="0" applyProtection="0"/>
    <xf numFmtId="0" fontId="278" fillId="0" borderId="83">
      <alignment horizontal="center"/>
    </xf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270" fontId="18" fillId="0" borderId="0" applyFont="0" applyFill="0" applyBorder="0" applyAlignment="0" applyProtection="0"/>
    <xf numFmtId="9" fontId="140" fillId="0" borderId="0" applyFont="0" applyFill="0" applyBorder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181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228" fillId="0" borderId="65" applyNumberFormat="0" applyFill="0" applyAlignment="0" applyProtection="0"/>
    <xf numFmtId="0" fontId="227" fillId="71" borderId="59" applyNumberFormat="0" applyAlignment="0" applyProtection="0"/>
    <xf numFmtId="0" fontId="225" fillId="68" borderId="57" applyNumberFormat="0" applyFont="0" applyAlignment="0" applyProtection="0"/>
    <xf numFmtId="222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0" fontId="92" fillId="0" borderId="65" applyNumberFormat="0" applyFill="0" applyAlignment="0" applyProtection="0"/>
    <xf numFmtId="164" fontId="140" fillId="0" borderId="0" applyFont="0" applyFill="0" applyBorder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181" fontId="17" fillId="0" borderId="0" applyFont="0" applyFill="0" applyBorder="0" applyAlignment="0" applyProtection="0"/>
    <xf numFmtId="181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37" fillId="71" borderId="59" applyNumberFormat="0" applyAlignment="0" applyProtection="0"/>
    <xf numFmtId="181" fontId="15" fillId="0" borderId="0" applyFont="0" applyFill="0" applyBorder="0" applyAlignment="0" applyProtection="0"/>
    <xf numFmtId="4" fontId="113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23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278" fillId="130" borderId="59" applyNumberFormat="0" applyProtection="0">
      <alignment horizontal="left" vertical="center" indent="1"/>
    </xf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8" fillId="104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181" fontId="17" fillId="0" borderId="0" applyFont="0" applyFill="0" applyBorder="0" applyAlignment="0" applyProtection="0"/>
    <xf numFmtId="4" fontId="94" fillId="131" borderId="59" applyNumberFormat="0" applyProtection="0">
      <alignment horizontal="right" vertical="center"/>
    </xf>
    <xf numFmtId="0" fontId="144" fillId="63" borderId="0" applyNumberFormat="0" applyBorder="0" applyAlignment="0" applyProtection="0"/>
    <xf numFmtId="43" fontId="8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40" fillId="0" borderId="0" applyFont="0" applyFill="0" applyBorder="0" applyAlignment="0" applyProtection="0"/>
    <xf numFmtId="0" fontId="175" fillId="66" borderId="58" applyNumberForma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43" fontId="8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31" fillId="71" borderId="58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75" fillId="66" borderId="58" applyNumberFormat="0" applyAlignment="0" applyProtection="0"/>
    <xf numFmtId="0" fontId="131" fillId="71" borderId="58" applyNumberFormat="0" applyAlignment="0" applyProtection="0"/>
    <xf numFmtId="0" fontId="128" fillId="0" borderId="0" applyNumberFormat="0" applyFill="0" applyBorder="0" applyAlignment="0" applyProtection="0"/>
    <xf numFmtId="0" fontId="137" fillId="71" borderId="59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18" fillId="78" borderId="0" applyNumberFormat="0" applyBorder="0" applyAlignment="0" applyProtection="0"/>
    <xf numFmtId="0" fontId="118" fillId="92" borderId="0" applyNumberFormat="0" applyBorder="0" applyAlignment="0" applyProtection="0"/>
    <xf numFmtId="0" fontId="118" fillId="90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84" fillId="34" borderId="0" applyNumberFormat="0" applyBorder="0" applyAlignment="0" applyProtection="0"/>
    <xf numFmtId="0" fontId="249" fillId="0" borderId="0" applyNumberFormat="0" applyFill="0" applyBorder="0" applyAlignment="0" applyProtection="0"/>
    <xf numFmtId="0" fontId="109" fillId="0" borderId="53" applyNumberFormat="0" applyFill="0" applyAlignment="0" applyProtection="0"/>
    <xf numFmtId="0" fontId="110" fillId="0" borderId="54" applyNumberFormat="0" applyFill="0" applyAlignment="0" applyProtection="0"/>
    <xf numFmtId="0" fontId="117" fillId="0" borderId="55" applyNumberFormat="0" applyFill="0" applyAlignment="0" applyProtection="0"/>
    <xf numFmtId="0" fontId="117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118" fillId="77" borderId="0" applyNumberFormat="0" applyBorder="0" applyAlignment="0" applyProtection="0"/>
    <xf numFmtId="0" fontId="84" fillId="37" borderId="0" applyNumberFormat="0" applyBorder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5" fillId="75" borderId="0" applyNumberFormat="0" applyBorder="0" applyAlignment="0" applyProtection="0"/>
    <xf numFmtId="0" fontId="137" fillId="71" borderId="59" applyNumberFormat="0" applyAlignment="0" applyProtection="0"/>
    <xf numFmtId="0" fontId="15" fillId="72" borderId="0" applyNumberFormat="0" applyBorder="0" applyAlignment="0" applyProtection="0"/>
    <xf numFmtId="0" fontId="15" fillId="64" borderId="0" applyNumberFormat="0" applyBorder="0" applyAlignment="0" applyProtection="0"/>
    <xf numFmtId="0" fontId="15" fillId="74" borderId="0" applyNumberFormat="0" applyBorder="0" applyAlignment="0" applyProtection="0"/>
    <xf numFmtId="0" fontId="15" fillId="73" borderId="0" applyNumberFormat="0" applyBorder="0" applyAlignment="0" applyProtection="0"/>
    <xf numFmtId="0" fontId="15" fillId="72" borderId="0" applyNumberFormat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5" fillId="66" borderId="0" applyNumberFormat="0" applyBorder="0" applyAlignment="0" applyProtection="0"/>
    <xf numFmtId="0" fontId="15" fillId="65" borderId="0" applyNumberFormat="0" applyBorder="0" applyAlignment="0" applyProtection="0"/>
    <xf numFmtId="0" fontId="90" fillId="81" borderId="63" applyNumberFormat="0" applyAlignment="0" applyProtection="0"/>
    <xf numFmtId="0" fontId="15" fillId="63" borderId="0" applyNumberFormat="0" applyBorder="0" applyAlignment="0" applyProtection="0"/>
    <xf numFmtId="0" fontId="15" fillId="58" borderId="0" applyNumberFormat="0" applyBorder="0" applyAlignment="0" applyProtection="0"/>
    <xf numFmtId="0" fontId="15" fillId="62" borderId="0" applyNumberFormat="0" applyBorder="0" applyAlignment="0" applyProtection="0"/>
    <xf numFmtId="0" fontId="140" fillId="0" borderId="0"/>
    <xf numFmtId="0" fontId="87" fillId="0" borderId="0"/>
    <xf numFmtId="0" fontId="17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7" fillId="0" borderId="0"/>
    <xf numFmtId="0" fontId="87" fillId="0" borderId="0"/>
    <xf numFmtId="0" fontId="87" fillId="0" borderId="0"/>
    <xf numFmtId="0" fontId="87" fillId="0" borderId="0"/>
    <xf numFmtId="0" fontId="92" fillId="0" borderId="65" applyNumberFormat="0" applyFill="0" applyAlignment="0" applyProtection="0"/>
    <xf numFmtId="4" fontId="113" fillId="15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40" fillId="68" borderId="57" applyNumberFormat="0" applyFont="0" applyAlignment="0" applyProtection="0"/>
    <xf numFmtId="0" fontId="17" fillId="0" borderId="0"/>
    <xf numFmtId="0" fontId="17" fillId="0" borderId="0"/>
    <xf numFmtId="0" fontId="1" fillId="0" borderId="0"/>
    <xf numFmtId="181" fontId="18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40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270" fontId="15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140" fillId="68" borderId="57" applyNumberFormat="0" applyFont="0" applyAlignment="0" applyProtection="0"/>
    <xf numFmtId="0" fontId="92" fillId="0" borderId="65" applyNumberFormat="0" applyFill="0" applyAlignment="0" applyProtection="0"/>
    <xf numFmtId="181" fontId="17" fillId="0" borderId="0" applyFont="0" applyFill="0" applyBorder="0" applyAlignment="0" applyProtection="0"/>
    <xf numFmtId="271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271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1" fontId="18" fillId="0" borderId="0" applyFont="0" applyFill="0" applyBorder="0" applyAlignment="0" applyProtection="0"/>
    <xf numFmtId="0" fontId="84" fillId="34" borderId="0" applyNumberFormat="0" applyBorder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41" fillId="66" borderId="58" applyNumberFormat="0" applyAlignment="0" applyProtection="0"/>
    <xf numFmtId="0" fontId="131" fillId="71" borderId="58" applyNumberFormat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87" fillId="0" borderId="0" applyFont="0" applyFill="0" applyBorder="0" applyAlignment="0" applyProtection="0"/>
    <xf numFmtId="0" fontId="169" fillId="68" borderId="57" applyNumberFormat="0" applyFont="0" applyAlignment="0" applyProtection="0"/>
    <xf numFmtId="0" fontId="175" fillId="66" borderId="58" applyNumberFormat="0" applyAlignment="0" applyProtection="0"/>
    <xf numFmtId="220" fontId="18" fillId="0" borderId="0" applyFont="0" applyFill="0" applyBorder="0" applyAlignment="0" applyProtection="0"/>
    <xf numFmtId="0" fontId="225" fillId="68" borderId="57" applyNumberFormat="0" applyFont="0" applyAlignment="0" applyProtection="0"/>
    <xf numFmtId="0" fontId="227" fillId="71" borderId="59" applyNumberFormat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181" fontId="17" fillId="0" borderId="0" applyFont="0" applyFill="0" applyBorder="0" applyAlignment="0" applyProtection="0"/>
    <xf numFmtId="0" fontId="87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17" fillId="0" borderId="0"/>
    <xf numFmtId="0" fontId="168" fillId="0" borderId="0"/>
    <xf numFmtId="0" fontId="17" fillId="0" borderId="0"/>
    <xf numFmtId="0" fontId="264" fillId="0" borderId="65" applyNumberFormat="0" applyFill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87" fillId="0" borderId="0"/>
    <xf numFmtId="0" fontId="17" fillId="0" borderId="0"/>
    <xf numFmtId="0" fontId="168" fillId="0" borderId="0"/>
    <xf numFmtId="0" fontId="17" fillId="0" borderId="0"/>
    <xf numFmtId="0" fontId="17" fillId="0" borderId="0"/>
    <xf numFmtId="0" fontId="140" fillId="0" borderId="0"/>
    <xf numFmtId="0" fontId="140" fillId="0" borderId="0"/>
    <xf numFmtId="0" fontId="17" fillId="0" borderId="0"/>
    <xf numFmtId="0" fontId="1" fillId="0" borderId="0"/>
    <xf numFmtId="0" fontId="1" fillId="0" borderId="0"/>
    <xf numFmtId="9" fontId="140" fillId="0" borderId="0" applyFont="0" applyFill="0" applyBorder="0" applyAlignment="0" applyProtection="0"/>
    <xf numFmtId="181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270" fontId="140" fillId="0" borderId="0" applyFont="0" applyFill="0" applyBorder="0" applyAlignment="0" applyProtection="0"/>
    <xf numFmtId="270" fontId="18" fillId="0" borderId="0" applyFont="0" applyFill="0" applyBorder="0" applyAlignment="0" applyProtection="0"/>
    <xf numFmtId="181" fontId="140" fillId="0" borderId="0" applyFont="0" applyFill="0" applyBorder="0" applyAlignment="0" applyProtection="0"/>
    <xf numFmtId="0" fontId="18" fillId="20" borderId="59" applyNumberFormat="0">
      <alignment vertical="center"/>
    </xf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0" fontId="175" fillId="66" borderId="58" applyNumberFormat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137" fillId="71" borderId="59" applyNumberFormat="0" applyAlignment="0" applyProtection="0"/>
    <xf numFmtId="181" fontId="18" fillId="0" borderId="0" applyFont="0" applyFill="0" applyBorder="0" applyAlignment="0" applyProtection="0"/>
    <xf numFmtId="0" fontId="302" fillId="71" borderId="58" applyNumberFormat="0" applyAlignment="0" applyProtection="0"/>
    <xf numFmtId="0" fontId="141" fillId="66" borderId="58" applyNumberFormat="0" applyAlignment="0" applyProtection="0"/>
    <xf numFmtId="0" fontId="131" fillId="71" borderId="58" applyNumberFormat="0" applyAlignment="0" applyProtection="0"/>
    <xf numFmtId="0" fontId="140" fillId="68" borderId="57" applyNumberFormat="0" applyFont="0" applyAlignment="0" applyProtection="0"/>
    <xf numFmtId="0" fontId="118" fillId="80" borderId="0" applyNumberFormat="0" applyBorder="0" applyAlignment="0" applyProtection="0"/>
    <xf numFmtId="0" fontId="118" fillId="79" borderId="0" applyNumberFormat="0" applyBorder="0" applyAlignment="0" applyProtection="0"/>
    <xf numFmtId="0" fontId="118" fillId="78" borderId="0" applyNumberFormat="0" applyBorder="0" applyAlignment="0" applyProtection="0"/>
    <xf numFmtId="0" fontId="118" fillId="74" borderId="0" applyNumberFormat="0" applyBorder="0" applyAlignment="0" applyProtection="0"/>
    <xf numFmtId="0" fontId="118" fillId="73" borderId="0" applyNumberFormat="0" applyBorder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15" fillId="64" borderId="0" applyNumberFormat="0" applyBorder="0" applyAlignment="0" applyProtection="0"/>
    <xf numFmtId="0" fontId="17" fillId="0" borderId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5" fillId="66" borderId="58" applyNumberFormat="0" applyAlignment="0" applyProtection="0"/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184" fontId="107" fillId="20" borderId="52" applyNumberFormat="0" applyFont="0" applyFill="0" applyBorder="0" applyAlignment="0" applyProtection="0">
      <alignment horizontal="center" vertical="center" wrapText="1"/>
      <protection locked="0"/>
    </xf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32" fillId="71" borderId="58" applyNumberFormat="0" applyAlignment="0" applyProtection="0"/>
    <xf numFmtId="0" fontId="143" fillId="0" borderId="111" applyNumberFormat="0" applyFont="0" applyFill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1" fillId="66" borderId="58" applyNumberFormat="0" applyAlignment="0" applyProtection="0"/>
    <xf numFmtId="0" fontId="141" fillId="66" borderId="58" applyNumberFormat="0" applyAlignment="0" applyProtection="0"/>
    <xf numFmtId="0" fontId="143" fillId="0" borderId="111" applyNumberFormat="0" applyFont="0" applyFill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47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48" fillId="67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6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69" fillId="68" borderId="57" applyNumberFormat="0" applyFont="0" applyAlignment="0" applyProtection="0"/>
    <xf numFmtId="0" fontId="169" fillId="68" borderId="57" applyNumberFormat="0" applyFont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69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69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43" fontId="140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8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8" fillId="20" borderId="59" applyNumberFormat="0">
      <alignment vertical="center"/>
    </xf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219" fillId="66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25" fillId="68" borderId="57" applyNumberFormat="0" applyFont="0" applyAlignment="0" applyProtection="0"/>
    <xf numFmtId="0" fontId="225" fillId="68" borderId="57" applyNumberFormat="0" applyFont="0" applyAlignment="0" applyProtection="0"/>
    <xf numFmtId="0" fontId="227" fillId="71" borderId="59" applyNumberFormat="0" applyAlignment="0" applyProtection="0"/>
    <xf numFmtId="0" fontId="227" fillId="71" borderId="59" applyNumberFormat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0" fontId="228" fillId="0" borderId="65" applyNumberFormat="0" applyFill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2" fontId="244" fillId="0" borderId="80" applyFont="0" applyFill="0" applyBorder="0" applyAlignment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264" fillId="0" borderId="65" applyNumberFormat="0" applyFill="0" applyAlignment="0" applyProtection="0"/>
    <xf numFmtId="0" fontId="264" fillId="0" borderId="65" applyNumberFormat="0" applyFill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37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65" fillId="71" borderId="59" applyNumberForma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140" fillId="68" borderId="57" applyNumberFormat="0" applyFont="0" applyAlignment="0" applyProtection="0"/>
    <xf numFmtId="0" fontId="1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40" fillId="68" borderId="57" applyNumberFormat="0" applyFont="0" applyAlignment="0" applyProtection="0"/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278" fillId="0" borderId="83">
      <alignment horizontal="center"/>
    </xf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8" fillId="68" borderId="57" applyNumberFormat="0" applyFon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113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284" fillId="97" borderId="59" applyNumberFormat="0" applyProtection="0">
      <alignment vertical="center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4" fontId="113" fillId="97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23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07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24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13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5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6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7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8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113" fillId="129" borderId="59" applyNumberFormat="0" applyProtection="0">
      <alignment horizontal="right" vertical="center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4" fontId="278" fillId="130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1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4" fontId="113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3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134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20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113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284" fillId="15" borderId="59" applyNumberFormat="0" applyProtection="0">
      <alignment vertical="center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5" borderId="59" applyNumberFormat="0" applyProtection="0">
      <alignment horizontal="left" vertical="center" indent="1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113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4" fontId="284" fillId="131" borderId="59" applyNumberFormat="0" applyProtection="0">
      <alignment horizontal="right" vertical="center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0" fontId="18" fillId="104" borderId="59" applyNumberFormat="0" applyProtection="0">
      <alignment horizontal="left" vertical="center" indent="1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4" fontId="94" fillId="131" borderId="59" applyNumberFormat="0" applyProtection="0">
      <alignment horizontal="right" vertical="center"/>
    </xf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291" fillId="66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93" fillId="67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6" fillId="0" borderId="109" applyNumberFormat="0" applyFill="0" applyProtection="0">
      <alignment horizontal="left" vertical="center" wrapText="1"/>
    </xf>
    <xf numFmtId="0" fontId="136" fillId="0" borderId="109" applyNumberFormat="0" applyFill="0" applyProtection="0">
      <alignment horizontal="left" vertical="center" wrapText="1" indent="1"/>
    </xf>
    <xf numFmtId="257" fontId="136" fillId="0" borderId="110" applyFill="0" applyProtection="0">
      <alignment horizontal="right" vertical="center" wrapText="1"/>
    </xf>
    <xf numFmtId="257" fontId="136" fillId="0" borderId="109" applyFill="0" applyProtection="0">
      <alignment horizontal="right" vertical="center" wrapText="1"/>
    </xf>
    <xf numFmtId="0" fontId="296" fillId="0" borderId="80" applyNumberFormat="0" applyFill="0" applyBorder="0" applyAlignment="0" applyProtection="0">
      <alignment horizontal="left"/>
    </xf>
    <xf numFmtId="0" fontId="298" fillId="0" borderId="80" applyNumberFormat="0" applyFill="0" applyBorder="0" applyAlignment="0" applyProtection="0">
      <alignment horizontal="left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302" fillId="71" borderId="58" applyNumberFormat="0" applyAlignment="0" applyProtection="0"/>
    <xf numFmtId="0" fontId="302" fillId="71" borderId="58" applyNumberFormat="0" applyAlignment="0" applyProtection="0"/>
    <xf numFmtId="0" fontId="303" fillId="0" borderId="109" applyBorder="0" applyProtection="0">
      <alignment horizontal="right" vertical="center"/>
    </xf>
    <xf numFmtId="0" fontId="304" fillId="139" borderId="109" applyBorder="0" applyProtection="0">
      <alignment horizontal="centerContinuous" vertical="center"/>
    </xf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325" fillId="0" borderId="65" applyNumberFormat="0" applyFill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68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5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168" fillId="68" borderId="57" applyNumberFormat="0" applyFon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3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327" fillId="71" borderId="59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75" fillId="66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1" fillId="71" borderId="58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137" fillId="71" borderId="59" applyNumberFormat="0" applyAlignment="0" applyProtection="0"/>
    <xf numFmtId="0" fontId="245" fillId="0" borderId="109">
      <alignment horizontal="right"/>
    </xf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175" fillId="82" borderId="58" applyNumberFormat="0" applyAlignment="0" applyProtection="0"/>
    <xf numFmtId="0" fontId="333" fillId="82" borderId="58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137" fillId="67" borderId="59" applyNumberFormat="0" applyAlignment="0" applyProtection="0"/>
    <xf numFmtId="0" fontId="334" fillId="67" borderId="59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131" fillId="67" borderId="58" applyNumberFormat="0" applyAlignment="0" applyProtection="0"/>
    <xf numFmtId="0" fontId="335" fillId="67" borderId="58" applyNumberFormat="0" applyAlignment="0" applyProtection="0"/>
    <xf numFmtId="0" fontId="18" fillId="0" borderId="0"/>
    <xf numFmtId="0" fontId="18" fillId="0" borderId="0"/>
    <xf numFmtId="0" fontId="92" fillId="0" borderId="65" applyNumberFormat="0" applyFill="0" applyAlignment="0" applyProtection="0"/>
    <xf numFmtId="0" fontId="92" fillId="0" borderId="65" applyNumberFormat="0" applyFill="0" applyAlignment="0" applyProtection="0"/>
    <xf numFmtId="0" fontId="143" fillId="0" borderId="111" applyNumberFormat="0" applyFont="0" applyFill="0" applyAlignment="0" applyProtection="0"/>
    <xf numFmtId="0" fontId="92" fillId="0" borderId="65" applyNumberFormat="0" applyFill="0" applyAlignment="0" applyProtection="0"/>
    <xf numFmtId="0" fontId="18" fillId="0" borderId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5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40" fillId="0" borderId="0" applyFont="0" applyFill="0" applyBorder="0" applyAlignment="0" applyProtection="0"/>
    <xf numFmtId="41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4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5" fillId="0" borderId="0" applyFont="0" applyFill="0" applyBorder="0" applyAlignment="0" applyProtection="0"/>
    <xf numFmtId="43" fontId="18" fillId="0" borderId="0" applyFont="0" applyFill="0" applyBorder="0" applyAlignment="0" applyProtection="0"/>
    <xf numFmtId="2" fontId="244" fillId="0" borderId="80" applyFont="0" applyFill="0" applyBorder="0" applyAlignment="0"/>
    <xf numFmtId="0" fontId="136" fillId="0" borderId="109" applyNumberFormat="0" applyFill="0" applyProtection="0">
      <alignment horizontal="left" vertical="center" wrapText="1"/>
    </xf>
    <xf numFmtId="0" fontId="136" fillId="0" borderId="109" applyNumberFormat="0" applyFill="0" applyProtection="0">
      <alignment horizontal="left" vertical="center" wrapText="1" indent="1"/>
    </xf>
    <xf numFmtId="257" fontId="136" fillId="0" borderId="110" applyFill="0" applyProtection="0">
      <alignment horizontal="right" vertical="center" wrapText="1"/>
    </xf>
    <xf numFmtId="257" fontId="136" fillId="0" borderId="109" applyFill="0" applyProtection="0">
      <alignment horizontal="right" vertical="center" wrapText="1"/>
    </xf>
    <xf numFmtId="0" fontId="303" fillId="0" borderId="109" applyBorder="0" applyProtection="0">
      <alignment horizontal="right" vertical="center"/>
    </xf>
    <xf numFmtId="0" fontId="304" fillId="139" borderId="109" applyBorder="0" applyProtection="0">
      <alignment horizontal="centerContinuous" vertical="center"/>
    </xf>
    <xf numFmtId="0" fontId="245" fillId="0" borderId="109">
      <alignment horizontal="right"/>
    </xf>
    <xf numFmtId="0" fontId="143" fillId="0" borderId="111" applyNumberFormat="0" applyFont="0" applyFill="0" applyAlignment="0" applyProtection="0"/>
    <xf numFmtId="0" fontId="143" fillId="0" borderId="118" applyNumberFormat="0" applyFont="0" applyFill="0" applyAlignment="0" applyProtection="0"/>
    <xf numFmtId="0" fontId="245" fillId="0" borderId="115">
      <alignment horizontal="right"/>
    </xf>
    <xf numFmtId="0" fontId="304" fillId="139" borderId="115" applyBorder="0" applyProtection="0">
      <alignment horizontal="centerContinuous" vertical="center"/>
    </xf>
    <xf numFmtId="0" fontId="303" fillId="0" borderId="115" applyBorder="0" applyProtection="0">
      <alignment horizontal="right" vertical="center"/>
    </xf>
    <xf numFmtId="257" fontId="136" fillId="0" borderId="115" applyFill="0" applyProtection="0">
      <alignment horizontal="right" vertical="center" wrapText="1"/>
    </xf>
    <xf numFmtId="257" fontId="136" fillId="0" borderId="116" applyFill="0" applyProtection="0">
      <alignment horizontal="right" vertical="center" wrapText="1"/>
    </xf>
    <xf numFmtId="0" fontId="136" fillId="0" borderId="115" applyNumberFormat="0" applyFill="0" applyProtection="0">
      <alignment horizontal="left" vertical="center" wrapText="1" indent="1"/>
    </xf>
    <xf numFmtId="0" fontId="136" fillId="0" borderId="115" applyNumberFormat="0" applyFill="0" applyProtection="0">
      <alignment horizontal="left" vertical="center" wrapText="1"/>
    </xf>
    <xf numFmtId="0" fontId="175" fillId="66" borderId="58" applyNumberFormat="0" applyAlignment="0" applyProtection="0"/>
    <xf numFmtId="0" fontId="143" fillId="0" borderId="118" applyNumberFormat="0" applyFont="0" applyFill="0" applyAlignment="0" applyProtection="0"/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0" fontId="18" fillId="0" borderId="0"/>
    <xf numFmtId="0" fontId="18" fillId="0" borderId="0"/>
    <xf numFmtId="0" fontId="78" fillId="31" borderId="46" applyNumberFormat="0" applyAlignment="0" applyProtection="0"/>
    <xf numFmtId="181" fontId="1" fillId="0" borderId="0" applyFont="0" applyFill="0" applyBorder="0" applyAlignment="0" applyProtection="0"/>
    <xf numFmtId="0" fontId="175" fillId="66" borderId="58" applyNumberFormat="0" applyAlignment="0" applyProtection="0"/>
    <xf numFmtId="0" fontId="18" fillId="0" borderId="0"/>
    <xf numFmtId="0" fontId="18" fillId="0" borderId="0"/>
    <xf numFmtId="181" fontId="1" fillId="0" borderId="0" applyFont="0" applyFill="0" applyBorder="0" applyAlignment="0" applyProtection="0"/>
    <xf numFmtId="0" fontId="18" fillId="0" borderId="0"/>
    <xf numFmtId="0" fontId="136" fillId="0" borderId="119" applyNumberFormat="0" applyFill="0" applyProtection="0">
      <alignment horizontal="left" vertical="center" wrapText="1"/>
    </xf>
    <xf numFmtId="0" fontId="304" fillId="139" borderId="119" applyBorder="0" applyProtection="0">
      <alignment horizontal="centerContinuous" vertical="center"/>
    </xf>
    <xf numFmtId="0" fontId="245" fillId="0" borderId="119">
      <alignment horizontal="right"/>
    </xf>
    <xf numFmtId="181" fontId="1" fillId="0" borderId="0" applyFont="0" applyFill="0" applyBorder="0" applyAlignment="0" applyProtection="0"/>
    <xf numFmtId="0" fontId="78" fillId="31" borderId="46" applyNumberFormat="0" applyAlignment="0" applyProtection="0"/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0" fontId="143" fillId="0" borderId="114" applyNumberFormat="0" applyFont="0" applyFill="0" applyAlignment="0" applyProtection="0"/>
    <xf numFmtId="0" fontId="143" fillId="0" borderId="114" applyNumberFormat="0" applyFont="0" applyFill="0" applyAlignment="0" applyProtection="0"/>
    <xf numFmtId="0" fontId="143" fillId="0" borderId="118" applyNumberFormat="0" applyFont="0" applyFill="0" applyAlignment="0" applyProtection="0"/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0" fontId="78" fillId="31" borderId="46" applyNumberFormat="0" applyAlignment="0" applyProtection="0"/>
    <xf numFmtId="0" fontId="18" fillId="0" borderId="0"/>
    <xf numFmtId="0" fontId="175" fillId="66" borderId="58" applyNumberFormat="0" applyAlignment="0" applyProtection="0"/>
    <xf numFmtId="0" fontId="136" fillId="0" borderId="112" applyNumberFormat="0" applyFill="0" applyProtection="0">
      <alignment horizontal="left" vertical="center" wrapText="1"/>
    </xf>
    <xf numFmtId="0" fontId="136" fillId="0" borderId="112" applyNumberFormat="0" applyFill="0" applyProtection="0">
      <alignment horizontal="left" vertical="center" wrapText="1" indent="1"/>
    </xf>
    <xf numFmtId="257" fontId="136" fillId="0" borderId="113" applyFill="0" applyProtection="0">
      <alignment horizontal="right" vertical="center" wrapText="1"/>
    </xf>
    <xf numFmtId="257" fontId="136" fillId="0" borderId="112" applyFill="0" applyProtection="0">
      <alignment horizontal="right" vertical="center" wrapText="1"/>
    </xf>
    <xf numFmtId="0" fontId="303" fillId="0" borderId="112" applyBorder="0" applyProtection="0">
      <alignment horizontal="right" vertical="center"/>
    </xf>
    <xf numFmtId="0" fontId="304" fillId="139" borderId="112" applyBorder="0" applyProtection="0">
      <alignment horizontal="centerContinuous" vertical="center"/>
    </xf>
    <xf numFmtId="0" fontId="136" fillId="0" borderId="119" applyNumberFormat="0" applyFill="0" applyProtection="0">
      <alignment horizontal="left" vertical="center" wrapText="1" indent="1"/>
    </xf>
    <xf numFmtId="257" fontId="136" fillId="0" borderId="119" applyFill="0" applyProtection="0">
      <alignment horizontal="right" vertical="center" wrapText="1"/>
    </xf>
    <xf numFmtId="0" fontId="303" fillId="0" borderId="119" applyBorder="0" applyProtection="0">
      <alignment horizontal="right" vertical="center"/>
    </xf>
    <xf numFmtId="0" fontId="245" fillId="0" borderId="112">
      <alignment horizontal="right"/>
    </xf>
    <xf numFmtId="0" fontId="143" fillId="0" borderId="114" applyNumberFormat="0" applyFont="0" applyFill="0" applyAlignment="0" applyProtection="0"/>
    <xf numFmtId="184" fontId="107" fillId="20" borderId="117" applyNumberFormat="0" applyFont="0" applyFill="0" applyBorder="0" applyAlignment="0" applyProtection="0">
      <alignment horizontal="center" vertical="center" wrapText="1"/>
      <protection locked="0"/>
    </xf>
    <xf numFmtId="0" fontId="136" fillId="0" borderId="112" applyNumberFormat="0" applyFill="0" applyProtection="0">
      <alignment horizontal="left" vertical="center" wrapText="1"/>
    </xf>
    <xf numFmtId="0" fontId="136" fillId="0" borderId="112" applyNumberFormat="0" applyFill="0" applyProtection="0">
      <alignment horizontal="left" vertical="center" wrapText="1" indent="1"/>
    </xf>
    <xf numFmtId="257" fontId="136" fillId="0" borderId="113" applyFill="0" applyProtection="0">
      <alignment horizontal="right" vertical="center" wrapText="1"/>
    </xf>
    <xf numFmtId="257" fontId="136" fillId="0" borderId="112" applyFill="0" applyProtection="0">
      <alignment horizontal="right" vertical="center" wrapText="1"/>
    </xf>
    <xf numFmtId="0" fontId="303" fillId="0" borderId="112" applyBorder="0" applyProtection="0">
      <alignment horizontal="right" vertical="center"/>
    </xf>
    <xf numFmtId="0" fontId="304" fillId="139" borderId="112" applyBorder="0" applyProtection="0">
      <alignment horizontal="centerContinuous" vertical="center"/>
    </xf>
    <xf numFmtId="0" fontId="245" fillId="0" borderId="112">
      <alignment horizontal="right"/>
    </xf>
    <xf numFmtId="0" fontId="143" fillId="0" borderId="114" applyNumberFormat="0" applyFont="0" applyFill="0" applyAlignment="0" applyProtection="0"/>
    <xf numFmtId="0" fontId="136" fillId="0" borderId="115" applyNumberFormat="0" applyFill="0" applyProtection="0">
      <alignment horizontal="left" vertical="center" wrapText="1"/>
    </xf>
    <xf numFmtId="0" fontId="136" fillId="0" borderId="115" applyNumberFormat="0" applyFill="0" applyProtection="0">
      <alignment horizontal="left" vertical="center" wrapText="1" indent="1"/>
    </xf>
    <xf numFmtId="257" fontId="136" fillId="0" borderId="116" applyFill="0" applyProtection="0">
      <alignment horizontal="right" vertical="center" wrapText="1"/>
    </xf>
    <xf numFmtId="257" fontId="136" fillId="0" borderId="115" applyFill="0" applyProtection="0">
      <alignment horizontal="right" vertical="center" wrapText="1"/>
    </xf>
    <xf numFmtId="0" fontId="303" fillId="0" borderId="115" applyBorder="0" applyProtection="0">
      <alignment horizontal="right" vertical="center"/>
    </xf>
    <xf numFmtId="0" fontId="304" fillId="139" borderId="115" applyBorder="0" applyProtection="0">
      <alignment horizontal="centerContinuous" vertical="center"/>
    </xf>
    <xf numFmtId="0" fontId="245" fillId="0" borderId="115">
      <alignment horizontal="right"/>
    </xf>
    <xf numFmtId="0" fontId="143" fillId="0" borderId="118" applyNumberFormat="0" applyFont="0" applyFill="0" applyAlignment="0" applyProtection="0"/>
    <xf numFmtId="0" fontId="351" fillId="0" borderId="0"/>
    <xf numFmtId="9" fontId="1" fillId="0" borderId="0" applyFont="0" applyFill="0" applyBorder="0" applyAlignment="0" applyProtection="0"/>
    <xf numFmtId="0" fontId="355" fillId="0" borderId="0">
      <alignment vertical="center"/>
    </xf>
  </cellStyleXfs>
  <cellXfs count="1685">
    <xf numFmtId="0" fontId="0" fillId="0" borderId="0" xfId="0"/>
    <xf numFmtId="0" fontId="0" fillId="2" borderId="0" xfId="0" applyFill="1" applyBorder="1"/>
    <xf numFmtId="0" fontId="2" fillId="2" borderId="0" xfId="0" applyFont="1" applyFill="1" applyBorder="1"/>
    <xf numFmtId="0" fontId="6" fillId="2" borderId="0" xfId="0" applyFont="1" applyFill="1"/>
    <xf numFmtId="0" fontId="6" fillId="3" borderId="0" xfId="0" applyFont="1" applyFill="1"/>
    <xf numFmtId="0" fontId="7" fillId="3" borderId="0" xfId="0" applyFont="1" applyFill="1"/>
    <xf numFmtId="0" fontId="8" fillId="2" borderId="2" xfId="0" applyFont="1" applyFill="1" applyBorder="1"/>
    <xf numFmtId="0" fontId="9" fillId="2" borderId="2" xfId="0" applyFont="1" applyFill="1" applyBorder="1"/>
    <xf numFmtId="0" fontId="6" fillId="2" borderId="0" xfId="0" applyFont="1" applyFill="1" applyAlignment="1">
      <alignment horizontal="center"/>
    </xf>
    <xf numFmtId="14" fontId="6" fillId="2" borderId="0" xfId="0" applyNumberFormat="1" applyFont="1" applyFill="1" applyAlignment="1">
      <alignment horizontal="center"/>
    </xf>
    <xf numFmtId="14" fontId="7" fillId="3" borderId="0" xfId="0" applyNumberFormat="1" applyFont="1" applyFill="1"/>
    <xf numFmtId="0" fontId="7" fillId="3" borderId="0" xfId="0" applyFont="1" applyFill="1" applyAlignment="1">
      <alignment horizontal="center"/>
    </xf>
    <xf numFmtId="14" fontId="7" fillId="3" borderId="0" xfId="0" applyNumberFormat="1" applyFont="1" applyFill="1" applyAlignment="1">
      <alignment horizontal="center"/>
    </xf>
    <xf numFmtId="10" fontId="6" fillId="2" borderId="0" xfId="0" applyNumberFormat="1" applyFont="1" applyFill="1" applyAlignment="1">
      <alignment horizontal="center"/>
    </xf>
    <xf numFmtId="0" fontId="6" fillId="6" borderId="0" xfId="0" applyFont="1" applyFill="1"/>
    <xf numFmtId="166" fontId="6" fillId="2" borderId="0" xfId="1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7" fillId="2" borderId="0" xfId="0" applyFont="1" applyFill="1"/>
    <xf numFmtId="0" fontId="9" fillId="2" borderId="0" xfId="0" applyFont="1" applyFill="1" applyBorder="1"/>
    <xf numFmtId="0" fontId="6" fillId="7" borderId="0" xfId="0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165" fontId="6" fillId="2" borderId="0" xfId="0" applyNumberFormat="1" applyFont="1" applyFill="1"/>
    <xf numFmtId="165" fontId="9" fillId="2" borderId="2" xfId="0" applyNumberFormat="1" applyFont="1" applyFill="1" applyBorder="1"/>
    <xf numFmtId="165" fontId="6" fillId="6" borderId="0" xfId="0" applyNumberFormat="1" applyFont="1" applyFill="1"/>
    <xf numFmtId="165" fontId="6" fillId="2" borderId="0" xfId="0" applyNumberFormat="1" applyFont="1" applyFill="1" applyAlignment="1">
      <alignment horizontal="center"/>
    </xf>
    <xf numFmtId="165" fontId="7" fillId="2" borderId="0" xfId="0" applyNumberFormat="1" applyFont="1" applyFill="1" applyAlignment="1">
      <alignment horizontal="center"/>
    </xf>
    <xf numFmtId="165" fontId="6" fillId="7" borderId="0" xfId="0" applyNumberFormat="1" applyFont="1" applyFill="1" applyAlignment="1">
      <alignment horizontal="left"/>
    </xf>
    <xf numFmtId="0" fontId="6" fillId="8" borderId="0" xfId="0" applyFont="1" applyFill="1" applyAlignment="1">
      <alignment horizontal="left"/>
    </xf>
    <xf numFmtId="0" fontId="8" fillId="2" borderId="0" xfId="0" applyFont="1" applyFill="1" applyBorder="1"/>
    <xf numFmtId="0" fontId="13" fillId="3" borderId="0" xfId="0" applyFont="1" applyFill="1"/>
    <xf numFmtId="0" fontId="10" fillId="2" borderId="0" xfId="0" applyFont="1" applyFill="1"/>
    <xf numFmtId="169" fontId="11" fillId="2" borderId="0" xfId="0" applyNumberFormat="1" applyFont="1" applyFill="1" applyBorder="1" applyAlignment="1">
      <alignment horizontal="center"/>
    </xf>
    <xf numFmtId="168" fontId="11" fillId="2" borderId="0" xfId="0" applyNumberFormat="1" applyFont="1" applyFill="1" applyBorder="1" applyAlignment="1">
      <alignment horizontal="center"/>
    </xf>
    <xf numFmtId="4" fontId="11" fillId="2" borderId="0" xfId="0" applyNumberFormat="1" applyFont="1" applyFill="1" applyBorder="1" applyAlignment="1">
      <alignment horizontal="center"/>
    </xf>
    <xf numFmtId="0" fontId="6" fillId="2" borderId="0" xfId="0" applyFont="1" applyFill="1" applyBorder="1"/>
    <xf numFmtId="168" fontId="11" fillId="9" borderId="3" xfId="0" applyNumberFormat="1" applyFont="1" applyFill="1" applyBorder="1"/>
    <xf numFmtId="4" fontId="11" fillId="9" borderId="3" xfId="0" applyNumberFormat="1" applyFont="1" applyFill="1" applyBorder="1"/>
    <xf numFmtId="0" fontId="13" fillId="2" borderId="0" xfId="0" applyFont="1" applyFill="1"/>
    <xf numFmtId="0" fontId="16" fillId="0" borderId="0" xfId="7" applyFont="1" applyAlignment="1"/>
    <xf numFmtId="0" fontId="16" fillId="0" borderId="0" xfId="7" applyFont="1" applyFill="1" applyAlignment="1"/>
    <xf numFmtId="0" fontId="16" fillId="0" borderId="0" xfId="7" applyFont="1" applyAlignment="1">
      <alignment horizontal="left"/>
    </xf>
    <xf numFmtId="0" fontId="16" fillId="0" borderId="0" xfId="7" applyFont="1" applyBorder="1" applyAlignment="1"/>
    <xf numFmtId="0" fontId="16" fillId="0" borderId="0" xfId="7" applyFont="1" applyFill="1" applyBorder="1" applyAlignment="1"/>
    <xf numFmtId="0" fontId="16" fillId="0" borderId="0" xfId="10" applyFont="1" applyBorder="1" applyAlignment="1">
      <alignment vertical="top"/>
    </xf>
    <xf numFmtId="0" fontId="20" fillId="0" borderId="0" xfId="7" applyFont="1" applyBorder="1" applyAlignment="1">
      <alignment vertical="top"/>
    </xf>
    <xf numFmtId="172" fontId="16" fillId="0" borderId="0" xfId="7" applyNumberFormat="1" applyFont="1" applyFill="1" applyBorder="1" applyAlignment="1"/>
    <xf numFmtId="0" fontId="16" fillId="0" borderId="0" xfId="7" applyFont="1" applyFill="1" applyBorder="1" applyAlignment="1">
      <alignment horizontal="left" indent="3"/>
    </xf>
    <xf numFmtId="0" fontId="16" fillId="0" borderId="11" xfId="7" applyFont="1" applyFill="1" applyBorder="1" applyAlignment="1">
      <alignment horizontal="left" indent="3"/>
    </xf>
    <xf numFmtId="4" fontId="21" fillId="0" borderId="12" xfId="7" applyNumberFormat="1" applyFont="1" applyBorder="1" applyAlignment="1"/>
    <xf numFmtId="4" fontId="21" fillId="0" borderId="13" xfId="7" applyNumberFormat="1" applyFont="1" applyBorder="1" applyAlignment="1"/>
    <xf numFmtId="0" fontId="16" fillId="0" borderId="17" xfId="7" applyFont="1" applyFill="1" applyBorder="1" applyAlignment="1">
      <alignment horizontal="left" indent="3"/>
    </xf>
    <xf numFmtId="172" fontId="21" fillId="0" borderId="13" xfId="7" applyNumberFormat="1" applyFont="1" applyBorder="1" applyAlignment="1"/>
    <xf numFmtId="172" fontId="21" fillId="0" borderId="12" xfId="7" applyNumberFormat="1" applyFont="1" applyBorder="1" applyAlignment="1"/>
    <xf numFmtId="0" fontId="21" fillId="0" borderId="0" xfId="7" applyFont="1" applyFill="1" applyBorder="1" applyAlignment="1">
      <alignment vertical="top"/>
    </xf>
    <xf numFmtId="0" fontId="21" fillId="0" borderId="17" xfId="7" applyFont="1" applyBorder="1" applyAlignment="1"/>
    <xf numFmtId="0" fontId="16" fillId="0" borderId="17" xfId="7" applyFont="1" applyBorder="1" applyAlignment="1"/>
    <xf numFmtId="0" fontId="21" fillId="0" borderId="0" xfId="7" applyFont="1" applyBorder="1" applyAlignment="1">
      <alignment vertical="top"/>
    </xf>
    <xf numFmtId="0" fontId="16" fillId="0" borderId="17" xfId="7" applyFont="1" applyFill="1" applyBorder="1" applyAlignment="1"/>
    <xf numFmtId="0" fontId="16" fillId="2" borderId="0" xfId="7" applyFont="1" applyFill="1" applyBorder="1" applyAlignment="1">
      <alignment vertical="center"/>
    </xf>
    <xf numFmtId="0" fontId="16" fillId="0" borderId="0" xfId="7" applyFont="1" applyFill="1" applyBorder="1" applyAlignment="1">
      <alignment vertical="center"/>
    </xf>
    <xf numFmtId="0" fontId="21" fillId="0" borderId="0" xfId="7" applyFont="1" applyBorder="1" applyAlignment="1">
      <alignment vertical="center"/>
    </xf>
    <xf numFmtId="0" fontId="16" fillId="0" borderId="11" xfId="7" applyFont="1" applyFill="1" applyBorder="1" applyAlignment="1">
      <alignment vertical="center"/>
    </xf>
    <xf numFmtId="0" fontId="16" fillId="0" borderId="17" xfId="7" applyFont="1" applyFill="1" applyBorder="1" applyAlignment="1">
      <alignment vertical="center"/>
    </xf>
    <xf numFmtId="3" fontId="16" fillId="0" borderId="13" xfId="7" applyNumberFormat="1" applyFont="1" applyFill="1" applyBorder="1" applyAlignment="1"/>
    <xf numFmtId="172" fontId="16" fillId="0" borderId="0" xfId="7" applyNumberFormat="1" applyFont="1" applyBorder="1" applyAlignment="1"/>
    <xf numFmtId="166" fontId="16" fillId="0" borderId="0" xfId="7" applyNumberFormat="1" applyFont="1" applyFill="1" applyBorder="1" applyAlignment="1"/>
    <xf numFmtId="0" fontId="16" fillId="0" borderId="0" xfId="7" applyFont="1" applyBorder="1" applyAlignment="1">
      <alignment horizontal="left" indent="1"/>
    </xf>
    <xf numFmtId="166" fontId="16" fillId="0" borderId="0" xfId="7" applyNumberFormat="1" applyFont="1" applyBorder="1" applyAlignment="1"/>
    <xf numFmtId="166" fontId="16" fillId="0" borderId="6" xfId="7" applyNumberFormat="1" applyFont="1" applyFill="1" applyBorder="1" applyAlignment="1"/>
    <xf numFmtId="166" fontId="16" fillId="0" borderId="7" xfId="7" applyNumberFormat="1" applyFont="1" applyFill="1" applyBorder="1" applyAlignment="1"/>
    <xf numFmtId="166" fontId="16" fillId="0" borderId="8" xfId="7" applyNumberFormat="1" applyFont="1" applyFill="1" applyBorder="1" applyAlignment="1"/>
    <xf numFmtId="0" fontId="16" fillId="0" borderId="16" xfId="7" applyFont="1" applyBorder="1" applyAlignment="1">
      <alignment horizontal="left"/>
    </xf>
    <xf numFmtId="0" fontId="16" fillId="0" borderId="16" xfId="7" applyFont="1" applyBorder="1" applyAlignment="1"/>
    <xf numFmtId="3" fontId="16" fillId="0" borderId="0" xfId="7" applyNumberFormat="1" applyFont="1" applyFill="1" applyBorder="1" applyAlignment="1">
      <alignment vertical="center"/>
    </xf>
    <xf numFmtId="0" fontId="21" fillId="0" borderId="11" xfId="7" applyFont="1" applyBorder="1" applyAlignment="1"/>
    <xf numFmtId="0" fontId="16" fillId="0" borderId="0" xfId="7" applyFont="1" applyFill="1" applyBorder="1" applyAlignment="1">
      <alignment vertical="top"/>
    </xf>
    <xf numFmtId="4" fontId="21" fillId="0" borderId="13" xfId="7" applyNumberFormat="1" applyFont="1" applyFill="1" applyBorder="1" applyAlignment="1"/>
    <xf numFmtId="3" fontId="21" fillId="0" borderId="14" xfId="7" applyNumberFormat="1" applyFont="1" applyFill="1" applyBorder="1" applyAlignment="1"/>
    <xf numFmtId="3" fontId="21" fillId="0" borderId="12" xfId="7" applyNumberFormat="1" applyFont="1" applyFill="1" applyBorder="1" applyAlignment="1"/>
    <xf numFmtId="3" fontId="21" fillId="0" borderId="13" xfId="7" applyNumberFormat="1" applyFont="1" applyFill="1" applyBorder="1" applyAlignment="1"/>
    <xf numFmtId="0" fontId="21" fillId="0" borderId="0" xfId="7" applyFont="1" applyFill="1" applyBorder="1" applyAlignment="1"/>
    <xf numFmtId="3" fontId="16" fillId="0" borderId="0" xfId="7" applyNumberFormat="1" applyFont="1" applyFill="1" applyBorder="1" applyAlignment="1"/>
    <xf numFmtId="172" fontId="16" fillId="0" borderId="13" xfId="7" applyNumberFormat="1" applyFont="1" applyFill="1" applyBorder="1" applyAlignment="1"/>
    <xf numFmtId="0" fontId="19" fillId="0" borderId="0" xfId="7" applyFont="1" applyFill="1" applyBorder="1" applyAlignment="1"/>
    <xf numFmtId="0" fontId="19" fillId="0" borderId="0" xfId="7" applyFont="1" applyBorder="1" applyAlignment="1"/>
    <xf numFmtId="10" fontId="27" fillId="0" borderId="0" xfId="16" applyNumberFormat="1" applyFont="1" applyFill="1" applyBorder="1" applyAlignment="1">
      <alignment vertical="center"/>
    </xf>
    <xf numFmtId="10" fontId="16" fillId="0" borderId="0" xfId="16" applyNumberFormat="1" applyFont="1" applyFill="1" applyBorder="1" applyAlignment="1">
      <alignment vertical="center"/>
    </xf>
    <xf numFmtId="10" fontId="19" fillId="0" borderId="0" xfId="16" applyNumberFormat="1" applyFont="1" applyFill="1" applyBorder="1" applyAlignment="1">
      <alignment vertical="center"/>
    </xf>
    <xf numFmtId="166" fontId="16" fillId="0" borderId="0" xfId="1" applyNumberFormat="1" applyFont="1" applyFill="1"/>
    <xf numFmtId="4" fontId="26" fillId="0" borderId="0" xfId="16" applyNumberFormat="1" applyFont="1" applyFill="1" applyBorder="1" applyAlignment="1">
      <alignment horizontal="left" vertical="center"/>
    </xf>
    <xf numFmtId="10" fontId="16" fillId="0" borderId="0" xfId="16" applyNumberFormat="1" applyFont="1" applyFill="1" applyBorder="1" applyAlignment="1"/>
    <xf numFmtId="166" fontId="16" fillId="0" borderId="0" xfId="16" applyNumberFormat="1" applyFont="1" applyFill="1" applyBorder="1" applyAlignment="1"/>
    <xf numFmtId="172" fontId="21" fillId="0" borderId="7" xfId="7" applyNumberFormat="1" applyFont="1" applyBorder="1" applyAlignment="1"/>
    <xf numFmtId="3" fontId="21" fillId="0" borderId="7" xfId="7" applyNumberFormat="1" applyFont="1" applyBorder="1" applyAlignment="1"/>
    <xf numFmtId="3" fontId="21" fillId="0" borderId="7" xfId="7" applyNumberFormat="1" applyFont="1" applyFill="1" applyBorder="1" applyAlignment="1"/>
    <xf numFmtId="3" fontId="21" fillId="0" borderId="8" xfId="7" applyNumberFormat="1" applyFont="1" applyFill="1" applyBorder="1" applyAlignment="1"/>
    <xf numFmtId="3" fontId="21" fillId="0" borderId="6" xfId="7" applyNumberFormat="1" applyFont="1" applyFill="1" applyBorder="1" applyAlignment="1"/>
    <xf numFmtId="0" fontId="21" fillId="0" borderId="17" xfId="7" applyFont="1" applyFill="1" applyBorder="1" applyAlignment="1"/>
    <xf numFmtId="172" fontId="28" fillId="0" borderId="0" xfId="7" applyNumberFormat="1" applyFont="1" applyFill="1" applyBorder="1" applyAlignment="1"/>
    <xf numFmtId="0" fontId="20" fillId="0" borderId="0" xfId="7" applyFont="1" applyFill="1" applyBorder="1" applyAlignment="1"/>
    <xf numFmtId="0" fontId="16" fillId="0" borderId="0" xfId="7" applyFont="1" applyFill="1" applyBorder="1" applyAlignment="1">
      <alignment vertical="center" wrapText="1"/>
    </xf>
    <xf numFmtId="172" fontId="16" fillId="0" borderId="18" xfId="7" applyNumberFormat="1" applyFont="1" applyFill="1" applyBorder="1" applyAlignment="1"/>
    <xf numFmtId="0" fontId="16" fillId="0" borderId="18" xfId="10" applyFont="1" applyFill="1" applyBorder="1" applyAlignment="1"/>
    <xf numFmtId="172" fontId="26" fillId="0" borderId="0" xfId="7" applyNumberFormat="1" applyFont="1" applyBorder="1" applyAlignment="1"/>
    <xf numFmtId="3" fontId="26" fillId="0" borderId="19" xfId="10" applyNumberFormat="1" applyFont="1" applyFill="1" applyBorder="1" applyAlignment="1"/>
    <xf numFmtId="3" fontId="26" fillId="0" borderId="20" xfId="10" applyNumberFormat="1" applyFont="1" applyFill="1" applyBorder="1" applyAlignment="1"/>
    <xf numFmtId="172" fontId="26" fillId="0" borderId="0" xfId="7" applyNumberFormat="1" applyFont="1" applyFill="1" applyBorder="1" applyAlignment="1"/>
    <xf numFmtId="0" fontId="16" fillId="0" borderId="11" xfId="7" applyFont="1" applyBorder="1" applyAlignment="1">
      <alignment horizontal="left" indent="3"/>
    </xf>
    <xf numFmtId="3" fontId="21" fillId="0" borderId="13" xfId="0" applyNumberFormat="1" applyFont="1" applyFill="1" applyBorder="1" applyAlignment="1"/>
    <xf numFmtId="0" fontId="21" fillId="0" borderId="16" xfId="7" applyFont="1" applyBorder="1" applyAlignment="1">
      <alignment horizontal="left"/>
    </xf>
    <xf numFmtId="0" fontId="21" fillId="0" borderId="17" xfId="7" applyFont="1" applyBorder="1" applyAlignment="1">
      <alignment horizontal="left"/>
    </xf>
    <xf numFmtId="3" fontId="16" fillId="0" borderId="12" xfId="0" applyNumberFormat="1" applyFont="1" applyFill="1" applyBorder="1" applyAlignment="1"/>
    <xf numFmtId="3" fontId="16" fillId="0" borderId="13" xfId="0" applyNumberFormat="1" applyFont="1" applyFill="1" applyBorder="1" applyAlignment="1"/>
    <xf numFmtId="3" fontId="16" fillId="0" borderId="0" xfId="0" applyNumberFormat="1" applyFont="1" applyFill="1" applyBorder="1" applyAlignment="1"/>
    <xf numFmtId="0" fontId="21" fillId="11" borderId="19" xfId="0" applyFont="1" applyFill="1" applyBorder="1" applyAlignment="1">
      <alignment horizontal="center" wrapText="1"/>
    </xf>
    <xf numFmtId="0" fontId="21" fillId="11" borderId="20" xfId="0" applyFont="1" applyFill="1" applyBorder="1" applyAlignment="1">
      <alignment horizontal="center" wrapText="1"/>
    </xf>
    <xf numFmtId="0" fontId="21" fillId="11" borderId="21" xfId="0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wrapText="1"/>
    </xf>
    <xf numFmtId="0" fontId="16" fillId="0" borderId="0" xfId="14" applyFont="1"/>
    <xf numFmtId="0" fontId="21" fillId="0" borderId="0" xfId="7" applyFont="1" applyAlignment="1"/>
    <xf numFmtId="172" fontId="16" fillId="0" borderId="0" xfId="10" applyNumberFormat="1" applyFont="1" applyFill="1" applyBorder="1" applyAlignment="1"/>
    <xf numFmtId="172" fontId="16" fillId="12" borderId="18" xfId="7" applyNumberFormat="1" applyFont="1" applyFill="1" applyBorder="1" applyAlignment="1"/>
    <xf numFmtId="172" fontId="16" fillId="12" borderId="13" xfId="7" applyNumberFormat="1" applyFont="1" applyFill="1" applyBorder="1" applyAlignment="1"/>
    <xf numFmtId="3" fontId="16" fillId="12" borderId="13" xfId="7" applyNumberFormat="1" applyFont="1" applyFill="1" applyBorder="1" applyAlignment="1"/>
    <xf numFmtId="3" fontId="16" fillId="12" borderId="14" xfId="7" applyNumberFormat="1" applyFont="1" applyFill="1" applyBorder="1" applyAlignment="1"/>
    <xf numFmtId="3" fontId="16" fillId="12" borderId="12" xfId="7" applyNumberFormat="1" applyFont="1" applyFill="1" applyBorder="1" applyAlignment="1"/>
    <xf numFmtId="172" fontId="26" fillId="0" borderId="13" xfId="7" applyNumberFormat="1" applyFont="1" applyFill="1" applyBorder="1" applyAlignment="1"/>
    <xf numFmtId="172" fontId="29" fillId="0" borderId="13" xfId="7" applyNumberFormat="1" applyFont="1" applyFill="1" applyBorder="1" applyAlignment="1"/>
    <xf numFmtId="172" fontId="26" fillId="0" borderId="20" xfId="10" applyNumberFormat="1" applyFont="1" applyFill="1" applyBorder="1" applyAlignment="1"/>
    <xf numFmtId="172" fontId="29" fillId="0" borderId="20" xfId="10" applyNumberFormat="1" applyFont="1" applyFill="1" applyBorder="1" applyAlignment="1"/>
    <xf numFmtId="172" fontId="16" fillId="0" borderId="20" xfId="10" applyNumberFormat="1" applyFont="1" applyFill="1" applyBorder="1" applyAlignment="1"/>
    <xf numFmtId="3" fontId="29" fillId="0" borderId="12" xfId="7" applyNumberFormat="1" applyFont="1" applyFill="1" applyBorder="1" applyAlignment="1"/>
    <xf numFmtId="3" fontId="29" fillId="0" borderId="13" xfId="7" applyNumberFormat="1" applyFont="1" applyFill="1" applyBorder="1" applyAlignment="1"/>
    <xf numFmtId="3" fontId="26" fillId="0" borderId="13" xfId="7" applyNumberFormat="1" applyFont="1" applyFill="1" applyBorder="1" applyAlignment="1"/>
    <xf numFmtId="3" fontId="29" fillId="12" borderId="12" xfId="7" applyNumberFormat="1" applyFont="1" applyFill="1" applyBorder="1" applyAlignment="1"/>
    <xf numFmtId="3" fontId="29" fillId="12" borderId="13" xfId="7" applyNumberFormat="1" applyFont="1" applyFill="1" applyBorder="1" applyAlignment="1"/>
    <xf numFmtId="3" fontId="26" fillId="12" borderId="13" xfId="7" applyNumberFormat="1" applyFont="1" applyFill="1" applyBorder="1" applyAlignment="1"/>
    <xf numFmtId="3" fontId="16" fillId="12" borderId="12" xfId="0" applyNumberFormat="1" applyFont="1" applyFill="1" applyBorder="1" applyAlignment="1"/>
    <xf numFmtId="3" fontId="16" fillId="12" borderId="13" xfId="0" applyNumberFormat="1" applyFont="1" applyFill="1" applyBorder="1" applyAlignment="1"/>
    <xf numFmtId="3" fontId="29" fillId="0" borderId="12" xfId="0" applyNumberFormat="1" applyFont="1" applyFill="1" applyBorder="1" applyAlignment="1"/>
    <xf numFmtId="3" fontId="29" fillId="0" borderId="13" xfId="0" applyNumberFormat="1" applyFont="1" applyFill="1" applyBorder="1" applyAlignment="1"/>
    <xf numFmtId="3" fontId="26" fillId="0" borderId="13" xfId="0" applyNumberFormat="1" applyFont="1" applyFill="1" applyBorder="1" applyAlignment="1"/>
    <xf numFmtId="170" fontId="6" fillId="2" borderId="0" xfId="1" applyNumberFormat="1" applyFont="1" applyFill="1" applyBorder="1" applyAlignment="1">
      <alignment horizontal="center"/>
    </xf>
    <xf numFmtId="4" fontId="11" fillId="9" borderId="24" xfId="0" applyNumberFormat="1" applyFont="1" applyFill="1" applyBorder="1"/>
    <xf numFmtId="165" fontId="6" fillId="2" borderId="4" xfId="0" applyNumberFormat="1" applyFont="1" applyFill="1" applyBorder="1" applyAlignment="1">
      <alignment horizontal="center"/>
    </xf>
    <xf numFmtId="165" fontId="7" fillId="2" borderId="0" xfId="0" applyNumberFormat="1" applyFont="1" applyFill="1"/>
    <xf numFmtId="3" fontId="6" fillId="2" borderId="0" xfId="0" applyNumberFormat="1" applyFont="1" applyFill="1"/>
    <xf numFmtId="3" fontId="11" fillId="9" borderId="3" xfId="0" applyNumberFormat="1" applyFont="1" applyFill="1" applyBorder="1"/>
    <xf numFmtId="165" fontId="13" fillId="2" borderId="0" xfId="0" applyNumberFormat="1" applyFont="1" applyFill="1" applyAlignment="1">
      <alignment horizontal="center"/>
    </xf>
    <xf numFmtId="0" fontId="14" fillId="0" borderId="0" xfId="0" applyFont="1"/>
    <xf numFmtId="0" fontId="13" fillId="8" borderId="0" xfId="0" applyFont="1" applyFill="1" applyAlignment="1">
      <alignment horizontal="left"/>
    </xf>
    <xf numFmtId="168" fontId="6" fillId="2" borderId="0" xfId="0" applyNumberFormat="1" applyFont="1" applyFill="1" applyAlignment="1">
      <alignment horizontal="center"/>
    </xf>
    <xf numFmtId="0" fontId="6" fillId="2" borderId="0" xfId="0" quotePrefix="1" applyFont="1" applyFill="1"/>
    <xf numFmtId="0" fontId="6" fillId="2" borderId="0" xfId="0" applyFont="1" applyFill="1" applyBorder="1" applyAlignment="1">
      <alignment horizontal="center"/>
    </xf>
    <xf numFmtId="9" fontId="8" fillId="2" borderId="0" xfId="0" applyNumberFormat="1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3" fillId="8" borderId="0" xfId="0" applyFont="1" applyFill="1"/>
    <xf numFmtId="168" fontId="11" fillId="2" borderId="17" xfId="0" applyNumberFormat="1" applyFont="1" applyFill="1" applyBorder="1" applyAlignment="1">
      <alignment horizontal="center"/>
    </xf>
    <xf numFmtId="4" fontId="11" fillId="2" borderId="17" xfId="0" applyNumberFormat="1" applyFont="1" applyFill="1" applyBorder="1" applyAlignment="1">
      <alignment horizontal="center"/>
    </xf>
    <xf numFmtId="4" fontId="11" fillId="8" borderId="17" xfId="0" applyNumberFormat="1" applyFont="1" applyFill="1" applyBorder="1" applyAlignment="1">
      <alignment horizontal="center"/>
    </xf>
    <xf numFmtId="168" fontId="11" fillId="8" borderId="17" xfId="0" applyNumberFormat="1" applyFont="1" applyFill="1" applyBorder="1" applyAlignment="1">
      <alignment horizontal="center"/>
    </xf>
    <xf numFmtId="168" fontId="11" fillId="8" borderId="11" xfId="0" applyNumberFormat="1" applyFont="1" applyFill="1" applyBorder="1" applyAlignment="1">
      <alignment horizontal="center"/>
    </xf>
    <xf numFmtId="168" fontId="11" fillId="2" borderId="11" xfId="0" applyNumberFormat="1" applyFont="1" applyFill="1" applyBorder="1" applyAlignment="1">
      <alignment horizontal="center"/>
    </xf>
    <xf numFmtId="169" fontId="11" fillId="8" borderId="16" xfId="0" applyNumberFormat="1" applyFont="1" applyFill="1" applyBorder="1" applyAlignment="1">
      <alignment horizontal="center"/>
    </xf>
    <xf numFmtId="169" fontId="11" fillId="8" borderId="0" xfId="0" applyNumberFormat="1" applyFont="1" applyFill="1" applyBorder="1" applyAlignment="1">
      <alignment horizontal="center"/>
    </xf>
    <xf numFmtId="169" fontId="11" fillId="8" borderId="18" xfId="0" applyNumberFormat="1" applyFont="1" applyFill="1" applyBorder="1" applyAlignment="1">
      <alignment horizontal="center"/>
    </xf>
    <xf numFmtId="169" fontId="11" fillId="8" borderId="10" xfId="0" applyNumberFormat="1" applyFont="1" applyFill="1" applyBorder="1" applyAlignment="1">
      <alignment horizontal="center"/>
    </xf>
    <xf numFmtId="3" fontId="11" fillId="9" borderId="3" xfId="0" applyNumberFormat="1" applyFont="1" applyFill="1" applyBorder="1" applyAlignment="1">
      <alignment horizontal="center"/>
    </xf>
    <xf numFmtId="165" fontId="11" fillId="8" borderId="28" xfId="0" applyNumberFormat="1" applyFont="1" applyFill="1" applyBorder="1" applyAlignment="1">
      <alignment horizontal="center"/>
    </xf>
    <xf numFmtId="165" fontId="11" fillId="8" borderId="24" xfId="0" applyNumberFormat="1" applyFont="1" applyFill="1" applyBorder="1" applyAlignment="1">
      <alignment horizontal="center"/>
    </xf>
    <xf numFmtId="165" fontId="11" fillId="8" borderId="29" xfId="0" applyNumberFormat="1" applyFont="1" applyFill="1" applyBorder="1" applyAlignment="1">
      <alignment horizontal="center"/>
    </xf>
    <xf numFmtId="165" fontId="11" fillId="12" borderId="3" xfId="0" applyNumberFormat="1" applyFont="1" applyFill="1" applyBorder="1"/>
    <xf numFmtId="0" fontId="7" fillId="14" borderId="4" xfId="0" applyFont="1" applyFill="1" applyBorder="1" applyAlignment="1">
      <alignment horizontal="center"/>
    </xf>
    <xf numFmtId="0" fontId="6" fillId="14" borderId="4" xfId="0" applyFont="1" applyFill="1" applyBorder="1" applyAlignment="1">
      <alignment horizontal="center"/>
    </xf>
    <xf numFmtId="175" fontId="11" fillId="12" borderId="3" xfId="0" applyNumberFormat="1" applyFont="1" applyFill="1" applyBorder="1"/>
    <xf numFmtId="0" fontId="10" fillId="3" borderId="0" xfId="0" applyFont="1" applyFill="1"/>
    <xf numFmtId="1" fontId="11" fillId="14" borderId="3" xfId="0" applyNumberFormat="1" applyFont="1" applyFill="1" applyBorder="1" applyAlignment="1">
      <alignment horizontal="center"/>
    </xf>
    <xf numFmtId="3" fontId="11" fillId="14" borderId="3" xfId="0" applyNumberFormat="1" applyFont="1" applyFill="1" applyBorder="1" applyAlignment="1">
      <alignment horizontal="center"/>
    </xf>
    <xf numFmtId="168" fontId="11" fillId="14" borderId="31" xfId="0" applyNumberFormat="1" applyFont="1" applyFill="1" applyBorder="1" applyAlignment="1">
      <alignment horizontal="center"/>
    </xf>
    <xf numFmtId="168" fontId="11" fillId="14" borderId="30" xfId="0" applyNumberFormat="1" applyFont="1" applyFill="1" applyBorder="1" applyAlignment="1">
      <alignment horizontal="center"/>
    </xf>
    <xf numFmtId="168" fontId="11" fillId="14" borderId="32" xfId="0" applyNumberFormat="1" applyFont="1" applyFill="1" applyBorder="1" applyAlignment="1">
      <alignment horizontal="center"/>
    </xf>
    <xf numFmtId="168" fontId="11" fillId="14" borderId="27" xfId="0" applyNumberFormat="1" applyFont="1" applyFill="1" applyBorder="1" applyAlignment="1">
      <alignment horizontal="center"/>
    </xf>
    <xf numFmtId="168" fontId="11" fillId="14" borderId="3" xfId="0" applyNumberFormat="1" applyFont="1" applyFill="1" applyBorder="1" applyAlignment="1">
      <alignment horizontal="center"/>
    </xf>
    <xf numFmtId="168" fontId="11" fillId="14" borderId="26" xfId="0" applyNumberFormat="1" applyFont="1" applyFill="1" applyBorder="1" applyAlignment="1">
      <alignment horizontal="center"/>
    </xf>
    <xf numFmtId="168" fontId="11" fillId="14" borderId="33" xfId="0" applyNumberFormat="1" applyFont="1" applyFill="1" applyBorder="1" applyAlignment="1">
      <alignment horizontal="center"/>
    </xf>
    <xf numFmtId="168" fontId="11" fillId="14" borderId="25" xfId="0" applyNumberFormat="1" applyFont="1" applyFill="1" applyBorder="1" applyAlignment="1">
      <alignment horizontal="center"/>
    </xf>
    <xf numFmtId="168" fontId="11" fillId="14" borderId="34" xfId="0" applyNumberFormat="1" applyFont="1" applyFill="1" applyBorder="1" applyAlignment="1">
      <alignment horizontal="center"/>
    </xf>
    <xf numFmtId="167" fontId="11" fillId="14" borderId="27" xfId="0" applyNumberFormat="1" applyFont="1" applyFill="1" applyBorder="1" applyAlignment="1">
      <alignment horizontal="center"/>
    </xf>
    <xf numFmtId="167" fontId="11" fillId="14" borderId="3" xfId="0" applyNumberFormat="1" applyFont="1" applyFill="1" applyBorder="1" applyAlignment="1">
      <alignment horizontal="center"/>
    </xf>
    <xf numFmtId="167" fontId="11" fillId="14" borderId="26" xfId="0" applyNumberFormat="1" applyFont="1" applyFill="1" applyBorder="1" applyAlignment="1">
      <alignment horizontal="center"/>
    </xf>
    <xf numFmtId="176" fontId="11" fillId="9" borderId="3" xfId="0" applyNumberFormat="1" applyFont="1" applyFill="1" applyBorder="1"/>
    <xf numFmtId="10" fontId="6" fillId="2" borderId="0" xfId="1" applyNumberFormat="1" applyFont="1" applyFill="1"/>
    <xf numFmtId="0" fontId="6" fillId="0" borderId="0" xfId="0" applyFont="1"/>
    <xf numFmtId="0" fontId="18" fillId="0" borderId="0" xfId="0" applyFont="1"/>
    <xf numFmtId="0" fontId="30" fillId="11" borderId="20" xfId="0" applyFont="1" applyFill="1" applyBorder="1" applyAlignment="1">
      <alignment horizontal="center" wrapText="1"/>
    </xf>
    <xf numFmtId="0" fontId="6" fillId="0" borderId="0" xfId="0" applyFont="1" applyFill="1" applyBorder="1"/>
    <xf numFmtId="0" fontId="6" fillId="0" borderId="0" xfId="0" applyFont="1" applyFill="1"/>
    <xf numFmtId="9" fontId="37" fillId="0" borderId="13" xfId="18" applyFont="1" applyBorder="1" applyAlignment="1"/>
    <xf numFmtId="9" fontId="37" fillId="0" borderId="18" xfId="18" applyFont="1" applyBorder="1" applyAlignment="1"/>
    <xf numFmtId="166" fontId="31" fillId="0" borderId="7" xfId="18" applyNumberFormat="1" applyFont="1" applyBorder="1" applyAlignment="1"/>
    <xf numFmtId="0" fontId="39" fillId="0" borderId="0" xfId="0" applyFont="1"/>
    <xf numFmtId="0" fontId="7" fillId="0" borderId="0" xfId="0" applyFont="1"/>
    <xf numFmtId="166" fontId="31" fillId="12" borderId="13" xfId="1" applyNumberFormat="1" applyFont="1" applyFill="1" applyBorder="1"/>
    <xf numFmtId="172" fontId="31" fillId="12" borderId="13" xfId="14" applyNumberFormat="1" applyFont="1" applyFill="1" applyBorder="1"/>
    <xf numFmtId="172" fontId="30" fillId="12" borderId="20" xfId="14" applyNumberFormat="1" applyFont="1" applyFill="1" applyBorder="1"/>
    <xf numFmtId="3" fontId="31" fillId="12" borderId="13" xfId="14" applyNumberFormat="1" applyFont="1" applyFill="1" applyBorder="1"/>
    <xf numFmtId="3" fontId="31" fillId="12" borderId="18" xfId="14" applyNumberFormat="1" applyFont="1" applyFill="1" applyBorder="1"/>
    <xf numFmtId="168" fontId="6" fillId="2" borderId="0" xfId="0" applyNumberFormat="1" applyFont="1" applyFill="1"/>
    <xf numFmtId="165" fontId="11" fillId="2" borderId="3" xfId="0" applyNumberFormat="1" applyFont="1" applyFill="1" applyBorder="1"/>
    <xf numFmtId="175" fontId="11" fillId="2" borderId="3" xfId="0" applyNumberFormat="1" applyFont="1" applyFill="1" applyBorder="1"/>
    <xf numFmtId="175" fontId="11" fillId="2" borderId="0" xfId="0" applyNumberFormat="1" applyFont="1" applyFill="1" applyBorder="1"/>
    <xf numFmtId="0" fontId="6" fillId="3" borderId="0" xfId="0" applyFont="1" applyFill="1" applyAlignment="1">
      <alignment horizontal="center"/>
    </xf>
    <xf numFmtId="0" fontId="44" fillId="2" borderId="0" xfId="0" applyFont="1" applyFill="1" applyBorder="1"/>
    <xf numFmtId="4" fontId="45" fillId="9" borderId="3" xfId="0" applyNumberFormat="1" applyFont="1" applyFill="1" applyBorder="1"/>
    <xf numFmtId="0" fontId="44" fillId="8" borderId="0" xfId="0" applyFont="1" applyFill="1" applyBorder="1"/>
    <xf numFmtId="0" fontId="44" fillId="18" borderId="0" xfId="0" applyFont="1" applyFill="1" applyBorder="1"/>
    <xf numFmtId="166" fontId="6" fillId="2" borderId="0" xfId="0" applyNumberFormat="1" applyFont="1" applyFill="1"/>
    <xf numFmtId="168" fontId="11" fillId="12" borderId="3" xfId="0" applyNumberFormat="1" applyFont="1" applyFill="1" applyBorder="1"/>
    <xf numFmtId="170" fontId="13" fillId="2" borderId="3" xfId="0" applyNumberFormat="1" applyFont="1" applyFill="1" applyBorder="1" applyAlignment="1">
      <alignment horizontal="center"/>
    </xf>
    <xf numFmtId="0" fontId="43" fillId="2" borderId="2" xfId="0" applyFont="1" applyFill="1" applyBorder="1" applyAlignment="1">
      <alignment horizontal="center"/>
    </xf>
    <xf numFmtId="166" fontId="6" fillId="8" borderId="0" xfId="1" applyNumberFormat="1" applyFont="1" applyFill="1" applyAlignment="1">
      <alignment horizontal="left"/>
    </xf>
    <xf numFmtId="170" fontId="11" fillId="12" borderId="3" xfId="0" applyNumberFormat="1" applyFont="1" applyFill="1" applyBorder="1"/>
    <xf numFmtId="170" fontId="10" fillId="2" borderId="3" xfId="0" applyNumberFormat="1" applyFont="1" applyFill="1" applyBorder="1" applyAlignment="1">
      <alignment horizontal="center"/>
    </xf>
    <xf numFmtId="170" fontId="10" fillId="2" borderId="0" xfId="0" applyNumberFormat="1" applyFont="1" applyFill="1" applyBorder="1" applyAlignment="1">
      <alignment horizontal="center"/>
    </xf>
    <xf numFmtId="3" fontId="13" fillId="2" borderId="0" xfId="0" applyNumberFormat="1" applyFont="1" applyFill="1"/>
    <xf numFmtId="3" fontId="46" fillId="9" borderId="3" xfId="0" applyNumberFormat="1" applyFont="1" applyFill="1" applyBorder="1"/>
    <xf numFmtId="4" fontId="46" fillId="9" borderId="3" xfId="0" applyNumberFormat="1" applyFont="1" applyFill="1" applyBorder="1"/>
    <xf numFmtId="165" fontId="11" fillId="12" borderId="25" xfId="0" applyNumberFormat="1" applyFont="1" applyFill="1" applyBorder="1"/>
    <xf numFmtId="168" fontId="11" fillId="14" borderId="39" xfId="0" applyNumberFormat="1" applyFont="1" applyFill="1" applyBorder="1" applyAlignment="1">
      <alignment horizontal="center"/>
    </xf>
    <xf numFmtId="168" fontId="11" fillId="14" borderId="38" xfId="0" applyNumberFormat="1" applyFont="1" applyFill="1" applyBorder="1" applyAlignment="1">
      <alignment horizontal="center"/>
    </xf>
    <xf numFmtId="168" fontId="11" fillId="14" borderId="37" xfId="0" applyNumberFormat="1" applyFont="1" applyFill="1" applyBorder="1" applyAlignment="1">
      <alignment horizontal="center"/>
    </xf>
    <xf numFmtId="167" fontId="11" fillId="14" borderId="38" xfId="0" applyNumberFormat="1" applyFont="1" applyFill="1" applyBorder="1" applyAlignment="1">
      <alignment horizontal="center"/>
    </xf>
    <xf numFmtId="165" fontId="11" fillId="8" borderId="40" xfId="0" applyNumberFormat="1" applyFont="1" applyFill="1" applyBorder="1" applyAlignment="1">
      <alignment horizontal="center"/>
    </xf>
    <xf numFmtId="10" fontId="6" fillId="2" borderId="0" xfId="0" applyNumberFormat="1" applyFont="1" applyFill="1"/>
    <xf numFmtId="168" fontId="11" fillId="10" borderId="25" xfId="0" applyNumberFormat="1" applyFont="1" applyFill="1" applyBorder="1" applyAlignment="1">
      <alignment horizontal="center"/>
    </xf>
    <xf numFmtId="167" fontId="11" fillId="10" borderId="3" xfId="0" applyNumberFormat="1" applyFont="1" applyFill="1" applyBorder="1" applyAlignment="1">
      <alignment horizontal="center"/>
    </xf>
    <xf numFmtId="168" fontId="47" fillId="2" borderId="0" xfId="0" applyNumberFormat="1" applyFont="1" applyFill="1" applyAlignment="1">
      <alignment horizontal="center"/>
    </xf>
    <xf numFmtId="0" fontId="47" fillId="2" borderId="0" xfId="0" applyFont="1" applyFill="1"/>
    <xf numFmtId="0" fontId="47" fillId="2" borderId="2" xfId="0" applyFont="1" applyFill="1" applyBorder="1"/>
    <xf numFmtId="10" fontId="47" fillId="2" borderId="0" xfId="0" applyNumberFormat="1" applyFont="1" applyFill="1" applyAlignment="1">
      <alignment horizontal="center"/>
    </xf>
    <xf numFmtId="2" fontId="47" fillId="2" borderId="0" xfId="0" applyNumberFormat="1" applyFont="1" applyFill="1" applyAlignment="1">
      <alignment horizontal="center"/>
    </xf>
    <xf numFmtId="166" fontId="47" fillId="2" borderId="0" xfId="1" applyNumberFormat="1" applyFont="1" applyFill="1" applyAlignment="1">
      <alignment horizontal="center"/>
    </xf>
    <xf numFmtId="168" fontId="46" fillId="9" borderId="3" xfId="0" applyNumberFormat="1" applyFont="1" applyFill="1" applyBorder="1"/>
    <xf numFmtId="3" fontId="6" fillId="0" borderId="0" xfId="0" applyNumberFormat="1" applyFont="1"/>
    <xf numFmtId="0" fontId="8" fillId="2" borderId="2" xfId="0" applyFont="1" applyFill="1" applyBorder="1" applyAlignment="1"/>
    <xf numFmtId="3" fontId="11" fillId="10" borderId="3" xfId="0" applyNumberFormat="1" applyFont="1" applyFill="1" applyBorder="1" applyAlignment="1">
      <alignment horizontal="center"/>
    </xf>
    <xf numFmtId="0" fontId="6" fillId="7" borderId="0" xfId="0" applyFont="1" applyFill="1" applyAlignment="1">
      <alignment horizontal="center"/>
    </xf>
    <xf numFmtId="165" fontId="45" fillId="19" borderId="3" xfId="0" applyNumberFormat="1" applyFont="1" applyFill="1" applyBorder="1" applyAlignment="1">
      <alignment horizontal="center"/>
    </xf>
    <xf numFmtId="0" fontId="19" fillId="0" borderId="0" xfId="7" applyFont="1" applyFill="1" applyAlignment="1"/>
    <xf numFmtId="0" fontId="48" fillId="0" borderId="0" xfId="7" applyFont="1" applyAlignment="1"/>
    <xf numFmtId="0" fontId="16" fillId="0" borderId="0" xfId="14" applyFont="1" applyBorder="1" applyAlignment="1"/>
    <xf numFmtId="0" fontId="19" fillId="0" borderId="0" xfId="14" applyFont="1" applyBorder="1" applyAlignment="1"/>
    <xf numFmtId="0" fontId="16" fillId="0" borderId="0" xfId="14" applyFont="1" applyAlignment="1">
      <alignment vertical="center"/>
    </xf>
    <xf numFmtId="0" fontId="19" fillId="0" borderId="0" xfId="14" applyFont="1"/>
    <xf numFmtId="0" fontId="19" fillId="0" borderId="0" xfId="14" applyFont="1" applyFill="1"/>
    <xf numFmtId="0" fontId="16" fillId="0" borderId="0" xfId="14" applyFont="1" applyFill="1"/>
    <xf numFmtId="0" fontId="48" fillId="0" borderId="20" xfId="0" applyFont="1" applyFill="1" applyBorder="1" applyAlignment="1">
      <alignment horizontal="center" wrapText="1"/>
    </xf>
    <xf numFmtId="0" fontId="48" fillId="0" borderId="21" xfId="0" applyFont="1" applyFill="1" applyBorder="1" applyAlignment="1">
      <alignment horizontal="center" wrapText="1"/>
    </xf>
    <xf numFmtId="0" fontId="21" fillId="0" borderId="20" xfId="0" applyFont="1" applyFill="1" applyBorder="1" applyAlignment="1">
      <alignment horizontal="center" wrapText="1"/>
    </xf>
    <xf numFmtId="0" fontId="16" fillId="0" borderId="0" xfId="14" applyFont="1" applyAlignment="1"/>
    <xf numFmtId="0" fontId="19" fillId="0" borderId="0" xfId="7" applyFont="1" applyAlignment="1"/>
    <xf numFmtId="0" fontId="19" fillId="0" borderId="0" xfId="7" applyFont="1" applyFill="1" applyBorder="1" applyAlignment="1">
      <alignment vertical="center"/>
    </xf>
    <xf numFmtId="3" fontId="50" fillId="12" borderId="12" xfId="7" applyNumberFormat="1" applyFont="1" applyFill="1" applyBorder="1" applyAlignment="1"/>
    <xf numFmtId="3" fontId="49" fillId="0" borderId="13" xfId="0" applyNumberFormat="1" applyFont="1" applyBorder="1"/>
    <xf numFmtId="3" fontId="50" fillId="0" borderId="13" xfId="0" applyNumberFormat="1" applyFont="1" applyBorder="1"/>
    <xf numFmtId="3" fontId="50" fillId="0" borderId="12" xfId="0" applyNumberFormat="1" applyFont="1" applyBorder="1"/>
    <xf numFmtId="3" fontId="16" fillId="0" borderId="14" xfId="0" applyNumberFormat="1" applyFont="1" applyFill="1" applyBorder="1" applyAlignment="1"/>
    <xf numFmtId="3" fontId="16" fillId="0" borderId="12" xfId="7" applyNumberFormat="1" applyFont="1" applyFill="1" applyBorder="1" applyAlignment="1"/>
    <xf numFmtId="3" fontId="51" fillId="0" borderId="12" xfId="7" applyNumberFormat="1" applyFont="1" applyFill="1" applyBorder="1" applyAlignment="1"/>
    <xf numFmtId="3" fontId="52" fillId="0" borderId="13" xfId="7" applyNumberFormat="1" applyFont="1" applyFill="1" applyBorder="1" applyAlignment="1"/>
    <xf numFmtId="3" fontId="51" fillId="0" borderId="13" xfId="7" applyNumberFormat="1" applyFont="1" applyFill="1" applyBorder="1" applyAlignment="1"/>
    <xf numFmtId="166" fontId="53" fillId="0" borderId="6" xfId="7" applyNumberFormat="1" applyFont="1" applyFill="1" applyBorder="1" applyAlignment="1"/>
    <xf numFmtId="166" fontId="54" fillId="0" borderId="7" xfId="7" applyNumberFormat="1" applyFont="1" applyFill="1" applyBorder="1" applyAlignment="1"/>
    <xf numFmtId="166" fontId="16" fillId="12" borderId="7" xfId="7" applyNumberFormat="1" applyFont="1" applyFill="1" applyBorder="1" applyAlignment="1"/>
    <xf numFmtId="166" fontId="53" fillId="0" borderId="7" xfId="7" applyNumberFormat="1" applyFont="1" applyFill="1" applyBorder="1" applyAlignment="1"/>
    <xf numFmtId="0" fontId="53" fillId="0" borderId="0" xfId="7" applyFont="1" applyBorder="1" applyAlignment="1">
      <alignment horizontal="left" indent="1"/>
    </xf>
    <xf numFmtId="166" fontId="53" fillId="0" borderId="0" xfId="7" applyNumberFormat="1" applyFont="1" applyFill="1" applyBorder="1" applyAlignment="1"/>
    <xf numFmtId="0" fontId="51" fillId="0" borderId="0" xfId="7" applyFont="1" applyBorder="1" applyAlignment="1">
      <alignment vertical="center"/>
    </xf>
    <xf numFmtId="0" fontId="53" fillId="0" borderId="0" xfId="7" applyFont="1" applyFill="1" applyBorder="1" applyAlignment="1">
      <alignment vertical="center"/>
    </xf>
    <xf numFmtId="3" fontId="53" fillId="0" borderId="0" xfId="7" applyNumberFormat="1" applyFont="1" applyFill="1" applyBorder="1" applyAlignment="1">
      <alignment vertical="center"/>
    </xf>
    <xf numFmtId="3" fontId="16" fillId="12" borderId="35" xfId="7" applyNumberFormat="1" applyFont="1" applyFill="1" applyBorder="1" applyAlignment="1"/>
    <xf numFmtId="3" fontId="54" fillId="12" borderId="13" xfId="7" applyNumberFormat="1" applyFont="1" applyFill="1" applyBorder="1" applyAlignment="1"/>
    <xf numFmtId="3" fontId="53" fillId="12" borderId="13" xfId="7" applyNumberFormat="1" applyFont="1" applyFill="1" applyBorder="1" applyAlignment="1"/>
    <xf numFmtId="3" fontId="53" fillId="12" borderId="12" xfId="7" applyNumberFormat="1" applyFont="1" applyFill="1" applyBorder="1" applyAlignment="1"/>
    <xf numFmtId="3" fontId="16" fillId="0" borderId="14" xfId="7" applyNumberFormat="1" applyFont="1" applyFill="1" applyBorder="1" applyAlignment="1"/>
    <xf numFmtId="3" fontId="29" fillId="0" borderId="35" xfId="7" applyNumberFormat="1" applyFont="1" applyFill="1" applyBorder="1" applyAlignment="1"/>
    <xf numFmtId="3" fontId="55" fillId="0" borderId="12" xfId="7" applyNumberFormat="1" applyFont="1" applyFill="1" applyBorder="1" applyAlignment="1"/>
    <xf numFmtId="3" fontId="49" fillId="0" borderId="13" xfId="7" applyNumberFormat="1" applyFont="1" applyFill="1" applyBorder="1" applyAlignment="1"/>
    <xf numFmtId="3" fontId="50" fillId="0" borderId="13" xfId="7" applyNumberFormat="1" applyFont="1" applyBorder="1"/>
    <xf numFmtId="3" fontId="50" fillId="0" borderId="12" xfId="7" applyNumberFormat="1" applyFont="1" applyBorder="1"/>
    <xf numFmtId="3" fontId="16" fillId="0" borderId="35" xfId="7" applyNumberFormat="1" applyFont="1" applyFill="1" applyBorder="1" applyAlignment="1"/>
    <xf numFmtId="3" fontId="49" fillId="0" borderId="16" xfId="7" applyNumberFormat="1" applyFont="1" applyBorder="1"/>
    <xf numFmtId="3" fontId="21" fillId="0" borderId="35" xfId="7" applyNumberFormat="1" applyFont="1" applyFill="1" applyBorder="1" applyAlignment="1"/>
    <xf numFmtId="0" fontId="21" fillId="0" borderId="0" xfId="14" applyFont="1"/>
    <xf numFmtId="166" fontId="16" fillId="0" borderId="41" xfId="7" applyNumberFormat="1" applyFont="1" applyFill="1" applyBorder="1" applyAlignment="1"/>
    <xf numFmtId="166" fontId="53" fillId="0" borderId="0" xfId="7" applyNumberFormat="1" applyFont="1" applyBorder="1" applyAlignment="1"/>
    <xf numFmtId="0" fontId="16" fillId="0" borderId="17" xfId="14" applyFont="1" applyFill="1" applyBorder="1"/>
    <xf numFmtId="3" fontId="53" fillId="0" borderId="13" xfId="7" applyNumberFormat="1" applyFont="1" applyFill="1" applyBorder="1" applyAlignment="1"/>
    <xf numFmtId="3" fontId="49" fillId="0" borderId="13" xfId="7" applyNumberFormat="1" applyFont="1" applyBorder="1"/>
    <xf numFmtId="0" fontId="16" fillId="0" borderId="11" xfId="14" applyFont="1" applyFill="1" applyBorder="1"/>
    <xf numFmtId="3" fontId="51" fillId="0" borderId="7" xfId="7" applyNumberFormat="1" applyFont="1" applyFill="1" applyBorder="1" applyAlignment="1"/>
    <xf numFmtId="3" fontId="52" fillId="0" borderId="7" xfId="7" applyNumberFormat="1" applyFont="1" applyFill="1" applyBorder="1" applyAlignment="1"/>
    <xf numFmtId="3" fontId="21" fillId="12" borderId="7" xfId="7" applyNumberFormat="1" applyFont="1" applyFill="1" applyBorder="1" applyAlignment="1"/>
    <xf numFmtId="3" fontId="51" fillId="0" borderId="6" xfId="7" applyNumberFormat="1" applyFont="1" applyFill="1" applyBorder="1" applyAlignment="1"/>
    <xf numFmtId="0" fontId="53" fillId="2" borderId="0" xfId="7" applyFont="1" applyFill="1" applyBorder="1" applyAlignment="1">
      <alignment vertical="center"/>
    </xf>
    <xf numFmtId="10" fontId="16" fillId="0" borderId="13" xfId="20" applyNumberFormat="1" applyFont="1" applyFill="1" applyBorder="1" applyAlignment="1">
      <alignment horizontal="right" vertical="center"/>
    </xf>
    <xf numFmtId="10" fontId="16" fillId="0" borderId="13" xfId="1" applyNumberFormat="1" applyFont="1" applyFill="1" applyBorder="1" applyAlignment="1"/>
    <xf numFmtId="10" fontId="53" fillId="0" borderId="13" xfId="20" applyNumberFormat="1" applyFont="1" applyFill="1" applyBorder="1" applyAlignment="1">
      <alignment horizontal="right" vertical="center"/>
    </xf>
    <xf numFmtId="10" fontId="50" fillId="0" borderId="13" xfId="20" applyNumberFormat="1" applyFont="1" applyFill="1" applyBorder="1" applyAlignment="1">
      <alignment horizontal="right" vertical="center"/>
    </xf>
    <xf numFmtId="10" fontId="50" fillId="0" borderId="12" xfId="20" applyNumberFormat="1" applyFont="1" applyFill="1" applyBorder="1" applyAlignment="1">
      <alignment horizontal="right" vertical="center"/>
    </xf>
    <xf numFmtId="166" fontId="16" fillId="0" borderId="13" xfId="20" applyNumberFormat="1" applyFont="1" applyFill="1" applyBorder="1" applyAlignment="1">
      <alignment vertical="center"/>
    </xf>
    <xf numFmtId="166" fontId="16" fillId="0" borderId="18" xfId="20" applyNumberFormat="1" applyFont="1" applyFill="1" applyBorder="1" applyAlignment="1">
      <alignment vertical="center"/>
    </xf>
    <xf numFmtId="10" fontId="29" fillId="0" borderId="13" xfId="20" applyNumberFormat="1" applyFont="1" applyFill="1" applyBorder="1" applyAlignment="1">
      <alignment horizontal="right" vertical="center"/>
    </xf>
    <xf numFmtId="10" fontId="16" fillId="0" borderId="7" xfId="20" applyNumberFormat="1" applyFont="1" applyFill="1" applyBorder="1" applyAlignment="1">
      <alignment horizontal="right" vertical="center"/>
    </xf>
    <xf numFmtId="10" fontId="16" fillId="0" borderId="7" xfId="1" applyNumberFormat="1" applyFont="1" applyFill="1" applyBorder="1" applyAlignment="1"/>
    <xf numFmtId="10" fontId="49" fillId="0" borderId="7" xfId="20" applyNumberFormat="1" applyFont="1" applyFill="1" applyBorder="1" applyAlignment="1">
      <alignment horizontal="right" vertical="center"/>
    </xf>
    <xf numFmtId="10" fontId="50" fillId="0" borderId="7" xfId="20" applyNumberFormat="1" applyFont="1" applyFill="1" applyBorder="1" applyAlignment="1">
      <alignment horizontal="right" vertical="center"/>
    </xf>
    <xf numFmtId="10" fontId="50" fillId="0" borderId="6" xfId="20" applyNumberFormat="1" applyFont="1" applyFill="1" applyBorder="1" applyAlignment="1">
      <alignment horizontal="right" vertical="center"/>
    </xf>
    <xf numFmtId="166" fontId="16" fillId="0" borderId="7" xfId="20" applyNumberFormat="1" applyFont="1" applyFill="1" applyBorder="1" applyAlignment="1"/>
    <xf numFmtId="0" fontId="53" fillId="0" borderId="0" xfId="7" applyFont="1" applyFill="1" applyBorder="1" applyAlignment="1"/>
    <xf numFmtId="10" fontId="16" fillId="0" borderId="0" xfId="20" applyNumberFormat="1" applyFont="1" applyFill="1" applyBorder="1" applyAlignment="1">
      <alignment horizontal="right" vertical="center"/>
    </xf>
    <xf numFmtId="10" fontId="53" fillId="0" borderId="0" xfId="20" applyNumberFormat="1" applyFont="1" applyFill="1" applyBorder="1" applyAlignment="1">
      <alignment horizontal="right" vertical="center"/>
    </xf>
    <xf numFmtId="10" fontId="16" fillId="0" borderId="0" xfId="20" applyNumberFormat="1" applyFont="1" applyBorder="1" applyAlignment="1">
      <alignment vertical="center"/>
    </xf>
    <xf numFmtId="166" fontId="16" fillId="0" borderId="0" xfId="20" applyNumberFormat="1" applyFont="1" applyFill="1" applyBorder="1" applyAlignment="1"/>
    <xf numFmtId="172" fontId="53" fillId="0" borderId="0" xfId="7" applyNumberFormat="1" applyFont="1" applyFill="1" applyBorder="1" applyAlignment="1"/>
    <xf numFmtId="0" fontId="28" fillId="0" borderId="0" xfId="14" applyFont="1"/>
    <xf numFmtId="0" fontId="28" fillId="0" borderId="0" xfId="14" applyFont="1" applyFill="1"/>
    <xf numFmtId="172" fontId="53" fillId="0" borderId="20" xfId="10" applyNumberFormat="1" applyFont="1" applyFill="1" applyBorder="1" applyAlignment="1"/>
    <xf numFmtId="172" fontId="54" fillId="0" borderId="20" xfId="10" applyNumberFormat="1" applyFont="1" applyFill="1" applyBorder="1" applyAlignment="1"/>
    <xf numFmtId="172" fontId="53" fillId="0" borderId="19" xfId="10" applyNumberFormat="1" applyFont="1" applyFill="1" applyBorder="1" applyAlignment="1"/>
    <xf numFmtId="0" fontId="53" fillId="0" borderId="0" xfId="7" applyFont="1" applyBorder="1" applyAlignment="1"/>
    <xf numFmtId="172" fontId="53" fillId="0" borderId="0" xfId="7" applyNumberFormat="1" applyFont="1" applyBorder="1" applyAlignment="1"/>
    <xf numFmtId="0" fontId="26" fillId="0" borderId="0" xfId="14" applyFont="1"/>
    <xf numFmtId="172" fontId="54" fillId="12" borderId="13" xfId="7" applyNumberFormat="1" applyFont="1" applyFill="1" applyBorder="1" applyAlignment="1"/>
    <xf numFmtId="172" fontId="53" fillId="12" borderId="13" xfId="7" applyNumberFormat="1" applyFont="1" applyFill="1" applyBorder="1" applyAlignment="1"/>
    <xf numFmtId="172" fontId="53" fillId="12" borderId="12" xfId="7" applyNumberFormat="1" applyFont="1" applyFill="1" applyBorder="1" applyAlignment="1"/>
    <xf numFmtId="10" fontId="16" fillId="12" borderId="7" xfId="20" applyNumberFormat="1" applyFont="1" applyFill="1" applyBorder="1" applyAlignment="1">
      <alignment horizontal="right" vertical="center"/>
    </xf>
    <xf numFmtId="10" fontId="53" fillId="12" borderId="7" xfId="20" applyNumberFormat="1" applyFont="1" applyFill="1" applyBorder="1" applyAlignment="1">
      <alignment horizontal="right" vertical="center"/>
    </xf>
    <xf numFmtId="172" fontId="54" fillId="12" borderId="7" xfId="7" applyNumberFormat="1" applyFont="1" applyFill="1" applyBorder="1" applyAlignment="1"/>
    <xf numFmtId="172" fontId="53" fillId="12" borderId="7" xfId="7" applyNumberFormat="1" applyFont="1" applyFill="1" applyBorder="1" applyAlignment="1"/>
    <xf numFmtId="172" fontId="53" fillId="12" borderId="6" xfId="7" applyNumberFormat="1" applyFont="1" applyFill="1" applyBorder="1" applyAlignment="1"/>
    <xf numFmtId="0" fontId="26" fillId="0" borderId="0" xfId="14" applyFont="1" applyFill="1"/>
    <xf numFmtId="3" fontId="54" fillId="0" borderId="13" xfId="7" applyNumberFormat="1" applyFont="1" applyFill="1" applyBorder="1" applyAlignment="1"/>
    <xf numFmtId="3" fontId="53" fillId="0" borderId="12" xfId="7" applyNumberFormat="1" applyFont="1" applyFill="1" applyBorder="1" applyAlignment="1"/>
    <xf numFmtId="3" fontId="16" fillId="0" borderId="7" xfId="7" applyNumberFormat="1" applyFont="1" applyFill="1" applyBorder="1" applyAlignment="1"/>
    <xf numFmtId="3" fontId="53" fillId="0" borderId="7" xfId="7" applyNumberFormat="1" applyFont="1" applyFill="1" applyBorder="1" applyAlignment="1"/>
    <xf numFmtId="3" fontId="54" fillId="0" borderId="7" xfId="7" applyNumberFormat="1" applyFont="1" applyFill="1" applyBorder="1" applyAlignment="1"/>
    <xf numFmtId="3" fontId="53" fillId="0" borderId="6" xfId="7" applyNumberFormat="1" applyFont="1" applyFill="1" applyBorder="1" applyAlignment="1"/>
    <xf numFmtId="0" fontId="56" fillId="0" borderId="0" xfId="7" applyFont="1" applyFill="1" applyBorder="1" applyAlignment="1"/>
    <xf numFmtId="172" fontId="53" fillId="0" borderId="0" xfId="10" applyNumberFormat="1" applyFont="1" applyFill="1" applyBorder="1" applyAlignment="1"/>
    <xf numFmtId="0" fontId="21" fillId="0" borderId="11" xfId="14" applyFont="1" applyFill="1" applyBorder="1"/>
    <xf numFmtId="166" fontId="16" fillId="0" borderId="0" xfId="20" applyNumberFormat="1" applyFont="1" applyFill="1" applyBorder="1" applyAlignment="1">
      <alignment vertical="center"/>
    </xf>
    <xf numFmtId="166" fontId="53" fillId="0" borderId="0" xfId="20" applyNumberFormat="1" applyFont="1" applyFill="1" applyBorder="1" applyAlignment="1">
      <alignment vertical="center"/>
    </xf>
    <xf numFmtId="166" fontId="16" fillId="0" borderId="0" xfId="20" applyNumberFormat="1" applyFont="1" applyBorder="1" applyAlignment="1">
      <alignment vertical="center"/>
    </xf>
    <xf numFmtId="0" fontId="22" fillId="0" borderId="0" xfId="14" applyFont="1"/>
    <xf numFmtId="0" fontId="5" fillId="0" borderId="0" xfId="14" applyFont="1"/>
    <xf numFmtId="173" fontId="16" fillId="12" borderId="14" xfId="20" applyNumberFormat="1" applyFont="1" applyFill="1" applyBorder="1" applyAlignment="1"/>
    <xf numFmtId="173" fontId="16" fillId="12" borderId="13" xfId="20" applyNumberFormat="1" applyFont="1" applyFill="1" applyBorder="1" applyAlignment="1"/>
    <xf numFmtId="173" fontId="53" fillId="12" borderId="13" xfId="20" applyNumberFormat="1" applyFont="1" applyFill="1" applyBorder="1" applyAlignment="1"/>
    <xf numFmtId="173" fontId="54" fillId="12" borderId="13" xfId="20" applyNumberFormat="1" applyFont="1" applyFill="1" applyBorder="1" applyAlignment="1"/>
    <xf numFmtId="173" fontId="53" fillId="12" borderId="12" xfId="20" applyNumberFormat="1" applyFont="1" applyFill="1" applyBorder="1" applyAlignment="1"/>
    <xf numFmtId="0" fontId="21" fillId="0" borderId="17" xfId="14" applyFont="1" applyFill="1" applyBorder="1"/>
    <xf numFmtId="166" fontId="16" fillId="0" borderId="13" xfId="20" applyNumberFormat="1" applyFont="1" applyBorder="1" applyAlignment="1"/>
    <xf numFmtId="166" fontId="53" fillId="0" borderId="13" xfId="20" applyNumberFormat="1" applyFont="1" applyBorder="1" applyAlignment="1"/>
    <xf numFmtId="166" fontId="54" fillId="0" borderId="13" xfId="20" applyNumberFormat="1" applyFont="1" applyBorder="1" applyAlignment="1"/>
    <xf numFmtId="166" fontId="16" fillId="12" borderId="13" xfId="20" applyNumberFormat="1" applyFont="1" applyFill="1" applyBorder="1" applyAlignment="1"/>
    <xf numFmtId="166" fontId="53" fillId="0" borderId="12" xfId="20" applyNumberFormat="1" applyFont="1" applyBorder="1" applyAlignment="1"/>
    <xf numFmtId="0" fontId="21" fillId="0" borderId="17" xfId="14" applyFont="1" applyFill="1" applyBorder="1" applyAlignment="1">
      <alignment horizontal="left"/>
    </xf>
    <xf numFmtId="0" fontId="21" fillId="0" borderId="0" xfId="14" applyFont="1" applyFill="1" applyBorder="1" applyAlignment="1">
      <alignment vertical="center"/>
    </xf>
    <xf numFmtId="172" fontId="21" fillId="0" borderId="14" xfId="7" applyNumberFormat="1" applyFont="1" applyBorder="1" applyAlignment="1"/>
    <xf numFmtId="172" fontId="51" fillId="0" borderId="13" xfId="7" applyNumberFormat="1" applyFont="1" applyBorder="1" applyAlignment="1"/>
    <xf numFmtId="172" fontId="52" fillId="0" borderId="13" xfId="7" applyNumberFormat="1" applyFont="1" applyBorder="1" applyAlignment="1"/>
    <xf numFmtId="172" fontId="51" fillId="0" borderId="12" xfId="7" applyNumberFormat="1" applyFont="1" applyBorder="1" applyAlignment="1"/>
    <xf numFmtId="4" fontId="21" fillId="0" borderId="14" xfId="7" applyNumberFormat="1" applyFont="1" applyBorder="1" applyAlignment="1"/>
    <xf numFmtId="4" fontId="51" fillId="0" borderId="13" xfId="7" applyNumberFormat="1" applyFont="1" applyBorder="1" applyAlignment="1"/>
    <xf numFmtId="4" fontId="52" fillId="0" borderId="13" xfId="7" applyNumberFormat="1" applyFont="1" applyBorder="1" applyAlignment="1"/>
    <xf numFmtId="4" fontId="51" fillId="0" borderId="12" xfId="7" applyNumberFormat="1" applyFont="1" applyBorder="1" applyAlignment="1"/>
    <xf numFmtId="166" fontId="16" fillId="0" borderId="7" xfId="20" applyNumberFormat="1" applyFont="1" applyBorder="1" applyAlignment="1"/>
    <xf numFmtId="166" fontId="53" fillId="0" borderId="7" xfId="20" applyNumberFormat="1" applyFont="1" applyBorder="1" applyAlignment="1"/>
    <xf numFmtId="166" fontId="54" fillId="0" borderId="7" xfId="20" applyNumberFormat="1" applyFont="1" applyBorder="1" applyAlignment="1"/>
    <xf numFmtId="166" fontId="16" fillId="12" borderId="7" xfId="20" applyNumberFormat="1" applyFont="1" applyFill="1" applyBorder="1" applyAlignment="1"/>
    <xf numFmtId="166" fontId="53" fillId="0" borderId="6" xfId="20" applyNumberFormat="1" applyFont="1" applyBorder="1" applyAlignment="1"/>
    <xf numFmtId="166" fontId="19" fillId="0" borderId="0" xfId="16" applyNumberFormat="1" applyFont="1" applyFill="1" applyBorder="1" applyAlignment="1"/>
    <xf numFmtId="0" fontId="19" fillId="0" borderId="0" xfId="14" applyFont="1" applyFill="1" applyBorder="1" applyAlignment="1">
      <alignment vertical="center"/>
    </xf>
    <xf numFmtId="181" fontId="27" fillId="0" borderId="0" xfId="21" applyFont="1" applyFill="1" applyBorder="1" applyAlignment="1">
      <alignment vertical="center"/>
    </xf>
    <xf numFmtId="10" fontId="19" fillId="0" borderId="0" xfId="22" applyNumberFormat="1" applyFont="1" applyFill="1" applyBorder="1" applyAlignment="1">
      <alignment vertical="center"/>
    </xf>
    <xf numFmtId="10" fontId="16" fillId="0" borderId="0" xfId="22" applyNumberFormat="1" applyFont="1" applyFill="1" applyBorder="1" applyAlignment="1">
      <alignment vertical="center"/>
    </xf>
    <xf numFmtId="181" fontId="16" fillId="0" borderId="0" xfId="21" applyFont="1" applyFill="1" applyBorder="1" applyAlignment="1">
      <alignment vertical="center"/>
    </xf>
    <xf numFmtId="0" fontId="27" fillId="0" borderId="0" xfId="14" applyFont="1" applyFill="1" applyBorder="1" applyAlignment="1">
      <alignment vertical="center"/>
    </xf>
    <xf numFmtId="10" fontId="27" fillId="0" borderId="0" xfId="22" applyNumberFormat="1" applyFont="1" applyFill="1" applyBorder="1" applyAlignment="1">
      <alignment vertical="center"/>
    </xf>
    <xf numFmtId="10" fontId="26" fillId="0" borderId="0" xfId="22" applyNumberFormat="1" applyFont="1" applyFill="1" applyBorder="1" applyAlignment="1">
      <alignment vertical="center"/>
    </xf>
    <xf numFmtId="181" fontId="26" fillId="0" borderId="0" xfId="21" applyFont="1" applyFill="1" applyBorder="1" applyAlignment="1">
      <alignment vertical="center"/>
    </xf>
    <xf numFmtId="182" fontId="27" fillId="0" borderId="0" xfId="21" applyNumberFormat="1" applyFont="1" applyFill="1" applyBorder="1" applyAlignment="1">
      <alignment vertical="center"/>
    </xf>
    <xf numFmtId="183" fontId="19" fillId="0" borderId="0" xfId="7" applyNumberFormat="1" applyFont="1" applyBorder="1" applyAlignment="1"/>
    <xf numFmtId="183" fontId="16" fillId="0" borderId="0" xfId="7" applyNumberFormat="1" applyFont="1" applyAlignment="1"/>
    <xf numFmtId="183" fontId="19" fillId="0" borderId="0" xfId="7" applyNumberFormat="1" applyFont="1" applyAlignment="1"/>
    <xf numFmtId="0" fontId="21" fillId="0" borderId="17" xfId="14" applyFont="1" applyBorder="1" applyAlignment="1"/>
    <xf numFmtId="0" fontId="21" fillId="0" borderId="11" xfId="14" applyFont="1" applyBorder="1" applyAlignment="1"/>
    <xf numFmtId="0" fontId="23" fillId="0" borderId="16" xfId="14" applyFont="1" applyBorder="1" applyAlignment="1">
      <alignment vertical="center"/>
    </xf>
    <xf numFmtId="0" fontId="48" fillId="0" borderId="0" xfId="7" applyFont="1" applyBorder="1" applyAlignment="1">
      <alignment vertical="center"/>
    </xf>
    <xf numFmtId="3" fontId="29" fillId="0" borderId="0" xfId="0" applyNumberFormat="1" applyFont="1" applyFill="1" applyBorder="1" applyAlignment="1"/>
    <xf numFmtId="3" fontId="50" fillId="12" borderId="13" xfId="7" applyNumberFormat="1" applyFont="1" applyFill="1" applyBorder="1" applyAlignment="1"/>
    <xf numFmtId="3" fontId="50" fillId="0" borderId="13" xfId="7" applyNumberFormat="1" applyFont="1" applyFill="1" applyBorder="1" applyAlignment="1"/>
    <xf numFmtId="3" fontId="50" fillId="0" borderId="12" xfId="7" applyNumberFormat="1" applyFont="1" applyFill="1" applyBorder="1" applyAlignment="1"/>
    <xf numFmtId="3" fontId="49" fillId="0" borderId="13" xfId="0" applyNumberFormat="1" applyFont="1" applyFill="1" applyBorder="1" applyAlignment="1"/>
    <xf numFmtId="3" fontId="50" fillId="0" borderId="13" xfId="0" applyNumberFormat="1" applyFont="1" applyFill="1" applyBorder="1" applyAlignment="1"/>
    <xf numFmtId="3" fontId="50" fillId="0" borderId="12" xfId="0" applyNumberFormat="1" applyFont="1" applyFill="1" applyBorder="1" applyAlignment="1"/>
    <xf numFmtId="0" fontId="55" fillId="0" borderId="0" xfId="7" applyFont="1" applyBorder="1" applyAlignment="1">
      <alignment horizontal="left" indent="1"/>
    </xf>
    <xf numFmtId="166" fontId="29" fillId="0" borderId="0" xfId="7" applyNumberFormat="1" applyFont="1" applyFill="1" applyBorder="1" applyAlignment="1"/>
    <xf numFmtId="0" fontId="57" fillId="0" borderId="0" xfId="7" applyFont="1" applyBorder="1" applyAlignment="1">
      <alignment vertical="center"/>
    </xf>
    <xf numFmtId="0" fontId="29" fillId="0" borderId="0" xfId="7" applyFont="1" applyFill="1" applyBorder="1" applyAlignment="1">
      <alignment vertical="center"/>
    </xf>
    <xf numFmtId="3" fontId="29" fillId="0" borderId="0" xfId="7" applyNumberFormat="1" applyFont="1" applyFill="1" applyBorder="1" applyAlignment="1">
      <alignment vertical="center"/>
    </xf>
    <xf numFmtId="3" fontId="55" fillId="12" borderId="12" xfId="7" applyNumberFormat="1" applyFont="1" applyFill="1" applyBorder="1" applyAlignment="1"/>
    <xf numFmtId="3" fontId="55" fillId="12" borderId="13" xfId="7" applyNumberFormat="1" applyFont="1" applyFill="1" applyBorder="1" applyAlignment="1"/>
    <xf numFmtId="3" fontId="49" fillId="12" borderId="12" xfId="7" applyNumberFormat="1" applyFont="1" applyFill="1" applyBorder="1" applyAlignment="1"/>
    <xf numFmtId="3" fontId="49" fillId="12" borderId="13" xfId="7" applyNumberFormat="1" applyFont="1" applyFill="1" applyBorder="1" applyAlignment="1"/>
    <xf numFmtId="0" fontId="16" fillId="0" borderId="16" xfId="7" applyFont="1" applyBorder="1" applyAlignment="1">
      <alignment horizontal="left" indent="1"/>
    </xf>
    <xf numFmtId="166" fontId="29" fillId="0" borderId="0" xfId="7" applyNumberFormat="1" applyFont="1" applyBorder="1" applyAlignment="1"/>
    <xf numFmtId="0" fontId="58" fillId="0" borderId="0" xfId="7" applyFont="1" applyBorder="1" applyAlignment="1">
      <alignment vertical="center"/>
    </xf>
    <xf numFmtId="0" fontId="29" fillId="2" borderId="0" xfId="7" applyFont="1" applyFill="1" applyBorder="1" applyAlignment="1">
      <alignment vertical="center"/>
    </xf>
    <xf numFmtId="10" fontId="16" fillId="0" borderId="14" xfId="20" applyNumberFormat="1" applyFont="1" applyFill="1" applyBorder="1" applyAlignment="1">
      <alignment horizontal="right" vertical="center"/>
    </xf>
    <xf numFmtId="10" fontId="26" fillId="0" borderId="13" xfId="20" applyNumberFormat="1" applyFont="1" applyFill="1" applyBorder="1" applyAlignment="1">
      <alignment vertical="center"/>
    </xf>
    <xf numFmtId="10" fontId="16" fillId="0" borderId="8" xfId="20" applyNumberFormat="1" applyFont="1" applyFill="1" applyBorder="1" applyAlignment="1">
      <alignment horizontal="right" vertical="center"/>
    </xf>
    <xf numFmtId="10" fontId="29" fillId="0" borderId="7" xfId="20" applyNumberFormat="1" applyFont="1" applyFill="1" applyBorder="1" applyAlignment="1">
      <alignment horizontal="right" vertical="center"/>
    </xf>
    <xf numFmtId="10" fontId="26" fillId="0" borderId="7" xfId="20" applyNumberFormat="1" applyFont="1" applyBorder="1" applyAlignment="1">
      <alignment vertical="center"/>
    </xf>
    <xf numFmtId="0" fontId="29" fillId="0" borderId="0" xfId="7" applyFont="1" applyFill="1" applyBorder="1" applyAlignment="1"/>
    <xf numFmtId="10" fontId="29" fillId="0" borderId="0" xfId="20" applyNumberFormat="1" applyFont="1" applyFill="1" applyBorder="1" applyAlignment="1">
      <alignment horizontal="right" vertical="center"/>
    </xf>
    <xf numFmtId="172" fontId="29" fillId="0" borderId="0" xfId="7" applyNumberFormat="1" applyFont="1" applyFill="1" applyBorder="1" applyAlignment="1"/>
    <xf numFmtId="172" fontId="16" fillId="12" borderId="20" xfId="10" applyNumberFormat="1" applyFont="1" applyFill="1" applyBorder="1" applyAlignment="1"/>
    <xf numFmtId="172" fontId="29" fillId="12" borderId="20" xfId="10" applyNumberFormat="1" applyFont="1" applyFill="1" applyBorder="1" applyAlignment="1"/>
    <xf numFmtId="172" fontId="55" fillId="12" borderId="20" xfId="10" applyNumberFormat="1" applyFont="1" applyFill="1" applyBorder="1" applyAlignment="1"/>
    <xf numFmtId="3" fontId="16" fillId="0" borderId="20" xfId="10" applyNumberFormat="1" applyFont="1" applyFill="1" applyBorder="1" applyAlignment="1"/>
    <xf numFmtId="172" fontId="29" fillId="12" borderId="19" xfId="10" applyNumberFormat="1" applyFont="1" applyFill="1" applyBorder="1" applyAlignment="1"/>
    <xf numFmtId="0" fontId="29" fillId="0" borderId="0" xfId="7" applyFont="1" applyBorder="1" applyAlignment="1"/>
    <xf numFmtId="172" fontId="29" fillId="0" borderId="0" xfId="7" applyNumberFormat="1" applyFont="1" applyBorder="1" applyAlignment="1"/>
    <xf numFmtId="3" fontId="55" fillId="0" borderId="13" xfId="7" applyNumberFormat="1" applyFont="1" applyFill="1" applyBorder="1" applyAlignment="1"/>
    <xf numFmtId="10" fontId="29" fillId="12" borderId="7" xfId="20" applyNumberFormat="1" applyFont="1" applyFill="1" applyBorder="1" applyAlignment="1">
      <alignment horizontal="right" vertical="center"/>
    </xf>
    <xf numFmtId="3" fontId="55" fillId="0" borderId="7" xfId="7" applyNumberFormat="1" applyFont="1" applyFill="1" applyBorder="1" applyAlignment="1"/>
    <xf numFmtId="3" fontId="29" fillId="0" borderId="7" xfId="7" applyNumberFormat="1" applyFont="1" applyFill="1" applyBorder="1" applyAlignment="1"/>
    <xf numFmtId="3" fontId="29" fillId="0" borderId="6" xfId="7" applyNumberFormat="1" applyFont="1" applyFill="1" applyBorder="1" applyAlignment="1"/>
    <xf numFmtId="10" fontId="16" fillId="12" borderId="8" xfId="20" applyNumberFormat="1" applyFont="1" applyFill="1" applyBorder="1" applyAlignment="1">
      <alignment horizontal="right" vertical="center"/>
    </xf>
    <xf numFmtId="10" fontId="29" fillId="12" borderId="6" xfId="20" applyNumberFormat="1" applyFont="1" applyFill="1" applyBorder="1" applyAlignment="1">
      <alignment horizontal="right" vertical="center"/>
    </xf>
    <xf numFmtId="10" fontId="55" fillId="12" borderId="7" xfId="20" applyNumberFormat="1" applyFont="1" applyFill="1" applyBorder="1" applyAlignment="1">
      <alignment horizontal="right" vertical="center"/>
    </xf>
    <xf numFmtId="10" fontId="16" fillId="12" borderId="7" xfId="20" applyNumberFormat="1" applyFont="1" applyFill="1" applyBorder="1" applyAlignment="1">
      <alignment vertical="center"/>
    </xf>
    <xf numFmtId="0" fontId="59" fillId="0" borderId="0" xfId="7" applyFont="1" applyFill="1" applyBorder="1" applyAlignment="1"/>
    <xf numFmtId="172" fontId="29" fillId="0" borderId="0" xfId="10" applyNumberFormat="1" applyFont="1" applyFill="1" applyBorder="1" applyAlignment="1"/>
    <xf numFmtId="166" fontId="29" fillId="0" borderId="0" xfId="20" applyNumberFormat="1" applyFont="1" applyFill="1" applyBorder="1" applyAlignment="1">
      <alignment vertical="center"/>
    </xf>
    <xf numFmtId="173" fontId="16" fillId="0" borderId="14" xfId="20" applyNumberFormat="1" applyFont="1" applyFill="1" applyBorder="1" applyAlignment="1"/>
    <xf numFmtId="173" fontId="16" fillId="0" borderId="13" xfId="20" applyNumberFormat="1" applyFont="1" applyFill="1" applyBorder="1" applyAlignment="1"/>
    <xf numFmtId="173" fontId="53" fillId="0" borderId="13" xfId="20" applyNumberFormat="1" applyFont="1" applyFill="1" applyBorder="1" applyAlignment="1"/>
    <xf numFmtId="173" fontId="54" fillId="0" borderId="13" xfId="20" applyNumberFormat="1" applyFont="1" applyFill="1" applyBorder="1" applyAlignment="1"/>
    <xf numFmtId="173" fontId="53" fillId="0" borderId="12" xfId="20" applyNumberFormat="1" applyFont="1" applyFill="1" applyBorder="1" applyAlignment="1"/>
    <xf numFmtId="0" fontId="23" fillId="0" borderId="0" xfId="14" applyFont="1" applyBorder="1" applyAlignment="1">
      <alignment vertical="center"/>
    </xf>
    <xf numFmtId="0" fontId="21" fillId="2" borderId="0" xfId="7" applyFont="1" applyFill="1" applyBorder="1" applyAlignment="1">
      <alignment vertical="center"/>
    </xf>
    <xf numFmtId="0" fontId="16" fillId="0" borderId="16" xfId="7" applyFont="1" applyFill="1" applyBorder="1" applyAlignment="1"/>
    <xf numFmtId="10" fontId="16" fillId="0" borderId="12" xfId="20" applyNumberFormat="1" applyFont="1" applyFill="1" applyBorder="1" applyAlignment="1">
      <alignment horizontal="right" vertical="center"/>
    </xf>
    <xf numFmtId="10" fontId="16" fillId="0" borderId="6" xfId="20" applyNumberFormat="1" applyFont="1" applyFill="1" applyBorder="1" applyAlignment="1">
      <alignment horizontal="right" vertical="center"/>
    </xf>
    <xf numFmtId="0" fontId="16" fillId="0" borderId="0" xfId="10" applyFont="1" applyFill="1" applyBorder="1" applyAlignment="1"/>
    <xf numFmtId="3" fontId="16" fillId="2" borderId="21" xfId="10" applyNumberFormat="1" applyFont="1" applyFill="1" applyBorder="1" applyAlignment="1"/>
    <xf numFmtId="3" fontId="16" fillId="2" borderId="20" xfId="10" applyNumberFormat="1" applyFont="1" applyFill="1" applyBorder="1" applyAlignment="1"/>
    <xf numFmtId="3" fontId="16" fillId="2" borderId="19" xfId="10" applyNumberFormat="1" applyFont="1" applyFill="1" applyBorder="1" applyAlignment="1"/>
    <xf numFmtId="3" fontId="55" fillId="2" borderId="20" xfId="10" applyNumberFormat="1" applyFont="1" applyFill="1" applyBorder="1" applyAlignment="1"/>
    <xf numFmtId="3" fontId="29" fillId="2" borderId="20" xfId="10" applyNumberFormat="1" applyFont="1" applyFill="1" applyBorder="1" applyAlignment="1"/>
    <xf numFmtId="3" fontId="29" fillId="2" borderId="19" xfId="10" applyNumberFormat="1" applyFont="1" applyFill="1" applyBorder="1" applyAlignment="1"/>
    <xf numFmtId="3" fontId="29" fillId="2" borderId="0" xfId="0" applyNumberFormat="1" applyFont="1" applyFill="1" applyBorder="1" applyAlignment="1"/>
    <xf numFmtId="10" fontId="16" fillId="12" borderId="6" xfId="20" applyNumberFormat="1" applyFont="1" applyFill="1" applyBorder="1" applyAlignment="1">
      <alignment horizontal="right" vertical="center"/>
    </xf>
    <xf numFmtId="0" fontId="21" fillId="0" borderId="16" xfId="7" applyFont="1" applyFill="1" applyBorder="1" applyAlignment="1"/>
    <xf numFmtId="173" fontId="16" fillId="0" borderId="12" xfId="20" applyNumberFormat="1" applyFont="1" applyFill="1" applyBorder="1" applyAlignment="1"/>
    <xf numFmtId="166" fontId="16" fillId="0" borderId="14" xfId="20" applyNumberFormat="1" applyFont="1" applyBorder="1" applyAlignment="1"/>
    <xf numFmtId="166" fontId="16" fillId="0" borderId="12" xfId="20" applyNumberFormat="1" applyFont="1" applyBorder="1" applyAlignment="1"/>
    <xf numFmtId="166" fontId="16" fillId="0" borderId="8" xfId="20" applyNumberFormat="1" applyFont="1" applyBorder="1" applyAlignment="1"/>
    <xf numFmtId="166" fontId="16" fillId="0" borderId="6" xfId="20" applyNumberFormat="1" applyFont="1" applyBorder="1" applyAlignment="1"/>
    <xf numFmtId="182" fontId="16" fillId="0" borderId="0" xfId="21" applyNumberFormat="1" applyFont="1" applyFill="1" applyBorder="1" applyAlignment="1">
      <alignment vertical="center"/>
    </xf>
    <xf numFmtId="183" fontId="16" fillId="0" borderId="0" xfId="7" applyNumberFormat="1" applyFont="1" applyBorder="1" applyAlignment="1"/>
    <xf numFmtId="0" fontId="21" fillId="0" borderId="17" xfId="14" applyFont="1" applyFill="1" applyBorder="1" applyAlignment="1"/>
    <xf numFmtId="173" fontId="19" fillId="0" borderId="0" xfId="14" applyNumberFormat="1" applyFont="1"/>
    <xf numFmtId="3" fontId="16" fillId="2" borderId="14" xfId="7" applyNumberFormat="1" applyFont="1" applyFill="1" applyBorder="1" applyAlignment="1"/>
    <xf numFmtId="3" fontId="16" fillId="2" borderId="13" xfId="7" applyNumberFormat="1" applyFont="1" applyFill="1" applyBorder="1" applyAlignment="1"/>
    <xf numFmtId="3" fontId="16" fillId="2" borderId="12" xfId="7" applyNumberFormat="1" applyFont="1" applyFill="1" applyBorder="1" applyAlignment="1"/>
    <xf numFmtId="3" fontId="49" fillId="0" borderId="20" xfId="10" applyNumberFormat="1" applyFont="1" applyFill="1" applyBorder="1" applyAlignment="1"/>
    <xf numFmtId="3" fontId="50" fillId="0" borderId="20" xfId="10" applyNumberFormat="1" applyFont="1" applyFill="1" applyBorder="1" applyAlignment="1"/>
    <xf numFmtId="3" fontId="50" fillId="0" borderId="19" xfId="10" applyNumberFormat="1" applyFont="1" applyFill="1" applyBorder="1" applyAlignment="1"/>
    <xf numFmtId="3" fontId="16" fillId="12" borderId="8" xfId="7" applyNumberFormat="1" applyFont="1" applyFill="1" applyBorder="1" applyAlignment="1"/>
    <xf numFmtId="3" fontId="16" fillId="12" borderId="7" xfId="7" applyNumberFormat="1" applyFont="1" applyFill="1" applyBorder="1" applyAlignment="1"/>
    <xf numFmtId="3" fontId="16" fillId="12" borderId="6" xfId="7" applyNumberFormat="1" applyFont="1" applyFill="1" applyBorder="1" applyAlignment="1"/>
    <xf numFmtId="3" fontId="54" fillId="12" borderId="7" xfId="7" applyNumberFormat="1" applyFont="1" applyFill="1" applyBorder="1" applyAlignment="1"/>
    <xf numFmtId="3" fontId="53" fillId="12" borderId="7" xfId="7" applyNumberFormat="1" applyFont="1" applyFill="1" applyBorder="1" applyAlignment="1"/>
    <xf numFmtId="3" fontId="53" fillId="12" borderId="6" xfId="7" applyNumberFormat="1" applyFont="1" applyFill="1" applyBorder="1" applyAlignment="1"/>
    <xf numFmtId="173" fontId="16" fillId="12" borderId="12" xfId="20" applyNumberFormat="1" applyFont="1" applyFill="1" applyBorder="1" applyAlignment="1"/>
    <xf numFmtId="0" fontId="60" fillId="0" borderId="0" xfId="7" applyFont="1" applyFill="1" applyAlignment="1"/>
    <xf numFmtId="0" fontId="60" fillId="0" borderId="0" xfId="7" applyFont="1" applyFill="1" applyBorder="1" applyAlignment="1"/>
    <xf numFmtId="0" fontId="60" fillId="0" borderId="0" xfId="14" applyFont="1" applyFill="1"/>
    <xf numFmtId="184" fontId="50" fillId="0" borderId="13" xfId="21" applyNumberFormat="1" applyFont="1" applyFill="1" applyBorder="1" applyAlignment="1"/>
    <xf numFmtId="3" fontId="55" fillId="0" borderId="14" xfId="0" applyNumberFormat="1" applyFont="1" applyFill="1" applyBorder="1" applyAlignment="1"/>
    <xf numFmtId="0" fontId="29" fillId="0" borderId="0" xfId="7" applyFont="1" applyBorder="1" applyAlignment="1">
      <alignment horizontal="left" indent="1"/>
    </xf>
    <xf numFmtId="3" fontId="16" fillId="12" borderId="14" xfId="0" applyNumberFormat="1" applyFont="1" applyFill="1" applyBorder="1" applyAlignment="1"/>
    <xf numFmtId="3" fontId="21" fillId="0" borderId="14" xfId="0" applyNumberFormat="1" applyFont="1" applyFill="1" applyBorder="1" applyAlignment="1"/>
    <xf numFmtId="3" fontId="51" fillId="0" borderId="12" xfId="0" applyNumberFormat="1" applyFont="1" applyFill="1" applyBorder="1" applyAlignment="1"/>
    <xf numFmtId="10" fontId="49" fillId="0" borderId="14" xfId="1" applyNumberFormat="1" applyFont="1" applyFill="1" applyBorder="1" applyAlignment="1"/>
    <xf numFmtId="10" fontId="16" fillId="0" borderId="15" xfId="20" applyNumberFormat="1" applyFont="1" applyFill="1" applyBorder="1" applyAlignment="1">
      <alignment horizontal="right" vertical="center"/>
    </xf>
    <xf numFmtId="10" fontId="16" fillId="0" borderId="18" xfId="20" applyNumberFormat="1" applyFont="1" applyFill="1" applyBorder="1" applyAlignment="1">
      <alignment horizontal="right" vertical="center"/>
    </xf>
    <xf numFmtId="10" fontId="26" fillId="0" borderId="0" xfId="20" applyNumberFormat="1" applyFont="1" applyBorder="1" applyAlignment="1">
      <alignment vertical="center"/>
    </xf>
    <xf numFmtId="3" fontId="29" fillId="0" borderId="20" xfId="10" applyNumberFormat="1" applyFont="1" applyFill="1" applyBorder="1" applyAlignment="1"/>
    <xf numFmtId="0" fontId="50" fillId="0" borderId="0" xfId="7" applyFont="1" applyFill="1" applyBorder="1" applyAlignment="1"/>
    <xf numFmtId="10" fontId="50" fillId="0" borderId="0" xfId="20" applyNumberFormat="1" applyFont="1" applyFill="1" applyBorder="1" applyAlignment="1">
      <alignment horizontal="right" vertical="center"/>
    </xf>
    <xf numFmtId="3" fontId="29" fillId="12" borderId="15" xfId="7" applyNumberFormat="1" applyFont="1" applyFill="1" applyBorder="1" applyAlignment="1"/>
    <xf numFmtId="184" fontId="49" fillId="0" borderId="14" xfId="21" applyNumberFormat="1" applyFont="1" applyFill="1" applyBorder="1" applyAlignment="1"/>
    <xf numFmtId="10" fontId="29" fillId="12" borderId="9" xfId="20" applyNumberFormat="1" applyFont="1" applyFill="1" applyBorder="1" applyAlignment="1">
      <alignment horizontal="right" vertical="center"/>
    </xf>
    <xf numFmtId="3" fontId="49" fillId="0" borderId="8" xfId="7" applyNumberFormat="1" applyFont="1" applyFill="1" applyBorder="1" applyAlignment="1"/>
    <xf numFmtId="3" fontId="49" fillId="0" borderId="7" xfId="7" applyNumberFormat="1" applyFont="1" applyFill="1" applyBorder="1" applyAlignment="1"/>
    <xf numFmtId="3" fontId="50" fillId="0" borderId="7" xfId="7" applyNumberFormat="1" applyFont="1" applyFill="1" applyBorder="1" applyAlignment="1"/>
    <xf numFmtId="3" fontId="50" fillId="0" borderId="6" xfId="7" applyNumberFormat="1" applyFont="1" applyFill="1" applyBorder="1" applyAlignment="1"/>
    <xf numFmtId="174" fontId="29" fillId="0" borderId="7" xfId="21" applyNumberFormat="1" applyFont="1" applyFill="1" applyBorder="1" applyAlignment="1">
      <alignment horizontal="right" vertical="center"/>
    </xf>
    <xf numFmtId="174" fontId="26" fillId="0" borderId="7" xfId="21" applyNumberFormat="1" applyFont="1" applyBorder="1" applyAlignment="1">
      <alignment vertical="center"/>
    </xf>
    <xf numFmtId="0" fontId="16" fillId="0" borderId="0" xfId="14" applyFont="1" applyBorder="1"/>
    <xf numFmtId="3" fontId="29" fillId="0" borderId="13" xfId="0" applyNumberFormat="1" applyFont="1" applyBorder="1"/>
    <xf numFmtId="3" fontId="29" fillId="0" borderId="12" xfId="0" applyNumberFormat="1" applyFont="1" applyBorder="1"/>
    <xf numFmtId="3" fontId="16" fillId="0" borderId="0" xfId="0" applyNumberFormat="1" applyFont="1"/>
    <xf numFmtId="3" fontId="21" fillId="0" borderId="12" xfId="0" applyNumberFormat="1" applyFont="1" applyFill="1" applyBorder="1" applyAlignment="1"/>
    <xf numFmtId="3" fontId="16" fillId="0" borderId="21" xfId="10" applyNumberFormat="1" applyFont="1" applyFill="1" applyBorder="1" applyAlignment="1"/>
    <xf numFmtId="3" fontId="16" fillId="0" borderId="19" xfId="10" applyNumberFormat="1" applyFont="1" applyFill="1" applyBorder="1" applyAlignment="1"/>
    <xf numFmtId="3" fontId="49" fillId="0" borderId="7" xfId="7" applyNumberFormat="1" applyFont="1" applyBorder="1"/>
    <xf numFmtId="3" fontId="50" fillId="0" borderId="7" xfId="7" applyNumberFormat="1" applyFont="1" applyBorder="1"/>
    <xf numFmtId="3" fontId="50" fillId="0" borderId="6" xfId="7" applyNumberFormat="1" applyFont="1" applyBorder="1"/>
    <xf numFmtId="3" fontId="16" fillId="10" borderId="13" xfId="0" applyNumberFormat="1" applyFont="1" applyFill="1" applyBorder="1" applyAlignment="1"/>
    <xf numFmtId="175" fontId="6" fillId="2" borderId="0" xfId="0" applyNumberFormat="1" applyFont="1" applyFill="1"/>
    <xf numFmtId="0" fontId="31" fillId="0" borderId="0" xfId="14" applyFont="1"/>
    <xf numFmtId="0" fontId="32" fillId="0" borderId="0" xfId="14" applyFont="1" applyAlignment="1">
      <alignment horizontal="right"/>
    </xf>
    <xf numFmtId="0" fontId="31" fillId="0" borderId="0" xfId="14" applyFont="1" applyBorder="1"/>
    <xf numFmtId="0" fontId="30" fillId="0" borderId="17" xfId="14" applyFont="1" applyBorder="1"/>
    <xf numFmtId="0" fontId="30" fillId="0" borderId="11" xfId="14" applyFont="1" applyBorder="1"/>
    <xf numFmtId="0" fontId="31" fillId="0" borderId="17" xfId="14" applyFont="1" applyBorder="1"/>
    <xf numFmtId="0" fontId="30" fillId="0" borderId="0" xfId="14" applyFont="1" applyFill="1" applyBorder="1" applyAlignment="1"/>
    <xf numFmtId="177" fontId="30" fillId="0" borderId="0" xfId="21" applyNumberFormat="1" applyFont="1" applyFill="1" applyBorder="1"/>
    <xf numFmtId="177" fontId="31" fillId="16" borderId="20" xfId="21" applyNumberFormat="1" applyFont="1" applyFill="1" applyBorder="1"/>
    <xf numFmtId="0" fontId="30" fillId="0" borderId="10" xfId="14" applyFont="1" applyBorder="1"/>
    <xf numFmtId="178" fontId="30" fillId="0" borderId="20" xfId="21" applyNumberFormat="1" applyFont="1" applyFill="1" applyBorder="1"/>
    <xf numFmtId="172" fontId="31" fillId="0" borderId="0" xfId="14" applyNumberFormat="1" applyFont="1" applyFill="1" applyBorder="1"/>
    <xf numFmtId="172" fontId="31" fillId="16" borderId="20" xfId="21" applyNumberFormat="1" applyFont="1" applyFill="1" applyBorder="1"/>
    <xf numFmtId="172" fontId="31" fillId="0" borderId="13" xfId="21" applyNumberFormat="1" applyFont="1" applyFill="1" applyBorder="1"/>
    <xf numFmtId="172" fontId="31" fillId="0" borderId="18" xfId="21" applyNumberFormat="1" applyFont="1" applyFill="1" applyBorder="1"/>
    <xf numFmtId="0" fontId="31" fillId="0" borderId="16" xfId="14" applyFont="1" applyBorder="1" applyAlignment="1"/>
    <xf numFmtId="0" fontId="31" fillId="0" borderId="18" xfId="14" applyFont="1" applyBorder="1" applyAlignment="1"/>
    <xf numFmtId="172" fontId="31" fillId="12" borderId="13" xfId="21" applyNumberFormat="1" applyFont="1" applyFill="1" applyBorder="1"/>
    <xf numFmtId="0" fontId="31" fillId="0" borderId="16" xfId="14" applyFont="1" applyBorder="1"/>
    <xf numFmtId="0" fontId="31" fillId="0" borderId="18" xfId="14" applyFont="1" applyBorder="1"/>
    <xf numFmtId="172" fontId="31" fillId="0" borderId="18" xfId="18" applyNumberFormat="1" applyFont="1" applyFill="1" applyBorder="1"/>
    <xf numFmtId="0" fontId="31" fillId="0" borderId="10" xfId="14" applyFont="1" applyBorder="1"/>
    <xf numFmtId="166" fontId="31" fillId="0" borderId="13" xfId="1" applyNumberFormat="1" applyFont="1" applyFill="1" applyBorder="1"/>
    <xf numFmtId="166" fontId="31" fillId="0" borderId="18" xfId="18" applyNumberFormat="1" applyFont="1" applyFill="1" applyBorder="1"/>
    <xf numFmtId="0" fontId="30" fillId="0" borderId="10" xfId="14" applyFont="1" applyFill="1" applyBorder="1"/>
    <xf numFmtId="172" fontId="30" fillId="0" borderId="20" xfId="14" applyNumberFormat="1" applyFont="1" applyFill="1" applyBorder="1"/>
    <xf numFmtId="172" fontId="30" fillId="0" borderId="20" xfId="14" applyNumberFormat="1" applyFont="1" applyBorder="1"/>
    <xf numFmtId="172" fontId="31" fillId="0" borderId="20" xfId="14" applyNumberFormat="1" applyFont="1" applyFill="1" applyBorder="1"/>
    <xf numFmtId="172" fontId="31" fillId="0" borderId="19" xfId="14" applyNumberFormat="1" applyFont="1" applyFill="1" applyBorder="1"/>
    <xf numFmtId="0" fontId="31" fillId="0" borderId="16" xfId="14" applyFont="1" applyFill="1" applyBorder="1" applyAlignment="1">
      <alignment vertical="center"/>
    </xf>
    <xf numFmtId="0" fontId="31" fillId="0" borderId="18" xfId="14" applyFont="1" applyBorder="1" applyAlignment="1">
      <alignment vertical="center"/>
    </xf>
    <xf numFmtId="172" fontId="35" fillId="12" borderId="13" xfId="14" applyNumberFormat="1" applyFont="1" applyFill="1" applyBorder="1"/>
    <xf numFmtId="0" fontId="31" fillId="0" borderId="16" xfId="14" applyFont="1" applyBorder="1" applyAlignment="1">
      <alignment vertical="center"/>
    </xf>
    <xf numFmtId="172" fontId="36" fillId="0" borderId="13" xfId="14" applyNumberFormat="1" applyFont="1" applyFill="1" applyBorder="1"/>
    <xf numFmtId="3" fontId="31" fillId="0" borderId="13" xfId="14" applyNumberFormat="1" applyFont="1" applyFill="1" applyBorder="1"/>
    <xf numFmtId="3" fontId="31" fillId="0" borderId="18" xfId="14" applyNumberFormat="1" applyFont="1" applyFill="1" applyBorder="1"/>
    <xf numFmtId="0" fontId="31" fillId="0" borderId="16" xfId="14" applyFont="1" applyFill="1" applyBorder="1"/>
    <xf numFmtId="0" fontId="31" fillId="0" borderId="18" xfId="14" applyFont="1" applyFill="1" applyBorder="1"/>
    <xf numFmtId="0" fontId="31" fillId="0" borderId="16" xfId="14" applyFont="1" applyBorder="1" applyAlignment="1">
      <alignment horizontal="left"/>
    </xf>
    <xf numFmtId="0" fontId="31" fillId="0" borderId="18" xfId="14" applyFont="1" applyBorder="1" applyAlignment="1">
      <alignment horizontal="left"/>
    </xf>
    <xf numFmtId="9" fontId="31" fillId="0" borderId="13" xfId="18" applyFont="1" applyBorder="1" applyAlignment="1"/>
    <xf numFmtId="9" fontId="31" fillId="0" borderId="18" xfId="18" applyFont="1" applyBorder="1" applyAlignment="1"/>
    <xf numFmtId="0" fontId="31" fillId="0" borderId="10" xfId="14" applyFont="1" applyBorder="1" applyAlignment="1">
      <alignment horizontal="left"/>
    </xf>
    <xf numFmtId="9" fontId="37" fillId="0" borderId="7" xfId="18" applyFont="1" applyBorder="1" applyAlignment="1"/>
    <xf numFmtId="179" fontId="31" fillId="0" borderId="13" xfId="21" applyNumberFormat="1" applyFont="1" applyFill="1" applyBorder="1"/>
    <xf numFmtId="179" fontId="31" fillId="0" borderId="12" xfId="21" applyNumberFormat="1" applyFont="1" applyFill="1" applyBorder="1"/>
    <xf numFmtId="0" fontId="31" fillId="0" borderId="14" xfId="14" applyFont="1" applyFill="1" applyBorder="1" applyAlignment="1">
      <alignment horizontal="left"/>
    </xf>
    <xf numFmtId="0" fontId="31" fillId="0" borderId="12" xfId="14" applyFont="1" applyFill="1" applyBorder="1" applyAlignment="1">
      <alignment horizontal="left"/>
    </xf>
    <xf numFmtId="3" fontId="31" fillId="0" borderId="13" xfId="21" applyNumberFormat="1" applyFont="1" applyFill="1" applyBorder="1"/>
    <xf numFmtId="3" fontId="31" fillId="0" borderId="18" xfId="21" applyNumberFormat="1" applyFont="1" applyFill="1" applyBorder="1"/>
    <xf numFmtId="180" fontId="30" fillId="0" borderId="0" xfId="21" applyNumberFormat="1" applyFont="1" applyFill="1" applyBorder="1"/>
    <xf numFmtId="172" fontId="36" fillId="0" borderId="20" xfId="14" applyNumberFormat="1" applyFont="1" applyBorder="1"/>
    <xf numFmtId="3" fontId="30" fillId="0" borderId="20" xfId="14" applyNumberFormat="1" applyFont="1" applyFill="1" applyBorder="1"/>
    <xf numFmtId="172" fontId="31" fillId="12" borderId="20" xfId="14" applyNumberFormat="1" applyFont="1" applyFill="1" applyBorder="1" applyAlignment="1">
      <alignment horizontal="center"/>
    </xf>
    <xf numFmtId="181" fontId="31" fillId="0" borderId="20" xfId="21" applyFont="1" applyFill="1" applyBorder="1"/>
    <xf numFmtId="172" fontId="61" fillId="0" borderId="20" xfId="14" applyNumberFormat="1" applyFont="1" applyBorder="1"/>
    <xf numFmtId="3" fontId="31" fillId="0" borderId="20" xfId="14" applyNumberFormat="1" applyFont="1" applyFill="1" applyBorder="1"/>
    <xf numFmtId="172" fontId="31" fillId="17" borderId="20" xfId="14" applyNumberFormat="1" applyFont="1" applyFill="1" applyBorder="1"/>
    <xf numFmtId="172" fontId="36" fillId="17" borderId="20" xfId="14" applyNumberFormat="1" applyFont="1" applyFill="1" applyBorder="1"/>
    <xf numFmtId="3" fontId="31" fillId="17" borderId="20" xfId="14" applyNumberFormat="1" applyFont="1" applyFill="1" applyBorder="1"/>
    <xf numFmtId="172" fontId="37" fillId="0" borderId="13" xfId="14" applyNumberFormat="1" applyFont="1" applyBorder="1"/>
    <xf numFmtId="3" fontId="31" fillId="0" borderId="13" xfId="14" applyNumberFormat="1" applyFont="1" applyBorder="1"/>
    <xf numFmtId="3" fontId="31" fillId="0" borderId="12" xfId="14" applyNumberFormat="1" applyFont="1" applyBorder="1"/>
    <xf numFmtId="172" fontId="35" fillId="17" borderId="13" xfId="14" applyNumberFormat="1" applyFont="1" applyFill="1" applyBorder="1"/>
    <xf numFmtId="3" fontId="31" fillId="17" borderId="13" xfId="14" applyNumberFormat="1" applyFont="1" applyFill="1" applyBorder="1"/>
    <xf numFmtId="3" fontId="31" fillId="17" borderId="12" xfId="14" applyNumberFormat="1" applyFont="1" applyFill="1" applyBorder="1"/>
    <xf numFmtId="172" fontId="30" fillId="0" borderId="19" xfId="14" applyNumberFormat="1" applyFont="1" applyFill="1" applyBorder="1"/>
    <xf numFmtId="0" fontId="30" fillId="0" borderId="0" xfId="14" applyFont="1" applyBorder="1" applyAlignment="1">
      <alignment horizontal="left"/>
    </xf>
    <xf numFmtId="3" fontId="30" fillId="0" borderId="0" xfId="14" applyNumberFormat="1" applyFont="1" applyBorder="1"/>
    <xf numFmtId="172" fontId="62" fillId="0" borderId="20" xfId="14" applyNumberFormat="1" applyFont="1" applyBorder="1"/>
    <xf numFmtId="3" fontId="63" fillId="0" borderId="20" xfId="14" applyNumberFormat="1" applyFont="1" applyBorder="1"/>
    <xf numFmtId="3" fontId="63" fillId="0" borderId="19" xfId="14" applyNumberFormat="1" applyFont="1" applyBorder="1"/>
    <xf numFmtId="172" fontId="30" fillId="0" borderId="0" xfId="14" applyNumberFormat="1" applyFont="1" applyBorder="1"/>
    <xf numFmtId="172" fontId="30" fillId="6" borderId="20" xfId="14" applyNumberFormat="1" applyFont="1" applyFill="1" applyBorder="1"/>
    <xf numFmtId="172" fontId="30" fillId="6" borderId="19" xfId="14" applyNumberFormat="1" applyFont="1" applyFill="1" applyBorder="1"/>
    <xf numFmtId="0" fontId="30" fillId="0" borderId="0" xfId="14" applyFont="1" applyFill="1" applyBorder="1" applyAlignment="1">
      <alignment vertical="center"/>
    </xf>
    <xf numFmtId="3" fontId="31" fillId="0" borderId="0" xfId="14" applyNumberFormat="1" applyFont="1" applyFill="1" applyBorder="1"/>
    <xf numFmtId="0" fontId="31" fillId="0" borderId="16" xfId="14" applyFont="1" applyFill="1" applyBorder="1" applyAlignment="1">
      <alignment horizontal="left"/>
    </xf>
    <xf numFmtId="0" fontId="31" fillId="0" borderId="18" xfId="14" applyFont="1" applyFill="1" applyBorder="1" applyAlignment="1">
      <alignment horizontal="left"/>
    </xf>
    <xf numFmtId="179" fontId="31" fillId="0" borderId="7" xfId="21" applyNumberFormat="1" applyFont="1" applyFill="1" applyBorder="1"/>
    <xf numFmtId="179" fontId="31" fillId="0" borderId="6" xfId="21" applyNumberFormat="1" applyFont="1" applyFill="1" applyBorder="1"/>
    <xf numFmtId="4" fontId="30" fillId="6" borderId="21" xfId="14" applyNumberFormat="1" applyFont="1" applyFill="1" applyBorder="1"/>
    <xf numFmtId="3" fontId="30" fillId="0" borderId="0" xfId="14" applyNumberFormat="1" applyFont="1" applyFill="1" applyBorder="1"/>
    <xf numFmtId="43" fontId="31" fillId="0" borderId="0" xfId="23" applyFont="1" applyFill="1" applyBorder="1"/>
    <xf numFmtId="43" fontId="30" fillId="0" borderId="0" xfId="23" applyFont="1" applyFill="1" applyBorder="1"/>
    <xf numFmtId="185" fontId="16" fillId="0" borderId="0" xfId="14" applyNumberFormat="1" applyFont="1"/>
    <xf numFmtId="3" fontId="54" fillId="0" borderId="14" xfId="0" applyNumberFormat="1" applyFont="1" applyFill="1" applyBorder="1" applyAlignment="1"/>
    <xf numFmtId="3" fontId="54" fillId="0" borderId="13" xfId="0" applyNumberFormat="1" applyFont="1" applyFill="1" applyBorder="1" applyAlignment="1"/>
    <xf numFmtId="3" fontId="53" fillId="0" borderId="13" xfId="0" applyNumberFormat="1" applyFont="1" applyFill="1" applyBorder="1" applyAlignment="1"/>
    <xf numFmtId="3" fontId="53" fillId="0" borderId="12" xfId="0" applyNumberFormat="1" applyFont="1" applyFill="1" applyBorder="1" applyAlignment="1"/>
    <xf numFmtId="3" fontId="21" fillId="0" borderId="13" xfId="7" applyNumberFormat="1" applyFont="1" applyBorder="1" applyAlignment="1"/>
    <xf numFmtId="0" fontId="54" fillId="0" borderId="0" xfId="7" applyFont="1" applyBorder="1" applyAlignment="1">
      <alignment horizontal="left" indent="1"/>
    </xf>
    <xf numFmtId="0" fontId="16" fillId="0" borderId="17" xfId="7" applyFont="1" applyBorder="1" applyAlignment="1">
      <alignment horizontal="left" indent="1"/>
    </xf>
    <xf numFmtId="3" fontId="65" fillId="12" borderId="13" xfId="7" applyNumberFormat="1" applyFont="1" applyFill="1" applyBorder="1" applyAlignment="1"/>
    <xf numFmtId="3" fontId="64" fillId="12" borderId="7" xfId="7" applyNumberFormat="1" applyFont="1" applyFill="1" applyBorder="1" applyAlignment="1"/>
    <xf numFmtId="10" fontId="29" fillId="12" borderId="13" xfId="20" applyNumberFormat="1" applyFont="1" applyFill="1" applyBorder="1" applyAlignment="1">
      <alignment horizontal="right" vertical="center"/>
    </xf>
    <xf numFmtId="10" fontId="53" fillId="12" borderId="13" xfId="20" applyNumberFormat="1" applyFont="1" applyFill="1" applyBorder="1" applyAlignment="1">
      <alignment horizontal="right" vertical="center"/>
    </xf>
    <xf numFmtId="10" fontId="54" fillId="12" borderId="14" xfId="20" applyNumberFormat="1" applyFont="1" applyFill="1" applyBorder="1" applyAlignment="1">
      <alignment horizontal="right" vertical="center"/>
    </xf>
    <xf numFmtId="10" fontId="54" fillId="12" borderId="13" xfId="20" applyNumberFormat="1" applyFont="1" applyFill="1" applyBorder="1" applyAlignment="1">
      <alignment horizontal="right" vertical="center"/>
    </xf>
    <xf numFmtId="10" fontId="53" fillId="12" borderId="12" xfId="20" applyNumberFormat="1" applyFont="1" applyFill="1" applyBorder="1" applyAlignment="1">
      <alignment horizontal="right" vertical="center"/>
    </xf>
    <xf numFmtId="10" fontId="16" fillId="12" borderId="13" xfId="20" applyNumberFormat="1" applyFont="1" applyFill="1" applyBorder="1" applyAlignment="1">
      <alignment horizontal="right" vertical="center"/>
    </xf>
    <xf numFmtId="10" fontId="54" fillId="12" borderId="8" xfId="20" applyNumberFormat="1" applyFont="1" applyFill="1" applyBorder="1" applyAlignment="1">
      <alignment horizontal="right" vertical="center"/>
    </xf>
    <xf numFmtId="10" fontId="54" fillId="12" borderId="7" xfId="20" applyNumberFormat="1" applyFont="1" applyFill="1" applyBorder="1" applyAlignment="1">
      <alignment horizontal="right" vertical="center"/>
    </xf>
    <xf numFmtId="10" fontId="53" fillId="12" borderId="6" xfId="20" applyNumberFormat="1" applyFont="1" applyFill="1" applyBorder="1" applyAlignment="1">
      <alignment horizontal="right" vertical="center"/>
    </xf>
    <xf numFmtId="3" fontId="53" fillId="0" borderId="20" xfId="10" applyNumberFormat="1" applyFont="1" applyFill="1" applyBorder="1" applyAlignment="1"/>
    <xf numFmtId="3" fontId="54" fillId="0" borderId="20" xfId="10" applyNumberFormat="1" applyFont="1" applyFill="1" applyBorder="1" applyAlignment="1"/>
    <xf numFmtId="3" fontId="53" fillId="0" borderId="19" xfId="10" applyNumberFormat="1" applyFont="1" applyFill="1" applyBorder="1" applyAlignment="1"/>
    <xf numFmtId="3" fontId="53" fillId="0" borderId="0" xfId="7" applyNumberFormat="1" applyFont="1" applyFill="1" applyBorder="1" applyAlignment="1"/>
    <xf numFmtId="3" fontId="54" fillId="0" borderId="0" xfId="20" applyNumberFormat="1" applyFont="1" applyFill="1" applyBorder="1" applyAlignment="1">
      <alignment horizontal="right" vertical="center"/>
    </xf>
    <xf numFmtId="3" fontId="53" fillId="0" borderId="0" xfId="20" applyNumberFormat="1" applyFont="1" applyFill="1" applyBorder="1" applyAlignment="1">
      <alignment horizontal="right" vertical="center"/>
    </xf>
    <xf numFmtId="3" fontId="16" fillId="0" borderId="0" xfId="7" applyNumberFormat="1" applyFont="1" applyBorder="1" applyAlignment="1"/>
    <xf numFmtId="3" fontId="53" fillId="0" borderId="0" xfId="7" applyNumberFormat="1" applyFont="1" applyBorder="1" applyAlignment="1"/>
    <xf numFmtId="3" fontId="54" fillId="0" borderId="0" xfId="7" applyNumberFormat="1" applyFont="1" applyBorder="1" applyAlignment="1"/>
    <xf numFmtId="3" fontId="54" fillId="0" borderId="35" xfId="7" applyNumberFormat="1" applyFont="1" applyFill="1" applyBorder="1" applyAlignment="1"/>
    <xf numFmtId="3" fontId="54" fillId="0" borderId="41" xfId="7" applyNumberFormat="1" applyFont="1" applyFill="1" applyBorder="1" applyAlignment="1"/>
    <xf numFmtId="3" fontId="20" fillId="0" borderId="0" xfId="7" applyNumberFormat="1" applyFont="1" applyFill="1" applyBorder="1" applyAlignment="1"/>
    <xf numFmtId="3" fontId="56" fillId="0" borderId="0" xfId="7" applyNumberFormat="1" applyFont="1" applyFill="1" applyBorder="1" applyAlignment="1"/>
    <xf numFmtId="3" fontId="54" fillId="0" borderId="0" xfId="10" applyNumberFormat="1" applyFont="1" applyFill="1" applyBorder="1" applyAlignment="1"/>
    <xf numFmtId="3" fontId="53" fillId="0" borderId="0" xfId="10" applyNumberFormat="1" applyFont="1" applyFill="1" applyBorder="1" applyAlignment="1"/>
    <xf numFmtId="3" fontId="21" fillId="0" borderId="0" xfId="7" applyNumberFormat="1" applyFont="1" applyBorder="1" applyAlignment="1">
      <alignment vertical="center"/>
    </xf>
    <xf numFmtId="3" fontId="51" fillId="0" borderId="0" xfId="7" applyNumberFormat="1" applyFont="1" applyBorder="1" applyAlignment="1">
      <alignment vertical="center"/>
    </xf>
    <xf numFmtId="3" fontId="54" fillId="0" borderId="0" xfId="7" applyNumberFormat="1" applyFont="1" applyFill="1" applyBorder="1" applyAlignment="1">
      <alignment vertical="center"/>
    </xf>
    <xf numFmtId="0" fontId="54" fillId="0" borderId="0" xfId="7" applyFont="1" applyFill="1" applyBorder="1" applyAlignment="1"/>
    <xf numFmtId="3" fontId="52" fillId="0" borderId="35" xfId="7" applyNumberFormat="1" applyFont="1" applyBorder="1" applyAlignment="1"/>
    <xf numFmtId="3" fontId="52" fillId="0" borderId="13" xfId="7" applyNumberFormat="1" applyFont="1" applyBorder="1" applyAlignment="1"/>
    <xf numFmtId="3" fontId="51" fillId="0" borderId="13" xfId="7" applyNumberFormat="1" applyFont="1" applyBorder="1" applyAlignment="1"/>
    <xf numFmtId="3" fontId="51" fillId="0" borderId="12" xfId="7" applyNumberFormat="1" applyFont="1" applyBorder="1" applyAlignment="1"/>
    <xf numFmtId="166" fontId="16" fillId="0" borderId="13" xfId="20" applyNumberFormat="1" applyFont="1" applyFill="1" applyBorder="1" applyAlignment="1"/>
    <xf numFmtId="166" fontId="54" fillId="0" borderId="35" xfId="20" applyNumberFormat="1" applyFont="1" applyFill="1" applyBorder="1" applyAlignment="1"/>
    <xf numFmtId="166" fontId="54" fillId="0" borderId="13" xfId="20" applyNumberFormat="1" applyFont="1" applyFill="1" applyBorder="1" applyAlignment="1"/>
    <xf numFmtId="166" fontId="53" fillId="0" borderId="13" xfId="20" applyNumberFormat="1" applyFont="1" applyFill="1" applyBorder="1" applyAlignment="1"/>
    <xf numFmtId="166" fontId="53" fillId="0" borderId="12" xfId="20" applyNumberFormat="1" applyFont="1" applyFill="1" applyBorder="1" applyAlignment="1"/>
    <xf numFmtId="172" fontId="21" fillId="0" borderId="13" xfId="7" applyNumberFormat="1" applyFont="1" applyFill="1" applyBorder="1" applyAlignment="1"/>
    <xf numFmtId="172" fontId="21" fillId="0" borderId="12" xfId="7" applyNumberFormat="1" applyFont="1" applyFill="1" applyBorder="1" applyAlignment="1"/>
    <xf numFmtId="172" fontId="66" fillId="0" borderId="35" xfId="7" applyNumberFormat="1" applyFont="1" applyFill="1" applyBorder="1" applyAlignment="1"/>
    <xf numFmtId="172" fontId="66" fillId="0" borderId="13" xfId="7" applyNumberFormat="1" applyFont="1" applyFill="1" applyBorder="1" applyAlignment="1"/>
    <xf numFmtId="172" fontId="67" fillId="0" borderId="13" xfId="7" applyNumberFormat="1" applyFont="1" applyFill="1" applyBorder="1" applyAlignment="1"/>
    <xf numFmtId="172" fontId="67" fillId="0" borderId="12" xfId="7" applyNumberFormat="1" applyFont="1" applyFill="1" applyBorder="1" applyAlignment="1"/>
    <xf numFmtId="0" fontId="65" fillId="0" borderId="0" xfId="14" applyFont="1"/>
    <xf numFmtId="4" fontId="52" fillId="0" borderId="35" xfId="7" applyNumberFormat="1" applyFont="1" applyFill="1" applyBorder="1" applyAlignment="1"/>
    <xf numFmtId="4" fontId="52" fillId="0" borderId="13" xfId="7" applyNumberFormat="1" applyFont="1" applyFill="1" applyBorder="1" applyAlignment="1"/>
    <xf numFmtId="4" fontId="51" fillId="0" borderId="13" xfId="7" applyNumberFormat="1" applyFont="1" applyFill="1" applyBorder="1" applyAlignment="1"/>
    <xf numFmtId="4" fontId="51" fillId="0" borderId="12" xfId="7" applyNumberFormat="1" applyFont="1" applyFill="1" applyBorder="1" applyAlignment="1"/>
    <xf numFmtId="166" fontId="54" fillId="0" borderId="41" xfId="20" applyNumberFormat="1" applyFont="1" applyFill="1" applyBorder="1" applyAlignment="1"/>
    <xf numFmtId="166" fontId="54" fillId="0" borderId="7" xfId="20" applyNumberFormat="1" applyFont="1" applyFill="1" applyBorder="1" applyAlignment="1"/>
    <xf numFmtId="166" fontId="53" fillId="0" borderId="7" xfId="20" applyNumberFormat="1" applyFont="1" applyFill="1" applyBorder="1" applyAlignment="1"/>
    <xf numFmtId="166" fontId="53" fillId="0" borderId="6" xfId="20" applyNumberFormat="1" applyFont="1" applyFill="1" applyBorder="1" applyAlignment="1"/>
    <xf numFmtId="0" fontId="48" fillId="0" borderId="0" xfId="14" applyFont="1" applyFill="1" applyBorder="1" applyAlignment="1">
      <alignment vertical="center"/>
    </xf>
    <xf numFmtId="3" fontId="53" fillId="10" borderId="12" xfId="0" applyNumberFormat="1" applyFont="1" applyFill="1" applyBorder="1" applyAlignment="1"/>
    <xf numFmtId="3" fontId="54" fillId="10" borderId="14" xfId="7" applyNumberFormat="1" applyFont="1" applyFill="1" applyBorder="1" applyAlignment="1"/>
    <xf numFmtId="3" fontId="54" fillId="10" borderId="13" xfId="7" applyNumberFormat="1" applyFont="1" applyFill="1" applyBorder="1" applyAlignment="1"/>
    <xf numFmtId="3" fontId="53" fillId="10" borderId="13" xfId="7" applyNumberFormat="1" applyFont="1" applyFill="1" applyBorder="1" applyAlignment="1"/>
    <xf numFmtId="3" fontId="53" fillId="10" borderId="12" xfId="7" applyNumberFormat="1" applyFont="1" applyFill="1" applyBorder="1" applyAlignment="1"/>
    <xf numFmtId="10" fontId="16" fillId="12" borderId="14" xfId="20" applyNumberFormat="1" applyFont="1" applyFill="1" applyBorder="1" applyAlignment="1">
      <alignment horizontal="right" vertical="center"/>
    </xf>
    <xf numFmtId="10" fontId="16" fillId="12" borderId="12" xfId="20" applyNumberFormat="1" applyFont="1" applyFill="1" applyBorder="1" applyAlignment="1">
      <alignment horizontal="right" vertical="center"/>
    </xf>
    <xf numFmtId="0" fontId="16" fillId="0" borderId="0" xfId="19" applyFont="1" applyFill="1" applyAlignment="1">
      <alignment horizontal="left"/>
    </xf>
    <xf numFmtId="0" fontId="22" fillId="0" borderId="0" xfId="19" applyFont="1"/>
    <xf numFmtId="0" fontId="21" fillId="0" borderId="0" xfId="24" applyFont="1" applyAlignment="1"/>
    <xf numFmtId="0" fontId="17" fillId="0" borderId="0" xfId="19" applyFont="1"/>
    <xf numFmtId="0" fontId="21" fillId="0" borderId="17" xfId="14" applyFont="1" applyBorder="1"/>
    <xf numFmtId="0" fontId="21" fillId="0" borderId="11" xfId="14" applyFont="1" applyBorder="1"/>
    <xf numFmtId="0" fontId="16" fillId="0" borderId="0" xfId="24" applyFont="1" applyFill="1" applyBorder="1" applyAlignment="1"/>
    <xf numFmtId="0" fontId="16" fillId="0" borderId="0" xfId="24" applyFont="1" applyAlignment="1"/>
    <xf numFmtId="0" fontId="16" fillId="0" borderId="0" xfId="24" applyFont="1" applyBorder="1" applyAlignment="1"/>
    <xf numFmtId="0" fontId="21" fillId="11" borderId="21" xfId="14" applyFont="1" applyFill="1" applyBorder="1" applyAlignment="1">
      <alignment horizontal="center" vertical="center" wrapText="1"/>
    </xf>
    <xf numFmtId="0" fontId="21" fillId="11" borderId="20" xfId="14" applyFont="1" applyFill="1" applyBorder="1" applyAlignment="1">
      <alignment horizontal="center" vertical="center" wrapText="1"/>
    </xf>
    <xf numFmtId="0" fontId="21" fillId="11" borderId="19" xfId="14" applyFont="1" applyFill="1" applyBorder="1" applyAlignment="1">
      <alignment horizontal="center" vertical="center" wrapText="1"/>
    </xf>
    <xf numFmtId="0" fontId="16" fillId="0" borderId="17" xfId="24" applyFont="1" applyFill="1" applyBorder="1" applyAlignment="1">
      <alignment horizontal="left" indent="1"/>
    </xf>
    <xf numFmtId="3" fontId="16" fillId="20" borderId="14" xfId="24" applyNumberFormat="1" applyFont="1" applyFill="1" applyBorder="1" applyAlignment="1"/>
    <xf numFmtId="3" fontId="16" fillId="2" borderId="13" xfId="24" applyNumberFormat="1" applyFont="1" applyFill="1" applyBorder="1" applyAlignment="1">
      <alignment horizontal="center"/>
    </xf>
    <xf numFmtId="3" fontId="16" fillId="17" borderId="17" xfId="24" applyNumberFormat="1" applyFont="1" applyFill="1" applyBorder="1" applyAlignment="1"/>
    <xf numFmtId="3" fontId="16" fillId="0" borderId="21" xfId="24" applyNumberFormat="1" applyFont="1" applyFill="1" applyBorder="1" applyAlignment="1">
      <alignment horizontal="center"/>
    </xf>
    <xf numFmtId="3" fontId="16" fillId="0" borderId="20" xfId="24" applyNumberFormat="1" applyFont="1" applyFill="1" applyBorder="1" applyAlignment="1">
      <alignment horizontal="center"/>
    </xf>
    <xf numFmtId="3" fontId="16" fillId="17" borderId="20" xfId="24" applyNumberFormat="1" applyFont="1" applyFill="1" applyBorder="1" applyAlignment="1"/>
    <xf numFmtId="3" fontId="16" fillId="17" borderId="19" xfId="24" applyNumberFormat="1" applyFont="1" applyFill="1" applyBorder="1" applyAlignment="1"/>
    <xf numFmtId="3" fontId="16" fillId="20" borderId="13" xfId="24" applyNumberFormat="1" applyFont="1" applyFill="1" applyBorder="1" applyAlignment="1"/>
    <xf numFmtId="3" fontId="16" fillId="0" borderId="12" xfId="24" applyNumberFormat="1" applyFont="1" applyFill="1" applyBorder="1" applyAlignment="1"/>
    <xf numFmtId="0" fontId="16" fillId="0" borderId="11" xfId="24" applyFont="1" applyFill="1" applyBorder="1" applyAlignment="1">
      <alignment horizontal="left" indent="1"/>
    </xf>
    <xf numFmtId="3" fontId="16" fillId="0" borderId="11" xfId="24" applyNumberFormat="1" applyFont="1" applyFill="1" applyBorder="1" applyAlignment="1">
      <alignment horizontal="center"/>
    </xf>
    <xf numFmtId="3" fontId="16" fillId="20" borderId="8" xfId="24" applyNumberFormat="1" applyFont="1" applyFill="1" applyBorder="1" applyAlignment="1"/>
    <xf numFmtId="0" fontId="22" fillId="0" borderId="0" xfId="19" applyFont="1" applyFill="1" applyAlignment="1">
      <alignment horizontal="left"/>
    </xf>
    <xf numFmtId="0" fontId="68" fillId="0" borderId="0" xfId="24" applyFont="1" applyFill="1" applyBorder="1" applyAlignment="1"/>
    <xf numFmtId="3" fontId="16" fillId="0" borderId="14" xfId="24" applyNumberFormat="1" applyFont="1" applyFill="1" applyBorder="1" applyAlignment="1">
      <alignment horizontal="center"/>
    </xf>
    <xf numFmtId="3" fontId="16" fillId="0" borderId="7" xfId="24" applyNumberFormat="1" applyFont="1" applyFill="1" applyBorder="1" applyAlignment="1">
      <alignment horizontal="center"/>
    </xf>
    <xf numFmtId="3" fontId="16" fillId="0" borderId="6" xfId="24" applyNumberFormat="1" applyFont="1" applyFill="1" applyBorder="1" applyAlignment="1">
      <alignment horizontal="center"/>
    </xf>
    <xf numFmtId="3" fontId="16" fillId="0" borderId="42" xfId="24" applyNumberFormat="1" applyFont="1" applyFill="1" applyBorder="1" applyAlignment="1">
      <alignment horizontal="center"/>
    </xf>
    <xf numFmtId="3" fontId="16" fillId="21" borderId="17" xfId="24" applyNumberFormat="1" applyFont="1" applyFill="1" applyBorder="1" applyAlignment="1">
      <alignment horizontal="center"/>
    </xf>
    <xf numFmtId="3" fontId="16" fillId="21" borderId="11" xfId="24" applyNumberFormat="1" applyFont="1" applyFill="1" applyBorder="1" applyAlignment="1">
      <alignment horizontal="center"/>
    </xf>
    <xf numFmtId="3" fontId="16" fillId="17" borderId="16" xfId="24" applyNumberFormat="1" applyFont="1" applyFill="1" applyBorder="1" applyAlignment="1"/>
    <xf numFmtId="3" fontId="16" fillId="17" borderId="10" xfId="24" applyNumberFormat="1" applyFont="1" applyFill="1" applyBorder="1" applyAlignment="1"/>
    <xf numFmtId="3" fontId="16" fillId="17" borderId="11" xfId="24" applyNumberFormat="1" applyFont="1" applyFill="1" applyBorder="1" applyAlignment="1"/>
    <xf numFmtId="3" fontId="16" fillId="0" borderId="0" xfId="24" applyNumberFormat="1" applyFont="1" applyFill="1" applyBorder="1" applyAlignment="1"/>
    <xf numFmtId="172" fontId="68" fillId="0" borderId="0" xfId="24" applyNumberFormat="1" applyFont="1" applyFill="1" applyBorder="1" applyAlignment="1"/>
    <xf numFmtId="3" fontId="16" fillId="17" borderId="14" xfId="24" applyNumberFormat="1" applyFont="1" applyFill="1" applyBorder="1" applyAlignment="1">
      <alignment horizontal="center"/>
    </xf>
    <xf numFmtId="3" fontId="16" fillId="17" borderId="14" xfId="24" applyNumberFormat="1" applyFont="1" applyFill="1" applyBorder="1" applyAlignment="1"/>
    <xf numFmtId="3" fontId="29" fillId="17" borderId="13" xfId="24" applyNumberFormat="1" applyFont="1" applyFill="1" applyBorder="1" applyAlignment="1"/>
    <xf numFmtId="3" fontId="29" fillId="17" borderId="13" xfId="24" applyNumberFormat="1" applyFont="1" applyFill="1" applyBorder="1" applyAlignment="1">
      <alignment horizontal="center"/>
    </xf>
    <xf numFmtId="3" fontId="29" fillId="17" borderId="12" xfId="24" applyNumberFormat="1" applyFont="1" applyFill="1" applyBorder="1" applyAlignment="1"/>
    <xf numFmtId="0" fontId="22" fillId="0" borderId="0" xfId="19" applyFont="1" applyFill="1"/>
    <xf numFmtId="3" fontId="50" fillId="0" borderId="17" xfId="24" applyNumberFormat="1" applyFont="1" applyFill="1" applyBorder="1" applyAlignment="1">
      <alignment horizontal="center"/>
    </xf>
    <xf numFmtId="3" fontId="50" fillId="0" borderId="11" xfId="24" applyNumberFormat="1" applyFont="1" applyFill="1" applyBorder="1" applyAlignment="1">
      <alignment horizontal="center"/>
    </xf>
    <xf numFmtId="3" fontId="50" fillId="0" borderId="7" xfId="24" applyNumberFormat="1" applyFont="1" applyFill="1" applyBorder="1" applyAlignment="1">
      <alignment horizontal="center"/>
    </xf>
    <xf numFmtId="3" fontId="50" fillId="0" borderId="6" xfId="24" applyNumberFormat="1" applyFont="1" applyFill="1" applyBorder="1" applyAlignment="1">
      <alignment horizontal="center"/>
    </xf>
    <xf numFmtId="3" fontId="16" fillId="17" borderId="8" xfId="24" applyNumberFormat="1" applyFont="1" applyFill="1" applyBorder="1" applyAlignment="1"/>
    <xf numFmtId="3" fontId="29" fillId="17" borderId="7" xfId="24" applyNumberFormat="1" applyFont="1" applyFill="1" applyBorder="1" applyAlignment="1"/>
    <xf numFmtId="3" fontId="16" fillId="0" borderId="14" xfId="24" applyNumberFormat="1" applyFont="1" applyFill="1" applyBorder="1" applyAlignment="1"/>
    <xf numFmtId="172" fontId="29" fillId="17" borderId="12" xfId="24" applyNumberFormat="1" applyFont="1" applyFill="1" applyBorder="1" applyAlignment="1"/>
    <xf numFmtId="3" fontId="50" fillId="0" borderId="13" xfId="24" applyNumberFormat="1" applyFont="1" applyBorder="1" applyAlignment="1">
      <alignment horizontal="center"/>
    </xf>
    <xf numFmtId="3" fontId="16" fillId="17" borderId="21" xfId="24" applyNumberFormat="1" applyFont="1" applyFill="1" applyBorder="1" applyAlignment="1"/>
    <xf numFmtId="3" fontId="16" fillId="17" borderId="17" xfId="24" quotePrefix="1" applyNumberFormat="1" applyFont="1" applyFill="1" applyBorder="1" applyAlignment="1"/>
    <xf numFmtId="3" fontId="16" fillId="17" borderId="11" xfId="24" quotePrefix="1" applyNumberFormat="1" applyFont="1" applyFill="1" applyBorder="1" applyAlignment="1"/>
    <xf numFmtId="3" fontId="29" fillId="20" borderId="13" xfId="24" applyNumberFormat="1" applyFont="1" applyFill="1" applyBorder="1" applyAlignment="1"/>
    <xf numFmtId="3" fontId="49" fillId="0" borderId="13" xfId="24" applyNumberFormat="1" applyFont="1" applyFill="1" applyBorder="1" applyAlignment="1">
      <alignment horizontal="center"/>
    </xf>
    <xf numFmtId="3" fontId="49" fillId="0" borderId="12" xfId="24" applyNumberFormat="1" applyFont="1" applyFill="1" applyBorder="1" applyAlignment="1">
      <alignment horizontal="center"/>
    </xf>
    <xf numFmtId="3" fontId="19" fillId="0" borderId="17" xfId="24" applyNumberFormat="1" applyFont="1" applyFill="1" applyBorder="1" applyAlignment="1">
      <alignment horizontal="center"/>
    </xf>
    <xf numFmtId="3" fontId="29" fillId="20" borderId="7" xfId="24" applyNumberFormat="1" applyFont="1" applyFill="1" applyBorder="1" applyAlignment="1"/>
    <xf numFmtId="0" fontId="21" fillId="0" borderId="0" xfId="14" applyFont="1" applyFill="1" applyBorder="1"/>
    <xf numFmtId="4" fontId="21" fillId="0" borderId="0" xfId="14" applyNumberFormat="1" applyFont="1" applyFill="1" applyBorder="1"/>
    <xf numFmtId="0" fontId="69" fillId="0" borderId="0" xfId="0" applyFont="1" applyFill="1" applyBorder="1"/>
    <xf numFmtId="0" fontId="16" fillId="0" borderId="0" xfId="19" applyFont="1" applyFill="1"/>
    <xf numFmtId="0" fontId="16" fillId="0" borderId="0" xfId="19" applyFont="1" applyFill="1" applyBorder="1" applyAlignment="1">
      <alignment horizontal="left"/>
    </xf>
    <xf numFmtId="0" fontId="22" fillId="0" borderId="0" xfId="19" applyFont="1" applyBorder="1"/>
    <xf numFmtId="0" fontId="3" fillId="4" borderId="0" xfId="2">
      <alignment vertical="center"/>
    </xf>
    <xf numFmtId="0" fontId="3" fillId="22" borderId="0" xfId="2" applyFill="1">
      <alignment vertical="center"/>
    </xf>
    <xf numFmtId="3" fontId="16" fillId="0" borderId="15" xfId="24" applyNumberFormat="1" applyFont="1" applyFill="1" applyBorder="1" applyAlignment="1">
      <alignment horizontal="center"/>
    </xf>
    <xf numFmtId="3" fontId="16" fillId="0" borderId="9" xfId="24" applyNumberFormat="1" applyFont="1" applyFill="1" applyBorder="1" applyAlignment="1">
      <alignment horizontal="center"/>
    </xf>
    <xf numFmtId="3" fontId="16" fillId="0" borderId="18" xfId="24" applyNumberFormat="1" applyFont="1" applyFill="1" applyBorder="1" applyAlignment="1">
      <alignment horizontal="center"/>
    </xf>
    <xf numFmtId="0" fontId="16" fillId="0" borderId="16" xfId="24" applyFont="1" applyFill="1" applyBorder="1" applyAlignment="1">
      <alignment horizontal="left" indent="1"/>
    </xf>
    <xf numFmtId="0" fontId="16" fillId="0" borderId="10" xfId="24" applyFont="1" applyFill="1" applyBorder="1" applyAlignment="1">
      <alignment horizontal="left" indent="1"/>
    </xf>
    <xf numFmtId="3" fontId="29" fillId="17" borderId="6" xfId="24" applyNumberFormat="1" applyFont="1" applyFill="1" applyBorder="1" applyAlignment="1"/>
    <xf numFmtId="3" fontId="16" fillId="2" borderId="14" xfId="24" applyNumberFormat="1" applyFont="1" applyFill="1" applyBorder="1" applyAlignment="1">
      <alignment horizontal="center"/>
    </xf>
    <xf numFmtId="3" fontId="16" fillId="2" borderId="17" xfId="24" applyNumberFormat="1" applyFont="1" applyFill="1" applyBorder="1" applyAlignment="1">
      <alignment horizontal="center"/>
    </xf>
    <xf numFmtId="3" fontId="16" fillId="2" borderId="21" xfId="24" applyNumberFormat="1" applyFont="1" applyFill="1" applyBorder="1" applyAlignment="1">
      <alignment horizontal="center"/>
    </xf>
    <xf numFmtId="3" fontId="16" fillId="2" borderId="20" xfId="24" applyNumberFormat="1" applyFont="1" applyFill="1" applyBorder="1" applyAlignment="1">
      <alignment horizontal="center"/>
    </xf>
    <xf numFmtId="3" fontId="16" fillId="2" borderId="19" xfId="24" applyNumberFormat="1" applyFont="1" applyFill="1" applyBorder="1" applyAlignment="1">
      <alignment horizontal="center"/>
    </xf>
    <xf numFmtId="3" fontId="50" fillId="2" borderId="13" xfId="24" applyNumberFormat="1" applyFont="1" applyFill="1" applyBorder="1" applyAlignment="1">
      <alignment horizontal="center"/>
    </xf>
    <xf numFmtId="3" fontId="16" fillId="2" borderId="17" xfId="24" quotePrefix="1" applyNumberFormat="1" applyFont="1" applyFill="1" applyBorder="1" applyAlignment="1">
      <alignment horizontal="center"/>
    </xf>
    <xf numFmtId="3" fontId="16" fillId="2" borderId="11" xfId="24" quotePrefix="1" applyNumberFormat="1" applyFont="1" applyFill="1" applyBorder="1" applyAlignment="1">
      <alignment horizontal="center"/>
    </xf>
    <xf numFmtId="3" fontId="16" fillId="17" borderId="8" xfId="24" applyNumberFormat="1" applyFont="1" applyFill="1" applyBorder="1" applyAlignment="1">
      <alignment horizontal="center"/>
    </xf>
    <xf numFmtId="3" fontId="16" fillId="17" borderId="7" xfId="24" applyNumberFormat="1" applyFont="1" applyFill="1" applyBorder="1" applyAlignment="1">
      <alignment horizontal="center"/>
    </xf>
    <xf numFmtId="3" fontId="50" fillId="2" borderId="7" xfId="24" applyNumberFormat="1" applyFont="1" applyFill="1" applyBorder="1" applyAlignment="1">
      <alignment horizontal="center"/>
    </xf>
    <xf numFmtId="3" fontId="16" fillId="2" borderId="11" xfId="24" applyNumberFormat="1" applyFont="1" applyFill="1" applyBorder="1" applyAlignment="1">
      <alignment horizontal="center"/>
    </xf>
    <xf numFmtId="3" fontId="21" fillId="2" borderId="20" xfId="24" applyNumberFormat="1" applyFont="1" applyFill="1" applyBorder="1" applyAlignment="1">
      <alignment horizontal="center"/>
    </xf>
    <xf numFmtId="3" fontId="21" fillId="2" borderId="42" xfId="24" applyNumberFormat="1" applyFont="1" applyFill="1" applyBorder="1" applyAlignment="1">
      <alignment horizontal="center"/>
    </xf>
    <xf numFmtId="3" fontId="16" fillId="17" borderId="17" xfId="24" quotePrefix="1" applyNumberFormat="1" applyFont="1" applyFill="1" applyBorder="1" applyAlignment="1">
      <alignment horizontal="center"/>
    </xf>
    <xf numFmtId="3" fontId="16" fillId="17" borderId="11" xfId="24" quotePrefix="1" applyNumberFormat="1" applyFont="1" applyFill="1" applyBorder="1" applyAlignment="1">
      <alignment horizontal="center"/>
    </xf>
    <xf numFmtId="3" fontId="21" fillId="17" borderId="42" xfId="24" applyNumberFormat="1" applyFont="1" applyFill="1" applyBorder="1" applyAlignment="1">
      <alignment horizontal="center"/>
    </xf>
    <xf numFmtId="0" fontId="3" fillId="23" borderId="0" xfId="2" applyFill="1">
      <alignment vertical="center"/>
    </xf>
    <xf numFmtId="0" fontId="16" fillId="0" borderId="17" xfId="24" applyFont="1" applyBorder="1" applyAlignment="1">
      <alignment horizontal="left" indent="1"/>
    </xf>
    <xf numFmtId="0" fontId="16" fillId="0" borderId="11" xfId="24" applyFont="1" applyBorder="1" applyAlignment="1">
      <alignment horizontal="left" indent="1"/>
    </xf>
    <xf numFmtId="3" fontId="16" fillId="17" borderId="11" xfId="24" applyNumberFormat="1" applyFont="1" applyFill="1" applyBorder="1" applyAlignment="1">
      <alignment horizontal="center"/>
    </xf>
    <xf numFmtId="3" fontId="16" fillId="17" borderId="20" xfId="24" applyNumberFormat="1" applyFont="1" applyFill="1" applyBorder="1" applyAlignment="1">
      <alignment horizontal="center"/>
    </xf>
    <xf numFmtId="3" fontId="16" fillId="17" borderId="42" xfId="24" applyNumberFormat="1" applyFont="1" applyFill="1" applyBorder="1" applyAlignment="1">
      <alignment horizontal="center"/>
    </xf>
    <xf numFmtId="0" fontId="17" fillId="0" borderId="0" xfId="19" applyFont="1" applyBorder="1"/>
    <xf numFmtId="3" fontId="50" fillId="17" borderId="17" xfId="24" applyNumberFormat="1" applyFont="1" applyFill="1" applyBorder="1" applyAlignment="1">
      <alignment horizontal="center"/>
    </xf>
    <xf numFmtId="3" fontId="50" fillId="17" borderId="11" xfId="24" applyNumberFormat="1" applyFont="1" applyFill="1" applyBorder="1" applyAlignment="1">
      <alignment horizontal="center"/>
    </xf>
    <xf numFmtId="3" fontId="50" fillId="17" borderId="13" xfId="24" applyNumberFormat="1" applyFont="1" applyFill="1" applyBorder="1" applyAlignment="1"/>
    <xf numFmtId="3" fontId="50" fillId="17" borderId="7" xfId="24" applyNumberFormat="1" applyFont="1" applyFill="1" applyBorder="1" applyAlignment="1"/>
    <xf numFmtId="172" fontId="50" fillId="17" borderId="12" xfId="24" applyNumberFormat="1" applyFont="1" applyFill="1" applyBorder="1" applyAlignment="1"/>
    <xf numFmtId="0" fontId="3" fillId="24" borderId="0" xfId="2" applyFill="1">
      <alignment vertical="center"/>
    </xf>
    <xf numFmtId="3" fontId="29" fillId="17" borderId="20" xfId="24" applyNumberFormat="1" applyFont="1" applyFill="1" applyBorder="1" applyAlignment="1">
      <alignment horizontal="center"/>
    </xf>
    <xf numFmtId="3" fontId="29" fillId="17" borderId="19" xfId="24" applyNumberFormat="1" applyFont="1" applyFill="1" applyBorder="1" applyAlignment="1">
      <alignment horizontal="center"/>
    </xf>
    <xf numFmtId="172" fontId="16" fillId="17" borderId="6" xfId="24" applyNumberFormat="1" applyFont="1" applyFill="1" applyBorder="1" applyAlignment="1">
      <alignment horizontal="center"/>
    </xf>
    <xf numFmtId="3" fontId="16" fillId="17" borderId="18" xfId="24" applyNumberFormat="1" applyFont="1" applyFill="1" applyBorder="1" applyAlignment="1">
      <alignment horizontal="center"/>
    </xf>
    <xf numFmtId="3" fontId="16" fillId="17" borderId="16" xfId="24" applyNumberFormat="1" applyFont="1" applyFill="1" applyBorder="1" applyAlignment="1">
      <alignment horizontal="center"/>
    </xf>
    <xf numFmtId="3" fontId="29" fillId="17" borderId="12" xfId="24" applyNumberFormat="1" applyFont="1" applyFill="1" applyBorder="1" applyAlignment="1">
      <alignment horizontal="center"/>
    </xf>
    <xf numFmtId="3" fontId="16" fillId="17" borderId="10" xfId="24" applyNumberFormat="1" applyFont="1" applyFill="1" applyBorder="1" applyAlignment="1">
      <alignment horizontal="center"/>
    </xf>
    <xf numFmtId="0" fontId="68" fillId="0" borderId="0" xfId="24" applyFont="1" applyFill="1" applyBorder="1" applyAlignment="1">
      <alignment horizontal="center"/>
    </xf>
    <xf numFmtId="3" fontId="16" fillId="0" borderId="0" xfId="24" applyNumberFormat="1" applyFont="1" applyFill="1" applyBorder="1" applyAlignment="1">
      <alignment horizontal="center"/>
    </xf>
    <xf numFmtId="3" fontId="16" fillId="17" borderId="17" xfId="7" applyNumberFormat="1" applyFont="1" applyFill="1" applyBorder="1" applyAlignment="1">
      <alignment horizontal="center"/>
    </xf>
    <xf numFmtId="3" fontId="16" fillId="17" borderId="11" xfId="7" applyNumberFormat="1" applyFont="1" applyFill="1" applyBorder="1" applyAlignment="1">
      <alignment horizontal="center"/>
    </xf>
    <xf numFmtId="172" fontId="68" fillId="0" borderId="0" xfId="24" applyNumberFormat="1" applyFont="1" applyFill="1" applyBorder="1" applyAlignment="1">
      <alignment horizontal="center"/>
    </xf>
    <xf numFmtId="3" fontId="16" fillId="0" borderId="19" xfId="24" applyNumberFormat="1" applyFont="1" applyFill="1" applyBorder="1" applyAlignment="1">
      <alignment horizontal="center"/>
    </xf>
    <xf numFmtId="0" fontId="22" fillId="0" borderId="0" xfId="19" applyFont="1" applyAlignment="1">
      <alignment horizontal="center"/>
    </xf>
    <xf numFmtId="0" fontId="17" fillId="0" borderId="0" xfId="19" applyFont="1" applyAlignment="1">
      <alignment horizontal="center"/>
    </xf>
    <xf numFmtId="3" fontId="16" fillId="0" borderId="17" xfId="7" quotePrefix="1" applyNumberFormat="1" applyFont="1" applyFill="1" applyBorder="1" applyAlignment="1">
      <alignment horizontal="center"/>
    </xf>
    <xf numFmtId="3" fontId="16" fillId="0" borderId="11" xfId="7" quotePrefix="1" applyNumberFormat="1" applyFont="1" applyFill="1" applyBorder="1" applyAlignment="1">
      <alignment horizontal="center"/>
    </xf>
    <xf numFmtId="3" fontId="29" fillId="17" borderId="7" xfId="24" applyNumberFormat="1" applyFont="1" applyFill="1" applyBorder="1" applyAlignment="1">
      <alignment horizontal="center"/>
    </xf>
    <xf numFmtId="172" fontId="29" fillId="17" borderId="12" xfId="24" applyNumberFormat="1" applyFont="1" applyFill="1" applyBorder="1" applyAlignment="1">
      <alignment horizontal="center"/>
    </xf>
    <xf numFmtId="3" fontId="29" fillId="20" borderId="13" xfId="24" applyNumberFormat="1" applyFont="1" applyFill="1" applyBorder="1" applyAlignment="1">
      <alignment horizontal="center"/>
    </xf>
    <xf numFmtId="3" fontId="29" fillId="20" borderId="7" xfId="24" applyNumberFormat="1" applyFont="1" applyFill="1" applyBorder="1" applyAlignment="1">
      <alignment horizontal="center"/>
    </xf>
    <xf numFmtId="3" fontId="16" fillId="17" borderId="6" xfId="24" applyNumberFormat="1" applyFont="1" applyFill="1" applyBorder="1" applyAlignment="1">
      <alignment horizontal="center"/>
    </xf>
    <xf numFmtId="3" fontId="21" fillId="17" borderId="21" xfId="24" applyNumberFormat="1" applyFont="1" applyFill="1" applyBorder="1" applyAlignment="1">
      <alignment horizontal="center"/>
    </xf>
    <xf numFmtId="3" fontId="21" fillId="17" borderId="19" xfId="24" applyNumberFormat="1" applyFont="1" applyFill="1" applyBorder="1" applyAlignment="1">
      <alignment horizontal="center"/>
    </xf>
    <xf numFmtId="3" fontId="21" fillId="0" borderId="21" xfId="24" applyNumberFormat="1" applyFont="1" applyFill="1" applyBorder="1" applyAlignment="1">
      <alignment horizontal="center"/>
    </xf>
    <xf numFmtId="3" fontId="21" fillId="0" borderId="19" xfId="24" applyNumberFormat="1" applyFont="1" applyFill="1" applyBorder="1" applyAlignment="1">
      <alignment horizontal="center"/>
    </xf>
    <xf numFmtId="3" fontId="29" fillId="17" borderId="18" xfId="24" applyNumberFormat="1" applyFont="1" applyFill="1" applyBorder="1" applyAlignment="1">
      <alignment horizontal="center"/>
    </xf>
    <xf numFmtId="3" fontId="29" fillId="17" borderId="14" xfId="24" applyNumberFormat="1" applyFont="1" applyFill="1" applyBorder="1" applyAlignment="1">
      <alignment horizontal="center"/>
    </xf>
    <xf numFmtId="3" fontId="29" fillId="17" borderId="17" xfId="24" applyNumberFormat="1" applyFont="1" applyFill="1" applyBorder="1" applyAlignment="1">
      <alignment horizontal="center"/>
    </xf>
    <xf numFmtId="3" fontId="29" fillId="0" borderId="13" xfId="24" applyNumberFormat="1" applyFont="1" applyFill="1" applyBorder="1" applyAlignment="1">
      <alignment horizontal="center"/>
    </xf>
    <xf numFmtId="3" fontId="29" fillId="0" borderId="12" xfId="24" applyNumberFormat="1" applyFont="1" applyFill="1" applyBorder="1" applyAlignment="1">
      <alignment horizontal="center"/>
    </xf>
    <xf numFmtId="3" fontId="29" fillId="17" borderId="8" xfId="24" applyNumberFormat="1" applyFont="1" applyFill="1" applyBorder="1" applyAlignment="1">
      <alignment horizontal="center"/>
    </xf>
    <xf numFmtId="3" fontId="29" fillId="0" borderId="6" xfId="24" applyNumberFormat="1" applyFont="1" applyFill="1" applyBorder="1" applyAlignment="1">
      <alignment horizontal="center"/>
    </xf>
    <xf numFmtId="3" fontId="29" fillId="0" borderId="7" xfId="24" applyNumberFormat="1" applyFont="1" applyFill="1" applyBorder="1" applyAlignment="1">
      <alignment horizontal="center"/>
    </xf>
    <xf numFmtId="3" fontId="16" fillId="17" borderId="17" xfId="7" quotePrefix="1" applyNumberFormat="1" applyFont="1" applyFill="1" applyBorder="1" applyAlignment="1">
      <alignment horizontal="center"/>
    </xf>
    <xf numFmtId="3" fontId="16" fillId="17" borderId="11" xfId="7" quotePrefix="1" applyNumberFormat="1" applyFont="1" applyFill="1" applyBorder="1" applyAlignment="1">
      <alignment horizontal="center"/>
    </xf>
    <xf numFmtId="3" fontId="29" fillId="20" borderId="14" xfId="24" applyNumberFormat="1" applyFont="1" applyFill="1" applyBorder="1" applyAlignment="1">
      <alignment horizontal="center"/>
    </xf>
    <xf numFmtId="3" fontId="29" fillId="20" borderId="8" xfId="24" applyNumberFormat="1" applyFont="1" applyFill="1" applyBorder="1" applyAlignment="1">
      <alignment horizontal="center"/>
    </xf>
    <xf numFmtId="3" fontId="31" fillId="0" borderId="35" xfId="14" applyNumberFormat="1" applyFont="1" applyBorder="1"/>
    <xf numFmtId="3" fontId="31" fillId="0" borderId="18" xfId="14" applyNumberFormat="1" applyFont="1" applyBorder="1"/>
    <xf numFmtId="165" fontId="11" fillId="14" borderId="3" xfId="0" applyNumberFormat="1" applyFont="1" applyFill="1" applyBorder="1"/>
    <xf numFmtId="168" fontId="11" fillId="14" borderId="3" xfId="0" applyNumberFormat="1" applyFont="1" applyFill="1" applyBorder="1"/>
    <xf numFmtId="168" fontId="11" fillId="2" borderId="3" xfId="0" applyNumberFormat="1" applyFont="1" applyFill="1" applyBorder="1"/>
    <xf numFmtId="172" fontId="31" fillId="0" borderId="20" xfId="14" applyNumberFormat="1" applyFont="1" applyBorder="1"/>
    <xf numFmtId="3" fontId="30" fillId="0" borderId="20" xfId="14" applyNumberFormat="1" applyFont="1" applyBorder="1"/>
    <xf numFmtId="3" fontId="31" fillId="0" borderId="19" xfId="14" applyNumberFormat="1" applyFont="1" applyFill="1" applyBorder="1"/>
    <xf numFmtId="167" fontId="11" fillId="14" borderId="3" xfId="0" applyNumberFormat="1" applyFont="1" applyFill="1" applyBorder="1"/>
    <xf numFmtId="168" fontId="6" fillId="2" borderId="0" xfId="1" applyNumberFormat="1" applyFont="1" applyFill="1"/>
    <xf numFmtId="0" fontId="8" fillId="25" borderId="0" xfId="0" applyFont="1" applyFill="1" applyBorder="1" applyAlignment="1">
      <alignment horizontal="center"/>
    </xf>
    <xf numFmtId="165" fontId="46" fillId="2" borderId="3" xfId="0" applyNumberFormat="1" applyFont="1" applyFill="1" applyBorder="1"/>
    <xf numFmtId="172" fontId="31" fillId="10" borderId="13" xfId="14" applyNumberFormat="1" applyFont="1" applyFill="1" applyBorder="1"/>
    <xf numFmtId="179" fontId="31" fillId="10" borderId="12" xfId="21" applyNumberFormat="1" applyFont="1" applyFill="1" applyBorder="1"/>
    <xf numFmtId="3" fontId="31" fillId="12" borderId="12" xfId="14" applyNumberFormat="1" applyFont="1" applyFill="1" applyBorder="1"/>
    <xf numFmtId="172" fontId="31" fillId="0" borderId="12" xfId="14" applyNumberFormat="1" applyFont="1" applyFill="1" applyBorder="1"/>
    <xf numFmtId="172" fontId="31" fillId="0" borderId="6" xfId="14" applyNumberFormat="1" applyFont="1" applyFill="1" applyBorder="1"/>
    <xf numFmtId="9" fontId="37" fillId="0" borderId="12" xfId="18" applyFont="1" applyBorder="1" applyAlignment="1"/>
    <xf numFmtId="9" fontId="31" fillId="0" borderId="12" xfId="18" applyFont="1" applyBorder="1" applyAlignment="1"/>
    <xf numFmtId="9" fontId="37" fillId="0" borderId="6" xfId="18" applyFont="1" applyBorder="1" applyAlignment="1"/>
    <xf numFmtId="3" fontId="30" fillId="0" borderId="19" xfId="14" applyNumberFormat="1" applyFont="1" applyFill="1" applyBorder="1"/>
    <xf numFmtId="172" fontId="31" fillId="10" borderId="6" xfId="14" applyNumberFormat="1" applyFont="1" applyFill="1" applyBorder="1"/>
    <xf numFmtId="172" fontId="36" fillId="0" borderId="20" xfId="14" applyNumberFormat="1" applyFont="1" applyFill="1" applyBorder="1"/>
    <xf numFmtId="172" fontId="31" fillId="0" borderId="13" xfId="14" applyNumberFormat="1" applyFont="1" applyBorder="1"/>
    <xf numFmtId="172" fontId="31" fillId="0" borderId="12" xfId="14" applyNumberFormat="1" applyFont="1" applyBorder="1"/>
    <xf numFmtId="179" fontId="31" fillId="0" borderId="14" xfId="21" applyNumberFormat="1" applyFont="1" applyFill="1" applyBorder="1"/>
    <xf numFmtId="179" fontId="31" fillId="0" borderId="8" xfId="21" applyNumberFormat="1" applyFont="1" applyFill="1" applyBorder="1"/>
    <xf numFmtId="178" fontId="30" fillId="0" borderId="19" xfId="21" applyNumberFormat="1" applyFont="1" applyFill="1" applyBorder="1"/>
    <xf numFmtId="172" fontId="36" fillId="12" borderId="13" xfId="14" applyNumberFormat="1" applyFont="1" applyFill="1" applyBorder="1"/>
    <xf numFmtId="172" fontId="31" fillId="12" borderId="12" xfId="14" applyNumberFormat="1" applyFont="1" applyFill="1" applyBorder="1"/>
    <xf numFmtId="0" fontId="6" fillId="0" borderId="0" xfId="0" quotePrefix="1" applyFont="1"/>
    <xf numFmtId="179" fontId="31" fillId="0" borderId="17" xfId="21" applyNumberFormat="1" applyFont="1" applyFill="1" applyBorder="1"/>
    <xf numFmtId="179" fontId="31" fillId="0" borderId="11" xfId="21" applyNumberFormat="1" applyFont="1" applyFill="1" applyBorder="1"/>
    <xf numFmtId="9" fontId="37" fillId="12" borderId="13" xfId="18" applyFont="1" applyFill="1" applyBorder="1" applyAlignment="1"/>
    <xf numFmtId="9" fontId="37" fillId="12" borderId="18" xfId="18" applyFont="1" applyFill="1" applyBorder="1" applyAlignment="1"/>
    <xf numFmtId="9" fontId="31" fillId="12" borderId="13" xfId="18" applyFont="1" applyFill="1" applyBorder="1" applyAlignment="1"/>
    <xf numFmtId="166" fontId="31" fillId="12" borderId="7" xfId="18" applyNumberFormat="1" applyFont="1" applyFill="1" applyBorder="1" applyAlignment="1"/>
    <xf numFmtId="9" fontId="37" fillId="12" borderId="7" xfId="18" applyFont="1" applyFill="1" applyBorder="1" applyAlignment="1"/>
    <xf numFmtId="3" fontId="30" fillId="12" borderId="20" xfId="14" applyNumberFormat="1" applyFont="1" applyFill="1" applyBorder="1"/>
    <xf numFmtId="3" fontId="30" fillId="12" borderId="19" xfId="14" applyNumberFormat="1" applyFont="1" applyFill="1" applyBorder="1"/>
    <xf numFmtId="9" fontId="37" fillId="12" borderId="12" xfId="18" applyFont="1" applyFill="1" applyBorder="1" applyAlignment="1"/>
    <xf numFmtId="9" fontId="31" fillId="12" borderId="12" xfId="18" applyFont="1" applyFill="1" applyBorder="1" applyAlignment="1"/>
    <xf numFmtId="9" fontId="37" fillId="12" borderId="6" xfId="18" applyFont="1" applyFill="1" applyBorder="1" applyAlignment="1"/>
    <xf numFmtId="172" fontId="35" fillId="12" borderId="14" xfId="14" applyNumberFormat="1" applyFont="1" applyFill="1" applyBorder="1"/>
    <xf numFmtId="172" fontId="35" fillId="12" borderId="12" xfId="14" applyNumberFormat="1" applyFont="1" applyFill="1" applyBorder="1"/>
    <xf numFmtId="172" fontId="30" fillId="12" borderId="21" xfId="14" applyNumberFormat="1" applyFont="1" applyFill="1" applyBorder="1"/>
    <xf numFmtId="172" fontId="30" fillId="12" borderId="19" xfId="14" applyNumberFormat="1" applyFont="1" applyFill="1" applyBorder="1"/>
    <xf numFmtId="177" fontId="31" fillId="12" borderId="13" xfId="21" applyNumberFormat="1" applyFont="1" applyFill="1" applyBorder="1"/>
    <xf numFmtId="177" fontId="31" fillId="12" borderId="18" xfId="21" applyNumberFormat="1" applyFont="1" applyFill="1" applyBorder="1"/>
    <xf numFmtId="4" fontId="31" fillId="12" borderId="13" xfId="14" applyNumberFormat="1" applyFont="1" applyFill="1" applyBorder="1"/>
    <xf numFmtId="166" fontId="31" fillId="12" borderId="18" xfId="18" applyNumberFormat="1" applyFont="1" applyFill="1" applyBorder="1"/>
    <xf numFmtId="178" fontId="30" fillId="12" borderId="20" xfId="21" applyNumberFormat="1" applyFont="1" applyFill="1" applyBorder="1"/>
    <xf numFmtId="178" fontId="30" fillId="12" borderId="19" xfId="21" applyNumberFormat="1" applyFont="1" applyFill="1" applyBorder="1"/>
    <xf numFmtId="172" fontId="31" fillId="12" borderId="6" xfId="14" applyNumberFormat="1" applyFont="1" applyFill="1" applyBorder="1"/>
    <xf numFmtId="3" fontId="31" fillId="12" borderId="13" xfId="21" applyNumberFormat="1" applyFont="1" applyFill="1" applyBorder="1"/>
    <xf numFmtId="3" fontId="31" fillId="12" borderId="18" xfId="21" applyNumberFormat="1" applyFont="1" applyFill="1" applyBorder="1"/>
    <xf numFmtId="172" fontId="37" fillId="12" borderId="13" xfId="18" applyNumberFormat="1" applyFont="1" applyFill="1" applyBorder="1" applyAlignment="1"/>
    <xf numFmtId="172" fontId="31" fillId="12" borderId="13" xfId="18" applyNumberFormat="1" applyFont="1" applyFill="1" applyBorder="1" applyAlignment="1"/>
    <xf numFmtId="3" fontId="35" fillId="12" borderId="13" xfId="14" applyNumberFormat="1" applyFont="1" applyFill="1" applyBorder="1"/>
    <xf numFmtId="3" fontId="31" fillId="0" borderId="14" xfId="14" applyNumberFormat="1" applyFont="1" applyBorder="1"/>
    <xf numFmtId="181" fontId="30" fillId="0" borderId="0" xfId="21" applyFont="1" applyFill="1" applyBorder="1"/>
    <xf numFmtId="43" fontId="37" fillId="0" borderId="0" xfId="3752" applyFont="1" applyFill="1" applyBorder="1"/>
    <xf numFmtId="0" fontId="31" fillId="0" borderId="0" xfId="14" applyFont="1" applyFill="1"/>
    <xf numFmtId="43" fontId="37" fillId="2" borderId="0" xfId="3752" applyFont="1" applyFill="1" applyBorder="1"/>
    <xf numFmtId="179" fontId="31" fillId="10" borderId="13" xfId="21" applyNumberFormat="1" applyFont="1" applyFill="1" applyBorder="1"/>
    <xf numFmtId="43" fontId="37" fillId="0" borderId="0" xfId="23" applyFont="1" applyFill="1" applyBorder="1"/>
    <xf numFmtId="179" fontId="31" fillId="0" borderId="7" xfId="21" quotePrefix="1" applyNumberFormat="1" applyFont="1" applyFill="1" applyBorder="1"/>
    <xf numFmtId="179" fontId="31" fillId="10" borderId="14" xfId="21" applyNumberFormat="1" applyFont="1" applyFill="1" applyBorder="1"/>
    <xf numFmtId="172" fontId="52" fillId="10" borderId="13" xfId="7" applyNumberFormat="1" applyFont="1" applyFill="1" applyBorder="1" applyAlignment="1"/>
    <xf numFmtId="10" fontId="49" fillId="0" borderId="13" xfId="20" applyNumberFormat="1" applyFont="1" applyFill="1" applyBorder="1" applyAlignment="1">
      <alignment horizontal="right" vertical="center"/>
    </xf>
    <xf numFmtId="10" fontId="49" fillId="0" borderId="0" xfId="20" applyNumberFormat="1" applyFont="1" applyFill="1" applyBorder="1" applyAlignment="1">
      <alignment horizontal="right" vertical="center"/>
    </xf>
    <xf numFmtId="3" fontId="55" fillId="0" borderId="14" xfId="0" applyNumberFormat="1" applyFont="1" applyBorder="1"/>
    <xf numFmtId="3" fontId="49" fillId="0" borderId="8" xfId="7" applyNumberFormat="1" applyFont="1" applyBorder="1"/>
    <xf numFmtId="172" fontId="37" fillId="2" borderId="13" xfId="14" applyNumberFormat="1" applyFont="1" applyFill="1" applyBorder="1"/>
    <xf numFmtId="172" fontId="37" fillId="2" borderId="7" xfId="14" applyNumberFormat="1" applyFont="1" applyFill="1" applyBorder="1"/>
    <xf numFmtId="172" fontId="37" fillId="2" borderId="6" xfId="14" applyNumberFormat="1" applyFont="1" applyFill="1" applyBorder="1"/>
    <xf numFmtId="166" fontId="55" fillId="0" borderId="0" xfId="7" applyNumberFormat="1" applyFont="1" applyBorder="1" applyAlignment="1"/>
    <xf numFmtId="0" fontId="31" fillId="0" borderId="0" xfId="14" applyFont="1"/>
    <xf numFmtId="0" fontId="31" fillId="0" borderId="0" xfId="14" applyFont="1" applyFill="1" applyBorder="1"/>
    <xf numFmtId="172" fontId="31" fillId="0" borderId="13" xfId="14" applyNumberFormat="1" applyFont="1" applyFill="1" applyBorder="1"/>
    <xf numFmtId="0" fontId="30" fillId="0" borderId="0" xfId="14" applyFont="1" applyFill="1" applyBorder="1"/>
    <xf numFmtId="4" fontId="30" fillId="0" borderId="0" xfId="14" applyNumberFormat="1" applyFont="1" applyFill="1" applyBorder="1"/>
    <xf numFmtId="0" fontId="42" fillId="0" borderId="0" xfId="14" applyFont="1"/>
    <xf numFmtId="3" fontId="16" fillId="17" borderId="13" xfId="24" applyNumberFormat="1" applyFont="1" applyFill="1" applyBorder="1" applyAlignment="1"/>
    <xf numFmtId="3" fontId="16" fillId="17" borderId="12" xfId="24" applyNumberFormat="1" applyFont="1" applyFill="1" applyBorder="1" applyAlignment="1"/>
    <xf numFmtId="3" fontId="16" fillId="20" borderId="7" xfId="24" applyNumberFormat="1" applyFont="1" applyFill="1" applyBorder="1" applyAlignment="1"/>
    <xf numFmtId="3" fontId="16" fillId="17" borderId="7" xfId="24" applyNumberFormat="1" applyFont="1" applyFill="1" applyBorder="1" applyAlignment="1"/>
    <xf numFmtId="172" fontId="16" fillId="17" borderId="12" xfId="24" applyNumberFormat="1" applyFont="1" applyFill="1" applyBorder="1" applyAlignment="1"/>
    <xf numFmtId="172" fontId="16" fillId="20" borderId="6" xfId="24" applyNumberFormat="1" applyFont="1" applyFill="1" applyBorder="1" applyAlignment="1"/>
    <xf numFmtId="3" fontId="21" fillId="17" borderId="20" xfId="24" applyNumberFormat="1" applyFont="1" applyFill="1" applyBorder="1" applyAlignment="1"/>
    <xf numFmtId="172" fontId="16" fillId="17" borderId="6" xfId="24" applyNumberFormat="1" applyFont="1" applyFill="1" applyBorder="1" applyAlignment="1"/>
    <xf numFmtId="3" fontId="21" fillId="17" borderId="42" xfId="24" applyNumberFormat="1" applyFont="1" applyFill="1" applyBorder="1" applyAlignment="1"/>
    <xf numFmtId="3" fontId="49" fillId="12" borderId="14" xfId="7" applyNumberFormat="1" applyFont="1" applyFill="1" applyBorder="1" applyAlignment="1"/>
    <xf numFmtId="3" fontId="49" fillId="0" borderId="14" xfId="0" applyNumberFormat="1" applyFont="1" applyFill="1" applyBorder="1" applyAlignment="1"/>
    <xf numFmtId="3" fontId="52" fillId="0" borderId="14" xfId="7" applyNumberFormat="1" applyFont="1" applyFill="1" applyBorder="1" applyAlignment="1"/>
    <xf numFmtId="166" fontId="54" fillId="0" borderId="8" xfId="7" applyNumberFormat="1" applyFont="1" applyFill="1" applyBorder="1" applyAlignment="1"/>
    <xf numFmtId="166" fontId="54" fillId="0" borderId="0" xfId="7" applyNumberFormat="1" applyFont="1" applyFill="1" applyBorder="1" applyAlignment="1"/>
    <xf numFmtId="0" fontId="54" fillId="0" borderId="0" xfId="7" applyFont="1" applyFill="1" applyBorder="1" applyAlignment="1">
      <alignment vertical="center"/>
    </xf>
    <xf numFmtId="3" fontId="54" fillId="12" borderId="14" xfId="7" applyNumberFormat="1" applyFont="1" applyFill="1" applyBorder="1" applyAlignment="1"/>
    <xf numFmtId="3" fontId="49" fillId="0" borderId="14" xfId="7" applyNumberFormat="1" applyFont="1" applyFill="1" applyBorder="1" applyAlignment="1"/>
    <xf numFmtId="166" fontId="54" fillId="0" borderId="0" xfId="7" applyNumberFormat="1" applyFont="1" applyBorder="1" applyAlignment="1"/>
    <xf numFmtId="3" fontId="54" fillId="0" borderId="14" xfId="7" applyNumberFormat="1" applyFont="1" applyFill="1" applyBorder="1" applyAlignment="1"/>
    <xf numFmtId="3" fontId="52" fillId="0" borderId="8" xfId="7" applyNumberFormat="1" applyFont="1" applyFill="1" applyBorder="1" applyAlignment="1"/>
    <xf numFmtId="0" fontId="54" fillId="2" borderId="0" xfId="7" applyFont="1" applyFill="1" applyBorder="1" applyAlignment="1">
      <alignment vertical="center"/>
    </xf>
    <xf numFmtId="10" fontId="49" fillId="0" borderId="14" xfId="20" applyNumberFormat="1" applyFont="1" applyFill="1" applyBorder="1" applyAlignment="1">
      <alignment horizontal="right" vertical="center"/>
    </xf>
    <xf numFmtId="10" fontId="49" fillId="0" borderId="8" xfId="20" applyNumberFormat="1" applyFont="1" applyFill="1" applyBorder="1" applyAlignment="1">
      <alignment horizontal="right" vertical="center"/>
    </xf>
    <xf numFmtId="10" fontId="54" fillId="0" borderId="0" xfId="20" applyNumberFormat="1" applyFont="1" applyFill="1" applyBorder="1" applyAlignment="1">
      <alignment horizontal="right" vertical="center"/>
    </xf>
    <xf numFmtId="172" fontId="54" fillId="0" borderId="0" xfId="7" applyNumberFormat="1" applyFont="1" applyFill="1" applyBorder="1" applyAlignment="1"/>
    <xf numFmtId="172" fontId="54" fillId="0" borderId="0" xfId="7" applyNumberFormat="1" applyFont="1" applyBorder="1" applyAlignment="1"/>
    <xf numFmtId="172" fontId="54" fillId="12" borderId="14" xfId="7" applyNumberFormat="1" applyFont="1" applyFill="1" applyBorder="1" applyAlignment="1"/>
    <xf numFmtId="172" fontId="54" fillId="12" borderId="8" xfId="7" applyNumberFormat="1" applyFont="1" applyFill="1" applyBorder="1" applyAlignment="1"/>
    <xf numFmtId="3" fontId="54" fillId="0" borderId="8" xfId="7" applyNumberFormat="1" applyFont="1" applyFill="1" applyBorder="1" applyAlignment="1"/>
    <xf numFmtId="172" fontId="54" fillId="0" borderId="0" xfId="10" applyNumberFormat="1" applyFont="1" applyFill="1" applyBorder="1" applyAlignment="1"/>
    <xf numFmtId="166" fontId="54" fillId="0" borderId="0" xfId="20" applyNumberFormat="1" applyFont="1" applyFill="1" applyBorder="1" applyAlignment="1">
      <alignment vertical="center"/>
    </xf>
    <xf numFmtId="173" fontId="54" fillId="12" borderId="14" xfId="20" applyNumberFormat="1" applyFont="1" applyFill="1" applyBorder="1" applyAlignment="1"/>
    <xf numFmtId="166" fontId="54" fillId="0" borderId="14" xfId="20" applyNumberFormat="1" applyFont="1" applyFill="1" applyBorder="1" applyAlignment="1"/>
    <xf numFmtId="172" fontId="52" fillId="0" borderId="14" xfId="7" applyNumberFormat="1" applyFont="1" applyBorder="1" applyAlignment="1"/>
    <xf numFmtId="4" fontId="52" fillId="0" borderId="14" xfId="7" applyNumberFormat="1" applyFont="1" applyBorder="1" applyAlignment="1"/>
    <xf numFmtId="166" fontId="54" fillId="0" borderId="8" xfId="20" applyNumberFormat="1" applyFont="1" applyFill="1" applyBorder="1" applyAlignment="1"/>
    <xf numFmtId="166" fontId="55" fillId="0" borderId="0" xfId="7" applyNumberFormat="1" applyFont="1" applyFill="1" applyBorder="1" applyAlignment="1"/>
    <xf numFmtId="0" fontId="55" fillId="0" borderId="0" xfId="7" applyFont="1" applyFill="1" applyBorder="1" applyAlignment="1">
      <alignment vertical="center"/>
    </xf>
    <xf numFmtId="3" fontId="55" fillId="12" borderId="14" xfId="7" applyNumberFormat="1" applyFont="1" applyFill="1" applyBorder="1" applyAlignment="1"/>
    <xf numFmtId="0" fontId="55" fillId="2" borderId="0" xfId="7" applyFont="1" applyFill="1" applyBorder="1" applyAlignment="1">
      <alignment vertical="center"/>
    </xf>
    <xf numFmtId="10" fontId="55" fillId="0" borderId="0" xfId="20" applyNumberFormat="1" applyFont="1" applyFill="1" applyBorder="1" applyAlignment="1">
      <alignment horizontal="right" vertical="center"/>
    </xf>
    <xf numFmtId="172" fontId="55" fillId="0" borderId="0" xfId="7" applyNumberFormat="1" applyFont="1" applyFill="1" applyBorder="1" applyAlignment="1"/>
    <xf numFmtId="172" fontId="55" fillId="0" borderId="0" xfId="7" applyNumberFormat="1" applyFont="1" applyBorder="1" applyAlignment="1"/>
    <xf numFmtId="10" fontId="55" fillId="12" borderId="8" xfId="20" applyNumberFormat="1" applyFont="1" applyFill="1" applyBorder="1" applyAlignment="1">
      <alignment horizontal="right" vertical="center"/>
    </xf>
    <xf numFmtId="172" fontId="55" fillId="0" borderId="0" xfId="10" applyNumberFormat="1" applyFont="1" applyFill="1" applyBorder="1" applyAlignment="1"/>
    <xf numFmtId="166" fontId="55" fillId="0" borderId="0" xfId="20" applyNumberFormat="1" applyFont="1" applyFill="1" applyBorder="1" applyAlignment="1">
      <alignment vertical="center"/>
    </xf>
    <xf numFmtId="173" fontId="54" fillId="0" borderId="14" xfId="20" applyNumberFormat="1" applyFont="1" applyFill="1" applyBorder="1" applyAlignment="1"/>
    <xf numFmtId="3" fontId="55" fillId="0" borderId="14" xfId="7" applyNumberFormat="1" applyFont="1" applyFill="1" applyBorder="1" applyAlignment="1"/>
    <xf numFmtId="0" fontId="42" fillId="0" borderId="0" xfId="14" applyFont="1" applyFill="1" applyBorder="1"/>
    <xf numFmtId="3" fontId="16" fillId="20" borderId="14" xfId="24" applyNumberFormat="1" applyFont="1" applyFill="1" applyBorder="1" applyAlignment="1">
      <alignment horizontal="center"/>
    </xf>
    <xf numFmtId="3" fontId="16" fillId="17" borderId="13" xfId="24" applyNumberFormat="1" applyFont="1" applyFill="1" applyBorder="1" applyAlignment="1">
      <alignment horizontal="center"/>
    </xf>
    <xf numFmtId="3" fontId="16" fillId="17" borderId="12" xfId="24" applyNumberFormat="1" applyFont="1" applyFill="1" applyBorder="1" applyAlignment="1">
      <alignment horizontal="center"/>
    </xf>
    <xf numFmtId="3" fontId="16" fillId="17" borderId="17" xfId="24" applyNumberFormat="1" applyFont="1" applyFill="1" applyBorder="1" applyAlignment="1">
      <alignment horizontal="center"/>
    </xf>
    <xf numFmtId="3" fontId="16" fillId="20" borderId="13" xfId="24" applyNumberFormat="1" applyFont="1" applyFill="1" applyBorder="1" applyAlignment="1">
      <alignment horizontal="center"/>
    </xf>
    <xf numFmtId="3" fontId="16" fillId="0" borderId="13" xfId="24" applyNumberFormat="1" applyFont="1" applyFill="1" applyBorder="1" applyAlignment="1">
      <alignment horizontal="center"/>
    </xf>
    <xf numFmtId="3" fontId="16" fillId="0" borderId="17" xfId="24" applyNumberFormat="1" applyFont="1" applyFill="1" applyBorder="1" applyAlignment="1">
      <alignment horizontal="center"/>
    </xf>
    <xf numFmtId="3" fontId="16" fillId="0" borderId="12" xfId="24" applyNumberFormat="1" applyFont="1" applyFill="1" applyBorder="1" applyAlignment="1">
      <alignment horizontal="center"/>
    </xf>
    <xf numFmtId="3" fontId="16" fillId="20" borderId="8" xfId="24" applyNumberFormat="1" applyFont="1" applyFill="1" applyBorder="1" applyAlignment="1">
      <alignment horizontal="center"/>
    </xf>
    <xf numFmtId="3" fontId="16" fillId="20" borderId="7" xfId="24" applyNumberFormat="1" applyFont="1" applyFill="1" applyBorder="1" applyAlignment="1">
      <alignment horizontal="center"/>
    </xf>
    <xf numFmtId="3" fontId="21" fillId="0" borderId="20" xfId="24" applyNumberFormat="1" applyFont="1" applyFill="1" applyBorder="1" applyAlignment="1">
      <alignment horizontal="center"/>
    </xf>
    <xf numFmtId="3" fontId="21" fillId="0" borderId="42" xfId="24" applyNumberFormat="1" applyFont="1" applyFill="1" applyBorder="1" applyAlignment="1">
      <alignment horizontal="center"/>
    </xf>
    <xf numFmtId="3" fontId="21" fillId="17" borderId="20" xfId="24" applyNumberFormat="1" applyFont="1" applyFill="1" applyBorder="1" applyAlignment="1">
      <alignment horizontal="center"/>
    </xf>
    <xf numFmtId="3" fontId="50" fillId="0" borderId="13" xfId="24" applyNumberFormat="1" applyFont="1" applyFill="1" applyBorder="1" applyAlignment="1">
      <alignment horizontal="center"/>
    </xf>
    <xf numFmtId="3" fontId="50" fillId="0" borderId="12" xfId="24" applyNumberFormat="1" applyFont="1" applyFill="1" applyBorder="1" applyAlignment="1">
      <alignment horizontal="center"/>
    </xf>
    <xf numFmtId="172" fontId="16" fillId="17" borderId="12" xfId="24" applyNumberFormat="1" applyFont="1" applyFill="1" applyBorder="1" applyAlignment="1">
      <alignment horizontal="center"/>
    </xf>
    <xf numFmtId="172" fontId="16" fillId="20" borderId="6" xfId="24" applyNumberFormat="1" applyFont="1" applyFill="1" applyBorder="1" applyAlignment="1">
      <alignment horizontal="center"/>
    </xf>
    <xf numFmtId="43" fontId="37" fillId="0" borderId="0" xfId="15444" applyFont="1" applyFill="1" applyBorder="1"/>
    <xf numFmtId="3" fontId="16" fillId="0" borderId="17" xfId="24" quotePrefix="1" applyNumberFormat="1" applyFont="1" applyFill="1" applyBorder="1" applyAlignment="1">
      <alignment horizontal="center"/>
    </xf>
    <xf numFmtId="3" fontId="55" fillId="0" borderId="8" xfId="7" applyNumberFormat="1" applyFont="1" applyFill="1" applyBorder="1" applyAlignment="1"/>
    <xf numFmtId="3" fontId="54" fillId="12" borderId="8" xfId="7" applyNumberFormat="1" applyFont="1" applyFill="1" applyBorder="1" applyAlignment="1"/>
    <xf numFmtId="3" fontId="49" fillId="0" borderId="14" xfId="0" applyNumberFormat="1" applyFont="1" applyBorder="1"/>
    <xf numFmtId="3" fontId="49" fillId="0" borderId="14" xfId="7" applyNumberFormat="1" applyFont="1" applyBorder="1"/>
    <xf numFmtId="172" fontId="31" fillId="10" borderId="20" xfId="14" applyNumberFormat="1" applyFont="1" applyFill="1" applyBorder="1"/>
    <xf numFmtId="3" fontId="16" fillId="10" borderId="17" xfId="24" applyNumberFormat="1" applyFont="1" applyFill="1" applyBorder="1" applyAlignment="1">
      <alignment horizontal="center"/>
    </xf>
    <xf numFmtId="165" fontId="11" fillId="2" borderId="3" xfId="0" applyNumberFormat="1" applyFont="1" applyFill="1" applyBorder="1" applyAlignment="1">
      <alignment horizontal="left"/>
    </xf>
    <xf numFmtId="167" fontId="6" fillId="2" borderId="0" xfId="0" applyNumberFormat="1" applyFont="1" applyFill="1" applyAlignment="1">
      <alignment horizontal="center"/>
    </xf>
    <xf numFmtId="272" fontId="30" fillId="0" borderId="0" xfId="21" applyNumberFormat="1" applyFont="1" applyFill="1" applyBorder="1"/>
    <xf numFmtId="0" fontId="30" fillId="0" borderId="116" xfId="14" applyFont="1" applyBorder="1"/>
    <xf numFmtId="171" fontId="31" fillId="0" borderId="13" xfId="21" applyNumberFormat="1" applyFont="1" applyFill="1" applyBorder="1"/>
    <xf numFmtId="171" fontId="31" fillId="0" borderId="18" xfId="21" applyNumberFormat="1" applyFont="1" applyFill="1" applyBorder="1"/>
    <xf numFmtId="0" fontId="31" fillId="0" borderId="116" xfId="14" applyFont="1" applyBorder="1"/>
    <xf numFmtId="0" fontId="30" fillId="0" borderId="116" xfId="14" applyFont="1" applyFill="1" applyBorder="1"/>
    <xf numFmtId="9" fontId="31" fillId="12" borderId="18" xfId="18" applyFont="1" applyFill="1" applyBorder="1" applyAlignment="1"/>
    <xf numFmtId="172" fontId="31" fillId="0" borderId="35" xfId="14" applyNumberFormat="1" applyFont="1" applyBorder="1"/>
    <xf numFmtId="172" fontId="31" fillId="0" borderId="18" xfId="14" applyNumberFormat="1" applyFont="1" applyBorder="1"/>
    <xf numFmtId="0" fontId="31" fillId="0" borderId="116" xfId="14" applyFont="1" applyBorder="1" applyAlignment="1">
      <alignment horizontal="left"/>
    </xf>
    <xf numFmtId="9" fontId="31" fillId="0" borderId="7" xfId="18" applyFont="1" applyBorder="1" applyAlignment="1"/>
    <xf numFmtId="9" fontId="37" fillId="0" borderId="116" xfId="18" applyFont="1" applyBorder="1" applyAlignment="1"/>
    <xf numFmtId="172" fontId="30" fillId="0" borderId="21" xfId="14" applyNumberFormat="1" applyFont="1" applyBorder="1"/>
    <xf numFmtId="172" fontId="31" fillId="0" borderId="13" xfId="14" quotePrefix="1" applyNumberFormat="1" applyFont="1" applyBorder="1"/>
    <xf numFmtId="3" fontId="31" fillId="0" borderId="12" xfId="21" applyNumberFormat="1" applyFont="1" applyFill="1" applyBorder="1"/>
    <xf numFmtId="172" fontId="31" fillId="0" borderId="14" xfId="14" applyNumberFormat="1" applyFont="1" applyFill="1" applyBorder="1"/>
    <xf numFmtId="172" fontId="30" fillId="0" borderId="19" xfId="14" applyNumberFormat="1" applyFont="1" applyBorder="1"/>
    <xf numFmtId="273" fontId="6" fillId="0" borderId="0" xfId="0" applyNumberFormat="1" applyFont="1"/>
    <xf numFmtId="179" fontId="31" fillId="10" borderId="7" xfId="21" applyNumberFormat="1" applyFont="1" applyFill="1" applyBorder="1"/>
    <xf numFmtId="179" fontId="31" fillId="10" borderId="6" xfId="21" applyNumberFormat="1" applyFont="1" applyFill="1" applyBorder="1"/>
    <xf numFmtId="4" fontId="16" fillId="10" borderId="16" xfId="14" applyNumberFormat="1" applyFont="1" applyFill="1" applyBorder="1" applyAlignment="1">
      <alignment vertical="center"/>
    </xf>
    <xf numFmtId="4" fontId="21" fillId="10" borderId="18" xfId="14" applyNumberFormat="1" applyFont="1" applyFill="1" applyBorder="1" applyAlignment="1">
      <alignment vertical="center"/>
    </xf>
    <xf numFmtId="43" fontId="31" fillId="0" borderId="0" xfId="15444" applyFont="1" applyFill="1" applyBorder="1"/>
    <xf numFmtId="4" fontId="16" fillId="10" borderId="10" xfId="14" applyNumberFormat="1" applyFont="1" applyFill="1" applyBorder="1" applyAlignment="1">
      <alignment vertical="center"/>
    </xf>
    <xf numFmtId="43" fontId="30" fillId="10" borderId="116" xfId="15444" applyFont="1" applyFill="1" applyBorder="1" applyAlignment="1">
      <alignment vertical="center"/>
    </xf>
    <xf numFmtId="4" fontId="31" fillId="0" borderId="13" xfId="18" applyNumberFormat="1" applyFont="1" applyBorder="1" applyAlignment="1"/>
    <xf numFmtId="4" fontId="37" fillId="0" borderId="18" xfId="18" applyNumberFormat="1" applyFont="1" applyBorder="1" applyAlignment="1"/>
    <xf numFmtId="4" fontId="31" fillId="0" borderId="13" xfId="21" applyNumberFormat="1" applyFont="1" applyFill="1" applyBorder="1"/>
    <xf numFmtId="4" fontId="31" fillId="0" borderId="18" xfId="21" applyNumberFormat="1" applyFont="1" applyFill="1" applyBorder="1"/>
    <xf numFmtId="4" fontId="31" fillId="0" borderId="0" xfId="14" applyNumberFormat="1" applyFont="1" applyFill="1" applyBorder="1"/>
    <xf numFmtId="0" fontId="9" fillId="146" borderId="0" xfId="0" applyFont="1" applyFill="1" applyBorder="1"/>
    <xf numFmtId="0" fontId="9" fillId="147" borderId="0" xfId="0" applyFont="1" applyFill="1" applyBorder="1"/>
    <xf numFmtId="170" fontId="13" fillId="2" borderId="0" xfId="0" applyNumberFormat="1" applyFont="1" applyFill="1" applyAlignment="1">
      <alignment horizontal="center"/>
    </xf>
    <xf numFmtId="0" fontId="12" fillId="0" borderId="0" xfId="5"/>
    <xf numFmtId="0" fontId="3" fillId="4" borderId="0" xfId="2" applyFill="1">
      <alignment vertical="center"/>
    </xf>
    <xf numFmtId="0" fontId="5" fillId="0" borderId="1" xfId="4">
      <alignment vertical="center"/>
    </xf>
    <xf numFmtId="0" fontId="348" fillId="0" borderId="0" xfId="5" applyFont="1" applyAlignment="1">
      <alignment horizontal="center"/>
    </xf>
    <xf numFmtId="0" fontId="349" fillId="0" borderId="0" xfId="5" applyFont="1"/>
    <xf numFmtId="0" fontId="12" fillId="0" borderId="0" xfId="5" quotePrefix="1"/>
    <xf numFmtId="0" fontId="348" fillId="0" borderId="0" xfId="5" applyFont="1"/>
    <xf numFmtId="0" fontId="3" fillId="4" borderId="0" xfId="2" applyFill="1" applyAlignment="1">
      <alignment horizontal="center" vertical="center"/>
    </xf>
    <xf numFmtId="0" fontId="12" fillId="0" borderId="0" xfId="5" applyAlignment="1">
      <alignment horizontal="center"/>
    </xf>
    <xf numFmtId="173" fontId="348" fillId="0" borderId="0" xfId="5" applyNumberFormat="1" applyFont="1"/>
    <xf numFmtId="165" fontId="11" fillId="2" borderId="0" xfId="0" applyNumberFormat="1" applyFont="1" applyFill="1" applyBorder="1"/>
    <xf numFmtId="0" fontId="348" fillId="2" borderId="0" xfId="5" applyFont="1" applyFill="1" applyAlignment="1">
      <alignment horizontal="center"/>
    </xf>
    <xf numFmtId="0" fontId="349" fillId="6" borderId="0" xfId="5" applyFont="1" applyFill="1"/>
    <xf numFmtId="0" fontId="12" fillId="6" borderId="0" xfId="5" applyFill="1"/>
    <xf numFmtId="0" fontId="31" fillId="6" borderId="0" xfId="14" applyFont="1" applyFill="1" applyBorder="1" applyAlignment="1">
      <alignment vertical="center"/>
    </xf>
    <xf numFmtId="165" fontId="11" fillId="6" borderId="3" xfId="0" applyNumberFormat="1" applyFont="1" applyFill="1" applyBorder="1"/>
    <xf numFmtId="0" fontId="31" fillId="6" borderId="0" xfId="14" applyFont="1" applyFill="1" applyBorder="1"/>
    <xf numFmtId="0" fontId="31" fillId="6" borderId="0" xfId="14" applyFont="1" applyFill="1" applyBorder="1" applyAlignment="1">
      <alignment horizontal="left"/>
    </xf>
    <xf numFmtId="0" fontId="30" fillId="6" borderId="0" xfId="14" applyFont="1" applyFill="1" applyBorder="1" applyAlignment="1">
      <alignment vertical="center"/>
    </xf>
    <xf numFmtId="165" fontId="45" fillId="6" borderId="3" xfId="0" applyNumberFormat="1" applyFont="1" applyFill="1" applyBorder="1"/>
    <xf numFmtId="1" fontId="349" fillId="6" borderId="0" xfId="5" applyNumberFormat="1" applyFont="1" applyFill="1"/>
    <xf numFmtId="0" fontId="349" fillId="2" borderId="119" xfId="5" applyFont="1" applyFill="1" applyBorder="1"/>
    <xf numFmtId="0" fontId="12" fillId="2" borderId="119" xfId="5" applyFill="1" applyBorder="1"/>
    <xf numFmtId="0" fontId="349" fillId="0" borderId="119" xfId="5" applyFont="1" applyBorder="1"/>
    <xf numFmtId="0" fontId="12" fillId="0" borderId="119" xfId="5" applyBorder="1"/>
    <xf numFmtId="165" fontId="349" fillId="6" borderId="0" xfId="5" applyNumberFormat="1" applyFont="1" applyFill="1"/>
    <xf numFmtId="168" fontId="46" fillId="6" borderId="3" xfId="0" applyNumberFormat="1" applyFont="1" applyFill="1" applyBorder="1"/>
    <xf numFmtId="165" fontId="11" fillId="6" borderId="24" xfId="0" applyNumberFormat="1" applyFont="1" applyFill="1" applyBorder="1"/>
    <xf numFmtId="0" fontId="12" fillId="6" borderId="0" xfId="5" quotePrefix="1" applyFill="1"/>
    <xf numFmtId="0" fontId="12" fillId="6" borderId="0" xfId="5" applyFont="1" applyFill="1"/>
    <xf numFmtId="165" fontId="12" fillId="6" borderId="0" xfId="5" applyNumberFormat="1" applyFill="1"/>
    <xf numFmtId="0" fontId="16" fillId="6" borderId="0" xfId="7" applyFont="1" applyFill="1" applyBorder="1" applyAlignment="1"/>
    <xf numFmtId="0" fontId="348" fillId="6" borderId="0" xfId="5" applyFont="1" applyFill="1" applyAlignment="1">
      <alignment horizontal="center"/>
    </xf>
    <xf numFmtId="0" fontId="348" fillId="0" borderId="119" xfId="5" applyFont="1" applyBorder="1" applyAlignment="1">
      <alignment horizontal="center"/>
    </xf>
    <xf numFmtId="0" fontId="348" fillId="6" borderId="0" xfId="5" applyFont="1" applyFill="1"/>
    <xf numFmtId="0" fontId="7" fillId="6" borderId="0" xfId="0" applyFont="1" applyFill="1"/>
    <xf numFmtId="169" fontId="11" fillId="8" borderId="119" xfId="0" applyNumberFormat="1" applyFont="1" applyFill="1" applyBorder="1" applyAlignment="1">
      <alignment horizontal="center"/>
    </xf>
    <xf numFmtId="169" fontId="11" fillId="8" borderId="116" xfId="0" applyNumberFormat="1" applyFont="1" applyFill="1" applyBorder="1" applyAlignment="1">
      <alignment horizontal="center"/>
    </xf>
    <xf numFmtId="10" fontId="348" fillId="6" borderId="0" xfId="5" applyNumberFormat="1" applyFont="1" applyFill="1"/>
    <xf numFmtId="166" fontId="348" fillId="6" borderId="0" xfId="5" applyNumberFormat="1" applyFont="1" applyFill="1"/>
    <xf numFmtId="0" fontId="13" fillId="2" borderId="0" xfId="0" applyFont="1" applyFill="1" applyBorder="1"/>
    <xf numFmtId="0" fontId="12" fillId="0" borderId="0" xfId="5" applyBorder="1"/>
    <xf numFmtId="0" fontId="12" fillId="6" borderId="0" xfId="5" applyFill="1" applyBorder="1"/>
    <xf numFmtId="0" fontId="6" fillId="6" borderId="0" xfId="0" applyFont="1" applyFill="1" applyBorder="1"/>
    <xf numFmtId="165" fontId="11" fillId="146" borderId="3" xfId="0" applyNumberFormat="1" applyFont="1" applyFill="1" applyBorder="1"/>
    <xf numFmtId="165" fontId="46" fillId="2" borderId="3" xfId="0" applyNumberFormat="1" applyFont="1" applyFill="1" applyBorder="1" applyAlignment="1">
      <alignment horizontal="left"/>
    </xf>
    <xf numFmtId="0" fontId="12" fillId="6" borderId="0" xfId="5" applyFill="1" applyBorder="1" applyAlignment="1">
      <alignment horizontal="center"/>
    </xf>
    <xf numFmtId="0" fontId="12" fillId="6" borderId="0" xfId="5" applyFont="1" applyFill="1" applyAlignment="1">
      <alignment horizontal="center"/>
    </xf>
    <xf numFmtId="0" fontId="349" fillId="6" borderId="0" xfId="5" applyFont="1" applyFill="1" applyBorder="1"/>
    <xf numFmtId="0" fontId="12" fillId="2" borderId="0" xfId="5" applyFill="1"/>
    <xf numFmtId="0" fontId="12" fillId="2" borderId="0" xfId="5" applyFill="1" applyBorder="1"/>
    <xf numFmtId="0" fontId="349" fillId="2" borderId="0" xfId="5" applyFont="1" applyFill="1"/>
    <xf numFmtId="0" fontId="6" fillId="2" borderId="119" xfId="0" applyFont="1" applyFill="1" applyBorder="1"/>
    <xf numFmtId="0" fontId="6" fillId="2" borderId="0" xfId="6711" applyFont="1" applyFill="1"/>
    <xf numFmtId="0" fontId="6" fillId="3" borderId="0" xfId="6711" applyFont="1" applyFill="1"/>
    <xf numFmtId="0" fontId="7" fillId="3" borderId="0" xfId="6711" applyFont="1" applyFill="1"/>
    <xf numFmtId="14" fontId="7" fillId="3" borderId="0" xfId="6711" applyNumberFormat="1" applyFont="1" applyFill="1"/>
    <xf numFmtId="4" fontId="45" fillId="9" borderId="3" xfId="6711" applyNumberFormat="1" applyFont="1" applyFill="1" applyBorder="1"/>
    <xf numFmtId="0" fontId="10" fillId="3" borderId="0" xfId="6711" applyFont="1" applyFill="1"/>
    <xf numFmtId="0" fontId="7" fillId="3" borderId="0" xfId="6711" applyFont="1" applyFill="1" applyAlignment="1">
      <alignment horizontal="center"/>
    </xf>
    <xf numFmtId="14" fontId="6" fillId="2" borderId="0" xfId="6711" applyNumberFormat="1" applyFont="1" applyFill="1" applyAlignment="1">
      <alignment horizontal="center"/>
    </xf>
    <xf numFmtId="3" fontId="6" fillId="3" borderId="0" xfId="6711" applyNumberFormat="1" applyFont="1" applyFill="1"/>
    <xf numFmtId="3" fontId="6" fillId="2" borderId="0" xfId="6711" applyNumberFormat="1" applyFont="1" applyFill="1" applyAlignment="1">
      <alignment horizontal="center"/>
    </xf>
    <xf numFmtId="0" fontId="9" fillId="2" borderId="2" xfId="6711" applyFont="1" applyFill="1" applyBorder="1" applyAlignment="1">
      <alignment horizontal="center"/>
    </xf>
    <xf numFmtId="3" fontId="9" fillId="2" borderId="2" xfId="6711" applyNumberFormat="1" applyFont="1" applyFill="1" applyBorder="1" applyAlignment="1">
      <alignment horizontal="center"/>
    </xf>
    <xf numFmtId="0" fontId="9" fillId="2" borderId="0" xfId="6711" applyFont="1" applyFill="1"/>
    <xf numFmtId="3" fontId="6" fillId="2" borderId="0" xfId="6711" applyNumberFormat="1" applyFont="1" applyFill="1"/>
    <xf numFmtId="3" fontId="45" fillId="9" borderId="38" xfId="6711" applyNumberFormat="1" applyFont="1" applyFill="1" applyBorder="1"/>
    <xf numFmtId="3" fontId="11" fillId="9" borderId="3" xfId="6711" applyNumberFormat="1" applyFont="1" applyFill="1" applyBorder="1"/>
    <xf numFmtId="3" fontId="11" fillId="9" borderId="38" xfId="6711" applyNumberFormat="1" applyFont="1" applyFill="1" applyBorder="1"/>
    <xf numFmtId="0" fontId="10" fillId="7" borderId="0" xfId="6711" applyFont="1" applyFill="1" applyAlignment="1">
      <alignment horizontal="left"/>
    </xf>
    <xf numFmtId="0" fontId="6" fillId="7" borderId="0" xfId="6711" applyFont="1" applyFill="1" applyAlignment="1">
      <alignment horizontal="left"/>
    </xf>
    <xf numFmtId="3" fontId="6" fillId="7" borderId="0" xfId="6711" applyNumberFormat="1" applyFont="1" applyFill="1" applyAlignment="1">
      <alignment horizontal="left"/>
    </xf>
    <xf numFmtId="0" fontId="8" fillId="2" borderId="2" xfId="6711" applyFont="1" applyFill="1" applyBorder="1"/>
    <xf numFmtId="0" fontId="44" fillId="2" borderId="2" xfId="6711" applyFont="1" applyFill="1" applyBorder="1" applyAlignment="1">
      <alignment horizontal="center"/>
    </xf>
    <xf numFmtId="0" fontId="8" fillId="2" borderId="2" xfId="6711" applyFont="1" applyFill="1" applyBorder="1" applyAlignment="1">
      <alignment horizontal="center"/>
    </xf>
    <xf numFmtId="0" fontId="8" fillId="2" borderId="0" xfId="6711" applyFont="1" applyFill="1"/>
    <xf numFmtId="0" fontId="9" fillId="2" borderId="0" xfId="6711" applyFont="1" applyFill="1" applyAlignment="1">
      <alignment horizontal="center"/>
    </xf>
    <xf numFmtId="165" fontId="9" fillId="2" borderId="0" xfId="6711" applyNumberFormat="1" applyFont="1" applyFill="1"/>
    <xf numFmtId="165" fontId="352" fillId="12" borderId="3" xfId="25907" applyNumberFormat="1" applyFont="1" applyFill="1" applyBorder="1" applyAlignment="1">
      <alignment horizontal="center"/>
    </xf>
    <xf numFmtId="165" fontId="352" fillId="2" borderId="3" xfId="25907" applyNumberFormat="1" applyFont="1" applyFill="1" applyBorder="1" applyAlignment="1">
      <alignment horizontal="center"/>
    </xf>
    <xf numFmtId="165" fontId="6" fillId="2" borderId="0" xfId="6711" applyNumberFormat="1" applyFont="1" applyFill="1"/>
    <xf numFmtId="165" fontId="352" fillId="12" borderId="3" xfId="25907" applyNumberFormat="1" applyFont="1" applyFill="1" applyBorder="1"/>
    <xf numFmtId="165" fontId="352" fillId="2" borderId="3" xfId="25907" applyNumberFormat="1" applyFont="1" applyFill="1" applyBorder="1"/>
    <xf numFmtId="0" fontId="70" fillId="2" borderId="0" xfId="6711" applyFont="1" applyFill="1"/>
    <xf numFmtId="165" fontId="11" fillId="12" borderId="3" xfId="6711" applyNumberFormat="1" applyFont="1" applyFill="1" applyBorder="1"/>
    <xf numFmtId="0" fontId="7" fillId="2" borderId="0" xfId="6711" applyFont="1" applyFill="1"/>
    <xf numFmtId="165" fontId="45" fillId="2" borderId="0" xfId="6711" applyNumberFormat="1" applyFont="1" applyFill="1" applyBorder="1" applyAlignment="1">
      <alignment horizontal="center"/>
    </xf>
    <xf numFmtId="0" fontId="9" fillId="2" borderId="2" xfId="6711" applyFont="1" applyFill="1" applyBorder="1"/>
    <xf numFmtId="3" fontId="9" fillId="2" borderId="2" xfId="6711" applyNumberFormat="1" applyFont="1" applyFill="1" applyBorder="1"/>
    <xf numFmtId="2" fontId="6" fillId="2" borderId="0" xfId="6711" applyNumberFormat="1" applyFont="1" applyFill="1"/>
    <xf numFmtId="165" fontId="11" fillId="2" borderId="3" xfId="6711" applyNumberFormat="1" applyFont="1" applyFill="1" applyBorder="1" applyAlignment="1">
      <alignment horizontal="right"/>
    </xf>
    <xf numFmtId="0" fontId="6" fillId="6" borderId="0" xfId="6711" applyFont="1" applyFill="1"/>
    <xf numFmtId="3" fontId="6" fillId="6" borderId="0" xfId="6711" applyNumberFormat="1" applyFont="1" applyFill="1"/>
    <xf numFmtId="0" fontId="6" fillId="26" borderId="0" xfId="6711" applyFont="1" applyFill="1"/>
    <xf numFmtId="0" fontId="10" fillId="26" borderId="0" xfId="6711" applyFont="1" applyFill="1"/>
    <xf numFmtId="3" fontId="6" fillId="26" borderId="0" xfId="6711" applyNumberFormat="1" applyFont="1" applyFill="1"/>
    <xf numFmtId="0" fontId="10" fillId="2" borderId="0" xfId="6711" applyFont="1" applyFill="1"/>
    <xf numFmtId="3" fontId="7" fillId="2" borderId="0" xfId="6711" applyNumberFormat="1" applyFont="1" applyFill="1" applyAlignment="1">
      <alignment horizontal="center"/>
    </xf>
    <xf numFmtId="0" fontId="71" fillId="4" borderId="0" xfId="6711" applyFont="1" applyFill="1"/>
    <xf numFmtId="184" fontId="50" fillId="2" borderId="13" xfId="21" applyNumberFormat="1" applyFont="1" applyFill="1" applyBorder="1" applyAlignment="1"/>
    <xf numFmtId="3" fontId="16" fillId="2" borderId="13" xfId="0" applyNumberFormat="1" applyFont="1" applyFill="1" applyBorder="1" applyAlignment="1"/>
    <xf numFmtId="3" fontId="50" fillId="2" borderId="13" xfId="0" applyNumberFormat="1" applyFont="1" applyFill="1" applyBorder="1"/>
    <xf numFmtId="3" fontId="49" fillId="2" borderId="14" xfId="0" applyNumberFormat="1" applyFont="1" applyFill="1" applyBorder="1" applyAlignment="1"/>
    <xf numFmtId="3" fontId="49" fillId="2" borderId="13" xfId="0" applyNumberFormat="1" applyFont="1" applyFill="1" applyBorder="1" applyAlignment="1"/>
    <xf numFmtId="3" fontId="50" fillId="2" borderId="12" xfId="0" applyNumberFormat="1" applyFont="1" applyFill="1" applyBorder="1"/>
    <xf numFmtId="165" fontId="352" fillId="14" borderId="3" xfId="25907" applyNumberFormat="1" applyFont="1" applyFill="1" applyBorder="1" applyAlignment="1">
      <alignment horizontal="center"/>
    </xf>
    <xf numFmtId="0" fontId="6" fillId="2" borderId="0" xfId="6711" applyFont="1" applyFill="1" applyAlignment="1">
      <alignment horizontal="center"/>
    </xf>
    <xf numFmtId="165" fontId="11" fillId="2" borderId="3" xfId="6711" applyNumberFormat="1" applyFont="1" applyFill="1" applyBorder="1"/>
    <xf numFmtId="0" fontId="6" fillId="2" borderId="0" xfId="0" applyFont="1" applyFill="1" applyAlignment="1">
      <alignment horizontal="right"/>
    </xf>
    <xf numFmtId="168" fontId="11" fillId="6" borderId="3" xfId="0" applyNumberFormat="1" applyFont="1" applyFill="1" applyBorder="1"/>
    <xf numFmtId="165" fontId="11" fillId="6" borderId="0" xfId="0" applyNumberFormat="1" applyFont="1" applyFill="1" applyBorder="1"/>
    <xf numFmtId="170" fontId="11" fillId="6" borderId="3" xfId="0" applyNumberFormat="1" applyFont="1" applyFill="1" applyBorder="1"/>
    <xf numFmtId="0" fontId="44" fillId="146" borderId="0" xfId="0" applyFont="1" applyFill="1" applyBorder="1"/>
    <xf numFmtId="0" fontId="44" fillId="147" borderId="0" xfId="0" applyFont="1" applyFill="1" applyBorder="1"/>
    <xf numFmtId="0" fontId="9" fillId="2" borderId="0" xfId="6711" applyFont="1" applyFill="1" applyBorder="1" applyAlignment="1">
      <alignment horizontal="center"/>
    </xf>
    <xf numFmtId="3" fontId="9" fillId="2" borderId="0" xfId="6711" applyNumberFormat="1" applyFont="1" applyFill="1" applyBorder="1" applyAlignment="1">
      <alignment horizontal="center"/>
    </xf>
    <xf numFmtId="0" fontId="9" fillId="2" borderId="0" xfId="6711" applyFont="1" applyFill="1" applyBorder="1" applyAlignment="1">
      <alignment horizontal="left"/>
    </xf>
    <xf numFmtId="0" fontId="8" fillId="2" borderId="0" xfId="6711" applyFont="1" applyFill="1" applyBorder="1" applyAlignment="1">
      <alignment horizontal="left"/>
    </xf>
    <xf numFmtId="0" fontId="44" fillId="2" borderId="2" xfId="6711" applyFont="1" applyFill="1" applyBorder="1"/>
    <xf numFmtId="165" fontId="46" fillId="12" borderId="3" xfId="0" applyNumberFormat="1" applyFont="1" applyFill="1" applyBorder="1"/>
    <xf numFmtId="3" fontId="49" fillId="2" borderId="14" xfId="7" applyNumberFormat="1" applyFont="1" applyFill="1" applyBorder="1" applyAlignment="1"/>
    <xf numFmtId="3" fontId="49" fillId="2" borderId="13" xfId="7" applyNumberFormat="1" applyFont="1" applyFill="1" applyBorder="1" applyAlignment="1"/>
    <xf numFmtId="3" fontId="50" fillId="2" borderId="13" xfId="7" applyNumberFormat="1" applyFont="1" applyFill="1" applyBorder="1" applyAlignment="1"/>
    <xf numFmtId="3" fontId="50" fillId="2" borderId="12" xfId="7" applyNumberFormat="1" applyFont="1" applyFill="1" applyBorder="1" applyAlignment="1"/>
    <xf numFmtId="3" fontId="55" fillId="2" borderId="14" xfId="7" applyNumberFormat="1" applyFont="1" applyFill="1" applyBorder="1" applyAlignment="1"/>
    <xf numFmtId="3" fontId="55" fillId="2" borderId="13" xfId="7" applyNumberFormat="1" applyFont="1" applyFill="1" applyBorder="1" applyAlignment="1"/>
    <xf numFmtId="3" fontId="29" fillId="2" borderId="13" xfId="7" applyNumberFormat="1" applyFont="1" applyFill="1" applyBorder="1" applyAlignment="1"/>
    <xf numFmtId="3" fontId="29" fillId="2" borderId="12" xfId="7" applyNumberFormat="1" applyFont="1" applyFill="1" applyBorder="1" applyAlignment="1"/>
    <xf numFmtId="10" fontId="49" fillId="2" borderId="13" xfId="20" applyNumberFormat="1" applyFont="1" applyFill="1" applyBorder="1" applyAlignment="1">
      <alignment horizontal="right" vertical="center"/>
    </xf>
    <xf numFmtId="10" fontId="49" fillId="2" borderId="18" xfId="20" applyNumberFormat="1" applyFont="1" applyFill="1" applyBorder="1" applyAlignment="1">
      <alignment horizontal="right" vertical="center"/>
    </xf>
    <xf numFmtId="10" fontId="49" fillId="2" borderId="7" xfId="20" applyNumberFormat="1" applyFont="1" applyFill="1" applyBorder="1" applyAlignment="1">
      <alignment horizontal="right" vertical="center"/>
    </xf>
    <xf numFmtId="3" fontId="21" fillId="2" borderId="7" xfId="7" applyNumberFormat="1" applyFont="1" applyFill="1" applyBorder="1" applyAlignment="1"/>
    <xf numFmtId="10" fontId="50" fillId="2" borderId="6" xfId="20" applyNumberFormat="1" applyFont="1" applyFill="1" applyBorder="1" applyAlignment="1">
      <alignment horizontal="right" vertical="center"/>
    </xf>
    <xf numFmtId="3" fontId="49" fillId="2" borderId="14" xfId="7" applyNumberFormat="1" applyFont="1" applyFill="1" applyBorder="1"/>
    <xf numFmtId="3" fontId="49" fillId="2" borderId="13" xfId="7" applyNumberFormat="1" applyFont="1" applyFill="1" applyBorder="1"/>
    <xf numFmtId="3" fontId="50" fillId="2" borderId="13" xfId="7" applyNumberFormat="1" applyFont="1" applyFill="1" applyBorder="1"/>
    <xf numFmtId="3" fontId="50" fillId="2" borderId="12" xfId="7" applyNumberFormat="1" applyFont="1" applyFill="1" applyBorder="1"/>
    <xf numFmtId="3" fontId="52" fillId="2" borderId="14" xfId="7" applyNumberFormat="1" applyFont="1" applyFill="1" applyBorder="1" applyAlignment="1"/>
    <xf numFmtId="3" fontId="52" fillId="2" borderId="13" xfId="7" applyNumberFormat="1" applyFont="1" applyFill="1" applyBorder="1" applyAlignment="1"/>
    <xf numFmtId="3" fontId="21" fillId="2" borderId="13" xfId="7" applyNumberFormat="1" applyFont="1" applyFill="1" applyBorder="1" applyAlignment="1"/>
    <xf numFmtId="3" fontId="51" fillId="2" borderId="13" xfId="7" applyNumberFormat="1" applyFont="1" applyFill="1" applyBorder="1" applyAlignment="1"/>
    <xf numFmtId="3" fontId="51" fillId="2" borderId="12" xfId="7" applyNumberFormat="1" applyFont="1" applyFill="1" applyBorder="1" applyAlignment="1"/>
    <xf numFmtId="166" fontId="54" fillId="2" borderId="8" xfId="7" applyNumberFormat="1" applyFont="1" applyFill="1" applyBorder="1" applyAlignment="1"/>
    <xf numFmtId="166" fontId="54" fillId="2" borderId="7" xfId="7" applyNumberFormat="1" applyFont="1" applyFill="1" applyBorder="1" applyAlignment="1"/>
    <xf numFmtId="166" fontId="16" fillId="2" borderId="7" xfId="7" applyNumberFormat="1" applyFont="1" applyFill="1" applyBorder="1" applyAlignment="1"/>
    <xf numFmtId="166" fontId="53" fillId="2" borderId="7" xfId="7" applyNumberFormat="1" applyFont="1" applyFill="1" applyBorder="1" applyAlignment="1"/>
    <xf numFmtId="166" fontId="53" fillId="2" borderId="6" xfId="7" applyNumberFormat="1" applyFont="1" applyFill="1" applyBorder="1" applyAlignment="1"/>
    <xf numFmtId="3" fontId="52" fillId="2" borderId="8" xfId="7" applyNumberFormat="1" applyFont="1" applyFill="1" applyBorder="1" applyAlignment="1"/>
    <xf numFmtId="3" fontId="52" fillId="2" borderId="7" xfId="7" applyNumberFormat="1" applyFont="1" applyFill="1" applyBorder="1" applyAlignment="1"/>
    <xf numFmtId="3" fontId="51" fillId="2" borderId="7" xfId="7" applyNumberFormat="1" applyFont="1" applyFill="1" applyBorder="1" applyAlignment="1"/>
    <xf numFmtId="3" fontId="51" fillId="2" borderId="6" xfId="7" applyNumberFormat="1" applyFont="1" applyFill="1" applyBorder="1" applyAlignment="1"/>
    <xf numFmtId="165" fontId="45" fillId="2" borderId="0" xfId="0" applyNumberFormat="1" applyFont="1" applyFill="1" applyBorder="1"/>
    <xf numFmtId="165" fontId="45" fillId="2" borderId="3" xfId="0" applyNumberFormat="1" applyFont="1" applyFill="1" applyBorder="1"/>
    <xf numFmtId="0" fontId="9" fillId="2" borderId="2" xfId="6711" applyFont="1" applyFill="1" applyBorder="1" applyAlignment="1">
      <alignment horizontal="left"/>
    </xf>
    <xf numFmtId="0" fontId="6" fillId="2" borderId="0" xfId="6711" applyFont="1" applyFill="1" applyAlignment="1">
      <alignment horizontal="left"/>
    </xf>
    <xf numFmtId="167" fontId="352" fillId="12" borderId="3" xfId="25907" applyNumberFormat="1" applyFont="1" applyFill="1" applyBorder="1"/>
    <xf numFmtId="9" fontId="6" fillId="2" borderId="0" xfId="1" applyFont="1" applyFill="1"/>
    <xf numFmtId="170" fontId="6" fillId="2" borderId="0" xfId="0" applyNumberFormat="1" applyFont="1" applyFill="1" applyAlignment="1">
      <alignment horizontal="center"/>
    </xf>
    <xf numFmtId="170" fontId="7" fillId="2" borderId="0" xfId="0" applyNumberFormat="1" applyFont="1" applyFill="1" applyBorder="1" applyAlignment="1">
      <alignment horizontal="center"/>
    </xf>
    <xf numFmtId="170" fontId="6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3" fontId="49" fillId="10" borderId="16" xfId="7" applyNumberFormat="1" applyFont="1" applyFill="1" applyBorder="1"/>
    <xf numFmtId="3" fontId="49" fillId="10" borderId="0" xfId="7" applyNumberFormat="1" applyFont="1" applyFill="1"/>
    <xf numFmtId="3" fontId="16" fillId="10" borderId="13" xfId="7" applyNumberFormat="1" applyFont="1" applyFill="1" applyBorder="1" applyAlignment="1"/>
    <xf numFmtId="3" fontId="50" fillId="10" borderId="13" xfId="7" applyNumberFormat="1" applyFont="1" applyFill="1" applyBorder="1"/>
    <xf numFmtId="3" fontId="49" fillId="10" borderId="14" xfId="7" applyNumberFormat="1" applyFont="1" applyFill="1" applyBorder="1"/>
    <xf numFmtId="3" fontId="49" fillId="10" borderId="13" xfId="7" applyNumberFormat="1" applyFont="1" applyFill="1" applyBorder="1"/>
    <xf numFmtId="3" fontId="50" fillId="10" borderId="12" xfId="7" applyNumberFormat="1" applyFont="1" applyFill="1" applyBorder="1"/>
    <xf numFmtId="0" fontId="353" fillId="6" borderId="0" xfId="5" applyFont="1" applyFill="1"/>
    <xf numFmtId="168" fontId="354" fillId="6" borderId="3" xfId="0" applyNumberFormat="1" applyFont="1" applyFill="1" applyBorder="1"/>
    <xf numFmtId="165" fontId="12" fillId="0" borderId="0" xfId="5" applyNumberFormat="1"/>
    <xf numFmtId="0" fontId="12" fillId="0" borderId="0" xfId="5" applyBorder="1" applyAlignment="1"/>
    <xf numFmtId="0" fontId="12" fillId="0" borderId="0" xfId="5" applyBorder="1" applyAlignment="1">
      <alignment horizontal="center"/>
    </xf>
    <xf numFmtId="165" fontId="12" fillId="6" borderId="0" xfId="5" applyNumberFormat="1" applyFill="1" applyBorder="1"/>
    <xf numFmtId="274" fontId="11" fillId="6" borderId="3" xfId="0" applyNumberFormat="1" applyFont="1" applyFill="1" applyBorder="1"/>
    <xf numFmtId="165" fontId="45" fillId="6" borderId="0" xfId="0" applyNumberFormat="1" applyFont="1" applyFill="1" applyBorder="1"/>
    <xf numFmtId="0" fontId="348" fillId="6" borderId="0" xfId="5" applyFont="1" applyFill="1" applyBorder="1"/>
    <xf numFmtId="168" fontId="45" fillId="6" borderId="3" xfId="0" applyNumberFormat="1" applyFont="1" applyFill="1" applyBorder="1"/>
    <xf numFmtId="3" fontId="6" fillId="2" borderId="0" xfId="1" applyNumberFormat="1" applyFont="1" applyFill="1"/>
    <xf numFmtId="0" fontId="355" fillId="0" borderId="0" xfId="25909">
      <alignment vertical="center"/>
    </xf>
    <xf numFmtId="0" fontId="10" fillId="6" borderId="0" xfId="0" applyFont="1" applyFill="1"/>
    <xf numFmtId="167" fontId="348" fillId="6" borderId="0" xfId="5" applyNumberFormat="1" applyFont="1" applyFill="1"/>
    <xf numFmtId="0" fontId="356" fillId="0" borderId="0" xfId="7" applyFont="1" applyBorder="1" applyAlignment="1"/>
    <xf numFmtId="0" fontId="65" fillId="0" borderId="0" xfId="7" applyFont="1" applyBorder="1" applyAlignment="1"/>
    <xf numFmtId="0" fontId="31" fillId="148" borderId="0" xfId="0" applyFont="1" applyFill="1" applyBorder="1" applyAlignment="1"/>
    <xf numFmtId="0" fontId="6" fillId="149" borderId="0" xfId="6711" applyFont="1" applyFill="1"/>
    <xf numFmtId="3" fontId="6" fillId="149" borderId="0" xfId="6711" applyNumberFormat="1" applyFont="1" applyFill="1"/>
    <xf numFmtId="0" fontId="357" fillId="148" borderId="0" xfId="0" applyFont="1" applyFill="1" applyBorder="1" applyAlignment="1"/>
    <xf numFmtId="0" fontId="8" fillId="2" borderId="0" xfId="6711" applyFont="1" applyFill="1" applyBorder="1"/>
    <xf numFmtId="0" fontId="44" fillId="2" borderId="0" xfId="6711" applyFont="1" applyFill="1" applyBorder="1"/>
    <xf numFmtId="0" fontId="9" fillId="2" borderId="0" xfId="6711" applyFont="1" applyFill="1" applyBorder="1"/>
    <xf numFmtId="3" fontId="9" fillId="2" borderId="0" xfId="6711" applyNumberFormat="1" applyFont="1" applyFill="1" applyBorder="1"/>
    <xf numFmtId="3" fontId="8" fillId="2" borderId="0" xfId="6711" applyNumberFormat="1" applyFont="1" applyFill="1" applyBorder="1" applyAlignment="1">
      <alignment horizontal="center"/>
    </xf>
    <xf numFmtId="169" fontId="11" fillId="2" borderId="123" xfId="0" applyNumberFormat="1" applyFont="1" applyFill="1" applyBorder="1" applyAlignment="1">
      <alignment horizontal="center"/>
    </xf>
    <xf numFmtId="0" fontId="21" fillId="0" borderId="123" xfId="7" applyFont="1" applyBorder="1" applyAlignment="1"/>
    <xf numFmtId="3" fontId="16" fillId="0" borderId="119" xfId="7" applyNumberFormat="1" applyFont="1" applyFill="1" applyBorder="1" applyAlignment="1">
      <alignment vertical="center"/>
    </xf>
    <xf numFmtId="0" fontId="16" fillId="0" borderId="124" xfId="7" applyFont="1" applyBorder="1" applyAlignment="1"/>
    <xf numFmtId="3" fontId="16" fillId="0" borderId="125" xfId="0" applyNumberFormat="1" applyFont="1" applyFill="1" applyBorder="1" applyAlignment="1"/>
    <xf numFmtId="3" fontId="16" fillId="0" borderId="126" xfId="0" applyNumberFormat="1" applyFont="1" applyFill="1" applyBorder="1" applyAlignment="1"/>
    <xf numFmtId="184" fontId="50" fillId="0" borderId="125" xfId="21" applyNumberFormat="1" applyFont="1" applyFill="1" applyBorder="1" applyAlignment="1"/>
    <xf numFmtId="3" fontId="50" fillId="0" borderId="125" xfId="0" applyNumberFormat="1" applyFont="1" applyBorder="1"/>
    <xf numFmtId="3" fontId="49" fillId="0" borderId="127" xfId="0" applyNumberFormat="1" applyFont="1" applyBorder="1"/>
    <xf numFmtId="3" fontId="29" fillId="0" borderId="125" xfId="0" applyNumberFormat="1" applyFont="1" applyFill="1" applyBorder="1" applyAlignment="1"/>
    <xf numFmtId="3" fontId="26" fillId="0" borderId="125" xfId="0" applyNumberFormat="1" applyFont="1" applyFill="1" applyBorder="1" applyAlignment="1"/>
    <xf numFmtId="3" fontId="29" fillId="0" borderId="126" xfId="0" applyNumberFormat="1" applyFont="1" applyFill="1" applyBorder="1" applyAlignment="1"/>
    <xf numFmtId="0" fontId="16" fillId="0" borderId="123" xfId="7" applyFont="1" applyBorder="1" applyAlignment="1"/>
    <xf numFmtId="3" fontId="16" fillId="0" borderId="126" xfId="7" applyNumberFormat="1" applyFont="1" applyFill="1" applyBorder="1" applyAlignment="1"/>
    <xf numFmtId="3" fontId="49" fillId="2" borderId="127" xfId="7" applyNumberFormat="1" applyFont="1" applyFill="1" applyBorder="1" applyAlignment="1"/>
    <xf numFmtId="3" fontId="49" fillId="2" borderId="125" xfId="7" applyNumberFormat="1" applyFont="1" applyFill="1" applyBorder="1" applyAlignment="1"/>
    <xf numFmtId="3" fontId="16" fillId="2" borderId="125" xfId="7" applyNumberFormat="1" applyFont="1" applyFill="1" applyBorder="1" applyAlignment="1"/>
    <xf numFmtId="3" fontId="50" fillId="2" borderId="125" xfId="7" applyNumberFormat="1" applyFont="1" applyFill="1" applyBorder="1" applyAlignment="1"/>
    <xf numFmtId="3" fontId="50" fillId="2" borderId="126" xfId="7" applyNumberFormat="1" applyFont="1" applyFill="1" applyBorder="1" applyAlignment="1"/>
    <xf numFmtId="3" fontId="49" fillId="0" borderId="127" xfId="7" applyNumberFormat="1" applyFont="1" applyFill="1" applyBorder="1" applyAlignment="1"/>
    <xf numFmtId="3" fontId="29" fillId="0" borderId="125" xfId="7" applyNumberFormat="1" applyFont="1" applyFill="1" applyBorder="1" applyAlignment="1"/>
    <xf numFmtId="3" fontId="26" fillId="0" borderId="125" xfId="7" applyNumberFormat="1" applyFont="1" applyFill="1" applyBorder="1" applyAlignment="1"/>
    <xf numFmtId="3" fontId="29" fillId="0" borderId="126" xfId="7" applyNumberFormat="1" applyFont="1" applyFill="1" applyBorder="1" applyAlignment="1"/>
    <xf numFmtId="0" fontId="16" fillId="0" borderId="123" xfId="14" applyFont="1" applyFill="1" applyBorder="1"/>
    <xf numFmtId="3" fontId="16" fillId="0" borderId="125" xfId="7" applyNumberFormat="1" applyFont="1" applyFill="1" applyBorder="1" applyAlignment="1"/>
    <xf numFmtId="3" fontId="49" fillId="0" borderId="127" xfId="7" applyNumberFormat="1" applyFont="1" applyBorder="1"/>
    <xf numFmtId="0" fontId="16" fillId="0" borderId="119" xfId="7" applyFont="1" applyFill="1" applyBorder="1" applyAlignment="1">
      <alignment vertical="center"/>
    </xf>
    <xf numFmtId="0" fontId="16" fillId="0" borderId="123" xfId="7" applyFont="1" applyFill="1" applyBorder="1" applyAlignment="1">
      <alignment vertical="center"/>
    </xf>
    <xf numFmtId="10" fontId="16" fillId="0" borderId="125" xfId="20" applyNumberFormat="1" applyFont="1" applyFill="1" applyBorder="1" applyAlignment="1">
      <alignment horizontal="right" vertical="center"/>
    </xf>
    <xf numFmtId="10" fontId="53" fillId="0" borderId="125" xfId="20" applyNumberFormat="1" applyFont="1" applyFill="1" applyBorder="1" applyAlignment="1">
      <alignment horizontal="right" vertical="center"/>
    </xf>
    <xf numFmtId="10" fontId="54" fillId="2" borderId="127" xfId="20" applyNumberFormat="1" applyFont="1" applyFill="1" applyBorder="1" applyAlignment="1">
      <alignment horizontal="right" vertical="center"/>
    </xf>
    <xf numFmtId="10" fontId="54" fillId="2" borderId="125" xfId="20" applyNumberFormat="1" applyFont="1" applyFill="1" applyBorder="1" applyAlignment="1">
      <alignment horizontal="right" vertical="center"/>
    </xf>
    <xf numFmtId="10" fontId="53" fillId="2" borderId="125" xfId="20" applyNumberFormat="1" applyFont="1" applyFill="1" applyBorder="1" applyAlignment="1">
      <alignment horizontal="right" vertical="center"/>
    </xf>
    <xf numFmtId="10" fontId="53" fillId="2" borderId="126" xfId="20" applyNumberFormat="1" applyFont="1" applyFill="1" applyBorder="1" applyAlignment="1">
      <alignment horizontal="right" vertical="center"/>
    </xf>
    <xf numFmtId="10" fontId="54" fillId="0" borderId="127" xfId="20" applyNumberFormat="1" applyFont="1" applyFill="1" applyBorder="1" applyAlignment="1">
      <alignment horizontal="right" vertical="center"/>
    </xf>
    <xf numFmtId="10" fontId="16" fillId="0" borderId="125" xfId="20" applyNumberFormat="1" applyFont="1" applyFill="1" applyBorder="1" applyAlignment="1">
      <alignment vertical="center"/>
    </xf>
    <xf numFmtId="166" fontId="16" fillId="0" borderId="125" xfId="20" applyNumberFormat="1" applyFont="1" applyFill="1" applyBorder="1" applyAlignment="1">
      <alignment vertical="center"/>
    </xf>
    <xf numFmtId="166" fontId="16" fillId="0" borderId="128" xfId="20" applyNumberFormat="1" applyFont="1" applyFill="1" applyBorder="1" applyAlignment="1">
      <alignment vertical="center"/>
    </xf>
    <xf numFmtId="166" fontId="16" fillId="0" borderId="116" xfId="20" applyNumberFormat="1" applyFont="1" applyFill="1" applyBorder="1" applyAlignment="1"/>
    <xf numFmtId="3" fontId="49" fillId="0" borderId="120" xfId="10" applyNumberFormat="1" applyFont="1" applyFill="1" applyBorder="1" applyAlignment="1"/>
    <xf numFmtId="3" fontId="16" fillId="12" borderId="125" xfId="7" applyNumberFormat="1" applyFont="1" applyFill="1" applyBorder="1" applyAlignment="1"/>
    <xf numFmtId="3" fontId="29" fillId="12" borderId="129" xfId="7" applyNumberFormat="1" applyFont="1" applyFill="1" applyBorder="1" applyAlignment="1"/>
    <xf numFmtId="184" fontId="49" fillId="0" borderId="127" xfId="21" applyNumberFormat="1" applyFont="1" applyFill="1" applyBorder="1" applyAlignment="1"/>
    <xf numFmtId="3" fontId="50" fillId="0" borderId="125" xfId="7" applyNumberFormat="1" applyFont="1" applyBorder="1"/>
    <xf numFmtId="172" fontId="29" fillId="0" borderId="125" xfId="7" applyNumberFormat="1" applyFont="1" applyFill="1" applyBorder="1" applyAlignment="1"/>
    <xf numFmtId="172" fontId="26" fillId="0" borderId="125" xfId="7" applyNumberFormat="1" applyFont="1" applyFill="1" applyBorder="1" applyAlignment="1"/>
    <xf numFmtId="172" fontId="16" fillId="0" borderId="125" xfId="7" applyNumberFormat="1" applyFont="1" applyFill="1" applyBorder="1" applyAlignment="1"/>
    <xf numFmtId="172" fontId="16" fillId="0" borderId="128" xfId="7" applyNumberFormat="1" applyFont="1" applyFill="1" applyBorder="1" applyAlignment="1"/>
    <xf numFmtId="0" fontId="16" fillId="0" borderId="123" xfId="14" applyFont="1" applyFill="1" applyBorder="1" applyAlignment="1">
      <alignment horizontal="left"/>
    </xf>
    <xf numFmtId="172" fontId="16" fillId="12" borderId="125" xfId="10" applyNumberFormat="1" applyFont="1" applyFill="1" applyBorder="1" applyAlignment="1"/>
    <xf numFmtId="172" fontId="26" fillId="12" borderId="125" xfId="10" applyNumberFormat="1" applyFont="1" applyFill="1" applyBorder="1" applyAlignment="1"/>
    <xf numFmtId="172" fontId="29" fillId="12" borderId="126" xfId="10" applyNumberFormat="1" applyFont="1" applyFill="1" applyBorder="1" applyAlignment="1"/>
    <xf numFmtId="172" fontId="55" fillId="12" borderId="124" xfId="10" applyNumberFormat="1" applyFont="1" applyFill="1" applyBorder="1" applyAlignment="1"/>
    <xf numFmtId="172" fontId="55" fillId="12" borderId="125" xfId="10" applyNumberFormat="1" applyFont="1" applyFill="1" applyBorder="1" applyAlignment="1"/>
    <xf numFmtId="172" fontId="29" fillId="12" borderId="125" xfId="10" applyNumberFormat="1" applyFont="1" applyFill="1" applyBorder="1" applyAlignment="1"/>
    <xf numFmtId="3" fontId="26" fillId="12" borderId="125" xfId="10" applyNumberFormat="1" applyFont="1" applyFill="1" applyBorder="1" applyAlignment="1"/>
    <xf numFmtId="3" fontId="26" fillId="12" borderId="126" xfId="10" applyNumberFormat="1" applyFont="1" applyFill="1" applyBorder="1" applyAlignment="1"/>
    <xf numFmtId="166" fontId="16" fillId="12" borderId="116" xfId="20" applyNumberFormat="1" applyFont="1" applyFill="1" applyBorder="1" applyAlignment="1"/>
    <xf numFmtId="0" fontId="16" fillId="0" borderId="123" xfId="7" applyFont="1" applyFill="1" applyBorder="1" applyAlignment="1">
      <alignment vertical="center" wrapText="1"/>
    </xf>
    <xf numFmtId="3" fontId="26" fillId="0" borderId="125" xfId="7" applyNumberFormat="1" applyFont="1" applyBorder="1" applyAlignment="1"/>
    <xf numFmtId="172" fontId="16" fillId="0" borderId="125" xfId="7" applyNumberFormat="1" applyFont="1" applyBorder="1" applyAlignment="1"/>
    <xf numFmtId="172" fontId="16" fillId="0" borderId="128" xfId="7" applyNumberFormat="1" applyFont="1" applyBorder="1" applyAlignment="1"/>
    <xf numFmtId="172" fontId="21" fillId="0" borderId="116" xfId="7" applyNumberFormat="1" applyFont="1" applyBorder="1" applyAlignment="1"/>
    <xf numFmtId="10" fontId="16" fillId="0" borderId="125" xfId="20" applyNumberFormat="1" applyFont="1" applyFill="1" applyBorder="1" applyAlignment="1"/>
    <xf numFmtId="10" fontId="53" fillId="0" borderId="126" xfId="20" applyNumberFormat="1" applyFont="1" applyFill="1" applyBorder="1" applyAlignment="1"/>
    <xf numFmtId="10" fontId="54" fillId="0" borderId="127" xfId="20" applyNumberFormat="1" applyFont="1" applyFill="1" applyBorder="1" applyAlignment="1"/>
    <xf numFmtId="10" fontId="54" fillId="0" borderId="125" xfId="20" applyNumberFormat="1" applyFont="1" applyFill="1" applyBorder="1" applyAlignment="1"/>
    <xf numFmtId="10" fontId="16" fillId="12" borderId="125" xfId="20" applyNumberFormat="1" applyFont="1" applyFill="1" applyBorder="1" applyAlignment="1"/>
    <xf numFmtId="10" fontId="53" fillId="0" borderId="125" xfId="20" applyNumberFormat="1" applyFont="1" applyFill="1" applyBorder="1" applyAlignment="1"/>
    <xf numFmtId="3" fontId="16" fillId="0" borderId="127" xfId="0" applyNumberFormat="1" applyFont="1" applyFill="1" applyBorder="1" applyAlignment="1"/>
    <xf numFmtId="3" fontId="49" fillId="0" borderId="125" xfId="0" applyNumberFormat="1" applyFont="1" applyFill="1" applyBorder="1" applyAlignment="1"/>
    <xf numFmtId="3" fontId="50" fillId="0" borderId="126" xfId="0" applyNumberFormat="1" applyFont="1" applyBorder="1"/>
    <xf numFmtId="3" fontId="49" fillId="2" borderId="127" xfId="7" applyNumberFormat="1" applyFont="1" applyFill="1" applyBorder="1"/>
    <xf numFmtId="3" fontId="49" fillId="2" borderId="125" xfId="7" applyNumberFormat="1" applyFont="1" applyFill="1" applyBorder="1"/>
    <xf numFmtId="3" fontId="50" fillId="2" borderId="125" xfId="7" applyNumberFormat="1" applyFont="1" applyFill="1" applyBorder="1"/>
    <xf numFmtId="3" fontId="50" fillId="2" borderId="126" xfId="7" applyNumberFormat="1" applyFont="1" applyFill="1" applyBorder="1"/>
    <xf numFmtId="3" fontId="16" fillId="0" borderId="127" xfId="7" applyNumberFormat="1" applyFont="1" applyFill="1" applyBorder="1" applyAlignment="1"/>
    <xf numFmtId="10" fontId="16" fillId="0" borderId="127" xfId="20" applyNumberFormat="1" applyFont="1" applyFill="1" applyBorder="1" applyAlignment="1">
      <alignment horizontal="right" vertical="center"/>
    </xf>
    <xf numFmtId="10" fontId="16" fillId="0" borderId="126" xfId="20" applyNumberFormat="1" applyFont="1" applyFill="1" applyBorder="1" applyAlignment="1">
      <alignment horizontal="right" vertical="center"/>
    </xf>
    <xf numFmtId="3" fontId="16" fillId="12" borderId="127" xfId="7" applyNumberFormat="1" applyFont="1" applyFill="1" applyBorder="1" applyAlignment="1"/>
    <xf numFmtId="3" fontId="16" fillId="12" borderId="126" xfId="7" applyNumberFormat="1" applyFont="1" applyFill="1" applyBorder="1" applyAlignment="1"/>
    <xf numFmtId="3" fontId="49" fillId="0" borderId="125" xfId="7" applyNumberFormat="1" applyFont="1" applyBorder="1"/>
    <xf numFmtId="3" fontId="50" fillId="0" borderId="126" xfId="7" applyNumberFormat="1" applyFont="1" applyBorder="1"/>
    <xf numFmtId="172" fontId="16" fillId="12" borderId="127" xfId="10" applyNumberFormat="1" applyFont="1" applyFill="1" applyBorder="1" applyAlignment="1"/>
    <xf numFmtId="172" fontId="16" fillId="12" borderId="126" xfId="10" applyNumberFormat="1" applyFont="1" applyFill="1" applyBorder="1" applyAlignment="1"/>
    <xf numFmtId="3" fontId="49" fillId="0" borderId="125" xfId="7" applyNumberFormat="1" applyFont="1" applyFill="1" applyBorder="1" applyAlignment="1"/>
    <xf numFmtId="3" fontId="50" fillId="0" borderId="125" xfId="7" applyNumberFormat="1" applyFont="1" applyFill="1" applyBorder="1" applyAlignment="1"/>
    <xf numFmtId="3" fontId="50" fillId="0" borderId="126" xfId="7" applyNumberFormat="1" applyFont="1" applyFill="1" applyBorder="1" applyAlignment="1"/>
    <xf numFmtId="10" fontId="16" fillId="0" borderId="127" xfId="20" applyNumberFormat="1" applyFont="1" applyFill="1" applyBorder="1" applyAlignment="1"/>
    <xf numFmtId="10" fontId="16" fillId="0" borderId="126" xfId="20" applyNumberFormat="1" applyFont="1" applyFill="1" applyBorder="1" applyAlignment="1"/>
    <xf numFmtId="3" fontId="49" fillId="0" borderId="127" xfId="0" applyNumberFormat="1" applyFont="1" applyFill="1" applyBorder="1" applyAlignment="1"/>
    <xf numFmtId="3" fontId="50" fillId="0" borderId="125" xfId="0" applyNumberFormat="1" applyFont="1" applyFill="1" applyBorder="1" applyAlignment="1"/>
    <xf numFmtId="3" fontId="29" fillId="12" borderId="125" xfId="7" applyNumberFormat="1" applyFont="1" applyFill="1" applyBorder="1" applyAlignment="1"/>
    <xf numFmtId="3" fontId="55" fillId="12" borderId="126" xfId="7" applyNumberFormat="1" applyFont="1" applyFill="1" applyBorder="1" applyAlignment="1"/>
    <xf numFmtId="3" fontId="55" fillId="12" borderId="127" xfId="7" applyNumberFormat="1" applyFont="1" applyFill="1" applyBorder="1" applyAlignment="1"/>
    <xf numFmtId="3" fontId="55" fillId="12" borderId="125" xfId="7" applyNumberFormat="1" applyFont="1" applyFill="1" applyBorder="1" applyAlignment="1"/>
    <xf numFmtId="3" fontId="29" fillId="12" borderId="126" xfId="7" applyNumberFormat="1" applyFont="1" applyFill="1" applyBorder="1" applyAlignment="1"/>
    <xf numFmtId="10" fontId="54" fillId="0" borderId="125" xfId="20" applyNumberFormat="1" applyFont="1" applyFill="1" applyBorder="1" applyAlignment="1">
      <alignment horizontal="right" vertical="center"/>
    </xf>
    <xf numFmtId="10" fontId="53" fillId="0" borderId="126" xfId="20" applyNumberFormat="1" applyFont="1" applyFill="1" applyBorder="1" applyAlignment="1">
      <alignment horizontal="right" vertical="center"/>
    </xf>
    <xf numFmtId="172" fontId="55" fillId="12" borderId="120" xfId="10" applyNumberFormat="1" applyFont="1" applyFill="1" applyBorder="1" applyAlignment="1"/>
    <xf numFmtId="3" fontId="55" fillId="0" borderId="127" xfId="7" applyNumberFormat="1" applyFont="1" applyFill="1" applyBorder="1" applyAlignment="1"/>
    <xf numFmtId="3" fontId="55" fillId="0" borderId="125" xfId="7" applyNumberFormat="1" applyFont="1" applyFill="1" applyBorder="1" applyAlignment="1"/>
    <xf numFmtId="10" fontId="19" fillId="0" borderId="125" xfId="20" applyNumberFormat="1" applyFont="1" applyFill="1" applyBorder="1" applyAlignment="1"/>
    <xf numFmtId="10" fontId="19" fillId="12" borderId="125" xfId="20" applyNumberFormat="1" applyFont="1" applyFill="1" applyBorder="1" applyAlignment="1"/>
    <xf numFmtId="10" fontId="54" fillId="0" borderId="126" xfId="20" applyNumberFormat="1" applyFont="1" applyFill="1" applyBorder="1" applyAlignment="1"/>
    <xf numFmtId="3" fontId="50" fillId="0" borderId="126" xfId="0" applyNumberFormat="1" applyFont="1" applyFill="1" applyBorder="1" applyAlignment="1"/>
    <xf numFmtId="3" fontId="55" fillId="2" borderId="120" xfId="10" applyNumberFormat="1" applyFont="1" applyFill="1" applyBorder="1" applyAlignment="1"/>
    <xf numFmtId="3" fontId="49" fillId="0" borderId="125" xfId="0" applyNumberFormat="1" applyFont="1" applyBorder="1"/>
    <xf numFmtId="3" fontId="16" fillId="12" borderId="130" xfId="7" applyNumberFormat="1" applyFont="1" applyFill="1" applyBorder="1" applyAlignment="1"/>
    <xf numFmtId="3" fontId="54" fillId="12" borderId="127" xfId="7" applyNumberFormat="1" applyFont="1" applyFill="1" applyBorder="1" applyAlignment="1"/>
    <xf numFmtId="3" fontId="54" fillId="12" borderId="125" xfId="7" applyNumberFormat="1" applyFont="1" applyFill="1" applyBorder="1" applyAlignment="1"/>
    <xf numFmtId="3" fontId="53" fillId="12" borderId="125" xfId="7" applyNumberFormat="1" applyFont="1" applyFill="1" applyBorder="1" applyAlignment="1"/>
    <xf numFmtId="3" fontId="53" fillId="12" borderId="126" xfId="7" applyNumberFormat="1" applyFont="1" applyFill="1" applyBorder="1" applyAlignment="1"/>
    <xf numFmtId="10" fontId="16" fillId="0" borderId="125" xfId="1" applyNumberFormat="1" applyFont="1" applyFill="1" applyBorder="1" applyAlignment="1"/>
    <xf numFmtId="172" fontId="54" fillId="0" borderId="120" xfId="10" applyNumberFormat="1" applyFont="1" applyFill="1" applyBorder="1" applyAlignment="1"/>
    <xf numFmtId="172" fontId="54" fillId="12" borderId="127" xfId="7" applyNumberFormat="1" applyFont="1" applyFill="1" applyBorder="1" applyAlignment="1"/>
    <xf numFmtId="172" fontId="54" fillId="12" borderId="125" xfId="7" applyNumberFormat="1" applyFont="1" applyFill="1" applyBorder="1" applyAlignment="1"/>
    <xf numFmtId="172" fontId="53" fillId="12" borderId="125" xfId="7" applyNumberFormat="1" applyFont="1" applyFill="1" applyBorder="1" applyAlignment="1"/>
    <xf numFmtId="172" fontId="53" fillId="12" borderId="126" xfId="7" applyNumberFormat="1" applyFont="1" applyFill="1" applyBorder="1" applyAlignment="1"/>
    <xf numFmtId="3" fontId="16" fillId="0" borderId="125" xfId="10" applyNumberFormat="1" applyFont="1" applyFill="1" applyBorder="1" applyAlignment="1"/>
    <xf numFmtId="3" fontId="49" fillId="0" borderId="124" xfId="10" applyNumberFormat="1" applyFont="1" applyBorder="1"/>
    <xf numFmtId="3" fontId="49" fillId="0" borderId="125" xfId="10" applyNumberFormat="1" applyFont="1" applyBorder="1"/>
    <xf numFmtId="3" fontId="50" fillId="0" borderId="125" xfId="10" applyNumberFormat="1" applyFont="1" applyBorder="1"/>
    <xf numFmtId="3" fontId="50" fillId="0" borderId="126" xfId="10" applyNumberFormat="1" applyFont="1" applyBorder="1"/>
    <xf numFmtId="3" fontId="49" fillId="0" borderId="124" xfId="10" applyNumberFormat="1" applyFont="1" applyFill="1" applyBorder="1" applyAlignment="1"/>
    <xf numFmtId="3" fontId="53" fillId="0" borderId="125" xfId="7" applyNumberFormat="1" applyFont="1" applyFill="1" applyBorder="1" applyAlignment="1"/>
    <xf numFmtId="3" fontId="54" fillId="0" borderId="127" xfId="7" applyNumberFormat="1" applyFont="1" applyFill="1" applyBorder="1" applyAlignment="1"/>
    <xf numFmtId="3" fontId="54" fillId="0" borderId="125" xfId="7" applyNumberFormat="1" applyFont="1" applyFill="1" applyBorder="1" applyAlignment="1"/>
    <xf numFmtId="3" fontId="53" fillId="0" borderId="126" xfId="7" applyNumberFormat="1" applyFont="1" applyFill="1" applyBorder="1" applyAlignment="1"/>
    <xf numFmtId="10" fontId="53" fillId="12" borderId="125" xfId="20" applyNumberFormat="1" applyFont="1" applyFill="1" applyBorder="1" applyAlignment="1"/>
    <xf numFmtId="10" fontId="54" fillId="12" borderId="127" xfId="20" applyNumberFormat="1" applyFont="1" applyFill="1" applyBorder="1" applyAlignment="1"/>
    <xf numFmtId="10" fontId="54" fillId="12" borderId="125" xfId="20" applyNumberFormat="1" applyFont="1" applyFill="1" applyBorder="1" applyAlignment="1"/>
    <xf numFmtId="10" fontId="53" fillId="12" borderId="126" xfId="20" applyNumberFormat="1" applyFont="1" applyFill="1" applyBorder="1" applyAlignment="1"/>
    <xf numFmtId="3" fontId="16" fillId="12" borderId="127" xfId="10" applyNumberFormat="1" applyFont="1" applyFill="1" applyBorder="1" applyAlignment="1"/>
    <xf numFmtId="3" fontId="16" fillId="12" borderId="125" xfId="10" applyNumberFormat="1" applyFont="1" applyFill="1" applyBorder="1" applyAlignment="1"/>
    <xf numFmtId="3" fontId="49" fillId="12" borderId="124" xfId="10" applyNumberFormat="1" applyFont="1" applyFill="1" applyBorder="1" applyAlignment="1"/>
    <xf numFmtId="3" fontId="49" fillId="12" borderId="125" xfId="10" applyNumberFormat="1" applyFont="1" applyFill="1" applyBorder="1" applyAlignment="1"/>
    <xf numFmtId="3" fontId="50" fillId="12" borderId="125" xfId="10" applyNumberFormat="1" applyFont="1" applyFill="1" applyBorder="1" applyAlignment="1"/>
    <xf numFmtId="3" fontId="50" fillId="12" borderId="126" xfId="10" applyNumberFormat="1" applyFont="1" applyFill="1" applyBorder="1" applyAlignment="1"/>
    <xf numFmtId="10" fontId="16" fillId="12" borderId="127" xfId="20" applyNumberFormat="1" applyFont="1" applyFill="1" applyBorder="1" applyAlignment="1"/>
    <xf numFmtId="10" fontId="16" fillId="12" borderId="126" xfId="20" applyNumberFormat="1" applyFont="1" applyFill="1" applyBorder="1" applyAlignment="1"/>
    <xf numFmtId="3" fontId="53" fillId="0" borderId="126" xfId="0" applyNumberFormat="1" applyFont="1" applyFill="1" applyBorder="1" applyAlignment="1"/>
    <xf numFmtId="3" fontId="54" fillId="0" borderId="127" xfId="0" applyNumberFormat="1" applyFont="1" applyFill="1" applyBorder="1" applyAlignment="1"/>
    <xf numFmtId="3" fontId="54" fillId="0" borderId="125" xfId="0" applyNumberFormat="1" applyFont="1" applyFill="1" applyBorder="1" applyAlignment="1"/>
    <xf numFmtId="3" fontId="53" fillId="0" borderId="125" xfId="0" applyNumberFormat="1" applyFont="1" applyFill="1" applyBorder="1" applyAlignment="1"/>
    <xf numFmtId="3" fontId="16" fillId="10" borderId="125" xfId="0" applyNumberFormat="1" applyFont="1" applyFill="1" applyBorder="1" applyAlignment="1"/>
    <xf numFmtId="3" fontId="53" fillId="10" borderId="126" xfId="0" applyNumberFormat="1" applyFont="1" applyFill="1" applyBorder="1" applyAlignment="1"/>
    <xf numFmtId="3" fontId="54" fillId="10" borderId="127" xfId="7" applyNumberFormat="1" applyFont="1" applyFill="1" applyBorder="1" applyAlignment="1"/>
    <xf numFmtId="3" fontId="54" fillId="10" borderId="125" xfId="7" applyNumberFormat="1" applyFont="1" applyFill="1" applyBorder="1" applyAlignment="1"/>
    <xf numFmtId="3" fontId="53" fillId="10" borderId="125" xfId="7" applyNumberFormat="1" applyFont="1" applyFill="1" applyBorder="1" applyAlignment="1"/>
    <xf numFmtId="3" fontId="53" fillId="10" borderId="126" xfId="7" applyNumberFormat="1" applyFont="1" applyFill="1" applyBorder="1" applyAlignment="1"/>
    <xf numFmtId="3" fontId="65" fillId="12" borderId="125" xfId="7" applyNumberFormat="1" applyFont="1" applyFill="1" applyBorder="1" applyAlignment="1"/>
    <xf numFmtId="10" fontId="16" fillId="12" borderId="125" xfId="20" applyNumberFormat="1" applyFont="1" applyFill="1" applyBorder="1" applyAlignment="1">
      <alignment horizontal="right" vertical="center"/>
    </xf>
    <xf numFmtId="10" fontId="53" fillId="12" borderId="125" xfId="20" applyNumberFormat="1" applyFont="1" applyFill="1" applyBorder="1" applyAlignment="1">
      <alignment horizontal="right" vertical="center"/>
    </xf>
    <xf numFmtId="10" fontId="54" fillId="12" borderId="127" xfId="20" applyNumberFormat="1" applyFont="1" applyFill="1" applyBorder="1" applyAlignment="1">
      <alignment horizontal="right" vertical="center"/>
    </xf>
    <xf numFmtId="10" fontId="54" fillId="12" borderId="125" xfId="20" applyNumberFormat="1" applyFont="1" applyFill="1" applyBorder="1" applyAlignment="1">
      <alignment horizontal="right" vertical="center"/>
    </xf>
    <xf numFmtId="10" fontId="53" fillId="12" borderId="126" xfId="20" applyNumberFormat="1" applyFont="1" applyFill="1" applyBorder="1" applyAlignment="1">
      <alignment horizontal="right" vertical="center"/>
    </xf>
    <xf numFmtId="3" fontId="54" fillId="0" borderId="120" xfId="10" applyNumberFormat="1" applyFont="1" applyFill="1" applyBorder="1" applyAlignment="1"/>
    <xf numFmtId="3" fontId="54" fillId="0" borderId="130" xfId="7" applyNumberFormat="1" applyFont="1" applyFill="1" applyBorder="1" applyAlignment="1"/>
    <xf numFmtId="3" fontId="53" fillId="0" borderId="126" xfId="10" applyNumberFormat="1" applyFont="1" applyFill="1" applyBorder="1" applyAlignment="1"/>
    <xf numFmtId="3" fontId="54" fillId="0" borderId="124" xfId="10" applyNumberFormat="1" applyFont="1" applyFill="1" applyBorder="1" applyAlignment="1"/>
    <xf numFmtId="3" fontId="54" fillId="0" borderId="125" xfId="10" applyNumberFormat="1" applyFont="1" applyFill="1" applyBorder="1" applyAlignment="1"/>
    <xf numFmtId="3" fontId="53" fillId="0" borderId="125" xfId="10" applyNumberFormat="1" applyFont="1" applyFill="1" applyBorder="1" applyAlignment="1"/>
    <xf numFmtId="10" fontId="49" fillId="0" borderId="130" xfId="20" applyNumberFormat="1" applyFont="1" applyFill="1" applyBorder="1" applyAlignment="1"/>
    <xf numFmtId="10" fontId="49" fillId="0" borderId="125" xfId="20" applyNumberFormat="1" applyFont="1" applyFill="1" applyBorder="1" applyAlignment="1"/>
    <xf numFmtId="10" fontId="50" fillId="0" borderId="125" xfId="20" applyNumberFormat="1" applyFont="1" applyFill="1" applyBorder="1" applyAlignment="1"/>
    <xf numFmtId="10" fontId="50" fillId="0" borderId="126" xfId="20" applyNumberFormat="1" applyFont="1" applyFill="1" applyBorder="1" applyAlignment="1"/>
    <xf numFmtId="10" fontId="16" fillId="12" borderId="127" xfId="20" applyNumberFormat="1" applyFont="1" applyFill="1" applyBorder="1" applyAlignment="1">
      <alignment horizontal="right" vertical="center"/>
    </xf>
    <xf numFmtId="10" fontId="16" fillId="12" borderId="126" xfId="20" applyNumberFormat="1" applyFont="1" applyFill="1" applyBorder="1" applyAlignment="1">
      <alignment horizontal="right" vertical="center"/>
    </xf>
    <xf numFmtId="172" fontId="54" fillId="12" borderId="124" xfId="10" applyNumberFormat="1" applyFont="1" applyFill="1" applyBorder="1" applyAlignment="1"/>
    <xf numFmtId="172" fontId="54" fillId="12" borderId="125" xfId="10" applyNumberFormat="1" applyFont="1" applyFill="1" applyBorder="1" applyAlignment="1"/>
    <xf numFmtId="172" fontId="53" fillId="12" borderId="125" xfId="10" applyNumberFormat="1" applyFont="1" applyFill="1" applyBorder="1" applyAlignment="1"/>
    <xf numFmtId="172" fontId="53" fillId="12" borderId="126" xfId="10" applyNumberFormat="1" applyFont="1" applyFill="1" applyBorder="1" applyAlignment="1"/>
    <xf numFmtId="0" fontId="7" fillId="2" borderId="119" xfId="0" applyFont="1" applyFill="1" applyBorder="1"/>
    <xf numFmtId="165" fontId="6" fillId="2" borderId="119" xfId="0" applyNumberFormat="1" applyFont="1" applyFill="1" applyBorder="1"/>
    <xf numFmtId="0" fontId="30" fillId="0" borderId="119" xfId="14" applyFont="1" applyFill="1" applyBorder="1" applyAlignment="1"/>
    <xf numFmtId="0" fontId="43" fillId="2" borderId="119" xfId="0" applyFont="1" applyFill="1" applyBorder="1"/>
    <xf numFmtId="0" fontId="8" fillId="2" borderId="119" xfId="0" applyFont="1" applyFill="1" applyBorder="1"/>
    <xf numFmtId="0" fontId="9" fillId="2" borderId="119" xfId="0" applyFont="1" applyFill="1" applyBorder="1"/>
    <xf numFmtId="0" fontId="21" fillId="0" borderId="123" xfId="14" applyFont="1" applyBorder="1"/>
    <xf numFmtId="0" fontId="21" fillId="11" borderId="120" xfId="14" applyFont="1" applyFill="1" applyBorder="1" applyAlignment="1">
      <alignment horizontal="center" vertical="center" wrapText="1"/>
    </xf>
    <xf numFmtId="0" fontId="22" fillId="0" borderId="121" xfId="19" applyFont="1" applyBorder="1"/>
    <xf numFmtId="0" fontId="16" fillId="0" borderId="123" xfId="24" applyFont="1" applyFill="1" applyBorder="1" applyAlignment="1">
      <alignment horizontal="left" indent="1"/>
    </xf>
    <xf numFmtId="3" fontId="16" fillId="0" borderId="123" xfId="24" applyNumberFormat="1" applyFont="1" applyFill="1" applyBorder="1" applyAlignment="1">
      <alignment horizontal="center"/>
    </xf>
    <xf numFmtId="3" fontId="16" fillId="2" borderId="127" xfId="24" applyNumberFormat="1" applyFont="1" applyFill="1" applyBorder="1" applyAlignment="1">
      <alignment horizontal="center"/>
    </xf>
    <xf numFmtId="3" fontId="16" fillId="20" borderId="125" xfId="24" applyNumberFormat="1" applyFont="1" applyFill="1" applyBorder="1" applyAlignment="1"/>
    <xf numFmtId="3" fontId="16" fillId="17" borderId="125" xfId="24" applyNumberFormat="1" applyFont="1" applyFill="1" applyBorder="1" applyAlignment="1"/>
    <xf numFmtId="172" fontId="16" fillId="17" borderId="126" xfId="24" applyNumberFormat="1" applyFont="1" applyFill="1" applyBorder="1" applyAlignment="1"/>
    <xf numFmtId="3" fontId="16" fillId="17" borderId="123" xfId="24" applyNumberFormat="1" applyFont="1" applyFill="1" applyBorder="1" applyAlignment="1"/>
    <xf numFmtId="0" fontId="16" fillId="0" borderId="121" xfId="19" applyFont="1" applyFill="1" applyBorder="1" applyAlignment="1">
      <alignment horizontal="left"/>
    </xf>
    <xf numFmtId="3" fontId="21" fillId="0" borderId="131" xfId="24" applyNumberFormat="1" applyFont="1" applyFill="1" applyBorder="1" applyAlignment="1">
      <alignment horizontal="center"/>
    </xf>
    <xf numFmtId="0" fontId="68" fillId="0" borderId="119" xfId="24" applyFont="1" applyFill="1" applyBorder="1" applyAlignment="1"/>
    <xf numFmtId="3" fontId="16" fillId="0" borderId="119" xfId="24" applyNumberFormat="1" applyFont="1" applyFill="1" applyBorder="1" applyAlignment="1"/>
    <xf numFmtId="3" fontId="16" fillId="0" borderId="127" xfId="24" applyNumberFormat="1" applyFont="1" applyFill="1" applyBorder="1" applyAlignment="1">
      <alignment horizontal="center"/>
    </xf>
    <xf numFmtId="3" fontId="16" fillId="0" borderId="125" xfId="24" applyNumberFormat="1" applyFont="1" applyFill="1" applyBorder="1" applyAlignment="1">
      <alignment horizontal="center"/>
    </xf>
    <xf numFmtId="3" fontId="16" fillId="0" borderId="126" xfId="24" applyNumberFormat="1" applyFont="1" applyFill="1" applyBorder="1" applyAlignment="1">
      <alignment horizontal="center"/>
    </xf>
    <xf numFmtId="3" fontId="16" fillId="0" borderId="131" xfId="24" applyNumberFormat="1" applyFont="1" applyFill="1" applyBorder="1" applyAlignment="1">
      <alignment horizontal="center"/>
    </xf>
    <xf numFmtId="0" fontId="68" fillId="0" borderId="121" xfId="24" applyFont="1" applyFill="1" applyBorder="1" applyAlignment="1"/>
    <xf numFmtId="3" fontId="16" fillId="0" borderId="121" xfId="24" applyNumberFormat="1" applyFont="1" applyFill="1" applyBorder="1" applyAlignment="1"/>
    <xf numFmtId="0" fontId="68" fillId="0" borderId="132" xfId="24" applyFont="1" applyFill="1" applyBorder="1" applyAlignment="1"/>
    <xf numFmtId="3" fontId="16" fillId="0" borderId="132" xfId="24" applyNumberFormat="1" applyFont="1" applyFill="1" applyBorder="1" applyAlignment="1"/>
    <xf numFmtId="0" fontId="16" fillId="0" borderId="119" xfId="19" applyFont="1" applyFill="1" applyBorder="1" applyAlignment="1">
      <alignment horizontal="left"/>
    </xf>
    <xf numFmtId="3" fontId="21" fillId="17" borderId="131" xfId="24" applyNumberFormat="1" applyFont="1" applyFill="1" applyBorder="1" applyAlignment="1"/>
    <xf numFmtId="3" fontId="16" fillId="0" borderId="129" xfId="24" applyNumberFormat="1" applyFont="1" applyFill="1" applyBorder="1" applyAlignment="1">
      <alignment horizontal="center"/>
    </xf>
    <xf numFmtId="0" fontId="16" fillId="0" borderId="132" xfId="19" applyFont="1" applyFill="1" applyBorder="1" applyAlignment="1">
      <alignment horizontal="left"/>
    </xf>
    <xf numFmtId="3" fontId="16" fillId="0" borderId="128" xfId="24" applyNumberFormat="1" applyFont="1" applyFill="1" applyBorder="1" applyAlignment="1">
      <alignment horizontal="center"/>
    </xf>
    <xf numFmtId="3" fontId="16" fillId="0" borderId="116" xfId="24" applyNumberFormat="1" applyFont="1" applyFill="1" applyBorder="1" applyAlignment="1">
      <alignment horizontal="center"/>
    </xf>
    <xf numFmtId="3" fontId="50" fillId="0" borderId="125" xfId="24" applyNumberFormat="1" applyFont="1" applyFill="1" applyBorder="1" applyAlignment="1">
      <alignment horizontal="center"/>
    </xf>
    <xf numFmtId="3" fontId="50" fillId="0" borderId="126" xfId="24" applyNumberFormat="1" applyFont="1" applyFill="1" applyBorder="1" applyAlignment="1">
      <alignment horizontal="center"/>
    </xf>
    <xf numFmtId="0" fontId="16" fillId="17" borderId="127" xfId="19" applyFont="1" applyFill="1" applyBorder="1" applyAlignment="1">
      <alignment horizontal="left"/>
    </xf>
    <xf numFmtId="0" fontId="16" fillId="17" borderId="125" xfId="19" applyFont="1" applyFill="1" applyBorder="1" applyAlignment="1">
      <alignment horizontal="left"/>
    </xf>
    <xf numFmtId="3" fontId="50" fillId="0" borderId="123" xfId="24" applyNumberFormat="1" applyFont="1" applyFill="1" applyBorder="1" applyAlignment="1">
      <alignment horizontal="center"/>
    </xf>
    <xf numFmtId="3" fontId="16" fillId="17" borderId="127" xfId="24" applyNumberFormat="1" applyFont="1" applyFill="1" applyBorder="1" applyAlignment="1"/>
    <xf numFmtId="3" fontId="16" fillId="2" borderId="125" xfId="24" applyNumberFormat="1" applyFont="1" applyFill="1" applyBorder="1" applyAlignment="1">
      <alignment horizontal="center"/>
    </xf>
    <xf numFmtId="3" fontId="16" fillId="2" borderId="123" xfId="24" applyNumberFormat="1" applyFont="1" applyFill="1" applyBorder="1" applyAlignment="1">
      <alignment horizontal="center"/>
    </xf>
    <xf numFmtId="3" fontId="21" fillId="2" borderId="131" xfId="24" applyNumberFormat="1" applyFont="1" applyFill="1" applyBorder="1" applyAlignment="1">
      <alignment horizontal="center"/>
    </xf>
    <xf numFmtId="3" fontId="21" fillId="17" borderId="131" xfId="24" applyNumberFormat="1" applyFont="1" applyFill="1" applyBorder="1" applyAlignment="1">
      <alignment horizontal="center"/>
    </xf>
    <xf numFmtId="0" fontId="22" fillId="0" borderId="132" xfId="19" applyFont="1" applyBorder="1"/>
    <xf numFmtId="0" fontId="17" fillId="0" borderId="132" xfId="19" applyFont="1" applyBorder="1"/>
    <xf numFmtId="3" fontId="16" fillId="17" borderId="123" xfId="24" applyNumberFormat="1" applyFont="1" applyFill="1" applyBorder="1" applyAlignment="1">
      <alignment horizontal="center"/>
    </xf>
    <xf numFmtId="3" fontId="16" fillId="17" borderId="127" xfId="24" applyNumberFormat="1" applyFont="1" applyFill="1" applyBorder="1" applyAlignment="1">
      <alignment horizontal="center"/>
    </xf>
    <xf numFmtId="3" fontId="16" fillId="17" borderId="125" xfId="24" applyNumberFormat="1" applyFont="1" applyFill="1" applyBorder="1" applyAlignment="1">
      <alignment horizontal="center"/>
    </xf>
    <xf numFmtId="3" fontId="50" fillId="17" borderId="125" xfId="24" applyNumberFormat="1" applyFont="1" applyFill="1" applyBorder="1" applyAlignment="1">
      <alignment horizontal="center"/>
    </xf>
    <xf numFmtId="3" fontId="50" fillId="17" borderId="126" xfId="24" applyNumberFormat="1" applyFont="1" applyFill="1" applyBorder="1" applyAlignment="1">
      <alignment horizontal="center"/>
    </xf>
    <xf numFmtId="3" fontId="50" fillId="17" borderId="123" xfId="24" applyNumberFormat="1" applyFont="1" applyFill="1" applyBorder="1" applyAlignment="1">
      <alignment horizontal="center"/>
    </xf>
    <xf numFmtId="3" fontId="16" fillId="17" borderId="131" xfId="24" applyNumberFormat="1" applyFont="1" applyFill="1" applyBorder="1" applyAlignment="1">
      <alignment horizontal="center"/>
    </xf>
    <xf numFmtId="0" fontId="22" fillId="0" borderId="121" xfId="19" applyFont="1" applyBorder="1" applyAlignment="1">
      <alignment horizontal="center"/>
    </xf>
    <xf numFmtId="3" fontId="16" fillId="20" borderId="125" xfId="24" applyNumberFormat="1" applyFont="1" applyFill="1" applyBorder="1" applyAlignment="1">
      <alignment horizontal="center"/>
    </xf>
    <xf numFmtId="172" fontId="16" fillId="17" borderId="126" xfId="24" applyNumberFormat="1" applyFont="1" applyFill="1" applyBorder="1" applyAlignment="1">
      <alignment horizontal="center"/>
    </xf>
    <xf numFmtId="0" fontId="68" fillId="0" borderId="119" xfId="24" applyFont="1" applyFill="1" applyBorder="1" applyAlignment="1">
      <alignment horizontal="center"/>
    </xf>
    <xf numFmtId="3" fontId="16" fillId="0" borderId="119" xfId="24" applyNumberFormat="1" applyFont="1" applyFill="1" applyBorder="1" applyAlignment="1">
      <alignment horizontal="center"/>
    </xf>
    <xf numFmtId="3" fontId="29" fillId="17" borderId="128" xfId="24" applyNumberFormat="1" applyFont="1" applyFill="1" applyBorder="1" applyAlignment="1">
      <alignment horizontal="center"/>
    </xf>
    <xf numFmtId="3" fontId="29" fillId="17" borderId="127" xfId="24" applyNumberFormat="1" applyFont="1" applyFill="1" applyBorder="1" applyAlignment="1">
      <alignment horizontal="center"/>
    </xf>
    <xf numFmtId="3" fontId="29" fillId="17" borderId="125" xfId="24" applyNumberFormat="1" applyFont="1" applyFill="1" applyBorder="1" applyAlignment="1">
      <alignment horizontal="center"/>
    </xf>
    <xf numFmtId="3" fontId="29" fillId="17" borderId="126" xfId="24" applyNumberFormat="1" applyFont="1" applyFill="1" applyBorder="1" applyAlignment="1">
      <alignment horizontal="center"/>
    </xf>
    <xf numFmtId="3" fontId="16" fillId="17" borderId="128" xfId="24" applyNumberFormat="1" applyFont="1" applyFill="1" applyBorder="1" applyAlignment="1">
      <alignment horizontal="center"/>
    </xf>
    <xf numFmtId="3" fontId="16" fillId="17" borderId="126" xfId="24" applyNumberFormat="1" applyFont="1" applyFill="1" applyBorder="1" applyAlignment="1">
      <alignment horizontal="center"/>
    </xf>
    <xf numFmtId="3" fontId="16" fillId="20" borderId="127" xfId="24" applyNumberFormat="1" applyFont="1" applyFill="1" applyBorder="1" applyAlignment="1">
      <alignment horizontal="center"/>
    </xf>
    <xf numFmtId="3" fontId="29" fillId="17" borderId="123" xfId="24" applyNumberFormat="1" applyFont="1" applyFill="1" applyBorder="1" applyAlignment="1">
      <alignment horizontal="center"/>
    </xf>
    <xf numFmtId="3" fontId="29" fillId="0" borderId="125" xfId="24" applyNumberFormat="1" applyFont="1" applyFill="1" applyBorder="1" applyAlignment="1">
      <alignment horizontal="center"/>
    </xf>
    <xf numFmtId="3" fontId="29" fillId="0" borderId="126" xfId="24" applyNumberFormat="1" applyFont="1" applyFill="1" applyBorder="1" applyAlignment="1">
      <alignment horizontal="center"/>
    </xf>
    <xf numFmtId="0" fontId="22" fillId="0" borderId="132" xfId="19" applyFont="1" applyBorder="1" applyAlignment="1">
      <alignment horizontal="center"/>
    </xf>
    <xf numFmtId="0" fontId="17" fillId="0" borderId="132" xfId="19" applyFont="1" applyBorder="1" applyAlignment="1">
      <alignment horizontal="center"/>
    </xf>
    <xf numFmtId="0" fontId="30" fillId="0" borderId="123" xfId="14" applyFont="1" applyBorder="1"/>
    <xf numFmtId="0" fontId="30" fillId="11" borderId="122" xfId="0" applyFont="1" applyFill="1" applyBorder="1" applyAlignment="1">
      <alignment horizontal="center" wrapText="1"/>
    </xf>
    <xf numFmtId="0" fontId="30" fillId="16" borderId="120" xfId="14" applyFont="1" applyFill="1" applyBorder="1" applyAlignment="1">
      <alignment horizontal="left" vertical="center" indent="4"/>
    </xf>
    <xf numFmtId="0" fontId="31" fillId="16" borderId="122" xfId="14" applyFont="1" applyFill="1" applyBorder="1" applyAlignment="1"/>
    <xf numFmtId="177" fontId="31" fillId="16" borderId="122" xfId="21" applyNumberFormat="1" applyFont="1" applyFill="1" applyBorder="1"/>
    <xf numFmtId="0" fontId="30" fillId="16" borderId="124" xfId="14" applyFont="1" applyFill="1" applyBorder="1" applyAlignment="1">
      <alignment horizontal="left" vertical="center" indent="4"/>
    </xf>
    <xf numFmtId="0" fontId="31" fillId="16" borderId="128" xfId="14" applyFont="1" applyFill="1" applyBorder="1" applyAlignment="1"/>
    <xf numFmtId="172" fontId="31" fillId="16" borderId="122" xfId="21" applyNumberFormat="1" applyFont="1" applyFill="1" applyBorder="1"/>
    <xf numFmtId="0" fontId="31" fillId="0" borderId="124" xfId="14" applyFont="1" applyBorder="1"/>
    <xf numFmtId="0" fontId="31" fillId="0" borderId="128" xfId="14" applyFont="1" applyBorder="1"/>
    <xf numFmtId="0" fontId="31" fillId="0" borderId="124" xfId="14" applyFont="1" applyBorder="1" applyAlignment="1">
      <alignment vertical="center"/>
    </xf>
    <xf numFmtId="0" fontId="31" fillId="0" borderId="128" xfId="14" applyFont="1" applyBorder="1" applyAlignment="1">
      <alignment vertical="center"/>
    </xf>
    <xf numFmtId="172" fontId="31" fillId="0" borderId="125" xfId="14" applyNumberFormat="1" applyFont="1" applyFill="1" applyBorder="1"/>
    <xf numFmtId="172" fontId="36" fillId="0" borderId="125" xfId="14" applyNumberFormat="1" applyFont="1" applyFill="1" applyBorder="1"/>
    <xf numFmtId="3" fontId="31" fillId="0" borderId="125" xfId="14" applyNumberFormat="1" applyFont="1" applyFill="1" applyBorder="1"/>
    <xf numFmtId="3" fontId="31" fillId="0" borderId="128" xfId="14" applyNumberFormat="1" applyFont="1" applyFill="1" applyBorder="1"/>
    <xf numFmtId="0" fontId="30" fillId="0" borderId="120" xfId="14" applyFont="1" applyFill="1" applyBorder="1"/>
    <xf numFmtId="0" fontId="30" fillId="0" borderId="122" xfId="14" applyFont="1" applyFill="1" applyBorder="1"/>
    <xf numFmtId="0" fontId="31" fillId="0" borderId="127" xfId="14" applyFont="1" applyFill="1" applyBorder="1" applyAlignment="1">
      <alignment horizontal="left"/>
    </xf>
    <xf numFmtId="0" fontId="31" fillId="0" borderId="126" xfId="14" applyFont="1" applyFill="1" applyBorder="1" applyAlignment="1">
      <alignment horizontal="left"/>
    </xf>
    <xf numFmtId="3" fontId="30" fillId="0" borderId="122" xfId="14" applyNumberFormat="1" applyFont="1" applyFill="1" applyBorder="1"/>
    <xf numFmtId="0" fontId="31" fillId="0" borderId="124" xfId="14" applyFont="1" applyFill="1" applyBorder="1"/>
    <xf numFmtId="0" fontId="31" fillId="0" borderId="128" xfId="14" applyFont="1" applyFill="1" applyBorder="1"/>
    <xf numFmtId="181" fontId="31" fillId="0" borderId="122" xfId="21" applyFont="1" applyFill="1" applyBorder="1"/>
    <xf numFmtId="0" fontId="30" fillId="0" borderId="120" xfId="14" applyFont="1" applyFill="1" applyBorder="1" applyAlignment="1">
      <alignment vertical="center"/>
    </xf>
    <xf numFmtId="0" fontId="31" fillId="0" borderId="122" xfId="14" applyFont="1" applyFill="1" applyBorder="1"/>
    <xf numFmtId="3" fontId="31" fillId="0" borderId="122" xfId="14" applyNumberFormat="1" applyFont="1" applyFill="1" applyBorder="1"/>
    <xf numFmtId="3" fontId="31" fillId="17" borderId="122" xfId="14" applyNumberFormat="1" applyFont="1" applyFill="1" applyBorder="1"/>
    <xf numFmtId="177" fontId="31" fillId="16" borderId="125" xfId="21" applyNumberFormat="1" applyFont="1" applyFill="1" applyBorder="1"/>
    <xf numFmtId="177" fontId="31" fillId="16" borderId="128" xfId="21" applyNumberFormat="1" applyFont="1" applyFill="1" applyBorder="1"/>
    <xf numFmtId="0" fontId="31" fillId="0" borderId="124" xfId="14" applyFont="1" applyBorder="1" applyAlignment="1">
      <alignment horizontal="left"/>
    </xf>
    <xf numFmtId="0" fontId="31" fillId="0" borderId="128" xfId="14" applyFont="1" applyBorder="1" applyAlignment="1">
      <alignment horizontal="left"/>
    </xf>
    <xf numFmtId="172" fontId="37" fillId="0" borderId="125" xfId="14" applyNumberFormat="1" applyFont="1" applyBorder="1"/>
    <xf numFmtId="3" fontId="31" fillId="0" borderId="125" xfId="14" applyNumberFormat="1" applyFont="1" applyBorder="1"/>
    <xf numFmtId="3" fontId="31" fillId="0" borderId="126" xfId="14" applyNumberFormat="1" applyFont="1" applyBorder="1"/>
    <xf numFmtId="0" fontId="30" fillId="0" borderId="120" xfId="14" applyFont="1" applyBorder="1" applyAlignment="1">
      <alignment horizontal="left"/>
    </xf>
    <xf numFmtId="0" fontId="30" fillId="0" borderId="122" xfId="14" applyFont="1" applyBorder="1" applyAlignment="1">
      <alignment horizontal="left"/>
    </xf>
    <xf numFmtId="177" fontId="31" fillId="16" borderId="125" xfId="21" applyNumberFormat="1" applyFont="1" applyFill="1" applyBorder="1" applyAlignment="1">
      <alignment horizontal="center"/>
    </xf>
    <xf numFmtId="0" fontId="30" fillId="6" borderId="120" xfId="14" applyFont="1" applyFill="1" applyBorder="1" applyAlignment="1">
      <alignment vertical="center"/>
    </xf>
    <xf numFmtId="0" fontId="31" fillId="6" borderId="121" xfId="14" applyFont="1" applyFill="1" applyBorder="1"/>
    <xf numFmtId="179" fontId="31" fillId="0" borderId="125" xfId="21" applyNumberFormat="1" applyFont="1" applyFill="1" applyBorder="1"/>
    <xf numFmtId="179" fontId="31" fillId="0" borderId="126" xfId="21" applyNumberFormat="1" applyFont="1" applyFill="1" applyBorder="1"/>
    <xf numFmtId="0" fontId="30" fillId="0" borderId="124" xfId="14" applyFont="1" applyBorder="1" applyAlignment="1">
      <alignment vertical="center"/>
    </xf>
    <xf numFmtId="0" fontId="30" fillId="0" borderId="128" xfId="14" applyFont="1" applyBorder="1" applyAlignment="1">
      <alignment vertical="center"/>
    </xf>
    <xf numFmtId="172" fontId="30" fillId="0" borderId="128" xfId="14" applyNumberFormat="1" applyFont="1" applyFill="1" applyBorder="1"/>
    <xf numFmtId="0" fontId="30" fillId="0" borderId="120" xfId="14" applyFont="1" applyBorder="1"/>
    <xf numFmtId="0" fontId="30" fillId="0" borderId="122" xfId="14" applyFont="1" applyBorder="1"/>
    <xf numFmtId="172" fontId="30" fillId="0" borderId="122" xfId="14" applyNumberFormat="1" applyFont="1" applyBorder="1"/>
    <xf numFmtId="4" fontId="30" fillId="0" borderId="122" xfId="21" applyNumberFormat="1" applyFont="1" applyBorder="1"/>
    <xf numFmtId="4" fontId="30" fillId="0" borderId="122" xfId="21" applyNumberFormat="1" applyFont="1" applyFill="1" applyBorder="1"/>
    <xf numFmtId="4" fontId="38" fillId="0" borderId="122" xfId="21" applyNumberFormat="1" applyFont="1" applyBorder="1"/>
    <xf numFmtId="4" fontId="41" fillId="0" borderId="122" xfId="21" applyNumberFormat="1" applyFont="1" applyBorder="1"/>
    <xf numFmtId="0" fontId="30" fillId="6" borderId="120" xfId="14" applyFont="1" applyFill="1" applyBorder="1" applyAlignment="1">
      <alignment horizontal="left" vertical="center"/>
    </xf>
    <xf numFmtId="172" fontId="31" fillId="0" borderId="126" xfId="14" applyNumberFormat="1" applyFont="1" applyFill="1" applyBorder="1"/>
    <xf numFmtId="172" fontId="31" fillId="0" borderId="126" xfId="21" applyNumberFormat="1" applyFont="1" applyFill="1" applyBorder="1"/>
    <xf numFmtId="172" fontId="31" fillId="0" borderId="125" xfId="14" applyNumberFormat="1" applyFont="1" applyBorder="1"/>
    <xf numFmtId="172" fontId="31" fillId="0" borderId="126" xfId="14" applyNumberFormat="1" applyFont="1" applyBorder="1"/>
    <xf numFmtId="179" fontId="31" fillId="0" borderId="127" xfId="21" applyNumberFormat="1" applyFont="1" applyFill="1" applyBorder="1"/>
    <xf numFmtId="172" fontId="30" fillId="0" borderId="123" xfId="14" applyNumberFormat="1" applyFont="1" applyFill="1" applyBorder="1"/>
    <xf numFmtId="172" fontId="31" fillId="12" borderId="126" xfId="21" applyNumberFormat="1" applyFont="1" applyFill="1" applyBorder="1"/>
    <xf numFmtId="172" fontId="35" fillId="12" borderId="127" xfId="14" applyNumberFormat="1" applyFont="1" applyFill="1" applyBorder="1"/>
    <xf numFmtId="172" fontId="35" fillId="12" borderId="125" xfId="14" applyNumberFormat="1" applyFont="1" applyFill="1" applyBorder="1"/>
    <xf numFmtId="172" fontId="35" fillId="12" borderId="126" xfId="14" applyNumberFormat="1" applyFont="1" applyFill="1" applyBorder="1"/>
    <xf numFmtId="178" fontId="31" fillId="12" borderId="125" xfId="21" applyNumberFormat="1" applyFont="1" applyFill="1" applyBorder="1"/>
    <xf numFmtId="178" fontId="31" fillId="12" borderId="126" xfId="21" applyNumberFormat="1" applyFont="1" applyFill="1" applyBorder="1"/>
    <xf numFmtId="172" fontId="31" fillId="12" borderId="126" xfId="14" applyNumberFormat="1" applyFont="1" applyFill="1" applyBorder="1"/>
    <xf numFmtId="172" fontId="30" fillId="12" borderId="131" xfId="14" applyNumberFormat="1" applyFont="1" applyFill="1" applyBorder="1"/>
    <xf numFmtId="172" fontId="30" fillId="12" borderId="122" xfId="14" applyNumberFormat="1" applyFont="1" applyFill="1" applyBorder="1"/>
    <xf numFmtId="3" fontId="31" fillId="0" borderId="125" xfId="21" applyNumberFormat="1" applyFont="1" applyFill="1" applyBorder="1"/>
    <xf numFmtId="3" fontId="31" fillId="0" borderId="126" xfId="21" applyNumberFormat="1" applyFont="1" applyFill="1" applyBorder="1"/>
    <xf numFmtId="172" fontId="30" fillId="0" borderId="131" xfId="14" applyNumberFormat="1" applyFont="1" applyBorder="1"/>
    <xf numFmtId="4" fontId="30" fillId="0" borderId="131" xfId="14" applyNumberFormat="1" applyFont="1" applyBorder="1"/>
    <xf numFmtId="4" fontId="30" fillId="0" borderId="122" xfId="14" applyNumberFormat="1" applyFont="1" applyBorder="1"/>
    <xf numFmtId="181" fontId="31" fillId="0" borderId="125" xfId="21" applyFont="1" applyFill="1" applyBorder="1"/>
    <xf numFmtId="181" fontId="31" fillId="0" borderId="128" xfId="21" applyFont="1" applyFill="1" applyBorder="1"/>
    <xf numFmtId="172" fontId="31" fillId="16" borderId="125" xfId="21" applyNumberFormat="1" applyFont="1" applyFill="1" applyBorder="1"/>
    <xf numFmtId="172" fontId="31" fillId="0" borderId="127" xfId="14" applyNumberFormat="1" applyFont="1" applyBorder="1"/>
    <xf numFmtId="4" fontId="16" fillId="10" borderId="124" xfId="14" applyNumberFormat="1" applyFont="1" applyFill="1" applyBorder="1" applyAlignment="1">
      <alignment vertical="center"/>
    </xf>
    <xf numFmtId="3" fontId="22" fillId="10" borderId="128" xfId="19" applyNumberFormat="1" applyFont="1" applyFill="1" applyBorder="1" applyAlignment="1">
      <alignment vertical="center"/>
    </xf>
    <xf numFmtId="0" fontId="349" fillId="14" borderId="5" xfId="5" applyFont="1" applyFill="1" applyBorder="1" applyAlignment="1">
      <alignment horizontal="center"/>
    </xf>
    <xf numFmtId="0" fontId="350" fillId="14" borderId="5" xfId="5" applyFont="1" applyFill="1" applyBorder="1" applyAlignment="1">
      <alignment horizontal="center"/>
    </xf>
    <xf numFmtId="0" fontId="5" fillId="0" borderId="5" xfId="4" applyBorder="1">
      <alignment vertical="center"/>
    </xf>
    <xf numFmtId="165" fontId="12" fillId="14" borderId="5" xfId="5" applyNumberFormat="1" applyFill="1" applyBorder="1" applyAlignment="1">
      <alignment horizontal="center"/>
    </xf>
    <xf numFmtId="0" fontId="350" fillId="2" borderId="5" xfId="5" applyFont="1" applyFill="1" applyBorder="1" applyAlignment="1">
      <alignment horizontal="center"/>
    </xf>
    <xf numFmtId="0" fontId="350" fillId="25" borderId="5" xfId="5" applyFont="1" applyFill="1" applyBorder="1" applyAlignment="1">
      <alignment horizontal="center"/>
    </xf>
    <xf numFmtId="165" fontId="7" fillId="14" borderId="5" xfId="0" applyNumberFormat="1" applyFont="1" applyFill="1" applyBorder="1" applyAlignment="1">
      <alignment horizontal="left"/>
    </xf>
    <xf numFmtId="0" fontId="6" fillId="14" borderId="5" xfId="0" applyFont="1" applyFill="1" applyBorder="1" applyAlignment="1">
      <alignment horizontal="center"/>
    </xf>
    <xf numFmtId="165" fontId="7" fillId="14" borderId="5" xfId="6711" applyNumberFormat="1" applyFont="1" applyFill="1" applyBorder="1" applyAlignment="1">
      <alignment horizontal="left"/>
    </xf>
    <xf numFmtId="170" fontId="9" fillId="12" borderId="5" xfId="6711" applyNumberFormat="1" applyFont="1" applyFill="1" applyBorder="1" applyAlignment="1">
      <alignment horizontal="center"/>
    </xf>
    <xf numFmtId="170" fontId="9" fillId="12" borderId="5" xfId="25908" applyNumberFormat="1" applyFont="1" applyFill="1" applyBorder="1" applyAlignment="1">
      <alignment horizontal="center"/>
    </xf>
    <xf numFmtId="170" fontId="9" fillId="2" borderId="5" xfId="6711" applyNumberFormat="1" applyFont="1" applyFill="1" applyBorder="1" applyAlignment="1">
      <alignment horizontal="center"/>
    </xf>
    <xf numFmtId="168" fontId="11" fillId="14" borderId="5" xfId="0" applyNumberFormat="1" applyFont="1" applyFill="1" applyBorder="1" applyAlignment="1">
      <alignment horizontal="center"/>
    </xf>
    <xf numFmtId="0" fontId="21" fillId="11" borderId="5" xfId="14" applyFont="1" applyFill="1" applyBorder="1" applyAlignment="1">
      <alignment horizontal="center" wrapText="1"/>
    </xf>
    <xf numFmtId="0" fontId="16" fillId="0" borderId="5" xfId="14" applyFont="1" applyFill="1" applyBorder="1" applyAlignment="1">
      <alignment horizontal="left"/>
    </xf>
    <xf numFmtId="170" fontId="6" fillId="14" borderId="5" xfId="0" applyNumberFormat="1" applyFont="1" applyFill="1" applyBorder="1" applyAlignment="1">
      <alignment horizontal="center"/>
    </xf>
    <xf numFmtId="170" fontId="6" fillId="2" borderId="5" xfId="1" applyNumberFormat="1" applyFont="1" applyFill="1" applyBorder="1" applyAlignment="1">
      <alignment horizontal="center"/>
    </xf>
    <xf numFmtId="165" fontId="6" fillId="14" borderId="5" xfId="0" applyNumberFormat="1" applyFont="1" applyFill="1" applyBorder="1" applyAlignment="1">
      <alignment horizontal="center"/>
    </xf>
    <xf numFmtId="170" fontId="7" fillId="14" borderId="5" xfId="0" applyNumberFormat="1" applyFont="1" applyFill="1" applyBorder="1" applyAlignment="1">
      <alignment horizontal="center"/>
    </xf>
    <xf numFmtId="170" fontId="7" fillId="2" borderId="5" xfId="0" applyNumberFormat="1" applyFont="1" applyFill="1" applyBorder="1" applyAlignment="1">
      <alignment horizontal="center"/>
    </xf>
    <xf numFmtId="165" fontId="6" fillId="14" borderId="5" xfId="0" applyNumberFormat="1" applyFont="1" applyFill="1" applyBorder="1" applyAlignment="1">
      <alignment horizontal="left"/>
    </xf>
    <xf numFmtId="165" fontId="11" fillId="14" borderId="5" xfId="0" applyNumberFormat="1" applyFont="1" applyFill="1" applyBorder="1" applyAlignment="1">
      <alignment horizontal="center"/>
    </xf>
    <xf numFmtId="165" fontId="7" fillId="2" borderId="5" xfId="0" applyNumberFormat="1" applyFont="1" applyFill="1" applyBorder="1"/>
    <xf numFmtId="0" fontId="21" fillId="11" borderId="5" xfId="14" applyFont="1" applyFill="1" applyBorder="1" applyAlignment="1">
      <alignment horizontal="center" vertical="center" wrapText="1"/>
    </xf>
    <xf numFmtId="0" fontId="16" fillId="0" borderId="5" xfId="24" applyFont="1" applyFill="1" applyBorder="1" applyAlignment="1">
      <alignment vertical="center"/>
    </xf>
    <xf numFmtId="3" fontId="16" fillId="0" borderId="5" xfId="24" applyNumberFormat="1" applyFont="1" applyFill="1" applyBorder="1" applyAlignment="1">
      <alignment horizontal="center"/>
    </xf>
    <xf numFmtId="3" fontId="16" fillId="17" borderId="5" xfId="24" applyNumberFormat="1" applyFont="1" applyFill="1" applyBorder="1" applyAlignment="1"/>
    <xf numFmtId="0" fontId="21" fillId="0" borderId="5" xfId="24" applyFont="1" applyFill="1" applyBorder="1" applyAlignment="1">
      <alignment vertical="center"/>
    </xf>
    <xf numFmtId="3" fontId="21" fillId="0" borderId="5" xfId="24" applyNumberFormat="1" applyFont="1" applyFill="1" applyBorder="1" applyAlignment="1">
      <alignment horizontal="center"/>
    </xf>
    <xf numFmtId="3" fontId="21" fillId="17" borderId="5" xfId="24" applyNumberFormat="1" applyFont="1" applyFill="1" applyBorder="1" applyAlignment="1"/>
    <xf numFmtId="3" fontId="16" fillId="17" borderId="5" xfId="24" applyNumberFormat="1" applyFont="1" applyFill="1" applyBorder="1" applyAlignment="1">
      <alignment horizontal="center"/>
    </xf>
    <xf numFmtId="3" fontId="16" fillId="2" borderId="5" xfId="24" applyNumberFormat="1" applyFont="1" applyFill="1" applyBorder="1" applyAlignment="1">
      <alignment horizontal="center"/>
    </xf>
    <xf numFmtId="3" fontId="21" fillId="2" borderId="5" xfId="24" applyNumberFormat="1" applyFont="1" applyFill="1" applyBorder="1" applyAlignment="1">
      <alignment horizontal="center"/>
    </xf>
    <xf numFmtId="3" fontId="21" fillId="17" borderId="5" xfId="24" applyNumberFormat="1" applyFont="1" applyFill="1" applyBorder="1" applyAlignment="1">
      <alignment horizontal="center"/>
    </xf>
    <xf numFmtId="0" fontId="21" fillId="0" borderId="5" xfId="24" applyFont="1" applyBorder="1" applyAlignment="1">
      <alignment vertical="center"/>
    </xf>
    <xf numFmtId="0" fontId="21" fillId="11" borderId="5" xfId="14" applyFont="1" applyFill="1" applyBorder="1" applyAlignment="1">
      <alignment horizontal="center" vertical="center"/>
    </xf>
    <xf numFmtId="0" fontId="16" fillId="0" borderId="5" xfId="24" applyFont="1" applyBorder="1" applyAlignment="1">
      <alignment vertical="center"/>
    </xf>
    <xf numFmtId="3" fontId="29" fillId="17" borderId="5" xfId="24" applyNumberFormat="1" applyFont="1" applyFill="1" applyBorder="1" applyAlignment="1">
      <alignment horizontal="center"/>
    </xf>
    <xf numFmtId="4" fontId="30" fillId="6" borderId="5" xfId="14" applyNumberFormat="1" applyFont="1" applyFill="1" applyBorder="1"/>
    <xf numFmtId="172" fontId="30" fillId="0" borderId="5" xfId="14" applyNumberFormat="1" applyFont="1" applyBorder="1"/>
    <xf numFmtId="4" fontId="30" fillId="0" borderId="5" xfId="21" applyNumberFormat="1" applyFont="1" applyBorder="1"/>
    <xf numFmtId="0" fontId="6" fillId="2" borderId="0" xfId="6711" applyFont="1" applyFill="1" applyBorder="1"/>
    <xf numFmtId="0" fontId="7" fillId="2" borderId="0" xfId="6711" applyFont="1" applyFill="1" applyBorder="1"/>
    <xf numFmtId="3" fontId="45" fillId="2" borderId="38" xfId="6711" applyNumberFormat="1" applyFont="1" applyFill="1" applyBorder="1"/>
    <xf numFmtId="3" fontId="11" fillId="2" borderId="38" xfId="6711" applyNumberFormat="1" applyFont="1" applyFill="1" applyBorder="1"/>
    <xf numFmtId="3" fontId="11" fillId="2" borderId="3" xfId="6711" applyNumberFormat="1" applyFont="1" applyFill="1" applyBorder="1"/>
    <xf numFmtId="168" fontId="46" fillId="0" borderId="3" xfId="0" applyNumberFormat="1" applyFont="1" applyFill="1" applyBorder="1"/>
    <xf numFmtId="165" fontId="13" fillId="2" borderId="0" xfId="6711" applyNumberFormat="1" applyFont="1" applyFill="1"/>
    <xf numFmtId="165" fontId="46" fillId="2" borderId="120" xfId="6711" applyNumberFormat="1" applyFont="1" applyFill="1" applyBorder="1" applyAlignment="1">
      <alignment horizontal="center"/>
    </xf>
    <xf numFmtId="165" fontId="6" fillId="2" borderId="121" xfId="6711" applyNumberFormat="1" applyFont="1" applyFill="1" applyBorder="1" applyAlignment="1">
      <alignment horizontal="center"/>
    </xf>
    <xf numFmtId="165" fontId="6" fillId="2" borderId="122" xfId="6711" applyNumberFormat="1" applyFont="1" applyFill="1" applyBorder="1" applyAlignment="1">
      <alignment horizontal="center"/>
    </xf>
    <xf numFmtId="165" fontId="11" fillId="2" borderId="3" xfId="6711" applyNumberFormat="1" applyFont="1" applyFill="1" applyBorder="1" applyAlignment="1">
      <alignment horizontal="center"/>
    </xf>
    <xf numFmtId="0" fontId="352" fillId="150" borderId="3" xfId="0" applyFont="1" applyFill="1" applyBorder="1" applyAlignment="1"/>
    <xf numFmtId="0" fontId="352" fillId="150" borderId="133" xfId="0" applyFont="1" applyFill="1" applyBorder="1" applyAlignment="1"/>
    <xf numFmtId="3" fontId="352" fillId="150" borderId="133" xfId="0" applyNumberFormat="1" applyFont="1" applyFill="1" applyBorder="1" applyAlignment="1"/>
    <xf numFmtId="0" fontId="352" fillId="151" borderId="3" xfId="0" applyFont="1" applyFill="1" applyBorder="1" applyAlignment="1"/>
    <xf numFmtId="0" fontId="352" fillId="151" borderId="133" xfId="0" applyFont="1" applyFill="1" applyBorder="1" applyAlignment="1"/>
    <xf numFmtId="0" fontId="352" fillId="151" borderId="24" xfId="0" applyFont="1" applyFill="1" applyBorder="1" applyAlignment="1"/>
    <xf numFmtId="0" fontId="352" fillId="151" borderId="134" xfId="0" applyFont="1" applyFill="1" applyBorder="1" applyAlignment="1"/>
    <xf numFmtId="0" fontId="352" fillId="148" borderId="0" xfId="0" applyFont="1" applyFill="1" applyBorder="1" applyAlignment="1"/>
    <xf numFmtId="3" fontId="352" fillId="151" borderId="3" xfId="0" applyNumberFormat="1" applyFont="1" applyFill="1" applyBorder="1" applyAlignment="1"/>
    <xf numFmtId="3" fontId="352" fillId="151" borderId="133" xfId="0" applyNumberFormat="1" applyFont="1" applyFill="1" applyBorder="1" applyAlignment="1"/>
    <xf numFmtId="3" fontId="352" fillId="151" borderId="24" xfId="0" applyNumberFormat="1" applyFont="1" applyFill="1" applyBorder="1" applyAlignment="1"/>
    <xf numFmtId="3" fontId="352" fillId="151" borderId="134" xfId="0" applyNumberFormat="1" applyFont="1" applyFill="1" applyBorder="1" applyAlignment="1"/>
    <xf numFmtId="9" fontId="352" fillId="151" borderId="3" xfId="0" applyNumberFormat="1" applyFont="1" applyFill="1" applyBorder="1" applyAlignment="1"/>
    <xf numFmtId="9" fontId="352" fillId="151" borderId="133" xfId="0" applyNumberFormat="1" applyFont="1" applyFill="1" applyBorder="1" applyAlignment="1"/>
    <xf numFmtId="9" fontId="352" fillId="151" borderId="24" xfId="0" applyNumberFormat="1" applyFont="1" applyFill="1" applyBorder="1" applyAlignment="1"/>
    <xf numFmtId="9" fontId="352" fillId="151" borderId="134" xfId="0" applyNumberFormat="1" applyFont="1" applyFill="1" applyBorder="1" applyAlignment="1"/>
    <xf numFmtId="4" fontId="352" fillId="151" borderId="24" xfId="0" applyNumberFormat="1" applyFont="1" applyFill="1" applyBorder="1" applyAlignment="1"/>
    <xf numFmtId="4" fontId="352" fillId="151" borderId="134" xfId="0" applyNumberFormat="1" applyFont="1" applyFill="1" applyBorder="1" applyAlignment="1"/>
    <xf numFmtId="9" fontId="352" fillId="151" borderId="24" xfId="0" quotePrefix="1" applyNumberFormat="1" applyFont="1" applyFill="1" applyBorder="1" applyAlignment="1"/>
    <xf numFmtId="9" fontId="352" fillId="151" borderId="134" xfId="0" quotePrefix="1" applyNumberFormat="1" applyFont="1" applyFill="1" applyBorder="1" applyAlignment="1"/>
    <xf numFmtId="3" fontId="358" fillId="150" borderId="3" xfId="0" applyNumberFormat="1" applyFont="1" applyFill="1" applyBorder="1" applyAlignment="1"/>
    <xf numFmtId="3" fontId="358" fillId="150" borderId="133" xfId="0" applyNumberFormat="1" applyFont="1" applyFill="1" applyBorder="1" applyAlignment="1"/>
    <xf numFmtId="0" fontId="352" fillId="152" borderId="3" xfId="0" applyFont="1" applyFill="1" applyBorder="1" applyAlignment="1"/>
    <xf numFmtId="0" fontId="358" fillId="148" borderId="133" xfId="0" applyFont="1" applyFill="1" applyBorder="1" applyAlignment="1"/>
    <xf numFmtId="0" fontId="352" fillId="152" borderId="24" xfId="0" applyFont="1" applyFill="1" applyBorder="1" applyAlignment="1"/>
    <xf numFmtId="0" fontId="358" fillId="148" borderId="134" xfId="0" applyFont="1" applyFill="1" applyBorder="1" applyAlignment="1"/>
    <xf numFmtId="0" fontId="358" fillId="148" borderId="134" xfId="0" quotePrefix="1" applyFont="1" applyFill="1" applyBorder="1" applyAlignment="1"/>
    <xf numFmtId="0" fontId="352" fillId="153" borderId="0" xfId="0" applyFont="1" applyFill="1" applyBorder="1" applyAlignment="1"/>
    <xf numFmtId="0" fontId="30" fillId="148" borderId="135" xfId="0" applyFont="1" applyFill="1" applyBorder="1" applyAlignment="1"/>
    <xf numFmtId="0" fontId="352" fillId="0" borderId="0" xfId="0" applyFont="1" applyFill="1" applyBorder="1" applyAlignment="1"/>
    <xf numFmtId="0" fontId="352" fillId="150" borderId="24" xfId="0" applyFont="1" applyFill="1" applyBorder="1" applyAlignment="1"/>
    <xf numFmtId="0" fontId="352" fillId="150" borderId="134" xfId="0" applyFont="1" applyFill="1" applyBorder="1" applyAlignment="1"/>
    <xf numFmtId="0" fontId="357" fillId="154" borderId="0" xfId="0" applyFont="1" applyFill="1" applyBorder="1" applyAlignment="1"/>
    <xf numFmtId="0" fontId="352" fillId="154" borderId="0" xfId="0" applyFont="1" applyFill="1" applyBorder="1" applyAlignment="1"/>
    <xf numFmtId="3" fontId="352" fillId="148" borderId="0" xfId="0" applyNumberFormat="1" applyFont="1" applyFill="1" applyBorder="1" applyAlignment="1"/>
    <xf numFmtId="3" fontId="29" fillId="0" borderId="14" xfId="0" applyNumberFormat="1" applyFont="1" applyFill="1" applyBorder="1" applyAlignment="1"/>
    <xf numFmtId="3" fontId="12" fillId="0" borderId="0" xfId="5" applyNumberFormat="1"/>
    <xf numFmtId="165" fontId="12" fillId="0" borderId="0" xfId="5" applyNumberFormat="1" applyAlignment="1">
      <alignment horizontal="center"/>
    </xf>
    <xf numFmtId="165" fontId="12" fillId="0" borderId="0" xfId="5" applyNumberFormat="1" applyBorder="1"/>
    <xf numFmtId="4" fontId="12" fillId="6" borderId="0" xfId="5" applyNumberFormat="1" applyFill="1"/>
    <xf numFmtId="3" fontId="12" fillId="6" borderId="0" xfId="5" applyNumberFormat="1" applyFill="1"/>
    <xf numFmtId="175" fontId="11" fillId="6" borderId="24" xfId="0" applyNumberFormat="1" applyFont="1" applyFill="1" applyBorder="1"/>
    <xf numFmtId="175" fontId="11" fillId="6" borderId="3" xfId="0" applyNumberFormat="1" applyFont="1" applyFill="1" applyBorder="1"/>
    <xf numFmtId="175" fontId="349" fillId="6" borderId="0" xfId="5" applyNumberFormat="1" applyFont="1" applyFill="1"/>
    <xf numFmtId="2" fontId="12" fillId="6" borderId="0" xfId="5" applyNumberFormat="1" applyFill="1"/>
    <xf numFmtId="173" fontId="349" fillId="6" borderId="0" xfId="5" applyNumberFormat="1" applyFont="1" applyFill="1"/>
    <xf numFmtId="2" fontId="349" fillId="6" borderId="0" xfId="5" applyNumberFormat="1" applyFont="1" applyFill="1"/>
    <xf numFmtId="3" fontId="11" fillId="9" borderId="38" xfId="0" applyNumberFormat="1" applyFont="1" applyFill="1" applyBorder="1"/>
    <xf numFmtId="3" fontId="11" fillId="9" borderId="133" xfId="0" applyNumberFormat="1" applyFont="1" applyFill="1" applyBorder="1"/>
    <xf numFmtId="3" fontId="11" fillId="9" borderId="31" xfId="0" applyNumberFormat="1" applyFont="1" applyFill="1" applyBorder="1"/>
    <xf numFmtId="3" fontId="11" fillId="9" borderId="30" xfId="0" applyNumberFormat="1" applyFont="1" applyFill="1" applyBorder="1"/>
    <xf numFmtId="3" fontId="11" fillId="9" borderId="32" xfId="0" applyNumberFormat="1" applyFont="1" applyFill="1" applyBorder="1"/>
    <xf numFmtId="3" fontId="11" fillId="9" borderId="136" xfId="0" applyNumberFormat="1" applyFont="1" applyFill="1" applyBorder="1"/>
    <xf numFmtId="3" fontId="11" fillId="9" borderId="137" xfId="0" applyNumberFormat="1" applyFont="1" applyFill="1" applyBorder="1"/>
    <xf numFmtId="3" fontId="11" fillId="9" borderId="138" xfId="0" applyNumberFormat="1" applyFont="1" applyFill="1" applyBorder="1"/>
    <xf numFmtId="0" fontId="9" fillId="2" borderId="5" xfId="0" applyFont="1" applyFill="1" applyBorder="1" applyAlignment="1">
      <alignment horizontal="center"/>
    </xf>
    <xf numFmtId="0" fontId="21" fillId="0" borderId="0" xfId="7" applyFont="1" applyBorder="1" applyAlignment="1"/>
    <xf numFmtId="0" fontId="19" fillId="0" borderId="0" xfId="7" applyFont="1" applyBorder="1" applyAlignment="1">
      <alignment horizontal="center"/>
    </xf>
    <xf numFmtId="0" fontId="359" fillId="2" borderId="4" xfId="2" applyFont="1" applyFill="1" applyBorder="1" applyAlignment="1">
      <alignment horizontal="center" vertical="center"/>
    </xf>
    <xf numFmtId="0" fontId="360" fillId="4" borderId="0" xfId="2" applyFont="1" applyFill="1" applyAlignment="1">
      <alignment horizontal="center" vertical="center"/>
    </xf>
    <xf numFmtId="175" fontId="12" fillId="6" borderId="0" xfId="5" applyNumberFormat="1" applyFill="1"/>
    <xf numFmtId="173" fontId="349" fillId="6" borderId="120" xfId="5" applyNumberFormat="1" applyFont="1" applyFill="1" applyBorder="1"/>
    <xf numFmtId="173" fontId="349" fillId="6" borderId="121" xfId="5" applyNumberFormat="1" applyFont="1" applyFill="1" applyBorder="1"/>
    <xf numFmtId="168" fontId="46" fillId="155" borderId="3" xfId="0" applyNumberFormat="1" applyFont="1" applyFill="1" applyBorder="1" applyAlignment="1">
      <alignment horizontal="center"/>
    </xf>
    <xf numFmtId="0" fontId="352" fillId="151" borderId="134" xfId="0" applyFont="1" applyFill="1" applyBorder="1"/>
    <xf numFmtId="173" fontId="362" fillId="6" borderId="122" xfId="5" applyNumberFormat="1" applyFont="1" applyFill="1" applyBorder="1"/>
    <xf numFmtId="1" fontId="12" fillId="6" borderId="0" xfId="5" applyNumberFormat="1" applyFill="1"/>
    <xf numFmtId="0" fontId="21" fillId="0" borderId="0" xfId="24" applyFont="1" applyAlignment="1">
      <alignment horizontal="center"/>
    </xf>
    <xf numFmtId="0" fontId="30" fillId="0" borderId="0" xfId="14" applyFont="1" applyAlignment="1">
      <alignment horizontal="center"/>
    </xf>
    <xf numFmtId="165" fontId="11" fillId="2" borderId="3" xfId="0" applyNumberFormat="1" applyFont="1" applyFill="1" applyBorder="1" applyAlignment="1">
      <alignment horizontal="center"/>
    </xf>
    <xf numFmtId="165" fontId="363" fillId="0" borderId="0" xfId="5" applyNumberFormat="1" applyFont="1"/>
    <xf numFmtId="165" fontId="363" fillId="0" borderId="0" xfId="5" applyNumberFormat="1" applyFont="1" applyAlignment="1">
      <alignment horizontal="center"/>
    </xf>
    <xf numFmtId="9" fontId="364" fillId="151" borderId="3" xfId="0" applyNumberFormat="1" applyFont="1" applyFill="1" applyBorder="1"/>
    <xf numFmtId="0" fontId="365" fillId="0" borderId="0" xfId="5" applyFont="1"/>
    <xf numFmtId="0" fontId="365" fillId="0" borderId="0" xfId="5" applyFont="1" applyAlignment="1">
      <alignment horizontal="center"/>
    </xf>
    <xf numFmtId="173" fontId="361" fillId="156" borderId="120" xfId="0" applyNumberFormat="1" applyFont="1" applyFill="1" applyBorder="1"/>
    <xf numFmtId="173" fontId="361" fillId="156" borderId="121" xfId="0" applyNumberFormat="1" applyFont="1" applyFill="1" applyBorder="1"/>
    <xf numFmtId="173" fontId="361" fillId="156" borderId="122" xfId="0" applyNumberFormat="1" applyFont="1" applyFill="1" applyBorder="1"/>
    <xf numFmtId="173" fontId="12" fillId="6" borderId="0" xfId="5" applyNumberFormat="1" applyFill="1"/>
    <xf numFmtId="173" fontId="12" fillId="0" borderId="0" xfId="5" applyNumberFormat="1"/>
    <xf numFmtId="173" fontId="12" fillId="0" borderId="119" xfId="5" applyNumberFormat="1" applyBorder="1"/>
    <xf numFmtId="173" fontId="363" fillId="6" borderId="0" xfId="5" applyNumberFormat="1" applyFont="1" applyFill="1"/>
    <xf numFmtId="3" fontId="16" fillId="0" borderId="0" xfId="14" applyNumberFormat="1" applyFont="1"/>
    <xf numFmtId="0" fontId="44" fillId="2" borderId="2" xfId="0" applyFont="1" applyFill="1" applyBorder="1"/>
    <xf numFmtId="0" fontId="12" fillId="6" borderId="0" xfId="5" applyFill="1" applyAlignment="1">
      <alignment horizontal="center"/>
    </xf>
    <xf numFmtId="0" fontId="25" fillId="15" borderId="120" xfId="14" applyFont="1" applyFill="1" applyBorder="1" applyAlignment="1">
      <alignment horizontal="center" vertical="center"/>
    </xf>
    <xf numFmtId="0" fontId="25" fillId="15" borderId="121" xfId="14" applyFont="1" applyFill="1" applyBorder="1" applyAlignment="1">
      <alignment horizontal="center" vertical="center"/>
    </xf>
    <xf numFmtId="0" fontId="25" fillId="13" borderId="120" xfId="14" applyFont="1" applyFill="1" applyBorder="1" applyAlignment="1">
      <alignment horizontal="center" vertical="center"/>
    </xf>
    <xf numFmtId="0" fontId="25" fillId="13" borderId="121" xfId="14" applyFont="1" applyFill="1" applyBorder="1" applyAlignment="1">
      <alignment horizontal="center" vertical="center"/>
    </xf>
    <xf numFmtId="0" fontId="25" fillId="13" borderId="122" xfId="14" applyFont="1" applyFill="1" applyBorder="1" applyAlignment="1">
      <alignment horizontal="center" vertical="center"/>
    </xf>
    <xf numFmtId="0" fontId="25" fillId="13" borderId="16" xfId="14" applyFont="1" applyFill="1" applyBorder="1" applyAlignment="1">
      <alignment horizontal="center" vertical="center"/>
    </xf>
    <xf numFmtId="0" fontId="25" fillId="13" borderId="0" xfId="14" applyFont="1" applyFill="1" applyBorder="1" applyAlignment="1">
      <alignment horizontal="center" vertical="center"/>
    </xf>
    <xf numFmtId="0" fontId="25" fillId="15" borderId="122" xfId="14" applyFont="1" applyFill="1" applyBorder="1" applyAlignment="1">
      <alignment horizontal="center" vertical="center"/>
    </xf>
    <xf numFmtId="0" fontId="21" fillId="0" borderId="0" xfId="24" applyFont="1" applyAlignment="1">
      <alignment horizontal="center"/>
    </xf>
    <xf numFmtId="0" fontId="30" fillId="0" borderId="0" xfId="14" applyFont="1" applyAlignment="1">
      <alignment horizontal="center"/>
    </xf>
    <xf numFmtId="0" fontId="30" fillId="15" borderId="121" xfId="14" applyFont="1" applyFill="1" applyBorder="1" applyAlignment="1">
      <alignment horizontal="center"/>
    </xf>
    <xf numFmtId="0" fontId="30" fillId="15" borderId="122" xfId="14" applyFont="1" applyFill="1" applyBorder="1" applyAlignment="1">
      <alignment horizontal="center"/>
    </xf>
    <xf numFmtId="0" fontId="30" fillId="11" borderId="120" xfId="14" applyFont="1" applyFill="1" applyBorder="1" applyAlignment="1">
      <alignment horizontal="center" vertical="center" wrapText="1"/>
    </xf>
    <xf numFmtId="0" fontId="30" fillId="11" borderId="122" xfId="14" applyFont="1" applyFill="1" applyBorder="1" applyAlignment="1">
      <alignment horizontal="center" vertical="center" wrapText="1"/>
    </xf>
  </cellXfs>
  <cellStyles count="25910">
    <cellStyle name="------    blanc" xfId="41" xr:uid="{5D7D36D2-A1D5-40B7-A7CE-D23C6AED2581}"/>
    <cellStyle name="$1000s (0)" xfId="42" xr:uid="{0A544E3D-4DBD-4BEE-B9A2-AC2BA8ECCE28}"/>
    <cellStyle name="%??O%??P%??Q%??R%??S%??T%??U%??V%??W%??X%??Y%??Z%??[%??\%??]%??^%??_%??`%??a%?" xfId="43" xr:uid="{5634C88D-FAB0-4E45-AC95-7ADDC8514326}"/>
    <cellStyle name="%_2DP_in" xfId="44" xr:uid="{58FE3AFD-CDB3-4C65-B0AD-B46BB8F91E2D}"/>
    <cellStyle name="%_2DP_out" xfId="45" xr:uid="{8872A467-EB08-4075-AF88-CC15A692D56D}"/>
    <cellStyle name="?_x0002_nt?_x0002_ie?_x0002_de?_x0002_ b?_x0002_ch?_x0002_d ?_x0002_re?_x0002_ k?_x0002_we?_x0002_d_x0003_?_x0002_d_x000e_?_x0002_ _x0008_?_x0002__x000e_ ?_x0002_ ‡?_x0002_i`?_x0003_N_x0013_e?_x0003_'|'?_x0002_ve?_x0002_le?_x0002_s ?_x0002_i%?_x0005_größe?_x0002_ a?_x0002_he?_x0002_on?_x0002_rt?_x0002_at?_x0002_e" xfId="46" xr:uid="{0BA79B0B-1F48-46EF-AF99-3F372C9F1B44}"/>
    <cellStyle name="_03 - Synthèse P.207 - format MIOMCTI" xfId="47" xr:uid="{70848A6F-4CB3-4674-9B72-A47826A9442E}"/>
    <cellStyle name="_1.Fichier de synthèse missions - version brute 10-11-12" xfId="48" xr:uid="{19E79493-8428-4258-9B32-67A62281DA08}"/>
    <cellStyle name="_1-tendanciel CP" xfId="49" xr:uid="{785B519E-6135-472B-9213-56B9E1C2E312}"/>
    <cellStyle name="_1-tendanciel CP_7BAED_BG_IAI_PMT 23-03 VD" xfId="50" xr:uid="{DD2341C8-7ACC-4517-9729-0CDAA9EAA188}"/>
    <cellStyle name="_2011-03-31 8BCJS_CULTURE_RETOUR_recalé_cas" xfId="51" xr:uid="{222A87BD-6825-4CC7-A977-79B0288680FB}"/>
    <cellStyle name="_3BEN_BG_SCO_PMT_SYNTHESE_T2_HT2_MIES" xfId="52" xr:uid="{0F5D271E-B01F-44A7-A7C9-1C57CC412460}"/>
    <cellStyle name="_3MIRES_BG_MIRES_PMT_2013-2016_V1" xfId="53" xr:uid="{759977E9-CF19-4381-BB74-3C0475689710}"/>
    <cellStyle name="_4BLVT_BG_VILLELOGT_PMT v2" xfId="54" xr:uid="{44E5A0E3-9A1C-4DB2-B7C5-A323BDBCF07F}"/>
    <cellStyle name="_4BT_BG_EDAD_PMT v04 04 2012 mise à jour Météo-France(2)" xfId="55" xr:uid="{D96C53CC-CB71-472D-BF5F-C20ECF520B35}"/>
    <cellStyle name="_4BT_BG_EDAD_PMT V27 4BT 4BLVT 4BDD T2HT2 " xfId="56" xr:uid="{35A59695-0CEB-4C08-BCDE-84DF9B9A43AF}"/>
    <cellStyle name="_4BT_EDAD_Vdef" xfId="57" xr:uid="{58FCBD0E-9207-4B16-84C7-169145EDB286}"/>
    <cellStyle name="_4-mesures économies" xfId="58" xr:uid="{FCBB6E5C-E92D-4136-890D-E89E57EE6871}"/>
    <cellStyle name="_5BDM_BG_ANCCOMB_PMT v6" xfId="59" xr:uid="{63FCA2C3-BBB5-4D83-AE42-F591787F20D5}"/>
    <cellStyle name="_5BDM_BG_DEFENSE_PMTv3" xfId="60" xr:uid="{AAB9CDF5-0033-424D-99E3-4DF05ECB108E}"/>
    <cellStyle name="_6BEFP_BG_TRAVEMP_PMT" xfId="61" xr:uid="{BF606347-ADFF-45CF-8AFB-CD8C301A34F0}"/>
    <cellStyle name="_6BEFP_BG_TRAVEMP_PMT (2)" xfId="62" xr:uid="{AEA4A07B-89FC-48EB-BFB9-3C9F6E1A3D84}"/>
    <cellStyle name="_6BEFP_BG_TRAVEMP_PMT envoi synthèse 23032012" xfId="63" xr:uid="{0645558A-B3E5-45F6-885A-08C49730545B}"/>
    <cellStyle name="_6BEFP_TRAVEMP" xfId="64" xr:uid="{019817BE-A25F-4F91-9507-8AE8F1EE8FC7}"/>
    <cellStyle name="_6BEFP_TRAVEMP_CP-octobre2011 (2)" xfId="65" xr:uid="{4C87EA77-AE16-467F-A031-C625D70C641C}"/>
    <cellStyle name="_6BEFP_TRAVEMP-CP-juillet2011" xfId="66" xr:uid="{75728BBF-93B1-461D-A1EA-5D80F177FA47}"/>
    <cellStyle name="_6BRS_BG_RSR_PMT" xfId="67" xr:uid="{A0DFF5C7-7CB4-43A5-919A-C74A4D571E3D}"/>
    <cellStyle name="_6BSI_BG_SOLIDARITE_PMT_synthèse_vf" xfId="68" xr:uid="{DBECBFC9-48B6-41D5-A7E0-F71B3F6BE244}"/>
    <cellStyle name="_6BSI_BG_SOLIDARITE_PMT_synthèse_vfBPB post 1er tour" xfId="69" xr:uid="{8DB0A88E-11AF-4824-9E29-58932ECA260E}"/>
    <cellStyle name="_7BA_BG_AGRI_PMT" xfId="70" xr:uid="{E558B661-7287-4CBF-969A-D367AF14221D}"/>
    <cellStyle name="_7BA_BG_AGRI_PMT (feuilles opérateurs)" xfId="71" xr:uid="{DEFADB9F-C875-40F6-A708-FDEAA11175A9}"/>
    <cellStyle name="_7BAED_BG_APD_PMT 23-03 VD" xfId="72" xr:uid="{837A2593-23BD-471E-B1E7-557BA89D6DC8}"/>
    <cellStyle name="_7BAED_BG_IAI_PMT 23-03 VD" xfId="73" xr:uid="{DF41D406-9797-4A40-B393-3C1F8530130D}"/>
    <cellStyle name="_8BCJS_BG_CULTURE_PMT" xfId="74" xr:uid="{D927700A-F06B-410F-90AF-A100B9460F19}"/>
    <cellStyle name="_8BCJS_BG_CULTURE_PMT-opérateurs175V2MPAP" xfId="75" xr:uid="{CD01BCC4-51F0-4F6A-B1F6-512C9DF8FD86}"/>
    <cellStyle name="_8BEFOM_BG_GFPRH_PMT_V2 avec P309" xfId="76" xr:uid="{6551E9E4-255C-4419-BD7A-7C120947D4D6}"/>
    <cellStyle name="_8BJM_BG_JUSTICE_PMT_v10" xfId="77" xr:uid="{61B406F5-3146-455C-BD5D-CC5A7DCD0F85}"/>
    <cellStyle name="_8BJM_BG_MEDIAS_PMT_v2emeTour_vdef" xfId="78" xr:uid="{01730C30-D649-4560-99BC-6F19041A4E59}"/>
    <cellStyle name="_8BJM_CCF_AAP_PMT_v2emeTour_def " xfId="79" xr:uid="{092FEE68-4720-4B62-9B49-81624EB9A824}"/>
    <cellStyle name="_Assiette Sup PMT 2ème Tour" xfId="80" xr:uid="{9B485235-A962-4DEB-8101-AC8DB150654D}"/>
    <cellStyle name="_Assiette Sup PMT 2ème Tour (2)" xfId="81" xr:uid="{A1E8C617-E743-4399-B55B-F33C8662BA23}"/>
    <cellStyle name="_BP IONIS 11 MARS 2005V2 JMJ" xfId="82" xr:uid="{7908DFED-75C7-45A3-BF60-66554ABB0C7D}"/>
    <cellStyle name="_BP IONIS 11 MARS 2005V2 JMJ 2" xfId="83" xr:uid="{A1EE6D36-52D3-455D-B56C-D34D72EFE41C}"/>
    <cellStyle name="_BP IONIS 11 MARS 2005V2 JMJ 3" xfId="84" xr:uid="{2DCB4FFB-5FBA-4E56-906A-B73E090E9135}"/>
    <cellStyle name="_BRIQUES AE - DEFINITIF 13 avril" xfId="85" xr:uid="{B0E9B1C1-43EE-4BEF-A0CF-8B1B3CC4ACBF}"/>
    <cellStyle name="_BRIQUES AE - DEFINITIF 13 avril_PLF 2012 - MCC - Arbitrages" xfId="86" xr:uid="{6AD7C644-FBF9-4C32-BA4B-84F85DC87E0A}"/>
    <cellStyle name="_BRIQUES CP - DEFINITIF 13 avril" xfId="87" xr:uid="{900C3460-813F-44A9-A838-CA110494EB91}"/>
    <cellStyle name="_BRIQUES CP - DEFINITIF 13 avril_PLF 2012 - MCC - Arbitrages" xfId="88" xr:uid="{4BBAB0B3-7EE0-43F2-88C0-09BE0455E466}"/>
    <cellStyle name="_CAS AMENDES prev 2012" xfId="89" xr:uid="{2B1F5F97-3ED2-42FA-9881-FA0F1D15CF03}"/>
    <cellStyle name="_Champ constant BG 2010 - 2012 _ complet 2709" xfId="90" xr:uid="{B43484C1-C17B-4FB3-8BDA-68A3C817B8C7}"/>
    <cellStyle name="_Classeur1" xfId="91" xr:uid="{87BB8C30-7435-4709-934F-0FE8F9C91AA0}"/>
    <cellStyle name="_Classeur1_Classeur3" xfId="92" xr:uid="{EE858DE7-37D1-4C81-A1EA-DD4A85CF3C56}"/>
    <cellStyle name="_Classeur10" xfId="93" xr:uid="{A2586C0D-74C7-4C55-9AB3-A0B7BB3DDB12}"/>
    <cellStyle name="_Classeur11" xfId="94" xr:uid="{E0CFABA4-EE5C-46E7-BC78-4939C0FE4749}"/>
    <cellStyle name="_Classeur12" xfId="95" xr:uid="{43DBB7F1-2458-41EB-BE3C-3977431C470E}"/>
    <cellStyle name="_Classeur13" xfId="96" xr:uid="{A81700D0-68BA-49E5-A01E-D19BFCF51589}"/>
    <cellStyle name="_Classeur14" xfId="97" xr:uid="{57FDB710-159E-4F35-A292-A4557919446C}"/>
    <cellStyle name="_Classeur15" xfId="98" xr:uid="{8B7EC411-A1A7-4F90-8004-2FF9F46AC9BA}"/>
    <cellStyle name="_Classeur16" xfId="99" xr:uid="{E2999800-F353-4958-A8AB-14E5BE3DF688}"/>
    <cellStyle name="_Classeur17" xfId="100" xr:uid="{C00B8002-4845-468D-8666-A3DE6B24A3FA}"/>
    <cellStyle name="_Classeur18" xfId="101" xr:uid="{A8C1B011-051E-4CD7-BA0B-4A43F1A35447}"/>
    <cellStyle name="_Classeur19" xfId="102" xr:uid="{D46C29F7-1DA5-4111-9D7B-604EB58B2FA1}"/>
    <cellStyle name="_Classeur2" xfId="103" xr:uid="{D4D3E5FB-7289-4DDE-9704-76A9BEC9597A}"/>
    <cellStyle name="_Classeur20" xfId="104" xr:uid="{164CE77F-6F0A-49F9-8750-E59F378AAF64}"/>
    <cellStyle name="_Classeur3" xfId="105" xr:uid="{51F759A5-07BA-40F6-B45D-384528614A0F}"/>
    <cellStyle name="_Classeur4" xfId="106" xr:uid="{6C4ADF13-8EEE-4ED9-8975-2E35763128A8}"/>
    <cellStyle name="_Classeur5" xfId="107" xr:uid="{952BBF6B-BDF5-46A5-B07E-0691B3CB7860}"/>
    <cellStyle name="_Classeur6" xfId="108" xr:uid="{C07E6CB4-9009-4896-B5A8-475A74FA8C1E}"/>
    <cellStyle name="_Classeur7" xfId="109" xr:uid="{B44CEDCA-B912-46FF-B454-A3D927332499}"/>
    <cellStyle name="_Classeur8" xfId="110" xr:uid="{B18A16D5-2CFC-42AA-9C5B-5E5A98A423FA}"/>
    <cellStyle name="_Classeur8 2" xfId="111" xr:uid="{707EB95B-3DCB-491E-9EA3-D99C9A46A186}"/>
    <cellStyle name="_Classeur8_01.P614_DTA JPE 2014_V2-bis" xfId="112" xr:uid="{ABD10F5A-1C46-431D-9DDF-210D9BFA98C2}"/>
    <cellStyle name="_Classeur8_01.P614_DTA JPE 2014_V2-bis 2" xfId="113" xr:uid="{70046072-FE7B-4668-82E6-9C391EA4F078}"/>
    <cellStyle name="_Classeur8_1" xfId="114" xr:uid="{F56ADA5F-8509-4ADB-9F68-C2966F20138A}"/>
    <cellStyle name="_Classeur8_2013 03 05 ANNEXES circulaire sécurisation" xfId="115" xr:uid="{659A18F1-23D9-4836-823C-7BD981872725}"/>
    <cellStyle name="_Classeur8_2013 03 05 arbitrages PLF 2014" xfId="116" xr:uid="{E978F398-A4FC-4E75-8E96-79E42CC81EB1}"/>
    <cellStyle name="_Classeur8_annexe5_arbitrage_OPE" xfId="117" xr:uid="{FDC405E9-56D3-4EBD-9663-E141CE225A21}"/>
    <cellStyle name="_Classeur8_annexe5_circ_OPE (2)" xfId="118" xr:uid="{A02EF4E5-E3B2-4E45-B73D-3AE897C058A2}"/>
    <cellStyle name="_Classeur8_Dépenses par titre et par action JPE2014" xfId="119" xr:uid="{2A91C23E-EDAC-4FBF-ADBD-EE6AB284EE4A}"/>
    <cellStyle name="_Classeur8_M-08_triennal_DSNA" xfId="120" xr:uid="{E9346CF5-0D0C-40BD-A4C8-0ED7ECD9F428}"/>
    <cellStyle name="_Classeur8_MEDDE - dossier arbitrage PLF 2013-2015 arbitrage v1" xfId="121" xr:uid="{7B3E9838-5C23-4AE4-9A58-DC8C8EC5BFA4}"/>
    <cellStyle name="_Classeur8_OPE_CAS pension_05juil_18h" xfId="122" xr:uid="{4E746DBF-51A1-44DE-A9BC-DD1C646FCB21}"/>
    <cellStyle name="_Classeur8_Synthèse_CAS_Pensions_17juil_22h30" xfId="123" xr:uid="{8EC5A2C3-0A30-41E3-BE66-647B948C3934}"/>
    <cellStyle name="_Classeur8_Synthèse_CAS_Pensions_29juin_19h" xfId="124" xr:uid="{2510BF08-25E8-45A7-AE7F-7A7BCDE2A901}"/>
    <cellStyle name="_Classeur8_Synthèse_CAS_Pensions_30juil_11h" xfId="125" xr:uid="{8BE4ECB3-1DD4-440F-B0D4-B591F7A938F6}"/>
    <cellStyle name="_Classeur9" xfId="126" xr:uid="{74FF03B5-569E-4D06-9467-A7C1145F25C9}"/>
    <cellStyle name="_Column1" xfId="127" xr:uid="{B1F28B46-7997-4EF8-9769-71C7408FD5B8}"/>
    <cellStyle name="_Column1_ Bremen" xfId="128" xr:uid="{B17F7B05-583A-4361-ADA7-299D55CB55D7}"/>
    <cellStyle name="_Column1_ Dresden" xfId="129" xr:uid="{F27A5954-44EA-4324-ABDD-550F702E9DB6}"/>
    <cellStyle name="_Column1_ Düsseldorf" xfId="130" xr:uid="{FB224865-35E1-4CF5-85A2-FF14B4C40D70}"/>
    <cellStyle name="_Column1_ Köln Bonn" xfId="131" xr:uid="{E8B48FFC-AB11-4712-B237-22430AD6457D}"/>
    <cellStyle name="_Column1_ München" xfId="132" xr:uid="{3113DDBA-4555-4776-9364-545CEBE4BD7B}"/>
    <cellStyle name="_Column1_bAV je KTR" xfId="133" xr:uid="{B8F65886-42A6-4001-98BF-7A1D1171F9D8}"/>
    <cellStyle name="_Column1_Berlin BBI" xfId="134" xr:uid="{2AEC99AA-0858-4094-94CB-D153DB3BF832}"/>
    <cellStyle name="_Column1_Berlin Tegel" xfId="135" xr:uid="{B5C67DCD-4517-44AF-80AC-AE22CEA04644}"/>
    <cellStyle name="_Column1_Brücke Mifri" xfId="136" xr:uid="{D7435556-0779-4726-B85C-CC418FD4D824}"/>
    <cellStyle name="_Column1_Brücke RP" xfId="137" xr:uid="{B449A598-6347-4A50-B95F-B5DB0DDD8842}"/>
    <cellStyle name="_Column1_Datenbasis-DFS_SAP-DFS2.2014" xfId="138" xr:uid="{9A6917D0-43FC-4BBE-86A7-440F01C32E92}"/>
    <cellStyle name="_Column1_Datenbasis-STRECKE_SAP-DFS2.201" xfId="139" xr:uid="{8D0C3C2E-9FEE-4D93-9428-6865A4055B3E}"/>
    <cellStyle name="_Column1_Eingabe-KTR" xfId="140" xr:uid="{B436F36D-6D80-4847-8B4B-97FAB871861E}"/>
    <cellStyle name="_Column1_Ek Gebühr KCB" xfId="141" xr:uid="{7E17570F-06C8-4791-93C3-539FB59F1FCF}"/>
    <cellStyle name="_Column1_Ek Preisfinanziert" xfId="142" xr:uid="{36F317F8-5993-4508-A36C-DABD930D277F}"/>
    <cellStyle name="_Column1_Enroute" xfId="143" xr:uid="{C45B4946-7ECA-4354-894D-6C6FF3DFE3E8}"/>
    <cellStyle name="_Column1_Erfurt" xfId="144" xr:uid="{3F6EE83E-4094-48AE-BCDA-2CAF52EF72F1}"/>
    <cellStyle name="_Column1_ERW2013" xfId="145" xr:uid="{D2231D5B-30D5-4DC2-96A4-E7390E2D9C02}"/>
    <cellStyle name="_Column1_EU-BW" xfId="146" xr:uid="{C8485910-E571-424F-94FA-3964CFCB2BE1}"/>
    <cellStyle name="_Column1_EU-Tabellen" xfId="147" xr:uid="{839B07AE-9D79-4CC1-A437-33FF082219A7}"/>
    <cellStyle name="_Column1_Ford_Verbl LuL" xfId="148" xr:uid="{92B5BADA-554F-4ECA-9A25-FF7476243E08}"/>
    <cellStyle name="_Column1_Ford_Verbl LuL_Additional information tables" xfId="149" xr:uid="{DFC89AD6-FAE8-4E0B-B6F1-A7537B4A4F13}"/>
    <cellStyle name="_Column1_Ford_Verbl LuL_Berechnung CoC nach CAPM" xfId="150" xr:uid="{380DF038-9675-41F4-9A4A-2C4603ECA056}"/>
    <cellStyle name="_Column1_Ford_Verbl LuL_Berechnung CoC nach CAPM_KTR An-Abflug" xfId="151" xr:uid="{48D06BB2-C833-41E4-B8ED-457EFF919696}"/>
    <cellStyle name="_Column1_Ford_Verbl LuL_Berechnung CoC nach CAPM_KTR Strecke" xfId="152" xr:uid="{A8951390-F0C6-45EC-9E52-427695F5A0C1}"/>
    <cellStyle name="_Column1_Ford_Verbl LuL_KTR An-Abflug" xfId="153" xr:uid="{67DE99CD-1D0B-47F3-8CC4-3EF0BB7796E1}"/>
    <cellStyle name="_Column1_Ford_Verbl LuL_KTR Strecke" xfId="154" xr:uid="{1EDFEC6E-226C-4884-ABCE-47AEAE7EC8CA}"/>
    <cellStyle name="_Column1_Ford_Verbl LuL_Regulatory AssetBase mit Ist 13" xfId="155" xr:uid="{4EB09F13-6CF4-419A-97D6-75DBECC8CAED}"/>
    <cellStyle name="_Column1_Ford_Verbl LuL_Regulatory AssetBase mit Ist 13_KTR An-Abflug" xfId="156" xr:uid="{D8BE184B-71FC-46FD-BA64-546BD97B93D4}"/>
    <cellStyle name="_Column1_Ford_Verbl LuL_Regulatory AssetBase mit Ist 13_KTR Strecke" xfId="157" xr:uid="{8A140FF6-1A74-46CD-B6C2-EDEECE442219}"/>
    <cellStyle name="_Column1_Ford_Verbl LuL_Tabellarische Darstellung" xfId="158" xr:uid="{37B89D2A-C973-4FFD-ABF6-E33823BD0693}"/>
    <cellStyle name="_Column1_Ford_Verbl LuL_Tabellarische Darstellung_KTR An-Abflug" xfId="159" xr:uid="{06ED46ED-FB69-426B-A68E-073917BE076C}"/>
    <cellStyle name="_Column1_Ford_Verbl LuL_Tabellarische Darstellung_KTR Strecke" xfId="160" xr:uid="{B75FCBDF-1E83-428D-B29B-F50EF28812A7}"/>
    <cellStyle name="_Column1_Frankfurt" xfId="161" xr:uid="{CF214AB4-6287-47EC-9102-1149BFBFE604}"/>
    <cellStyle name="_Column1_Gebühren JP 2013 Stand 2. SV_Stand 13.12.2012" xfId="162" xr:uid="{78710C3D-E0DB-44A0-9CBF-E79BFF51B575}"/>
    <cellStyle name="_Column1_Gebühren JP 2013 Stand 2. SV_Stand 13.12.2012_Additional information tables" xfId="163" xr:uid="{42489603-8CF9-4FAD-9B2A-509B2BA3F87D}"/>
    <cellStyle name="_Column1_Gebühren JP 2013 Stand 2. SV_Stand 13.12.2012_Berechnung CoC nach CAPM" xfId="164" xr:uid="{1BC9D1C4-6782-4635-A130-AA8887E26A4C}"/>
    <cellStyle name="_Column1_Gebühren JP 2013 Stand 2. SV_Stand 13.12.2012_Berechnung CoC nach CAPM_KTR An-Abflug" xfId="165" xr:uid="{E0F4314E-18AA-4889-A1DC-613CF86B5544}"/>
    <cellStyle name="_Column1_Gebühren JP 2013 Stand 2. SV_Stand 13.12.2012_Berechnung CoC nach CAPM_KTR Strecke" xfId="166" xr:uid="{0883E8FE-E731-411D-BE10-451931F496C6}"/>
    <cellStyle name="_Column1_Gebühren JP 2013 Stand 2. SV_Stand 13.12.2012_KTR An-Abflug" xfId="167" xr:uid="{A11948CC-5803-44BE-A2A0-0B2FD3F984AC}"/>
    <cellStyle name="_Column1_Gebühren JP 2013 Stand 2. SV_Stand 13.12.2012_KTR Strecke" xfId="168" xr:uid="{E44F3F97-C917-4471-ABB9-9F26D8DA2036}"/>
    <cellStyle name="_Column1_Gebühren JP 2013 Stand 2. SV_Stand 13.12.2012_Regulatory AssetBase mit Ist 13" xfId="169" xr:uid="{3FB4A3B5-2324-4548-A223-849E58345A57}"/>
    <cellStyle name="_Column1_Gebühren JP 2013 Stand 2. SV_Stand 13.12.2012_Regulatory AssetBase mit Ist 13_KTR An-Abflug" xfId="170" xr:uid="{4CE56108-2943-4B8D-91A5-3B2CA5C432A7}"/>
    <cellStyle name="_Column1_Gebühren JP 2013 Stand 2. SV_Stand 13.12.2012_Regulatory AssetBase mit Ist 13_KTR Strecke" xfId="171" xr:uid="{FFA774F5-5BB2-4918-B18E-40BA13D8DC6B}"/>
    <cellStyle name="_Column1_Gebühren JP 2013 Stand 2. SV_Stand 13.12.2012_Tabellarische Darstellung" xfId="172" xr:uid="{84754940-6EA5-4028-BB61-699FDDB0742E}"/>
    <cellStyle name="_Column1_Gebühren JP 2013 Stand 2. SV_Stand 13.12.2012_Tabellarische Darstellung_KTR An-Abflug" xfId="173" xr:uid="{FA2AE4C4-0824-4325-A73E-B2CD843476DC}"/>
    <cellStyle name="_Column1_Gebühren JP 2013 Stand 2. SV_Stand 13.12.2012_Tabellarische Darstellung_KTR Strecke" xfId="174" xr:uid="{BDB094AF-5ABA-4EB8-B356-3BEB5B6C4D35}"/>
    <cellStyle name="_Column1_Gebührenbilanz - Aufbau" xfId="175" xr:uid="{77BD7B30-4A96-439F-83F2-7AD8207167E9}"/>
    <cellStyle name="_Column1_Gebührenbilanz - Aufbau_1" xfId="176" xr:uid="{3E6F0608-1D0E-41D1-A0CB-CEDEE68972C5}"/>
    <cellStyle name="_Column1_Gebührenbilanz - Aufbau_1_Additional information tables" xfId="177" xr:uid="{C983F09B-6D3A-42B1-AAC6-56CB631FC6C1}"/>
    <cellStyle name="_Column1_Gebührenbilanz - Aufbau_1_Berechnung CoC nach CAPM" xfId="178" xr:uid="{59FBB0C9-0CBA-441F-B3B8-03F8055A0923}"/>
    <cellStyle name="_Column1_Gebührenbilanz - Aufbau_1_Berechnung CoC nach CAPM_KTR An-Abflug" xfId="179" xr:uid="{C58B402C-6B9D-49F1-A52B-DF9734836148}"/>
    <cellStyle name="_Column1_Gebührenbilanz - Aufbau_1_Berechnung CoC nach CAPM_KTR Strecke" xfId="180" xr:uid="{5B0EC0E2-E60F-4AE0-9992-96026F415B16}"/>
    <cellStyle name="_Column1_Gebührenbilanz - Aufbau_1_KTR An-Abflug" xfId="181" xr:uid="{26345A64-D9B9-4095-82FB-7E1B34BB85D9}"/>
    <cellStyle name="_Column1_Gebührenbilanz - Aufbau_1_KTR Strecke" xfId="182" xr:uid="{8330E6A6-780F-488A-BC5E-9C6D9613CC03}"/>
    <cellStyle name="_Column1_Gebührenbilanz - Aufbau_1_Regulatory AssetBase mit Ist 13" xfId="183" xr:uid="{99D13C24-71DD-42E6-8A8D-01E900A0A86D}"/>
    <cellStyle name="_Column1_Gebührenbilanz - Aufbau_1_Regulatory AssetBase mit Ist 13_KTR An-Abflug" xfId="184" xr:uid="{642A26CD-040E-485D-898B-6F392D6D878C}"/>
    <cellStyle name="_Column1_Gebührenbilanz - Aufbau_1_Regulatory AssetBase mit Ist 13_KTR Strecke" xfId="185" xr:uid="{E9BDAE7B-8FEB-41BB-B629-7D21D8943FC3}"/>
    <cellStyle name="_Column1_Gebührenbilanz - Aufbau_1_Tabellarische Darstellung" xfId="186" xr:uid="{813CE61D-04DB-4703-A91A-E2D7C945C8F1}"/>
    <cellStyle name="_Column1_Gebührenbilanz - Aufbau_1_Tabellarische Darstellung_KTR An-Abflug" xfId="187" xr:uid="{E21FAACE-A786-4E77-A126-6183D8650C23}"/>
    <cellStyle name="_Column1_Gebührenbilanz - Aufbau_1_Tabellarische Darstellung_KTR Strecke" xfId="188" xr:uid="{5E76C3A1-2F24-4DA0-ACDB-A47BBCAD9AB0}"/>
    <cellStyle name="_Column1_Gebührenbilanz - Aufbau_BAV" xfId="189" xr:uid="{FF8E3AF3-6009-474C-BB59-81273D9C365A}"/>
    <cellStyle name="_Column1_Gebührenbilanz - Aufbau_Enroute" xfId="190" xr:uid="{8A78577A-4601-40E1-9C21-83D1D6089970}"/>
    <cellStyle name="_Column1_Gebührenbilanz - Aufbau_KTR An-Abflug" xfId="191" xr:uid="{E44E07B4-5D5D-4440-AD7B-807C05505E26}"/>
    <cellStyle name="_Column1_Gebührenbilanz - Aufbau_KTR Strecke" xfId="192" xr:uid="{15680674-54AD-4FE7-9146-2075B0651320}"/>
    <cellStyle name="_Column1_Gesamtbilanz " xfId="193" xr:uid="{CC9ACF3C-02E7-499F-B93E-2B993EC53C5F}"/>
    <cellStyle name="_Column1_Hamburg" xfId="194" xr:uid="{7052C1D9-0C8A-45C9-8CB0-0B3F28C54FF7}"/>
    <cellStyle name="_Column1_Hannover" xfId="195" xr:uid="{5A03F201-411D-4BA6-9B68-3A4956CB4198}"/>
    <cellStyle name="_Column1_KTR An-Abflug" xfId="196" xr:uid="{21AB3A46-F7BA-4984-923F-598FC95275C9}"/>
    <cellStyle name="_Column1_KTR An-Abflug_BAV" xfId="197" xr:uid="{8AD0E9FC-C0A9-4891-9C6C-88376658DDCE}"/>
    <cellStyle name="_Column1_KTR An-Abflug_Enroute" xfId="198" xr:uid="{B702E724-FC2D-4E30-ADA3-1765E9AD2A97}"/>
    <cellStyle name="_Column1_KTR An-Abflug_KTR An-Abflug" xfId="199" xr:uid="{2D229B40-47CD-42FD-8669-894A40E569AA}"/>
    <cellStyle name="_Column1_KTR An-Abflug_KTR Strecke" xfId="200" xr:uid="{234CE5E5-5E1B-4127-BCCA-125874646B2E}"/>
    <cellStyle name="_Column1_KTR Strecke" xfId="201" xr:uid="{422E7CB0-25DB-421F-8404-9F1889F76B3D}"/>
    <cellStyle name="_Column1_KTR Strecke_KTR An-Abflug" xfId="202" xr:uid="{2A728F03-6703-4D52-B272-F34840BC638E}"/>
    <cellStyle name="_Column1_KTR Strecke_KTR Strecke" xfId="203" xr:uid="{779736F0-45D9-4E9C-A2B9-29268CC0550D}"/>
    <cellStyle name="_Column1_Leipzig" xfId="204" xr:uid="{FC6B41B9-B264-48BC-A392-3B21303C8593}"/>
    <cellStyle name="_Column1_Münster Osnabrück" xfId="205" xr:uid="{174D26A2-59D5-45A9-9608-C1537EE3E4B8}"/>
    <cellStyle name="_Column1_Nürnberg" xfId="206" xr:uid="{2738BEFB-CF79-4F00-89E4-C7BFB75ED138}"/>
    <cellStyle name="_Column1_Saarbrücken" xfId="207" xr:uid="{1BB21EB9-CDD6-42DA-B6D7-033C8F98128B}"/>
    <cellStyle name="_Column1_Schlüssel BNV" xfId="208" xr:uid="{869D898F-0CA7-43FB-9D4E-344D77B37F7B}"/>
    <cellStyle name="_Column1_Schlüssel BNV_Additional information tables" xfId="209" xr:uid="{4F5B3F53-53E9-460E-B3BD-993981F1250B}"/>
    <cellStyle name="_Column1_Schlüssel BNV_Berechnung CoC nach CAPM" xfId="210" xr:uid="{4CB57A56-D6EC-4A98-9E84-A969CEC9CB25}"/>
    <cellStyle name="_Column1_Schlüssel BNV_Berechnung CoC nach CAPM_KTR An-Abflug" xfId="211" xr:uid="{74818AF0-FADB-4F20-BCC1-44B43A7BFB58}"/>
    <cellStyle name="_Column1_Schlüssel BNV_Berechnung CoC nach CAPM_KTR Strecke" xfId="212" xr:uid="{7EDF1160-C756-4EA6-B893-EFF3D5D53989}"/>
    <cellStyle name="_Column1_Schlüssel BNV_KTR An-Abflug" xfId="213" xr:uid="{9BF7DB16-44C5-4284-85B8-E41D234C6664}"/>
    <cellStyle name="_Column1_Schlüssel BNV_KTR Strecke" xfId="214" xr:uid="{F97B8A8D-81F1-4208-90C0-933D33B8DAB1}"/>
    <cellStyle name="_Column1_Schlüssel BNV_Regulatory AssetBase mit Ist 13" xfId="215" xr:uid="{03A5888D-58C4-473D-8D5C-B8C2018E17C4}"/>
    <cellStyle name="_Column1_Schlüssel BNV_Regulatory AssetBase mit Ist 13_KTR An-Abflug" xfId="216" xr:uid="{497AC001-09B0-4450-8FA8-77E618AB83EB}"/>
    <cellStyle name="_Column1_Schlüssel BNV_Regulatory AssetBase mit Ist 13_KTR Strecke" xfId="217" xr:uid="{FC9BE480-ABEB-425F-94BC-E8D3898D7250}"/>
    <cellStyle name="_Column1_Schlüssel BNV_Tabellarische Darstellung" xfId="218" xr:uid="{40D0559A-92E9-4533-B909-6073545723B9}"/>
    <cellStyle name="_Column1_Schlüssel BNV_Tabellarische Darstellung_KTR An-Abflug" xfId="219" xr:uid="{AE0A69F6-01C1-458E-9C40-8D6E26727C11}"/>
    <cellStyle name="_Column1_Schlüssel BNV_Tabellarische Darstellung_KTR Strecke" xfId="220" xr:uid="{211E29CC-3BB5-4296-B88F-D47AF25C1921}"/>
    <cellStyle name="_Column1_Stuttgart" xfId="221" xr:uid="{BFF58137-665E-4CD1-ADC8-503C0C3D032B}"/>
    <cellStyle name="_Column1_Tabelle2" xfId="222" xr:uid="{75517031-B4AC-4D75-B95F-1597AB55FDBF}"/>
    <cellStyle name="_Column1_Table 1 ANSP" xfId="223" xr:uid="{3A8F8021-60FD-4E9F-B1CA-DD3256C0C1A4}"/>
    <cellStyle name="_Column1_TABLE 2" xfId="224" xr:uid="{0E48F863-FD3C-45DA-B210-33B0A40EDBA7}"/>
    <cellStyle name="_Column1_TABLE 2 DFS" xfId="225" xr:uid="{072A7059-F89F-464F-A529-5D1F82CF2F1F}"/>
    <cellStyle name="_Column1_TWR TXL_BER" xfId="226" xr:uid="{D7832EEC-CA9F-46E1-8D92-44914DBC1BC8}"/>
    <cellStyle name="_Column1_TWR TXL_BER_Berlin BBI 2" xfId="227" xr:uid="{DFC22EB2-52C2-4638-9A64-B9B25497884A}"/>
    <cellStyle name="_Column1_TWR TXL_BER_Bremen 2" xfId="228" xr:uid="{B49073D5-BCD0-424B-A412-50194E1DC35A}"/>
    <cellStyle name="_Column1_TWR TXL_BER_Dresden2" xfId="229" xr:uid="{4ACEA51C-22D4-4AAB-9BEF-A224026735BC}"/>
    <cellStyle name="_Column1_TWR TXL_BER_Düsseldorf  2" xfId="230" xr:uid="{9AC34F8A-564F-4CD2-9AC2-89F0DA5C79FF}"/>
    <cellStyle name="_Column1_TWR TXL_BER_Erfurt 2" xfId="231" xr:uid="{A763B60C-CFA5-4318-825C-2892CA14AB47}"/>
    <cellStyle name="_Column1_TWR TXL_BER_Frankfurt 2" xfId="232" xr:uid="{DC711153-3291-419F-9E1E-861B04F30041}"/>
    <cellStyle name="_Column1_TWR TXL_BER_Hamburg 2" xfId="233" xr:uid="{CC10BAD0-E294-4016-92BD-9A40E0F3A6D9}"/>
    <cellStyle name="_Column1_TWR TXL_BER_Hannover 2" xfId="234" xr:uid="{79387BCB-0B6F-4F49-9447-F4845B1021C4}"/>
    <cellStyle name="_Column1_TWR TXL_BER_Köln Bonn 2" xfId="235" xr:uid="{C225B071-6C84-4C46-A089-2E168E0CC923}"/>
    <cellStyle name="_Column1_TWR TXL_BER_Leipzig 2" xfId="236" xr:uid="{73080839-4584-4E5A-AAE9-10E97557DB1B}"/>
    <cellStyle name="_Column1_TWR TXL_BER_München 2" xfId="237" xr:uid="{72503A57-7104-462E-B7C4-78BE4C254046}"/>
    <cellStyle name="_Column1_TWR TXL_BER_Münster 2" xfId="238" xr:uid="{01C1C9A2-7C61-48C4-BDF4-21B68A7C7422}"/>
    <cellStyle name="_Column1_TWR TXL_BER_Nürnberg 2" xfId="239" xr:uid="{5CAE6259-E77F-45B9-AC60-4CE7FF796C28}"/>
    <cellStyle name="_Column1_TWR TXL_BER_Saarbrücken 2" xfId="240" xr:uid="{025252BF-3546-49C1-B39E-FAEA00588230}"/>
    <cellStyle name="_Column1_TWR TXL_BER_Stuttgart 2" xfId="241" xr:uid="{0C4C3419-196B-4581-A087-C3DDE316E921}"/>
    <cellStyle name="_Column1_Übersicht Modelle" xfId="242" xr:uid="{7E902473-955E-4C2F-BD76-0296D41AA578}"/>
    <cellStyle name="_Column1_Übersicht Modelle_Additional information tables" xfId="243" xr:uid="{561E5545-3619-42FB-9197-BEC1BAD8B652}"/>
    <cellStyle name="_Column1_Übersicht Modelle_Berechnung CoC nach CAPM" xfId="244" xr:uid="{60D16256-9FF7-4607-AF34-549F7234D000}"/>
    <cellStyle name="_Column1_Übersicht Modelle_Berechnung CoC nach CAPM_KTR An-Abflug" xfId="245" xr:uid="{FDEF0514-9DA2-48BF-8762-10AE105A2262}"/>
    <cellStyle name="_Column1_Übersicht Modelle_Berechnung CoC nach CAPM_KTR Strecke" xfId="246" xr:uid="{658292F8-2D21-4701-B180-5D5407EAA9EF}"/>
    <cellStyle name="_Column1_Übersicht Modelle_KTR An-Abflug" xfId="247" xr:uid="{361E2F57-AE00-4864-BD85-7E68EBC47B6C}"/>
    <cellStyle name="_Column1_Übersicht Modelle_KTR Strecke" xfId="248" xr:uid="{415F190B-A0DD-41D4-961C-D5FCADE863DB}"/>
    <cellStyle name="_Column1_Übersicht Modelle_Regulatory AssetBase mit Ist 13" xfId="249" xr:uid="{4B728C9E-A0AD-441A-9479-20F8119DDEC8}"/>
    <cellStyle name="_Column1_Übersicht Modelle_Regulatory AssetBase mit Ist 13_KTR An-Abflug" xfId="250" xr:uid="{90FCB340-B320-4F7F-AF49-FA6599851DC1}"/>
    <cellStyle name="_Column1_Übersicht Modelle_Regulatory AssetBase mit Ist 13_KTR Strecke" xfId="251" xr:uid="{2004FE76-7067-4172-A4E5-FB29768D6521}"/>
    <cellStyle name="_Column1_Übersicht Modelle_Tabellarische Darstellung" xfId="252" xr:uid="{D4B143E1-DD98-4BEC-BC6B-754A6316A4D6}"/>
    <cellStyle name="_Column1_Übersicht Modelle_Tabellarische Darstellung_KTR An-Abflug" xfId="253" xr:uid="{38C2FC14-A73F-4779-A4CF-0EBE86E641FE}"/>
    <cellStyle name="_Column1_Übersicht Modelle_Tabellarische Darstellung_KTR Strecke" xfId="254" xr:uid="{C306514B-8B87-4835-9E0F-E4D96EC5037F}"/>
    <cellStyle name="_Column1_Werte aktualisieren" xfId="255" xr:uid="{9C4FA5DC-09C2-415D-B1D7-5DD3B383C50E}"/>
    <cellStyle name="_Column1_Zsfssg" xfId="256" xr:uid="{F6263B12-822F-43AF-BD0A-5012DF54F4CD}"/>
    <cellStyle name="_Column2" xfId="257" xr:uid="{98C16BC8-58AB-415F-B078-0243417B62CA}"/>
    <cellStyle name="_Column2_Aufteilung TWR-Standorte_2010" xfId="258" xr:uid="{1F9856DC-1BF3-439D-AA64-A1101823F678}"/>
    <cellStyle name="_Column2_Brücke" xfId="259" xr:uid="{DC2BF92F-F381-4891-A574-78F8A863B44C}"/>
    <cellStyle name="_Column2_Bruecke" xfId="260" xr:uid="{25AC371E-3B6A-4161-B66F-E4B6CB186542}"/>
    <cellStyle name="_Column2_DB_Bereich" xfId="261" xr:uid="{A8C32866-BB82-4863-8580-311B3276EC22}"/>
    <cellStyle name="_Column2_Ek Preisfinanziert" xfId="262" xr:uid="{4723E646-C778-4291-A216-DBD600AA1FDD}"/>
    <cellStyle name="_Column2_Ermittlung Überdeckung-vorl JA" xfId="263" xr:uid="{C9FD93D7-E273-4F1A-AC5C-5B0498459637}"/>
    <cellStyle name="_Column2_Gebührenbilanz - Aufbau" xfId="264" xr:uid="{81A76815-D62B-4402-B38B-7C88156C5C3A}"/>
    <cellStyle name="_Column2_KER" xfId="265" xr:uid="{FE305656-878C-4703-85FE-E3EFF11533DC}"/>
    <cellStyle name="_Column2_KER-2007-Überdeckung mit ALEA-mit KTR-Kosten-Herleitung (feste Werte)" xfId="266" xr:uid="{0832B907-13B5-4400-BDE0-8046B7373E7C}"/>
    <cellStyle name="_Column2_KER-2011-Überdeckung mit ALEA-mit KTR-Kosten" xfId="267" xr:uid="{61106713-3754-4FB1-BB1C-DC36CFC9388D}"/>
    <cellStyle name="_Column2_MIS_DFS1" xfId="268" xr:uid="{8667F540-48D3-478F-9A8F-E3393C3C65A5}"/>
    <cellStyle name="_Column2_MIS_DFS2" xfId="269" xr:uid="{21506D69-6426-467B-B0F7-6269A7908477}"/>
    <cellStyle name="_Column2_Tabelle1" xfId="270" xr:uid="{F1383CA2-8D36-4AB0-9B3B-FF954C215035}"/>
    <cellStyle name="_Column2_TWR TXL_BER" xfId="271" xr:uid="{A2F5B8F7-C9AD-4CE4-9B4C-186E68D4A0FA}"/>
    <cellStyle name="_Column2_Überleitung ins EU-Berichtswesen" xfId="272" xr:uid="{D323462A-0CD9-4B35-A123-0F7CBE5720BB}"/>
    <cellStyle name="_Column3" xfId="273" xr:uid="{A7883312-6A4C-4DAA-8A0A-FBFDABAC5B52}"/>
    <cellStyle name="_Column3_Aufteilung TWR-Standorte_2010" xfId="274" xr:uid="{A75672E3-9B4D-4FF2-A3E8-2F2FEEAD01E8}"/>
    <cellStyle name="_Column3_Brücke" xfId="275" xr:uid="{0B73B669-4DEA-4414-A1B0-7AA209484471}"/>
    <cellStyle name="_Column3_Bruecke" xfId="276" xr:uid="{1F49BC92-06B7-45BC-8368-A3E9EBCB6F4D}"/>
    <cellStyle name="_Column3_DB_Bereich" xfId="277" xr:uid="{51299BC2-2E55-41E0-A211-3F30191CFFBD}"/>
    <cellStyle name="_Column3_Ek Preisfinanziert" xfId="278" xr:uid="{2C7E9B4D-EB81-4D4E-ACD3-013981A7AD43}"/>
    <cellStyle name="_Column3_Ermittlung Überdeckung-vorl JA" xfId="279" xr:uid="{DDAB7359-9543-41C8-8282-799F6D320878}"/>
    <cellStyle name="_Column3_Gebührenbilanz - Aufbau" xfId="280" xr:uid="{93442986-57BD-431D-BA22-074FEF3BBD8D}"/>
    <cellStyle name="_Column3_KER" xfId="281" xr:uid="{1B96516B-CF1D-49B6-8824-83E863CC64B3}"/>
    <cellStyle name="_Column3_KER-2007-Überdeckung mit ALEA-mit KTR-Kosten-Herleitung (feste Werte)" xfId="282" xr:uid="{2A9DDFB4-6A83-43E2-99E9-E3B1A4890A9C}"/>
    <cellStyle name="_Column3_KER-2011-Überdeckung mit ALEA-mit KTR-Kosten" xfId="283" xr:uid="{67A92DD7-0BEF-459E-86C9-455A0D478328}"/>
    <cellStyle name="_Column3_MIS_DFS1" xfId="284" xr:uid="{6D02B669-17A8-42F9-917C-6E6085A8515F}"/>
    <cellStyle name="_Column3_MIS_DFS2" xfId="285" xr:uid="{E6D84762-B59D-473E-BA18-8D4B4BF4AB1F}"/>
    <cellStyle name="_Column3_Tabelle1" xfId="286" xr:uid="{261336E4-7C06-4864-B2AD-33F4FC745078}"/>
    <cellStyle name="_Column3_TWR TXL_BER" xfId="287" xr:uid="{4F3B2C37-24C1-4BF1-B9F4-D4DB80EC71B0}"/>
    <cellStyle name="_Column3_Überleitung ins EU-Berichtswesen" xfId="288" xr:uid="{4DAF0692-8D96-49D4-8FB7-EEEBAF26209C}"/>
    <cellStyle name="_Column4" xfId="289" xr:uid="{68048284-B9D1-48DA-99C3-4F23EB5F9D41}"/>
    <cellStyle name="_Column4_ Bremen" xfId="290" xr:uid="{50CEF5BD-6C18-4E26-9728-543AAB4FCBE1}"/>
    <cellStyle name="_Column4_ Dresden" xfId="291" xr:uid="{DEC56243-4FF6-4691-91DE-2D46FE108055}"/>
    <cellStyle name="_Column4_ Düsseldorf" xfId="292" xr:uid="{D464920A-1B09-404D-A5FA-1F78E305CA90}"/>
    <cellStyle name="_Column4_ Köln Bonn" xfId="293" xr:uid="{4B2A921C-B2B8-4D91-9412-4653E7259C4E}"/>
    <cellStyle name="_Column4_ München" xfId="294" xr:uid="{9B468048-7DFB-4DAC-A433-1E37F292A12D}"/>
    <cellStyle name="_Column4_Aufteilung TWR-Standorte_2010" xfId="295" xr:uid="{E35AEAD4-D903-4C7A-A011-EC8F551D24A0}"/>
    <cellStyle name="_Column4_Aufteilung TWR-Standorte_2010_KTR An-Abflug" xfId="296" xr:uid="{58EC9914-1FB6-4397-AC55-48D261D8D6EF}"/>
    <cellStyle name="_Column4_Aufteilung TWR-Standorte_2010_KTR Strecke" xfId="297" xr:uid="{13F75DD2-BFE1-403C-8C5D-5C2987D900E4}"/>
    <cellStyle name="_Column4_bAV je KTR" xfId="298" xr:uid="{FA7FBEE5-FDFB-42EA-A95A-BE8478CE1A51}"/>
    <cellStyle name="_Column4_Berlin BBI" xfId="299" xr:uid="{9490BDD9-C947-4B31-87C0-EBE1BD301AC8}"/>
    <cellStyle name="_Column4_Berlin Tegel" xfId="300" xr:uid="{0EE6172B-13FB-4402-AEC5-A78E9E838C00}"/>
    <cellStyle name="_Column4_Brücke" xfId="301" xr:uid="{E981499C-BA5B-444D-B8C6-376F25FF3693}"/>
    <cellStyle name="_Column4_Brücke Mifri" xfId="302" xr:uid="{B335C26D-1A86-4AA8-AA3A-352FB23FE90D}"/>
    <cellStyle name="_Column4_Brücke RP" xfId="303" xr:uid="{69095E87-82CD-41C4-B399-0DEC4888962B}"/>
    <cellStyle name="_Column4_Brücke_KTR An-Abflug" xfId="304" xr:uid="{086E352E-9EFC-40AB-BC23-6D9E2A3759C3}"/>
    <cellStyle name="_Column4_Brücke_KTR Strecke" xfId="305" xr:uid="{1D59B712-CDBC-42CD-B035-AC0326E05544}"/>
    <cellStyle name="_Column4_Bruecke" xfId="306" xr:uid="{CFE8C920-918B-4E36-AAA9-1A150A85A249}"/>
    <cellStyle name="_Column4_Bruecke_KTR An-Abflug" xfId="307" xr:uid="{FCFFB6D6-E0C8-41E4-9815-CA5984487F6B}"/>
    <cellStyle name="_Column4_Bruecke_KTR Strecke" xfId="308" xr:uid="{8D4C05A2-6B5A-4758-B281-8B2F0D5AF498}"/>
    <cellStyle name="_Column4_Datenbasis-DFS_SAP-DFS2.2014" xfId="309" xr:uid="{BB055C78-2B4D-420E-91B1-1A715C5FD83C}"/>
    <cellStyle name="_Column4_Datenbasis-STRECKE_SAP-DFS2.201" xfId="310" xr:uid="{2BA83041-41BF-44FA-BFE7-D8052A4B94AB}"/>
    <cellStyle name="_Column4_DB_Bereich" xfId="311" xr:uid="{C7D17F8D-5620-4710-9EC9-D53C2D235975}"/>
    <cellStyle name="_Column4_DB_Bereich_KTR An-Abflug" xfId="312" xr:uid="{F19C8258-77AA-437F-9D70-43BF8E0B6D78}"/>
    <cellStyle name="_Column4_DB_Bereich_KTR Strecke" xfId="313" xr:uid="{E8D7D4C7-57AA-43BB-A1BA-66C15D7EABAE}"/>
    <cellStyle name="_Column4_Eingabe-KTR" xfId="314" xr:uid="{1BEA649F-B267-499D-9D85-9D128D9B06FF}"/>
    <cellStyle name="_Column4_Ek Gebühr KCB" xfId="315" xr:uid="{3A6D4392-D616-4DAA-ABC0-71055143A8FA}"/>
    <cellStyle name="_Column4_Ek Preisfinanziert" xfId="316" xr:uid="{E7DFE252-5867-4E04-A4C5-94108A1498BA}"/>
    <cellStyle name="_Column4_Enroute" xfId="317" xr:uid="{AF94EC37-67ED-418B-BF7F-3724DC4D14F4}"/>
    <cellStyle name="_Column4_Erfurt" xfId="318" xr:uid="{50219316-E868-4B01-9B77-1A5C8E793B58}"/>
    <cellStyle name="_Column4_Ermittlung Überdeckung-vorl JA" xfId="319" xr:uid="{2A48BD14-C98C-4CA2-BDA1-864DDCA03A24}"/>
    <cellStyle name="_Column4_Ermittlung Überdeckung-vorl JA_KTR An-Abflug" xfId="320" xr:uid="{7F712BE3-5BBE-41CF-8889-FCF561BB0B72}"/>
    <cellStyle name="_Column4_Ermittlung Überdeckung-vorl JA_KTR Strecke" xfId="321" xr:uid="{78295DC3-E6DA-4BD5-8B22-972EB95D3597}"/>
    <cellStyle name="_Column4_ERW2013" xfId="322" xr:uid="{AC7A4E9D-0027-44C1-BFA2-C47B0F1865BD}"/>
    <cellStyle name="_Column4_EU-BW" xfId="323" xr:uid="{3DCA0041-C8C6-4041-AB93-18753B842276}"/>
    <cellStyle name="_Column4_EU-Tabellen" xfId="324" xr:uid="{62EFF9BB-2EC9-446B-B715-164FDD49B516}"/>
    <cellStyle name="_Column4_Ford_Verbl LuL" xfId="325" xr:uid="{6DD02E63-6596-44A9-97F6-1573C9DEA146}"/>
    <cellStyle name="_Column4_Ford_Verbl LuL_Additional information tables" xfId="326" xr:uid="{E1C6A724-FA5E-48F0-96EF-9604C396F32F}"/>
    <cellStyle name="_Column4_Ford_Verbl LuL_Berechnung CoC nach CAPM" xfId="327" xr:uid="{5F194A3C-7CCB-4CC4-9F05-0097335F3873}"/>
    <cellStyle name="_Column4_Ford_Verbl LuL_Berechnung CoC nach CAPM_KTR An-Abflug" xfId="328" xr:uid="{6BE0B233-4B54-4516-B2FA-7E0437832938}"/>
    <cellStyle name="_Column4_Ford_Verbl LuL_Berechnung CoC nach CAPM_KTR Strecke" xfId="329" xr:uid="{A0F998BA-263C-4D43-8F14-BFEC05D84ADC}"/>
    <cellStyle name="_Column4_Ford_Verbl LuL_KTR An-Abflug" xfId="330" xr:uid="{7E5617E4-A48F-4E78-B288-0BA4A7B2DDD4}"/>
    <cellStyle name="_Column4_Ford_Verbl LuL_KTR Strecke" xfId="331" xr:uid="{2F946A25-CD13-4AF1-9F41-689C0C2F9D97}"/>
    <cellStyle name="_Column4_Ford_Verbl LuL_Regulatory AssetBase mit Ist 13" xfId="332" xr:uid="{16BDDCF2-AA99-4128-9E7E-C05E04074E4B}"/>
    <cellStyle name="_Column4_Ford_Verbl LuL_Regulatory AssetBase mit Ist 13_KTR An-Abflug" xfId="333" xr:uid="{86E018E0-4B66-4ED1-97A3-0CB8430FC76A}"/>
    <cellStyle name="_Column4_Ford_Verbl LuL_Regulatory AssetBase mit Ist 13_KTR Strecke" xfId="334" xr:uid="{DC3A682A-F430-4663-B533-8975FDD79FDF}"/>
    <cellStyle name="_Column4_Ford_Verbl LuL_Tabellarische Darstellung" xfId="335" xr:uid="{4FE1DAB2-EFB5-46DB-8B95-EF0761137BCA}"/>
    <cellStyle name="_Column4_Ford_Verbl LuL_Tabellarische Darstellung_KTR An-Abflug" xfId="336" xr:uid="{AB821CFF-8680-42EF-8CB4-BA7B0A1BC9C5}"/>
    <cellStyle name="_Column4_Ford_Verbl LuL_Tabellarische Darstellung_KTR Strecke" xfId="337" xr:uid="{22E8446E-84F8-4345-9AD8-50F846E59AC5}"/>
    <cellStyle name="_Column4_Frankfurt" xfId="338" xr:uid="{5D633667-2505-49D9-B6C0-03313865B6E6}"/>
    <cellStyle name="_Column4_Gebühren JP 2013 Stand 2. SV_Stand 13.12.2012" xfId="339" xr:uid="{0F59A4D0-59E5-4548-8820-6AA276435242}"/>
    <cellStyle name="_Column4_Gebühren JP 2013 Stand 2. SV_Stand 13.12.2012_Additional information tables" xfId="340" xr:uid="{4D766368-7834-454E-80E0-37EF0910CAD3}"/>
    <cellStyle name="_Column4_Gebühren JP 2013 Stand 2. SV_Stand 13.12.2012_Berechnung CoC nach CAPM" xfId="341" xr:uid="{9ACED5A2-8D6E-4729-A0A4-4FFF6E3153C1}"/>
    <cellStyle name="_Column4_Gebühren JP 2013 Stand 2. SV_Stand 13.12.2012_Berechnung CoC nach CAPM_KTR An-Abflug" xfId="342" xr:uid="{4A5A8632-0D76-42B2-BA4A-36AC0E1BAF2E}"/>
    <cellStyle name="_Column4_Gebühren JP 2013 Stand 2. SV_Stand 13.12.2012_Berechnung CoC nach CAPM_KTR Strecke" xfId="343" xr:uid="{7415155F-411F-4FC2-BF12-C67F166A438E}"/>
    <cellStyle name="_Column4_Gebühren JP 2013 Stand 2. SV_Stand 13.12.2012_KTR An-Abflug" xfId="344" xr:uid="{733611D2-2EA4-45C3-B54C-2D0265AFD93F}"/>
    <cellStyle name="_Column4_Gebühren JP 2013 Stand 2. SV_Stand 13.12.2012_KTR Strecke" xfId="345" xr:uid="{92081A9D-4F42-4721-BA57-04FD500E527F}"/>
    <cellStyle name="_Column4_Gebühren JP 2013 Stand 2. SV_Stand 13.12.2012_Regulatory AssetBase mit Ist 13" xfId="346" xr:uid="{5924045C-8E71-445E-B64B-3990060472A9}"/>
    <cellStyle name="_Column4_Gebühren JP 2013 Stand 2. SV_Stand 13.12.2012_Regulatory AssetBase mit Ist 13_KTR An-Abflug" xfId="347" xr:uid="{60CBB402-D1C0-4982-898E-8A9CF37C3DEA}"/>
    <cellStyle name="_Column4_Gebühren JP 2013 Stand 2. SV_Stand 13.12.2012_Regulatory AssetBase mit Ist 13_KTR Strecke" xfId="348" xr:uid="{832A209D-F6C3-49FA-87DC-E11F29C636EC}"/>
    <cellStyle name="_Column4_Gebühren JP 2013 Stand 2. SV_Stand 13.12.2012_Tabellarische Darstellung" xfId="349" xr:uid="{2EFD98FF-1821-4229-A1E3-42EE88029C8E}"/>
    <cellStyle name="_Column4_Gebühren JP 2013 Stand 2. SV_Stand 13.12.2012_Tabellarische Darstellung_KTR An-Abflug" xfId="350" xr:uid="{F21AA5BE-C2E8-4604-98C4-86060E6485A6}"/>
    <cellStyle name="_Column4_Gebühren JP 2013 Stand 2. SV_Stand 13.12.2012_Tabellarische Darstellung_KTR Strecke" xfId="351" xr:uid="{F9B321C9-CACA-4E1B-B025-6CA93AC33EFB}"/>
    <cellStyle name="_Column4_Gebührenbilanz - Aufbau" xfId="352" xr:uid="{E0419E0A-1096-475E-97A7-013F752EAACC}"/>
    <cellStyle name="_Column4_Gebührenbilanz - Aufbau_1" xfId="353" xr:uid="{2AE2FC5A-C712-4048-94BB-2163E5402110}"/>
    <cellStyle name="_Column4_Gebührenbilanz - Aufbau_1_Additional information tables" xfId="354" xr:uid="{3554B226-9B73-4334-8943-837157C1F96C}"/>
    <cellStyle name="_Column4_Gebührenbilanz - Aufbau_1_Berechnung CoC nach CAPM" xfId="355" xr:uid="{0C8DEC20-1B1D-44C1-9D18-8E746CE4B383}"/>
    <cellStyle name="_Column4_Gebührenbilanz - Aufbau_1_Berechnung CoC nach CAPM_KTR An-Abflug" xfId="356" xr:uid="{332E4338-567F-43E1-8FEC-FE9F2972CA6D}"/>
    <cellStyle name="_Column4_Gebührenbilanz - Aufbau_1_Berechnung CoC nach CAPM_KTR Strecke" xfId="357" xr:uid="{B69C920D-6E60-4E08-AD03-726F87DF6A46}"/>
    <cellStyle name="_Column4_Gebührenbilanz - Aufbau_1_KTR An-Abflug" xfId="358" xr:uid="{036EA6E8-C5CC-4396-AEE7-1BC402C23920}"/>
    <cellStyle name="_Column4_Gebührenbilanz - Aufbau_1_KTR Strecke" xfId="359" xr:uid="{95E22E7D-3E31-4AFB-A6A3-FF9D306C787B}"/>
    <cellStyle name="_Column4_Gebührenbilanz - Aufbau_1_Regulatory AssetBase mit Ist 13" xfId="360" xr:uid="{6C359C2E-43F7-49CA-8B6E-8357444E95F2}"/>
    <cellStyle name="_Column4_Gebührenbilanz - Aufbau_1_Regulatory AssetBase mit Ist 13_KTR An-Abflug" xfId="361" xr:uid="{33B4AEF3-4FFD-4294-AA45-25652BD174AB}"/>
    <cellStyle name="_Column4_Gebührenbilanz - Aufbau_1_Regulatory AssetBase mit Ist 13_KTR Strecke" xfId="362" xr:uid="{EE2B5E54-755E-4460-B6F3-8C96E5A8322C}"/>
    <cellStyle name="_Column4_Gebührenbilanz - Aufbau_1_Tabellarische Darstellung" xfId="363" xr:uid="{4B886D31-B9BD-4EF7-84E8-5B0ABFE6E297}"/>
    <cellStyle name="_Column4_Gebührenbilanz - Aufbau_1_Tabellarische Darstellung_KTR An-Abflug" xfId="364" xr:uid="{8694FB60-F578-4E22-83C2-C0B0C26F4CD9}"/>
    <cellStyle name="_Column4_Gebührenbilanz - Aufbau_1_Tabellarische Darstellung_KTR Strecke" xfId="365" xr:uid="{A5A7823E-3F5B-4008-AA09-260F43D0D2F2}"/>
    <cellStyle name="_Column4_Gebührenbilanz - Aufbau_2" xfId="366" xr:uid="{3B71B919-1E24-4938-934C-4AB3027D5229}"/>
    <cellStyle name="_Column4_Gebührenbilanz - Aufbau_2_KTR An-Abflug" xfId="367" xr:uid="{8F8223C8-33DD-442C-8C43-F974DD484936}"/>
    <cellStyle name="_Column4_Gebührenbilanz - Aufbau_2_KTR Strecke" xfId="368" xr:uid="{5DF50B04-F39C-4085-99E9-44D83A33283B}"/>
    <cellStyle name="_Column4_Gebührenbilanz - Aufbau_BAV" xfId="369" xr:uid="{8F3016FD-EBFA-4001-910F-72C393DA1DF7}"/>
    <cellStyle name="_Column4_Gebührenbilanz - Aufbau_Enroute" xfId="370" xr:uid="{CAFA7BDA-2AEE-4958-9E26-FF80300C8C6A}"/>
    <cellStyle name="_Column4_Gebührenbilanz - Aufbau_KTR An-Abflug" xfId="371" xr:uid="{03FCA995-8386-43B2-B0E2-3C5A3FFFDF9E}"/>
    <cellStyle name="_Column4_Gebührenbilanz - Aufbau_KTR Strecke" xfId="372" xr:uid="{E8B6FA10-4DEB-4164-947A-D764EC66DD3E}"/>
    <cellStyle name="_Column4_Gesamtbilanz " xfId="373" xr:uid="{B6BDB339-CFF6-4263-9919-B9B72C147A5A}"/>
    <cellStyle name="_Column4_Hamburg" xfId="374" xr:uid="{C9C4D33E-A765-4314-AE72-C8530DB3EAC2}"/>
    <cellStyle name="_Column4_Hannover" xfId="375" xr:uid="{75AE8F5D-158F-4317-AA96-A1ECC23A1080}"/>
    <cellStyle name="_Column4_KER" xfId="376" xr:uid="{855A6DB8-C7B5-4137-AD18-01A25A9657F6}"/>
    <cellStyle name="_Column4_KER_KTR An-Abflug" xfId="377" xr:uid="{DBD98AB5-9721-44C9-9393-C41AADDAA65F}"/>
    <cellStyle name="_Column4_KER_KTR Strecke" xfId="378" xr:uid="{5DA3ADF4-86D4-4AFD-A403-7DE966E1D54A}"/>
    <cellStyle name="_Column4_KER-2007-Überdeckung mit ALEA-mit KTR-Kosten-Herleitung (feste Werte)" xfId="379" xr:uid="{E9AC5A9F-FF1F-405A-98A4-4BF173E093BE}"/>
    <cellStyle name="_Column4_KER-2007-Überdeckung mit ALEA-mit KTR-Kosten-Herleitung (feste Werte)_KTR An-Abflug" xfId="380" xr:uid="{23D5255A-D420-427C-A7B5-4A584954F9A4}"/>
    <cellStyle name="_Column4_KER-2007-Überdeckung mit ALEA-mit KTR-Kosten-Herleitung (feste Werte)_KTR Strecke" xfId="381" xr:uid="{BA8AE0AE-6D4E-484D-9758-556338B2C2D7}"/>
    <cellStyle name="_Column4_KER-2011-Überdeckung mit ALEA-mit KTR-Kosten" xfId="382" xr:uid="{750DAB34-8BAE-4709-8140-5A09DE5109CF}"/>
    <cellStyle name="_Column4_KER-2011-Überdeckung mit ALEA-mit KTR-Kosten_KTR An-Abflug" xfId="383" xr:uid="{86488570-CD17-4D89-A1C8-C09424090618}"/>
    <cellStyle name="_Column4_KER-2011-Überdeckung mit ALEA-mit KTR-Kosten_KTR Strecke" xfId="384" xr:uid="{7FC47553-0BA1-4574-B01C-F13C19DA9636}"/>
    <cellStyle name="_Column4_KTR An-Abflug" xfId="385" xr:uid="{A4E6B31B-CB43-4BE4-ADA0-BC3A71174469}"/>
    <cellStyle name="_Column4_KTR An-Abflug_BAV" xfId="386" xr:uid="{5DABE583-15E5-46E0-B647-8F90DAD8D4D3}"/>
    <cellStyle name="_Column4_KTR An-Abflug_Enroute" xfId="387" xr:uid="{63BBCEC4-256C-481E-ACE6-BD48B83FC31C}"/>
    <cellStyle name="_Column4_KTR An-Abflug_KTR An-Abflug" xfId="388" xr:uid="{6AE953EA-E2CB-44D0-81FB-8CC05913A2A3}"/>
    <cellStyle name="_Column4_KTR An-Abflug_KTR Strecke" xfId="389" xr:uid="{1EEFBDCA-2291-4EDE-B50A-9D628F10A066}"/>
    <cellStyle name="_Column4_KTR Strecke" xfId="390" xr:uid="{213A638D-05FD-4ED2-BD6E-FE7BCA1594E6}"/>
    <cellStyle name="_Column4_KTR Strecke_KTR An-Abflug" xfId="391" xr:uid="{13A348D3-D2CB-432D-838E-AF0233138B65}"/>
    <cellStyle name="_Column4_KTR Strecke_KTR Strecke" xfId="392" xr:uid="{11C8FD81-AE9A-4CA3-8CC9-6C3B129A7243}"/>
    <cellStyle name="_Column4_Leipzig" xfId="393" xr:uid="{CED60152-9BCF-4386-80B1-83316B8E2D1D}"/>
    <cellStyle name="_Column4_MIS_DFS1" xfId="394" xr:uid="{483D8C1E-C098-4D01-81DA-DE57AAD15868}"/>
    <cellStyle name="_Column4_MIS_DFS1_KTR An-Abflug" xfId="395" xr:uid="{821899B0-1DCC-4D0E-994D-F94D3A83FDB3}"/>
    <cellStyle name="_Column4_MIS_DFS1_KTR Strecke" xfId="396" xr:uid="{ECB6CB64-7605-4FB4-93CE-52D80131C81F}"/>
    <cellStyle name="_Column4_MIS_DFS2" xfId="397" xr:uid="{815F8CB4-3CD8-46E0-9527-82B9F1BC0800}"/>
    <cellStyle name="_Column4_MIS_DFS2_KTR An-Abflug" xfId="398" xr:uid="{0804B5E9-C02D-436F-A8DE-AD96A22DDBB4}"/>
    <cellStyle name="_Column4_MIS_DFS2_KTR Strecke" xfId="399" xr:uid="{81F2FC8D-CC2F-48BD-95D0-C99BAE4BF191}"/>
    <cellStyle name="_Column4_Münster Osnabrück" xfId="400" xr:uid="{32F30A71-CD53-4B31-B718-FD23121105FD}"/>
    <cellStyle name="_Column4_Nürnberg" xfId="401" xr:uid="{92F045A9-59DA-4761-A576-EA1D84B58AAB}"/>
    <cellStyle name="_Column4_Saarbrücken" xfId="402" xr:uid="{02663C73-F795-4CF5-80AB-CF472150F288}"/>
    <cellStyle name="_Column4_Schlüssel BNV" xfId="403" xr:uid="{A1B2CF74-FED1-4FD4-A089-4EB56A60C475}"/>
    <cellStyle name="_Column4_Schlüssel BNV_Additional information tables" xfId="404" xr:uid="{943786C0-8143-410F-AFFE-46C002BC8C15}"/>
    <cellStyle name="_Column4_Schlüssel BNV_Berechnung CoC nach CAPM" xfId="405" xr:uid="{574B5D39-1C94-4A96-B319-A1D92FA93382}"/>
    <cellStyle name="_Column4_Schlüssel BNV_Berechnung CoC nach CAPM_KTR An-Abflug" xfId="406" xr:uid="{8AC62321-964F-4FE3-B375-1D0331F34318}"/>
    <cellStyle name="_Column4_Schlüssel BNV_Berechnung CoC nach CAPM_KTR Strecke" xfId="407" xr:uid="{09EB6B47-F6D4-4041-BD0A-7BFF676F2451}"/>
    <cellStyle name="_Column4_Schlüssel BNV_KTR An-Abflug" xfId="408" xr:uid="{0941AF90-2AC7-42CA-8D9A-55EAFB376233}"/>
    <cellStyle name="_Column4_Schlüssel BNV_KTR Strecke" xfId="409" xr:uid="{93940C0E-1B0C-489A-8E3E-2D1F6FD7E04A}"/>
    <cellStyle name="_Column4_Schlüssel BNV_Regulatory AssetBase mit Ist 13" xfId="410" xr:uid="{F68C71F6-9F5E-46A0-BFF3-69B0EBA12B1E}"/>
    <cellStyle name="_Column4_Schlüssel BNV_Regulatory AssetBase mit Ist 13_KTR An-Abflug" xfId="411" xr:uid="{6D91D3FD-5ADD-4B9D-BD15-EA7C5C69A8DA}"/>
    <cellStyle name="_Column4_Schlüssel BNV_Regulatory AssetBase mit Ist 13_KTR Strecke" xfId="412" xr:uid="{DA2607A2-3B02-499E-8FE4-EF1C85955543}"/>
    <cellStyle name="_Column4_Schlüssel BNV_Tabellarische Darstellung" xfId="413" xr:uid="{15729929-EB4A-434B-B93F-E8AF62609F94}"/>
    <cellStyle name="_Column4_Schlüssel BNV_Tabellarische Darstellung_KTR An-Abflug" xfId="414" xr:uid="{E68E9781-315E-4912-A728-C6B8E0AE6E55}"/>
    <cellStyle name="_Column4_Schlüssel BNV_Tabellarische Darstellung_KTR Strecke" xfId="415" xr:uid="{0C428C0E-6E44-4F9F-81D5-784FF5927992}"/>
    <cellStyle name="_Column4_Stuttgart" xfId="416" xr:uid="{D3A4AD41-00F8-48F4-91A8-BDC12AF92BA3}"/>
    <cellStyle name="_Column4_Tabelle1" xfId="417" xr:uid="{93390B8C-334F-4B5E-880F-BD26D945B50F}"/>
    <cellStyle name="_Column4_Tabelle1_KTR An-Abflug" xfId="418" xr:uid="{7F13461D-E06C-44AB-8CC7-AFFB99D06543}"/>
    <cellStyle name="_Column4_Tabelle1_KTR Strecke" xfId="419" xr:uid="{DCEAA0B8-F27C-4399-8254-1FA83742CD4B}"/>
    <cellStyle name="_Column4_Tabelle2" xfId="420" xr:uid="{ADA4E451-68D3-4C83-B55C-2DCF44DFE44A}"/>
    <cellStyle name="_Column4_Table 1 ANSP" xfId="421" xr:uid="{F5F7C5F8-077E-422C-B80B-BE57FB0ABD39}"/>
    <cellStyle name="_Column4_TABLE 2" xfId="422" xr:uid="{18061740-EDAA-42EA-A2DE-99F0C5F538B2}"/>
    <cellStyle name="_Column4_TABLE 2 DFS" xfId="423" xr:uid="{7911D8CB-E6A3-477E-85C8-C61D8B569DEB}"/>
    <cellStyle name="_Column4_TWR TXL_BER" xfId="424" xr:uid="{1E28AA61-9FA2-4B40-A5E0-54AA997F5E41}"/>
    <cellStyle name="_Column4_TWR TXL_BER_Berlin BBI 2" xfId="425" xr:uid="{E91A4CA9-08B9-4E94-BEB0-5B628BB66205}"/>
    <cellStyle name="_Column4_TWR TXL_BER_Bremen 2" xfId="426" xr:uid="{3C282527-6075-4BB4-B33E-99BAA9C17DE8}"/>
    <cellStyle name="_Column4_TWR TXL_BER_Dresden2" xfId="427" xr:uid="{23C0CABF-B519-48E5-AEB2-4FBE05260884}"/>
    <cellStyle name="_Column4_TWR TXL_BER_Düsseldorf  2" xfId="428" xr:uid="{72E11430-481B-4463-A1DE-0643F3E009EB}"/>
    <cellStyle name="_Column4_TWR TXL_BER_Erfurt 2" xfId="429" xr:uid="{9EF66FA7-3F5C-4EFB-BEB1-D92A999D55E3}"/>
    <cellStyle name="_Column4_TWR TXL_BER_Frankfurt 2" xfId="430" xr:uid="{5E860E45-941B-48A9-8FE9-619385EA5C12}"/>
    <cellStyle name="_Column4_TWR TXL_BER_Hamburg 2" xfId="431" xr:uid="{E3ADAE51-F8AB-4EF5-BF90-8D0748C315EE}"/>
    <cellStyle name="_Column4_TWR TXL_BER_Hannover 2" xfId="432" xr:uid="{C4EABF75-10AF-45A0-A538-01AC34E15035}"/>
    <cellStyle name="_Column4_TWR TXL_BER_Köln Bonn 2" xfId="433" xr:uid="{B81E58BD-656A-476D-A1E5-3821B47027F4}"/>
    <cellStyle name="_Column4_TWR TXL_BER_Leipzig 2" xfId="434" xr:uid="{EEB3EBEB-E4D6-43D7-B0B4-40D76BB776F8}"/>
    <cellStyle name="_Column4_TWR TXL_BER_München 2" xfId="435" xr:uid="{C3DA0FED-6F2E-42A8-9773-9DF0F73C6449}"/>
    <cellStyle name="_Column4_TWR TXL_BER_Münster 2" xfId="436" xr:uid="{A4644E8C-ADF7-49E9-88DE-3727FC5BBE32}"/>
    <cellStyle name="_Column4_TWR TXL_BER_Nürnberg 2" xfId="437" xr:uid="{764A5072-8099-41F3-9B71-7A0358DB3085}"/>
    <cellStyle name="_Column4_TWR TXL_BER_Saarbrücken 2" xfId="438" xr:uid="{11DF7C2D-150E-4508-9CF6-3B608411BEA7}"/>
    <cellStyle name="_Column4_TWR TXL_BER_Stuttgart 2" xfId="439" xr:uid="{1B1EA5D9-3E50-4DA7-9B21-40D8E1C0E1AD}"/>
    <cellStyle name="_Column4_Überleitung ins EU-Berichtswesen" xfId="440" xr:uid="{65EA234B-75F7-4924-B957-757B27434F7E}"/>
    <cellStyle name="_Column4_Überleitung ins EU-Berichtswesen_KTR An-Abflug" xfId="441" xr:uid="{3780AC58-C6BA-4E8D-A2C1-A6BD3F7B9240}"/>
    <cellStyle name="_Column4_Überleitung ins EU-Berichtswesen_KTR Strecke" xfId="442" xr:uid="{1EF8E867-DDEE-47CA-BB85-6E2F15B23264}"/>
    <cellStyle name="_Column4_Übersicht Modelle" xfId="443" xr:uid="{095BA601-9F3D-4289-BA09-74F883F198C1}"/>
    <cellStyle name="_Column4_Übersicht Modelle_Additional information tables" xfId="444" xr:uid="{CAE9AA34-5E99-4D8F-BF96-C4EA9ED9273A}"/>
    <cellStyle name="_Column4_Übersicht Modelle_Berechnung CoC nach CAPM" xfId="445" xr:uid="{438CE030-3BDB-4DB1-AD28-BB7F7224BB89}"/>
    <cellStyle name="_Column4_Übersicht Modelle_Berechnung CoC nach CAPM_KTR An-Abflug" xfId="446" xr:uid="{41C2D063-A088-4254-AA35-5CF81A23330F}"/>
    <cellStyle name="_Column4_Übersicht Modelle_Berechnung CoC nach CAPM_KTR Strecke" xfId="447" xr:uid="{EC3A4358-701A-4823-A5EE-912D0A89F1BE}"/>
    <cellStyle name="_Column4_Übersicht Modelle_KTR An-Abflug" xfId="448" xr:uid="{F58CB782-064D-4099-990F-79679BF12244}"/>
    <cellStyle name="_Column4_Übersicht Modelle_KTR Strecke" xfId="449" xr:uid="{7F7BD5FD-02EF-45D1-9FE8-8DAE8C7F0BF5}"/>
    <cellStyle name="_Column4_Übersicht Modelle_Regulatory AssetBase mit Ist 13" xfId="450" xr:uid="{06A6D4C0-DA80-4430-93C2-BF40232C6284}"/>
    <cellStyle name="_Column4_Übersicht Modelle_Regulatory AssetBase mit Ist 13_KTR An-Abflug" xfId="451" xr:uid="{D9BD2C35-937D-40AB-86C8-7434CCC32D78}"/>
    <cellStyle name="_Column4_Übersicht Modelle_Regulatory AssetBase mit Ist 13_KTR Strecke" xfId="452" xr:uid="{EF4F1D29-E143-4BBD-B58A-405342B7D07B}"/>
    <cellStyle name="_Column4_Übersicht Modelle_Tabellarische Darstellung" xfId="453" xr:uid="{4BFBA269-E641-4599-A07D-65AC2A905941}"/>
    <cellStyle name="_Column4_Übersicht Modelle_Tabellarische Darstellung_KTR An-Abflug" xfId="454" xr:uid="{D4605645-2673-4D55-8909-E443E967280E}"/>
    <cellStyle name="_Column4_Übersicht Modelle_Tabellarische Darstellung_KTR Strecke" xfId="455" xr:uid="{B028E695-F162-4518-880C-DFAC24A61DD5}"/>
    <cellStyle name="_Column4_Werte aktualisieren" xfId="456" xr:uid="{9A1C1858-6EE8-493B-8430-8AD06ABF8146}"/>
    <cellStyle name="_Column4_Zsfssg" xfId="457" xr:uid="{E55FA639-AAA5-4CA7-BEBA-2175C6E880B2}"/>
    <cellStyle name="_Column5" xfId="458" xr:uid="{1FC5CACD-AADC-4051-A4F9-342A9E04DE87}"/>
    <cellStyle name="_Column5_Aufteilung TWR-Standorte_2010" xfId="459" xr:uid="{F45FF3FD-C115-4EE9-8E12-30DD214BEE15}"/>
    <cellStyle name="_Column5_Brücke" xfId="460" xr:uid="{BF55C13A-FAC3-4475-9607-490D48A5A92A}"/>
    <cellStyle name="_Column5_Bruecke" xfId="461" xr:uid="{714F1CF5-CEE1-4392-B1AA-021FF9317B17}"/>
    <cellStyle name="_Column5_DB_Bereich" xfId="462" xr:uid="{3886210F-004F-4126-9A4A-FFDCAAFE1FDA}"/>
    <cellStyle name="_Column5_Ek Preisfinanziert" xfId="463" xr:uid="{4BF0E3F5-401E-443C-BF55-C22B4EF964C3}"/>
    <cellStyle name="_Column5_Ermittlung Überdeckung-vorl JA" xfId="464" xr:uid="{68A97AB9-5FC1-4C56-BA0B-FE85D60EC3F4}"/>
    <cellStyle name="_Column5_Gebührenbilanz - Aufbau" xfId="465" xr:uid="{2352588A-B4D5-4666-B70A-3ABBCB3AEC7D}"/>
    <cellStyle name="_Column5_KER" xfId="466" xr:uid="{A0FC392C-C0B3-4F11-9BAC-0E9D648527E3}"/>
    <cellStyle name="_Column5_KER-2007-Überdeckung mit ALEA-mit KTR-Kosten-Herleitung (feste Werte)" xfId="467" xr:uid="{01549FCC-15A5-47F1-A082-FD755E7093F7}"/>
    <cellStyle name="_Column5_KER-2011-Überdeckung mit ALEA-mit KTR-Kosten" xfId="468" xr:uid="{6CB868D7-05D8-42F3-AAB3-60FD5CFE5F24}"/>
    <cellStyle name="_Column5_MIS_DFS1" xfId="469" xr:uid="{4235D428-3CEB-474A-8C1E-81A61FC399DB}"/>
    <cellStyle name="_Column5_MIS_DFS2" xfId="470" xr:uid="{E807E8CA-1AC2-4881-A183-371B665D504D}"/>
    <cellStyle name="_Column5_Tabelle1" xfId="471" xr:uid="{0BEB16CE-B64A-4F7D-B3FC-F8784365A093}"/>
    <cellStyle name="_Column5_TWR TXL_BER" xfId="472" xr:uid="{C3009DCC-CD4F-4D9E-B9AA-EEB777333292}"/>
    <cellStyle name="_Column5_Überleitung ins EU-Berichtswesen" xfId="473" xr:uid="{776248FB-8C8C-400B-BC44-472B18B6227F}"/>
    <cellStyle name="_Column6" xfId="474" xr:uid="{6B029828-84A8-4A12-B9AF-79C8FDFA9ED3}"/>
    <cellStyle name="_Column6_Aufteilung TWR-Standorte_2010" xfId="475" xr:uid="{9944D407-349C-459E-9454-73699E83FDF7}"/>
    <cellStyle name="_Column6_Brücke" xfId="476" xr:uid="{7C5286BC-CE1D-4EF2-851E-1A1901846752}"/>
    <cellStyle name="_Column6_Bruecke" xfId="477" xr:uid="{5A61B71C-7EFF-40AE-829B-E3E2BBBB6693}"/>
    <cellStyle name="_Column6_DB_Bereich" xfId="478" xr:uid="{EC369A8E-7C13-4B4E-A1CF-0B2BBC9591A4}"/>
    <cellStyle name="_Column6_Ek Preisfinanziert" xfId="479" xr:uid="{9A79F248-0DA2-430A-A9C3-71BD90E0D34E}"/>
    <cellStyle name="_Column6_Ermittlung Überdeckung-vorl JA" xfId="480" xr:uid="{D30E3C3C-8B87-49CB-8243-357BCA58B76E}"/>
    <cellStyle name="_Column6_Gebührenbilanz - Aufbau" xfId="481" xr:uid="{9E2F779D-571C-4076-AD34-0B7826DA1F29}"/>
    <cellStyle name="_Column6_KER" xfId="482" xr:uid="{75B85E80-AE48-4CDD-8637-2647EE6F1A9A}"/>
    <cellStyle name="_Column6_KER-2007-Überdeckung mit ALEA-mit KTR-Kosten-Herleitung (feste Werte)" xfId="483" xr:uid="{26B03427-7778-4E16-BDCB-7C60AE93EEDF}"/>
    <cellStyle name="_Column6_KER-2011-Überdeckung mit ALEA-mit KTR-Kosten" xfId="484" xr:uid="{0E77D388-B4C3-42C4-8E57-F281C3BDBDAC}"/>
    <cellStyle name="_Column6_MIS_DFS1" xfId="485" xr:uid="{D4215107-64A9-4B4C-87DD-E60F911F5E75}"/>
    <cellStyle name="_Column6_MIS_DFS2" xfId="486" xr:uid="{EDA3EBC0-228F-4B09-B076-07E231690D75}"/>
    <cellStyle name="_Column6_Tabelle1" xfId="487" xr:uid="{47BE5734-91B4-44A8-B3E3-72F0593502A2}"/>
    <cellStyle name="_Column6_TWR TXL_BER" xfId="488" xr:uid="{EB2BD184-64A1-40D2-A285-BAA4B16AC6D7}"/>
    <cellStyle name="_Column6_Überleitung ins EU-Berichtswesen" xfId="489" xr:uid="{5BBEAA63-7367-4009-A29B-81A2A79AA61C}"/>
    <cellStyle name="_Column7" xfId="490" xr:uid="{1556E52E-8345-4A2F-BB01-3BF637E9C91B}"/>
    <cellStyle name="_Column7_Aufteilung TWR-Standorte_2010" xfId="491" xr:uid="{19F1E6E2-C39E-4540-8BD7-0FE1DEED2664}"/>
    <cellStyle name="_Column7_Brücke" xfId="492" xr:uid="{CE6EF3AF-D1BB-4A68-BE2D-C032CAF815D5}"/>
    <cellStyle name="_Column7_Bruecke" xfId="493" xr:uid="{1BFB5177-07E2-4631-86F4-6A719E3580B9}"/>
    <cellStyle name="_Column7_DB_Bereich" xfId="494" xr:uid="{69DF56E3-5534-40D9-9FA2-482E1BF89293}"/>
    <cellStyle name="_Column7_Ek Preisfinanziert" xfId="495" xr:uid="{3DD23BEB-0A3B-4964-9B09-E8BA96C711F3}"/>
    <cellStyle name="_Column7_Ermittlung Überdeckung-vorl JA" xfId="496" xr:uid="{9F74B768-93A5-4005-A941-1D564FCE090A}"/>
    <cellStyle name="_Column7_Gebührenbilanz - Aufbau" xfId="497" xr:uid="{7A4521C0-0BFA-49D3-BF24-372AA60AC0A9}"/>
    <cellStyle name="_Column7_KER" xfId="498" xr:uid="{2DAA48D1-C3B0-499D-87F3-E85972BE22CE}"/>
    <cellStyle name="_Column7_KER-2007-Überdeckung mit ALEA-mit KTR-Kosten-Herleitung (feste Werte)" xfId="499" xr:uid="{52F425E1-001A-482D-ACE6-77CE1B6C5D7C}"/>
    <cellStyle name="_Column7_KER-2011-Überdeckung mit ALEA-mit KTR-Kosten" xfId="500" xr:uid="{8F57367C-3D32-43FB-AA80-BAB5628EDA73}"/>
    <cellStyle name="_Column7_MIS_DFS1" xfId="501" xr:uid="{3C482BC1-BDC0-498C-B0DD-07A69325E727}"/>
    <cellStyle name="_Column7_MIS_DFS2" xfId="502" xr:uid="{B6D2D8D3-5D39-418F-A658-89BAF9417237}"/>
    <cellStyle name="_Column7_Tabelle1" xfId="503" xr:uid="{0F47EB0C-2381-450D-9CCE-045A04E5A7C4}"/>
    <cellStyle name="_Column7_TWR TXL_BER" xfId="504" xr:uid="{2600B2F4-85D9-4854-8245-3643E0539278}"/>
    <cellStyle name="_Column7_Überleitung ins EU-Berichtswesen" xfId="505" xr:uid="{D170ED9B-7C20-422A-9A3A-99DC33F7055A}"/>
    <cellStyle name="_Compensation gratuité musées 2011" xfId="506" xr:uid="{1ACC0531-74AC-4D4D-9454-CB92DB6537A9}"/>
    <cellStyle name="_CONCATENATION - DEFINITIF 13 avril" xfId="507" xr:uid="{90338ABA-6BB2-4195-A19A-92815F578417}"/>
    <cellStyle name="_CONCATENATION - DEFINITIF 13 avril_PLF 2012 - MCC - Arbitrages" xfId="508" xr:uid="{1E2E5ED8-DBEC-48EC-806E-E281B54C08EA}"/>
    <cellStyle name="_CONSTANT (A3)" xfId="509" xr:uid="{D2B927A9-0A1A-48F1-94DE-061B90F0D930}"/>
    <cellStyle name="_Copie de 7BA_BG_AGRI_PMT (feuilles opérateurs)" xfId="510" xr:uid="{4DD40761-99C8-4644-8174-440F9AAB4267}"/>
    <cellStyle name="_CP" xfId="511" xr:uid="{25826218-41B8-4D7C-8FA5-DA647D40A00E}"/>
    <cellStyle name="_CPM lot 1" xfId="512" xr:uid="{273B4D51-9365-43EB-A028-32BFF8D4D967}"/>
    <cellStyle name="_CPM lot 1_PLF 2012 - MCC - Arbitrages" xfId="513" xr:uid="{AD6807C5-5854-4E97-B85A-3E168E7338B1}"/>
    <cellStyle name="_CPM lot 1_Triennal 2011-2013 détaillé V11" xfId="514" xr:uid="{FE3CAEDD-46D6-4521-9B7B-4BB5EBD3B0D6}"/>
    <cellStyle name="_CPM lot 1_Triennal 2011-2013 détaillé V11_PLF 2012 - MCC - Arbitrages" xfId="515" xr:uid="{AAA702EF-DF7C-4593-BD35-BF4D14FD5E24}"/>
    <cellStyle name="_CPM lot 3" xfId="516" xr:uid="{5D2E58C9-5292-4623-9139-BF9F3C1CEDCE}"/>
    <cellStyle name="_CPM lot 3_PLF 2012 - MCC - Arbitrages" xfId="517" xr:uid="{C8B0FF45-3562-484F-97F9-9AB72748386D}"/>
    <cellStyle name="_CPM lot 3_Triennal 2011-2013 détaillé V11" xfId="518" xr:uid="{CD9280DE-DB96-4418-818A-AA3BBA2F750B}"/>
    <cellStyle name="_CPM lot 3_Triennal 2011-2013 détaillé V11_PLF 2012 - MCC - Arbitrages" xfId="519" xr:uid="{54C83735-DA70-4B73-AC98-D1581E4E76F8}"/>
    <cellStyle name="_CPM lot 4" xfId="520" xr:uid="{AA77F768-A25B-4532-994B-5B40107340F0}"/>
    <cellStyle name="_CPM lot 4_PLF 2012 - MCC - Arbitrages" xfId="521" xr:uid="{0A8DE943-1416-4EF5-B6A9-EEB5F729A18F}"/>
    <cellStyle name="_CPM lot 4_Triennal 2011-2013 détaillé V11" xfId="522" xr:uid="{DFB16924-2827-4A6A-ADCF-C2F8DD1C1E57}"/>
    <cellStyle name="_CPM lot 4_Triennal 2011-2013 détaillé V11_PLF 2012 - MCC - Arbitrages" xfId="523" xr:uid="{29514258-75F0-40AB-9A5E-12122DC883E0}"/>
    <cellStyle name="_Data" xfId="524" xr:uid="{6B653161-CA80-4393-BBCB-A1D5FE956F9F}"/>
    <cellStyle name="_Data_An-Abflug" xfId="525" xr:uid="{C448F4C2-1F6E-45B6-8AE1-F55AC5B379D3}"/>
    <cellStyle name="_Data_bAV je KTR" xfId="526" xr:uid="{0735FE13-0499-4CA5-AB7D-71AB246607E5}"/>
    <cellStyle name="_Data_Berechnung CoC nach CAPM" xfId="527" xr:uid="{E8F7B869-7630-4B75-9514-B4C24F369851}"/>
    <cellStyle name="_Data_Brücke" xfId="528" xr:uid="{63D63BB9-5FFB-4FBC-9D09-3F319221A3DF}"/>
    <cellStyle name="_Data_Brücke Mifri" xfId="529" xr:uid="{DE1EC018-E218-42B0-9EF6-42ADDF51D148}"/>
    <cellStyle name="_Data_Brücke RP" xfId="530" xr:uid="{9E5DA188-8F3C-4034-8374-9CE81445DAC2}"/>
    <cellStyle name="_Data_Brücke_Pc-Prod" xfId="531" xr:uid="{21A815B4-D387-47FB-9428-C17FE49C04C1}"/>
    <cellStyle name="_Data_Brücke_Pc-Prod_bAV je KTR" xfId="532" xr:uid="{ADB6C526-4E01-4B9A-9525-16EFAC630B1C}"/>
    <cellStyle name="_Data_Brücke_Pc-Prod_bAV je KTR_KTR An-Abflug" xfId="533" xr:uid="{CEF8C87D-EC82-485C-8E1A-FEB009731537}"/>
    <cellStyle name="_Data_Brücke_Pc-Prod_bAV je KTR_KTR Strecke" xfId="534" xr:uid="{F7B8B493-632E-40EC-BFFE-BD741945CC4B}"/>
    <cellStyle name="_Data_Brücke_Pc-Prod_Brücke Mifri" xfId="535" xr:uid="{58D3F2A0-7F10-446A-B7AA-143625C1B13D}"/>
    <cellStyle name="_Data_Brücke_Pc-Prod_Brücke RP" xfId="536" xr:uid="{57B32ECC-BBA2-41EC-A260-C405063623A1}"/>
    <cellStyle name="_Data_Brücke_Pc-Prod_EU-BW" xfId="537" xr:uid="{2676A30D-4F15-4BB2-87B1-0903ECD8C6D3}"/>
    <cellStyle name="_Data_Brücke_Pc-Prod_EU-BW_KTR An-Abflug" xfId="538" xr:uid="{8FA76E47-BFC2-4601-8D75-808EEC6AB6D6}"/>
    <cellStyle name="_Data_Brücke_Pc-Prod_EU-BW_KTR Strecke" xfId="539" xr:uid="{BD83A3F9-FB62-40F5-A3CB-5B9376AEF73C}"/>
    <cellStyle name="_Data_Brücke_Pc-Prod_KTR An-Abflug" xfId="540" xr:uid="{821D61CB-4506-4163-B9E7-1BE142322643}"/>
    <cellStyle name="_Data_Bruecke" xfId="541" xr:uid="{E049D314-929E-4CA7-AADC-BE9DAF655EB2}"/>
    <cellStyle name="_Data_Datenbasis-DFS_SAP-DFS2.2014" xfId="542" xr:uid="{2EB68270-1499-48D9-8AAA-40D8324BF52A}"/>
    <cellStyle name="_Data_Datenbasis-STRECKE_SAP-DFS2.201" xfId="543" xr:uid="{706CADCB-5290-4155-A526-1EF5DCA20B26}"/>
    <cellStyle name="_Data_Druck 5j" xfId="544" xr:uid="{22647EC1-9AA0-4092-9851-14F8AD48A485}"/>
    <cellStyle name="_Data_Druck 5j_Brücke Mifri" xfId="545" xr:uid="{E98D298F-2D41-49E4-819D-6B86329B019C}"/>
    <cellStyle name="_Data_Druck 5j_Brücke RP" xfId="546" xr:uid="{80245B62-2A41-4969-A9E1-5754AFED0C83}"/>
    <cellStyle name="_Data_Druck 5j_EU-BW" xfId="547" xr:uid="{952C9B63-DD68-4AFC-AD1A-3549419C9E5C}"/>
    <cellStyle name="_Data_Druck 5j_EU-BW_KTR An-Abflug" xfId="548" xr:uid="{7719CEF1-139B-4EAE-A5B3-9544CAF67975}"/>
    <cellStyle name="_Data_Druck 5j_EU-BW_KTR Strecke" xfId="549" xr:uid="{110E892D-A7CE-49E9-B9C5-8AEC89EC5371}"/>
    <cellStyle name="_Data_Druck 5j_KTR An-Abflug" xfId="550" xr:uid="{C91F2317-B2BC-4578-BAAD-7A5084F19572}"/>
    <cellStyle name="_Data_Eingabe-KTR" xfId="551" xr:uid="{5D820F5F-C3C1-4312-867A-F3ABDA1ED53B}"/>
    <cellStyle name="_Data_Eingabe-KTR_Brücke Mifri" xfId="552" xr:uid="{47CF180E-1B18-4983-8FB4-215A6EFF0084}"/>
    <cellStyle name="_Data_Eingabe-KTR_Brücke RP" xfId="553" xr:uid="{4E44958F-E87F-4ADD-942C-41453B3940DD}"/>
    <cellStyle name="_Data_Eingabe-KTR_EU-BW" xfId="554" xr:uid="{2B6F6171-D52A-4432-A885-0ED4CF141B5B}"/>
    <cellStyle name="_Data_Eingabe-KTR_EU-BW_KTR An-Abflug" xfId="555" xr:uid="{3AE05826-A570-4023-B649-04C746EEDF5C}"/>
    <cellStyle name="_Data_Eingabe-KTR_EU-BW_KTR Strecke" xfId="556" xr:uid="{50FBBCBF-5106-4258-95A4-4B14B0675A58}"/>
    <cellStyle name="_Data_Eingabe-KTR_KTR An-Abflug" xfId="557" xr:uid="{D7EB4BFC-61F6-4918-9A0E-43ACA2881C76}"/>
    <cellStyle name="_Data_Ek Preisfinanziert" xfId="558" xr:uid="{6116BF1E-C382-4A88-9FBC-72D2E9544176}"/>
    <cellStyle name="_Data_Enroute" xfId="559" xr:uid="{E1FF3B78-6F6B-4055-A60F-A0220A446C26}"/>
    <cellStyle name="_Data_Ermittlung Überdeckung-vorl JA" xfId="560" xr:uid="{BEAF7CCA-01A9-4653-AB16-E87FFD134AF4}"/>
    <cellStyle name="_Data_Ermittlung-DFS-Zielwert-RP2" xfId="561" xr:uid="{366127D8-721A-44D7-A3E1-9D4A6B92D2E8}"/>
    <cellStyle name="_Data_EU-BW" xfId="562" xr:uid="{774ED895-B729-454C-BC1D-109C7615CF60}"/>
    <cellStyle name="_Data_EU-BW_1" xfId="563" xr:uid="{63402B55-8979-4E48-B4B9-673C099DDA2E}"/>
    <cellStyle name="_Data_EU-BW_1_KTR An-Abflug" xfId="564" xr:uid="{ADA34F0F-5333-4880-A629-F91EC6825DA2}"/>
    <cellStyle name="_Data_EU-BW_1_KTR Strecke" xfId="565" xr:uid="{3500709F-C727-4D56-A2CA-3E2D88F704DD}"/>
    <cellStyle name="_Data_EU-BW_bAV je KTR" xfId="566" xr:uid="{98D3C6FD-32F4-45F3-A2B0-3ED4D3E102AB}"/>
    <cellStyle name="_Data_EU-BW_bAV je KTR_KTR An-Abflug" xfId="567" xr:uid="{4A16DB77-2E14-4328-AB7A-FAC3288D0B46}"/>
    <cellStyle name="_Data_EU-BW_bAV je KTR_KTR Strecke" xfId="568" xr:uid="{D6CF07DC-6248-49C0-8117-5B4C22180617}"/>
    <cellStyle name="_Data_EU-BW_Brücke Mifri" xfId="569" xr:uid="{72C6DD39-E6A4-430A-880F-C887A296DFD5}"/>
    <cellStyle name="_Data_EU-BW_Brücke RP" xfId="570" xr:uid="{41013880-B6AC-492B-B678-4C61F1D8E533}"/>
    <cellStyle name="_Data_EU-BW_EU-BW" xfId="571" xr:uid="{CA65933E-2E6B-451A-8C29-C06783653E48}"/>
    <cellStyle name="_Data_EU-BW_EU-BW_KTR An-Abflug" xfId="572" xr:uid="{1476FF06-E266-4554-AAE0-B2437426BE62}"/>
    <cellStyle name="_Data_EU-BW_EU-BW_KTR Strecke" xfId="573" xr:uid="{B11D51B9-9F30-4E32-B0DD-F33E226B1C5E}"/>
    <cellStyle name="_Data_EU-BW_KTR An-Abflug" xfId="574" xr:uid="{2E148756-0758-4A9B-92E1-D81A5490DCEB}"/>
    <cellStyle name="_Data_EU-Tabellen" xfId="575" xr:uid="{A833EA39-D0EA-48FC-A754-59A5268A2E2C}"/>
    <cellStyle name="_Data_Ford_Verbl LuL" xfId="576" xr:uid="{6A27E523-9CBA-49FB-992F-E2A5A719618D}"/>
    <cellStyle name="_Data_Gebühren JP 2013 Stand 2. SV_Stand 13.12.2012" xfId="577" xr:uid="{F6E21233-4632-4911-A4BA-2A7589E48F44}"/>
    <cellStyle name="_Data_Gebührenbilanz - Aufbau" xfId="578" xr:uid="{3FC3B86E-F939-4EAF-B1F0-7D1B9C747F6D}"/>
    <cellStyle name="_Data_Ist" xfId="579" xr:uid="{5639E3F2-1493-4FC4-922D-B78364916D9D}"/>
    <cellStyle name="_Data_KER" xfId="580" xr:uid="{1D7A3438-0036-4913-B38A-3FACA4609CFE}"/>
    <cellStyle name="_Data_KER-2007-Überdeckung mit ALEA-mit KTR-Kosten-Herleitung (feste Werte)" xfId="581" xr:uid="{5C24D0DD-5476-4B7C-887E-7D3EBD316B62}"/>
    <cellStyle name="_Data_KER-2011-Überdeckung mit ALEA-mit KTR-Kosten" xfId="582" xr:uid="{F29281FA-90B2-4BF4-AB7E-C10DCD67132B}"/>
    <cellStyle name="_Data_KTR An-Abflug" xfId="583" xr:uid="{F8FB1358-B95C-4EEA-955E-48121DF94816}"/>
    <cellStyle name="_Data_KTR An-Abflug_1" xfId="584" xr:uid="{AD354E19-E256-4A1F-95E2-46A68DBF818E}"/>
    <cellStyle name="_Data_KTR Strecke" xfId="585" xr:uid="{E4CA6E23-38B8-4065-8ACB-D1C54F06AF14}"/>
    <cellStyle name="_Data_MER-210704" xfId="586" xr:uid="{C88F4A28-6B9D-4DCE-ACBA-21C9542BDBFE}"/>
    <cellStyle name="_Data_MER-210704_bAV je KTR" xfId="587" xr:uid="{93898DCA-5C25-443F-8B1A-3936E0393106}"/>
    <cellStyle name="_Data_MER-210704_bAV je KTR_KTR An-Abflug" xfId="588" xr:uid="{78DCC25D-DD2D-4FA1-8D80-8563107D039E}"/>
    <cellStyle name="_Data_MER-210704_bAV je KTR_KTR Strecke" xfId="589" xr:uid="{151BD618-4992-45EB-A48B-4594092C095A}"/>
    <cellStyle name="_Data_MER-210704_Brücke Mifri" xfId="590" xr:uid="{6047103A-561C-458F-87F0-BED889AF0BC6}"/>
    <cellStyle name="_Data_MER-210704_Brücke RP" xfId="591" xr:uid="{D841EE7F-BFC9-49E8-A9A2-7349737E5359}"/>
    <cellStyle name="_Data_MER-210704_EU-BW" xfId="592" xr:uid="{3EE2668E-5CD8-4E91-9FB9-B7B09876B1A9}"/>
    <cellStyle name="_Data_MER-210704_EU-BW_KTR An-Abflug" xfId="593" xr:uid="{9B819D2C-8F5D-4DB6-AC51-7E19107A64CE}"/>
    <cellStyle name="_Data_MER-210704_EU-BW_KTR Strecke" xfId="594" xr:uid="{4292BA2A-2712-45EA-A737-736B6ADC9F0C}"/>
    <cellStyle name="_Data_MER-210704_KTR An-Abflug" xfId="595" xr:uid="{3E6BFCA0-9589-48F6-9E5E-EDC58A40CBE1}"/>
    <cellStyle name="_Data_MIS_DFS1" xfId="596" xr:uid="{EDB69F0B-81CD-4097-B377-3F678D609B71}"/>
    <cellStyle name="_Data_MIS_DFS1_bAV je KTR" xfId="597" xr:uid="{F8F16CEC-6D88-4191-990E-3506DF5DC226}"/>
    <cellStyle name="_Data_MIS_DFS1_bAV je KTR_KTR An-Abflug" xfId="598" xr:uid="{DBA3B81C-501F-4573-9BEC-85B85D1E0165}"/>
    <cellStyle name="_Data_MIS_DFS1_bAV je KTR_KTR Strecke" xfId="599" xr:uid="{9FC5149F-72B4-4E0E-8EC6-1E7E7EBF920E}"/>
    <cellStyle name="_Data_MIS_DFS1_Brücke Mifri" xfId="600" xr:uid="{D7EB85A6-F1E4-40B0-A814-6BA8FABC7E9B}"/>
    <cellStyle name="_Data_MIS_DFS1_Brücke RP" xfId="601" xr:uid="{1E433F0D-BE33-47E2-980C-242F476FB230}"/>
    <cellStyle name="_Data_MIS_DFS1_EU-BW" xfId="602" xr:uid="{782419FB-ACFC-40AE-A28E-35C22FE5B72D}"/>
    <cellStyle name="_Data_MIS_DFS1_EU-BW_KTR An-Abflug" xfId="603" xr:uid="{193B9573-5B23-4128-B9F6-0E64FF56182F}"/>
    <cellStyle name="_Data_MIS_DFS1_EU-BW_KTR Strecke" xfId="604" xr:uid="{A1A6B402-3026-4C2A-B08B-C1166272833D}"/>
    <cellStyle name="_Data_MIS_DFS1_KTR An-Abflug" xfId="605" xr:uid="{9A2185C1-7EA8-486D-9C9F-AF8021067312}"/>
    <cellStyle name="_Data_MIS_DFS16" xfId="606" xr:uid="{1C39184E-6C09-4A1B-BB4F-EF57C3238D16}"/>
    <cellStyle name="_Data_MIS_DFS16_bAV je KTR" xfId="607" xr:uid="{486CA4A1-9493-40B0-B060-593AD0F983E9}"/>
    <cellStyle name="_Data_MIS_DFS16_bAV je KTR_KTR An-Abflug" xfId="608" xr:uid="{CCAC6CBE-EB8C-421A-97A6-D82B2426C4D1}"/>
    <cellStyle name="_Data_MIS_DFS16_bAV je KTR_KTR Strecke" xfId="609" xr:uid="{1DDAA8FD-80CA-439D-99EE-ED3FB9C5DB6B}"/>
    <cellStyle name="_Data_MIS_DFS16_Brücke Mifri" xfId="610" xr:uid="{5E0CC216-24DA-45C6-9B64-DBCC73D327B4}"/>
    <cellStyle name="_Data_MIS_DFS16_Brücke RP" xfId="611" xr:uid="{994DB2B1-952C-4B2A-A7B4-C51312E2BA29}"/>
    <cellStyle name="_Data_MIS_DFS16_EU-BW" xfId="612" xr:uid="{F8468976-FC56-44AC-A0F6-7D0176A1FC9E}"/>
    <cellStyle name="_Data_MIS_DFS16_EU-BW_KTR An-Abflug" xfId="613" xr:uid="{07DE8501-4159-4242-B00D-F81DC4DC0074}"/>
    <cellStyle name="_Data_MIS_DFS16_EU-BW_KTR Strecke" xfId="614" xr:uid="{9AECFA33-0638-4948-BFB1-92F5C5020A91}"/>
    <cellStyle name="_Data_MIS_DFS16_KTR An-Abflug" xfId="615" xr:uid="{4EF449F3-74A6-4D99-9E0E-3A3ADE642AB2}"/>
    <cellStyle name="_Data_MIS_DFS18" xfId="616" xr:uid="{B959C6E4-0544-4C1E-9089-4C39EADCE1B4}"/>
    <cellStyle name="_Data_MIS_DFS18_bAV je KTR" xfId="617" xr:uid="{0039CDED-84BF-464B-836E-2731E0FF8B53}"/>
    <cellStyle name="_Data_MIS_DFS18_bAV je KTR_KTR An-Abflug" xfId="618" xr:uid="{7A02C3BA-C720-4665-90CD-B23A3F00AC7D}"/>
    <cellStyle name="_Data_MIS_DFS18_bAV je KTR_KTR Strecke" xfId="619" xr:uid="{091E1304-AAEE-4A3B-B498-FC2854A0566F}"/>
    <cellStyle name="_Data_MIS_DFS18_Brücke Mifri" xfId="620" xr:uid="{10EB2F82-11C9-4EE2-BF3A-3B8206ED0A21}"/>
    <cellStyle name="_Data_MIS_DFS18_Brücke RP" xfId="621" xr:uid="{D013E620-F7A2-4CFC-B067-4433A970DEF2}"/>
    <cellStyle name="_Data_MIS_DFS18_EU-BW" xfId="622" xr:uid="{A78FD513-FA20-4B0F-9AB1-C2A3FB793AE1}"/>
    <cellStyle name="_Data_MIS_DFS18_EU-BW_KTR An-Abflug" xfId="623" xr:uid="{5ADC9082-8375-4654-A645-2023BD6D8760}"/>
    <cellStyle name="_Data_MIS_DFS18_EU-BW_KTR Strecke" xfId="624" xr:uid="{CB08B356-91A2-47D6-9EB1-335ACBED4BAC}"/>
    <cellStyle name="_Data_MIS_DFS18_KTR An-Abflug" xfId="625" xr:uid="{09DC278B-9459-4BD9-95C5-6AA720D55B53}"/>
    <cellStyle name="_Data_MIS_DFS3" xfId="626" xr:uid="{05F2D694-0D77-4A91-8A87-4F5BF81559AE}"/>
    <cellStyle name="_Data_MIS_DFS3_bAV je KTR" xfId="627" xr:uid="{DBEB777D-C5EE-44E9-8DCA-470DE3AB0D86}"/>
    <cellStyle name="_Data_MIS_DFS3_bAV je KTR_KTR An-Abflug" xfId="628" xr:uid="{3F934054-A744-4B55-95B3-00EE0B1C8CEA}"/>
    <cellStyle name="_Data_MIS_DFS3_bAV je KTR_KTR Strecke" xfId="629" xr:uid="{CF8CAF65-03C9-4ACC-9F47-60FF2963A909}"/>
    <cellStyle name="_Data_MIS_DFS3_Brücke Mifri" xfId="630" xr:uid="{BED3C2D1-033F-40E9-A034-3CA4A5913DDB}"/>
    <cellStyle name="_Data_MIS_DFS3_Brücke RP" xfId="631" xr:uid="{C7C26300-4818-4386-BB75-EA97E2BFB5C5}"/>
    <cellStyle name="_Data_MIS_DFS3_EU-BW" xfId="632" xr:uid="{47455E92-C726-491D-89DE-3993A10DA3A1}"/>
    <cellStyle name="_Data_MIS_DFS3_EU-BW_KTR An-Abflug" xfId="633" xr:uid="{0211FEB5-62F4-43AE-BBE7-3C734E2FB74F}"/>
    <cellStyle name="_Data_MIS_DFS3_EU-BW_KTR Strecke" xfId="634" xr:uid="{19D951E3-DB4E-4F38-9520-1899E6876428}"/>
    <cellStyle name="_Data_MIS_DFS3_KTR An-Abflug" xfId="635" xr:uid="{3E9B9697-533D-4B11-BFCF-DC43F03D8D88}"/>
    <cellStyle name="_Data_MIS_DFS5" xfId="636" xr:uid="{523CD53C-E1CB-4620-8E6D-ACC084B2597D}"/>
    <cellStyle name="_Data_MIS_DFS5_bAV je KTR" xfId="637" xr:uid="{0C082769-5A29-420A-87AC-D73CCF99417F}"/>
    <cellStyle name="_Data_MIS_DFS5_bAV je KTR_KTR An-Abflug" xfId="638" xr:uid="{2E1C48B4-D1BE-45C6-A19D-92ECB97B8974}"/>
    <cellStyle name="_Data_MIS_DFS5_bAV je KTR_KTR Strecke" xfId="639" xr:uid="{DBDEF57B-3783-45E4-ADA8-C75210DACCDE}"/>
    <cellStyle name="_Data_MIS_DFS5_Brücke Mifri" xfId="640" xr:uid="{7A83F851-2543-4BF4-BA78-10B8D15AEADB}"/>
    <cellStyle name="_Data_MIS_DFS5_Brücke RP" xfId="641" xr:uid="{3D860BE5-0644-455D-9F51-AD5B27E85B9E}"/>
    <cellStyle name="_Data_MIS_DFS5_EU-BW" xfId="642" xr:uid="{3B6130DF-A64D-4728-BEEC-DF46FBF3C442}"/>
    <cellStyle name="_Data_MIS_DFS5_EU-BW_KTR An-Abflug" xfId="643" xr:uid="{D241BF02-C25F-4533-94B5-846CAB28C59F}"/>
    <cellStyle name="_Data_MIS_DFS5_EU-BW_KTR Strecke" xfId="644" xr:uid="{FBE276E4-871F-42E2-BDE0-42EA2B547B65}"/>
    <cellStyle name="_Data_MIS_DFS5_KTR An-Abflug" xfId="645" xr:uid="{9F1BB879-545A-4F80-8416-B271413FFE94}"/>
    <cellStyle name="_Data_MIS_DFS7" xfId="646" xr:uid="{ECCDA70A-240F-4260-9CE2-1521D8A2D100}"/>
    <cellStyle name="_Data_MIS_DFS7_bAV je KTR" xfId="647" xr:uid="{5B9D90DC-F4C4-4222-9C1A-179688EA4E2E}"/>
    <cellStyle name="_Data_MIS_DFS7_bAV je KTR_KTR An-Abflug" xfId="648" xr:uid="{071CE6AB-AD19-4A3C-B241-120F2020EB05}"/>
    <cellStyle name="_Data_MIS_DFS7_bAV je KTR_KTR Strecke" xfId="649" xr:uid="{C89BC6E0-C6FB-416C-A2AC-C31628128330}"/>
    <cellStyle name="_Data_MIS_DFS7_Brücke Mifri" xfId="650" xr:uid="{934B8B9A-0675-4392-9C9C-82DAEAA443F8}"/>
    <cellStyle name="_Data_MIS_DFS7_Brücke RP" xfId="651" xr:uid="{9956CA76-E814-4E0A-B292-DE5B05E43759}"/>
    <cellStyle name="_Data_MIS_DFS7_EU-BW" xfId="652" xr:uid="{7782C1FB-F6A2-4B87-BB8A-F3D091F04F3A}"/>
    <cellStyle name="_Data_MIS_DFS7_EU-BW_KTR An-Abflug" xfId="653" xr:uid="{63F24F01-1BC3-46E5-BE31-E5B8C1538A15}"/>
    <cellStyle name="_Data_MIS_DFS7_EU-BW_KTR Strecke" xfId="654" xr:uid="{FDAADEF0-7923-42B7-A48A-0B92C7104886}"/>
    <cellStyle name="_Data_MIS_DFS7_KTR An-Abflug" xfId="655" xr:uid="{AA6DC518-95A0-4BF2-A248-23BED6E031DB}"/>
    <cellStyle name="_Data_Planbilanz auf Kalkulatorik_BNV - Stand 2013 in Bearbeitung_" xfId="656" xr:uid="{2FE2FDB4-B7D0-4874-9CA6-C216970A403F}"/>
    <cellStyle name="_Data_Regulatory AssetBase mit Ist 13" xfId="657" xr:uid="{B737F8F4-0440-4D9E-B91C-89C566A45DE4}"/>
    <cellStyle name="_Data_Strecke" xfId="658" xr:uid="{A716F997-781C-4E17-83F3-5FBB438B0C47}"/>
    <cellStyle name="_Data_Szenario CoC ohne adjustments" xfId="659" xr:uid="{F0DE97D7-3195-4E2A-B73F-19F6D4DC7903}"/>
    <cellStyle name="_Data_Tabellarische Darstellung" xfId="660" xr:uid="{C0B5DB36-B326-4B58-A6DF-F19EB3EEEE2D}"/>
    <cellStyle name="_Data_Table 1 ANSP" xfId="661" xr:uid="{0407DBF5-3345-4106-BDBE-7130A396CD1A}"/>
    <cellStyle name="_Data_TABLE 2" xfId="662" xr:uid="{A3CB4D2A-699E-452F-B18E-15B06FEE3029}"/>
    <cellStyle name="_Data_TABLE 2 DFS" xfId="663" xr:uid="{5F4553C6-9119-4E07-9767-277E5F1EE876}"/>
    <cellStyle name="_Data_TWR TXL_BER" xfId="664" xr:uid="{B329DFF3-1ECE-4B9E-BF3A-4DF5105292DC}"/>
    <cellStyle name="_Data_Übersicht Modelle" xfId="665" xr:uid="{0CFE238B-9715-486C-BAAF-9EB10E387004}"/>
    <cellStyle name="_Data_Werte aktualisieren" xfId="666" xr:uid="{2DB9BC85-6762-44B3-98C9-BF9DAB6BCAC0}"/>
    <cellStyle name="_Data_Werte aktualisieren_bAV je KTR" xfId="667" xr:uid="{5B7171BC-123E-47F7-BDFA-E88C804AAF86}"/>
    <cellStyle name="_Data_Werte aktualisieren_bAV je KTR_KTR An-Abflug" xfId="668" xr:uid="{CB3999F1-997F-4A10-BF91-A5A2D6D6C2C7}"/>
    <cellStyle name="_Data_Werte aktualisieren_bAV je KTR_KTR Strecke" xfId="669" xr:uid="{66EF82C9-ACFD-42CD-8C60-915CAA904D0A}"/>
    <cellStyle name="_Data_Werte aktualisieren_Brücke Mifri" xfId="670" xr:uid="{206CC024-20EC-4098-ABCC-41B260A1D7A7}"/>
    <cellStyle name="_Data_Werte aktualisieren_Brücke RP" xfId="671" xr:uid="{8A44BA34-056E-40FD-AA80-DB3333BE8AF6}"/>
    <cellStyle name="_Data_Werte aktualisieren_EU-BW" xfId="672" xr:uid="{D75C28E5-2485-4E65-B7FD-2116A98B2E9C}"/>
    <cellStyle name="_Data_Werte aktualisieren_EU-BW_KTR An-Abflug" xfId="673" xr:uid="{73E54B4B-4EDE-43B8-B3F4-C7FCE9F2558F}"/>
    <cellStyle name="_Data_Werte aktualisieren_EU-BW_KTR Strecke" xfId="674" xr:uid="{674D8B0C-1E77-438C-B138-887E9112BB39}"/>
    <cellStyle name="_Data_Werte aktualisieren_KTR An-Abflug" xfId="675" xr:uid="{FCC8B7B1-F2FF-4913-9D93-97159557F3BD}"/>
    <cellStyle name="_décisions Offer revew 120106 GDF 16049" xfId="676" xr:uid="{7DF13A1C-9BC6-466D-A59B-94F7EF3D6A88}"/>
    <cellStyle name="_décisions Offer revew 120106 GDF 16049 2" xfId="677" xr:uid="{7B0AB7C3-8B60-4061-872B-EAB1F9D8196C}"/>
    <cellStyle name="_décisions Offer revew 120106 GDF 16049 3" xfId="678" xr:uid="{CD0B4F57-1FFC-414B-89C9-B5EA74E0A36A}"/>
    <cellStyle name="_Détail synthèse" xfId="679" xr:uid="{6F401BAC-5A34-4F65-836B-175C4C4D2396}"/>
    <cellStyle name="_détails prévision 2012 P175" xfId="680" xr:uid="{37C8D024-1165-4971-8D20-40678186DD93}"/>
    <cellStyle name="_Dossier de travail Conf de répartition P.207" xfId="681" xr:uid="{8F274665-3257-4569-8C78-09F557ECEC8E}"/>
    <cellStyle name="_EDAD MB v3 vf P159" xfId="682" xr:uid="{144BDD9F-4CCA-4847-9CC3-18B872A9B9A1}"/>
    <cellStyle name="_Envoi BRS BPSS 260212 Assiettes de CAS Sup" xfId="683" xr:uid="{30240684-CC2F-4E45-A996-763B9F1E4154}"/>
    <cellStyle name="_example template 14" xfId="684" xr:uid="{0F74CB64-BD4D-4EAA-90D7-7D424774CC6F}"/>
    <cellStyle name="_example template 14 2" xfId="685" xr:uid="{856C0FBB-D2DF-48DF-AD4D-AD47E1D23CEA}"/>
    <cellStyle name="_example template 14 3" xfId="686" xr:uid="{9F0D4AC3-98A9-4771-B480-CE79FDD410D1}"/>
    <cellStyle name="_example template 14_Consistency checks v19" xfId="687" xr:uid="{08CCEFC3-DB44-4D9C-ACD4-A8CC01825D97}"/>
    <cellStyle name="_example template 14_ConsistencyCheckTemplate_v26b" xfId="688" xr:uid="{C8E8C684-5CC0-4EC4-B3DE-5455260859CB}"/>
    <cellStyle name="_example template 14_ConsistencyCheckTemplate_v27" xfId="689" xr:uid="{4932B994-DB08-4559-A599-112EACFDD511}"/>
    <cellStyle name="_example template 14_Flights_PRU_STATFOR" xfId="690" xr:uid="{B2A21011-DD2F-4527-83B3-0A73DFFC126D}"/>
    <cellStyle name="_example template 14_MT ConsistencyCheck V19" xfId="691" xr:uid="{43F40340-2AD5-495B-A283-4CB143D42484}"/>
    <cellStyle name="_Feuil1" xfId="692" xr:uid="{D4690C1F-2851-4D7A-A52E-7B8DF9DE1673}"/>
    <cellStyle name="_Feuil2" xfId="693" xr:uid="{6A03C3F6-888B-45B7-8D3D-DE497EEC2DFE}"/>
    <cellStyle name="_Feuil2 2" xfId="694" xr:uid="{42345F84-3882-4CF8-B332-F01DD14ED842}"/>
    <cellStyle name="_Feuil2_2013 03 05 ANNEXES circulaire sécurisation" xfId="695" xr:uid="{022C6FDD-7F08-4231-A657-AAA769E1A33E}"/>
    <cellStyle name="_Feuil2_2013 03 05 arbitrages PLF 2014" xfId="696" xr:uid="{E0804008-83D6-40E6-9DD5-11706F2CA94B}"/>
    <cellStyle name="_Feuil2_annexe5_arbitrage_OPE" xfId="697" xr:uid="{477A3200-AE70-4786-89E7-448F53C51B73}"/>
    <cellStyle name="_Feuil2_annexe5_circ_OPE (2)" xfId="698" xr:uid="{692B377F-E164-457F-8DB1-5272CF745331}"/>
    <cellStyle name="_Feuil2_MEDDE - dossier arbitrage PLF 2013-2015 arbitrage v1" xfId="699" xr:uid="{D4D9134F-8DF9-4473-8F35-1A762367B676}"/>
    <cellStyle name="_Feuil2_OPE_CAS pension_05juil_18h" xfId="700" xr:uid="{B12E79E1-BFD4-4672-B89C-A5B6068D9873}"/>
    <cellStyle name="_Feuil2_Synthèse_CAS_Pensions_17juil_22h30" xfId="701" xr:uid="{5FDE4C98-9474-48CF-AD1A-B30E93F3638F}"/>
    <cellStyle name="_Feuil2_Synthèse_CAS_Pensions_29juin_19h" xfId="702" xr:uid="{CDD48977-E454-45B3-A5C1-3466D25AF9CD}"/>
    <cellStyle name="_Feuil2_Synthèse_CAS_Pensions_30juil_11h" xfId="703" xr:uid="{70693585-394A-4A28-B24E-69466CDD5453}"/>
    <cellStyle name="_fichier de travail" xfId="704" xr:uid="{59F334CE-0C79-4116-B8CB-692B78677710}"/>
    <cellStyle name="_fichier de travail P.751" xfId="705" xr:uid="{E64B7BC1-3643-4AD3-81F7-A46B38B1D7B0}"/>
    <cellStyle name="_Gage DA vf" xfId="706" xr:uid="{55D91BBF-806D-4FDD-8DED-A9866F6629C9}"/>
    <cellStyle name="_GRAAL phase 1 - SYNTHESE Classeur Crédits" xfId="707" xr:uid="{D8FB5C6A-FF5B-48DB-A067-CBF489B18D7F}"/>
    <cellStyle name="_Header" xfId="708" xr:uid="{09B8DDBF-D231-4667-AE88-62A0EDF36849}"/>
    <cellStyle name="_Header_Aufteilung TWR-Standorte_2010" xfId="709" xr:uid="{3F7211F3-1BAE-4047-9010-94ED8F4C3C72}"/>
    <cellStyle name="_Header_Brücke" xfId="710" xr:uid="{9D10B1AF-0E76-4769-8241-AAC76742EB9F}"/>
    <cellStyle name="_Header_Bruecke" xfId="711" xr:uid="{C02AE8D3-795E-459E-922C-50D6DE909955}"/>
    <cellStyle name="_Header_DB_Bereich" xfId="712" xr:uid="{BE31E9BC-AAAE-4E53-B73B-4DA90CAF4716}"/>
    <cellStyle name="_Header_Ek Preisfinanziert" xfId="713" xr:uid="{F36BADCE-CF23-4DAC-B1C4-B2A1C840D72F}"/>
    <cellStyle name="_Header_Ermittlung Überdeckung-vorl JA" xfId="714" xr:uid="{3E352A0A-F22B-48E3-BCFB-36D75A04585D}"/>
    <cellStyle name="_Header_Gebührenbilanz - Aufbau" xfId="715" xr:uid="{16365995-AA70-4DD2-A90A-933716331443}"/>
    <cellStyle name="_Header_KER" xfId="716" xr:uid="{B9F6A11C-E03A-41A2-A759-2DF015BE811B}"/>
    <cellStyle name="_Header_KER-2007-Überdeckung mit ALEA-mit KTR-Kosten-Herleitung (feste Werte)" xfId="717" xr:uid="{C44B92C6-3845-41FE-BE7C-E34BDE61C6D2}"/>
    <cellStyle name="_Header_KER-2011-Überdeckung mit ALEA-mit KTR-Kosten" xfId="718" xr:uid="{A90E4B08-5860-4E68-AB2A-7D2ACE4EF7A1}"/>
    <cellStyle name="_Header_MIS_DFS1" xfId="719" xr:uid="{5E7BD047-FD26-4FB4-809A-41C1397595A5}"/>
    <cellStyle name="_Header_MIS_DFS2" xfId="720" xr:uid="{A110AE12-511F-4C34-B932-293D367B7E1B}"/>
    <cellStyle name="_Header_Tabelle1" xfId="721" xr:uid="{D55BBA16-EF81-4B86-85AA-1B2408430FCA}"/>
    <cellStyle name="_Header_TWR TXL_BER" xfId="722" xr:uid="{3BE9459D-9E8B-4871-810F-8AC3A3138499}"/>
    <cellStyle name="_Header_Überleitung ins EU-Berichtswesen" xfId="723" xr:uid="{06135699-B417-4D57-8613-6B0C431C887B}"/>
    <cellStyle name="_Hébergement SI" xfId="724" xr:uid="{4E5D97A5-1DDD-4EFF-B236-EE640F0F7894}"/>
    <cellStyle name="_Hébergement SI_PLF 2012 - MCC - Arbitrages" xfId="725" xr:uid="{0B74A2CC-781F-40C7-AB9F-3BC76BD396FA}"/>
    <cellStyle name="_Hébergement SI_Triennal 2011-2013 détaillé V11" xfId="726" xr:uid="{100C5AFF-00EE-4DD6-AAE6-1E4CBD67D50D}"/>
    <cellStyle name="_Hébergement SI_Triennal 2011-2013 détaillé V11_PLF 2012 - MCC - Arbitrages" xfId="727" xr:uid="{59A6D1C6-8854-4FA2-8F75-607DDB923BE4}"/>
    <cellStyle name="_Investissements" xfId="728" xr:uid="{266F9351-2E5C-4EA2-A8D7-512725674447}"/>
    <cellStyle name="_Investissements 2" xfId="729" xr:uid="{73D649FB-1CF7-467F-9FBE-DFDDBA920AC7}"/>
    <cellStyle name="_Investissements 3" xfId="730" xr:uid="{BB40A6F0-0F77-43DB-A55F-8A1356E6CDBF}"/>
    <cellStyle name="_LOT2" xfId="731" xr:uid="{A258286E-519C-4973-8BCF-82FF5BCCD759}"/>
    <cellStyle name="_LOT2_PLF 2012 - MCC - Arbitrages" xfId="732" xr:uid="{1EBB8A0F-95E9-4046-B942-247CBBDDBF77}"/>
    <cellStyle name="_LOT2_Triennal 2011-2013 détaillé V11" xfId="733" xr:uid="{189E2491-30F3-43F7-8745-24C8EEDBCFE9}"/>
    <cellStyle name="_LOT2_Triennal 2011-2013 détaillé V11_PLF 2012 - MCC - Arbitrages" xfId="734" xr:uid="{1916976A-DEBD-4A08-8019-A734855A0BC0}"/>
    <cellStyle name="_LOT4 intérieur MIOMCT" xfId="735" xr:uid="{A1F49E0D-B3D0-49E5-84B8-3E586819EFE8}"/>
    <cellStyle name="_LOT4 intérieur MIOMCT_PLF 2012 - MCC - Arbitrages" xfId="736" xr:uid="{9C722C4D-0EF8-4648-8097-24976B4F9A45}"/>
    <cellStyle name="_LOT4 MEEDDAT" xfId="737" xr:uid="{3D9CB307-D63A-4021-AC34-04769D21F614}"/>
    <cellStyle name="_LOT4 MEEDDAT_PLF 2012 - MCC - Arbitrages" xfId="738" xr:uid="{E3151D7A-FA30-4EDD-A2BE-DE312BB63823}"/>
    <cellStyle name="_Maquette classeurs de prévision 2011" xfId="739" xr:uid="{F620A1C2-FC3B-45F3-A549-4D1899D22CBB}"/>
    <cellStyle name="_Maquette classeurs de prévision 2011 2" xfId="740" xr:uid="{539BF4DA-E6E4-4444-B5EE-6B30E225DF06}"/>
    <cellStyle name="_Maquette classeurs de prévision 2011_01.P614_DTA JPE 2014_V2-bis" xfId="741" xr:uid="{0BE81C0D-2BE3-41F5-928D-4975D71A3AC0}"/>
    <cellStyle name="_Maquette classeurs de prévision 2011_01.P614_DTA JPE 2014_V2-bis 2" xfId="742" xr:uid="{EF7E7AA2-75A7-4BCA-83D2-A2DB8F3C915D}"/>
    <cellStyle name="_Maquette classeurs de prévision 2011_2013 03 05 ANNEXES circulaire sécurisation" xfId="743" xr:uid="{5BEBA1F5-DA99-404B-AC9D-82ECEC0BFD2C}"/>
    <cellStyle name="_Maquette classeurs de prévision 2011_2013 03 05 arbitrages PLF 2014" xfId="744" xr:uid="{0023A9C9-B59B-495B-B4A7-0D0E81E376A9}"/>
    <cellStyle name="_Maquette classeurs de prévision 2011_annexe5_arbitrage_OPE" xfId="745" xr:uid="{B6DDA1E9-AC86-4CF6-8862-A2BDDB9F91B3}"/>
    <cellStyle name="_Maquette classeurs de prévision 2011_annexe5_circ_OPE (2)" xfId="746" xr:uid="{45F3D6A9-1993-483A-8C5C-8482740AB3C2}"/>
    <cellStyle name="_Maquette classeurs de prévision 2011_Classeur3" xfId="747" xr:uid="{5970E1A2-7F97-4374-A262-BAC635EE540D}"/>
    <cellStyle name="_Maquette classeurs de prévision 2011_Classeur4" xfId="748" xr:uid="{A90A74FD-FD8F-4F34-BBFA-CD101B066817}"/>
    <cellStyle name="_Maquette classeurs de prévision 2011_Classeur5" xfId="749" xr:uid="{E786D7B5-7360-4E65-A554-617C6B62DCD3}"/>
    <cellStyle name="_Maquette classeurs de prévision 2011_Classeur6" xfId="750" xr:uid="{6D80D2E8-0F28-4708-8D0A-EC062F78143A}"/>
    <cellStyle name="_Maquette classeurs de prévision 2011_Classeur7" xfId="751" xr:uid="{0B31D6F2-85A6-4EB8-A81B-80EBB89568A1}"/>
    <cellStyle name="_Maquette classeurs de prévision 2011_Dépenses par titre et par action JPE2014" xfId="752" xr:uid="{1392329C-4560-4275-80AB-3A81C67D1E8B}"/>
    <cellStyle name="_Maquette classeurs de prévision 2011_M-08_triennal_DSNA" xfId="753" xr:uid="{D5FC069F-CEB2-4101-BDE2-08DCE9EA7CC4}"/>
    <cellStyle name="_Maquette classeurs de prévision 2011_MEDDE - dossier arbitrage PLF 2013-2015 arbitrage v1" xfId="754" xr:uid="{07CED780-B162-47FA-8AA3-2B57BCADAC48}"/>
    <cellStyle name="_Maquette classeurs de prévision 2011_OPE_CAS pension_05juil_18h" xfId="755" xr:uid="{9033CAA0-2A7A-4578-A593-D26201788706}"/>
    <cellStyle name="_Maquette classeurs de prévision 2011_PLF 2012 - MCC - Arbitrages" xfId="756" xr:uid="{3FE3D117-0280-4639-89CF-82CAEDC752EB}"/>
    <cellStyle name="_Maquette classeurs de prévision 2011_Synthèse_CAS_Pensions_17juil_22h30" xfId="757" xr:uid="{F7D11029-CD26-4430-85E1-FDEB8685A8F0}"/>
    <cellStyle name="_Maquette classeurs de prévision 2011_Synthèse_CAS_Pensions_29juin_19h" xfId="758" xr:uid="{3560607F-35E6-46C9-B907-C251C69079E3}"/>
    <cellStyle name="_Maquette classeurs de prévision 2011_Synthèse_CAS_Pensions_30juil_11h" xfId="759" xr:uid="{A3143E13-2C54-42EC-A8D0-7199D83A13BB}"/>
    <cellStyle name="_Nosia BPlan V0 10D" xfId="760" xr:uid="{DF361FA5-3611-4E58-886D-1B182D5BAD8C}"/>
    <cellStyle name="_Nosia BPlan V0 10D 2" xfId="761" xr:uid="{30228CC7-468B-4CF1-8658-2B7F9658B743}"/>
    <cellStyle name="_Nosia BPlan V0 10D 3" xfId="762" xr:uid="{3A4F21C1-F37C-4499-A792-DCA42C010E29}"/>
    <cellStyle name="_OPE_Bud_EmploisCAS" xfId="763" xr:uid="{B013C31E-18BB-4F28-8743-722AFCC5865F}"/>
    <cellStyle name="_OPE_Bud_EmploisCAS 2" xfId="764" xr:uid="{FB4EF727-61DE-4D0B-BC8B-15ECE69B1F69}"/>
    <cellStyle name="_OPE_Bud_EmploisCAS_01.P614_DTA JPE 2014_V2-bis" xfId="765" xr:uid="{42424DF7-7D8D-4840-8E55-9F2A9AB09743}"/>
    <cellStyle name="_OPE_Bud_EmploisCAS_01.P614_DTA JPE 2014_V2-bis 2" xfId="766" xr:uid="{23A405C2-E01D-48A2-83C3-F18929DEDBD5}"/>
    <cellStyle name="_OPE_Bud_EmploisCAS_Dépenses par titre et par action JPE2014" xfId="767" xr:uid="{9BABC2E7-0295-4203-B350-00F0D841346C}"/>
    <cellStyle name="_OPE_Bud_EmploisCAS_M-08_triennal_DSNA" xfId="768" xr:uid="{5F031EE4-A389-4E86-9EE6-2628732E5DE6}"/>
    <cellStyle name="_P 751 - PMT - fichier de travail (2)" xfId="769" xr:uid="{B2438ED1-6566-4C7B-9BCC-C38576D5FAB9}"/>
    <cellStyle name="_Pg 751_PLF 2012_Fiche comp n3_Maquette constante (2)" xfId="770" xr:uid="{FBA0DADB-53D1-471A-AF4F-EE09B5DCC065}"/>
    <cellStyle name="_PITE Position DMAT (2)" xfId="771" xr:uid="{B0F6039C-386D-4988-895F-6088B5EAD4D7}"/>
    <cellStyle name="_PMT 2013-2016 CAS AMENDES" xfId="772" xr:uid="{3B441FF3-D581-4EAB-A111-2C8F0BB74C18}"/>
    <cellStyle name="_PMT Mission EDAD - Tour 2 - v.1" xfId="773" xr:uid="{6834F081-A060-4D4B-8C10-C6434F529C48}"/>
    <cellStyle name="_PMToperateurs2MPAP" xfId="774" xr:uid="{0FC20661-AFF0-4A26-8CE9-1D09D57080AD}"/>
    <cellStyle name="_PnL VF RTE CNES  Réseau 16 11 2005 V2" xfId="775" xr:uid="{CF66B5CA-5ECD-4A16-B901-D600C703863F}"/>
    <cellStyle name="_PnL VF RTE CNES  Réseau 16 11 2005 V2 2" xfId="776" xr:uid="{139E61F9-B9E0-4417-BD99-CA59A47D74FF}"/>
    <cellStyle name="_PnL VF RTE CNES  Réseau 16 11 2005 V2 3" xfId="777" xr:uid="{7E13D9CA-3B73-4BAC-B261-13701A787D3B}"/>
    <cellStyle name="_prev 5bcl V2 modéré avec stabilisation pour CL" xfId="778" xr:uid="{237A4E88-9B83-4AB4-B082-6EE55A11A033}"/>
    <cellStyle name="_Prev. Exe. 1" xfId="779" xr:uid="{ABA9F374-6B1E-44BD-91DC-99356F5D3755}"/>
    <cellStyle name="_PREX MARS onglet T3 CAS" xfId="780" xr:uid="{628A859F-DD14-4D43-ACC3-FA44542DCD18}"/>
    <cellStyle name="_PREX OCTOBRE BASE 1 BE" xfId="781" xr:uid="{5039C6C2-999A-4D9E-B3F6-6C232C3993F3}"/>
    <cellStyle name="_PrEx-juillet2011 v8" xfId="782" xr:uid="{25EEF04F-9FEB-4FDF-810D-6D473499FF16}"/>
    <cellStyle name="_PrEx-juillet2011 v8_2013 03 05 ANNEXES circulaire sécurisation" xfId="783" xr:uid="{7F18B78F-C84C-43F6-8D03-BD8FA3BACF11}"/>
    <cellStyle name="_PrEx-juillet2011 v8_2013 03 05 arbitrages PLF 2014" xfId="784" xr:uid="{0F998548-0995-4B3D-B319-5E8E4C4F1DBE}"/>
    <cellStyle name="_PrEx-juillet2011 v8_annexe5_arbitrage_OPE" xfId="785" xr:uid="{EDC7FAD2-363A-4FF9-9E9A-A34A24D27D6E}"/>
    <cellStyle name="_PrEx-juillet2011 v8_annexe5_circ_OPE (2)" xfId="786" xr:uid="{B5225420-DF71-4C81-8456-46AFCD591195}"/>
    <cellStyle name="_PrEx-juillet2011 v8_Classeur5" xfId="787" xr:uid="{649DA816-E24E-4CF6-9EDB-87AC4AC5E351}"/>
    <cellStyle name="_PrEx-nov_2011 v02" xfId="788" xr:uid="{EF847F27-16E2-4FB5-BA22-ECEC7BB20BE1}"/>
    <cellStyle name="_RangeColumns" xfId="789" xr:uid="{6353E7AE-161E-4C05-9351-20589D6EEB66}"/>
    <cellStyle name="_RangeColumns 2" xfId="790" xr:uid="{EC82BA12-EF84-4F0A-844A-33ECAE266B0F}"/>
    <cellStyle name="_RangeColumns 2 2" xfId="14848" xr:uid="{BB20F5B2-1903-45AF-B880-681E51808E22}"/>
    <cellStyle name="_RangeColumns 3" xfId="791" xr:uid="{F0997D8A-1422-49E4-8081-DBA19C8ABCF8}"/>
    <cellStyle name="_RangeColumns 3 2" xfId="792" xr:uid="{EBB63619-60E7-46B0-9018-E830D9589DEC}"/>
    <cellStyle name="_RangeColumns 3 2 2" xfId="14850" xr:uid="{988BB7B3-7CA4-4769-9655-547E69DD6147}"/>
    <cellStyle name="_RangeColumns 3 3" xfId="14849" xr:uid="{0178CEEB-1CD7-4C8A-BEBF-6B196F60F07C}"/>
    <cellStyle name="_RangeColumns 4" xfId="793" xr:uid="{087A0123-59BE-4D82-A6A1-B94209211437}"/>
    <cellStyle name="_RangeColumns 4 2" xfId="14851" xr:uid="{0CE75E65-1899-44AA-BAD0-56785E42647A}"/>
    <cellStyle name="_RangeColumns 5" xfId="794" xr:uid="{8EE5CEAA-4E56-4963-862A-7A6DC5D8A52D}"/>
    <cellStyle name="_RangeColumns 5 2" xfId="14852" xr:uid="{4DB369C0-B4F0-487C-B417-E9A501BE12AD}"/>
    <cellStyle name="_RangeColumns 6" xfId="14847" xr:uid="{FEA3C92C-98BA-40A1-8B3B-35F609484ABE}"/>
    <cellStyle name="_RangeData" xfId="795" xr:uid="{E1E6A711-C7CA-4DD0-AF35-3022DB2BF1D6}"/>
    <cellStyle name="_RangeData 2" xfId="796" xr:uid="{E2E3900C-9168-4534-A703-BC3069C0497E}"/>
    <cellStyle name="_RangeData 2 2" xfId="14854" xr:uid="{85771381-9A17-4018-A185-C4EA15F535AB}"/>
    <cellStyle name="_RangeData 3" xfId="797" xr:uid="{AD8D2DBE-7E96-4182-BBDA-1877AA544873}"/>
    <cellStyle name="_RangeData 3 2" xfId="798" xr:uid="{CBC43B47-F1CE-42D7-8917-5B63F909F385}"/>
    <cellStyle name="_RangeData 3 2 2" xfId="14856" xr:uid="{49F0BA24-016A-4B21-9AE0-1674471EFE2F}"/>
    <cellStyle name="_RangeData 3 3" xfId="14855" xr:uid="{C7AAB7E7-EEC2-4115-A1C7-72B11F33FC97}"/>
    <cellStyle name="_RangeData 4" xfId="799" xr:uid="{F093C2AB-E0D1-401A-8569-38EBDB51256D}"/>
    <cellStyle name="_RangeData 4 2" xfId="14857" xr:uid="{6A0C3AD5-E4A3-490A-B2DF-D2DCCE0B772F}"/>
    <cellStyle name="_RangeData 5" xfId="800" xr:uid="{F1474765-6CEA-4F03-A1F2-D8BAD8C235AB}"/>
    <cellStyle name="_RangeData 5 2" xfId="14858" xr:uid="{9E1AAFD0-AADC-46E7-9A1A-DAF8C37C9284}"/>
    <cellStyle name="_RangeData 6" xfId="14853" xr:uid="{348EA8FA-9BAC-4BAD-806E-2FE3E9B58681}"/>
    <cellStyle name="_RangeProperties" xfId="801" xr:uid="{442115F8-6789-4720-8275-3811D13BC839}"/>
    <cellStyle name="_RangeProperties 2" xfId="802" xr:uid="{BA238D90-B85E-4C54-893C-167CD04AB422}"/>
    <cellStyle name="_RangeProperties 2 2" xfId="14860" xr:uid="{7FF6BE8C-A4E0-4C07-8160-1DFEC5E82B28}"/>
    <cellStyle name="_RangeProperties 3" xfId="803" xr:uid="{BEF246E9-7003-40B0-A49F-13008B77B935}"/>
    <cellStyle name="_RangeProperties 3 2" xfId="804" xr:uid="{B32B23FA-E5DF-47FA-936A-F53D89C8DD75}"/>
    <cellStyle name="_RangeProperties 3 2 2" xfId="14862" xr:uid="{2B7B593F-B1A5-4207-80EE-697BABCA0E89}"/>
    <cellStyle name="_RangeProperties 3 3" xfId="14861" xr:uid="{6C99D147-FD66-4C10-9B2E-A562E39C661C}"/>
    <cellStyle name="_RangeProperties 4" xfId="805" xr:uid="{4F2FAB21-3E10-49E1-A1CC-3B0C30CF1F74}"/>
    <cellStyle name="_RangeProperties 4 2" xfId="14863" xr:uid="{688A40D9-8A40-4112-B7C3-4D10CEE968C7}"/>
    <cellStyle name="_RangeProperties 5" xfId="806" xr:uid="{99FD2AC5-DEB8-486A-9BA6-AE184EE596F4}"/>
    <cellStyle name="_RangeProperties 5 2" xfId="14864" xr:uid="{938D2EAA-6531-4483-A272-518F959D1472}"/>
    <cellStyle name="_RangeProperties 6" xfId="14859" xr:uid="{A70BFD02-0519-43BD-B787-FB293E40EEF3}"/>
    <cellStyle name="_RangePropertiesColumns" xfId="807" xr:uid="{12B26794-E8ED-4054-9120-A589065687B6}"/>
    <cellStyle name="_RangePropertiesColumns 2" xfId="808" xr:uid="{D3E6E7CD-0056-428A-86E1-A93F8AEB5B3D}"/>
    <cellStyle name="_RangePropertiesColumns 2 2" xfId="14866" xr:uid="{3948E8B7-340B-48E7-B887-69EA3B18A760}"/>
    <cellStyle name="_RangePropertiesColumns 3" xfId="809" xr:uid="{0BB0E0D2-C096-4FBE-806E-66B0B7CD68F5}"/>
    <cellStyle name="_RangePropertiesColumns 3 2" xfId="810" xr:uid="{FC881B49-F1F7-4482-9397-FFBB4FDFE76F}"/>
    <cellStyle name="_RangePropertiesColumns 3 2 2" xfId="14868" xr:uid="{4B55BBCC-7D0A-4151-981D-E541D2AC6536}"/>
    <cellStyle name="_RangePropertiesColumns 3 3" xfId="14867" xr:uid="{D97732A6-97FF-4779-B7F0-80B8B56BA1E5}"/>
    <cellStyle name="_RangePropertiesColumns 4" xfId="811" xr:uid="{EBEC9770-FA0A-4D3F-9B86-866A33DBF087}"/>
    <cellStyle name="_RangePropertiesColumns 4 2" xfId="14869" xr:uid="{C22A753A-B132-47B6-977F-1FFF6C98FEA9}"/>
    <cellStyle name="_RangePropertiesColumns 5" xfId="812" xr:uid="{7C2AD68F-6755-4788-A255-DDB84B9D9E58}"/>
    <cellStyle name="_RangePropertiesColumns 5 2" xfId="14870" xr:uid="{C5F379E1-E375-4E2F-B16F-E69703E6CA5A}"/>
    <cellStyle name="_RangePropertiesColumns 6" xfId="14865" xr:uid="{40F4B3B1-F976-4524-B40B-181E117CE8C3}"/>
    <cellStyle name="_RangeRows" xfId="813" xr:uid="{225A1394-47AB-46D6-B38C-6F6913C26DF9}"/>
    <cellStyle name="_RangeRows 2" xfId="814" xr:uid="{65390E07-7F33-44A8-A94D-CDDFE3603601}"/>
    <cellStyle name="_RangeRows 2 2" xfId="14872" xr:uid="{627F26BA-145A-480F-9E9B-413DF3A7BA11}"/>
    <cellStyle name="_RangeRows 3" xfId="815" xr:uid="{4BFC6AD8-A7BA-4EA2-9B84-79E8A28A26DC}"/>
    <cellStyle name="_RangeRows 3 2" xfId="816" xr:uid="{B43232A3-0171-425B-A0BB-78A6332332C9}"/>
    <cellStyle name="_RangeRows 3 2 2" xfId="14874" xr:uid="{9CFB24B9-E038-4B9D-A71E-9E7719409E3E}"/>
    <cellStyle name="_RangeRows 3 3" xfId="14873" xr:uid="{74804D22-8452-474B-8221-FD887349C023}"/>
    <cellStyle name="_RangeRows 4" xfId="817" xr:uid="{6A531410-12AC-4488-B3C3-94377B66B903}"/>
    <cellStyle name="_RangeRows 4 2" xfId="14875" xr:uid="{58B5EF4B-8842-4E17-B09A-3A43B14E1C20}"/>
    <cellStyle name="_RangeRows 5" xfId="818" xr:uid="{1B0BD77E-85A4-4A16-A5A4-47802064C0A4}"/>
    <cellStyle name="_RangeRows 5 2" xfId="14876" xr:uid="{169448C2-8075-4E4E-BD5D-37BC65EE1073}"/>
    <cellStyle name="_RangeRows 6" xfId="14871" xr:uid="{DD6BE74A-DF6B-4C38-8574-9EC3E73435CC}"/>
    <cellStyle name="_RangeSlicer" xfId="819" xr:uid="{22DD3642-F3E7-495F-AC1E-D7AECFDCBC14}"/>
    <cellStyle name="_Row1" xfId="820" xr:uid="{FC777D7F-EFBF-4879-90A7-1EB368EB056C}"/>
    <cellStyle name="_Row1_ Bremen" xfId="821" xr:uid="{8E5B5A51-E426-40AC-98B3-518417D3932E}"/>
    <cellStyle name="_Row1_ Dresden" xfId="822" xr:uid="{57CD3054-9BE1-42A3-A935-3060AD3FB3F1}"/>
    <cellStyle name="_Row1_ Düsseldorf" xfId="823" xr:uid="{DC62CD95-D2F2-4D5E-96EB-71E93D117A44}"/>
    <cellStyle name="_Row1_ Köln Bonn" xfId="824" xr:uid="{098C579F-A592-48EB-8E9D-E5FF310C1150}"/>
    <cellStyle name="_Row1_ München" xfId="825" xr:uid="{D96B7657-23B0-4F3C-9732-F896C92514EB}"/>
    <cellStyle name="_Row1_bAV je KTR" xfId="826" xr:uid="{B41D0CE1-D6F3-4FA5-8F15-B0FEBF94E48B}"/>
    <cellStyle name="_Row1_Berlin BBI" xfId="827" xr:uid="{523BCAC5-06F0-4DD8-8111-0B6DC9A35896}"/>
    <cellStyle name="_Row1_Berlin Tegel" xfId="828" xr:uid="{F616F863-2A06-4EA5-B0D7-E6F07276D6C8}"/>
    <cellStyle name="_Row1_Brücke Mifri" xfId="829" xr:uid="{8CBC2A8A-2ADD-44A7-B744-D771DA7534A9}"/>
    <cellStyle name="_Row1_Brücke RP" xfId="830" xr:uid="{3A43B157-1576-4208-A386-DDEAAFAE3F9E}"/>
    <cellStyle name="_Row1_Datenbasis-DFS_SAP-DFS2.2014" xfId="831" xr:uid="{64E8F7F0-3659-4FF0-AD47-E22220BE95DF}"/>
    <cellStyle name="_Row1_Datenbasis-STRECKE_SAP-DFS2.201" xfId="832" xr:uid="{8D170C98-3923-4C23-9B0B-887F06038F10}"/>
    <cellStyle name="_Row1_Eingabe-KTR" xfId="833" xr:uid="{0C4F2963-EC60-4EB3-93F3-2E5CBF8BCB43}"/>
    <cellStyle name="_Row1_Ek Gebühr KCB" xfId="834" xr:uid="{5321E6D7-0549-40B9-AD7A-9C98ED097FCB}"/>
    <cellStyle name="_Row1_Ek Preisfinanziert" xfId="835" xr:uid="{A9B11244-8CC6-4E32-8066-4BEF25B5F107}"/>
    <cellStyle name="_Row1_Enroute" xfId="836" xr:uid="{E0C84850-8BA4-4460-AC9F-046E95698DB2}"/>
    <cellStyle name="_Row1_Erfurt" xfId="837" xr:uid="{DF2B0D70-B9A2-4FD4-B699-D83BCBA2EC07}"/>
    <cellStyle name="_Row1_ERW2013" xfId="838" xr:uid="{BBC09C7F-7083-4834-9C31-40DCF773A587}"/>
    <cellStyle name="_Row1_EU-BW" xfId="839" xr:uid="{B7AF6D5A-E307-465C-BCD3-5024D13BABB6}"/>
    <cellStyle name="_Row1_EU-Tabellen" xfId="840" xr:uid="{38BDD332-76F0-4668-9E25-E41E2CCF9877}"/>
    <cellStyle name="_Row1_Ford_Verbl LuL" xfId="841" xr:uid="{EA413F6A-FA66-4BD1-BACA-3CC0F90014AE}"/>
    <cellStyle name="_Row1_Ford_Verbl LuL_Additional information tables" xfId="842" xr:uid="{F7C4E349-7FB5-4BED-97E3-8D4AC8D7B715}"/>
    <cellStyle name="_Row1_Ford_Verbl LuL_Berechnung CoC nach CAPM" xfId="843" xr:uid="{68BF60E6-63E3-4DCB-A73B-D3BB7D65212A}"/>
    <cellStyle name="_Row1_Ford_Verbl LuL_Berechnung CoC nach CAPM_KTR An-Abflug" xfId="844" xr:uid="{1876329D-9EEE-4E99-9F3D-6A6039A81519}"/>
    <cellStyle name="_Row1_Ford_Verbl LuL_Berechnung CoC nach CAPM_KTR Strecke" xfId="845" xr:uid="{939D13A7-3282-4DAF-BE41-55328545C363}"/>
    <cellStyle name="_Row1_Ford_Verbl LuL_KTR An-Abflug" xfId="846" xr:uid="{DEAA8971-1647-423F-96B3-487EA0A675D0}"/>
    <cellStyle name="_Row1_Ford_Verbl LuL_KTR Strecke" xfId="847" xr:uid="{9417BBBC-D1EF-4019-BC9B-FC3539C59678}"/>
    <cellStyle name="_Row1_Ford_Verbl LuL_Regulatory AssetBase mit Ist 13" xfId="848" xr:uid="{636D5751-1FDF-413C-BD19-B252472B85AD}"/>
    <cellStyle name="_Row1_Ford_Verbl LuL_Regulatory AssetBase mit Ist 13_KTR An-Abflug" xfId="849" xr:uid="{DA6B3207-67B5-4A12-9D79-34F1DA5BC16A}"/>
    <cellStyle name="_Row1_Ford_Verbl LuL_Regulatory AssetBase mit Ist 13_KTR Strecke" xfId="850" xr:uid="{BE977F43-41E5-40FA-99A2-23DC52F8AEB8}"/>
    <cellStyle name="_Row1_Ford_Verbl LuL_Tabellarische Darstellung" xfId="851" xr:uid="{D719E61C-CE3F-4F04-81AC-598C1BE6B545}"/>
    <cellStyle name="_Row1_Ford_Verbl LuL_Tabellarische Darstellung_KTR An-Abflug" xfId="852" xr:uid="{97588E67-86B5-43F5-BEB8-00326C66177B}"/>
    <cellStyle name="_Row1_Ford_Verbl LuL_Tabellarische Darstellung_KTR Strecke" xfId="853" xr:uid="{946303C0-F7FB-4316-824B-DFF37FBF595F}"/>
    <cellStyle name="_Row1_Frankfurt" xfId="854" xr:uid="{902496FB-BEC4-498C-88D4-319DF9A7C73E}"/>
    <cellStyle name="_Row1_Gebühren JP 2013 Stand 2. SV_Stand 13.12.2012" xfId="855" xr:uid="{A36250A8-DB20-4165-AA73-3EB5C6CDDF81}"/>
    <cellStyle name="_Row1_Gebühren JP 2013 Stand 2. SV_Stand 13.12.2012_Additional information tables" xfId="856" xr:uid="{6B8EFA2A-6C16-4797-A60C-E9B3AFC62720}"/>
    <cellStyle name="_Row1_Gebühren JP 2013 Stand 2. SV_Stand 13.12.2012_Berechnung CoC nach CAPM" xfId="857" xr:uid="{01D8DF88-F8D8-4774-8E41-0E91620B25D9}"/>
    <cellStyle name="_Row1_Gebühren JP 2013 Stand 2. SV_Stand 13.12.2012_Berechnung CoC nach CAPM_KTR An-Abflug" xfId="858" xr:uid="{4CBB86AB-262E-45A2-AEA6-7A60FAF76A8F}"/>
    <cellStyle name="_Row1_Gebühren JP 2013 Stand 2. SV_Stand 13.12.2012_Berechnung CoC nach CAPM_KTR Strecke" xfId="859" xr:uid="{EA572453-F7F0-437B-AE01-71600FA9AC08}"/>
    <cellStyle name="_Row1_Gebühren JP 2013 Stand 2. SV_Stand 13.12.2012_KTR An-Abflug" xfId="860" xr:uid="{1D0EB3D2-E7D3-48D9-851E-2FC7B2585106}"/>
    <cellStyle name="_Row1_Gebühren JP 2013 Stand 2. SV_Stand 13.12.2012_KTR Strecke" xfId="861" xr:uid="{63F4FD12-3291-418F-A656-30046195607D}"/>
    <cellStyle name="_Row1_Gebühren JP 2013 Stand 2. SV_Stand 13.12.2012_Regulatory AssetBase mit Ist 13" xfId="862" xr:uid="{8B4D80F7-6F8B-41AA-963C-85BCD2E7C7E3}"/>
    <cellStyle name="_Row1_Gebühren JP 2013 Stand 2. SV_Stand 13.12.2012_Regulatory AssetBase mit Ist 13_KTR An-Abflug" xfId="863" xr:uid="{1A9987E2-84F7-4699-A263-A5D3973D81DA}"/>
    <cellStyle name="_Row1_Gebühren JP 2013 Stand 2. SV_Stand 13.12.2012_Regulatory AssetBase mit Ist 13_KTR Strecke" xfId="864" xr:uid="{A9D70657-4BD7-4C5C-A797-A99CAF9C5652}"/>
    <cellStyle name="_Row1_Gebühren JP 2013 Stand 2. SV_Stand 13.12.2012_Tabellarische Darstellung" xfId="865" xr:uid="{EE685E9D-1194-402B-B426-FF8076A9CFD6}"/>
    <cellStyle name="_Row1_Gebühren JP 2013 Stand 2. SV_Stand 13.12.2012_Tabellarische Darstellung_KTR An-Abflug" xfId="866" xr:uid="{660691A1-7263-45D5-B8EE-DCE78A6DD6E0}"/>
    <cellStyle name="_Row1_Gebühren JP 2013 Stand 2. SV_Stand 13.12.2012_Tabellarische Darstellung_KTR Strecke" xfId="867" xr:uid="{63094AA3-AB30-44CD-82CE-AB7DE2E27FD9}"/>
    <cellStyle name="_Row1_Gebührenbilanz - Aufbau" xfId="868" xr:uid="{6A426A8B-B5F6-4BA6-AB07-87E21F471D98}"/>
    <cellStyle name="_Row1_Gebührenbilanz - Aufbau_1" xfId="869" xr:uid="{C2C3DF75-65D2-42BB-A238-9D58823D3C70}"/>
    <cellStyle name="_Row1_Gebührenbilanz - Aufbau_1_Additional information tables" xfId="870" xr:uid="{CDA523DB-349F-46A3-931A-0A80F47B92E8}"/>
    <cellStyle name="_Row1_Gebührenbilanz - Aufbau_1_Berechnung CoC nach CAPM" xfId="871" xr:uid="{9C595590-9205-44EC-A38C-D9AEC0AB0BDA}"/>
    <cellStyle name="_Row1_Gebührenbilanz - Aufbau_1_Berechnung CoC nach CAPM_KTR An-Abflug" xfId="872" xr:uid="{BEC396F8-8902-4AF4-B9EA-E7BB20CC2B19}"/>
    <cellStyle name="_Row1_Gebührenbilanz - Aufbau_1_Berechnung CoC nach CAPM_KTR Strecke" xfId="873" xr:uid="{33C57A06-7C36-47AA-9D8A-1A3A207F7293}"/>
    <cellStyle name="_Row1_Gebührenbilanz - Aufbau_1_KTR An-Abflug" xfId="874" xr:uid="{BEE82A10-8DC6-4CC4-98BE-D2DBE38A9A72}"/>
    <cellStyle name="_Row1_Gebührenbilanz - Aufbau_1_KTR Strecke" xfId="875" xr:uid="{B3C5217B-AD85-434C-BC9D-7B78CD27196A}"/>
    <cellStyle name="_Row1_Gebührenbilanz - Aufbau_1_Regulatory AssetBase mit Ist 13" xfId="876" xr:uid="{F5577ADF-A2A5-468D-B0B3-125C258705B4}"/>
    <cellStyle name="_Row1_Gebührenbilanz - Aufbau_1_Regulatory AssetBase mit Ist 13_KTR An-Abflug" xfId="877" xr:uid="{61CEA9ED-C907-498B-8C2E-E75563F43D29}"/>
    <cellStyle name="_Row1_Gebührenbilanz - Aufbau_1_Regulatory AssetBase mit Ist 13_KTR Strecke" xfId="878" xr:uid="{FE1C78F2-B62A-4AEC-B5A5-B357DEBB4D45}"/>
    <cellStyle name="_Row1_Gebührenbilanz - Aufbau_1_Tabellarische Darstellung" xfId="879" xr:uid="{AFC09826-5E0C-4099-A290-39FF5B7FB464}"/>
    <cellStyle name="_Row1_Gebührenbilanz - Aufbau_1_Tabellarische Darstellung_KTR An-Abflug" xfId="880" xr:uid="{29194D77-71B6-423C-BD5F-758214946C68}"/>
    <cellStyle name="_Row1_Gebührenbilanz - Aufbau_1_Tabellarische Darstellung_KTR Strecke" xfId="881" xr:uid="{E316CF55-D5F0-4FD5-9EFA-F536F28271CF}"/>
    <cellStyle name="_Row1_Gebührenbilanz - Aufbau_BAV" xfId="882" xr:uid="{A5872528-91E6-4A58-8C66-7BAE1D115F81}"/>
    <cellStyle name="_Row1_Gebührenbilanz - Aufbau_Enroute" xfId="883" xr:uid="{2B4069FC-7233-4BA6-8E4C-6DCE04D84904}"/>
    <cellStyle name="_Row1_Gebührenbilanz - Aufbau_KTR An-Abflug" xfId="884" xr:uid="{68F31689-29EA-49A7-AD80-F41F391438BD}"/>
    <cellStyle name="_Row1_Gebührenbilanz - Aufbau_KTR Strecke" xfId="885" xr:uid="{BEB0997F-D3D2-42C9-975F-95D3170C2B71}"/>
    <cellStyle name="_Row1_Gesamtbilanz " xfId="886" xr:uid="{44034E09-0770-4C40-AD23-3BD1D0DEBEE8}"/>
    <cellStyle name="_Row1_Hamburg" xfId="887" xr:uid="{56FE1BE6-6011-478C-AFD4-CB93CBC937C0}"/>
    <cellStyle name="_Row1_Hannover" xfId="888" xr:uid="{A646E8EF-54F5-49B2-B3E8-3841DFACB5FA}"/>
    <cellStyle name="_Row1_KTR An-Abflug" xfId="889" xr:uid="{F269408E-FD5D-43B4-86C4-8C5C4E2E6DAB}"/>
    <cellStyle name="_Row1_KTR An-Abflug_BAV" xfId="890" xr:uid="{4F264A71-493D-4118-9D56-3C75BA1C3586}"/>
    <cellStyle name="_Row1_KTR An-Abflug_Enroute" xfId="891" xr:uid="{772E6261-C2F5-45E9-AF82-52B350076E4C}"/>
    <cellStyle name="_Row1_KTR An-Abflug_KTR An-Abflug" xfId="892" xr:uid="{FFDCEFBA-D901-46CE-B1B8-3B213182441B}"/>
    <cellStyle name="_Row1_KTR An-Abflug_KTR Strecke" xfId="893" xr:uid="{7AE13CAA-D6E4-4B6B-8B4B-F7C3CCC8E31D}"/>
    <cellStyle name="_Row1_KTR Strecke" xfId="894" xr:uid="{C1372598-FFB0-4B54-ACB1-39CD249FD6F7}"/>
    <cellStyle name="_Row1_KTR Strecke_KTR An-Abflug" xfId="895" xr:uid="{57D58234-678A-4720-BFAF-D9D20906A91C}"/>
    <cellStyle name="_Row1_KTR Strecke_KTR Strecke" xfId="896" xr:uid="{8E104E81-F10A-4089-9038-1904494BE4CC}"/>
    <cellStyle name="_Row1_Leipzig" xfId="897" xr:uid="{3AC0C2D1-B397-4101-9057-986349736436}"/>
    <cellStyle name="_Row1_Münster Osnabrück" xfId="898" xr:uid="{2DF8B69B-4124-43F2-A258-80D5D64E5268}"/>
    <cellStyle name="_Row1_Nürnberg" xfId="899" xr:uid="{7F5575E0-C97E-4062-AA44-99964502444A}"/>
    <cellStyle name="_Row1_Saarbrücken" xfId="900" xr:uid="{6A41E3DD-A0FF-44C1-84E9-5B44A55EE9DE}"/>
    <cellStyle name="_Row1_Schlüssel BNV" xfId="901" xr:uid="{634F0DC0-8C6D-4158-B3E0-76E31842C94B}"/>
    <cellStyle name="_Row1_Schlüssel BNV_Additional information tables" xfId="902" xr:uid="{A94F3332-6591-4D65-B97B-2CD8E97FA93F}"/>
    <cellStyle name="_Row1_Schlüssel BNV_Berechnung CoC nach CAPM" xfId="903" xr:uid="{FAEF47CA-DD4D-439B-9214-C29183C3C463}"/>
    <cellStyle name="_Row1_Schlüssel BNV_Berechnung CoC nach CAPM_KTR An-Abflug" xfId="904" xr:uid="{ED821728-AB53-43CA-ABE8-AD57F57E5B77}"/>
    <cellStyle name="_Row1_Schlüssel BNV_Berechnung CoC nach CAPM_KTR Strecke" xfId="905" xr:uid="{927B66BE-710F-4402-AC3F-63B380AAE866}"/>
    <cellStyle name="_Row1_Schlüssel BNV_KTR An-Abflug" xfId="906" xr:uid="{72149BC9-FF5F-47EE-B9D5-28DFB77CAEA9}"/>
    <cellStyle name="_Row1_Schlüssel BNV_KTR Strecke" xfId="907" xr:uid="{64149FAA-9D92-44CE-931B-E2DB7F207E2C}"/>
    <cellStyle name="_Row1_Schlüssel BNV_Regulatory AssetBase mit Ist 13" xfId="908" xr:uid="{554B0244-2F47-40FA-BDD7-D6AC6AFBA064}"/>
    <cellStyle name="_Row1_Schlüssel BNV_Regulatory AssetBase mit Ist 13_KTR An-Abflug" xfId="909" xr:uid="{FD36280E-AA4C-4AC8-A5F6-96645A83CCF6}"/>
    <cellStyle name="_Row1_Schlüssel BNV_Regulatory AssetBase mit Ist 13_KTR Strecke" xfId="910" xr:uid="{8ECDA578-8643-485E-9571-8401E955B1BA}"/>
    <cellStyle name="_Row1_Schlüssel BNV_Tabellarische Darstellung" xfId="911" xr:uid="{0CA0C952-111F-478C-B4F0-7563BB638F0F}"/>
    <cellStyle name="_Row1_Schlüssel BNV_Tabellarische Darstellung_KTR An-Abflug" xfId="912" xr:uid="{FAF32420-C497-49C8-A20C-003A9895DECF}"/>
    <cellStyle name="_Row1_Schlüssel BNV_Tabellarische Darstellung_KTR Strecke" xfId="913" xr:uid="{DA77FC50-8C13-41E6-971F-7BC32E0C2429}"/>
    <cellStyle name="_Row1_Stuttgart" xfId="914" xr:uid="{F30941B0-C33C-4415-B45B-40E2950B2206}"/>
    <cellStyle name="_Row1_Tabelle2" xfId="915" xr:uid="{EDB75BD0-C022-4E5F-B682-FFDAB6B25074}"/>
    <cellStyle name="_Row1_Table 1 ANSP" xfId="916" xr:uid="{5A1EEB06-AD3D-44B5-9E7D-BAD87C90D64F}"/>
    <cellStyle name="_Row1_TABLE 2" xfId="917" xr:uid="{7932F3CF-611B-49DA-8C94-2BBBB828B02F}"/>
    <cellStyle name="_Row1_TABLE 2 DFS" xfId="918" xr:uid="{5E6CA875-623B-447C-AE7F-F0C4C8598B43}"/>
    <cellStyle name="_Row1_TWR TXL_BER" xfId="919" xr:uid="{C58C87FB-302C-40CE-BC87-789638C1CCEF}"/>
    <cellStyle name="_Row1_TWR TXL_BER_Berlin BBI 2" xfId="920" xr:uid="{0FB064C8-23D1-47A8-9607-C6F75EAAFBFD}"/>
    <cellStyle name="_Row1_TWR TXL_BER_Bremen 2" xfId="921" xr:uid="{B6998EDB-FFB2-476D-AFDC-183BCEB4FEAB}"/>
    <cellStyle name="_Row1_TWR TXL_BER_Dresden2" xfId="922" xr:uid="{B6222868-E01D-4712-A80B-B4749563C180}"/>
    <cellStyle name="_Row1_TWR TXL_BER_Düsseldorf  2" xfId="923" xr:uid="{2EE2D8EA-BFBF-464C-9A3D-EFB7E1803ABE}"/>
    <cellStyle name="_Row1_TWR TXL_BER_Erfurt 2" xfId="924" xr:uid="{206984D5-AF62-4ECD-94EC-83918C147CF7}"/>
    <cellStyle name="_Row1_TWR TXL_BER_Frankfurt 2" xfId="925" xr:uid="{12797D96-81DA-47AE-99AD-C8B1E97BAC23}"/>
    <cellStyle name="_Row1_TWR TXL_BER_Hamburg 2" xfId="926" xr:uid="{EC1F3100-1458-41B5-9B6C-9BDFA32A0BAE}"/>
    <cellStyle name="_Row1_TWR TXL_BER_Hannover 2" xfId="927" xr:uid="{0779ADC8-203F-4E73-BC94-AAD36EFB4FDD}"/>
    <cellStyle name="_Row1_TWR TXL_BER_Köln Bonn 2" xfId="928" xr:uid="{405FCC2F-3FED-4958-A381-4157384D6C36}"/>
    <cellStyle name="_Row1_TWR TXL_BER_Leipzig 2" xfId="929" xr:uid="{69FDF448-2C0F-4EA9-8F8C-9572A75044E5}"/>
    <cellStyle name="_Row1_TWR TXL_BER_München 2" xfId="930" xr:uid="{D88785A5-10DA-4656-9934-70150B883CAE}"/>
    <cellStyle name="_Row1_TWR TXL_BER_Münster 2" xfId="931" xr:uid="{BFC82BF8-DD4C-4FFF-8B3C-78BBF6B4E7D1}"/>
    <cellStyle name="_Row1_TWR TXL_BER_Nürnberg 2" xfId="932" xr:uid="{76DE83F2-EADF-470A-93B6-FB823D034D07}"/>
    <cellStyle name="_Row1_TWR TXL_BER_Saarbrücken 2" xfId="933" xr:uid="{1AEEF84B-C1FD-400C-8530-A4576EABDB91}"/>
    <cellStyle name="_Row1_TWR TXL_BER_Stuttgart 2" xfId="934" xr:uid="{09555004-A4AC-4C0B-A18C-210C684A2708}"/>
    <cellStyle name="_Row1_Übersicht Modelle" xfId="935" xr:uid="{9FE0C1F7-2B9E-4802-BC56-47080147297D}"/>
    <cellStyle name="_Row1_Übersicht Modelle_Additional information tables" xfId="936" xr:uid="{34870B92-CE1C-4065-AA8D-82459B1EBEBD}"/>
    <cellStyle name="_Row1_Übersicht Modelle_Berechnung CoC nach CAPM" xfId="937" xr:uid="{EF539F65-9030-4995-BFCE-5A6101ACBE76}"/>
    <cellStyle name="_Row1_Übersicht Modelle_Berechnung CoC nach CAPM_KTR An-Abflug" xfId="938" xr:uid="{25166163-A7B7-40EA-A7CD-E78BE0E88A13}"/>
    <cellStyle name="_Row1_Übersicht Modelle_Berechnung CoC nach CAPM_KTR Strecke" xfId="939" xr:uid="{EC085874-BE19-4129-AB2C-EDB089483E96}"/>
    <cellStyle name="_Row1_Übersicht Modelle_KTR An-Abflug" xfId="940" xr:uid="{19EE438E-F823-479D-924E-EBC54D504FD2}"/>
    <cellStyle name="_Row1_Übersicht Modelle_KTR Strecke" xfId="941" xr:uid="{B47116ED-C976-400E-95EA-708707AA084D}"/>
    <cellStyle name="_Row1_Übersicht Modelle_Regulatory AssetBase mit Ist 13" xfId="942" xr:uid="{4FF9E6DB-A82A-452F-A78C-B3F2C8706AD7}"/>
    <cellStyle name="_Row1_Übersicht Modelle_Regulatory AssetBase mit Ist 13_KTR An-Abflug" xfId="943" xr:uid="{F85A0600-DB51-4C56-8233-5E96623D3A78}"/>
    <cellStyle name="_Row1_Übersicht Modelle_Regulatory AssetBase mit Ist 13_KTR Strecke" xfId="944" xr:uid="{D28390E9-74CF-4704-996A-E43F339DC069}"/>
    <cellStyle name="_Row1_Übersicht Modelle_Tabellarische Darstellung" xfId="945" xr:uid="{F0442383-435C-4269-8A40-1AECEEA0CFF3}"/>
    <cellStyle name="_Row1_Übersicht Modelle_Tabellarische Darstellung_KTR An-Abflug" xfId="946" xr:uid="{8F508E88-16D9-494A-B7F3-12CF6E0A9FF3}"/>
    <cellStyle name="_Row1_Übersicht Modelle_Tabellarische Darstellung_KTR Strecke" xfId="947" xr:uid="{32033E37-DD49-4E5A-B7D6-1510616DE147}"/>
    <cellStyle name="_Row1_Werte aktualisieren" xfId="948" xr:uid="{1C488DCE-3F95-4D40-8507-8D0F91068490}"/>
    <cellStyle name="_Row1_Zsfssg" xfId="949" xr:uid="{C022705B-B3F3-4EA3-A41D-32CAE8C4717F}"/>
    <cellStyle name="_Row2" xfId="950" xr:uid="{09365A8B-4E69-4AB9-BA1F-D71D0FF04636}"/>
    <cellStyle name="_Row2_Aufteilung TWR-Standorte_2010" xfId="951" xr:uid="{081403A2-A4C7-42BC-BE29-30AE832A70FE}"/>
    <cellStyle name="_Row2_Brücke" xfId="952" xr:uid="{C4F76B89-F52B-46E3-A3FC-491D7C8B896C}"/>
    <cellStyle name="_Row2_Bruecke" xfId="953" xr:uid="{B99414D6-8C28-4733-87FA-1ED75337A927}"/>
    <cellStyle name="_Row2_DB_Bereich" xfId="954" xr:uid="{65E548EE-26E7-40EB-AC1A-CA2A02CCC725}"/>
    <cellStyle name="_Row2_Ek Preisfinanziert" xfId="955" xr:uid="{4D649B9F-8843-43FA-AB4F-7A3FE32E74B9}"/>
    <cellStyle name="_Row2_Ermittlung Überdeckung-vorl JA" xfId="956" xr:uid="{8AFD72D8-C2C2-40D2-B708-FB73027DEFCB}"/>
    <cellStyle name="_Row2_Gebührenbilanz - Aufbau" xfId="957" xr:uid="{7A80907A-53DB-4FA3-A5E1-6131CFFCC571}"/>
    <cellStyle name="_Row2_KER" xfId="958" xr:uid="{28C9FB1B-0E86-4974-8F7C-4A6ACA0874C2}"/>
    <cellStyle name="_Row2_KER-2007-Überdeckung mit ALEA-mit KTR-Kosten-Herleitung (feste Werte)" xfId="959" xr:uid="{55AA73B4-1315-447C-866D-C607BAEFDF7A}"/>
    <cellStyle name="_Row2_KER-2011-Überdeckung mit ALEA-mit KTR-Kosten" xfId="960" xr:uid="{395F5CEC-93A6-4F05-917E-186395D300B6}"/>
    <cellStyle name="_Row2_MIS_DFS1" xfId="961" xr:uid="{3C7357B1-4F82-40C9-86A8-E323311DDF36}"/>
    <cellStyle name="_Row2_MIS_DFS2" xfId="962" xr:uid="{94A2AB1A-31AE-4A87-80E4-3155673F8F07}"/>
    <cellStyle name="_Row2_Tabelle1" xfId="963" xr:uid="{BA48986F-9C87-4026-8203-70F0271157C2}"/>
    <cellStyle name="_Row2_TWR TXL_BER" xfId="964" xr:uid="{06C7F870-7124-4DEF-BEF1-3BFD907454EF}"/>
    <cellStyle name="_Row2_Überleitung ins EU-Berichtswesen" xfId="965" xr:uid="{26B7CBD4-2555-47BF-8DB6-CFCAD88DADD6}"/>
    <cellStyle name="_Row3" xfId="966" xr:uid="{980AD4A7-CD88-4D93-AF4B-4E5C2105E7C9}"/>
    <cellStyle name="_Row3_Aufteilung TWR-Standorte_2010" xfId="967" xr:uid="{DD241301-D645-4ACF-83B0-344E6989925C}"/>
    <cellStyle name="_Row3_Brücke" xfId="968" xr:uid="{C6D40682-7CAC-4268-8A1C-73604BDCA4D9}"/>
    <cellStyle name="_Row3_Bruecke" xfId="969" xr:uid="{4DFDFC97-D2CF-4D37-A266-F088E026E665}"/>
    <cellStyle name="_Row3_DB_Bereich" xfId="970" xr:uid="{0D7C95C8-4E3E-43A4-A956-A3DD3381D213}"/>
    <cellStyle name="_Row3_Ek Preisfinanziert" xfId="971" xr:uid="{EBD93FB9-12F4-4054-BFDF-54C22270A8BB}"/>
    <cellStyle name="_Row3_Ermittlung Überdeckung-vorl JA" xfId="972" xr:uid="{9DAD7DBF-E290-46B0-93C2-D93D6B867A6C}"/>
    <cellStyle name="_Row3_Gebührenbilanz - Aufbau" xfId="973" xr:uid="{300594F9-FAAC-47D6-963D-B03B19005444}"/>
    <cellStyle name="_Row3_KER" xfId="974" xr:uid="{DBC384B5-F733-4A46-9F93-DC717C80D0A8}"/>
    <cellStyle name="_Row3_KER-2007-Überdeckung mit ALEA-mit KTR-Kosten-Herleitung (feste Werte)" xfId="975" xr:uid="{D5E4C339-AD68-4B38-BCB2-0DC96A9A8B03}"/>
    <cellStyle name="_Row3_KER-2011-Überdeckung mit ALEA-mit KTR-Kosten" xfId="976" xr:uid="{5D806ECB-51E7-473B-B36A-6AD2C45238E0}"/>
    <cellStyle name="_Row3_MIS_DFS1" xfId="977" xr:uid="{667EA3FC-4025-4EFC-B2B1-4ECDE92E3456}"/>
    <cellStyle name="_Row3_MIS_DFS2" xfId="978" xr:uid="{93DFB995-7AE9-4648-B333-325FB2F5318F}"/>
    <cellStyle name="_Row3_Tabelle1" xfId="979" xr:uid="{FFE6DDFD-16DB-4130-B2DD-46FD58AC359A}"/>
    <cellStyle name="_Row3_TWR TXL_BER" xfId="980" xr:uid="{8DE35A96-F1DB-4005-AFF7-BEEB235855CE}"/>
    <cellStyle name="_Row3_Überleitung ins EU-Berichtswesen" xfId="981" xr:uid="{285F95D4-9194-4799-9FC9-F50DE00D5BB0}"/>
    <cellStyle name="_Row4" xfId="982" xr:uid="{8B0A7DAA-F4A0-452F-814E-2CEBF5FBD0D3}"/>
    <cellStyle name="_Row4_TWR TXL_BER" xfId="983" xr:uid="{65139D4D-D0CB-45DE-AB6D-38348C4B0C17}"/>
    <cellStyle name="_Row5" xfId="984" xr:uid="{433F72F5-32BF-45DD-86F0-AC0F68B917C0}"/>
    <cellStyle name="_Row5_Aufteilung TWR-Standorte_2010" xfId="985" xr:uid="{3654DA80-641A-410E-B68A-4359FAB8ECC4}"/>
    <cellStyle name="_Row5_Brücke" xfId="986" xr:uid="{F45C30E6-476B-49CE-9933-4A36ABB1F7FE}"/>
    <cellStyle name="_Row5_Bruecke" xfId="987" xr:uid="{700DC7E5-DC2B-498D-B098-225E7F7BD183}"/>
    <cellStyle name="_Row5_DB_Bereich" xfId="988" xr:uid="{5E5278F7-6089-4F03-88E6-0A993CAB34D8}"/>
    <cellStyle name="_Row5_Ek Preisfinanziert" xfId="989" xr:uid="{19011A31-4535-42DD-BAAB-11A553457E75}"/>
    <cellStyle name="_Row5_Ermittlung Überdeckung-vorl JA" xfId="990" xr:uid="{425EB600-B0D8-4D48-B163-C464C60CAC02}"/>
    <cellStyle name="_Row5_Gebührenbilanz - Aufbau" xfId="991" xr:uid="{638DEEF2-45EE-44FD-A374-DEA13DD28067}"/>
    <cellStyle name="_Row5_KER" xfId="992" xr:uid="{DB1041D1-4E24-4A7E-8096-010037A6FBA1}"/>
    <cellStyle name="_Row5_KER-2007-Überdeckung mit ALEA-mit KTR-Kosten-Herleitung (feste Werte)" xfId="993" xr:uid="{15789CC7-7103-46F1-A759-D9CEC8CE86CF}"/>
    <cellStyle name="_Row5_KER-2011-Überdeckung mit ALEA-mit KTR-Kosten" xfId="994" xr:uid="{585520CD-1E0C-4805-A992-DC72E7CB86B8}"/>
    <cellStyle name="_Row5_MIS_DFS1" xfId="995" xr:uid="{24175031-BBDD-455A-B276-51F122360FA9}"/>
    <cellStyle name="_Row5_MIS_DFS2" xfId="996" xr:uid="{7169CAC5-940A-4839-B376-65D13C289D20}"/>
    <cellStyle name="_Row5_Tabelle1" xfId="997" xr:uid="{004DF86A-18D1-44DC-B519-F8FC28A49D93}"/>
    <cellStyle name="_Row5_TWR TXL_BER" xfId="998" xr:uid="{04666827-455C-45C4-B9A0-4B0335C549A6}"/>
    <cellStyle name="_Row5_Überleitung ins EU-Berichtswesen" xfId="999" xr:uid="{E175EC35-B87B-4773-8F49-6938F76CF485}"/>
    <cellStyle name="_Row6" xfId="1000" xr:uid="{80ED4CA0-3152-49DD-8A43-D976036EF92B}"/>
    <cellStyle name="_Row6_Aufteilung TWR-Standorte_2010" xfId="1001" xr:uid="{C5070F2E-4EC3-4106-AE02-183BC1F00B5B}"/>
    <cellStyle name="_Row6_Brücke" xfId="1002" xr:uid="{D7B39FE1-AB90-4778-A93E-98FA0D0ADE80}"/>
    <cellStyle name="_Row6_Bruecke" xfId="1003" xr:uid="{FFD58B8B-E088-4812-8B95-D9B32A80C180}"/>
    <cellStyle name="_Row6_DB_Bereich" xfId="1004" xr:uid="{BBFCAB7B-FCAE-42EE-B2EE-9C956B6AEEC7}"/>
    <cellStyle name="_Row6_Ek Preisfinanziert" xfId="1005" xr:uid="{F34353B8-1C5A-4CB1-8F51-2E8707867169}"/>
    <cellStyle name="_Row6_Ermittlung Überdeckung-vorl JA" xfId="1006" xr:uid="{2EDD115B-5FA8-4911-81ED-41B5733F0513}"/>
    <cellStyle name="_Row6_Gebührenbilanz - Aufbau" xfId="1007" xr:uid="{80D56FA0-FC6C-4EDB-B47B-461BA8B24DF9}"/>
    <cellStyle name="_Row6_KER" xfId="1008" xr:uid="{161C03E9-2E29-49E4-B750-9596EC9EBD36}"/>
    <cellStyle name="_Row6_KER-2007-Überdeckung mit ALEA-mit KTR-Kosten-Herleitung (feste Werte)" xfId="1009" xr:uid="{A7A75BD9-EF5A-4EE3-9568-0FA2C00771BC}"/>
    <cellStyle name="_Row6_KER-2011-Überdeckung mit ALEA-mit KTR-Kosten" xfId="1010" xr:uid="{CDD6D0A9-529F-4DC8-B217-61052044EA72}"/>
    <cellStyle name="_Row6_MIS_DFS1" xfId="1011" xr:uid="{35611EBA-980B-41CB-8407-C772AA81BEFE}"/>
    <cellStyle name="_Row6_MIS_DFS2" xfId="1012" xr:uid="{B37FCBC1-B9A3-447D-820A-16498C9B3CAD}"/>
    <cellStyle name="_Row6_Tabelle1" xfId="1013" xr:uid="{F33F02CD-C5E6-45A1-A4E8-9CF34470253A}"/>
    <cellStyle name="_Row6_TWR TXL_BER" xfId="1014" xr:uid="{B53EB861-AEB5-4D43-8769-328541C31858}"/>
    <cellStyle name="_Row6_Überleitung ins EU-Berichtswesen" xfId="1015" xr:uid="{C6220993-F09D-4453-904F-1D164D7B8B83}"/>
    <cellStyle name="_Row7" xfId="1016" xr:uid="{F390894B-A476-4FE7-A4F0-4DEC9F1435A4}"/>
    <cellStyle name="_Row7_Aufteilung TWR-Standorte_2010" xfId="1017" xr:uid="{2F68A4E1-BFF2-4DA3-911A-9F4B35330400}"/>
    <cellStyle name="_Row7_Brücke" xfId="1018" xr:uid="{69522338-3102-4268-BCAE-30BE98054E1B}"/>
    <cellStyle name="_Row7_Bruecke" xfId="1019" xr:uid="{47446297-6F5D-4A19-B95E-C2C6E536644F}"/>
    <cellStyle name="_Row7_DB_Bereich" xfId="1020" xr:uid="{4DB88057-D253-43CD-BD1F-BA8B8A9C049C}"/>
    <cellStyle name="_Row7_Ek Preisfinanziert" xfId="1021" xr:uid="{44E9ECAB-BE6C-43D4-BFA6-1431769BF116}"/>
    <cellStyle name="_Row7_Ermittlung Überdeckung-vorl JA" xfId="1022" xr:uid="{3C4FBAED-5D0A-46DB-B6A2-76FC1B550C8E}"/>
    <cellStyle name="_Row7_Gebührenbilanz - Aufbau" xfId="1023" xr:uid="{A95C0831-3A78-403A-A4A8-06F3B2939569}"/>
    <cellStyle name="_Row7_KER" xfId="1024" xr:uid="{BA66CA50-DDB5-49A8-9208-87485B376691}"/>
    <cellStyle name="_Row7_KER-2007-Überdeckung mit ALEA-mit KTR-Kosten-Herleitung (feste Werte)" xfId="1025" xr:uid="{6C819159-F846-430C-9C87-2ABA67A54638}"/>
    <cellStyle name="_Row7_KER-2011-Überdeckung mit ALEA-mit KTR-Kosten" xfId="1026" xr:uid="{B0EEB514-6909-4759-A0BE-3A3581F87AEA}"/>
    <cellStyle name="_Row7_MIS_DFS1" xfId="1027" xr:uid="{18C0015B-23A5-49EA-BCA0-2C3A14667776}"/>
    <cellStyle name="_Row7_MIS_DFS2" xfId="1028" xr:uid="{AFD8C0AF-1FC2-4146-A4C7-195C6D1D39CA}"/>
    <cellStyle name="_Row7_Tabelle1" xfId="1029" xr:uid="{D4F15217-9834-4F60-8B99-89BEE9BC7276}"/>
    <cellStyle name="_Row7_TWR TXL_BER" xfId="1030" xr:uid="{31968C4D-CF45-4AD3-BA97-AD3A22DFEE03}"/>
    <cellStyle name="_Row7_Überleitung ins EU-Berichtswesen" xfId="1031" xr:uid="{1F86ACB3-EB38-4CB6-95A8-4B402615243E}"/>
    <cellStyle name="_Sanofi - Gestion Serveurs et Reseau v3 12 10 05" xfId="1032" xr:uid="{DD98DAF2-9ECA-4723-A363-0B3FADD42F50}"/>
    <cellStyle name="_Sanofi - Gestion Serveurs et Reseau v3 12 10 05 2" xfId="1033" xr:uid="{D4E829C2-702B-44C5-AE83-7C6C8B09032B}"/>
    <cellStyle name="_Sanofi - Gestion Serveurs et Reseau v3 12 10 05 3" xfId="1034" xr:uid="{2FB65F90-B6FA-4836-98D7-37A8F546D021}"/>
    <cellStyle name="_Schéma de gage des ouvertures LFR Printemps envoi cab (3)" xfId="1035" xr:uid="{62631938-699E-4D4D-ABB6-AA7C982F0F79}"/>
    <cellStyle name="_SNTHESE - DEFINITIF 13 avril" xfId="1036" xr:uid="{E6572CD4-C7E0-42B7-BA39-96D35966CE05}"/>
    <cellStyle name="_SNTHESE - DEFINITIF 13 avril_PLF 2012 - MCC - Arbitrages" xfId="1037" xr:uid="{20B00836-7D21-4B2D-89A0-C49CABFEFC6D}"/>
    <cellStyle name="_Sous Jacents FAM et ODEADOM" xfId="1038" xr:uid="{F3BE23AD-53F1-45B7-8D47-FC5416B9B522}"/>
    <cellStyle name="_SQ01" xfId="1039" xr:uid="{1473EEA7-1DBE-4793-91D5-3576458093E5}"/>
    <cellStyle name="_SQ01 2" xfId="1040" xr:uid="{549059DC-5F38-48C8-8B56-69055324699C}"/>
    <cellStyle name="_SQ01_01.P614_DTA JPE 2014_V2-bis" xfId="1041" xr:uid="{C6A82691-FF7A-4009-9749-61D2D4F6BE0E}"/>
    <cellStyle name="_SQ01_01.P614_DTA JPE 2014_V2-bis 2" xfId="1042" xr:uid="{00C3E601-3E95-48D6-BB08-7AA7F69DA560}"/>
    <cellStyle name="_SQ01_2013 03 05 ANNEXES circulaire sécurisation" xfId="1043" xr:uid="{5A584238-6DFE-44BA-9CE8-0EA74D04F275}"/>
    <cellStyle name="_SQ01_2013 03 05 arbitrages PLF 2014" xfId="1044" xr:uid="{2AC17A22-2B12-4945-9A24-66717C9D2514}"/>
    <cellStyle name="_SQ01_annexe5_arbitrage_OPE" xfId="1045" xr:uid="{19C8F621-1465-4084-BA7B-DF1B4E5410BC}"/>
    <cellStyle name="_SQ01_annexe5_circ_OPE (2)" xfId="1046" xr:uid="{569B2607-087C-4072-BDF2-1E343503E6BB}"/>
    <cellStyle name="_SQ01_Classeur3" xfId="1047" xr:uid="{9918D05C-51A3-49A8-87F9-D633156A0B9F}"/>
    <cellStyle name="_SQ01_Classeur4" xfId="1048" xr:uid="{16DD5020-06F8-4BF8-A0E4-E46A3F410933}"/>
    <cellStyle name="_SQ01_Classeur5" xfId="1049" xr:uid="{09FC32BC-F506-4E40-85FB-676D9C8F574D}"/>
    <cellStyle name="_SQ01_Classeur6" xfId="1050" xr:uid="{F83D8936-A874-4009-9E70-F5EEA2974E57}"/>
    <cellStyle name="_SQ01_Classeur7" xfId="1051" xr:uid="{D8EAA424-E0BE-4DB5-93D1-A101FF03B138}"/>
    <cellStyle name="_SQ01_Dépenses par titre et par action JPE2014" xfId="1052" xr:uid="{87ECCDAF-5004-4D44-836A-83EA8FAC03EF}"/>
    <cellStyle name="_SQ01_M-08_triennal_DSNA" xfId="1053" xr:uid="{69AC92B6-564E-4B6E-B55A-796A8290AF29}"/>
    <cellStyle name="_SQ01_MEDDE - dossier arbitrage PLF 2013-2015 arbitrage v1" xfId="1054" xr:uid="{8EB33DE7-4033-4655-8BF5-8D73D0EB6880}"/>
    <cellStyle name="_SQ01_OPE_CAS pension_05juil_18h" xfId="1055" xr:uid="{C546DD23-D755-49F4-ACEF-0389EBF1D9DE}"/>
    <cellStyle name="_SQ01_PLF 2012 - MCC - Arbitrages" xfId="1056" xr:uid="{B8964D23-449E-4154-A4DA-5272713733E0}"/>
    <cellStyle name="_SQ01_Synthèse_CAS_Pensions_17juil_22h30" xfId="1057" xr:uid="{2873FE26-ACC5-4520-A977-876984F67497}"/>
    <cellStyle name="_SQ01_Synthèse_CAS_Pensions_29juin_19h" xfId="1058" xr:uid="{BDDA3EA1-D484-4B47-A2D6-53F3BD198D54}"/>
    <cellStyle name="_SQ01_Synthèse_CAS_Pensions_30juil_11h" xfId="1059" xr:uid="{D446CC7E-28B5-4446-82B8-F90993EE8ABF}"/>
    <cellStyle name="_Squelette PMT 22-02" xfId="1060" xr:uid="{6F354579-950C-41DD-81C6-FD87AED5345F}"/>
    <cellStyle name="_Squelette PMT 22-02 2" xfId="1061" xr:uid="{BF9F22EE-8984-4507-BF04-553F6E5A4871}"/>
    <cellStyle name="_Squelette PMT 22-02_01.P614_DTA JPE 2014_V2-bis" xfId="1062" xr:uid="{9E039FF4-D6E8-4329-8E6B-18ADC248D756}"/>
    <cellStyle name="_Squelette PMT 22-02_01.P614_DTA JPE 2014_V2-bis 2" xfId="1063" xr:uid="{07EA86D7-E863-44B4-8D11-9D95DD5CED04}"/>
    <cellStyle name="_Squelette PMT 22-02_2013 03 05 ANNEXES circulaire sécurisation" xfId="1064" xr:uid="{F3FCE7E8-6E4D-4C0B-B392-87D31F893231}"/>
    <cellStyle name="_Squelette PMT 22-02_2013 03 05 arbitrages PLF 2014" xfId="1065" xr:uid="{A9799388-CA4D-40BB-B5AC-C4F7A7E701FC}"/>
    <cellStyle name="_Squelette PMT 22-02_annexe5_arbitrage_OPE" xfId="1066" xr:uid="{0D94F876-4F38-4BBD-9FE2-587AAC15503B}"/>
    <cellStyle name="_Squelette PMT 22-02_annexe5_circ_OPE (2)" xfId="1067" xr:uid="{5A524E37-EAF7-4412-95B0-699C98166D97}"/>
    <cellStyle name="_Squelette PMT 22-02_Dépenses par titre et par action JPE2014" xfId="1068" xr:uid="{DF2A30DB-C880-4F81-A1FE-B42673E84229}"/>
    <cellStyle name="_Squelette PMT 22-02_M-08_triennal_DSNA" xfId="1069" xr:uid="{BAE625EF-3D67-4768-989D-3012237ED918}"/>
    <cellStyle name="_Squelette PMT 22-02_MEDDE - dossier arbitrage PLF 2013-2015 arbitrage v1" xfId="1070" xr:uid="{04EDF72F-75BE-4C1F-AD7C-A1DD577DB3DB}"/>
    <cellStyle name="_Squelette PMT 22-02_OPE_CAS pension_05juil_18h" xfId="1071" xr:uid="{670C7B1F-6ED4-433E-9849-542C9A2F1613}"/>
    <cellStyle name="_Squelette PMT 22-02_Synthèse_CAS_Pensions_17juil_22h30" xfId="1072" xr:uid="{103D70BD-96E6-4B45-A2E3-19A1E3AFACF1}"/>
    <cellStyle name="_Squelette PMT 22-02_Synthèse_CAS_Pensions_29juin_19h" xfId="1073" xr:uid="{4B94AEE4-588F-4DB9-8A12-EEAE372CA5B9}"/>
    <cellStyle name="_Squelette PMT 22-02_Synthèse_CAS_Pensions_30juil_11h" xfId="1074" xr:uid="{54CDF681-DF09-4582-80F3-30140C80090F}"/>
    <cellStyle name="_SUIVI REPARTITION 09-14" xfId="1075" xr:uid="{74FEFB0D-5435-4BEF-9D7D-3114E3C7BD43}"/>
    <cellStyle name="_SYNTHESE - DEFINITIF 13 avril" xfId="1076" xr:uid="{9078269D-3CF2-4CA2-A47F-2583CE5470F8}"/>
    <cellStyle name="_SYNTHESE - DEFINITIF 13 avril_PLF 2012 - MCC - Arbitrages" xfId="1077" xr:uid="{5669354F-7EDB-4C00-8D52-162B13011CF6}"/>
    <cellStyle name="_synthèse APAFAR conférences budgétisation V5" xfId="1078" xr:uid="{1DFC284D-EC4B-427D-AABF-9CA26BB19B08}"/>
    <cellStyle name="_Synthèse Travail et emploi v3" xfId="1079" xr:uid="{83CEA1EA-71C5-4EFA-90CD-E279DD9777BB}"/>
    <cellStyle name="_Synthèse Travail et emploi v4" xfId="1080" xr:uid="{4BF74DA5-6225-4033-A663-7A8536B65406}"/>
    <cellStyle name="_Synthèse_PMT_Emplois_23mars2012_17h16" xfId="1081" xr:uid="{FF1D96BC-1451-45D1-A6C9-C9A84108450B}"/>
    <cellStyle name="_Synthèses_missions (10) (2)" xfId="1082" xr:uid="{FA8A7ACD-C7F2-4377-A124-4C6745661442}"/>
    <cellStyle name="_Synthèses_missions (10) (2) 2" xfId="1083" xr:uid="{27CD1A02-E0DB-48B7-AEEC-B2D17F98F183}"/>
    <cellStyle name="_Synthèses_missions (10) (2)_01.P614_DTA JPE 2014_V2-bis" xfId="1084" xr:uid="{AD4A73B2-4520-4F16-8429-F2ECCD5A95B7}"/>
    <cellStyle name="_Synthèses_missions (10) (2)_01.P614_DTA JPE 2014_V2-bis 2" xfId="1085" xr:uid="{53A57A4D-1974-49D4-8229-D53D9684806B}"/>
    <cellStyle name="_Synthèses_missions (10) (2)_2013 03 05 ANNEXES circulaire sécurisation" xfId="1086" xr:uid="{35BD3009-D726-4838-B40E-8401D0CA9506}"/>
    <cellStyle name="_Synthèses_missions (10) (2)_2013 03 05 arbitrages PLF 2014" xfId="1087" xr:uid="{115543B1-5C49-4BE2-9717-14E866CB9E0F}"/>
    <cellStyle name="_Synthèses_missions (10) (2)_annexe5_arbitrage_OPE" xfId="1088" xr:uid="{F49CED7A-C8A4-46E9-AB5A-B400DC1DA53E}"/>
    <cellStyle name="_Synthèses_missions (10) (2)_annexe5_circ_OPE (2)" xfId="1089" xr:uid="{15C6D8AF-32B8-44F8-8639-0D49B0AEE11B}"/>
    <cellStyle name="_Synthèses_missions (10) (2)_Classeur3" xfId="1090" xr:uid="{A01F8C2A-1060-4461-9C0B-399FC20842D8}"/>
    <cellStyle name="_Synthèses_missions (10) (2)_Classeur4" xfId="1091" xr:uid="{FE2246BA-62A4-4E56-AE9C-62CB6947C91E}"/>
    <cellStyle name="_Synthèses_missions (10) (2)_Classeur5" xfId="1092" xr:uid="{32A204F7-FFED-42DA-8D7F-C3C3B7AE18A3}"/>
    <cellStyle name="_Synthèses_missions (10) (2)_Classeur6" xfId="1093" xr:uid="{6ED5AD95-BBBA-4E11-8990-14F1006649C0}"/>
    <cellStyle name="_Synthèses_missions (10) (2)_Classeur7" xfId="1094" xr:uid="{A8B93A72-0E35-4CED-8912-CA47BE548A69}"/>
    <cellStyle name="_Synthèses_missions (10) (2)_Dépenses par titre et par action JPE2014" xfId="1095" xr:uid="{CC6BD772-3292-45E5-ACDE-3DE3F38AE2A9}"/>
    <cellStyle name="_Synthèses_missions (10) (2)_M-08_triennal_DSNA" xfId="1096" xr:uid="{D482ABEF-0621-4514-987A-E8E4A2A952D8}"/>
    <cellStyle name="_Synthèses_missions (10) (2)_MEDDE - dossier arbitrage PLF 2013-2015 arbitrage v1" xfId="1097" xr:uid="{6E112324-77CD-4D8D-A343-F67A1F8CAA5D}"/>
    <cellStyle name="_Synthèses_missions (10) (2)_OPE_CAS pension_05juil_18h" xfId="1098" xr:uid="{BD1F2B78-5FF6-4990-A691-53CEC8B72200}"/>
    <cellStyle name="_Synthèses_missions (10) (2)_PLF 2012 - MCC - Arbitrages" xfId="1099" xr:uid="{FDBFADD7-9E12-46C2-B8BB-78A7DD1ACF74}"/>
    <cellStyle name="_Synthèses_missions (10) (2)_Synthèse_CAS_Pensions_17juil_22h30" xfId="1100" xr:uid="{033D48CE-925B-4D3A-964D-3B8CDA36592C}"/>
    <cellStyle name="_Synthèses_missions (10) (2)_Synthèse_CAS_Pensions_29juin_19h" xfId="1101" xr:uid="{29F0E85C-CCC9-4011-867A-B6AEFE9707AD}"/>
    <cellStyle name="_Synthèses_missions (10) (2)_Synthèse_CAS_Pensions_30juil_11h" xfId="1102" xr:uid="{D2456745-D1E5-4560-8155-FE8AF9E7E4DC}"/>
    <cellStyle name="_Synthèses_missions (8)" xfId="1103" xr:uid="{AE5FE37D-E7B1-4E2E-80AF-BEB483DA40D4}"/>
    <cellStyle name="_Synthèses_missions (8) 2" xfId="1104" xr:uid="{BB7D52BA-1149-4466-8B9A-9235C0D47491}"/>
    <cellStyle name="_Synthèses_missions (8)_01.P614_DTA JPE 2014_V2-bis" xfId="1105" xr:uid="{E2233BE5-F45D-4892-9A85-08FB83D1B340}"/>
    <cellStyle name="_Synthèses_missions (8)_01.P614_DTA JPE 2014_V2-bis 2" xfId="1106" xr:uid="{082ACD3E-11B1-4ABC-BFAA-89B5014FBE41}"/>
    <cellStyle name="_Synthèses_missions (8)_2013 03 05 ANNEXES circulaire sécurisation" xfId="1107" xr:uid="{25E5C103-47E4-42B9-B114-2EE5B93075D9}"/>
    <cellStyle name="_Synthèses_missions (8)_2013 03 05 arbitrages PLF 2014" xfId="1108" xr:uid="{2FBF884E-1196-4206-8F3A-32B875AAD56E}"/>
    <cellStyle name="_Synthèses_missions (8)_annexe5_arbitrage_OPE" xfId="1109" xr:uid="{00F81B25-FB8D-4B1E-AB32-BBAAD8843A32}"/>
    <cellStyle name="_Synthèses_missions (8)_annexe5_circ_OPE (2)" xfId="1110" xr:uid="{CF8ECBF1-2B76-4AC2-AF35-337138A4BFAD}"/>
    <cellStyle name="_Synthèses_missions (8)_Classeur3" xfId="1111" xr:uid="{1BFAA46E-5CD5-472D-9894-AC082CA186B9}"/>
    <cellStyle name="_Synthèses_missions (8)_Classeur4" xfId="1112" xr:uid="{2B764D99-7F90-44E6-B593-79E529612F51}"/>
    <cellStyle name="_Synthèses_missions (8)_Classeur5" xfId="1113" xr:uid="{E4373F08-D6E6-4791-A914-5413078AEDC4}"/>
    <cellStyle name="_Synthèses_missions (8)_Classeur6" xfId="1114" xr:uid="{2450AA4C-50A5-41B4-9519-14614DA0FB82}"/>
    <cellStyle name="_Synthèses_missions (8)_Classeur7" xfId="1115" xr:uid="{8FD0D7B0-C998-45F7-A6D7-960FAD863176}"/>
    <cellStyle name="_Synthèses_missions (8)_Dépenses par titre et par action JPE2014" xfId="1116" xr:uid="{9FE0E377-782B-4507-A20A-EC2C0D6B3B5A}"/>
    <cellStyle name="_Synthèses_missions (8)_M-08_triennal_DSNA" xfId="1117" xr:uid="{A7109D09-8E32-4441-855C-6F593C5961FC}"/>
    <cellStyle name="_Synthèses_missions (8)_MEDDE - dossier arbitrage PLF 2013-2015 arbitrage v1" xfId="1118" xr:uid="{41BE701C-319B-4C6C-8627-14B1AD4919A7}"/>
    <cellStyle name="_Synthèses_missions (8)_OPE_CAS pension_05juil_18h" xfId="1119" xr:uid="{F09B8962-2141-4097-8B07-1941A5BE7D10}"/>
    <cellStyle name="_Synthèses_missions (8)_PLF 2012 - MCC - Arbitrages" xfId="1120" xr:uid="{61CBDCB9-B841-49C4-A6A3-848E2837281A}"/>
    <cellStyle name="_Synthèses_missions (8)_Synthèse_CAS_Pensions_17juil_22h30" xfId="1121" xr:uid="{422DAA71-48F3-4A4F-ABA0-49F0C5DF0139}"/>
    <cellStyle name="_Synthèses_missions (8)_Synthèse_CAS_Pensions_29juin_19h" xfId="1122" xr:uid="{38CAA4A0-DCCD-433D-9573-3BD9C0BFF15E}"/>
    <cellStyle name="_Synthèses_missions (8)_Synthèse_CAS_Pensions_30juil_11h" xfId="1123" xr:uid="{ADDEDC64-80FA-46CB-9073-45FE42CCBF58}"/>
    <cellStyle name="_tableau slide 3 (2)" xfId="1124" xr:uid="{4556FC57-55B5-4C12-A0C4-2FEF8C23F115}"/>
    <cellStyle name="_tableau slide 3 (2) 2" xfId="1125" xr:uid="{7D3F5318-E67D-407A-9E1C-AD4C3D81EDD9}"/>
    <cellStyle name="_Tableaux répartition GFPRH 2011-2013 (v2 post-conf répart )" xfId="1126" xr:uid="{E50FDD1D-3532-4D93-BCCB-FBCE57055A15}"/>
    <cellStyle name="_Tableaux répartition GFPRH 2011-2013 (v2 post-conf répart )_PLF 2012 - MCC - Arbitrages" xfId="1127" xr:uid="{3A868B8D-DF66-49A1-A309-0934486E0FCA}"/>
    <cellStyle name="_tableaux synthèse 175 CP et sous jacentsV2" xfId="1128" xr:uid="{C58B14BC-4A35-4588-939D-875DF42822D3}"/>
    <cellStyle name="_Tableaux_IGN_Synthèse_PMT" xfId="1129" xr:uid="{AD0839D4-E23C-4EB4-A6D3-7C436C66CCE3}"/>
    <cellStyle name="_Taxation PLFR_final yc intérieur (2) (8)" xfId="1130" xr:uid="{FB6FC45B-49F4-46E8-9620-F758FF89AC27}"/>
    <cellStyle name="_TC10" xfId="1131" xr:uid="{5644EDBC-C7B9-4753-997A-B8F0D3E873DD}"/>
    <cellStyle name="_TC10_PLF 2012 - MCC - Arbitrages" xfId="1132" xr:uid="{314FF57C-15F7-4B4D-8CAF-7291207FC5E7}"/>
    <cellStyle name="_TC10_Triennal 2011-2013 détaillé V11" xfId="1133" xr:uid="{4ED70C3B-5DB2-4ECD-B8C5-8791639EDB8D}"/>
    <cellStyle name="_TC10_Triennal 2011-2013 détaillé V11_PLF 2012 - MCC - Arbitrages" xfId="1134" xr:uid="{924957DF-9877-4C89-816C-8D91AC9C23B4}"/>
    <cellStyle name="_TC2" xfId="1135" xr:uid="{F4AEE779-FAF5-440E-B004-69E39698161F}"/>
    <cellStyle name="_TC2_PLF 2012 - MCC - Arbitrages" xfId="1136" xr:uid="{7A39D4A7-615B-4E2E-AC10-72B550C936A8}"/>
    <cellStyle name="_TC2_Triennal 2011-2013 détaillé V11" xfId="1137" xr:uid="{92A1D5CF-DD6A-4E5C-8FDE-9E81745B1205}"/>
    <cellStyle name="_TC2_Triennal 2011-2013 détaillé V11_PLF 2012 - MCC - Arbitrages" xfId="1138" xr:uid="{2C7B0261-797C-4584-A39C-0002A7DD9977}"/>
    <cellStyle name="_TC27" xfId="1139" xr:uid="{98EF6C93-6DBF-4376-9D70-27704ECA75CD}"/>
    <cellStyle name="_TC27_PLF 2012 - MCC - Arbitrages" xfId="1140" xr:uid="{648661D9-AF5A-49C3-AAC2-2229D6268D32}"/>
    <cellStyle name="_TC27_Triennal 2011-2013 détaillé V11" xfId="1141" xr:uid="{A0442DEA-F38E-4755-BC70-A7239C854267}"/>
    <cellStyle name="_TC27_Triennal 2011-2013 détaillé V11_PLF 2012 - MCC - Arbitrages" xfId="1142" xr:uid="{2D8948EB-551D-47FE-B981-7BDF2B299446}"/>
    <cellStyle name="_TC28" xfId="1143" xr:uid="{421B0ADF-D642-4FD4-A6E9-9C177E3B024B}"/>
    <cellStyle name="_TC28_PLF 2012 - MCC - Arbitrages" xfId="1144" xr:uid="{9667C52E-8145-4A9F-A230-703D478CE8B8}"/>
    <cellStyle name="_TC28_Triennal 2011-2013 détaillé V11" xfId="1145" xr:uid="{435788EA-799A-4F75-92AA-12345F4D571B}"/>
    <cellStyle name="_TC28_Triennal 2011-2013 détaillé V11_PLF 2012 - MCC - Arbitrages" xfId="1146" xr:uid="{B1156917-801A-41A6-A21B-9B54CD3B378B}"/>
    <cellStyle name="_TC4" xfId="1147" xr:uid="{A49F6176-BADC-4AEE-BC9F-02D17FAD94CB}"/>
    <cellStyle name="_TC4_PLF 2012 - MCC - Arbitrages" xfId="1148" xr:uid="{5053F96A-D432-4DD0-B7D5-80364A0EB08C}"/>
    <cellStyle name="_TC4_Triennal 2011-2013 détaillé V11" xfId="1149" xr:uid="{C2797A7A-BCC7-49C1-A65C-7AB6E68958E0}"/>
    <cellStyle name="_TC4_Triennal 2011-2013 détaillé V11_PLF 2012 - MCC - Arbitrages" xfId="1150" xr:uid="{2B54159D-6931-4EA8-A67F-1CFA441E8897}"/>
    <cellStyle name="_TC6" xfId="1151" xr:uid="{7C9DA649-7CDB-4A78-AEBC-3341A4B97B1E}"/>
    <cellStyle name="_TC6_PLF 2012 - MCC - Arbitrages" xfId="1152" xr:uid="{558CEE65-6EC7-4B57-8265-24B78DA91453}"/>
    <cellStyle name="_TC6_Triennal 2011-2013 détaillé V11" xfId="1153" xr:uid="{F96C161E-B324-4E09-8427-31AB4AAD53F5}"/>
    <cellStyle name="_TC6_Triennal 2011-2013 détaillé V11_PLF 2012 - MCC - Arbitrages" xfId="1154" xr:uid="{7D587925-ABEA-442D-B6DA-86A576159E48}"/>
    <cellStyle name="_UB 2013-2016 752  29022012" xfId="1155" xr:uid="{98743E48-2942-4392-9592-0A4C8C6AFEDB}"/>
    <cellStyle name="_Version DB 4BT_BG_EDAD_PMT2" xfId="1156" xr:uid="{A28FB494-CADB-4615-BC4C-FD12FD7F07B0}"/>
    <cellStyle name="£'000" xfId="1157" xr:uid="{6089D1CE-D2FE-4D78-AD75-034A3EA6712B}"/>
    <cellStyle name="£k" xfId="1158" xr:uid="{1E2B9DC8-ED9D-48A4-AC85-2699EB3BB65A}"/>
    <cellStyle name="£k 2" xfId="1159" xr:uid="{26D4B7FF-481F-4B8D-8A9F-59C6979E9C74}"/>
    <cellStyle name="£k 3" xfId="1160" xr:uid="{A92B25BA-B7B5-41E8-BFE3-B0380556EE92}"/>
    <cellStyle name="+" xfId="1161" xr:uid="{31DEF104-3200-40C7-8AA5-783BF678D425}"/>
    <cellStyle name="+ 2" xfId="1162" xr:uid="{6CEAAB1B-9CBC-41F0-A651-5A7C5473B852}"/>
    <cellStyle name="+ 2 2" xfId="1163" xr:uid="{5792CBB5-09B6-4F41-8233-E7C63FAFBA07}"/>
    <cellStyle name="+ 2 2 2" xfId="15437" xr:uid="{5DECCE66-6E5B-4AD7-AFA2-440BE5B7974E}"/>
    <cellStyle name="+ 2 2 2 2" xfId="25855" xr:uid="{4BA5CF40-F1C3-4ECB-81E7-38203AE21049}"/>
    <cellStyle name="+ 2 3" xfId="15436" xr:uid="{C08D1CDB-C955-41FA-BC2E-3BFA72270791}"/>
    <cellStyle name="+ 2 3 2" xfId="25875" xr:uid="{E954687C-316E-4207-9B5A-301599CB15B4}"/>
    <cellStyle name="+ 3" xfId="1164" xr:uid="{D27BDAE6-874C-432A-9309-5EC7F55174C6}"/>
    <cellStyle name="+ 3 2" xfId="1165" xr:uid="{E8A07100-4369-4F14-AE35-D33913C66405}"/>
    <cellStyle name="+ 3 2 2" xfId="15439" xr:uid="{C4BF5FEE-23FF-4924-811E-1F36B5850B58}"/>
    <cellStyle name="+ 3 2 2 2" xfId="25853" xr:uid="{60221DEA-37A9-4C5C-AFA0-426F19B49DB7}"/>
    <cellStyle name="+ 3 3" xfId="15438" xr:uid="{E5E18F13-6FD4-45E7-802B-658A5B341FF4}"/>
    <cellStyle name="+ 3 3 2" xfId="25854" xr:uid="{7CA1DBFB-DFFC-4F91-AD3E-371DDD7B0F91}"/>
    <cellStyle name="+ 4" xfId="1166" xr:uid="{E4AB7346-E0F6-4EAB-8A04-3246D8EBF2A0}"/>
    <cellStyle name="+ 4 2" xfId="1167" xr:uid="{3EBDD8E1-6556-48B9-A87B-0594F486C4E5}"/>
    <cellStyle name="+ 4 2 2" xfId="15441" xr:uid="{DDFF0727-0B38-4166-88C7-A0F9488808AF}"/>
    <cellStyle name="+ 4 2 2 2" xfId="25871" xr:uid="{82CC2920-2BA3-433B-8CDB-6CF8199C1B34}"/>
    <cellStyle name="+ 4 3" xfId="15440" xr:uid="{ABEC5780-9CCF-4359-B67B-8C03A6913AC5}"/>
    <cellStyle name="+ 4 3 2" xfId="25852" xr:uid="{1C597482-FEEC-4A2A-8EAE-2DF7D7747A14}"/>
    <cellStyle name="+ 5" xfId="1168" xr:uid="{EC1ED6E5-C64A-4A90-B865-B8071DF4E393}"/>
    <cellStyle name="+ 5 2" xfId="15442" xr:uid="{DC2446B7-9716-4282-814F-01103AC75921}"/>
    <cellStyle name="+ 5 2 2" xfId="25890" xr:uid="{8C6AFA87-84ED-4968-A9B7-DE0A431D4626}"/>
    <cellStyle name="+ 6" xfId="15435" xr:uid="{0C068D3B-4A39-4067-B4A4-57B1760CDB71}"/>
    <cellStyle name="+ 6 2" xfId="25870" xr:uid="{E17287D0-0158-40DE-B96D-8E164F6C712A}"/>
    <cellStyle name="+_PLF 2012 - MCC - Arbitrages" xfId="1169" xr:uid="{0BA42577-0FDB-457F-98F8-5D4FC23AD21A}"/>
    <cellStyle name="0,0_x000a__x000a_NA_x000a__x000a_" xfId="1170" xr:uid="{A9E90886-000A-4949-9842-438CFA44FC9E}"/>
    <cellStyle name="0,0_x000d__x000a_NA_x000d__x000a_" xfId="1171" xr:uid="{64038618-8EC9-41CE-AD69-617364B1D242}"/>
    <cellStyle name="0_DP_in" xfId="1172" xr:uid="{4F7BE52E-3447-40D7-9651-200880C3CA48}"/>
    <cellStyle name="0_DP_out" xfId="1173" xr:uid="{267E6085-4FF3-47E7-A8BB-CE5B4FE68062}"/>
    <cellStyle name="1 antraštė" xfId="1174" xr:uid="{40196456-C0DF-4BE0-90ED-6119D7859E3A}"/>
    <cellStyle name="10^-3" xfId="1175" xr:uid="{C5326FB1-4A88-4B70-9515-1613737E0A93}"/>
    <cellStyle name="1000s (0)" xfId="1176" xr:uid="{7D9DFC1B-4292-4025-B06A-724CB489ACEC}"/>
    <cellStyle name="2 antraštė" xfId="1177" xr:uid="{EA545C30-14C0-4E77-86DC-B583C3BF8353}"/>
    <cellStyle name="2_DP_in" xfId="1178" xr:uid="{12A9936C-FE1F-4FF1-BA8E-70CB40829142}"/>
    <cellStyle name="2_DP_out" xfId="1179" xr:uid="{37C7B9B2-D2E2-4EF7-8E71-E12DAE80A9E2}"/>
    <cellStyle name="20 % - Aksentti1" xfId="1180" xr:uid="{94BF8977-4C49-4BC1-8B20-EE37E505FAB8}"/>
    <cellStyle name="20 % - Aksentti1 2" xfId="1181" xr:uid="{F8F070FD-0309-45BC-A74F-BE6FE35DA425}"/>
    <cellStyle name="20 % - Aksentti1 2 2" xfId="1182" xr:uid="{BAB83ECA-8E57-4461-8BAB-4C3AC69BDDFF}"/>
    <cellStyle name="20 % - Aksentti1 3" xfId="1183" xr:uid="{4FABC4DF-18FA-42BB-AF6B-6B1A7415DD35}"/>
    <cellStyle name="20 % - Aksentti1_Additional information tables" xfId="1184" xr:uid="{F1B472FB-2A61-42DA-9C35-E84D1026ED5B}"/>
    <cellStyle name="20 % - Aksentti2" xfId="1185" xr:uid="{DA4A3984-12F7-47C3-9A7D-B52685009B9E}"/>
    <cellStyle name="20 % - Aksentti2 2" xfId="1186" xr:uid="{34C0C3DB-61E3-4DD7-96FA-2F8756FC29AD}"/>
    <cellStyle name="20 % - Aksentti2 2 2" xfId="1187" xr:uid="{3358ADF6-26D1-4C73-989E-D3982B5A018D}"/>
    <cellStyle name="20 % - Aksentti2 3" xfId="1188" xr:uid="{DDDE85C5-6E61-453D-8A2B-9D2227EE8FD5}"/>
    <cellStyle name="20 % - Aksentti2_Additional information tables" xfId="1189" xr:uid="{2F5C55FE-0D53-4E85-923D-CACF5C9CF8D5}"/>
    <cellStyle name="20 % - Aksentti3" xfId="1190" xr:uid="{B5157728-7DBD-4597-86F4-A7182A2A77EA}"/>
    <cellStyle name="20 % - Aksentti3 2" xfId="1191" xr:uid="{1EE99D49-26E5-405D-9251-3B74E5076A61}"/>
    <cellStyle name="20 % - Aksentti3 2 2" xfId="1192" xr:uid="{6A20953D-F751-4016-96F0-70BA8FF1470B}"/>
    <cellStyle name="20 % - Aksentti3 3" xfId="1193" xr:uid="{BFF0DE3C-10AE-47E9-B195-E05E8F04F76E}"/>
    <cellStyle name="20 % - Aksentti3_Additional information tables" xfId="1194" xr:uid="{B57F2CFA-CBB2-42A5-9918-6566E76AC77E}"/>
    <cellStyle name="20 % - Aksentti4" xfId="1195" xr:uid="{FC7AED10-B9F4-461B-B4E5-8F1EF1E5B7EF}"/>
    <cellStyle name="20 % - Aksentti4 2" xfId="1196" xr:uid="{305B3B12-4BFD-4C28-9698-F1084D7029CB}"/>
    <cellStyle name="20 % - Aksentti4 2 2" xfId="1197" xr:uid="{12767075-5B8D-4DFA-A0A3-4F113BC48D03}"/>
    <cellStyle name="20 % - Aksentti4 3" xfId="1198" xr:uid="{1D22F3F0-FE1E-4876-83A6-6C700BD5903E}"/>
    <cellStyle name="20 % - Aksentti4_Additional information tables" xfId="1199" xr:uid="{ABAC998F-3A05-4875-A182-D8A2B1E7295F}"/>
    <cellStyle name="20 % - Aksentti5" xfId="1200" xr:uid="{DEDF515A-40AF-47DA-98CC-10111A60B5CD}"/>
    <cellStyle name="20 % - Aksentti5 2" xfId="1201" xr:uid="{66B2F37D-F48E-46A5-A457-614DC3426E38}"/>
    <cellStyle name="20 % - Aksentti5 2 2" xfId="1202" xr:uid="{FB85BC2C-936C-4C4A-B1D0-1CCE3CD80F16}"/>
    <cellStyle name="20 % - Aksentti5 3" xfId="1203" xr:uid="{A115005A-127E-424D-85FB-F296928D3113}"/>
    <cellStyle name="20 % - Aksentti5_Additional information tables" xfId="1204" xr:uid="{C5029B17-09C2-455C-912B-F37BD42954A3}"/>
    <cellStyle name="20 % - Aksentti6" xfId="1205" xr:uid="{994F59B5-3252-40B0-95BE-4D482097C85D}"/>
    <cellStyle name="20 % - Aksentti6 2" xfId="1206" xr:uid="{0A7E206B-381A-4108-91E2-CA8CE5DD1DE2}"/>
    <cellStyle name="20 % - Aksentti6 2 2" xfId="1207" xr:uid="{B591ED9C-D241-4813-B141-39BD054ECD55}"/>
    <cellStyle name="20 % - Aksentti6 3" xfId="1208" xr:uid="{80CF94DE-44C3-4E7F-8ED1-D03811D6A84F}"/>
    <cellStyle name="20 % - Aksentti6_Additional information tables" xfId="1209" xr:uid="{8A62A3BC-C492-47A4-BDF5-9BAC20B8D8CD}"/>
    <cellStyle name="20 % - Akzent1" xfId="1210" xr:uid="{22DE7E76-B056-4B6E-AA3D-8867761685CB}"/>
    <cellStyle name="20 % - Akzent2" xfId="1211" xr:uid="{F95C78A2-9AB5-4410-A54B-5E34FF7A32C0}"/>
    <cellStyle name="20 % - Akzent3" xfId="1212" xr:uid="{CC5F3BD7-F975-446B-BC0C-45781868D70A}"/>
    <cellStyle name="20 % - Akzent4" xfId="1213" xr:uid="{F44B4DF6-F41E-46CF-90C8-B5601D52629D}"/>
    <cellStyle name="20 % - Akzent5" xfId="1214" xr:uid="{10602840-1E56-4921-871F-DE9F63DDE545}"/>
    <cellStyle name="20 % - Akzent6" xfId="1215" xr:uid="{3CCEA0D6-7FD9-434E-A9CB-38C3FF45B953}"/>
    <cellStyle name="20 % - Markeringsfarve1" xfId="1216" xr:uid="{2EB272A2-7F01-42A1-9C89-4E54716AA0D0}"/>
    <cellStyle name="20 % - Markeringsfarve1 2" xfId="1217" xr:uid="{8C36C8BF-5059-41B2-9245-4A2DDB72F721}"/>
    <cellStyle name="20 % - Markeringsfarve2" xfId="1218" xr:uid="{7D11CF59-1FC4-43DA-8926-F92D49E5628A}"/>
    <cellStyle name="20 % - Markeringsfarve2 2" xfId="1219" xr:uid="{ADC0938C-A3BB-4DA3-9514-9972D2DCDF86}"/>
    <cellStyle name="20 % - Markeringsfarve3" xfId="1220" xr:uid="{C056FD5C-E09E-47BA-95C0-319A99283138}"/>
    <cellStyle name="20 % - Markeringsfarve3 2" xfId="1221" xr:uid="{3A40E302-3A36-48B4-8335-EEA82303FA8D}"/>
    <cellStyle name="20 % - Markeringsfarve4" xfId="1222" xr:uid="{C231EA2E-4FEF-4C05-BACD-D8D1ABFCA943}"/>
    <cellStyle name="20 % - Markeringsfarve4 2" xfId="1223" xr:uid="{41F30B56-0DCB-4BA0-8337-B61C0DA43D93}"/>
    <cellStyle name="20 % - Markeringsfarve5" xfId="1224" xr:uid="{0D49775D-DF69-4497-883D-594985098FEA}"/>
    <cellStyle name="20 % - Markeringsfarve5 2" xfId="1225" xr:uid="{1D5D6C73-9F04-449D-99F6-087B044F9FD8}"/>
    <cellStyle name="20 % - Markeringsfarve6" xfId="1226" xr:uid="{2F83079D-29C9-4804-9C5A-8D59C2B11760}"/>
    <cellStyle name="20 % - Markeringsfarve6 2" xfId="1227" xr:uid="{3B60714F-7E14-4366-B505-3FA3E5F0CA7C}"/>
    <cellStyle name="20 % – Zvýraznění1" xfId="1228" xr:uid="{211E96CD-6C85-444D-943E-047715B3BF0F}"/>
    <cellStyle name="20 % – Zvýraznění2" xfId="1229" xr:uid="{19ABAAF8-5F27-46F4-9610-A88E202E960D}"/>
    <cellStyle name="20 % – Zvýraznění3" xfId="1230" xr:uid="{B391BF8B-A78C-4643-AB00-277A0DCF7EB2}"/>
    <cellStyle name="20 % – Zvýraznění4" xfId="1231" xr:uid="{5D3010F5-9965-4EAD-8500-CB06392FCEDA}"/>
    <cellStyle name="20 % – Zvýraznění5" xfId="1232" xr:uid="{BABADF01-5581-4BF5-B808-A77A92E8E2C8}"/>
    <cellStyle name="20 % – Zvýraznění6" xfId="1233" xr:uid="{AFD9F789-54B1-4DDC-B827-B3D954B4CBF0}"/>
    <cellStyle name="20 % - Accent1" xfId="14922" xr:uid="{779F63C9-5F9B-45BF-BD9B-3510B462ABE4}"/>
    <cellStyle name="20 % - Accent1 2" xfId="1234" xr:uid="{6F34A5EA-2FFB-4F11-AB93-094392ED3ECA}"/>
    <cellStyle name="20 % - Accent1 2 2" xfId="1235" xr:uid="{9F81DECA-B5A7-4195-8B26-D399EAC62D2A}"/>
    <cellStyle name="20 % - Accent1 2 2 2" xfId="1236" xr:uid="{DEF67744-74AF-4109-8F41-FA35DA4AD38E}"/>
    <cellStyle name="20 % - Accent1 2 3" xfId="1237" xr:uid="{61D3687B-2778-4693-9070-7633A19CA1D1}"/>
    <cellStyle name="20 % - Accent1 2_Copie de 130905 DSNA 2011 Dossier de révision initial KG _ Autre Prod vendue" xfId="1238" xr:uid="{A0157F49-D5F1-4500-A7C9-EF616EA68C30}"/>
    <cellStyle name="20 % - Accent1 3" xfId="1239" xr:uid="{B687511A-FC59-471A-94FF-62E127B39567}"/>
    <cellStyle name="20 % - Accent1 3 2" xfId="1240" xr:uid="{01D32CFA-DEEB-4C55-B1FB-5F466CDE6BC3}"/>
    <cellStyle name="20 % - Accent1 3 3" xfId="1241" xr:uid="{076C89BA-B5BF-4042-AD5B-D5D4E3623467}"/>
    <cellStyle name="20 % - Accent1 4" xfId="1242" xr:uid="{F7BC9337-9E0E-4C5F-9C09-CCF09CFAB048}"/>
    <cellStyle name="20 % - Accent1 4 2" xfId="1243" xr:uid="{6546F7C4-F76F-481B-AA34-BD4DA75AB722}"/>
    <cellStyle name="20 % - Accent1 5" xfId="1244" xr:uid="{ABFDB8F4-99D3-4BFE-AF6C-D4BE2FD4A409}"/>
    <cellStyle name="20 % - Accent1 5 2" xfId="1245" xr:uid="{F5EBD136-38BC-45C4-9678-3182A1C7C8CD}"/>
    <cellStyle name="20 % - Accent1 6" xfId="1246" xr:uid="{DAE4383A-045B-4AA9-9E6F-31BD5676BAF2}"/>
    <cellStyle name="20 % - Accent2" xfId="14923" xr:uid="{C487EE6C-31B2-49E1-B88A-27EF76266897}"/>
    <cellStyle name="20 % - Accent2 2" xfId="1247" xr:uid="{70BFB26B-E425-41FE-BEAE-4D5FF9E3F486}"/>
    <cellStyle name="20 % - Accent2 2 2" xfId="1248" xr:uid="{5C4EB9C4-75E3-48A1-A8AC-E8DD0A5BBC18}"/>
    <cellStyle name="20 % - Accent2 2 2 2" xfId="1249" xr:uid="{3DBED147-441E-473B-AE8A-77528206668C}"/>
    <cellStyle name="20 % - Accent2 2 3" xfId="1250" xr:uid="{1BF057FB-FBED-48F0-BC32-5C205143C0A4}"/>
    <cellStyle name="20 % - Accent2 2_Copie de 130905 DSNA 2011 Dossier de révision initial KG _ Autre Prod vendue" xfId="1251" xr:uid="{977437CA-0DFD-49DB-8D5E-67DDE5C43B2F}"/>
    <cellStyle name="20 % - Accent2 3" xfId="1252" xr:uid="{D104F3AA-5C22-46D3-B1D5-60A5C542609C}"/>
    <cellStyle name="20 % - Accent2 3 2" xfId="1253" xr:uid="{3855918A-E946-463C-B7D0-CCD5A9D24EA7}"/>
    <cellStyle name="20 % - Accent2 3 3" xfId="1254" xr:uid="{E1879433-4D3A-4A54-9881-0A9F6A91391E}"/>
    <cellStyle name="20 % - Accent2 4" xfId="1255" xr:uid="{A8DB68E0-B629-4059-8AB5-A971A6487D15}"/>
    <cellStyle name="20 % - Accent2 4 2" xfId="1256" xr:uid="{C4139B37-820A-4A50-BDBF-C41FBC1C96CB}"/>
    <cellStyle name="20 % - Accent2 5" xfId="1257" xr:uid="{0AB6FF99-D8B3-404F-82D4-F97C4CD93239}"/>
    <cellStyle name="20 % - Accent2 5 2" xfId="1258" xr:uid="{2788644E-39DE-4245-B5F2-FDE075E9B974}"/>
    <cellStyle name="20 % - Accent2 6" xfId="1259" xr:uid="{23B8BFE2-B67F-4448-BEAD-E15D1BBDEB22}"/>
    <cellStyle name="20 % - Accent3" xfId="14924" xr:uid="{83369455-FED4-4640-81F0-EB506398B03E}"/>
    <cellStyle name="20 % - Accent3 2" xfId="1260" xr:uid="{424BA78F-0A56-408F-BCEE-9E9677418703}"/>
    <cellStyle name="20 % - Accent3 2 2" xfId="1261" xr:uid="{A92D7161-8DB9-484E-9A02-F75623C11A9B}"/>
    <cellStyle name="20 % - Accent3 2 2 2" xfId="1262" xr:uid="{55B7DD3A-2F1A-4057-8D33-DC6327B37EEC}"/>
    <cellStyle name="20 % - Accent3 2 3" xfId="1263" xr:uid="{BB0C651F-B0FC-4557-9827-0E37871B6687}"/>
    <cellStyle name="20 % - Accent3 2_Copie de 130905 DSNA 2011 Dossier de révision initial KG _ Autre Prod vendue" xfId="1264" xr:uid="{70A87093-A090-4B54-9ACC-8D286481E381}"/>
    <cellStyle name="20 % - Accent3 3" xfId="1265" xr:uid="{F93E7F1F-79B1-4671-9B36-F46D98300957}"/>
    <cellStyle name="20 % - Accent3 3 2" xfId="1266" xr:uid="{40B28E2F-0603-4FC1-9D73-95ED2C6C1CC0}"/>
    <cellStyle name="20 % - Accent3 3 3" xfId="1267" xr:uid="{5CE8B2CA-D2EB-4583-A94E-783F3EF80155}"/>
    <cellStyle name="20 % - Accent3 4" xfId="1268" xr:uid="{F75F1916-EF0B-4B8F-B25A-D7DFF5BDB08D}"/>
    <cellStyle name="20 % - Accent3 4 2" xfId="1269" xr:uid="{DC99F147-90D6-4640-93FF-6202C64108A9}"/>
    <cellStyle name="20 % - Accent3 5" xfId="1270" xr:uid="{3D48932D-CA72-4CCF-93B8-F3B114ACE1D5}"/>
    <cellStyle name="20 % - Accent3 5 2" xfId="1271" xr:uid="{3E356844-A604-4F8A-B6D1-E170197C3804}"/>
    <cellStyle name="20 % - Accent3 6" xfId="1272" xr:uid="{381D3E64-17F5-43EA-B19C-72020C6EA07A}"/>
    <cellStyle name="20 % - Accent4" xfId="14925" xr:uid="{85176CD9-8BB6-4920-8FEB-55D049A6FF23}"/>
    <cellStyle name="20 % - Accent4 2" xfId="1273" xr:uid="{ECF53417-7123-4253-9672-493765948E93}"/>
    <cellStyle name="20 % - Accent4 2 2" xfId="1274" xr:uid="{2EFA8EA7-01DB-479A-A35C-61CDC0CB099A}"/>
    <cellStyle name="20 % - Accent4 2 2 2" xfId="1275" xr:uid="{B4C3F9A8-516E-4B1C-B998-A1DF2542400A}"/>
    <cellStyle name="20 % - Accent4 2 3" xfId="1276" xr:uid="{30C4D58B-B736-455E-82DB-DD125280B56E}"/>
    <cellStyle name="20 % - Accent4 2_Copie de 130905 DSNA 2011 Dossier de révision initial KG _ Autre Prod vendue" xfId="1277" xr:uid="{B0B618D4-DC0B-4742-A355-0A4DA25B6A2B}"/>
    <cellStyle name="20 % - Accent4 3" xfId="1278" xr:uid="{751D12D0-FEE1-4909-B833-CB76B4CFB5A2}"/>
    <cellStyle name="20 % - Accent4 3 2" xfId="1279" xr:uid="{2259B77E-DFB5-4D42-A3CD-7A329641FE7F}"/>
    <cellStyle name="20 % - Accent4 3 3" xfId="1280" xr:uid="{46BF1A37-CEF5-47C6-8C38-4221D88CF5F2}"/>
    <cellStyle name="20 % - Accent4 4" xfId="1281" xr:uid="{D3256845-EEE3-496F-ADDF-3488A9438294}"/>
    <cellStyle name="20 % - Accent4 4 2" xfId="1282" xr:uid="{FF430509-6949-4AE9-84A1-DE68D61E2C10}"/>
    <cellStyle name="20 % - Accent4 5" xfId="1283" xr:uid="{A54EEF4E-17C2-44D1-8C22-079F65CCF2A9}"/>
    <cellStyle name="20 % - Accent4 5 2" xfId="1284" xr:uid="{D1975F79-AB90-45B2-B7B7-DA18DD2D6D80}"/>
    <cellStyle name="20 % - Accent4 6" xfId="1285" xr:uid="{0787B566-320F-48A2-BC7A-E74545D76C2D}"/>
    <cellStyle name="20 % - Accent5" xfId="14926" xr:uid="{2C925BE0-9314-4B36-ACB6-50AF79A5A571}"/>
    <cellStyle name="20 % - Accent5 2" xfId="1286" xr:uid="{9550E0D3-F116-49FF-91AA-E56D412FC5EB}"/>
    <cellStyle name="20 % - Accent5 2 2" xfId="1287" xr:uid="{012E1757-845E-4CB5-8E96-89A177460FD7}"/>
    <cellStyle name="20 % - Accent5 2 2 2" xfId="1288" xr:uid="{4D4EAD56-416C-469E-9520-B4B0749B50B6}"/>
    <cellStyle name="20 % - Accent5 2 3" xfId="1289" xr:uid="{6619DB99-38B4-4465-8558-80C10348F20A}"/>
    <cellStyle name="20 % - Accent5 2_Copie de 130905 DSNA 2011 Dossier de révision initial KG _ Autre Prod vendue" xfId="1290" xr:uid="{0805C9DA-754B-4353-9AD5-CCE39E1FD13F}"/>
    <cellStyle name="20 % - Accent5 3" xfId="1291" xr:uid="{E93437B5-ACB4-4F08-B7B0-9E1780A2D2F3}"/>
    <cellStyle name="20 % - Accent5 3 2" xfId="1292" xr:uid="{4B2D5043-495D-476E-A0C6-DEA57683196E}"/>
    <cellStyle name="20 % - Accent5 3 3" xfId="1293" xr:uid="{93DC0B46-5AFC-45A1-995A-E0B72E6A50FC}"/>
    <cellStyle name="20 % - Accent5 4" xfId="1294" xr:uid="{7025D29B-927B-4EA9-ABFB-8B81FB66F27F}"/>
    <cellStyle name="20 % - Accent5 5" xfId="1295" xr:uid="{CA4C0D11-7A8A-47F1-931F-61A99BEAE12F}"/>
    <cellStyle name="20 % - Accent5 5 2" xfId="1296" xr:uid="{E5682942-DF08-4EF4-B239-33EDAAC0D004}"/>
    <cellStyle name="20 % - Accent5 6" xfId="1297" xr:uid="{3546E957-0FAE-4628-AC0F-9E61810A345F}"/>
    <cellStyle name="20 % - Accent6" xfId="14927" xr:uid="{C68BB1CF-7554-49EE-836A-BBA3D8437FC5}"/>
    <cellStyle name="20 % - Accent6 2" xfId="1298" xr:uid="{F1C10275-FFD1-41AB-9602-3B4EF59CC9ED}"/>
    <cellStyle name="20 % - Accent6 2 2" xfId="1299" xr:uid="{7FF7BC47-6EB5-4671-923F-D6871C1459D3}"/>
    <cellStyle name="20 % - Accent6 2 2 2" xfId="1300" xr:uid="{0095F3D2-7E71-489B-A54D-E1E1B0A4486E}"/>
    <cellStyle name="20 % - Accent6 2 3" xfId="1301" xr:uid="{2F244D77-C474-4771-98F2-B697F71155B0}"/>
    <cellStyle name="20 % - Accent6 2_Copie de 130905 DSNA 2011 Dossier de révision initial KG _ Autre Prod vendue" xfId="1302" xr:uid="{11E90971-4DA7-44CC-94FE-1B83D1EDA1AF}"/>
    <cellStyle name="20 % - Accent6 3" xfId="1303" xr:uid="{855990A3-4BE7-4C8C-8506-5424E1EE2518}"/>
    <cellStyle name="20 % - Accent6 3 2" xfId="1304" xr:uid="{BD7CFB83-80B5-4427-A883-08597401BCEA}"/>
    <cellStyle name="20 % - Accent6 3 3" xfId="1305" xr:uid="{A866BF70-8619-4605-8EC9-B8A196AC2705}"/>
    <cellStyle name="20 % - Accent6 4" xfId="1306" xr:uid="{ABF32394-EAAF-4F28-A6A2-107A9762C7E2}"/>
    <cellStyle name="20 % - Accent6 5" xfId="1307" xr:uid="{D541A45D-FEB4-4851-8F43-031CF8FA24D0}"/>
    <cellStyle name="20 % - Accent6 5 2" xfId="1308" xr:uid="{372CF323-404B-4A0B-AD6D-DAB870D6E403}"/>
    <cellStyle name="20 % - Accent6 6" xfId="1309" xr:uid="{0FE464A1-F938-48F0-B719-585FCF1D506F}"/>
    <cellStyle name="20% - 1. jelölőszín 2" xfId="1310" xr:uid="{69E5A26A-F20B-4846-B085-9694F4DAC102}"/>
    <cellStyle name="20% - 2. jelölőszín 2" xfId="1311" xr:uid="{6F5AE781-F099-41DB-ACF7-11B169776E83}"/>
    <cellStyle name="20% - 3. jelölőszín 2" xfId="1312" xr:uid="{DF457214-D199-4724-A4B8-728438F6D1C0}"/>
    <cellStyle name="20% - 4. jelölőszín 2" xfId="1313" xr:uid="{0CEA28E4-65E9-4821-BCB3-F79FC732C96D}"/>
    <cellStyle name="20% - 5. jelölőszín 2" xfId="1314" xr:uid="{5F953BE3-9128-4E70-9A18-C250702D8539}"/>
    <cellStyle name="20% - 6. jelölőszín 2" xfId="1315" xr:uid="{1A6C80CC-A8FF-4464-8553-DE21C690E193}"/>
    <cellStyle name="20% - Accent1 2" xfId="1317" xr:uid="{DE68285F-F8DB-49CE-A7A2-6FD2DD3ACEE8}"/>
    <cellStyle name="20% - Accent1 2 2" xfId="1318" xr:uid="{3EC8FF14-187F-43BC-AE67-D07EDD4A319D}"/>
    <cellStyle name="20% - Accent1 3" xfId="1316" xr:uid="{FE0531EB-EB93-4FB3-B13A-E129C692ECDF}"/>
    <cellStyle name="20% - Accent2 2" xfId="1320" xr:uid="{A33A8DD8-9649-4340-8EFA-442190FB103A}"/>
    <cellStyle name="20% - Accent2 2 2" xfId="1321" xr:uid="{D4E7F513-D4F1-4D8C-8C99-A29F5BFAB9BB}"/>
    <cellStyle name="20% - Accent2 3" xfId="1319" xr:uid="{A275FE88-EE45-475C-ACEB-4E220FB79C3E}"/>
    <cellStyle name="20% - Accent3 2" xfId="1323" xr:uid="{5D4CD18D-0269-4E92-9941-441B1D6D68D2}"/>
    <cellStyle name="20% - Accent3 2 2" xfId="1324" xr:uid="{91135806-4B34-4331-94E5-268B62CF3692}"/>
    <cellStyle name="20% - Accent3 3" xfId="1322" xr:uid="{5F828E94-55A3-4C65-911F-D4D879343683}"/>
    <cellStyle name="20% - Accent4 2" xfId="1326" xr:uid="{E38208EF-CFB1-47B9-B29F-D44B1555F607}"/>
    <cellStyle name="20% - Accent4 2 2" xfId="1327" xr:uid="{9FB3EABC-C653-4748-853C-2593213AFC64}"/>
    <cellStyle name="20% - Accent4 3" xfId="1325" xr:uid="{56037CDE-4AC6-495A-B315-FF594685E4CC}"/>
    <cellStyle name="20% - Accent5 2" xfId="1329" xr:uid="{12F5F2F1-DB73-40E5-9700-3AF6D957E771}"/>
    <cellStyle name="20% - Accent5 2 2" xfId="1330" xr:uid="{678E3060-9B18-4186-B381-873C65297AE3}"/>
    <cellStyle name="20% - Accent5 3" xfId="1328" xr:uid="{02DB10AB-B611-4D8E-9333-B19CF2A52C27}"/>
    <cellStyle name="20% - Accent6 2" xfId="1332" xr:uid="{3F7A581A-4C9F-4805-B60C-DD299295AF20}"/>
    <cellStyle name="20% - Accent6 2 2" xfId="1333" xr:uid="{79D4EC7B-2DD9-4D9E-B064-DF795969C546}"/>
    <cellStyle name="20% - Accent6 3" xfId="1331" xr:uid="{82427FF8-68CD-4162-A322-6D84BD1E2FDB}"/>
    <cellStyle name="20% - akcent 1" xfId="1334" xr:uid="{08FF5D53-17E1-4E52-86C8-65B21BFE0C34}"/>
    <cellStyle name="20% - akcent 1 2" xfId="1335" xr:uid="{35854E21-8A9D-46E4-8B8D-ADF78BA492AC}"/>
    <cellStyle name="20% - akcent 2" xfId="1336" xr:uid="{D278E97F-88A2-4F01-A89C-83A2C14F959E}"/>
    <cellStyle name="20% - akcent 2 2" xfId="1337" xr:uid="{9732BD82-7F88-418B-8E3C-F0E612198766}"/>
    <cellStyle name="20% - akcent 3" xfId="1338" xr:uid="{737768E8-E663-4A21-B943-90D78D111031}"/>
    <cellStyle name="20% - akcent 3 2" xfId="1339" xr:uid="{DCBF153B-83B4-4E01-8683-A355F70B9EDC}"/>
    <cellStyle name="20% - akcent 4" xfId="1340" xr:uid="{68CEC2C4-FADA-4681-8D45-59984B627B96}"/>
    <cellStyle name="20% - akcent 4 2" xfId="1341" xr:uid="{7B8917B0-5601-4456-AF56-7D2B1ADCF221}"/>
    <cellStyle name="20% - akcent 5" xfId="1342" xr:uid="{D765B4B6-205C-4454-A9B8-CB0E5B878388}"/>
    <cellStyle name="20% - akcent 5 2" xfId="1343" xr:uid="{928D4E97-C8AB-428F-BF63-9111320E72E8}"/>
    <cellStyle name="20% - akcent 6" xfId="1344" xr:uid="{549D71B2-444C-4BF4-8F8D-642E500AD4C3}"/>
    <cellStyle name="20% - akcent 6 2" xfId="1345" xr:uid="{E166B5CA-5E48-4F70-AE87-26B2F08B307C}"/>
    <cellStyle name="20% - Akzent1" xfId="1346" xr:uid="{66439CFD-ED3A-44FA-9EE9-2AF35C2550A3}"/>
    <cellStyle name="20% - Akzent1 2" xfId="1347" xr:uid="{8EFFA974-14BC-4077-8616-3E874DDE659E}"/>
    <cellStyle name="20% - Akzent1 3" xfId="1348" xr:uid="{20B70AAC-A8D8-4AD5-8815-308E7FD90259}"/>
    <cellStyle name="20% - Akzent1_RP3 PP revised" xfId="15253" xr:uid="{4712596C-905D-4F31-BD26-AA76A1D3FEF3}"/>
    <cellStyle name="20% - Akzent2" xfId="1349" xr:uid="{FDBC93E0-2AC1-4C9D-9E65-ED98C0656034}"/>
    <cellStyle name="20% - Akzent2 2" xfId="1350" xr:uid="{05F43C2E-5FC8-4ABF-8D30-F6777327E892}"/>
    <cellStyle name="20% - Akzent2 3" xfId="1351" xr:uid="{9326B563-E376-446D-AD9D-F8E127BA6E95}"/>
    <cellStyle name="20% - Akzent2_RP3 PP revised" xfId="15252" xr:uid="{694390FD-4F4B-414F-9DC3-DFDB1BD0188F}"/>
    <cellStyle name="20% - Akzent3" xfId="1352" xr:uid="{F7FE3498-7262-47BE-AB99-137224B50219}"/>
    <cellStyle name="20% - Akzent3 2" xfId="1353" xr:uid="{015B2B26-3A59-43EB-9FBE-6CA8FBC34720}"/>
    <cellStyle name="20% - Akzent3 3" xfId="1354" xr:uid="{83C76D9C-35DE-41E5-97E7-B7AF5E03018C}"/>
    <cellStyle name="20% - Akzent3_RP3 PP revised" xfId="15251" xr:uid="{C8F9343E-7029-49D0-B8C3-9B4D45D11B18}"/>
    <cellStyle name="20% - Akzent4" xfId="1355" xr:uid="{92D47097-7CD0-4661-9069-A2AED59A2C4E}"/>
    <cellStyle name="20% - Akzent4 2" xfId="1356" xr:uid="{ED48B01A-A322-4E9E-A5A8-89E007C69548}"/>
    <cellStyle name="20% - Akzent4 3" xfId="1357" xr:uid="{A8EB274A-9C42-4E3D-A71D-D7FC1A06C048}"/>
    <cellStyle name="20% - Akzent4_RP3 PP revised" xfId="15428" xr:uid="{ED296AF2-D855-452C-952A-C2ECD544FC8E}"/>
    <cellStyle name="20% - Akzent5" xfId="1358" xr:uid="{2223DFBE-DF6C-4A8D-BAA2-D21883314BEE}"/>
    <cellStyle name="20% - Akzent5 2" xfId="1359" xr:uid="{A0B9B085-0263-4949-AF62-49F58ADB8C77}"/>
    <cellStyle name="20% - Akzent5 3" xfId="1360" xr:uid="{DB0B8D4E-2985-4E83-AFD5-D4D0FB9B3597}"/>
    <cellStyle name="20% - Akzent5_RP3 PP revised" xfId="15249" xr:uid="{07312D89-2B39-45D4-97DD-0941EB2A8900}"/>
    <cellStyle name="20% - Akzent6" xfId="1361" xr:uid="{F7B06D1E-B697-4CC1-A696-50D4AACC4E6C}"/>
    <cellStyle name="20% - Akzent6 2" xfId="1362" xr:uid="{506536D5-FAA4-4B39-AF3C-B5FE929FB550}"/>
    <cellStyle name="20% - Akzent6 3" xfId="1363" xr:uid="{74E0074A-160A-4CB1-8665-6C94525F022E}"/>
    <cellStyle name="20% - Akzent6_RP3 PP revised" xfId="15248" xr:uid="{51477397-DEE5-4B6C-BE77-7E6C83CF3094}"/>
    <cellStyle name="20% - Colore 1 2" xfId="1364" xr:uid="{36A315A8-7568-4C06-8548-D9E10718CBA4}"/>
    <cellStyle name="20% - Colore 1 3" xfId="1365" xr:uid="{81CC30DA-AAB2-4F19-A8C0-E172CD5E9085}"/>
    <cellStyle name="20% - Colore 2 2" xfId="1366" xr:uid="{5EF0D1CD-BBEB-4023-8AC5-2FE2A46D7FBB}"/>
    <cellStyle name="20% - Colore 2 3" xfId="1367" xr:uid="{97366F1C-1DFA-41B9-97A0-F089E02E2485}"/>
    <cellStyle name="20% - Colore 3 2" xfId="1368" xr:uid="{B844E455-CA54-434B-B063-99525262B042}"/>
    <cellStyle name="20% - Colore 3 3" xfId="1369" xr:uid="{98CAA0AC-6F4C-491C-884D-569E43DDF22F}"/>
    <cellStyle name="20% - Colore 4 2" xfId="1370" xr:uid="{D3669948-A148-49BD-875C-9B8785F7C366}"/>
    <cellStyle name="20% - Colore 4 3" xfId="1371" xr:uid="{E5E0A893-1C87-4EE7-B0E3-42482F5AB665}"/>
    <cellStyle name="20% - Colore 5 2" xfId="1372" xr:uid="{68ADF70C-7975-4BE2-888D-BEABAB059450}"/>
    <cellStyle name="20% - Colore 5 3" xfId="1373" xr:uid="{C93FD311-AFB7-4732-8416-62A04C592E53}"/>
    <cellStyle name="20% - Colore 6 2" xfId="1374" xr:uid="{B7FA5296-AB56-4198-963B-EA392934ED60}"/>
    <cellStyle name="20% - Colore 6 3" xfId="1375" xr:uid="{E8A1EF3B-2732-433C-AA39-76DFD9A5AF28}"/>
    <cellStyle name="20% - Dekorfärg1" xfId="1376" xr:uid="{A4E703D4-BBDC-4967-B9B9-C0F4CCECC49E}"/>
    <cellStyle name="20% - Dekorfärg1 2" xfId="1377" xr:uid="{258C211E-EFBD-4F62-9F84-A88D9A1402EE}"/>
    <cellStyle name="20% - Dekorfärg2" xfId="1378" xr:uid="{C2632841-558F-4900-B616-76452FCE53BA}"/>
    <cellStyle name="20% - Dekorfärg2 2" xfId="1379" xr:uid="{7C9DEC47-38DB-4401-A091-1E6C20E1695A}"/>
    <cellStyle name="20% - Dekorfärg3" xfId="1380" xr:uid="{DD2B75BE-B10B-4709-9A12-5BC5080AAA47}"/>
    <cellStyle name="20% - Dekorfärg3 2" xfId="1381" xr:uid="{516C7E59-CDA7-4A22-9F33-1AE1593C4C97}"/>
    <cellStyle name="20% - Dekorfärg4" xfId="1382" xr:uid="{B39143C9-75A0-4D9A-8687-DD382412A6C4}"/>
    <cellStyle name="20% - Dekorfärg4 2" xfId="1383" xr:uid="{A8125C61-2D86-45C7-BE8D-74FA45310983}"/>
    <cellStyle name="20% - Dekorfärg5" xfId="1384" xr:uid="{3779B91E-A6D1-46FC-B4D9-D8F4A6071EDF}"/>
    <cellStyle name="20% - Dekorfärg5 2" xfId="1385" xr:uid="{40E815BE-08C9-44CE-B79D-209322F1487A}"/>
    <cellStyle name="20% - Dekorfärg6" xfId="1386" xr:uid="{3C712242-39D9-420D-9F25-A6DBFC777888}"/>
    <cellStyle name="20% - Dekorfärg6 2" xfId="1387" xr:uid="{8DCE6C80-1622-42A8-8657-85E7FD95FE16}"/>
    <cellStyle name="20% - Énfasis1" xfId="1388" xr:uid="{D7D2F6C8-993C-4D49-910E-EDF5D5BA0563}"/>
    <cellStyle name="20% - Énfasis1 2" xfId="1389" xr:uid="{EE683C5C-7230-4B13-AF8A-CA5B63866EF0}"/>
    <cellStyle name="20% - Énfasis2" xfId="1390" xr:uid="{6BDC707C-011A-4250-BEFA-AB46B65F46CC}"/>
    <cellStyle name="20% - Énfasis2 2" xfId="1391" xr:uid="{63849CDA-1B43-4B01-A460-C8BD37DCEE3C}"/>
    <cellStyle name="20% - Énfasis3" xfId="1392" xr:uid="{2F90316B-FF80-4FBB-AA9C-04FD9A92DC5B}"/>
    <cellStyle name="20% - Énfasis3 2" xfId="1393" xr:uid="{22F50CD6-7406-4853-B20F-749123A9494D}"/>
    <cellStyle name="20% - Énfasis4" xfId="1394" xr:uid="{90351DB7-8584-4220-95EF-E0D756FD76E9}"/>
    <cellStyle name="20% - Énfasis4 2" xfId="1395" xr:uid="{CC82E822-1D86-42B9-82D0-EA174B60A2F0}"/>
    <cellStyle name="20% - Énfasis5" xfId="1396" xr:uid="{6E7C96BB-4C39-428E-AA23-4BFA24BA37F2}"/>
    <cellStyle name="20% - Énfasis5 2" xfId="1397" xr:uid="{31BF151A-69BD-4B2E-8C6D-22025D4666C9}"/>
    <cellStyle name="20% - Énfasis6" xfId="1398" xr:uid="{30BFA0B4-8A01-4BCA-9C44-3FAFFB5F0FCF}"/>
    <cellStyle name="20% - Énfasis6 2" xfId="1399" xr:uid="{5B6B70A4-5806-43AA-AAD6-C0A4C7E11C8B}"/>
    <cellStyle name="20% – paryškinimas 1" xfId="1400" xr:uid="{768196E0-24A9-4242-BB4D-EC5DCD5826F2}"/>
    <cellStyle name="20% – paryškinimas 1 2" xfId="1401" xr:uid="{9A4AA8DA-10FB-4B23-B968-4BB6C531E280}"/>
    <cellStyle name="20% – paryškinimas 2" xfId="1402" xr:uid="{097E259E-F67F-4D87-9F0C-C97632BBDF99}"/>
    <cellStyle name="20% – paryškinimas 2 2" xfId="1403" xr:uid="{D94C2EF0-ADF4-4917-8408-BB0F9F811A99}"/>
    <cellStyle name="20% – paryškinimas 3" xfId="1404" xr:uid="{D20E726D-56B5-475A-8C43-73B24CF7CA41}"/>
    <cellStyle name="20% – paryškinimas 3 2" xfId="1405" xr:uid="{CF062AFE-0B53-44F1-853E-768EF4BC61CD}"/>
    <cellStyle name="20% – paryškinimas 4" xfId="1406" xr:uid="{3DF91836-057C-4F9C-9533-4E24E3E9303B}"/>
    <cellStyle name="20% – paryškinimas 4 2" xfId="1407" xr:uid="{6312F22C-D46E-4966-9CFF-E287F20FAAD0}"/>
    <cellStyle name="20% – paryškinimas 5" xfId="1408" xr:uid="{57EA7B71-B9B1-4835-902F-757A480A3FD1}"/>
    <cellStyle name="20% – paryškinimas 5 2" xfId="1409" xr:uid="{A02E11E2-569B-46B9-AF34-A8E9DDE41CB0}"/>
    <cellStyle name="20% – paryškinimas 6" xfId="1410" xr:uid="{9CC0AED9-A82A-48C4-9773-1D93A694856D}"/>
    <cellStyle name="20% – paryškinimas 6 2" xfId="1411" xr:uid="{A328AF41-AEE3-4A84-95E4-8B492325944D}"/>
    <cellStyle name="20% – rõhk1" xfId="1412" xr:uid="{FED9BD26-AAFD-4B1A-88F1-18E26327DCC4}"/>
    <cellStyle name="20% – rõhk1 2" xfId="1413" xr:uid="{B3BAB7F2-0281-4D21-B54E-8F530917188C}"/>
    <cellStyle name="20% – rõhk1 3" xfId="1414" xr:uid="{4C579CE9-5B8E-4062-B9AF-325A75657B11}"/>
    <cellStyle name="20% – rõhk2" xfId="1415" xr:uid="{265F06BE-FC63-4CD7-91A8-691979DD633E}"/>
    <cellStyle name="20% – rõhk2 2" xfId="1416" xr:uid="{1462D651-61CC-43A5-A075-EDB744FAA565}"/>
    <cellStyle name="20% – rõhk2 3" xfId="1417" xr:uid="{C9B8F6D4-496F-4422-A98C-A44E33C2725C}"/>
    <cellStyle name="20% – rõhk3" xfId="1418" xr:uid="{A8932D34-7C3F-48E4-87DF-D94A826D77C8}"/>
    <cellStyle name="20% – rõhk3 2" xfId="1419" xr:uid="{9DBBD73F-28B2-4656-B19C-3291B7D579D2}"/>
    <cellStyle name="20% – rõhk3 3" xfId="1420" xr:uid="{81BB6C63-0375-4F24-B8EE-B450EC402A4F}"/>
    <cellStyle name="20% – rõhk4" xfId="1421" xr:uid="{418C4397-429F-498C-8C3E-224DBC3C2DA9}"/>
    <cellStyle name="20% – rõhk4 2" xfId="1422" xr:uid="{98970C5B-0503-4F25-9A7C-075D352E3DD9}"/>
    <cellStyle name="20% – rõhk4 3" xfId="1423" xr:uid="{349B8CFD-F738-410F-B9F3-E929E5D7B85B}"/>
    <cellStyle name="20% – rõhk5" xfId="1424" xr:uid="{4184B446-B522-4967-B238-5EBA65786B1A}"/>
    <cellStyle name="20% – rõhk5 2" xfId="1425" xr:uid="{B13A8D8F-2298-4269-A0EB-FA9FF3081060}"/>
    <cellStyle name="20% – rõhk5 3" xfId="1426" xr:uid="{9812C8DB-4D53-43FF-9F98-0E6D0B5FBC20}"/>
    <cellStyle name="20% – rõhk6" xfId="1427" xr:uid="{B3D2BF2C-802F-4E8A-B0C8-612677957F98}"/>
    <cellStyle name="20% – rõhk6 2" xfId="1428" xr:uid="{9C467FFE-A4DE-4942-964C-ED71725D4DA7}"/>
    <cellStyle name="20% – rõhk6 3" xfId="1429" xr:uid="{1CE6EF43-FC89-4FF3-AD12-9283A8ECC3F3}"/>
    <cellStyle name="20% - Акцент1" xfId="1430" xr:uid="{98142F89-0ABD-4424-8205-6D20C5088ADC}"/>
    <cellStyle name="20% - Акцент1 2" xfId="1431" xr:uid="{A04029FB-E07C-4A3E-8116-1425986429B5}"/>
    <cellStyle name="20% - Акцент1 3" xfId="1432" xr:uid="{59A82D78-A18A-4E9E-928A-94C4054388BD}"/>
    <cellStyle name="20% - Акцент2" xfId="1433" xr:uid="{03CA6DBD-AE58-44AD-AB4F-0BB99D6263CF}"/>
    <cellStyle name="20% - Акцент2 2" xfId="1434" xr:uid="{5600EB4C-B49A-44BA-B7C4-40935541E487}"/>
    <cellStyle name="20% - Акцент2 3" xfId="1435" xr:uid="{56802060-D5F2-49E7-94E2-90A40D006EE9}"/>
    <cellStyle name="20% - Акцент3" xfId="1436" xr:uid="{39611B45-3801-45A0-B9E1-A1CE2F619433}"/>
    <cellStyle name="20% - Акцент3 2" xfId="1437" xr:uid="{FAE7003C-547F-47A0-B6EC-3470CCF5E9B7}"/>
    <cellStyle name="20% - Акцент3 3" xfId="1438" xr:uid="{366300CC-C0E0-4A8F-B0F7-94A9C648BCF2}"/>
    <cellStyle name="20% - Акцент4" xfId="1439" xr:uid="{EE7A6A0F-FEC0-4625-ABF6-3421574D90AE}"/>
    <cellStyle name="20% - Акцент4 2" xfId="1440" xr:uid="{151567F6-7A40-4586-BE15-FD132DFBBFC2}"/>
    <cellStyle name="20% - Акцент4 3" xfId="1441" xr:uid="{F072CBA9-A137-486D-BDBB-6002607AB2FF}"/>
    <cellStyle name="20% - Акцент5" xfId="1442" xr:uid="{C1F41C00-C02C-4A0A-9096-781386874119}"/>
    <cellStyle name="20% - Акцент5 2" xfId="1443" xr:uid="{21A4F312-2C48-4B7E-A386-0BF8EFA6ED17}"/>
    <cellStyle name="20% - Акцент5 3" xfId="1444" xr:uid="{D8788CD2-7304-4D1B-9483-DFD455863410}"/>
    <cellStyle name="20% - Акцент6" xfId="1445" xr:uid="{658C3AFA-DEAF-4940-8728-6FB685A62E9E}"/>
    <cellStyle name="20% - Акцент6 2" xfId="1446" xr:uid="{29CB49A7-891B-4854-BB57-70B2DEFB4880}"/>
    <cellStyle name="20% - Акцент6 3" xfId="1447" xr:uid="{B605BCCF-F440-4ACC-942E-92CE3FEC773F}"/>
    <cellStyle name="3 antraštė" xfId="1448" xr:uid="{1CF43C7E-9F3B-4517-9AAC-53B968DDB33F}"/>
    <cellStyle name="4 antraštė" xfId="1449" xr:uid="{16A6F21F-8F1B-4890-96BD-B376F0E72126}"/>
    <cellStyle name="40 % - Aksentti1" xfId="1450" xr:uid="{E7DF9CFD-9287-44C8-8FE8-AB6DC925CE68}"/>
    <cellStyle name="40 % - Aksentti1 2" xfId="1451" xr:uid="{1F3209F8-ED57-496E-86C4-BDF66170AA0E}"/>
    <cellStyle name="40 % - Aksentti1 2 2" xfId="1452" xr:uid="{AAA41659-FD5D-46FC-AB6F-19AFB60AA79B}"/>
    <cellStyle name="40 % - Aksentti1 3" xfId="1453" xr:uid="{94C34A36-73C3-4EC1-A201-DF07ECD16462}"/>
    <cellStyle name="40 % - Aksentti1_Additional information tables" xfId="1454" xr:uid="{19C7571B-7D5E-44E5-AEE4-9AAE403E1BDB}"/>
    <cellStyle name="40 % - Aksentti2" xfId="1455" xr:uid="{AE4A9F53-2A9B-46DC-A455-25AAFD6EEC2B}"/>
    <cellStyle name="40 % - Aksentti2 2" xfId="1456" xr:uid="{6D02F326-A0A4-44D0-A26E-127B7C237EDC}"/>
    <cellStyle name="40 % - Aksentti2 2 2" xfId="1457" xr:uid="{01033F5A-0926-4C3F-84A8-33109957F3E5}"/>
    <cellStyle name="40 % - Aksentti2 3" xfId="1458" xr:uid="{D4F74A31-DB10-4FE5-99A2-0C13904115BB}"/>
    <cellStyle name="40 % - Aksentti2_Additional information tables" xfId="1459" xr:uid="{185A9F58-82AB-445A-A44F-15743697EE47}"/>
    <cellStyle name="40 % - Aksentti3" xfId="1460" xr:uid="{32956C93-6898-4A54-8EA8-C293FEA3CB7C}"/>
    <cellStyle name="40 % - Aksentti3 2" xfId="1461" xr:uid="{7CB92DD2-411F-4E79-9149-13D9D9F11E3C}"/>
    <cellStyle name="40 % - Aksentti3 2 2" xfId="1462" xr:uid="{86FE1159-24D6-4AFE-B281-E44FD58B6BA9}"/>
    <cellStyle name="40 % - Aksentti3 3" xfId="1463" xr:uid="{3522D7CE-D271-4103-8333-2698FC41B330}"/>
    <cellStyle name="40 % - Aksentti3_Additional information tables" xfId="1464" xr:uid="{B96DD76B-EE0A-46CD-92C4-9AD8A85C8481}"/>
    <cellStyle name="40 % - Aksentti4" xfId="1465" xr:uid="{641EF963-44FC-46DA-B785-4E7553F75C23}"/>
    <cellStyle name="40 % - Aksentti4 2" xfId="1466" xr:uid="{20D6C159-9479-4F79-B6A8-5DF14C029E00}"/>
    <cellStyle name="40 % - Aksentti4 2 2" xfId="1467" xr:uid="{A512B3AA-12FF-45E3-96AF-4391A6859605}"/>
    <cellStyle name="40 % - Aksentti4 3" xfId="1468" xr:uid="{60895798-90B9-4C92-B785-B3836ED9032E}"/>
    <cellStyle name="40 % - Aksentti4_Additional information tables" xfId="1469" xr:uid="{B15CBAA6-14FA-480E-9C0E-7008BCB89FA2}"/>
    <cellStyle name="40 % - Aksentti5" xfId="1470" xr:uid="{6B181256-1A3F-4E9E-9C38-969AF3A0D7E9}"/>
    <cellStyle name="40 % - Aksentti5 2" xfId="1471" xr:uid="{D78939ED-9A1A-4E6F-A09B-660C3E5C0993}"/>
    <cellStyle name="40 % - Aksentti5 2 2" xfId="1472" xr:uid="{3AB49193-504E-45F2-B64B-733C1F1462C5}"/>
    <cellStyle name="40 % - Aksentti5 3" xfId="1473" xr:uid="{A7CE91FC-166D-4F53-B6CA-0B1663CEF7E7}"/>
    <cellStyle name="40 % - Aksentti5_Additional information tables" xfId="1474" xr:uid="{A7803ECE-C243-4542-82BB-626AB1C5C5C5}"/>
    <cellStyle name="40 % - Aksentti6" xfId="1475" xr:uid="{08314F59-9709-4199-9545-ACFFAF024DF8}"/>
    <cellStyle name="40 % - Aksentti6 2" xfId="1476" xr:uid="{844070FE-FA51-4BE6-85FD-B6ECF4015522}"/>
    <cellStyle name="40 % - Aksentti6 2 2" xfId="1477" xr:uid="{030ACBBD-2E63-4773-80FF-379CDC807F86}"/>
    <cellStyle name="40 % - Aksentti6 3" xfId="1478" xr:uid="{E53F4951-429B-4AFC-A458-E624887A19E5}"/>
    <cellStyle name="40 % - Aksentti6_Additional information tables" xfId="1479" xr:uid="{B3C82B55-D58D-49C8-9A69-76CEECC9A053}"/>
    <cellStyle name="40 % - Akzent1" xfId="1480" xr:uid="{97B6C915-7611-4052-AF7A-AC9448BA8166}"/>
    <cellStyle name="40 % - Akzent2" xfId="1481" xr:uid="{7E2B6B1A-6E45-4745-9E16-030F20CECA3C}"/>
    <cellStyle name="40 % - Akzent3" xfId="1482" xr:uid="{A34884C2-F7A6-494B-B066-757928686FAB}"/>
    <cellStyle name="40 % - Akzent4" xfId="1483" xr:uid="{15BB6A24-77E3-4F0A-829B-AC52644BFE23}"/>
    <cellStyle name="40 % - Akzent5" xfId="1484" xr:uid="{A230C6C7-3C89-4B9E-BE0A-117EBEA88E0C}"/>
    <cellStyle name="40 % - Akzent6" xfId="1485" xr:uid="{06806450-8ED2-494E-9516-53D1844965A9}"/>
    <cellStyle name="40 % - Markeringsfarve1" xfId="1486" xr:uid="{9ACA2763-2CA1-4035-8D4E-2F30997B5685}"/>
    <cellStyle name="40 % - Markeringsfarve1 2" xfId="1487" xr:uid="{BF760383-1999-4080-847D-9B124033BA8B}"/>
    <cellStyle name="40 % - Markeringsfarve2" xfId="1488" xr:uid="{284B1B36-4AA8-456D-9619-305E2632D800}"/>
    <cellStyle name="40 % - Markeringsfarve2 2" xfId="1489" xr:uid="{B038F68A-7C8E-4F7F-BB93-2C146CDF1DF0}"/>
    <cellStyle name="40 % - Markeringsfarve3" xfId="1490" xr:uid="{A22B14F0-7564-4B2B-9C0F-E903E4D3D49E}"/>
    <cellStyle name="40 % - Markeringsfarve3 2" xfId="1491" xr:uid="{0B66D799-A570-4158-83FB-8C8DFDB6EC69}"/>
    <cellStyle name="40 % - Markeringsfarve4" xfId="1492" xr:uid="{3F37F054-ECC4-476A-A14D-F9EC19A42C26}"/>
    <cellStyle name="40 % - Markeringsfarve4 2" xfId="1493" xr:uid="{6CBEAA49-9757-416E-B55A-3CFA44838B39}"/>
    <cellStyle name="40 % - Markeringsfarve5" xfId="1494" xr:uid="{0D9832A8-E589-45A6-B703-8D02FBF10CF5}"/>
    <cellStyle name="40 % - Markeringsfarve5 2" xfId="1495" xr:uid="{6ACA0F87-CD89-44A3-8CB6-A691C9D4C752}"/>
    <cellStyle name="40 % - Markeringsfarve6" xfId="1496" xr:uid="{C6E49983-72F3-4F2B-A63C-F9C035EAFE28}"/>
    <cellStyle name="40 % - Markeringsfarve6 2" xfId="1497" xr:uid="{35207475-FE30-4CED-AB78-326B03577D4D}"/>
    <cellStyle name="40 % – Zvýraznění1" xfId="1498" xr:uid="{89A4CEA4-48A5-4D7E-9181-3871AD9C2E46}"/>
    <cellStyle name="40 % – Zvýraznění2" xfId="1499" xr:uid="{7FC0FC67-CAE6-43B5-A77F-FB6AA706E720}"/>
    <cellStyle name="40 % – Zvýraznění3" xfId="1500" xr:uid="{6D416681-7AF4-400A-ACE6-5C86B9F33F4E}"/>
    <cellStyle name="40 % – Zvýraznění4" xfId="1501" xr:uid="{B38E0116-FB7A-4E61-B91B-99C01A6AD563}"/>
    <cellStyle name="40 % – Zvýraznění5" xfId="1502" xr:uid="{AC370F85-3250-412C-85FF-F6A6C975C5CD}"/>
    <cellStyle name="40 % – Zvýraznění6" xfId="1503" xr:uid="{68A02F4E-E560-4B0E-AE70-FAA677833177}"/>
    <cellStyle name="40 % - Accent1" xfId="14928" xr:uid="{5788E57A-2EE8-4192-85EE-EF73E4BE4D0C}"/>
    <cellStyle name="40 % - Accent1 2" xfId="1504" xr:uid="{C2D1DEE0-A1FF-473D-8C60-4DB4A9764ECD}"/>
    <cellStyle name="40 % - Accent1 2 2" xfId="1505" xr:uid="{6E2399DE-6372-4F49-9F97-3FA5B2E2A92E}"/>
    <cellStyle name="40 % - Accent1 2 2 2" xfId="1506" xr:uid="{ED447148-A314-43AC-8175-B94C04B9A328}"/>
    <cellStyle name="40 % - Accent1 2 3" xfId="1507" xr:uid="{F615FE57-9D95-4AA0-9296-90A93006EE40}"/>
    <cellStyle name="40 % - Accent1 2_Copie de 130905 DSNA 2011 Dossier de révision initial KG _ Autre Prod vendue" xfId="1508" xr:uid="{CC17C726-FE39-4DC4-ACF3-7931BD0EA496}"/>
    <cellStyle name="40 % - Accent1 3" xfId="1509" xr:uid="{46CA2301-D332-4BD8-93D4-6A5C33E58571}"/>
    <cellStyle name="40 % - Accent1 3 2" xfId="1510" xr:uid="{26A7BB2C-2C2F-43C5-A5FC-BBF644C15629}"/>
    <cellStyle name="40 % - Accent1 3 3" xfId="1511" xr:uid="{9D236244-1929-4647-8999-DC80C56A922B}"/>
    <cellStyle name="40 % - Accent1 4" xfId="1512" xr:uid="{086EDAE9-F0E3-488F-B32B-405E6E57D2CA}"/>
    <cellStyle name="40 % - Accent1 4 2" xfId="1513" xr:uid="{E8223F6E-CC8E-4A79-96D6-F4AECD756B96}"/>
    <cellStyle name="40 % - Accent1 5" xfId="1514" xr:uid="{0B5763DF-7089-4722-BDC6-6C272AF3257E}"/>
    <cellStyle name="40 % - Accent1 5 2" xfId="1515" xr:uid="{3D11FA6F-7674-4518-B4D3-E0F52A3706A8}"/>
    <cellStyle name="40 % - Accent1 6" xfId="1516" xr:uid="{1317B70F-500D-4B18-A81C-BB3AD04F1CD6}"/>
    <cellStyle name="40 % - Accent2" xfId="14929" xr:uid="{3DE4BD14-387C-4A73-AF2B-1644324F272E}"/>
    <cellStyle name="40 % - Accent2 2" xfId="1517" xr:uid="{4FD2159F-7CDC-4897-97B7-98FE0F9F5975}"/>
    <cellStyle name="40 % - Accent2 2 2" xfId="1518" xr:uid="{2EC1B970-0551-4A20-905D-EAD23DAFBB45}"/>
    <cellStyle name="40 % - Accent2 2 2 2" xfId="1519" xr:uid="{7AA6346C-F9CB-40BC-81A8-9F1B516405F8}"/>
    <cellStyle name="40 % - Accent2 2 3" xfId="1520" xr:uid="{618B2F51-EE72-48BC-9826-52DE209D8F0D}"/>
    <cellStyle name="40 % - Accent2 2_Copie de 130905 DSNA 2011 Dossier de révision initial KG _ Autre Prod vendue" xfId="1521" xr:uid="{46AE107F-277B-4216-9197-4F7BBD695D86}"/>
    <cellStyle name="40 % - Accent2 3" xfId="1522" xr:uid="{1A0841ED-37CB-4233-B315-7CD6E233BAB6}"/>
    <cellStyle name="40 % - Accent2 3 2" xfId="1523" xr:uid="{93EBE9B7-7554-4C9A-AA3C-89DAFA21326B}"/>
    <cellStyle name="40 % - Accent2 3 3" xfId="1524" xr:uid="{1CF8ACDC-1CBE-4FDC-A76B-956DB955692F}"/>
    <cellStyle name="40 % - Accent2 4" xfId="1525" xr:uid="{7B9FFB02-DD19-490C-8FA6-AEA4A052C0ED}"/>
    <cellStyle name="40 % - Accent2 5" xfId="1526" xr:uid="{8015B411-28DE-4093-9CF1-F772D4DC7211}"/>
    <cellStyle name="40 % - Accent2 5 2" xfId="1527" xr:uid="{BD1613A8-8024-414A-97F3-B5A0B635BDA4}"/>
    <cellStyle name="40 % - Accent2 6" xfId="1528" xr:uid="{7B39EC80-258B-4547-9DA0-5CFD18BA830B}"/>
    <cellStyle name="40 % - Accent3" xfId="14930" xr:uid="{B0DC8699-26CF-4373-9108-814BC59464CE}"/>
    <cellStyle name="40 % - Accent3 2" xfId="1529" xr:uid="{E83A4033-D8FC-43B5-906F-B9CD47EBB735}"/>
    <cellStyle name="40 % - Accent3 2 2" xfId="1530" xr:uid="{C65E9F1B-B270-4F32-82C3-D2C916FD912F}"/>
    <cellStyle name="40 % - Accent3 2 2 2" xfId="1531" xr:uid="{88468873-E29C-4496-B2D7-24D6A1CC3879}"/>
    <cellStyle name="40 % - Accent3 2 3" xfId="1532" xr:uid="{C909D462-D714-47FD-884E-71A16CAF0162}"/>
    <cellStyle name="40 % - Accent3 2_Copie de 130905 DSNA 2011 Dossier de révision initial KG _ Autre Prod vendue" xfId="1533" xr:uid="{221E1C84-A449-4FBC-A47D-21904095A87D}"/>
    <cellStyle name="40 % - Accent3 3" xfId="1534" xr:uid="{0BAB8F3D-2482-40D9-B4BA-BAD0D1C96E96}"/>
    <cellStyle name="40 % - Accent3 3 2" xfId="1535" xr:uid="{E2BB1B53-9074-493F-8C5E-29F2868F345E}"/>
    <cellStyle name="40 % - Accent3 3 3" xfId="1536" xr:uid="{08004AF0-51E1-401D-B05B-A0E6693AC273}"/>
    <cellStyle name="40 % - Accent3 4" xfId="1537" xr:uid="{8FB73E91-170F-4103-8391-8C7E378D102D}"/>
    <cellStyle name="40 % - Accent3 4 2" xfId="1538" xr:uid="{3AECF912-25F7-4F85-9142-B82C50DFBD89}"/>
    <cellStyle name="40 % - Accent3 5" xfId="1539" xr:uid="{1F5EB897-5196-4BCA-8A14-614BE81BA912}"/>
    <cellStyle name="40 % - Accent3 5 2" xfId="1540" xr:uid="{81A468FC-9CC4-4036-828C-59AB8A4A9860}"/>
    <cellStyle name="40 % - Accent3 6" xfId="1541" xr:uid="{9516CE98-0CD2-4E88-8443-CB9BD9E5AFF7}"/>
    <cellStyle name="40 % - Accent4" xfId="14931" xr:uid="{4083F521-15A9-40DD-9EE1-A9B2DB86F9F3}"/>
    <cellStyle name="40 % - Accent4 2" xfId="1542" xr:uid="{B613564C-D0A9-4F6D-A123-C4F97B9C5395}"/>
    <cellStyle name="40 % - Accent4 2 2" xfId="1543" xr:uid="{CCEA6FD5-AE92-4453-BD27-95C30AB5C5B2}"/>
    <cellStyle name="40 % - Accent4 2 2 2" xfId="1544" xr:uid="{62400A25-654F-4431-8E6C-4D6AF1F4C265}"/>
    <cellStyle name="40 % - Accent4 2 3" xfId="1545" xr:uid="{B120760F-8A04-46C2-84B4-389B7F9F2EF7}"/>
    <cellStyle name="40 % - Accent4 2_Copie de 130905 DSNA 2011 Dossier de révision initial KG _ Autre Prod vendue" xfId="1546" xr:uid="{6CCA1761-A91A-49B2-BEE6-B69CD132B722}"/>
    <cellStyle name="40 % - Accent4 3" xfId="1547" xr:uid="{949B3F92-E85A-40EB-B775-25B6216EE3BD}"/>
    <cellStyle name="40 % - Accent4 3 2" xfId="1548" xr:uid="{F63C01D6-4EBD-4A66-8603-E05464014C98}"/>
    <cellStyle name="40 % - Accent4 3 3" xfId="1549" xr:uid="{F75D805C-58DE-41AA-9001-F1DAAEE8ECF3}"/>
    <cellStyle name="40 % - Accent4 4" xfId="1550" xr:uid="{F8D72F05-8033-411E-8949-B291DFF4EE59}"/>
    <cellStyle name="40 % - Accent4 4 2" xfId="1551" xr:uid="{D8434899-5D9B-42A4-8D84-04A457ACC47A}"/>
    <cellStyle name="40 % - Accent4 5" xfId="1552" xr:uid="{C330B35E-C14A-4331-88B9-1264CD797509}"/>
    <cellStyle name="40 % - Accent4 5 2" xfId="1553" xr:uid="{BC49ED78-8919-44B1-A76A-0569880F1684}"/>
    <cellStyle name="40 % - Accent4 6" xfId="1554" xr:uid="{39555CC2-0D87-431A-9BFA-CBC11ED38A34}"/>
    <cellStyle name="40 % - Accent5" xfId="14932" xr:uid="{1A5A2C20-E5F1-42AD-8218-FF7D0D453F8F}"/>
    <cellStyle name="40 % - Accent5 2" xfId="1555" xr:uid="{1B5280F9-E318-450B-9EBA-FE668ECD2C49}"/>
    <cellStyle name="40 % - Accent5 2 2" xfId="1556" xr:uid="{41A8CD4B-3E95-41EC-B38E-E86F0DF8A631}"/>
    <cellStyle name="40 % - Accent5 2 2 2" xfId="1557" xr:uid="{D3A0ADB8-D5EE-4052-82DD-96E8B758C585}"/>
    <cellStyle name="40 % - Accent5 2 3" xfId="1558" xr:uid="{4167E1BD-A968-41F2-A569-104B8BEFB062}"/>
    <cellStyle name="40 % - Accent5 2_Copie de 130905 DSNA 2011 Dossier de révision initial KG _ Autre Prod vendue" xfId="1559" xr:uid="{F7D845A8-8631-4CBD-B8D7-5D389037CDEF}"/>
    <cellStyle name="40 % - Accent5 3" xfId="1560" xr:uid="{DFF660EF-3380-4BC1-8C46-7BF623B6C54A}"/>
    <cellStyle name="40 % - Accent5 3 2" xfId="1561" xr:uid="{E7329CAE-4D86-4824-BA84-EF3A1E86D0D8}"/>
    <cellStyle name="40 % - Accent5 3 3" xfId="1562" xr:uid="{DC1C7695-2248-430C-B520-6286E0685BDB}"/>
    <cellStyle name="40 % - Accent5 4" xfId="1563" xr:uid="{E17DE59A-99CD-4EFC-8DAA-F02F5427DC0D}"/>
    <cellStyle name="40 % - Accent5 5" xfId="1564" xr:uid="{31B3448C-BF4E-4D1B-9786-CE7F76D14366}"/>
    <cellStyle name="40 % - Accent5 5 2" xfId="1565" xr:uid="{BB72A53E-88CE-4FB9-B0AB-84CA18C95FCA}"/>
    <cellStyle name="40 % - Accent5 6" xfId="1566" xr:uid="{CFD45DE9-B8C0-4B65-8D44-55D6F3C3BD10}"/>
    <cellStyle name="40 % - Accent6" xfId="14933" xr:uid="{79051769-2711-4DD4-B879-8521EB9FBA38}"/>
    <cellStyle name="40 % - Accent6 2" xfId="1567" xr:uid="{5BFA8E85-A3BC-48C5-A534-DE1DFB93F8DD}"/>
    <cellStyle name="40 % - Accent6 2 2" xfId="1568" xr:uid="{CCDD9117-A132-4290-9A11-22E6A8F2C06E}"/>
    <cellStyle name="40 % - Accent6 2 2 2" xfId="1569" xr:uid="{88893257-4FB9-4047-8C92-4BF6566097F6}"/>
    <cellStyle name="40 % - Accent6 2 3" xfId="1570" xr:uid="{05AC9300-9016-4B3E-988E-CB8C304877A0}"/>
    <cellStyle name="40 % - Accent6 2_Copie de 130905 DSNA 2011 Dossier de révision initial KG _ Autre Prod vendue" xfId="1571" xr:uid="{B2D34A0F-C6D1-44B5-866C-AA14BC8D06A1}"/>
    <cellStyle name="40 % - Accent6 3" xfId="1572" xr:uid="{F7C4179D-85BE-462F-A563-E111E7D9D518}"/>
    <cellStyle name="40 % - Accent6 3 2" xfId="1573" xr:uid="{879FE11D-9942-414B-9AAD-A2DB0FE7BADA}"/>
    <cellStyle name="40 % - Accent6 3 3" xfId="1574" xr:uid="{525BBC66-FE88-451D-A6BE-CCEBFA13952B}"/>
    <cellStyle name="40 % - Accent6 4" xfId="1575" xr:uid="{70B66021-276C-482F-8146-E74ECD9622B5}"/>
    <cellStyle name="40 % - Accent6 4 2" xfId="1576" xr:uid="{04F592A9-EFA4-49F9-B2A9-F7CCEC3F9F10}"/>
    <cellStyle name="40 % - Accent6 5" xfId="1577" xr:uid="{902068B4-036E-4DF5-88DC-A09E39E8B864}"/>
    <cellStyle name="40 % - Accent6 5 2" xfId="1578" xr:uid="{46322EF4-FC4B-438B-B682-6E0B51A8762C}"/>
    <cellStyle name="40 % - Accent6 6" xfId="1579" xr:uid="{8E01B421-5096-4CAF-8312-9F2D11C3F660}"/>
    <cellStyle name="40% - 1. jelölőszín 2" xfId="1580" xr:uid="{6CBD8F3C-D526-4DEC-9E4B-F10CFE502EC1}"/>
    <cellStyle name="40% - 2. jelölőszín 2" xfId="1581" xr:uid="{86DBF9DC-5E49-4A7F-916C-B116020413B4}"/>
    <cellStyle name="40% - 3. jelölőszín 2" xfId="1582" xr:uid="{B714ECDC-2F05-4676-8FE9-94D405C1913C}"/>
    <cellStyle name="40% - 4. jelölőszín 2" xfId="1583" xr:uid="{F72A3DEB-0953-41B3-9C7A-1703F60F50DD}"/>
    <cellStyle name="40% - 5. jelölőszín 2" xfId="1584" xr:uid="{A64C96AF-E07F-4036-B1E8-FA79A90C0BBF}"/>
    <cellStyle name="40% - 6. jelölőszín 2" xfId="1585" xr:uid="{E734937C-A226-4E39-AC9A-33D25283B886}"/>
    <cellStyle name="40% - Accent1 2" xfId="1587" xr:uid="{73975E8F-B2F1-419D-8E60-E0175CE42D75}"/>
    <cellStyle name="40% - Accent1 2 2" xfId="1588" xr:uid="{5F50028A-9821-4427-B9A8-C72BAE478E1B}"/>
    <cellStyle name="40% - Accent1 3" xfId="1586" xr:uid="{46F8DA7B-65B0-4800-AA1C-8D44922CF616}"/>
    <cellStyle name="40% - Accent2 2" xfId="1590" xr:uid="{6140EB3B-C2A2-4603-9FD5-2383AC0F30F2}"/>
    <cellStyle name="40% - Accent2 2 2" xfId="1591" xr:uid="{172737DA-D110-4D8F-98D9-9E2EB00E0CBC}"/>
    <cellStyle name="40% - Accent2 3" xfId="1589" xr:uid="{B42D92FB-A61D-4655-966F-EF7F2B7BC719}"/>
    <cellStyle name="40% - Accent3 2" xfId="1593" xr:uid="{2EA9C1A2-DBCD-4CD0-B681-EF1D48719642}"/>
    <cellStyle name="40% - Accent3 2 2" xfId="1594" xr:uid="{1E0C7A55-7D01-40DD-971D-99D9F7FA4B60}"/>
    <cellStyle name="40% - Accent3 3" xfId="1592" xr:uid="{1AF65C38-5DF3-4E49-8805-9D11B54B0995}"/>
    <cellStyle name="40% - Accent4 2" xfId="1596" xr:uid="{9E5E7989-C21E-402B-A58E-DC66E00C5EF7}"/>
    <cellStyle name="40% - Accent4 2 2" xfId="1597" xr:uid="{B20E9E66-4BA8-4BD9-903A-6FAD3F96C59D}"/>
    <cellStyle name="40% - Accent4 3" xfId="1595" xr:uid="{24FF8904-2382-4E47-A568-188BDE513CB5}"/>
    <cellStyle name="40% - Accent5 2" xfId="1599" xr:uid="{FC035F3B-956E-4C6F-A5FD-04A6004AE335}"/>
    <cellStyle name="40% - Accent5 2 2" xfId="1600" xr:uid="{1834511B-66CF-4F40-98A8-F8383A150FAA}"/>
    <cellStyle name="40% - Accent5 3" xfId="1598" xr:uid="{E4E851A3-9ABF-42CF-84B5-E41E91EFC4B3}"/>
    <cellStyle name="40% - Accent6 2" xfId="1602" xr:uid="{AA3198B1-368D-405C-8A50-79AD213ABC4E}"/>
    <cellStyle name="40% - Accent6 2 2" xfId="1603" xr:uid="{E7BF90F7-0A8F-4959-89A6-393B2F91C131}"/>
    <cellStyle name="40% - Accent6 3" xfId="1601" xr:uid="{B36AD8B3-24DC-45E7-B115-74154002B99D}"/>
    <cellStyle name="40% - akcent 1" xfId="1604" xr:uid="{C07E90FE-3489-43CB-BE9F-E07AC0D73317}"/>
    <cellStyle name="40% - akcent 1 2" xfId="1605" xr:uid="{64483BA8-224E-435D-8FD3-7D919065D537}"/>
    <cellStyle name="40% - akcent 2" xfId="1606" xr:uid="{E7CA1FAC-B864-4575-AADB-79B37AE5EF53}"/>
    <cellStyle name="40% - akcent 2 2" xfId="1607" xr:uid="{D0AC2853-8639-4CF3-A645-A2C97C7F4845}"/>
    <cellStyle name="40% - akcent 3" xfId="1608" xr:uid="{F646490F-6B23-452D-9AE4-C6DEBBC72F0C}"/>
    <cellStyle name="40% - akcent 3 2" xfId="1609" xr:uid="{A78A685D-C65D-47C7-999A-1431EFE76031}"/>
    <cellStyle name="40% - akcent 4" xfId="1610" xr:uid="{43B471C2-3F1C-462A-977E-2A321F92FE45}"/>
    <cellStyle name="40% - akcent 4 2" xfId="1611" xr:uid="{49A2D8C7-8048-46C0-8767-F9CF29EA4E38}"/>
    <cellStyle name="40% - akcent 5" xfId="1612" xr:uid="{08349F32-A104-43F1-989A-518C071E2952}"/>
    <cellStyle name="40% - akcent 5 2" xfId="1613" xr:uid="{7403B371-3883-4BEA-AEA2-BB1FC3D8BDA9}"/>
    <cellStyle name="40% - akcent 6" xfId="1614" xr:uid="{3D6E6125-ED1E-4588-8A16-B41AEDB8CA72}"/>
    <cellStyle name="40% - akcent 6 2" xfId="1615" xr:uid="{EA18E87B-446A-4F15-A249-6D7C498136BF}"/>
    <cellStyle name="40% - Akzent1" xfId="1616" xr:uid="{F3167C56-47F0-453B-B3EA-CC14963304B1}"/>
    <cellStyle name="40% - Akzent1 2" xfId="1617" xr:uid="{0AAC5242-553A-40E1-8B98-3887131731A0}"/>
    <cellStyle name="40% - Akzent1 3" xfId="1618" xr:uid="{DC23FA79-8D3F-418B-B5AB-4BA50127E6FE}"/>
    <cellStyle name="40% - Akzent1_RP3 PP revised" xfId="15245" xr:uid="{0D9DB810-CAC9-473D-ADEE-6063D072D93B}"/>
    <cellStyle name="40% - Akzent2" xfId="1619" xr:uid="{7AD5321A-48C9-4751-83C4-04F5A61D4910}"/>
    <cellStyle name="40% - Akzent2 2" xfId="1620" xr:uid="{99A392B1-A963-40D4-9A41-E5CF82224060}"/>
    <cellStyle name="40% - Akzent2 3" xfId="1621" xr:uid="{01745DA9-8A6A-4BB3-B01C-9028BB70E59C}"/>
    <cellStyle name="40% - Akzent2_RP3 PP revised" xfId="15244" xr:uid="{C3F95029-4AE3-4E61-976B-6A8DC65286E6}"/>
    <cellStyle name="40% - Akzent3" xfId="1622" xr:uid="{4500EC8A-FDDF-45F2-8446-1EEF99477D38}"/>
    <cellStyle name="40% - Akzent3 2" xfId="1623" xr:uid="{CC357DF9-87F6-4D38-AD28-1EBD12BE3538}"/>
    <cellStyle name="40% - Akzent3 3" xfId="1624" xr:uid="{BF9A59B9-70B4-42C4-B272-6B80111F3F4C}"/>
    <cellStyle name="40% - Akzent3_RP3 PP revised" xfId="15243" xr:uid="{5FDE141A-0364-4268-876D-77A32DCA91EF}"/>
    <cellStyle name="40% - Akzent4" xfId="1625" xr:uid="{44F80CFE-0D46-4554-967C-BED7CC406DE5}"/>
    <cellStyle name="40% - Akzent4 2" xfId="1626" xr:uid="{F1A712D5-586A-4244-AE38-23FF643CB039}"/>
    <cellStyle name="40% - Akzent4 3" xfId="1627" xr:uid="{E9259C6C-6028-4DC2-A389-F6F224C75C99}"/>
    <cellStyle name="40% - Akzent4_RP3 PP revised" xfId="15242" xr:uid="{6D82DD64-14B3-4986-89A7-A576A9F89F3C}"/>
    <cellStyle name="40% - Akzent5" xfId="1628" xr:uid="{DBA57D1C-E77D-49DC-AD46-909390C04057}"/>
    <cellStyle name="40% - Akzent5 2" xfId="1629" xr:uid="{6547E674-D29C-4FED-BAA8-8708D08B4E5F}"/>
    <cellStyle name="40% - Akzent5 3" xfId="1630" xr:uid="{0EDB1E81-1539-4E93-8455-F6C779A5D85E}"/>
    <cellStyle name="40% - Akzent5_RP3 PP revised" xfId="15241" xr:uid="{9C80D9D7-6F1A-422E-9959-257BEFDC91C6}"/>
    <cellStyle name="40% - Akzent6" xfId="1631" xr:uid="{07925426-CA38-490C-BF5A-35E6EC68F042}"/>
    <cellStyle name="40% - Akzent6 2" xfId="1632" xr:uid="{4938F1BD-1F10-4B94-8861-AC740CA89520}"/>
    <cellStyle name="40% - Akzent6 3" xfId="1633" xr:uid="{1C65EA4A-994E-406B-B2FB-12A16002C48A}"/>
    <cellStyle name="40% - Akzent6_RP3 PP revised" xfId="15239" xr:uid="{86E36B17-4AF2-4859-A486-E71C84A363AA}"/>
    <cellStyle name="40% - Colore 1 2" xfId="1634" xr:uid="{3678CACF-5ADC-455E-9B5F-B59C0AE5D45B}"/>
    <cellStyle name="40% - Colore 1 3" xfId="1635" xr:uid="{50164FA6-805D-4C36-8908-8FE0558FAE7A}"/>
    <cellStyle name="40% - Colore 2 2" xfId="1636" xr:uid="{9F8D82E2-B30E-4CBB-8B43-416BCE1FE3E4}"/>
    <cellStyle name="40% - Colore 2 3" xfId="1637" xr:uid="{9D2ED056-E3EF-4112-BC97-44D4976E7A43}"/>
    <cellStyle name="40% - Colore 3 2" xfId="1638" xr:uid="{EAD08007-BAAC-49D6-985F-259DC6D3023D}"/>
    <cellStyle name="40% - Colore 3 3" xfId="1639" xr:uid="{FA150AA4-0F48-4487-8DBE-FEAF40F8699D}"/>
    <cellStyle name="40% - Colore 4 2" xfId="1640" xr:uid="{20813C1E-8081-4DDB-ACAB-DB44A245AA18}"/>
    <cellStyle name="40% - Colore 4 3" xfId="1641" xr:uid="{E454CDCF-9E3E-452F-B413-F53661EE67E6}"/>
    <cellStyle name="40% - Colore 5 2" xfId="1642" xr:uid="{8C93800F-9E2C-4344-BEA7-B057F1E19074}"/>
    <cellStyle name="40% - Colore 5 3" xfId="1643" xr:uid="{40DA2A5A-6D6C-4065-9923-87EA1DE404D2}"/>
    <cellStyle name="40% - Colore 6 2" xfId="1644" xr:uid="{0D3D0066-A1B1-489C-BCFB-14A4B57E0FB3}"/>
    <cellStyle name="40% - Colore 6 3" xfId="1645" xr:uid="{AA8D1E2B-CA0B-473A-ACD1-23A9D08C9666}"/>
    <cellStyle name="40% - Dekorfärg1" xfId="1646" xr:uid="{C15BE6FC-9B01-4399-9BFD-77EDC7CCE28A}"/>
    <cellStyle name="40% - Dekorfärg1 2" xfId="1647" xr:uid="{9C2019D3-EF9A-4A96-803E-E846780522DD}"/>
    <cellStyle name="40% - Dekorfärg2" xfId="1648" xr:uid="{A2E49A25-0996-4D8D-AF0E-867D4DE0E861}"/>
    <cellStyle name="40% - Dekorfärg2 2" xfId="1649" xr:uid="{94563FF8-CB6A-466B-8CD2-317D3664A432}"/>
    <cellStyle name="40% - Dekorfärg3" xfId="1650" xr:uid="{8372F33C-D22B-46FC-849D-F9D089F86220}"/>
    <cellStyle name="40% - Dekorfärg3 2" xfId="1651" xr:uid="{FE2F66CC-099D-40D9-9E0F-1D0F2AAF02D4}"/>
    <cellStyle name="40% - Dekorfärg4" xfId="1652" xr:uid="{6D9F3037-E1A7-4841-A99E-469D65466A36}"/>
    <cellStyle name="40% - Dekorfärg4 2" xfId="1653" xr:uid="{A6E9259A-64D9-4E74-ACEC-3D43A9CFAA2C}"/>
    <cellStyle name="40% - Dekorfärg5" xfId="1654" xr:uid="{4B9C553A-BEF4-4D75-A90B-101965E7DA3D}"/>
    <cellStyle name="40% - Dekorfärg5 2" xfId="1655" xr:uid="{2E1F8965-876B-4B11-929F-58DE5A0B5F7F}"/>
    <cellStyle name="40% - Dekorfärg6" xfId="1656" xr:uid="{887669AC-6108-440F-8B8F-FA3FF676C0BD}"/>
    <cellStyle name="40% - Dekorfärg6 2" xfId="1657" xr:uid="{23834C77-E497-4EC9-B382-37A20744491A}"/>
    <cellStyle name="40% - Énfasis1" xfId="1658" xr:uid="{F68A0D98-F82C-46FB-BF6A-F2EEA405D89B}"/>
    <cellStyle name="40% - Énfasis1 2" xfId="1659" xr:uid="{777CE573-348B-4EB4-B5CD-594CD91D7D47}"/>
    <cellStyle name="40% - Énfasis2" xfId="1660" xr:uid="{E9A855DA-D71A-44E9-8F73-3DE900DD4059}"/>
    <cellStyle name="40% - Énfasis2 2" xfId="1661" xr:uid="{D8C4B362-F05C-4A1C-ACFB-FEE8A61306C7}"/>
    <cellStyle name="40% - Énfasis3" xfId="1662" xr:uid="{CF100CA9-4DAB-45DB-9980-079F976D522F}"/>
    <cellStyle name="40% - Énfasis3 2" xfId="1663" xr:uid="{95EAC5EE-0853-4949-A037-1EC769CCD225}"/>
    <cellStyle name="40% - Énfasis4" xfId="1664" xr:uid="{11E5F067-048B-47BA-B03B-498FE3AC65A3}"/>
    <cellStyle name="40% - Énfasis4 2" xfId="1665" xr:uid="{6A92C417-4A7B-4C8B-BAE4-2CA049D5B58A}"/>
    <cellStyle name="40% - Énfasis5" xfId="1666" xr:uid="{08A72906-F573-4691-8C3B-258C56AA3786}"/>
    <cellStyle name="40% - Énfasis5 2" xfId="1667" xr:uid="{24F5FED5-70CB-4E97-BF74-5730CB6A3D35}"/>
    <cellStyle name="40% - Énfasis6" xfId="1668" xr:uid="{C86AB056-D912-437F-AF44-1A07CDFE0419}"/>
    <cellStyle name="40% - Énfasis6 2" xfId="1669" xr:uid="{04C11FD6-AAC0-4DE6-915D-C904C2DF1BA5}"/>
    <cellStyle name="40% – paryškinimas 1" xfId="1670" xr:uid="{C443F20C-FA2F-4FA7-BEBB-6C7871590F5C}"/>
    <cellStyle name="40% – paryškinimas 1 2" xfId="1671" xr:uid="{6E634454-3FE7-4A16-B98F-A8F2417907DC}"/>
    <cellStyle name="40% – paryškinimas 2" xfId="1672" xr:uid="{E6893327-CC2A-4C22-865C-56697B9EE6D3}"/>
    <cellStyle name="40% – paryškinimas 2 2" xfId="1673" xr:uid="{822AB772-3F43-42C0-8CA2-0F6A842308CD}"/>
    <cellStyle name="40% – paryškinimas 3" xfId="1674" xr:uid="{039CDBDA-9E36-4BE5-8B9D-F5984913240C}"/>
    <cellStyle name="40% – paryškinimas 3 2" xfId="1675" xr:uid="{73E5F62F-0989-484D-94DF-72B8B98A836C}"/>
    <cellStyle name="40% – paryškinimas 4" xfId="1676" xr:uid="{5B026187-C2EF-4BD3-AB0A-C97DE358F05F}"/>
    <cellStyle name="40% – paryškinimas 4 2" xfId="1677" xr:uid="{690172C8-6954-4C1B-B923-86FCDEC1CD93}"/>
    <cellStyle name="40% – paryškinimas 5" xfId="1678" xr:uid="{D29B3F24-680E-4482-B2C7-E66B462D1F5A}"/>
    <cellStyle name="40% – paryškinimas 5 2" xfId="1679" xr:uid="{5726E6DC-6CD7-407C-BF18-8F82B7AC30CB}"/>
    <cellStyle name="40% – paryškinimas 6" xfId="1680" xr:uid="{81F58FF5-5A84-4127-94DF-4454BE39E297}"/>
    <cellStyle name="40% – paryškinimas 6 2" xfId="1681" xr:uid="{E5FA963D-546A-405E-85CB-17035552C1C7}"/>
    <cellStyle name="40% – rõhk1" xfId="1682" xr:uid="{DFE11E41-3B29-4BEE-85BA-034D0CA61194}"/>
    <cellStyle name="40% – rõhk1 2" xfId="1683" xr:uid="{7D87F686-60A1-4CCC-83F9-29B68C2616BB}"/>
    <cellStyle name="40% – rõhk1 3" xfId="1684" xr:uid="{7A7A3F0A-9925-46B1-A800-D38837A1F02E}"/>
    <cellStyle name="40% – rõhk2" xfId="1685" xr:uid="{9452FF9E-747B-4690-8DBE-436A2A7A4AA3}"/>
    <cellStyle name="40% – rõhk2 2" xfId="1686" xr:uid="{F8BA6504-D4EC-46D3-A66D-08CBDEF3D0A5}"/>
    <cellStyle name="40% – rõhk2 3" xfId="1687" xr:uid="{743DB115-4154-4B33-B1ED-319F061B985D}"/>
    <cellStyle name="40% – rõhk3" xfId="1688" xr:uid="{BAB8E6D2-0B2E-42C8-B9B4-CD5CC1A9B48A}"/>
    <cellStyle name="40% – rõhk3 2" xfId="1689" xr:uid="{4A47540E-61F0-47D7-A7C3-D1FDD8A77F17}"/>
    <cellStyle name="40% – rõhk3 3" xfId="1690" xr:uid="{5AD08F32-5929-474F-ABC5-F02C801D50A5}"/>
    <cellStyle name="40% – rõhk4" xfId="1691" xr:uid="{850A3FAC-8F6B-482A-B673-EB85118CBEA2}"/>
    <cellStyle name="40% – rõhk4 2" xfId="1692" xr:uid="{9EFF3201-F31C-464E-A817-1593EF0A50F7}"/>
    <cellStyle name="40% – rõhk4 3" xfId="1693" xr:uid="{26EAF30B-D291-45EB-9F29-D5AA7C34E28C}"/>
    <cellStyle name="40% – rõhk5" xfId="1694" xr:uid="{AB60ECEF-A3E5-451A-9D6D-489128CCE672}"/>
    <cellStyle name="40% – rõhk5 2" xfId="1695" xr:uid="{E16BDFAB-9583-4B2A-9017-824BD880809C}"/>
    <cellStyle name="40% – rõhk5 3" xfId="1696" xr:uid="{8DCB0350-8B4B-43F5-A524-959FD1A7FE29}"/>
    <cellStyle name="40% – rõhk6" xfId="1697" xr:uid="{22B69721-6A04-4D89-954E-5D5A495FF2E1}"/>
    <cellStyle name="40% – rõhk6 2" xfId="1698" xr:uid="{4FC20D41-8929-4A01-A1A8-088363E11DE0}"/>
    <cellStyle name="40% – rõhk6 3" xfId="1699" xr:uid="{65D7D20E-EA89-4725-B7E0-41C29A356E6D}"/>
    <cellStyle name="40% - Акцент1" xfId="1700" xr:uid="{6C396AA8-8F83-42E6-BC87-10F00A899503}"/>
    <cellStyle name="40% - Акцент1 2" xfId="1701" xr:uid="{D6DCB33C-A010-4600-BA5C-783809695C1D}"/>
    <cellStyle name="40% - Акцент1 3" xfId="1702" xr:uid="{AF76B0EA-A7E5-453A-9FDA-AFC56B500DB0}"/>
    <cellStyle name="40% - Акцент2" xfId="1703" xr:uid="{FE8B66F7-1E44-4415-AE35-4335629DC2B7}"/>
    <cellStyle name="40% - Акцент2 2" xfId="1704" xr:uid="{60E33B5D-8CCD-40F7-A11D-A9D13DDDA4A6}"/>
    <cellStyle name="40% - Акцент2 3" xfId="1705" xr:uid="{415A7906-0294-4573-9A49-CC991250D576}"/>
    <cellStyle name="40% - Акцент3" xfId="1706" xr:uid="{11C526E1-D3A3-4E8B-B47D-555B1A7B89FB}"/>
    <cellStyle name="40% - Акцент3 2" xfId="1707" xr:uid="{FE3322E5-B316-411E-88A3-B984FBE5135D}"/>
    <cellStyle name="40% - Акцент3 3" xfId="1708" xr:uid="{8C95E5EF-67BA-4712-840B-1EE7D45CEB34}"/>
    <cellStyle name="40% - Акцент4" xfId="1709" xr:uid="{B8E9E5BA-1BA1-4FD7-A9C3-84B05C60B6DF}"/>
    <cellStyle name="40% - Акцент4 2" xfId="1710" xr:uid="{B98FBC4C-E5C6-4DF1-B055-0D55D33AB5F5}"/>
    <cellStyle name="40% - Акцент4 3" xfId="1711" xr:uid="{9453D6AE-2DCB-4703-8A93-63973FD886B0}"/>
    <cellStyle name="40% - Акцент5" xfId="1712" xr:uid="{6BCFC5A4-05CB-40F2-B469-8A160B4110B0}"/>
    <cellStyle name="40% - Акцент5 2" xfId="1713" xr:uid="{2AC87D97-E368-4721-AA13-252657412E61}"/>
    <cellStyle name="40% - Акцент5 3" xfId="1714" xr:uid="{90C7D3C3-ADA1-4642-B3BC-20264D7B48BC}"/>
    <cellStyle name="40% - Акцент6" xfId="1715" xr:uid="{688B8D3A-0844-43E8-9015-E5E0E9DCC50C}"/>
    <cellStyle name="40% - Акцент6 2" xfId="1716" xr:uid="{FC71CCFD-DAA9-4AA7-B804-930E50593D2F}"/>
    <cellStyle name="40% - Акцент6 3" xfId="1717" xr:uid="{0A3F46E3-1433-46CE-A727-D90DEB642673}"/>
    <cellStyle name="60 % - Aksentti1" xfId="1718" xr:uid="{6C226668-E462-4808-BA6B-6287DCC40FFB}"/>
    <cellStyle name="60 % - Aksentti2" xfId="1719" xr:uid="{0DAA73FA-F87D-4BA9-AA5C-7A178970BC79}"/>
    <cellStyle name="60 % - Aksentti3" xfId="1720" xr:uid="{09F888ED-B52F-4B8E-A16A-8C19D428D68F}"/>
    <cellStyle name="60 % - Aksentti4" xfId="1721" xr:uid="{B7FBF364-AC18-490E-A1F2-D125BC10441A}"/>
    <cellStyle name="60 % - Aksentti5" xfId="1722" xr:uid="{0F77A135-B108-416E-8B68-9EDB17F6B394}"/>
    <cellStyle name="60 % - Aksentti6" xfId="1723" xr:uid="{11785EFF-E39A-4A74-896A-A2D434D850D0}"/>
    <cellStyle name="60 % - Akzent1" xfId="1724" xr:uid="{BF417C5F-BB96-4897-B98A-30750CE9B6E1}"/>
    <cellStyle name="60 % - Akzent2" xfId="1725" xr:uid="{CD374B1F-C0E5-4D5B-A892-7B96FEAABD80}"/>
    <cellStyle name="60 % - Akzent3" xfId="1726" xr:uid="{EAD02219-ABBB-4642-9AFA-A7C932F7422D}"/>
    <cellStyle name="60 % - Akzent4" xfId="1727" xr:uid="{E36AA47C-E7F7-4846-BE2D-FDE91E047835}"/>
    <cellStyle name="60 % - Akzent5" xfId="1728" xr:uid="{A3A36B1D-F171-4D57-9C47-2D3E54C4D5E8}"/>
    <cellStyle name="60 % - Akzent6" xfId="1729" xr:uid="{F88378E8-F676-4F48-8F5B-E795D2D585B8}"/>
    <cellStyle name="60 % - Markeringsfarve1" xfId="1730" xr:uid="{0646BBB9-1402-4076-9E47-290CA25B490C}"/>
    <cellStyle name="60 % - Markeringsfarve2" xfId="1731" xr:uid="{6BBEB3B7-3A21-4442-AC76-603F35CA0569}"/>
    <cellStyle name="60 % - Markeringsfarve3" xfId="1732" xr:uid="{85798BFD-5D7B-416C-8F47-B1AD9010439F}"/>
    <cellStyle name="60 % - Markeringsfarve4" xfId="1733" xr:uid="{33C541A0-A2B1-45CB-A8DF-0D4A3F5A4A73}"/>
    <cellStyle name="60 % - Markeringsfarve5" xfId="1734" xr:uid="{67209A75-33AF-4141-A43D-6095588CFEBA}"/>
    <cellStyle name="60 % - Markeringsfarve6" xfId="1735" xr:uid="{B1C32074-22C9-45C1-96B1-7926CE3D64C8}"/>
    <cellStyle name="60 % – Zvýraznění1" xfId="1736" xr:uid="{3AAA5B79-919A-4E26-80F6-E89DB62664FB}"/>
    <cellStyle name="60 % – Zvýraznění2" xfId="1737" xr:uid="{7DA789E2-61B7-4A11-8AC9-B3B48BCB7E9F}"/>
    <cellStyle name="60 % – Zvýraznění3" xfId="1738" xr:uid="{4119953E-CEA1-4B6F-9B2A-86056442A442}"/>
    <cellStyle name="60 % – Zvýraznění4" xfId="1739" xr:uid="{BBDDDEE1-3718-4BF2-895E-5E1E048AAD55}"/>
    <cellStyle name="60 % – Zvýraznění5" xfId="1740" xr:uid="{C3450230-E10D-4B9E-80AF-498108851173}"/>
    <cellStyle name="60 % – Zvýraznění6" xfId="1741" xr:uid="{0779519F-3E1F-4557-960C-97012A4072FE}"/>
    <cellStyle name="60 % - Accent1" xfId="14934" xr:uid="{1FB3B7C8-C2EF-4A11-817A-BD5B0BA3608E}"/>
    <cellStyle name="60 % - Accent1 2" xfId="1742" xr:uid="{ABCB093C-DE01-4119-9795-89C687C97F9C}"/>
    <cellStyle name="60 % - Accent1 2 2" xfId="1743" xr:uid="{C5EEA2ED-1BA9-4C85-A58E-EEC5B1663447}"/>
    <cellStyle name="60 % - Accent1 3" xfId="1744" xr:uid="{3D6AE961-2F63-49AD-BF84-27930CE1E74E}"/>
    <cellStyle name="60 % - Accent1 3 2" xfId="1745" xr:uid="{546A0251-E02E-4286-A8BB-BD4AB536EE2F}"/>
    <cellStyle name="60 % - Accent1 4" xfId="1746" xr:uid="{9A3EAEF6-9879-497B-85EA-42D9A8FF0366}"/>
    <cellStyle name="60 % - Accent1 4 2" xfId="1747" xr:uid="{E85051F9-0D05-45E2-BC2F-211FFC0BA59D}"/>
    <cellStyle name="60 % - Accent1 5" xfId="1748" xr:uid="{26F9B7DA-55FB-4C88-BB18-D9FEFCFEDA99}"/>
    <cellStyle name="60 % - Accent2" xfId="14935" xr:uid="{B16E9EA1-0A9C-4D19-8378-1D2CE3D47DA6}"/>
    <cellStyle name="60 % - Accent2 2" xfId="1749" xr:uid="{DA0522FC-DC22-495B-B0FE-16DF319498BA}"/>
    <cellStyle name="60 % - Accent2 2 2" xfId="1750" xr:uid="{148DA4BB-AC56-4EAD-A6D3-01C2EF1DAF06}"/>
    <cellStyle name="60 % - Accent2 3" xfId="1751" xr:uid="{63D92122-A7E6-4E63-A8C9-3CF308BB335C}"/>
    <cellStyle name="60 % - Accent2 3 2" xfId="1752" xr:uid="{D94070C7-650F-4D9F-A58A-0EB57405B902}"/>
    <cellStyle name="60 % - Accent2 4" xfId="1753" xr:uid="{34ADD00D-202F-47E4-BF06-9BBE3A4365C8}"/>
    <cellStyle name="60 % - Accent2 5" xfId="1754" xr:uid="{31E67932-05EC-40B9-AE1B-BA4FF6CA9C3D}"/>
    <cellStyle name="60 % - Accent3" xfId="14936" xr:uid="{715EE4D4-132E-4E60-B1FC-41A2DD2C73E8}"/>
    <cellStyle name="60 % - Accent3 2" xfId="1755" xr:uid="{B3EF4A04-AFC4-4BBF-BE30-EDA77E9C0685}"/>
    <cellStyle name="60 % - Accent3 2 2" xfId="1756" xr:uid="{46098218-8739-481F-9E30-E3F9FF2D5E79}"/>
    <cellStyle name="60 % - Accent3 3" xfId="1757" xr:uid="{5E207B45-196F-41B5-ABEC-5808AEF1EAB2}"/>
    <cellStyle name="60 % - Accent3 3 2" xfId="1758" xr:uid="{D11B8537-1E10-4784-9BD6-B5D5D9EE84D4}"/>
    <cellStyle name="60 % - Accent3 4" xfId="1759" xr:uid="{3C7EBA85-9EAB-4149-BF2D-610DF3E17512}"/>
    <cellStyle name="60 % - Accent3 4 2" xfId="1760" xr:uid="{6992348B-2F1C-43E9-9029-0C27535C770B}"/>
    <cellStyle name="60 % - Accent3 5" xfId="1761" xr:uid="{13B29ED9-67BB-489D-A17C-B44C80BC501C}"/>
    <cellStyle name="60 % - Accent4" xfId="14937" xr:uid="{A2DE6E1E-4ACB-4F4D-8AE8-11D7BED3FDFA}"/>
    <cellStyle name="60 % - Accent4 2" xfId="1762" xr:uid="{0E76888C-A036-44F9-827B-F456198E793B}"/>
    <cellStyle name="60 % - Accent4 2 2" xfId="1763" xr:uid="{038306E4-433A-4C79-8684-F132AB6E1E80}"/>
    <cellStyle name="60 % - Accent4 3" xfId="1764" xr:uid="{560BC790-3D56-4223-8A4E-5EC5754EE090}"/>
    <cellStyle name="60 % - Accent4 3 2" xfId="1765" xr:uid="{F9B6399B-9808-44C3-9F96-B50EA19B0E22}"/>
    <cellStyle name="60 % - Accent4 4" xfId="1766" xr:uid="{AF435C52-B886-49A5-8FFF-D3D169D38DDD}"/>
    <cellStyle name="60 % - Accent4 4 2" xfId="1767" xr:uid="{3BFE255E-32B6-434C-8E84-B3E90D47F722}"/>
    <cellStyle name="60 % - Accent4 5" xfId="1768" xr:uid="{D6C52F32-5F03-4716-B3D0-0B9148410E5D}"/>
    <cellStyle name="60 % - Accent5" xfId="14938" xr:uid="{EF176704-5EA8-483F-AA2E-60BB0E7D4505}"/>
    <cellStyle name="60 % - Accent5 2" xfId="1769" xr:uid="{137C9E4D-D01C-48F1-99F8-F2134AEFBFB0}"/>
    <cellStyle name="60 % - Accent5 2 2" xfId="1770" xr:uid="{8B1CF10E-6EC8-45F3-97F3-4643ADB2D066}"/>
    <cellStyle name="60 % - Accent5 3" xfId="1771" xr:uid="{318BD8B2-4032-47E2-8F61-18BA2D915B7C}"/>
    <cellStyle name="60 % - Accent5 3 2" xfId="1772" xr:uid="{525C0FC4-1C1E-4320-9C5F-1173FC8FE51B}"/>
    <cellStyle name="60 % - Accent5 4" xfId="1773" xr:uid="{28E6EA3B-7A14-45A2-A689-B35D8FBA3DA8}"/>
    <cellStyle name="60 % - Accent5 5" xfId="1774" xr:uid="{5733A2C7-869C-4CA0-A76B-660EED2C7A84}"/>
    <cellStyle name="60 % - Accent6" xfId="14939" xr:uid="{C5A84D79-FFA5-447F-B957-F5C3CCA10BD7}"/>
    <cellStyle name="60 % - Accent6 2" xfId="1775" xr:uid="{E2E0D845-26E7-4941-B271-BBB7864D4505}"/>
    <cellStyle name="60 % - Accent6 2 2" xfId="1776" xr:uid="{9F47CFE7-B0DB-4A0F-91A8-6BDF139D6CEE}"/>
    <cellStyle name="60 % - Accent6 3" xfId="1777" xr:uid="{1F610D29-886E-496D-81ED-8F96D4543C91}"/>
    <cellStyle name="60 % - Accent6 3 2" xfId="1778" xr:uid="{01678287-0EDA-4C0A-B89C-4C1D14414492}"/>
    <cellStyle name="60 % - Accent6 4" xfId="1779" xr:uid="{4E0AA2BD-084B-4A21-9AE1-A1D87250B906}"/>
    <cellStyle name="60 % - Accent6 4 2" xfId="1780" xr:uid="{077BF8CB-990C-41D9-B132-E10EE7B257AB}"/>
    <cellStyle name="60 % - Accent6 5" xfId="1781" xr:uid="{D1621166-9283-40A0-AF6B-FFC9A9B4FDC5}"/>
    <cellStyle name="60% - 1. jelölőszín 2" xfId="1782" xr:uid="{ECFC7AC3-C01C-4BFD-982F-E84AA5C4C3A8}"/>
    <cellStyle name="60% - 2. jelölőszín 2" xfId="1783" xr:uid="{D60A8931-AFE2-46FA-B470-DBA3F4BA3807}"/>
    <cellStyle name="60% - 3. jelölőszín 2" xfId="1784" xr:uid="{1C4E2F23-0358-423E-BE36-C8432BD755C4}"/>
    <cellStyle name="60% - 4. jelölőszín 2" xfId="1785" xr:uid="{FB5F1474-D975-4C36-BF6B-F96218D2B60A}"/>
    <cellStyle name="60% - 5. jelölőszín 2" xfId="1786" xr:uid="{481840CF-692F-4782-BB95-42A623CB8C54}"/>
    <cellStyle name="60% - 6. jelölőszín 2" xfId="1787" xr:uid="{7F3EE5F9-66F7-4F80-9691-1091229174A8}"/>
    <cellStyle name="60% - Accent1 2" xfId="1789" xr:uid="{373FA02E-DF0C-4F74-A2E3-45F7DEDA8197}"/>
    <cellStyle name="60% - Accent1 3" xfId="1790" xr:uid="{53E545AD-F742-4454-8BD6-27CA0C65A6D6}"/>
    <cellStyle name="60% - Accent1 3 2" xfId="1791" xr:uid="{78673B78-7DE8-4DED-939E-C73FBFA971B6}"/>
    <cellStyle name="60% - Accent1 3 3" xfId="1792" xr:uid="{97635A8F-34BD-45AD-98C7-B16F9776CA13}"/>
    <cellStyle name="60% - Accent1 3_RP3 PP revised" xfId="15234" xr:uid="{D7A6BA62-FE91-4BCB-B3EE-5CDC8A42A439}"/>
    <cellStyle name="60% - Accent1 4" xfId="1788" xr:uid="{CD63D248-DC01-4082-8EA6-2CE2922E3638}"/>
    <cellStyle name="60% - Accent2 2" xfId="1794" xr:uid="{1F219840-B94F-4D91-891B-0BFCC8C9F41C}"/>
    <cellStyle name="60% - Accent2 3" xfId="1793" xr:uid="{B3D19710-73A3-4486-AD7E-ABC8CA0A5145}"/>
    <cellStyle name="60% - Accent3 2" xfId="1796" xr:uid="{F5F6E2D8-D0B4-40B5-AD7D-F39B3F287745}"/>
    <cellStyle name="60% - Accent3 3" xfId="1795" xr:uid="{D8F7A8D7-6DD5-43AE-A132-4DC93308161F}"/>
    <cellStyle name="60% - Accent4 2" xfId="1798" xr:uid="{5AC96331-1DF9-4FE4-9BEF-895BCCBD4E9E}"/>
    <cellStyle name="60% - Accent4 3" xfId="1797" xr:uid="{F16ADD16-8723-47D6-948D-E95EF25B19A1}"/>
    <cellStyle name="60% - Accent5 2" xfId="1800" xr:uid="{EE25A68D-E51A-43EB-A8BE-558E2DBD2BE0}"/>
    <cellStyle name="60% - Accent5 3" xfId="1799" xr:uid="{3230E75F-72E1-4574-9912-DE7C08426283}"/>
    <cellStyle name="60% - Accent6 2" xfId="1802" xr:uid="{FA940946-9382-446A-86BC-A804229AA5CB}"/>
    <cellStyle name="60% - Accent6 3" xfId="1801" xr:uid="{6BC72647-423E-4279-9B7A-6F3632DA6955}"/>
    <cellStyle name="60% - akcent 1" xfId="1803" xr:uid="{526C208F-1523-4F41-BD78-690840F63FFB}"/>
    <cellStyle name="60% - akcent 1 2" xfId="1804" xr:uid="{6184AD78-567B-48CF-805B-5887AFBED32F}"/>
    <cellStyle name="60% - akcent 2" xfId="1805" xr:uid="{969DE80F-0317-48BD-9ECC-603FCAEA1AE2}"/>
    <cellStyle name="60% - akcent 2 2" xfId="1806" xr:uid="{42DF324F-0F05-4FC6-8D4E-918F7DE188BC}"/>
    <cellStyle name="60% - akcent 3" xfId="1807" xr:uid="{D0F6E167-9AE8-4052-BE7F-A3ACC9B26ABA}"/>
    <cellStyle name="60% - akcent 3 2" xfId="1808" xr:uid="{484054BF-5549-42B6-B9B5-E118C2DDBC53}"/>
    <cellStyle name="60% - akcent 4" xfId="1809" xr:uid="{60D1C1B3-3DC3-489D-A991-F12500F49C54}"/>
    <cellStyle name="60% - akcent 4 2" xfId="1810" xr:uid="{6C6A9ACF-883E-460C-AC54-23C1381C5014}"/>
    <cellStyle name="60% - akcent 5" xfId="1811" xr:uid="{E0565BBA-404C-4344-9E76-C099D43F9407}"/>
    <cellStyle name="60% - akcent 5 2" xfId="1812" xr:uid="{9748C72C-5321-4E0F-A7B3-10E09249EEF1}"/>
    <cellStyle name="60% - akcent 6" xfId="1813" xr:uid="{F35F647E-DD34-4285-B8B0-D76B504837E8}"/>
    <cellStyle name="60% - akcent 6 2" xfId="1814" xr:uid="{AE7AD52D-2805-445D-9A48-FE5240F6FB9A}"/>
    <cellStyle name="60% - Akzent1" xfId="1815" xr:uid="{1AEDC7A8-703E-4BC8-B988-D55AF57DADF1}"/>
    <cellStyle name="60% - Akzent1 2" xfId="1816" xr:uid="{5DE7DF27-1F57-4701-86D4-8ABD6BBAF192}"/>
    <cellStyle name="60% - Akzent1 3" xfId="1817" xr:uid="{42586D92-9D9E-4F10-8A99-ACCC93A9AEAC}"/>
    <cellStyle name="60% - Akzent1_RP3 PP revised" xfId="15233" xr:uid="{2A06B1A6-0AE0-424F-BAEE-4DB4F04A5612}"/>
    <cellStyle name="60% - Akzent2" xfId="1818" xr:uid="{B5831A9D-F7ED-4114-B0B0-F373A4BF4451}"/>
    <cellStyle name="60% - Akzent2 2" xfId="1819" xr:uid="{79D58ED4-6758-4EA5-ACDD-E38703CE9FC1}"/>
    <cellStyle name="60% - Akzent2 3" xfId="1820" xr:uid="{615B3E44-D98A-4870-8F64-55CB009F4919}"/>
    <cellStyle name="60% - Akzent2_RP3 PP revised" xfId="15425" xr:uid="{12BBEF82-18CE-4D4D-8778-A4F88FD6E88F}"/>
    <cellStyle name="60% - Akzent3" xfId="1821" xr:uid="{6BC2FB77-2793-439F-919C-9415B30A4E25}"/>
    <cellStyle name="60% - Akzent3 2" xfId="1822" xr:uid="{5733947B-E4C1-4C29-869F-1018BE4DD3F2}"/>
    <cellStyle name="60% - Akzent3 3" xfId="1823" xr:uid="{AC7878EF-BF1B-4F49-87F2-F8E17CE1E46A}"/>
    <cellStyle name="60% - Akzent3_RP3 PP revised" xfId="15424" xr:uid="{CA524536-1B7A-4E96-A480-356A7E172BD2}"/>
    <cellStyle name="60% - Akzent4" xfId="1824" xr:uid="{3483FB78-F5B8-4943-A50E-79881A084498}"/>
    <cellStyle name="60% - Akzent4 2" xfId="1825" xr:uid="{76C4A81D-F0C3-4623-9207-E3709977D3CB}"/>
    <cellStyle name="60% - Akzent4 3" xfId="1826" xr:uid="{8D6319E6-02C7-457C-BF79-C930B71D83C3}"/>
    <cellStyle name="60% - Akzent4_RP3 PP revised" xfId="15423" xr:uid="{210F24D7-036D-458B-9EBD-5B006C42E7B5}"/>
    <cellStyle name="60% - Akzent5" xfId="1827" xr:uid="{26E1D5CB-1C7B-47A2-848F-C76AA324E7D2}"/>
    <cellStyle name="60% - Akzent5 2" xfId="1828" xr:uid="{C4D2339B-ACB2-4220-A3D6-8FC458A3A40F}"/>
    <cellStyle name="60% - Akzent5 3" xfId="1829" xr:uid="{F3CBDA89-A2A7-4304-8ED5-F607555B6FEC}"/>
    <cellStyle name="60% - Akzent5_RP3 PP revised" xfId="15422" xr:uid="{8A870FBB-1F74-44AA-80CF-79E5F5889B61}"/>
    <cellStyle name="60% - Akzent6" xfId="1830" xr:uid="{890F8464-D92B-4A48-A1DB-078A2DAEB7CD}"/>
    <cellStyle name="60% - Akzent6 2" xfId="1831" xr:uid="{DFBF703A-397C-4F91-A8B9-54F4342D5260}"/>
    <cellStyle name="60% - Akzent6 3" xfId="1832" xr:uid="{A0DC303F-9CF0-47F4-860A-7944D6CEFD52}"/>
    <cellStyle name="60% - Akzent6_RP3 PP revised" xfId="15421" xr:uid="{EC5BA072-F4B1-46FD-ADD7-8A07575CE4EF}"/>
    <cellStyle name="60% - Colore 1 2" xfId="1833" xr:uid="{E5FF2D04-A175-4709-88FA-0854C90AB0F7}"/>
    <cellStyle name="60% - Colore 1 3" xfId="1834" xr:uid="{2D8175C6-404E-4948-8D0B-E9F0E070AAE5}"/>
    <cellStyle name="60% - Colore 2 2" xfId="1835" xr:uid="{50654967-DA68-4D80-84B3-DF21FECA8083}"/>
    <cellStyle name="60% - Colore 2 3" xfId="1836" xr:uid="{01F39D11-E606-4D45-B525-5E4C571CCB0B}"/>
    <cellStyle name="60% - Colore 3 2" xfId="1837" xr:uid="{C7ECC4B3-95CA-475E-AC70-AE59341C1D77}"/>
    <cellStyle name="60% - Colore 3 3" xfId="1838" xr:uid="{3226F860-91F3-4C09-8752-BA26035DAA7E}"/>
    <cellStyle name="60% - Colore 4 2" xfId="1839" xr:uid="{105E7E36-8F69-4986-ABB0-75EA7623AE1E}"/>
    <cellStyle name="60% - Colore 4 3" xfId="1840" xr:uid="{0B91061A-A5E6-4E47-B96D-6BD8A6686D65}"/>
    <cellStyle name="60% - Colore 5 2" xfId="1841" xr:uid="{4647FD78-AD10-472C-8F09-486B89030F83}"/>
    <cellStyle name="60% - Colore 5 3" xfId="1842" xr:uid="{548C2AE8-A64B-4CA5-B0CD-5FCCADD4B670}"/>
    <cellStyle name="60% - Colore 6 2" xfId="1843" xr:uid="{019510CB-9D2B-48C8-ACDC-EE09FD67BD5B}"/>
    <cellStyle name="60% - Colore 6 3" xfId="1844" xr:uid="{1E517CE4-4DE9-499E-80CC-BE66DD6F75C3}"/>
    <cellStyle name="60% - Dekorfärg1" xfId="1845" xr:uid="{97983D2E-64DE-42DE-A7B6-D9E47009EA48}"/>
    <cellStyle name="60% - Dekorfärg2" xfId="1846" xr:uid="{4A3E8E02-544A-4C57-9D37-6409E2F222AE}"/>
    <cellStyle name="60% - Dekorfärg3" xfId="1847" xr:uid="{C051967C-76F9-4B6F-BBDE-7E1021B56C73}"/>
    <cellStyle name="60% - Dekorfärg4" xfId="1848" xr:uid="{CFA930D8-23CD-4C7D-ACF8-36D252B6DD8F}"/>
    <cellStyle name="60% - Dekorfärg5" xfId="1849" xr:uid="{3AB922B9-1DB0-4E6B-A104-5937B3129D3D}"/>
    <cellStyle name="60% - Dekorfärg6" xfId="1850" xr:uid="{44488407-465F-4B20-8113-B5C6CB8EEFE1}"/>
    <cellStyle name="60% - Énfasis1" xfId="1851" xr:uid="{118630E8-EA1F-4C20-91E6-BBF0FD9D4D33}"/>
    <cellStyle name="60% - Énfasis2" xfId="1852" xr:uid="{DB516754-8CB9-4CCB-988B-522261FD73E5}"/>
    <cellStyle name="60% - Énfasis3" xfId="1853" xr:uid="{6090EA83-9CAA-47E2-9712-FBA3125B2716}"/>
    <cellStyle name="60% - Énfasis4" xfId="1854" xr:uid="{72C5A8AA-D287-41BB-8F62-0AD754DEADB4}"/>
    <cellStyle name="60% - Énfasis5" xfId="1855" xr:uid="{D7F0245F-2C5F-4BF2-82F4-0A6A6E5EE9C3}"/>
    <cellStyle name="60% - Énfasis6" xfId="1856" xr:uid="{FA27DFDB-D8D4-4222-B514-ACDDC886382C}"/>
    <cellStyle name="60% – paryškinimas 1" xfId="1857" xr:uid="{51F19A38-33E1-4FFA-9539-E8575E9854D1}"/>
    <cellStyle name="60% – paryškinimas 2" xfId="1858" xr:uid="{3E79BCAB-6E0E-4AE3-898D-BB65028FFC95}"/>
    <cellStyle name="60% – paryškinimas 3" xfId="1859" xr:uid="{14CA8398-3B97-4B36-B171-1A483AC5F6F5}"/>
    <cellStyle name="60% – paryškinimas 4" xfId="1860" xr:uid="{5D086CEE-DE6B-4FCF-9AB2-40767058368A}"/>
    <cellStyle name="60% – paryškinimas 5" xfId="1861" xr:uid="{AAB73DFA-9514-43CF-967B-10F9BDE7874C}"/>
    <cellStyle name="60% – paryškinimas 6" xfId="1862" xr:uid="{68FDB497-DC2D-4C0E-BB9A-A60F2522BB18}"/>
    <cellStyle name="60% – rõhk1" xfId="1863" xr:uid="{123E810A-BD7D-4F87-97E8-B88171C1D2DE}"/>
    <cellStyle name="60% – rõhk1 2" xfId="1864" xr:uid="{EFF51161-03DC-4703-8A86-A6EB263505FA}"/>
    <cellStyle name="60% – rõhk1 3" xfId="1865" xr:uid="{404BC9C7-BF12-4722-82B8-F20DE841675D}"/>
    <cellStyle name="60% – rõhk2" xfId="1866" xr:uid="{EE490F2E-EA22-4741-AB07-41C59B521CB5}"/>
    <cellStyle name="60% – rõhk2 2" xfId="1867" xr:uid="{D08C20A0-5122-4779-AC15-150CA4E30D9B}"/>
    <cellStyle name="60% – rõhk2 3" xfId="1868" xr:uid="{B707F769-148A-498A-86D0-3BC9830CC72E}"/>
    <cellStyle name="60% – rõhk3" xfId="1869" xr:uid="{7A3599C3-6F64-4CE1-85C7-8AD63D06D959}"/>
    <cellStyle name="60% – rõhk3 2" xfId="1870" xr:uid="{956F14D1-C8B9-4497-96AC-DB02A65B4282}"/>
    <cellStyle name="60% – rõhk3 3" xfId="1871" xr:uid="{5572090B-7A3D-418F-ACB3-200BAB70C50F}"/>
    <cellStyle name="60% – rõhk4" xfId="1872" xr:uid="{8630E305-A8D7-4131-A6D8-A41632E9BC89}"/>
    <cellStyle name="60% – rõhk4 2" xfId="1873" xr:uid="{2A85E4F3-CCAD-4339-B2E0-B7011A825896}"/>
    <cellStyle name="60% – rõhk4 3" xfId="1874" xr:uid="{25DC5416-FBDF-4089-A3FF-7DA814A7581D}"/>
    <cellStyle name="60% – rõhk5" xfId="1875" xr:uid="{0281ABA6-B665-45A8-BD3C-0932462ED8C4}"/>
    <cellStyle name="60% – rõhk5 2" xfId="1876" xr:uid="{A296CBE6-7AEF-4F9B-B969-3D741FB3AD05}"/>
    <cellStyle name="60% – rõhk5 3" xfId="1877" xr:uid="{83741885-843A-41B8-AF4A-379B69FBA488}"/>
    <cellStyle name="60% – rõhk6" xfId="1878" xr:uid="{86A9AFC4-8B37-498E-B444-88CEFCEBE27F}"/>
    <cellStyle name="60% – rõhk6 2" xfId="1879" xr:uid="{1B2B17B9-1D06-491D-9873-DF386DF82B63}"/>
    <cellStyle name="60% – rõhk6 3" xfId="1880" xr:uid="{D0606032-829E-4F6A-8139-8FC633DDF671}"/>
    <cellStyle name="60% - Акцент1" xfId="1881" xr:uid="{B99AF1FF-46B8-44CC-91BA-E49A67E26104}"/>
    <cellStyle name="60% - Акцент1 2" xfId="1882" xr:uid="{099845A7-B77D-405B-899D-0EB2EFF69684}"/>
    <cellStyle name="60% - Акцент1 3" xfId="1883" xr:uid="{3C83356F-5ED8-4F68-8421-271CB7B8B1EC}"/>
    <cellStyle name="60% - Акцент2" xfId="1884" xr:uid="{651FEB8E-304D-44B9-9558-C3655FB9C160}"/>
    <cellStyle name="60% - Акцент2 2" xfId="1885" xr:uid="{0877AE39-05A5-4718-A92D-0322183EFDE2}"/>
    <cellStyle name="60% - Акцент2 3" xfId="1886" xr:uid="{89E45C4C-FB70-4289-BF14-B06E1513FAE4}"/>
    <cellStyle name="60% - Акцент3" xfId="1887" xr:uid="{DB6CF2BF-DF2E-4FDB-93F1-02BBC65ED42E}"/>
    <cellStyle name="60% - Акцент3 2" xfId="1888" xr:uid="{B0404F19-ADA6-4E75-866B-EA52275425D3}"/>
    <cellStyle name="60% - Акцент3 3" xfId="1889" xr:uid="{FED80867-873C-4FEF-8030-50BDB93F66B0}"/>
    <cellStyle name="60% - Акцент4" xfId="1890" xr:uid="{CB7F8E3E-3B70-4B0C-9CD9-F452BAC46410}"/>
    <cellStyle name="60% - Акцент4 2" xfId="1891" xr:uid="{C34B5465-A2DD-4C05-8ACD-19C957C9B049}"/>
    <cellStyle name="60% - Акцент4 3" xfId="1892" xr:uid="{168232D0-F64D-46F7-B9ED-F35973592706}"/>
    <cellStyle name="60% - Акцент5" xfId="1893" xr:uid="{98C19448-5F59-45F4-8797-AFF1D90E5EBC}"/>
    <cellStyle name="60% - Акцент5 2" xfId="1894" xr:uid="{085BDBDF-3519-4C27-A452-F98D746AAAE0}"/>
    <cellStyle name="60% - Акцент5 3" xfId="1895" xr:uid="{70E10575-D8C3-4C10-836D-71C5D8926E27}"/>
    <cellStyle name="60% - Акцент6" xfId="1896" xr:uid="{AE7004C7-AD28-4044-B36D-A9EE74DB723D}"/>
    <cellStyle name="60% - Акцент6 2" xfId="1897" xr:uid="{AD8E248B-6BAB-4705-B54A-C8890BAF4F36}"/>
    <cellStyle name="60% - Акцент6 3" xfId="1898" xr:uid="{B89829BC-043F-4D77-A898-5917A57A881C}"/>
    <cellStyle name="A" xfId="1899" xr:uid="{CB9E4CCD-D41B-4C75-B1C8-864A4CF5D312}"/>
    <cellStyle name="A1.Title1" xfId="25909" xr:uid="{BB8D531B-DA71-4BD6-AA8C-EBE8D86AB752}"/>
    <cellStyle name="A2.Heading1" xfId="2" xr:uid="{CAD710BE-55EF-4071-BC89-B3E816BBBB49}"/>
    <cellStyle name="A2.Heading2" xfId="3" xr:uid="{5267C10B-42A7-4247-8AA7-95ADB3F724D0}"/>
    <cellStyle name="A2.Heading3" xfId="4" xr:uid="{75E44E6F-EF21-4DD0-B5C0-D4BF507E6C0A}"/>
    <cellStyle name="AA" xfId="1900" xr:uid="{9D5EED52-9CA2-408A-8F69-563BC4BEBE2E}"/>
    <cellStyle name="AA Nombre" xfId="1901" xr:uid="{C92A6239-270A-4D00-9650-227DE3DCCC98}"/>
    <cellStyle name="AA Nombre 2" xfId="1902" xr:uid="{AE182D74-362C-43B4-AEBB-0F23250379FE}"/>
    <cellStyle name="AA Nombre 3" xfId="1903" xr:uid="{8284F4B8-07DF-434A-B2FD-6AF2C2E16C19}"/>
    <cellStyle name="Accent1" xfId="26" builtinId="29" customBuiltin="1"/>
    <cellStyle name="Accent1 - 20 %" xfId="1904" xr:uid="{57105078-9E70-46E0-A064-55B41D6D16A9}"/>
    <cellStyle name="Accent1 - 40 %" xfId="1905" xr:uid="{E161B73D-372B-41A1-80C2-F8130948EF27}"/>
    <cellStyle name="Accent1 - 60 %" xfId="1906" xr:uid="{F6ED9982-05DF-4853-B975-7E9906C363F0}"/>
    <cellStyle name="Accent1 2" xfId="1907" xr:uid="{2E4F2112-B6FF-4FAF-A478-1E3687DFBBBE}"/>
    <cellStyle name="Accent1 2 2" xfId="1908" xr:uid="{E93A0894-A29A-4DB0-BA3F-1313F99EF520}"/>
    <cellStyle name="Accent1 2 2 2" xfId="1909" xr:uid="{DC3D071B-1AA9-4EA9-AEA2-E440950FBE69}"/>
    <cellStyle name="Accent1 2 2 3" xfId="39" xr:uid="{B1695EF2-A1C3-496E-A6A7-89DFFD15C7F3}"/>
    <cellStyle name="Accent1 2 2_RP3 PP revised" xfId="15225" xr:uid="{195BC202-C59F-474D-AF14-76C3DE02B2B5}"/>
    <cellStyle name="Accent1 2 3" xfId="1910" xr:uid="{263F5EC0-2589-467B-9B7E-4AF7CC677D84}"/>
    <cellStyle name="Accent1 2 4" xfId="1911" xr:uid="{0925E2B3-02BA-4D7E-BF0A-37694D859AEC}"/>
    <cellStyle name="Accent1 2_RP3 PP revised" xfId="15226" xr:uid="{789EDE78-2994-47A7-B86A-F22148A6091E}"/>
    <cellStyle name="Accent1 3" xfId="1912" xr:uid="{535DEA49-FB5C-4A34-A6A4-6A986C9628B5}"/>
    <cellStyle name="Accent1 3 2" xfId="1913" xr:uid="{EA42C222-7BB0-4FEB-9607-309DF40B5C89}"/>
    <cellStyle name="Accent1 3 2 2" xfId="1914" xr:uid="{993F687F-9693-4E21-B814-3806D1A3BD47}"/>
    <cellStyle name="Accent1 3 3" xfId="1915" xr:uid="{2FF644F7-B66C-46B9-9352-2E3D819C4AD3}"/>
    <cellStyle name="Accent1 3 4" xfId="15353" xr:uid="{9573F270-0F84-476A-AD7D-B5B354B582BF}"/>
    <cellStyle name="Accent1 3_RP3 PP revised" xfId="15224" xr:uid="{ECB40C68-D90B-47F9-BE2A-8AD8DFF1ACE0}"/>
    <cellStyle name="Accent1 4" xfId="1916" xr:uid="{0B4276B6-13B5-4852-AC64-80ED5A45D3F9}"/>
    <cellStyle name="Accent1 4 2" xfId="1917" xr:uid="{E87673BA-EC97-429A-9768-F162391A3407}"/>
    <cellStyle name="Accent1 4 3" xfId="1918" xr:uid="{5BF97AE5-63FA-4AA7-8132-ED7CCE3CF5FB}"/>
    <cellStyle name="Accent1 5" xfId="1919" xr:uid="{87F5F783-7430-4296-A7DC-B206D86EE38A}"/>
    <cellStyle name="Accent1 6" xfId="14681" xr:uid="{032C4A38-E326-48ED-A88B-0C83B53258BD}"/>
    <cellStyle name="Accent1 7" xfId="14720" xr:uid="{8EB96B79-64C7-46DE-BCB3-6616F51622C9}"/>
    <cellStyle name="Accent1 8" xfId="14712" xr:uid="{52C53AD3-C5BB-437B-8454-0CA619187617}"/>
    <cellStyle name="Accent2" xfId="27" builtinId="33" customBuiltin="1"/>
    <cellStyle name="Accent2 - 20 %" xfId="1920" xr:uid="{8C735BD5-6C50-4B71-A0B8-81AD330B3995}"/>
    <cellStyle name="Accent2 - 40 %" xfId="1921" xr:uid="{1DB1B5E7-4080-470C-8158-B5C502BB192E}"/>
    <cellStyle name="Accent2 - 60 %" xfId="1922" xr:uid="{25B410CB-F41F-4221-81DE-B53C2C31C745}"/>
    <cellStyle name="Accent2 2" xfId="1923" xr:uid="{F326484E-91AC-459F-A82D-1161B28D6A11}"/>
    <cellStyle name="Accent2 2 2" xfId="1924" xr:uid="{BA7253B1-78ED-47B8-AD06-93CD768B87B8}"/>
    <cellStyle name="Accent2 2 2 2" xfId="1925" xr:uid="{6E9EEE11-8BA3-4239-BA2B-F5A4332BECE1}"/>
    <cellStyle name="Accent2 2_RP3 PP revised" xfId="15223" xr:uid="{DA7F123D-7E31-45F5-8405-FE5D81902A67}"/>
    <cellStyle name="Accent2 3" xfId="1926" xr:uid="{E8A47952-9325-40F1-9C83-595AF725F684}"/>
    <cellStyle name="Accent2 3 2" xfId="1927" xr:uid="{A67ABB42-055A-44A2-B4DE-16EF395D03E5}"/>
    <cellStyle name="Accent2 3 2 2" xfId="1928" xr:uid="{EED116E2-177F-4B08-BB2A-20BB9CAFE26B}"/>
    <cellStyle name="Accent2 3 3" xfId="1929" xr:uid="{68B1024C-BAB1-4EF5-859E-7CB06BBCB5AC}"/>
    <cellStyle name="Accent2 4" xfId="1930" xr:uid="{FCE984C3-7504-4566-AC13-12DC062E87C9}"/>
    <cellStyle name="Accent2 4 2" xfId="1931" xr:uid="{9782C147-935F-4C0B-9761-E6CBBE0876EF}"/>
    <cellStyle name="Accent2 4 3" xfId="1932" xr:uid="{D8C28095-80C1-47A8-9E2D-F48CC0B31077}"/>
    <cellStyle name="Accent2 5" xfId="1933" xr:uid="{88AB18C0-A2D3-4B0C-96E6-CF203D28272B}"/>
    <cellStyle name="Accent2 6" xfId="14682" xr:uid="{4D1D5687-6285-4B9F-B858-F3810C8552A3}"/>
    <cellStyle name="Accent2 7" xfId="14691" xr:uid="{FEA2FDD1-4F3B-4D81-8B03-33A9060B1467}"/>
    <cellStyle name="Accent2 8" xfId="14679" xr:uid="{F0D83407-2C92-4C71-A079-08CC495768EF}"/>
    <cellStyle name="Accent3" xfId="28" builtinId="37" customBuiltin="1"/>
    <cellStyle name="Accent3 - 20 %" xfId="1934" xr:uid="{37626F15-1FF0-497A-87C6-F60555C4840F}"/>
    <cellStyle name="Accent3 - 40 %" xfId="1935" xr:uid="{5D671F9B-BE39-4998-82A1-5849D1BDA301}"/>
    <cellStyle name="Accent3 - 60 %" xfId="1936" xr:uid="{61E1CBB1-1752-4DA9-82E8-02BC54C407A1}"/>
    <cellStyle name="Accent3 2" xfId="1937" xr:uid="{1465930B-840F-4F44-9B08-E7283D3C0BCB}"/>
    <cellStyle name="Accent3 2 2" xfId="1938" xr:uid="{7A561A2D-2B45-408B-B91F-D1F014CAF9F8}"/>
    <cellStyle name="Accent3 2 2 2" xfId="1939" xr:uid="{F0C31FB3-43F6-4A9F-91E2-61F8A9A27246}"/>
    <cellStyle name="Accent3 2_RP3 PP revised" xfId="15222" xr:uid="{6F186617-407A-4289-B81A-32BE2F0E1BCA}"/>
    <cellStyle name="Accent3 3" xfId="1940" xr:uid="{FBA63B3B-4F53-4D96-A024-0F840CF6A013}"/>
    <cellStyle name="Accent3 3 2" xfId="1941" xr:uid="{FDC75134-0300-41FF-B2FD-89F036009B60}"/>
    <cellStyle name="Accent3 3 3" xfId="1942" xr:uid="{6F499A56-92FF-4D84-B08B-A818EB6BEC7B}"/>
    <cellStyle name="Accent3 4" xfId="1943" xr:uid="{13760E5F-EE96-450D-901A-8F4A38086C2C}"/>
    <cellStyle name="Accent3 5" xfId="1944" xr:uid="{A96F4843-0626-4094-94D5-03716DFE19D2}"/>
    <cellStyle name="Accent3 5 2" xfId="1945" xr:uid="{62B68EBC-B0BB-4476-A0EF-454BD6AAB56E}"/>
    <cellStyle name="Accent3 6" xfId="1946" xr:uid="{744D3486-EFAB-45B5-B1DD-E6F7CFFC5985}"/>
    <cellStyle name="Accent3 7" xfId="14683" xr:uid="{09134175-0832-4426-906B-A107E241C31F}"/>
    <cellStyle name="Accent3 8" xfId="14726" xr:uid="{947F61BD-C711-40A4-A65C-F0A677D17EF5}"/>
    <cellStyle name="Accent3 9" xfId="14693" xr:uid="{2C4A6F3E-89C0-4A45-908A-0332B8647D3D}"/>
    <cellStyle name="Accent4" xfId="29" builtinId="41" customBuiltin="1"/>
    <cellStyle name="Accent4 - 20 %" xfId="1947" xr:uid="{C55D397F-2FAA-4EBD-B901-0DA6184C040E}"/>
    <cellStyle name="Accent4 - 40 %" xfId="1948" xr:uid="{D760789E-924F-4B8D-A30B-9A315141F914}"/>
    <cellStyle name="Accent4 - 60 %" xfId="1949" xr:uid="{B0A4F338-B069-426C-AA37-A9FF90C16DE1}"/>
    <cellStyle name="Accent4 2" xfId="1950" xr:uid="{0D7E16A5-17F8-4DFC-A4B8-E357835D57C6}"/>
    <cellStyle name="Accent4 2 2" xfId="1951" xr:uid="{17B922BF-FFC6-4B94-8261-7720A0B76AF4}"/>
    <cellStyle name="Accent4 2 2 2" xfId="1952" xr:uid="{2F562A63-6577-4A22-9AD5-940830262678}"/>
    <cellStyle name="Accent4 2_RP3 PP revised" xfId="15221" xr:uid="{4FD2CF87-6AD8-4B54-BC98-8EF885103B85}"/>
    <cellStyle name="Accent4 3" xfId="1953" xr:uid="{F2286572-F25E-4780-81C0-213496FB233C}"/>
    <cellStyle name="Accent4 3 2" xfId="1954" xr:uid="{508BF287-54BC-4334-A0C8-E9063F2C3A49}"/>
    <cellStyle name="Accent4 3 3" xfId="1955" xr:uid="{FADAF05A-6037-4026-AA98-5D271886B089}"/>
    <cellStyle name="Accent4 4" xfId="1956" xr:uid="{A2420C7A-98FF-445F-9828-BB4643C89C5A}"/>
    <cellStyle name="Accent4 5" xfId="1957" xr:uid="{8990E620-7A19-4447-87C7-0154CF7E2679}"/>
    <cellStyle name="Accent4 5 2" xfId="1958" xr:uid="{3DD62E2A-A407-41DC-80E4-487F37EF9856}"/>
    <cellStyle name="Accent4 6" xfId="1959" xr:uid="{4C3C1076-759F-404B-91E6-C14F29A48606}"/>
    <cellStyle name="Accent4 7" xfId="14684" xr:uid="{96F232E2-13D2-41E0-B3C3-1F0A911D4BB5}"/>
    <cellStyle name="Accent4 8" xfId="14723" xr:uid="{466513E0-E0E8-42CF-8C98-43CD1524A04C}"/>
    <cellStyle name="Accent4 9" xfId="14694" xr:uid="{3F027624-AECB-4E9B-B219-02F4B6FF7D4D}"/>
    <cellStyle name="Accent5" xfId="30" builtinId="45" customBuiltin="1"/>
    <cellStyle name="Accent5 - 20 %" xfId="1960" xr:uid="{81A12A84-55A4-465D-8004-118EC953430F}"/>
    <cellStyle name="Accent5 - 40 %" xfId="1961" xr:uid="{AABC50A3-0210-4802-BEE1-BEDDEE065BEF}"/>
    <cellStyle name="Accent5 - 60 %" xfId="1962" xr:uid="{0B89B7CD-8817-4D92-953D-6126F18ECE2A}"/>
    <cellStyle name="Accent5 2" xfId="1963" xr:uid="{38CCCD10-EB24-47C0-8D32-725EDB180AE0}"/>
    <cellStyle name="Accent5 2 2" xfId="1964" xr:uid="{3F87592B-F77F-4CE7-A706-BAAD3EA1BA94}"/>
    <cellStyle name="Accent5 3" xfId="1965" xr:uid="{08BBB293-776F-492E-9E21-76C27163FCFB}"/>
    <cellStyle name="Accent5 3 2" xfId="1966" xr:uid="{BD9C72CC-B0AC-4EFE-A828-5713CF404847}"/>
    <cellStyle name="Accent5 3 2 2" xfId="1967" xr:uid="{CC00E6BF-5421-44F1-9B29-B08C0FCA59F3}"/>
    <cellStyle name="Accent5 3 3" xfId="1968" xr:uid="{9AA33E71-170C-4B14-8182-82B65279896F}"/>
    <cellStyle name="Accent5 4" xfId="1969" xr:uid="{1551285D-3F06-4938-9A84-BECAEF188004}"/>
    <cellStyle name="Accent5 4 2" xfId="1970" xr:uid="{ED9C0E04-4093-4774-B7CE-7C641B9B55BC}"/>
    <cellStyle name="Accent5 4 3" xfId="1971" xr:uid="{49E4DA03-570C-4CDE-AE41-FE401732CB88}"/>
    <cellStyle name="Accent5 5" xfId="1972" xr:uid="{15346A1C-2D11-4642-961C-27805B8CE62D}"/>
    <cellStyle name="Accent5 6" xfId="14685" xr:uid="{971C2C89-42A6-468B-B10C-D842FB7DADF6}"/>
    <cellStyle name="Accent5 7" xfId="14724" xr:uid="{7D4FC827-0211-41B2-BE16-9C3F66D11426}"/>
    <cellStyle name="Accent5 8" xfId="14697" xr:uid="{61500F5B-8A5A-471E-8F18-1E47A73F726D}"/>
    <cellStyle name="Accent6" xfId="31" builtinId="49" customBuiltin="1"/>
    <cellStyle name="Accent6 - 20 %" xfId="1973" xr:uid="{15A7058A-D619-4CD4-8DD7-7F1E43ED8216}"/>
    <cellStyle name="Accent6 - 40 %" xfId="1974" xr:uid="{79983ED5-3F7C-4F4F-A3F8-5A7FA27552C2}"/>
    <cellStyle name="Accent6 - 60 %" xfId="1975" xr:uid="{EA374546-1F72-4D12-B849-23E02BAB920E}"/>
    <cellStyle name="Accent6 2" xfId="1976" xr:uid="{EB4A7918-26FD-48A1-AFD3-7DB9ED4BA6FA}"/>
    <cellStyle name="Accent6 2 2" xfId="1977" xr:uid="{ADF7CC9F-3B28-456C-9C2B-36F477DF53C9}"/>
    <cellStyle name="Accent6 3" xfId="1978" xr:uid="{B2E8370E-B0D2-4D96-988C-0D895C475AA8}"/>
    <cellStyle name="Accent6 3 2" xfId="1979" xr:uid="{1CFF0DDB-BDC5-4987-A452-FF30A885AE0C}"/>
    <cellStyle name="Accent6 3 2 2" xfId="1980" xr:uid="{18FB559F-4D02-4E44-A050-A4A323A4D3C4}"/>
    <cellStyle name="Accent6 3 3" xfId="1981" xr:uid="{5AA3C161-12F3-4ACC-96FE-A402338A70FD}"/>
    <cellStyle name="Accent6 4" xfId="1982" xr:uid="{CDE98E74-5B64-42BE-8563-5F7AD9A47E79}"/>
    <cellStyle name="Accent6 4 2" xfId="1983" xr:uid="{0404D8FA-B7E8-4DD3-AAFC-ACA617A5FFBF}"/>
    <cellStyle name="Accent6 4 3" xfId="1984" xr:uid="{83D9BEA2-3AFC-43BC-9725-E0581F53EDBE}"/>
    <cellStyle name="Accent6 5" xfId="1985" xr:uid="{78B62D96-630D-4B61-BFF3-66C23AF0583A}"/>
    <cellStyle name="Accent6 6" xfId="14686" xr:uid="{8BF3CC76-4302-405E-8A0E-A0A8C5E0B9F9}"/>
    <cellStyle name="Accent6 7" xfId="14725" xr:uid="{9FCD3002-3819-4FF6-B1AB-6370779CC3F8}"/>
    <cellStyle name="Accent6 8" xfId="14695" xr:uid="{F244294B-1D12-442E-8FBB-9E22B2BF5F5B}"/>
    <cellStyle name="Addon output" xfId="1986" xr:uid="{A47D2DA5-6291-4979-BA85-C377A57CA288}"/>
    <cellStyle name="Advarselstekst" xfId="1987" xr:uid="{394FBDB0-4BA4-498E-89F2-C9116CA26E1E}"/>
    <cellStyle name="Aiškinamasis tekstas" xfId="1988" xr:uid="{A527F1A9-39F0-4ED1-A596-39D9DAD1D3E0}"/>
    <cellStyle name="Akcent 1" xfId="1989" xr:uid="{D9DC641E-D09C-4D90-934C-9020400C1B42}"/>
    <cellStyle name="Akcent 1 2" xfId="1990" xr:uid="{0EB99AA3-1E98-47F9-AE83-958DD68A3DDE}"/>
    <cellStyle name="Akcent 2" xfId="1991" xr:uid="{E74DA732-33EF-49AD-A6D1-347D9FAD6889}"/>
    <cellStyle name="Akcent 2 2" xfId="1992" xr:uid="{BC4B29B6-8351-41F8-BEC7-AE8BEBFCF85C}"/>
    <cellStyle name="Akcent 3" xfId="1993" xr:uid="{B16AFA0B-3623-49A7-868F-A43399BB3944}"/>
    <cellStyle name="Akcent 3 2" xfId="1994" xr:uid="{CBD0BB14-5BDA-4EEB-B68A-A48FA60CF32C}"/>
    <cellStyle name="Akcent 4" xfId="1995" xr:uid="{5F17AC52-3B58-45F1-835C-6E9DE4F1B156}"/>
    <cellStyle name="Akcent 4 2" xfId="1996" xr:uid="{62542155-C2C0-40B0-8B9F-0A01BC9340F4}"/>
    <cellStyle name="Akcent 5" xfId="1997" xr:uid="{E96B3B82-9E2D-4726-8A14-A3A4F7844E88}"/>
    <cellStyle name="Akcent 5 2" xfId="1998" xr:uid="{A45981D2-82C7-45A1-976C-AA7EFCF4B522}"/>
    <cellStyle name="Akcent 6" xfId="1999" xr:uid="{B7A648F3-9646-4E77-BE61-412294BADC61}"/>
    <cellStyle name="Akcent 6 2" xfId="2000" xr:uid="{6A9CDEA0-9DE1-4174-87D1-F600D12CEC98}"/>
    <cellStyle name="Aksentti1" xfId="2001" xr:uid="{590BB0BC-A269-4329-B51E-0C86CB356F2E}"/>
    <cellStyle name="Aksentti2" xfId="2002" xr:uid="{AC524555-3E62-472E-B1A2-ACEFC405858B}"/>
    <cellStyle name="Aksentti3" xfId="2003" xr:uid="{5747608C-27BC-4417-827E-472F40AB4AE0}"/>
    <cellStyle name="Aksentti4" xfId="2004" xr:uid="{FC09963B-DDA2-46F6-8E40-16237BF3D7D7}"/>
    <cellStyle name="Aksentti5" xfId="2005" xr:uid="{D10DE712-5EA4-481D-94B0-C9E838714FAE}"/>
    <cellStyle name="Aksentti6" xfId="2006" xr:uid="{993B8B65-CFE8-4D39-B59A-15B0A9C6F604}"/>
    <cellStyle name="Akzent1" xfId="2007" xr:uid="{BF3B825D-52AF-40F0-B202-BEAA9F17E852}"/>
    <cellStyle name="Akzent1 2" xfId="2008" xr:uid="{7FA58B8A-7118-416A-9175-F3B166980640}"/>
    <cellStyle name="Akzent2" xfId="2009" xr:uid="{15A29449-812B-43E0-9F89-ABEBE0469610}"/>
    <cellStyle name="Akzent2 2" xfId="2010" xr:uid="{EB74C112-6723-4426-AA67-4936DFDF542D}"/>
    <cellStyle name="Akzent3" xfId="2011" xr:uid="{ECC3A983-DF6A-402A-B3BC-CED5232622DB}"/>
    <cellStyle name="Akzent4" xfId="2012" xr:uid="{451F7037-5FB1-4013-9BC5-4A2A09EFD57A}"/>
    <cellStyle name="Akzent5" xfId="2013" xr:uid="{CEF42C23-898D-446A-9B41-085AE054C9EA}"/>
    <cellStyle name="Akzent6" xfId="2014" xr:uid="{55574BFC-71CC-45B0-9C63-94BF32B3CAFD}"/>
    <cellStyle name="Anos" xfId="2015" xr:uid="{437EB8DF-2E41-47D1-94CA-942F6A4514FF}"/>
    <cellStyle name="Anteckning" xfId="2016" xr:uid="{55ACA699-50DD-4547-819C-E31744F0EA21}"/>
    <cellStyle name="Anteckning 10" xfId="2017" xr:uid="{DDB5E5C2-DBF8-4EF9-B97A-C1D9C0EDC0F9}"/>
    <cellStyle name="Anteckning 10 2" xfId="2018" xr:uid="{92E57318-205B-493B-9BEF-F7ECDF056CB6}"/>
    <cellStyle name="Anteckning 10 2 2" xfId="2019" xr:uid="{CCD39969-C51B-415F-9792-E36DBD9A4908}"/>
    <cellStyle name="Anteckning 10 2 2 2" xfId="15447" xr:uid="{A48439ED-B482-47AE-B84A-6C2F434D9218}"/>
    <cellStyle name="Anteckning 10 2 3" xfId="2020" xr:uid="{9287B2BF-D7DE-4C24-85E9-F62122B01537}"/>
    <cellStyle name="Anteckning 10 2 3 2" xfId="15448" xr:uid="{4AC69AFA-4959-416C-9D95-15B9264751EF}"/>
    <cellStyle name="Anteckning 10 2 4" xfId="2021" xr:uid="{40D4D670-B531-4CC4-8364-CC4D16FAE215}"/>
    <cellStyle name="Anteckning 10 2 4 2" xfId="15449" xr:uid="{9498E194-D212-4598-A8C0-3D6EA43BDEAF}"/>
    <cellStyle name="Anteckning 10 2 5" xfId="2022" xr:uid="{84E798B2-E186-4248-8413-B6D7FEECDF65}"/>
    <cellStyle name="Anteckning 10 2 5 2" xfId="15450" xr:uid="{720470D4-C835-4452-BEA3-4B4F7ABA168F}"/>
    <cellStyle name="Anteckning 10 2 6" xfId="15446" xr:uid="{E912A61E-9D76-4983-9524-FA83CFEAB435}"/>
    <cellStyle name="Anteckning 10 3" xfId="2023" xr:uid="{C8C0C6CC-C30A-43E1-8B01-7FF7BFE06835}"/>
    <cellStyle name="Anteckning 10 3 2" xfId="15451" xr:uid="{E01A8A33-F101-4FD9-84F6-3A265C471E82}"/>
    <cellStyle name="Anteckning 10 4" xfId="2024" xr:uid="{8000120D-8F3A-43D1-B8BD-3992F03CA3EB}"/>
    <cellStyle name="Anteckning 10 4 2" xfId="15452" xr:uid="{32BEEE73-465A-40E0-B15B-686770EF288E}"/>
    <cellStyle name="Anteckning 10 5" xfId="2025" xr:uid="{59F1A1AA-C7F2-4F9C-9A77-CA84A28A0880}"/>
    <cellStyle name="Anteckning 10 5 2" xfId="15453" xr:uid="{2C9A24A2-D437-46BB-92D8-317D00893E3F}"/>
    <cellStyle name="Anteckning 10 6" xfId="2026" xr:uid="{5BA6E841-CC5D-4EA9-A800-A8D7F83CCAE3}"/>
    <cellStyle name="Anteckning 10 6 2" xfId="15454" xr:uid="{4F4F86A7-8278-42F8-9C77-91C45E75E01F}"/>
    <cellStyle name="Anteckning 10 7" xfId="15445" xr:uid="{CFCF3408-54FF-4DB7-91ED-65B68039B694}"/>
    <cellStyle name="Anteckning 11" xfId="2027" xr:uid="{6998E92C-261F-4476-9FF7-2FD4F6183C30}"/>
    <cellStyle name="Anteckning 11 2" xfId="2028" xr:uid="{0DE3A10E-10B6-4EFC-951F-700A9FAFFA51}"/>
    <cellStyle name="Anteckning 11 2 2" xfId="2029" xr:uid="{F23E5EC1-CCF1-45DB-9CEF-6C55212468B9}"/>
    <cellStyle name="Anteckning 11 2 2 2" xfId="15457" xr:uid="{15F76320-ACB9-44CE-B340-3F5F8FD3692A}"/>
    <cellStyle name="Anteckning 11 2 3" xfId="2030" xr:uid="{9E491AFD-EC4E-42A1-96E3-885C3D328AEE}"/>
    <cellStyle name="Anteckning 11 2 3 2" xfId="15458" xr:uid="{5AF91CD7-7CDD-456E-8556-6EA7A3632F72}"/>
    <cellStyle name="Anteckning 11 2 4" xfId="2031" xr:uid="{ACF17516-6786-4109-8C54-C86CFC0F9D18}"/>
    <cellStyle name="Anteckning 11 2 4 2" xfId="15459" xr:uid="{D82EA126-F1E4-4E28-92A7-90BD7D99E091}"/>
    <cellStyle name="Anteckning 11 2 5" xfId="2032" xr:uid="{C658EEC6-A4D5-445F-B016-3FA8679477A3}"/>
    <cellStyle name="Anteckning 11 2 5 2" xfId="15460" xr:uid="{E93F1037-76B1-4B33-98DC-44F7F1D57C92}"/>
    <cellStyle name="Anteckning 11 2 6" xfId="15456" xr:uid="{8B98EB01-2DE2-43DF-AA09-50C3B3F7974F}"/>
    <cellStyle name="Anteckning 11 3" xfId="2033" xr:uid="{EDC065E3-7D12-4CB8-95C9-ECD851133C7B}"/>
    <cellStyle name="Anteckning 11 3 2" xfId="15461" xr:uid="{5835D986-5A56-447F-AAD6-E070B883D931}"/>
    <cellStyle name="Anteckning 11 4" xfId="2034" xr:uid="{99224530-1B68-4205-AC75-BC2CC3B1F2F6}"/>
    <cellStyle name="Anteckning 11 4 2" xfId="15462" xr:uid="{A1EAE515-9FDD-4DBD-B8C1-DEF2EB973CCF}"/>
    <cellStyle name="Anteckning 11 5" xfId="2035" xr:uid="{EB94A15A-0CAC-4D2E-A2DB-306BF05A6762}"/>
    <cellStyle name="Anteckning 11 5 2" xfId="15463" xr:uid="{8C1E2BF8-594A-4489-AE26-04A9CB621C08}"/>
    <cellStyle name="Anteckning 11 6" xfId="2036" xr:uid="{351D2CE3-C5DE-4785-B52F-7B269CDB1F73}"/>
    <cellStyle name="Anteckning 11 6 2" xfId="15464" xr:uid="{445E27F4-CE10-4C03-BC3C-AC4557D32A10}"/>
    <cellStyle name="Anteckning 11 7" xfId="15455" xr:uid="{B451E8C0-8009-4B0D-AE2D-0F5B31170C26}"/>
    <cellStyle name="Anteckning 12" xfId="2037" xr:uid="{0074C593-909B-4861-83D7-C8D7B759B87C}"/>
    <cellStyle name="Anteckning 12 2" xfId="2038" xr:uid="{4D64DC72-C0F8-4438-B75B-9109E839FDBD}"/>
    <cellStyle name="Anteckning 12 2 2" xfId="2039" xr:uid="{C61F7D42-2FB6-420B-A531-DAC7AD851AEB}"/>
    <cellStyle name="Anteckning 12 2 2 2" xfId="15467" xr:uid="{2E1BE95F-99F3-412F-933C-52A20A5EF8E2}"/>
    <cellStyle name="Anteckning 12 2 3" xfId="2040" xr:uid="{90F61597-6788-4C2E-87FC-10F4DB0779B8}"/>
    <cellStyle name="Anteckning 12 2 3 2" xfId="15468" xr:uid="{1B42F549-32D6-4A99-9552-F96D5DB35AC8}"/>
    <cellStyle name="Anteckning 12 2 4" xfId="2041" xr:uid="{50FEA39F-B287-423D-A08E-D8B4A69703D6}"/>
    <cellStyle name="Anteckning 12 2 4 2" xfId="15469" xr:uid="{D54A6F5B-5624-42EF-8AA9-B0A53E4F9D27}"/>
    <cellStyle name="Anteckning 12 2 5" xfId="2042" xr:uid="{E866F9AD-89AE-4C7F-B1A1-6DCA840A4E83}"/>
    <cellStyle name="Anteckning 12 2 5 2" xfId="15470" xr:uid="{2332D41F-6297-4E7E-B8D9-FE49EF94D0F5}"/>
    <cellStyle name="Anteckning 12 2 6" xfId="15466" xr:uid="{A7363394-72F4-4DD8-A80D-31B3D73C92D1}"/>
    <cellStyle name="Anteckning 12 3" xfId="2043" xr:uid="{F38625AC-254F-446E-8488-FEFB2093A715}"/>
    <cellStyle name="Anteckning 12 3 2" xfId="15471" xr:uid="{F22CB303-FD77-421F-A76F-344BAAA7F865}"/>
    <cellStyle name="Anteckning 12 4" xfId="2044" xr:uid="{A1362277-9187-430A-ABC4-95F725251D7F}"/>
    <cellStyle name="Anteckning 12 4 2" xfId="15472" xr:uid="{BF15CC24-B4D1-4AEE-AB72-5B4A1CE74F23}"/>
    <cellStyle name="Anteckning 12 5" xfId="2045" xr:uid="{CFA5AD78-93E2-4447-91D5-DF192FBFA76C}"/>
    <cellStyle name="Anteckning 12 5 2" xfId="15473" xr:uid="{294DBAED-47B7-429F-97C7-8594C07A27BD}"/>
    <cellStyle name="Anteckning 12 6" xfId="2046" xr:uid="{28091973-24CD-4F8F-9C36-03D6699E8F4D}"/>
    <cellStyle name="Anteckning 12 6 2" xfId="15474" xr:uid="{9DF53192-5488-474C-8FCA-A86821862369}"/>
    <cellStyle name="Anteckning 12 7" xfId="15465" xr:uid="{C2B94BCA-D7CD-411A-8E33-4E89836498D9}"/>
    <cellStyle name="Anteckning 13" xfId="2047" xr:uid="{4A241F6C-EA19-4907-9DFC-A94D96265780}"/>
    <cellStyle name="Anteckning 13 2" xfId="2048" xr:uid="{EA7D965C-3449-4B27-B555-50D9D36DC860}"/>
    <cellStyle name="Anteckning 13 2 2" xfId="2049" xr:uid="{49367890-668E-4C0C-9C78-C4434FC9C4D2}"/>
    <cellStyle name="Anteckning 13 2 2 2" xfId="15477" xr:uid="{7AD9CB29-4166-4D5C-AFE7-E2B00B0A7DFC}"/>
    <cellStyle name="Anteckning 13 2 3" xfId="2050" xr:uid="{5565B54B-C4B4-4685-AAD8-CB8F457AA7D6}"/>
    <cellStyle name="Anteckning 13 2 3 2" xfId="15478" xr:uid="{0FC65A0E-98BF-4ACE-A60D-6E654D63AAB9}"/>
    <cellStyle name="Anteckning 13 2 4" xfId="2051" xr:uid="{02E42C21-A2D2-4A5C-A21B-EFE65C5DF09B}"/>
    <cellStyle name="Anteckning 13 2 4 2" xfId="15479" xr:uid="{69CC0267-E478-4D58-83EB-6DA31C3C69F9}"/>
    <cellStyle name="Anteckning 13 2 5" xfId="2052" xr:uid="{0D5FACFF-9C47-4B7B-B671-D7217E06A8A0}"/>
    <cellStyle name="Anteckning 13 2 5 2" xfId="15480" xr:uid="{248D23B3-E6FE-43B9-8A2E-908AF9BC3D1F}"/>
    <cellStyle name="Anteckning 13 2 6" xfId="15476" xr:uid="{2919D702-CA11-419F-BAAB-1CBC027E431A}"/>
    <cellStyle name="Anteckning 13 3" xfId="2053" xr:uid="{31BA8AE1-4F9D-453F-B88B-89C278A01449}"/>
    <cellStyle name="Anteckning 13 3 2" xfId="15481" xr:uid="{0BC8EB74-B098-41B8-8F45-8ACABA0F7237}"/>
    <cellStyle name="Anteckning 13 4" xfId="2054" xr:uid="{3661F4AD-E213-4FA1-8673-63E0FECEB957}"/>
    <cellStyle name="Anteckning 13 4 2" xfId="15482" xr:uid="{64348E5E-AD43-4555-92DB-0CF61B09EF5A}"/>
    <cellStyle name="Anteckning 13 5" xfId="2055" xr:uid="{ABAD99C9-3F97-41D0-AE40-D6CBCD8A6D7B}"/>
    <cellStyle name="Anteckning 13 5 2" xfId="15483" xr:uid="{A3E352A4-E255-4AC0-B8FA-3F7F02532578}"/>
    <cellStyle name="Anteckning 13 6" xfId="2056" xr:uid="{C6B99720-FCD6-425F-86A7-FAE368119523}"/>
    <cellStyle name="Anteckning 13 6 2" xfId="15484" xr:uid="{96550592-3967-4DC1-85F3-410EBB9A3B01}"/>
    <cellStyle name="Anteckning 13 7" xfId="15475" xr:uid="{347209DF-DBE2-4FA2-9F9B-36B9CE16D34D}"/>
    <cellStyle name="Anteckning 14" xfId="2057" xr:uid="{CE63EC31-BB91-4337-B33F-3EAE517A1A55}"/>
    <cellStyle name="Anteckning 14 2" xfId="2058" xr:uid="{84410E39-436A-47A0-9E40-22BC36DA3FAE}"/>
    <cellStyle name="Anteckning 14 2 2" xfId="2059" xr:uid="{AFBB983B-0020-42F7-8BB8-CE032B364130}"/>
    <cellStyle name="Anteckning 14 2 2 2" xfId="15487" xr:uid="{5FF2CFC3-295D-48BC-84C1-CA255861F9D9}"/>
    <cellStyle name="Anteckning 14 2 3" xfId="2060" xr:uid="{ED905F05-B5AB-4050-B622-2C09C4069515}"/>
    <cellStyle name="Anteckning 14 2 3 2" xfId="15488" xr:uid="{B06FF921-79B7-46A8-87F5-54343A82614F}"/>
    <cellStyle name="Anteckning 14 2 4" xfId="2061" xr:uid="{DC47F53F-622D-4D5B-8D73-6407B4ABF5BF}"/>
    <cellStyle name="Anteckning 14 2 4 2" xfId="15489" xr:uid="{FB4C7458-1617-4869-8FB2-6487957F9E6E}"/>
    <cellStyle name="Anteckning 14 2 5" xfId="2062" xr:uid="{9B0D98B4-C5DB-47F4-835C-BA61C55A6D42}"/>
    <cellStyle name="Anteckning 14 2 5 2" xfId="15490" xr:uid="{8008FCBA-7CF4-4576-8C29-81475121DEB0}"/>
    <cellStyle name="Anteckning 14 2 6" xfId="15486" xr:uid="{1A842DCC-0B6B-42CF-9F11-571AD702E0B7}"/>
    <cellStyle name="Anteckning 14 3" xfId="2063" xr:uid="{AE147621-772D-4388-9EBC-5BE6F1DA0B9A}"/>
    <cellStyle name="Anteckning 14 3 2" xfId="15491" xr:uid="{8D798F27-15C7-4296-B886-86714BCDA36C}"/>
    <cellStyle name="Anteckning 14 4" xfId="2064" xr:uid="{29B23379-0835-4296-A4E3-98D09404B036}"/>
    <cellStyle name="Anteckning 14 4 2" xfId="15492" xr:uid="{C9303D83-77EB-4A5B-867B-06E4C20AA551}"/>
    <cellStyle name="Anteckning 14 5" xfId="2065" xr:uid="{198CC03E-41D9-470A-8477-B1A4C40EF68F}"/>
    <cellStyle name="Anteckning 14 5 2" xfId="15493" xr:uid="{0248F4E9-D7C7-4ABE-A95C-D050DE6A12DE}"/>
    <cellStyle name="Anteckning 14 6" xfId="2066" xr:uid="{A5FD56C9-9548-4246-A42E-31E064F66976}"/>
    <cellStyle name="Anteckning 14 6 2" xfId="15494" xr:uid="{E34E5400-7D1D-41E2-B408-F8E8A484B63D}"/>
    <cellStyle name="Anteckning 14 7" xfId="15485" xr:uid="{879068E2-6F76-4B78-AA3D-9F9AE17CACD1}"/>
    <cellStyle name="Anteckning 15" xfId="2067" xr:uid="{6B95BDDA-323E-4AD5-83E2-CD681BB799EE}"/>
    <cellStyle name="Anteckning 15 2" xfId="2068" xr:uid="{5BF40E99-96E9-4900-B887-2E15140D7232}"/>
    <cellStyle name="Anteckning 15 2 2" xfId="2069" xr:uid="{50BF66B1-9979-4270-B92A-3BE2EAA56682}"/>
    <cellStyle name="Anteckning 15 2 2 2" xfId="15497" xr:uid="{0CC54FAD-791C-4F90-9903-072B06971C6B}"/>
    <cellStyle name="Anteckning 15 2 3" xfId="2070" xr:uid="{CD788126-D218-44C2-86D4-E247708F665F}"/>
    <cellStyle name="Anteckning 15 2 3 2" xfId="15498" xr:uid="{9F607EDC-92EE-4AC6-A1E7-3A1A54B02033}"/>
    <cellStyle name="Anteckning 15 2 4" xfId="2071" xr:uid="{12F5D057-C754-4295-906B-7BEA596226F5}"/>
    <cellStyle name="Anteckning 15 2 4 2" xfId="15499" xr:uid="{62EA5BC1-DD1C-4B04-BDA9-9216FC5DDB7E}"/>
    <cellStyle name="Anteckning 15 2 5" xfId="2072" xr:uid="{97C9D6B9-2699-42DE-923F-AE28E2EA0733}"/>
    <cellStyle name="Anteckning 15 2 5 2" xfId="15500" xr:uid="{1FAAC52C-5B28-48FA-B02B-32FDB08DF5DA}"/>
    <cellStyle name="Anteckning 15 2 6" xfId="15496" xr:uid="{60C59243-5F46-42B4-9E9E-420CC6380C75}"/>
    <cellStyle name="Anteckning 15 3" xfId="2073" xr:uid="{79C3FD7C-4B44-4943-AD21-1B91A706C8F0}"/>
    <cellStyle name="Anteckning 15 3 2" xfId="15501" xr:uid="{C0641297-3181-4C20-BDD9-D8C9B9A7D126}"/>
    <cellStyle name="Anteckning 15 4" xfId="2074" xr:uid="{17E66662-685C-462D-B539-AC49036BF8AA}"/>
    <cellStyle name="Anteckning 15 4 2" xfId="15502" xr:uid="{98B3BA8F-9807-4D92-BDED-3F05058D94B4}"/>
    <cellStyle name="Anteckning 15 5" xfId="2075" xr:uid="{768ADBA6-D16B-46EF-AABA-A7D7A805D4E7}"/>
    <cellStyle name="Anteckning 15 5 2" xfId="15503" xr:uid="{CA0D34D6-7D7C-42CB-BD0A-F3AD919005F5}"/>
    <cellStyle name="Anteckning 15 6" xfId="2076" xr:uid="{74F04E9D-95AD-4BD4-872D-CFB29BA04EE1}"/>
    <cellStyle name="Anteckning 15 6 2" xfId="15504" xr:uid="{EBCD211E-B0F0-4E95-8D4B-F8EE331E66E5}"/>
    <cellStyle name="Anteckning 15 7" xfId="15495" xr:uid="{CD0FFAC6-D419-449E-91F1-C57517FCE416}"/>
    <cellStyle name="Anteckning 16" xfId="2077" xr:uid="{A742FFE5-14F2-4E24-9314-4B8DD2287924}"/>
    <cellStyle name="Anteckning 16 2" xfId="2078" xr:uid="{962FDA94-AF4F-45DB-BA7E-7DB0667F900B}"/>
    <cellStyle name="Anteckning 16 2 2" xfId="2079" xr:uid="{128C34B3-B5EF-4385-894D-A26A184B77B0}"/>
    <cellStyle name="Anteckning 16 2 2 2" xfId="15507" xr:uid="{D54BF7B5-FA58-46F2-905C-58B2ECD60B31}"/>
    <cellStyle name="Anteckning 16 2 3" xfId="2080" xr:uid="{09153186-BD03-4760-80EE-348B9D98F8F7}"/>
    <cellStyle name="Anteckning 16 2 3 2" xfId="15508" xr:uid="{4DCF6B42-A8A0-4F61-8D43-5483FB77097A}"/>
    <cellStyle name="Anteckning 16 2 4" xfId="2081" xr:uid="{A9746030-3A6D-42BF-89F1-77B7E09C45BC}"/>
    <cellStyle name="Anteckning 16 2 4 2" xfId="15509" xr:uid="{8CCF3768-C24D-43BE-A901-BD9883D713A7}"/>
    <cellStyle name="Anteckning 16 2 5" xfId="2082" xr:uid="{BCB81528-1AE6-496D-BDD5-C95ED29739A7}"/>
    <cellStyle name="Anteckning 16 2 5 2" xfId="15510" xr:uid="{A6CF440C-16B8-4D6C-9ACC-73490236D231}"/>
    <cellStyle name="Anteckning 16 2 6" xfId="15506" xr:uid="{1B97B1C2-2318-43F8-AB98-D60A0EB0686B}"/>
    <cellStyle name="Anteckning 16 3" xfId="2083" xr:uid="{893FEA4C-9D28-4A41-B2EC-E037685B35C9}"/>
    <cellStyle name="Anteckning 16 3 2" xfId="15511" xr:uid="{15D0C70B-CF6F-48D6-93F2-483CDD767042}"/>
    <cellStyle name="Anteckning 16 4" xfId="2084" xr:uid="{AF243BAA-08F0-4510-8F08-7F8185C7BBC6}"/>
    <cellStyle name="Anteckning 16 4 2" xfId="15512" xr:uid="{2A6EAAA9-F438-4BDA-B24D-0F4AF1C911AE}"/>
    <cellStyle name="Anteckning 16 5" xfId="2085" xr:uid="{5AC3F41C-D065-43DD-B8FF-13D9BAACE3DD}"/>
    <cellStyle name="Anteckning 16 5 2" xfId="15513" xr:uid="{D6D769E4-0AE2-40AE-A331-C1ED7AE9AF50}"/>
    <cellStyle name="Anteckning 16 6" xfId="2086" xr:uid="{45244F8E-F960-43AB-9C58-F59C5498B795}"/>
    <cellStyle name="Anteckning 16 6 2" xfId="15514" xr:uid="{B44345EC-AAB1-4E52-9A9B-6F99761E1ED3}"/>
    <cellStyle name="Anteckning 16 7" xfId="15505" xr:uid="{98173BD8-B9A6-486F-867D-A6C2F244EECE}"/>
    <cellStyle name="Anteckning 17" xfId="2087" xr:uid="{458FACA9-6A8D-4F89-9EBF-CB99CA36A64C}"/>
    <cellStyle name="Anteckning 17 2" xfId="2088" xr:uid="{E2E8E991-6C7E-4474-8DBF-518FCAAE675E}"/>
    <cellStyle name="Anteckning 17 2 2" xfId="2089" xr:uid="{CC50F952-E526-400C-B6D8-110C9CC8834D}"/>
    <cellStyle name="Anteckning 17 2 2 2" xfId="15517" xr:uid="{9EBC2B18-4F35-436D-AB2D-8D5271DD3084}"/>
    <cellStyle name="Anteckning 17 2 3" xfId="2090" xr:uid="{BF40F9E1-4D95-4485-8A97-78EB6DFD07FD}"/>
    <cellStyle name="Anteckning 17 2 3 2" xfId="15518" xr:uid="{A81F3704-8BF5-4230-8019-0B77A766EE1D}"/>
    <cellStyle name="Anteckning 17 2 4" xfId="2091" xr:uid="{49A0151E-BDF0-4F27-B1F5-FEA0B37BAD2E}"/>
    <cellStyle name="Anteckning 17 2 4 2" xfId="15519" xr:uid="{75B42905-138E-487C-A178-B37E1C4DB305}"/>
    <cellStyle name="Anteckning 17 2 5" xfId="2092" xr:uid="{1D1EF824-5809-42C4-9C0D-6233F65DDEEE}"/>
    <cellStyle name="Anteckning 17 2 5 2" xfId="15520" xr:uid="{7CF4EF71-8F7F-4D27-A82A-B0D0771B6275}"/>
    <cellStyle name="Anteckning 17 2 6" xfId="15516" xr:uid="{CC591CE2-0962-44BE-8D79-0E7215CA84B0}"/>
    <cellStyle name="Anteckning 17 3" xfId="2093" xr:uid="{E3961461-6ED0-4A45-A4C0-B06790357FF1}"/>
    <cellStyle name="Anteckning 17 3 2" xfId="15521" xr:uid="{27F4DB2A-2430-4948-A992-8F68426BE28D}"/>
    <cellStyle name="Anteckning 17 4" xfId="2094" xr:uid="{61961C8A-AA7B-4944-BBDD-CBDB1177D712}"/>
    <cellStyle name="Anteckning 17 4 2" xfId="15522" xr:uid="{B09DB2C9-548C-4205-AA56-40CA3CEC0C6A}"/>
    <cellStyle name="Anteckning 17 5" xfId="2095" xr:uid="{A1FDB262-C657-4CF1-9D6D-B79BF539E4C3}"/>
    <cellStyle name="Anteckning 17 5 2" xfId="15523" xr:uid="{05F39CC3-D8EE-4BCD-B709-DEF4AAEB088E}"/>
    <cellStyle name="Anteckning 17 6" xfId="2096" xr:uid="{5ED2C316-43D7-43B5-90AD-EAEF7A9B2A86}"/>
    <cellStyle name="Anteckning 17 6 2" xfId="15524" xr:uid="{1CD9E7C6-9FD1-4734-BB22-F3E36117501E}"/>
    <cellStyle name="Anteckning 17 7" xfId="15515" xr:uid="{A139183A-BE2C-4DEB-83AD-BD95A2DBEBB8}"/>
    <cellStyle name="Anteckning 18" xfId="2097" xr:uid="{E57CBFE5-F4B8-47E7-B30A-0C8BFB9D9522}"/>
    <cellStyle name="Anteckning 18 2" xfId="2098" xr:uid="{7AF127D0-A905-422A-88A2-07F060632E37}"/>
    <cellStyle name="Anteckning 18 2 2" xfId="2099" xr:uid="{C75441C8-E4CC-4F55-9E09-459FA5347D97}"/>
    <cellStyle name="Anteckning 18 2 2 2" xfId="15527" xr:uid="{4EDC73BC-2EF3-4F55-B4FF-0CFF5094EFA2}"/>
    <cellStyle name="Anteckning 18 2 3" xfId="2100" xr:uid="{12E74237-AC8C-40AC-9323-96F0D45A2873}"/>
    <cellStyle name="Anteckning 18 2 3 2" xfId="15528" xr:uid="{194C7C85-5004-4821-BC5A-AFC390C4CCBA}"/>
    <cellStyle name="Anteckning 18 2 4" xfId="2101" xr:uid="{AAB3DC9F-A425-4C64-BBEB-1B8D502F141F}"/>
    <cellStyle name="Anteckning 18 2 4 2" xfId="15529" xr:uid="{86FAF723-25FE-4EB3-AFC9-8D31F41805D4}"/>
    <cellStyle name="Anteckning 18 2 5" xfId="2102" xr:uid="{51DF0336-C27D-4457-BDE9-59E816E16C12}"/>
    <cellStyle name="Anteckning 18 2 5 2" xfId="15530" xr:uid="{D83DD1B4-578E-4675-9F1E-73C2B7DDB19E}"/>
    <cellStyle name="Anteckning 18 2 6" xfId="15526" xr:uid="{A467D32D-FE57-46E1-AD93-BC72483E0CD9}"/>
    <cellStyle name="Anteckning 18 3" xfId="2103" xr:uid="{6B3531B2-AE14-4E3A-9E06-36397E1353BA}"/>
    <cellStyle name="Anteckning 18 3 2" xfId="15531" xr:uid="{4349B140-9885-4D83-A418-08BC92A6FDB7}"/>
    <cellStyle name="Anteckning 18 4" xfId="2104" xr:uid="{F73BF7D9-9CE0-44B1-A290-50E8540859F1}"/>
    <cellStyle name="Anteckning 18 4 2" xfId="15532" xr:uid="{C56111D1-F1C1-4868-850F-57504468FBA9}"/>
    <cellStyle name="Anteckning 18 5" xfId="2105" xr:uid="{B64169F9-2CE6-4550-B158-F5A31D7A8A38}"/>
    <cellStyle name="Anteckning 18 5 2" xfId="15533" xr:uid="{8DDB1EB8-A01C-4500-B8C6-C478697201CF}"/>
    <cellStyle name="Anteckning 18 6" xfId="2106" xr:uid="{F2357E38-DB65-404A-A2A0-79F094398422}"/>
    <cellStyle name="Anteckning 18 6 2" xfId="15534" xr:uid="{8B231210-733F-453C-8764-CA045DEFECE9}"/>
    <cellStyle name="Anteckning 18 7" xfId="15525" xr:uid="{4B41D6A9-0CEE-4504-935E-B9451C4D60D2}"/>
    <cellStyle name="Anteckning 19" xfId="2107" xr:uid="{43AB5C5B-C7BB-4643-ABCB-E7AB63C9F0C4}"/>
    <cellStyle name="Anteckning 19 2" xfId="2108" xr:uid="{3465454C-F96D-4119-B37E-F1E828F771CB}"/>
    <cellStyle name="Anteckning 19 2 2" xfId="15536" xr:uid="{82CC0CDA-FFDB-456C-BF8B-AB3D43CF92B0}"/>
    <cellStyle name="Anteckning 19 3" xfId="2109" xr:uid="{CB28301E-454D-4261-9F94-FA85C9E715F3}"/>
    <cellStyle name="Anteckning 19 3 2" xfId="15537" xr:uid="{05C319EF-5B1E-4B6D-98C9-F6CB91FF6157}"/>
    <cellStyle name="Anteckning 19 4" xfId="2110" xr:uid="{0C594EB2-0CF1-404F-A350-99CE12A0AB1B}"/>
    <cellStyle name="Anteckning 19 4 2" xfId="15538" xr:uid="{D95178D6-CCEF-4CE3-9904-5C902BD86312}"/>
    <cellStyle name="Anteckning 19 5" xfId="2111" xr:uid="{8C50C954-6496-4FC9-97EC-9B5EAACB484B}"/>
    <cellStyle name="Anteckning 19 5 2" xfId="15539" xr:uid="{DA427319-195C-458B-8885-8BB19B68A8C7}"/>
    <cellStyle name="Anteckning 19 6" xfId="15535" xr:uid="{A88DC428-3506-4787-8956-FD53A29A68FC}"/>
    <cellStyle name="Anteckning 2" xfId="2112" xr:uid="{A2EA3A29-2F96-4852-998E-444C6491E191}"/>
    <cellStyle name="Anteckning 2 2" xfId="2113" xr:uid="{91CA9BC5-DB0E-412F-BEA6-7072612B3ABB}"/>
    <cellStyle name="Anteckning 2 2 2" xfId="2114" xr:uid="{CD7842F5-DE85-4E5C-9523-6D3AB975DD4B}"/>
    <cellStyle name="Anteckning 2 2 2 2" xfId="15542" xr:uid="{EE55AC90-80B6-4947-9FC5-6AB0EDAD1CA0}"/>
    <cellStyle name="Anteckning 2 2 3" xfId="2115" xr:uid="{E3919AD0-6857-468F-A379-634E49642647}"/>
    <cellStyle name="Anteckning 2 2 3 2" xfId="15543" xr:uid="{B2CE3762-D8DB-468D-B22A-31A5AC3BB68D}"/>
    <cellStyle name="Anteckning 2 2 4" xfId="2116" xr:uid="{DC438819-D079-4B75-B5DC-B36D0FCCCD47}"/>
    <cellStyle name="Anteckning 2 2 4 2" xfId="15544" xr:uid="{616B7B8D-A8E5-49F2-B23E-0BC04E77D956}"/>
    <cellStyle name="Anteckning 2 2 5" xfId="2117" xr:uid="{249F8229-49D4-4D52-8F49-2B9677C1E1F5}"/>
    <cellStyle name="Anteckning 2 2 5 2" xfId="15545" xr:uid="{F88C155C-F6CD-4561-A9FF-B9085138B6CB}"/>
    <cellStyle name="Anteckning 2 2 6" xfId="15541" xr:uid="{F48D662C-A578-4F29-AA6E-DDB63D1F7A3A}"/>
    <cellStyle name="Anteckning 2 3" xfId="2118" xr:uid="{1DDDE499-A1A2-4569-951B-2414DE8FE00B}"/>
    <cellStyle name="Anteckning 2 3 2" xfId="15546" xr:uid="{814AAB8A-F016-40FA-8E61-117DA7F6220D}"/>
    <cellStyle name="Anteckning 2 4" xfId="2119" xr:uid="{3FDC9902-61E6-4B4C-85B1-F4EA6880CF6F}"/>
    <cellStyle name="Anteckning 2 4 2" xfId="15547" xr:uid="{801A9235-BC3F-49F2-B9BF-EE8467617BD2}"/>
    <cellStyle name="Anteckning 2 5" xfId="2120" xr:uid="{B5A91B04-B0B1-447F-AE9C-F7F0DBE8467D}"/>
    <cellStyle name="Anteckning 2 5 2" xfId="15548" xr:uid="{6D56C8D4-1E3D-41C1-8F8F-67B26DAA9FB8}"/>
    <cellStyle name="Anteckning 2 6" xfId="2121" xr:uid="{4E9BBA6F-D76E-4082-AAEC-8E78E4C0EBBE}"/>
    <cellStyle name="Anteckning 2 6 2" xfId="15549" xr:uid="{9789F58B-CA62-4077-B5DE-4E3CD6BB9D4C}"/>
    <cellStyle name="Anteckning 2 7" xfId="15540" xr:uid="{D104ED91-89EB-4FD5-8A6F-028A808D8514}"/>
    <cellStyle name="Anteckning 20" xfId="2122" xr:uid="{A4B93CCF-460B-4A6D-975E-B5C78395AD46}"/>
    <cellStyle name="Anteckning 20 2" xfId="15550" xr:uid="{F21F4EA2-A83E-4841-B760-AE8847CE3DF9}"/>
    <cellStyle name="Anteckning 21" xfId="2123" xr:uid="{B290D8A9-9B03-49E5-9453-7454D16A16CD}"/>
    <cellStyle name="Anteckning 21 2" xfId="15551" xr:uid="{A1595FFA-83DF-4C6C-A61F-3C5DB1C30DC0}"/>
    <cellStyle name="Anteckning 22" xfId="2124" xr:uid="{780BE46C-5397-4D0E-8C8B-A3D62B88359D}"/>
    <cellStyle name="Anteckning 22 2" xfId="15552" xr:uid="{57174478-DEE0-4A9F-B2B4-7CABE3A91AC1}"/>
    <cellStyle name="Anteckning 23" xfId="2125" xr:uid="{A21B0AE3-A6C9-4F46-B1CE-CE19C32DBD0F}"/>
    <cellStyle name="Anteckning 23 2" xfId="15553" xr:uid="{91BA1328-2EAE-4C4D-8F43-BC4F54E4CE5B}"/>
    <cellStyle name="Anteckning 24" xfId="14940" xr:uid="{C251E88B-5CF0-4A14-B4C0-F33E1B0B13D9}"/>
    <cellStyle name="Anteckning 3" xfId="2126" xr:uid="{2370B92A-E6C0-4127-A097-250C465AD87A}"/>
    <cellStyle name="Anteckning 3 2" xfId="2127" xr:uid="{BE11C2A4-74E7-4389-BD48-3F807C8D71BD}"/>
    <cellStyle name="Anteckning 3 2 2" xfId="2128" xr:uid="{C76F5CEE-9627-4F17-829E-04BE553D9CF1}"/>
    <cellStyle name="Anteckning 3 2 2 2" xfId="15556" xr:uid="{97460150-FE33-4A11-9BC1-F6D0C189FDAB}"/>
    <cellStyle name="Anteckning 3 2 3" xfId="2129" xr:uid="{101E657B-4D05-4116-9F44-F6DB179258FC}"/>
    <cellStyle name="Anteckning 3 2 3 2" xfId="15557" xr:uid="{66B6A351-1856-42DC-93B3-3BE6E2E5C12C}"/>
    <cellStyle name="Anteckning 3 2 4" xfId="2130" xr:uid="{06686C6D-2A5C-4E9A-996D-062F54B2B576}"/>
    <cellStyle name="Anteckning 3 2 4 2" xfId="15558" xr:uid="{B9852B2F-84A1-4347-BB6E-60FBC8AF85EC}"/>
    <cellStyle name="Anteckning 3 2 5" xfId="2131" xr:uid="{1215FFD5-4EC3-41DF-A79A-0EBA78D0F8CE}"/>
    <cellStyle name="Anteckning 3 2 5 2" xfId="15559" xr:uid="{11C8CCCB-80C7-4F18-888E-B112D5274577}"/>
    <cellStyle name="Anteckning 3 2 6" xfId="15555" xr:uid="{B6538AA1-A4B3-4268-B0E9-951D72950220}"/>
    <cellStyle name="Anteckning 3 3" xfId="2132" xr:uid="{BAD3D422-DB6E-42A7-A895-A622F8F1BCAE}"/>
    <cellStyle name="Anteckning 3 3 2" xfId="15560" xr:uid="{76F5F8EF-1214-4E83-9EA4-925C2A262086}"/>
    <cellStyle name="Anteckning 3 4" xfId="2133" xr:uid="{D49324E1-BA21-417C-A287-265A5A4C48E5}"/>
    <cellStyle name="Anteckning 3 4 2" xfId="15561" xr:uid="{AB76704A-1D32-4A7F-BBD1-F33561246910}"/>
    <cellStyle name="Anteckning 3 5" xfId="2134" xr:uid="{E42D8375-6782-4DA0-9801-A02A566CF96F}"/>
    <cellStyle name="Anteckning 3 5 2" xfId="15562" xr:uid="{2ADD3A91-BC17-4458-9D29-26C377AD5D84}"/>
    <cellStyle name="Anteckning 3 6" xfId="2135" xr:uid="{DACC9FE6-526A-41D3-92C8-9F9903D5BD6F}"/>
    <cellStyle name="Anteckning 3 6 2" xfId="15563" xr:uid="{5812B513-2DAB-4493-B266-AC39B88D369B}"/>
    <cellStyle name="Anteckning 3 7" xfId="15554" xr:uid="{2E978D5C-E8A8-421D-AFDE-F2FFA7E920C9}"/>
    <cellStyle name="Anteckning 4" xfId="2136" xr:uid="{6275AA5F-8022-45F8-BE52-470BD06F7A28}"/>
    <cellStyle name="Anteckning 4 2" xfId="2137" xr:uid="{7AFE6864-5924-4C80-AC32-EB264AD5D011}"/>
    <cellStyle name="Anteckning 4 2 2" xfId="2138" xr:uid="{D0F3946D-AC47-42BA-ABBB-0A8F8D9CEB6A}"/>
    <cellStyle name="Anteckning 4 2 2 2" xfId="15566" xr:uid="{053F10CD-73DE-418F-9C9E-AC74B0FF5D86}"/>
    <cellStyle name="Anteckning 4 2 3" xfId="2139" xr:uid="{B1609779-BBBF-421A-90BD-88A968A82531}"/>
    <cellStyle name="Anteckning 4 2 3 2" xfId="15567" xr:uid="{F150874D-2091-4602-8324-352476416828}"/>
    <cellStyle name="Anteckning 4 2 4" xfId="2140" xr:uid="{568822DE-FFDC-442F-8F55-946162867CBF}"/>
    <cellStyle name="Anteckning 4 2 4 2" xfId="15568" xr:uid="{36FB0A29-9B4E-4DB6-B4A7-FC53C7097BB5}"/>
    <cellStyle name="Anteckning 4 2 5" xfId="2141" xr:uid="{F0C35727-6C20-48C7-B470-278DCDFA5596}"/>
    <cellStyle name="Anteckning 4 2 5 2" xfId="15569" xr:uid="{802F4E28-B62B-4473-A974-85EA8EE77DE0}"/>
    <cellStyle name="Anteckning 4 2 6" xfId="15565" xr:uid="{201EFF31-88C9-4D5C-A920-038B7F88A0BD}"/>
    <cellStyle name="Anteckning 4 3" xfId="2142" xr:uid="{34517F82-8181-47FD-BE47-97A5ED7C1FD5}"/>
    <cellStyle name="Anteckning 4 3 2" xfId="15570" xr:uid="{9B15710C-6116-4472-A936-6DB13B1E1DC7}"/>
    <cellStyle name="Anteckning 4 4" xfId="2143" xr:uid="{F2BEAB89-7EEF-4A74-AB21-6C67048A3986}"/>
    <cellStyle name="Anteckning 4 4 2" xfId="15571" xr:uid="{0CFB73D1-6A47-4A79-A32F-993C2BAAFD24}"/>
    <cellStyle name="Anteckning 4 5" xfId="2144" xr:uid="{80171FA4-CC68-48D4-8E74-E82186C8D8BC}"/>
    <cellStyle name="Anteckning 4 5 2" xfId="15572" xr:uid="{B82D4E57-7AD6-4D74-A2C8-E1F1327BE412}"/>
    <cellStyle name="Anteckning 4 6" xfId="2145" xr:uid="{8E60D46C-376D-4E13-A186-270E94DB8312}"/>
    <cellStyle name="Anteckning 4 6 2" xfId="15573" xr:uid="{CFC6BE78-173E-40EA-BAF7-1D5B59B399DF}"/>
    <cellStyle name="Anteckning 4 7" xfId="15564" xr:uid="{16018339-EEC6-44D9-8386-5B2EE043A0E7}"/>
    <cellStyle name="Anteckning 5" xfId="2146" xr:uid="{C9C6549A-5542-4082-9A6D-CC863870F08D}"/>
    <cellStyle name="Anteckning 5 2" xfId="2147" xr:uid="{182D5176-2E32-45D8-B2A5-C38877098A0D}"/>
    <cellStyle name="Anteckning 5 2 2" xfId="2148" xr:uid="{9BAEA2C1-1AF3-498F-871D-5A0360C5606C}"/>
    <cellStyle name="Anteckning 5 2 2 2" xfId="15576" xr:uid="{8712F327-228D-4DFA-A54C-DF5614ED6671}"/>
    <cellStyle name="Anteckning 5 2 3" xfId="2149" xr:uid="{32DB6D80-5850-41BD-9C00-E1E63EF02345}"/>
    <cellStyle name="Anteckning 5 2 3 2" xfId="15577" xr:uid="{9DDB6F4C-E90B-42E8-9F4A-761E4D27F868}"/>
    <cellStyle name="Anteckning 5 2 4" xfId="2150" xr:uid="{474E5F06-1647-475E-ADB9-68208E18A749}"/>
    <cellStyle name="Anteckning 5 2 4 2" xfId="15578" xr:uid="{63430868-B868-4D39-92E0-4B2DB10170FA}"/>
    <cellStyle name="Anteckning 5 2 5" xfId="2151" xr:uid="{6BCD4378-3F45-4B68-A078-B9B02D22A152}"/>
    <cellStyle name="Anteckning 5 2 5 2" xfId="15579" xr:uid="{A2DB27E5-B97D-45A4-BD90-769645E9C54B}"/>
    <cellStyle name="Anteckning 5 2 6" xfId="15575" xr:uid="{B469CE29-B58D-40B6-98F7-29A4474EB2DB}"/>
    <cellStyle name="Anteckning 5 3" xfId="2152" xr:uid="{F9D5D7CB-F228-4721-8252-24A79CAAB48F}"/>
    <cellStyle name="Anteckning 5 3 2" xfId="15580" xr:uid="{2F35B2BF-54A7-48D0-981E-03B54DA4C73A}"/>
    <cellStyle name="Anteckning 5 4" xfId="2153" xr:uid="{CAB3EAA7-730B-4479-8F71-C63FFD6F0B70}"/>
    <cellStyle name="Anteckning 5 4 2" xfId="15581" xr:uid="{5FF8B420-96AD-437C-BB2B-AD02C158B450}"/>
    <cellStyle name="Anteckning 5 5" xfId="2154" xr:uid="{E98962DB-050C-45C1-BC45-68F022B47566}"/>
    <cellStyle name="Anteckning 5 5 2" xfId="15582" xr:uid="{41261E8F-5155-45DE-83EB-B25E0449A4DB}"/>
    <cellStyle name="Anteckning 5 6" xfId="2155" xr:uid="{F8001B39-961A-4D90-BDFD-2B2524FE9377}"/>
    <cellStyle name="Anteckning 5 6 2" xfId="15583" xr:uid="{1ADF1214-B5D1-47A2-945F-5F818DCF8AED}"/>
    <cellStyle name="Anteckning 5 7" xfId="15574" xr:uid="{26223B7F-CAC1-4C4D-9A76-E64A051F5E42}"/>
    <cellStyle name="Anteckning 6" xfId="2156" xr:uid="{EA6BA7F3-4AB6-42AC-B25C-0F266B26C95B}"/>
    <cellStyle name="Anteckning 6 2" xfId="2157" xr:uid="{2AEA9F5A-219A-4C8E-A94C-9B7EC6147430}"/>
    <cellStyle name="Anteckning 6 2 2" xfId="2158" xr:uid="{B5BB27DE-26A9-446F-BDC5-B291558C585E}"/>
    <cellStyle name="Anteckning 6 2 2 2" xfId="15586" xr:uid="{6ADDE5F3-B8F5-42AF-A1B0-AA67EFDEE32C}"/>
    <cellStyle name="Anteckning 6 2 3" xfId="2159" xr:uid="{04703532-CFAF-4A86-A984-89F1D3535335}"/>
    <cellStyle name="Anteckning 6 2 3 2" xfId="15587" xr:uid="{0CE169EE-08DA-47D8-8EA0-FE57CC82DD85}"/>
    <cellStyle name="Anteckning 6 2 4" xfId="2160" xr:uid="{DD4F7326-DCF9-4020-B610-F9268E657FFD}"/>
    <cellStyle name="Anteckning 6 2 4 2" xfId="15588" xr:uid="{1B2AE9E1-A09A-4CDE-A52A-1606EDE2B020}"/>
    <cellStyle name="Anteckning 6 2 5" xfId="2161" xr:uid="{8C0AE35F-1394-4315-8C86-4078D1CD95E1}"/>
    <cellStyle name="Anteckning 6 2 5 2" xfId="15589" xr:uid="{F95DFC67-A80B-41FE-AF13-24DAE4F48ED9}"/>
    <cellStyle name="Anteckning 6 2 6" xfId="15585" xr:uid="{A47A5868-66C6-48AB-9AF1-AB66C2E3F7CE}"/>
    <cellStyle name="Anteckning 6 3" xfId="2162" xr:uid="{AADB902F-61B6-47E4-9838-9AE389FA88C8}"/>
    <cellStyle name="Anteckning 6 3 2" xfId="15590" xr:uid="{D2D646E1-7525-40DD-A80F-152185B2B95A}"/>
    <cellStyle name="Anteckning 6 4" xfId="2163" xr:uid="{34DC0763-BA58-4C51-B7F6-1688B1D8C697}"/>
    <cellStyle name="Anteckning 6 4 2" xfId="15591" xr:uid="{3392F581-71D4-4D78-9062-63FBB0BD9AE2}"/>
    <cellStyle name="Anteckning 6 5" xfId="2164" xr:uid="{4528748C-198D-4033-940E-60BC09E80C64}"/>
    <cellStyle name="Anteckning 6 5 2" xfId="15592" xr:uid="{F68F4763-FF41-4C17-9DDA-42806A02B4C6}"/>
    <cellStyle name="Anteckning 6 6" xfId="2165" xr:uid="{F9477307-CE35-42FA-B655-EB512B92201F}"/>
    <cellStyle name="Anteckning 6 6 2" xfId="15593" xr:uid="{219756CA-C6D2-4981-A1CA-5ADFBACD83E2}"/>
    <cellStyle name="Anteckning 6 7" xfId="15584" xr:uid="{B01255A8-1AA9-4D4F-92BE-61EFCF026C24}"/>
    <cellStyle name="Anteckning 7" xfId="2166" xr:uid="{92E478C3-1A91-43AA-AF74-F93D037E0AAE}"/>
    <cellStyle name="Anteckning 7 2" xfId="2167" xr:uid="{D4D81D05-A9F7-4E8F-9591-652248F23DA4}"/>
    <cellStyle name="Anteckning 7 2 2" xfId="2168" xr:uid="{27262BB4-B327-43F1-8895-52DE37FC53CB}"/>
    <cellStyle name="Anteckning 7 2 2 2" xfId="15596" xr:uid="{A2E92B0B-CAAA-4DC2-853D-82F1B486DBA1}"/>
    <cellStyle name="Anteckning 7 2 3" xfId="2169" xr:uid="{809A9E7D-53DD-48F8-807A-C9614356C876}"/>
    <cellStyle name="Anteckning 7 2 3 2" xfId="15597" xr:uid="{134E3652-8E58-438B-9D15-D7A682C54336}"/>
    <cellStyle name="Anteckning 7 2 4" xfId="2170" xr:uid="{3D56F287-E00C-4C3A-9F0C-9FD947C10DBF}"/>
    <cellStyle name="Anteckning 7 2 4 2" xfId="15598" xr:uid="{0C981B12-D61D-4EE7-96E8-282F4355F153}"/>
    <cellStyle name="Anteckning 7 2 5" xfId="2171" xr:uid="{8A3E5ECA-CB7D-4828-9909-7A518980CBB7}"/>
    <cellStyle name="Anteckning 7 2 5 2" xfId="15599" xr:uid="{B0773824-72FD-4742-922B-59F514F21A39}"/>
    <cellStyle name="Anteckning 7 2 6" xfId="15595" xr:uid="{97259BE2-0FF6-4046-82A7-087B5491591A}"/>
    <cellStyle name="Anteckning 7 3" xfId="2172" xr:uid="{7E54A7CC-0B83-4E0B-8FD0-0C57E19F8997}"/>
    <cellStyle name="Anteckning 7 3 2" xfId="15600" xr:uid="{15389A1C-EE57-47F0-BCA3-EEBA82399771}"/>
    <cellStyle name="Anteckning 7 4" xfId="2173" xr:uid="{005E837E-56E0-4D17-BB1B-0680BB8FA031}"/>
    <cellStyle name="Anteckning 7 4 2" xfId="15601" xr:uid="{417AC4CA-3617-4DBC-B1FC-A4F684C3C2C2}"/>
    <cellStyle name="Anteckning 7 5" xfId="2174" xr:uid="{00E9C5F2-7F2F-42F9-994A-20BC4637E144}"/>
    <cellStyle name="Anteckning 7 5 2" xfId="15602" xr:uid="{BB885599-4AC4-4D75-A67F-E9980711AC81}"/>
    <cellStyle name="Anteckning 7 6" xfId="2175" xr:uid="{2D684779-E589-4B8F-9F4A-A919263EA2E9}"/>
    <cellStyle name="Anteckning 7 6 2" xfId="15603" xr:uid="{052B9CE9-FC78-462F-8199-A0F6C87DA615}"/>
    <cellStyle name="Anteckning 7 7" xfId="15594" xr:uid="{8A50425C-C63B-4D12-86C5-48A5E1C0B765}"/>
    <cellStyle name="Anteckning 8" xfId="2176" xr:uid="{6634EA99-69A4-44CC-BF05-010999B64FB6}"/>
    <cellStyle name="Anteckning 8 2" xfId="2177" xr:uid="{35CFBF3E-F506-46B7-9D4B-5F14FC9F8D56}"/>
    <cellStyle name="Anteckning 8 2 2" xfId="2178" xr:uid="{7AB9099A-82E9-4630-B470-47F1C84EB5C0}"/>
    <cellStyle name="Anteckning 8 2 2 2" xfId="15606" xr:uid="{50BA4A53-D0FB-4AF1-8B78-9FFCA82F9E27}"/>
    <cellStyle name="Anteckning 8 2 3" xfId="2179" xr:uid="{13727B17-CE44-4273-8A90-6C188F7DF3D4}"/>
    <cellStyle name="Anteckning 8 2 3 2" xfId="15607" xr:uid="{5B30D722-C42F-4D81-BC62-93AE66E2776F}"/>
    <cellStyle name="Anteckning 8 2 4" xfId="2180" xr:uid="{E0A3F543-9F35-496E-81EA-1356297468EC}"/>
    <cellStyle name="Anteckning 8 2 4 2" xfId="15608" xr:uid="{447ED1FE-8CEC-4A79-8ADE-C3D3E78D2D13}"/>
    <cellStyle name="Anteckning 8 2 5" xfId="2181" xr:uid="{29C8D15E-37D3-4E67-9E05-0A0E1734D825}"/>
    <cellStyle name="Anteckning 8 2 5 2" xfId="15609" xr:uid="{99A644D6-BE80-4D47-8D7D-C5D26405E544}"/>
    <cellStyle name="Anteckning 8 2 6" xfId="15605" xr:uid="{6FB84898-74A0-4D98-B802-6755486F2117}"/>
    <cellStyle name="Anteckning 8 3" xfId="2182" xr:uid="{C448B9BC-2376-4A09-9D34-146E71D98E8A}"/>
    <cellStyle name="Anteckning 8 3 2" xfId="15610" xr:uid="{3398225F-97DE-4B15-865C-235634BE5344}"/>
    <cellStyle name="Anteckning 8 4" xfId="2183" xr:uid="{F6204F7A-BAC6-456D-991C-4FDE4307A40F}"/>
    <cellStyle name="Anteckning 8 4 2" xfId="15611" xr:uid="{12C797E5-AFA4-4D84-B73E-979DF1E5101E}"/>
    <cellStyle name="Anteckning 8 5" xfId="2184" xr:uid="{6F886450-A335-4424-84BC-1F28B1B8585E}"/>
    <cellStyle name="Anteckning 8 5 2" xfId="15612" xr:uid="{C5E159E5-4030-43E3-9CB3-048C6E177923}"/>
    <cellStyle name="Anteckning 8 6" xfId="2185" xr:uid="{549D2AF5-C674-4697-8FB8-CBBC26503281}"/>
    <cellStyle name="Anteckning 8 6 2" xfId="15613" xr:uid="{D5B4B751-090C-46EA-959A-E59117CF7A51}"/>
    <cellStyle name="Anteckning 8 7" xfId="15604" xr:uid="{EA845A31-97F7-4196-85A3-F85C8228B518}"/>
    <cellStyle name="Anteckning 9" xfId="2186" xr:uid="{38B2E325-C27E-4D4F-8393-D07090CF8F6C}"/>
    <cellStyle name="Anteckning 9 2" xfId="2187" xr:uid="{00E9A5E4-A5E4-4DE2-BC59-F09F77F66EE9}"/>
    <cellStyle name="Anteckning 9 2 2" xfId="2188" xr:uid="{950BF05F-FA6D-4FE0-85C2-DE6998B6B78C}"/>
    <cellStyle name="Anteckning 9 2 2 2" xfId="15616" xr:uid="{373ACEE1-9717-4D4D-8DB5-553046134507}"/>
    <cellStyle name="Anteckning 9 2 3" xfId="2189" xr:uid="{35ED8BBB-00F2-449A-BCAF-506FF30A85FF}"/>
    <cellStyle name="Anteckning 9 2 3 2" xfId="15617" xr:uid="{8AD593E2-48CE-47C1-8E72-453F3E55300D}"/>
    <cellStyle name="Anteckning 9 2 4" xfId="2190" xr:uid="{15B7666E-41B8-450A-91F6-456B2ED8FA10}"/>
    <cellStyle name="Anteckning 9 2 4 2" xfId="15618" xr:uid="{6A3E56C0-1283-447F-8F88-134E4662B7F7}"/>
    <cellStyle name="Anteckning 9 2 5" xfId="2191" xr:uid="{7876964F-8B47-4CA6-90E1-D275DB16DFB5}"/>
    <cellStyle name="Anteckning 9 2 5 2" xfId="15619" xr:uid="{D1A65C4C-DA68-428A-9230-8FD726FAFB28}"/>
    <cellStyle name="Anteckning 9 2 6" xfId="15615" xr:uid="{5FD9E488-8CB9-4DBC-87DD-14BA2F4BD6A5}"/>
    <cellStyle name="Anteckning 9 3" xfId="2192" xr:uid="{A0E24341-C0F3-4B30-8CBA-DA1EDDD24D02}"/>
    <cellStyle name="Anteckning 9 3 2" xfId="15620" xr:uid="{1AAB4999-A04C-4419-A954-2AAB6EC6636B}"/>
    <cellStyle name="Anteckning 9 4" xfId="2193" xr:uid="{CB3A1C61-E0C6-49C7-9755-A0D1530B0424}"/>
    <cellStyle name="Anteckning 9 4 2" xfId="15621" xr:uid="{D9060BF5-BD33-4979-AE11-542A922B5DA7}"/>
    <cellStyle name="Anteckning 9 5" xfId="2194" xr:uid="{0481B28C-09FF-4F75-8095-9ED4D4A4B6A0}"/>
    <cellStyle name="Anteckning 9 5 2" xfId="15622" xr:uid="{C482A94A-68EF-4226-970B-201C5A00509E}"/>
    <cellStyle name="Anteckning 9 6" xfId="2195" xr:uid="{1058BF09-7A09-4588-A9BC-DD3030C0D18A}"/>
    <cellStyle name="Anteckning 9 6 2" xfId="15623" xr:uid="{E26B8530-989D-4BA8-8086-03EDCB8C7536}"/>
    <cellStyle name="Anteckning 9 7" xfId="15614" xr:uid="{8B094957-ED93-46E7-B969-9C8ED5FEDC01}"/>
    <cellStyle name="Anteckning_PGM_CHECK" xfId="14885" xr:uid="{898314AB-D5E2-4290-AFEA-E33E102C4AC4}"/>
    <cellStyle name="arial" xfId="2196" xr:uid="{F0C8D43F-655E-4BCF-AD8A-73934E2C55F1}"/>
    <cellStyle name="arial gras" xfId="2197" xr:uid="{83620EF6-0BB9-483C-987F-74E3BDAE58C5}"/>
    <cellStyle name="Arvutus" xfId="2198" xr:uid="{DE3E9FA1-3CD2-4D25-AE1E-44E529308A07}"/>
    <cellStyle name="Arvutus 10" xfId="2199" xr:uid="{DEDCE10B-14B5-4350-BA0C-9135806EF45B}"/>
    <cellStyle name="Arvutus 10 2" xfId="2200" xr:uid="{9DB2A09A-9399-40D3-90FF-521C0F670581}"/>
    <cellStyle name="Arvutus 10 2 2" xfId="2201" xr:uid="{CF9E0910-5FB9-45D3-8B51-E0D4F5D52B80}"/>
    <cellStyle name="Arvutus 10 2 2 2" xfId="15626" xr:uid="{E4110C6B-ABBE-46B0-BB65-EE390EB269EC}"/>
    <cellStyle name="Arvutus 10 2 3" xfId="2202" xr:uid="{FF9CF30A-B973-4AF0-B367-382D33A37A83}"/>
    <cellStyle name="Arvutus 10 2 3 2" xfId="15627" xr:uid="{37DEDB4A-E37A-456C-B9C0-058CE135D390}"/>
    <cellStyle name="Arvutus 10 2 4" xfId="2203" xr:uid="{DFF46DF3-BD36-4678-A06B-3540F7EEAEAF}"/>
    <cellStyle name="Arvutus 10 2 4 2" xfId="15628" xr:uid="{3F9A1C21-68A7-4B86-991B-9505BF149679}"/>
    <cellStyle name="Arvutus 10 2 5" xfId="2204" xr:uid="{BF10DFDC-FEAA-46B3-B451-FB137A1CB248}"/>
    <cellStyle name="Arvutus 10 2 5 2" xfId="15629" xr:uid="{243499A8-6301-4029-ABB1-0602D1B86605}"/>
    <cellStyle name="Arvutus 10 2 6" xfId="15625" xr:uid="{0F1A95AE-29FF-49E6-B02F-06CBE0F6FAE5}"/>
    <cellStyle name="Arvutus 10 3" xfId="2205" xr:uid="{26F85D3C-68CD-4D10-882B-A5FDCE3B7B8C}"/>
    <cellStyle name="Arvutus 10 3 2" xfId="15630" xr:uid="{910ACFB7-2373-4661-8B95-B146C1210B76}"/>
    <cellStyle name="Arvutus 10 4" xfId="2206" xr:uid="{4B827B18-C559-4C82-898F-DF9BA2EC9DC4}"/>
    <cellStyle name="Arvutus 10 4 2" xfId="15631" xr:uid="{79243BFB-99CE-4A7E-9DA7-2FEFF54E0507}"/>
    <cellStyle name="Arvutus 10 5" xfId="2207" xr:uid="{C3E90325-85AA-42FF-B86C-BDB914B589F5}"/>
    <cellStyle name="Arvutus 10 5 2" xfId="15632" xr:uid="{E773EDDC-CB94-49AD-BD82-543FC7219A9B}"/>
    <cellStyle name="Arvutus 10 6" xfId="2208" xr:uid="{89048346-22C5-4272-A9D9-270FD661D0F6}"/>
    <cellStyle name="Arvutus 10 6 2" xfId="15633" xr:uid="{48606B3E-6A8C-45BF-A18B-EA75EB79B908}"/>
    <cellStyle name="Arvutus 10 7" xfId="15624" xr:uid="{21286E47-9CE4-47AD-BA5D-E86EE0F0D221}"/>
    <cellStyle name="Arvutus 11" xfId="2209" xr:uid="{3776D908-EAB9-465C-B53F-4F98AC6DE9AE}"/>
    <cellStyle name="Arvutus 11 2" xfId="2210" xr:uid="{D7FE313F-0F38-41AD-8F4F-A80D6C41BA72}"/>
    <cellStyle name="Arvutus 11 2 2" xfId="2211" xr:uid="{C2810113-7A4F-4EAA-A446-1BA3D44A60C1}"/>
    <cellStyle name="Arvutus 11 2 2 2" xfId="15636" xr:uid="{E49EDA71-A546-4246-BCD7-96B8BE7A8854}"/>
    <cellStyle name="Arvutus 11 2 3" xfId="2212" xr:uid="{1AF7A0B1-A3FD-4A09-8423-FB0121DFCB49}"/>
    <cellStyle name="Arvutus 11 2 3 2" xfId="15637" xr:uid="{C5A4C2E2-672C-433F-AE8B-2EF2F0E434F2}"/>
    <cellStyle name="Arvutus 11 2 4" xfId="2213" xr:uid="{39960E0B-CF49-4ABA-8794-CC429B51CA28}"/>
    <cellStyle name="Arvutus 11 2 4 2" xfId="15638" xr:uid="{6BE34289-6102-4CD0-A82C-24EFAD6161FE}"/>
    <cellStyle name="Arvutus 11 2 5" xfId="2214" xr:uid="{E887C5C8-E941-4A6C-8726-107FCAF9387B}"/>
    <cellStyle name="Arvutus 11 2 5 2" xfId="15639" xr:uid="{59A9FB66-0EFA-4686-AA78-2493EA221FF8}"/>
    <cellStyle name="Arvutus 11 2 6" xfId="15635" xr:uid="{5D31CBB1-1BEC-44F3-8113-3EF5B0F4266C}"/>
    <cellStyle name="Arvutus 11 3" xfId="2215" xr:uid="{6BA23860-4710-4609-8CBB-1F828723DE78}"/>
    <cellStyle name="Arvutus 11 3 2" xfId="15640" xr:uid="{992A56CF-8151-4C9D-9132-7FE6356B6FB0}"/>
    <cellStyle name="Arvutus 11 4" xfId="2216" xr:uid="{8985A9E7-17D3-4B8F-90C8-E082DAC971E3}"/>
    <cellStyle name="Arvutus 11 4 2" xfId="15641" xr:uid="{31B733D7-81A0-4392-8C6D-C64F816E962B}"/>
    <cellStyle name="Arvutus 11 5" xfId="2217" xr:uid="{4AC4CE46-4F32-418C-B3DB-8DB70175D14E}"/>
    <cellStyle name="Arvutus 11 5 2" xfId="15642" xr:uid="{DFF83FA6-D212-4267-BDD8-DEC498FD5B13}"/>
    <cellStyle name="Arvutus 11 6" xfId="2218" xr:uid="{6452A0E0-426B-4F05-998A-BB54BF1B2161}"/>
    <cellStyle name="Arvutus 11 6 2" xfId="15643" xr:uid="{40A07816-4050-421D-BE7A-78A23909EC73}"/>
    <cellStyle name="Arvutus 11 7" xfId="15634" xr:uid="{445A3BB0-AC99-4957-99E7-A9C5C930FB8E}"/>
    <cellStyle name="Arvutus 12" xfId="2219" xr:uid="{2D475636-E634-4502-9BE3-346CBF91F3A6}"/>
    <cellStyle name="Arvutus 12 2" xfId="2220" xr:uid="{47BB505A-83FD-43D7-AD7D-31754B7862BD}"/>
    <cellStyle name="Arvutus 12 2 2" xfId="2221" xr:uid="{2710AA4B-23AA-4FFC-93D3-D24FF2B9F1A4}"/>
    <cellStyle name="Arvutus 12 2 2 2" xfId="15646" xr:uid="{FC6855FA-0B9D-41E7-B4AA-2C6A3A9FD9A0}"/>
    <cellStyle name="Arvutus 12 2 3" xfId="2222" xr:uid="{FBA109DB-77ED-486A-9290-52F589909687}"/>
    <cellStyle name="Arvutus 12 2 3 2" xfId="15647" xr:uid="{4781B922-66BB-424E-BD11-92A8F8B535F7}"/>
    <cellStyle name="Arvutus 12 2 4" xfId="2223" xr:uid="{796BD773-25F2-4144-A2AF-BDDC088DD8A8}"/>
    <cellStyle name="Arvutus 12 2 4 2" xfId="15648" xr:uid="{0F1E5D6D-C900-437E-862F-C58E5D1850B1}"/>
    <cellStyle name="Arvutus 12 2 5" xfId="2224" xr:uid="{DC1B00CA-F946-4045-A130-11B4BEA44B37}"/>
    <cellStyle name="Arvutus 12 2 5 2" xfId="15649" xr:uid="{F9F681D9-66E7-48F1-A31D-6A2ECAAB8729}"/>
    <cellStyle name="Arvutus 12 2 6" xfId="15645" xr:uid="{16002001-46E0-44DD-B69F-BB7C53117E8F}"/>
    <cellStyle name="Arvutus 12 3" xfId="2225" xr:uid="{B3A0F361-5144-4D86-8AE8-A4FCB781CA60}"/>
    <cellStyle name="Arvutus 12 3 2" xfId="15650" xr:uid="{5710EDBB-48FD-4BCD-BE06-9237512523DA}"/>
    <cellStyle name="Arvutus 12 4" xfId="2226" xr:uid="{D9B102BA-16CD-4D68-8A52-BACADC4C76E5}"/>
    <cellStyle name="Arvutus 12 4 2" xfId="15651" xr:uid="{F50A9570-DECE-488F-904F-4F65BD55DFEF}"/>
    <cellStyle name="Arvutus 12 5" xfId="2227" xr:uid="{9A9AA69A-21B0-4FDD-B415-725861D781BB}"/>
    <cellStyle name="Arvutus 12 5 2" xfId="15652" xr:uid="{4702CBBC-5765-4F54-9BC3-2E396FCE0B6C}"/>
    <cellStyle name="Arvutus 12 6" xfId="2228" xr:uid="{6DAE452B-2361-4F5D-9FDC-DCBC46F9C631}"/>
    <cellStyle name="Arvutus 12 6 2" xfId="15653" xr:uid="{F17547C7-0A17-49F5-816D-CD28E16C3B00}"/>
    <cellStyle name="Arvutus 12 7" xfId="15644" xr:uid="{AFCDD3D5-E153-4986-94EC-7325C4E84AF1}"/>
    <cellStyle name="Arvutus 13" xfId="2229" xr:uid="{E7E6B7FA-6A2B-4C2A-A2C4-8E2F3006ED2D}"/>
    <cellStyle name="Arvutus 13 2" xfId="2230" xr:uid="{3F037E27-B1F3-4734-98DD-5C803ED7A714}"/>
    <cellStyle name="Arvutus 13 2 2" xfId="2231" xr:uid="{D122DBFC-F3EF-42EE-BD7F-D44878AEA2C7}"/>
    <cellStyle name="Arvutus 13 2 2 2" xfId="15656" xr:uid="{3097B22D-0D67-4B50-88BA-CCE49650D83E}"/>
    <cellStyle name="Arvutus 13 2 3" xfId="2232" xr:uid="{B28C167F-7C8A-458E-A58C-4FC8E7E39F0E}"/>
    <cellStyle name="Arvutus 13 2 3 2" xfId="15657" xr:uid="{55AEC466-0CB5-4496-AA49-B4452F1EDED4}"/>
    <cellStyle name="Arvutus 13 2 4" xfId="2233" xr:uid="{379AD8D7-6B0E-4D55-8403-14A3FD26DA80}"/>
    <cellStyle name="Arvutus 13 2 4 2" xfId="15658" xr:uid="{71A6EF04-E201-4ADE-8335-E4E286B5D072}"/>
    <cellStyle name="Arvutus 13 2 5" xfId="2234" xr:uid="{0E49B9B4-6F17-49F1-A296-6A4928D9BB0D}"/>
    <cellStyle name="Arvutus 13 2 5 2" xfId="15659" xr:uid="{97301846-47E3-455D-8B2D-47ADD06E3906}"/>
    <cellStyle name="Arvutus 13 2 6" xfId="15655" xr:uid="{D6037E40-2843-4F64-A13B-8D4D92DD4EBD}"/>
    <cellStyle name="Arvutus 13 3" xfId="2235" xr:uid="{BAA1E1E6-ED31-4B70-99C4-BEE5FDDCCBE7}"/>
    <cellStyle name="Arvutus 13 3 2" xfId="15660" xr:uid="{FA157D87-5273-4BF0-BABA-EF4F365BA9C2}"/>
    <cellStyle name="Arvutus 13 4" xfId="2236" xr:uid="{391CF54C-9837-445B-BA44-1FCC3B1E0AD9}"/>
    <cellStyle name="Arvutus 13 4 2" xfId="15661" xr:uid="{32DF792E-27BB-40CC-8A68-14510EA09733}"/>
    <cellStyle name="Arvutus 13 5" xfId="2237" xr:uid="{4A5EA157-3BF7-44E5-B3D2-ADC3C0BC009F}"/>
    <cellStyle name="Arvutus 13 5 2" xfId="15662" xr:uid="{ED5ED631-3FCC-4BC9-8CC2-F1BA40C9A974}"/>
    <cellStyle name="Arvutus 13 6" xfId="2238" xr:uid="{F5936306-DA3F-444B-8803-E1D1F7B61291}"/>
    <cellStyle name="Arvutus 13 6 2" xfId="15663" xr:uid="{21768B2F-9A7B-43DF-A127-C32C404E9278}"/>
    <cellStyle name="Arvutus 13 7" xfId="15654" xr:uid="{A4DBD72D-ED1C-49A2-8064-404802078E0A}"/>
    <cellStyle name="Arvutus 14" xfId="2239" xr:uid="{28CF0DF1-C9EC-42A5-B3F0-624D0398CDEF}"/>
    <cellStyle name="Arvutus 14 2" xfId="2240" xr:uid="{5AAFFB5B-98E2-4DFB-B297-2D612973C6EB}"/>
    <cellStyle name="Arvutus 14 2 2" xfId="2241" xr:uid="{95C3A763-892D-4C70-BC87-6C4DBD2D3F01}"/>
    <cellStyle name="Arvutus 14 2 2 2" xfId="15666" xr:uid="{01017EA5-43F1-4B48-BFF4-B053F3EB5F35}"/>
    <cellStyle name="Arvutus 14 2 3" xfId="2242" xr:uid="{3122B141-66D9-49B0-92A0-E511F4BC0801}"/>
    <cellStyle name="Arvutus 14 2 3 2" xfId="15667" xr:uid="{FB33A100-42A2-48DB-858B-DA610B1A3C23}"/>
    <cellStyle name="Arvutus 14 2 4" xfId="2243" xr:uid="{F7B759AD-1FE8-49C0-8780-5AFDB7264546}"/>
    <cellStyle name="Arvutus 14 2 4 2" xfId="15668" xr:uid="{40756231-6EBA-42EB-B4F1-AF7D2E24D56B}"/>
    <cellStyle name="Arvutus 14 2 5" xfId="2244" xr:uid="{59EE0EAF-CE34-4284-815D-B91BE322A109}"/>
    <cellStyle name="Arvutus 14 2 5 2" xfId="15669" xr:uid="{97C0333F-94BF-4289-A164-892F9984ADB3}"/>
    <cellStyle name="Arvutus 14 2 6" xfId="15665" xr:uid="{5F6F1BEE-6A76-4751-8CCE-A22D7767F99E}"/>
    <cellStyle name="Arvutus 14 3" xfId="2245" xr:uid="{C95484C6-3803-4076-A53B-F9C2FE80F1D8}"/>
    <cellStyle name="Arvutus 14 3 2" xfId="15670" xr:uid="{DEECC7BB-1ACA-4295-A9CE-0DCB177F3F55}"/>
    <cellStyle name="Arvutus 14 4" xfId="2246" xr:uid="{8A931741-315E-4EF2-86B3-6A108D59C436}"/>
    <cellStyle name="Arvutus 14 4 2" xfId="15671" xr:uid="{AB8A7C64-60F9-4E02-988B-CC0D63728BE0}"/>
    <cellStyle name="Arvutus 14 5" xfId="2247" xr:uid="{A4004596-9DC7-4010-9315-B6055E8C202B}"/>
    <cellStyle name="Arvutus 14 5 2" xfId="15672" xr:uid="{B8178AFE-D728-467B-BAAF-F458F506A34C}"/>
    <cellStyle name="Arvutus 14 6" xfId="2248" xr:uid="{E8060750-1AFF-481F-A00F-84373D7E56CD}"/>
    <cellStyle name="Arvutus 14 6 2" xfId="15673" xr:uid="{D7A8200B-5BD0-4236-ACD9-3A5E75372019}"/>
    <cellStyle name="Arvutus 14 7" xfId="15664" xr:uid="{6366EE77-0C8D-4BD4-B469-ACD563A89E49}"/>
    <cellStyle name="Arvutus 15" xfId="2249" xr:uid="{807D9BCF-3F41-4A5A-9957-91244354D622}"/>
    <cellStyle name="Arvutus 15 2" xfId="2250" xr:uid="{CFDB60D3-0F8C-4F82-A3CB-2C8DF5B5E8FC}"/>
    <cellStyle name="Arvutus 15 2 2" xfId="2251" xr:uid="{A4E4BC78-5362-4B6D-9ABB-A90EF788F676}"/>
    <cellStyle name="Arvutus 15 2 2 2" xfId="15676" xr:uid="{3B07DB36-78FA-4CD8-8981-46C233D8679F}"/>
    <cellStyle name="Arvutus 15 2 3" xfId="2252" xr:uid="{6C6CA4DE-C53D-4715-9F7F-47E5D7018A35}"/>
    <cellStyle name="Arvutus 15 2 3 2" xfId="15677" xr:uid="{B2395A7C-28A2-40D3-9775-CA78D223929A}"/>
    <cellStyle name="Arvutus 15 2 4" xfId="2253" xr:uid="{6C3016D2-797C-4A97-B514-1A9D1311AFFF}"/>
    <cellStyle name="Arvutus 15 2 4 2" xfId="15678" xr:uid="{577783C1-9AA0-4137-AB9E-9F911B43ABA0}"/>
    <cellStyle name="Arvutus 15 2 5" xfId="2254" xr:uid="{8DC35827-C0E1-44C8-A51F-44B11E132CAD}"/>
    <cellStyle name="Arvutus 15 2 5 2" xfId="15679" xr:uid="{912FD5D9-4009-4A31-9851-3727BABD0199}"/>
    <cellStyle name="Arvutus 15 2 6" xfId="15675" xr:uid="{5A5E6965-E2BD-4DFE-BDA0-7161F195F188}"/>
    <cellStyle name="Arvutus 15 3" xfId="2255" xr:uid="{D73B540C-1437-4359-8BCC-B74CFA4812FA}"/>
    <cellStyle name="Arvutus 15 3 2" xfId="15680" xr:uid="{F836E626-AA08-4FE8-BB7A-8FB9A5F1D2C3}"/>
    <cellStyle name="Arvutus 15 4" xfId="2256" xr:uid="{83959D50-6E53-4AC0-953C-4B8DF288C18E}"/>
    <cellStyle name="Arvutus 15 4 2" xfId="15681" xr:uid="{3CCEBA77-2252-4DBF-94D7-C160F4882B1D}"/>
    <cellStyle name="Arvutus 15 5" xfId="2257" xr:uid="{482C8C03-2642-462D-A710-711E00AEDBCE}"/>
    <cellStyle name="Arvutus 15 5 2" xfId="15682" xr:uid="{05ECE025-9BCA-41E3-B50F-0C49F1472F19}"/>
    <cellStyle name="Arvutus 15 6" xfId="2258" xr:uid="{6F891B65-D190-4C01-9CF3-9303B03F341F}"/>
    <cellStyle name="Arvutus 15 6 2" xfId="15683" xr:uid="{98FD5C5D-3D21-489B-BEE5-4AB7E77DE82C}"/>
    <cellStyle name="Arvutus 15 7" xfId="15674" xr:uid="{9D6EE213-86B1-436A-ADB2-D8263D99E6BF}"/>
    <cellStyle name="Arvutus 16" xfId="2259" xr:uid="{D01C5116-6748-4396-899A-887E8FD8412B}"/>
    <cellStyle name="Arvutus 16 2" xfId="2260" xr:uid="{F4A1B86B-F086-4535-9D51-2FA9661C53F2}"/>
    <cellStyle name="Arvutus 16 2 2" xfId="2261" xr:uid="{24008208-D963-4BCE-83BA-94FA33AE7B6E}"/>
    <cellStyle name="Arvutus 16 2 2 2" xfId="15686" xr:uid="{DFF77A9D-A8AE-48E3-8859-0BB935376091}"/>
    <cellStyle name="Arvutus 16 2 3" xfId="2262" xr:uid="{D67A7758-A39F-4B34-A7DD-712E145D7262}"/>
    <cellStyle name="Arvutus 16 2 3 2" xfId="15687" xr:uid="{7AC34A83-8488-4A3A-BE38-7320A26DF7CD}"/>
    <cellStyle name="Arvutus 16 2 4" xfId="2263" xr:uid="{F44CCD22-8C79-4CB5-BF51-62ACB21880A4}"/>
    <cellStyle name="Arvutus 16 2 4 2" xfId="15688" xr:uid="{F1FF0B67-D2DD-4501-95D0-9D6FEC58DF14}"/>
    <cellStyle name="Arvutus 16 2 5" xfId="2264" xr:uid="{CDB8C7C3-D62D-4D88-BCDC-2382138D1902}"/>
    <cellStyle name="Arvutus 16 2 5 2" xfId="15689" xr:uid="{1BDCF956-5385-4D5A-B4D8-B6A3AB9D5E42}"/>
    <cellStyle name="Arvutus 16 2 6" xfId="15685" xr:uid="{614CBFBC-35EA-4FF6-9610-6047F3E872F5}"/>
    <cellStyle name="Arvutus 16 3" xfId="2265" xr:uid="{B9BA153A-BF7B-435E-B264-C44F40612FCD}"/>
    <cellStyle name="Arvutus 16 3 2" xfId="15690" xr:uid="{8E850AD0-3F07-454B-AB70-80ECF6AAB4EA}"/>
    <cellStyle name="Arvutus 16 4" xfId="2266" xr:uid="{8BCBB028-C919-48CB-8DB7-28BB5E4199E6}"/>
    <cellStyle name="Arvutus 16 4 2" xfId="15691" xr:uid="{F9275C12-4530-4887-ABB0-D2568F228DE7}"/>
    <cellStyle name="Arvutus 16 5" xfId="2267" xr:uid="{EB1A22B4-BBBD-4D6A-838A-CA893796457F}"/>
    <cellStyle name="Arvutus 16 5 2" xfId="15692" xr:uid="{EF6D5AD3-A5D9-4CC2-A6D0-435A18FE3B50}"/>
    <cellStyle name="Arvutus 16 6" xfId="2268" xr:uid="{49469CA1-86F1-4386-8FC4-FBF83E5996C5}"/>
    <cellStyle name="Arvutus 16 6 2" xfId="15693" xr:uid="{5D7D5D0D-3A93-4E59-9D0F-BE87569BE6BF}"/>
    <cellStyle name="Arvutus 16 7" xfId="15684" xr:uid="{C15EB03A-3990-4273-B3BA-649B17A51910}"/>
    <cellStyle name="Arvutus 17" xfId="2269" xr:uid="{C673D3F4-7808-4F33-BDB4-D05B636519F9}"/>
    <cellStyle name="Arvutus 17 2" xfId="2270" xr:uid="{E7B353BE-0CE5-4F8C-85F6-AC3223C6E1C7}"/>
    <cellStyle name="Arvutus 17 2 2" xfId="2271" xr:uid="{EFFEDB11-67A6-460E-B961-83CC28175736}"/>
    <cellStyle name="Arvutus 17 2 2 2" xfId="15696" xr:uid="{549FC603-B04B-4410-8482-771FAFF8C4D5}"/>
    <cellStyle name="Arvutus 17 2 3" xfId="2272" xr:uid="{87370CC1-6450-44AA-B1BD-728BEBFF7437}"/>
    <cellStyle name="Arvutus 17 2 3 2" xfId="15697" xr:uid="{DE3CC689-6D34-4C47-9F50-00FEB1B8BA00}"/>
    <cellStyle name="Arvutus 17 2 4" xfId="2273" xr:uid="{BB4EBEDE-3F3F-4B6A-B4D5-B486A42BF074}"/>
    <cellStyle name="Arvutus 17 2 4 2" xfId="15698" xr:uid="{CD541BD5-B473-4643-ACE9-300966897CA1}"/>
    <cellStyle name="Arvutus 17 2 5" xfId="2274" xr:uid="{D566AE27-1BC5-4ECA-94FA-57504D5F5AD0}"/>
    <cellStyle name="Arvutus 17 2 5 2" xfId="15699" xr:uid="{03816A5F-46D6-4904-9BE5-A16E5F20C4B5}"/>
    <cellStyle name="Arvutus 17 2 6" xfId="15695" xr:uid="{1A1C5BD5-729E-4C9A-AA96-A9B92F828990}"/>
    <cellStyle name="Arvutus 17 3" xfId="2275" xr:uid="{449369A5-4ED1-4100-AE68-5C7CEA408843}"/>
    <cellStyle name="Arvutus 17 3 2" xfId="15700" xr:uid="{A67B5AB5-24E1-4A0B-B771-B45D71EED5C7}"/>
    <cellStyle name="Arvutus 17 4" xfId="2276" xr:uid="{E914AC95-2FEF-4C35-97C3-3D3E39803947}"/>
    <cellStyle name="Arvutus 17 4 2" xfId="15701" xr:uid="{FE448547-ABF9-4FEA-ABB9-34B3AC13C1C6}"/>
    <cellStyle name="Arvutus 17 5" xfId="2277" xr:uid="{37FB0366-6C48-42CB-B75E-4863B6B3E97B}"/>
    <cellStyle name="Arvutus 17 5 2" xfId="15702" xr:uid="{B97BDFE2-6A19-4625-9A0F-5955A0AB788B}"/>
    <cellStyle name="Arvutus 17 6" xfId="2278" xr:uid="{62745281-566F-492F-B174-B7A31686222D}"/>
    <cellStyle name="Arvutus 17 6 2" xfId="15703" xr:uid="{87922DD1-7C8A-4305-8C16-114FA0837DF1}"/>
    <cellStyle name="Arvutus 17 7" xfId="15694" xr:uid="{665B35BA-9228-4C97-A015-F6B892388C69}"/>
    <cellStyle name="Arvutus 18" xfId="2279" xr:uid="{66CE140B-113E-44CB-BEDB-FD87F04265DD}"/>
    <cellStyle name="Arvutus 18 2" xfId="2280" xr:uid="{FC515D9F-1F6E-45B3-A285-224C8322200C}"/>
    <cellStyle name="Arvutus 18 2 2" xfId="2281" xr:uid="{DFBDFE70-9A50-4BC6-8091-3C49C7954BD4}"/>
    <cellStyle name="Arvutus 18 2 2 2" xfId="15706" xr:uid="{7350A4FE-DF33-40EC-B81E-2A818853DAAF}"/>
    <cellStyle name="Arvutus 18 2 3" xfId="2282" xr:uid="{3C44CDDB-0441-400A-A6BB-C5F8E95F5D38}"/>
    <cellStyle name="Arvutus 18 2 3 2" xfId="15707" xr:uid="{D9F33E52-93CB-4990-B2F1-391F7E721B8D}"/>
    <cellStyle name="Arvutus 18 2 4" xfId="2283" xr:uid="{D0937162-DFD1-425F-84B6-1BFC45E0B267}"/>
    <cellStyle name="Arvutus 18 2 4 2" xfId="15708" xr:uid="{E8502AC6-165A-4400-A2BD-D293811A39F5}"/>
    <cellStyle name="Arvutus 18 2 5" xfId="2284" xr:uid="{75F598A6-23F9-459D-AB84-ECC3E6BD8560}"/>
    <cellStyle name="Arvutus 18 2 5 2" xfId="15709" xr:uid="{C093CAAF-B63F-4939-9B37-89B2E5A049F8}"/>
    <cellStyle name="Arvutus 18 2 6" xfId="15705" xr:uid="{FCF10507-5732-4691-A5DE-878A9F0F0699}"/>
    <cellStyle name="Arvutus 18 3" xfId="2285" xr:uid="{E08CAD75-36C8-4F4C-96B7-221F9772D697}"/>
    <cellStyle name="Arvutus 18 3 2" xfId="15710" xr:uid="{D3C31640-634D-453C-9A14-2B834FE33C8E}"/>
    <cellStyle name="Arvutus 18 4" xfId="2286" xr:uid="{EE13FC21-EA8C-4634-BA87-3E9BF52C1205}"/>
    <cellStyle name="Arvutus 18 4 2" xfId="15711" xr:uid="{519D286A-F060-4DFE-9BCB-9391B8E85E2A}"/>
    <cellStyle name="Arvutus 18 5" xfId="2287" xr:uid="{A7A84D25-5D46-419E-AE31-EB7007D1A804}"/>
    <cellStyle name="Arvutus 18 5 2" xfId="15712" xr:uid="{C0EB043C-B23F-465D-91BF-B9B7046DF231}"/>
    <cellStyle name="Arvutus 18 6" xfId="2288" xr:uid="{4D73C065-749D-4AD0-8502-4312396D0332}"/>
    <cellStyle name="Arvutus 18 6 2" xfId="15713" xr:uid="{BA1D69BB-C3F7-4707-88BD-9435B38A36D6}"/>
    <cellStyle name="Arvutus 18 7" xfId="15704" xr:uid="{A73FCE82-217D-4B71-BA2C-625C4299404E}"/>
    <cellStyle name="Arvutus 19" xfId="2289" xr:uid="{B444CBDA-895C-4222-B007-667D92AEA288}"/>
    <cellStyle name="Arvutus 19 2" xfId="2290" xr:uid="{D817D35D-2A46-4D1A-A754-CE881D16B4C6}"/>
    <cellStyle name="Arvutus 19 2 2" xfId="15715" xr:uid="{C95ED7C0-F05F-4F15-B5CB-743A198119EE}"/>
    <cellStyle name="Arvutus 19 3" xfId="2291" xr:uid="{87A3DBBE-FE2E-4F0C-961C-B540CE1207F3}"/>
    <cellStyle name="Arvutus 19 3 2" xfId="15716" xr:uid="{A102C489-806A-4741-AD1D-B3610EEB7E3A}"/>
    <cellStyle name="Arvutus 19 4" xfId="2292" xr:uid="{8A63D7E9-4D21-4322-8FB5-8BC314636BD8}"/>
    <cellStyle name="Arvutus 19 4 2" xfId="15717" xr:uid="{E9B6B8C6-382F-4C85-B446-FC3B8A4EA731}"/>
    <cellStyle name="Arvutus 19 5" xfId="2293" xr:uid="{3846AD94-A8A5-4862-983D-6442DD218B96}"/>
    <cellStyle name="Arvutus 19 5 2" xfId="15718" xr:uid="{C30D1D2F-ADD5-414B-AA50-F717B13C67D5}"/>
    <cellStyle name="Arvutus 19 6" xfId="15714" xr:uid="{237A3A51-29C8-4EE8-991C-793E61474D63}"/>
    <cellStyle name="Arvutus 2" xfId="2294" xr:uid="{AE7BA390-9B7E-46BD-98F4-9CEAFE69B8E5}"/>
    <cellStyle name="Arvutus 2 2" xfId="2295" xr:uid="{3868EA85-0FC6-4319-8C33-D3F6B3730977}"/>
    <cellStyle name="Arvutus 2 2 2" xfId="2296" xr:uid="{3C163F1C-8CE7-4D84-8CDD-E2424C1BE1BA}"/>
    <cellStyle name="Arvutus 2 2 2 2" xfId="15721" xr:uid="{970BB43B-74D3-4BEE-8E10-233BB7A8C8D9}"/>
    <cellStyle name="Arvutus 2 2 3" xfId="2297" xr:uid="{1ED781BA-B3F6-4D99-AC86-8EED15599BAE}"/>
    <cellStyle name="Arvutus 2 2 3 2" xfId="15722" xr:uid="{E2C52C01-B350-408D-8561-D08798776DF0}"/>
    <cellStyle name="Arvutus 2 2 4" xfId="2298" xr:uid="{6FEDC1DA-BAAB-47FE-B720-A021E2F50CAA}"/>
    <cellStyle name="Arvutus 2 2 4 2" xfId="15723" xr:uid="{DF3117D4-7608-4BB6-8489-090D94CC15A0}"/>
    <cellStyle name="Arvutus 2 2 5" xfId="2299" xr:uid="{D2DE86C6-A1F5-4295-9621-D7F501E9F291}"/>
    <cellStyle name="Arvutus 2 2 5 2" xfId="15724" xr:uid="{FBE9F022-10C5-4D05-86C4-66BB69185A66}"/>
    <cellStyle name="Arvutus 2 2 6" xfId="15720" xr:uid="{6AC890E4-845A-4CB6-AC42-A9952F4C060C}"/>
    <cellStyle name="Arvutus 2 3" xfId="2300" xr:uid="{F8175DBF-A039-4C19-B1A7-A67F286025F4}"/>
    <cellStyle name="Arvutus 2 3 2" xfId="2301" xr:uid="{ABC75FC3-4A40-47E2-91EA-AF2801260B2D}"/>
    <cellStyle name="Arvutus 2 3 2 2" xfId="15726" xr:uid="{D886E47F-C13C-4940-A996-7B124149DEF8}"/>
    <cellStyle name="Arvutus 2 3 3" xfId="2302" xr:uid="{4FF538D7-5545-47CD-90F8-8B5E6443133E}"/>
    <cellStyle name="Arvutus 2 3 3 2" xfId="15727" xr:uid="{49932F25-BEE2-4A89-9B01-A848AEE2C32D}"/>
    <cellStyle name="Arvutus 2 3 4" xfId="15725" xr:uid="{22D74145-2AAB-4135-8073-920712D18043}"/>
    <cellStyle name="Arvutus 2 4" xfId="2303" xr:uid="{1F3DE618-ED18-460C-B99F-62BB7867A3E0}"/>
    <cellStyle name="Arvutus 2 4 2" xfId="15728" xr:uid="{286D441D-0429-43BC-B58E-739BB9814187}"/>
    <cellStyle name="Arvutus 2 5" xfId="2304" xr:uid="{EEB71244-6710-4393-B978-5B804D84B983}"/>
    <cellStyle name="Arvutus 2 5 2" xfId="15729" xr:uid="{AB8447A8-5C0F-4246-8AEE-5A1EB378E90D}"/>
    <cellStyle name="Arvutus 2 6" xfId="2305" xr:uid="{E291CA23-FFB3-439D-9B3C-E52409189102}"/>
    <cellStyle name="Arvutus 2 6 2" xfId="15730" xr:uid="{370381A5-0E8B-45B7-A25D-08855FFFC2A4}"/>
    <cellStyle name="Arvutus 2 7" xfId="2306" xr:uid="{75C7F333-5EB1-4DC1-9490-88345F1E48E9}"/>
    <cellStyle name="Arvutus 2 7 2" xfId="15731" xr:uid="{DE0F3041-69F6-4E45-80F4-E6224C993F63}"/>
    <cellStyle name="Arvutus 2 8" xfId="15354" xr:uid="{FD5D50B7-2AF9-4597-AEF1-5CDA4E8DABBE}"/>
    <cellStyle name="Arvutus 2 9" xfId="15719" xr:uid="{2011D08B-9CEA-4456-AC4B-05920D861E78}"/>
    <cellStyle name="Arvutus 2_RP3 PP revised" xfId="15220" xr:uid="{0C45F23B-E483-4110-BD32-A5FD278D7F10}"/>
    <cellStyle name="Arvutus 20" xfId="2307" xr:uid="{3D083C4F-82C2-40D0-8554-AE89AEFB6432}"/>
    <cellStyle name="Arvutus 20 2" xfId="2308" xr:uid="{87AA7F23-AD56-48DB-B4C2-8D5441BE46AA}"/>
    <cellStyle name="Arvutus 20 2 2" xfId="15733" xr:uid="{163AA92B-9AFE-4D98-B7B4-8ABEC2C7B290}"/>
    <cellStyle name="Arvutus 20 3" xfId="2309" xr:uid="{FC75A1C1-40E7-42D9-AD76-EC42156AF8FE}"/>
    <cellStyle name="Arvutus 20 3 2" xfId="15734" xr:uid="{3D678AB8-EEEF-4D0D-BEFA-493489A9C82E}"/>
    <cellStyle name="Arvutus 20 4" xfId="15732" xr:uid="{675E476E-56EC-4426-AE9C-A0B7ACD3ADEF}"/>
    <cellStyle name="Arvutus 21" xfId="2310" xr:uid="{10C62A25-2C98-4A96-A1C3-96C3AB0EB6C8}"/>
    <cellStyle name="Arvutus 21 2" xfId="15735" xr:uid="{7F6ACEC2-BDB1-4B10-A957-A27FC54F39CF}"/>
    <cellStyle name="Arvutus 22" xfId="2311" xr:uid="{9F275B6F-5EEB-40C0-83AA-F4CD599E8B12}"/>
    <cellStyle name="Arvutus 22 2" xfId="15736" xr:uid="{738A60DB-9E92-407A-A2B0-27FA4C880CBE}"/>
    <cellStyle name="Arvutus 23" xfId="2312" xr:uid="{005F5C1B-7FD9-4413-9F52-408BDAB5D920}"/>
    <cellStyle name="Arvutus 23 2" xfId="15737" xr:uid="{FEEAF506-92B4-4D75-ADBE-5AE0AF99D02E}"/>
    <cellStyle name="Arvutus 24" xfId="2313" xr:uid="{38BE6720-9F79-431F-8A5E-DA183E47E3CF}"/>
    <cellStyle name="Arvutus 24 2" xfId="15738" xr:uid="{799BAD81-D3BB-42FB-8C70-17D279334E76}"/>
    <cellStyle name="Arvutus 25" xfId="14941" xr:uid="{B094A569-AB57-4557-AC08-B7ED66D2F5A2}"/>
    <cellStyle name="Arvutus 3" xfId="2314" xr:uid="{1FA9988B-B500-4F11-9627-5BDB1B124EE8}"/>
    <cellStyle name="Arvutus 3 2" xfId="2315" xr:uid="{CE512F6F-4E3D-449C-953D-DDC4424D0E3A}"/>
    <cellStyle name="Arvutus 3 2 2" xfId="2316" xr:uid="{E2113A43-ED2D-49A9-A5E5-55F555A71EAD}"/>
    <cellStyle name="Arvutus 3 2 2 2" xfId="15740" xr:uid="{06D9BE1D-CBD4-4EC9-8C9A-054C262F084B}"/>
    <cellStyle name="Arvutus 3 2 3" xfId="2317" xr:uid="{14AEAC2B-9530-45B6-9CCE-497B45CAB681}"/>
    <cellStyle name="Arvutus 3 2 3 2" xfId="15741" xr:uid="{575F54B1-AD8F-4BEC-9419-343A6FB08081}"/>
    <cellStyle name="Arvutus 3 2 4" xfId="2318" xr:uid="{C1B64252-6D5E-47AF-B610-18F63BFE78BE}"/>
    <cellStyle name="Arvutus 3 2 4 2" xfId="15742" xr:uid="{1DFBEC17-0F5C-4CCF-A30C-E8889699A206}"/>
    <cellStyle name="Arvutus 3 2 5" xfId="2319" xr:uid="{9A9B057F-21B4-44BE-B934-4B8D9E98B82B}"/>
    <cellStyle name="Arvutus 3 2 5 2" xfId="15743" xr:uid="{385DC4F3-30A8-40F0-B1C9-02597EFD8216}"/>
    <cellStyle name="Arvutus 3 2 6" xfId="15739" xr:uid="{18E11D9C-20B2-4DCE-A09B-D309DC1DB261}"/>
    <cellStyle name="Arvutus 3 3" xfId="2320" xr:uid="{22C7DDC2-1F24-4941-B1C8-479B2A5BE060}"/>
    <cellStyle name="Arvutus 3 3 2" xfId="15744" xr:uid="{40272992-93AB-482A-8E1C-CE22FF04EF59}"/>
    <cellStyle name="Arvutus 3 4" xfId="2321" xr:uid="{BB173AFD-DCB7-49FE-994B-8840C1D1C4F6}"/>
    <cellStyle name="Arvutus 3 4 2" xfId="15745" xr:uid="{590F0A7C-A96A-4FF4-96EC-5B7607025648}"/>
    <cellStyle name="Arvutus 3 5" xfId="2322" xr:uid="{0E9DED6F-09BB-46A9-93C9-0F695726942D}"/>
    <cellStyle name="Arvutus 3 5 2" xfId="15746" xr:uid="{1F1816EC-898D-4A89-8974-093CE8527380}"/>
    <cellStyle name="Arvutus 3 6" xfId="2323" xr:uid="{A34D558E-7215-483C-8CAB-D2E18A519D43}"/>
    <cellStyle name="Arvutus 3 6 2" xfId="15747" xr:uid="{A10A6CF6-7F68-48B5-A5DB-BF1EFAD9DEE2}"/>
    <cellStyle name="Arvutus 3 7" xfId="15355" xr:uid="{5BCC0B96-1A21-4D13-A150-BD08F861271E}"/>
    <cellStyle name="Arvutus 3_RP3 PP revised" xfId="15219" xr:uid="{C04C2635-A4DD-4E7B-8368-34C7C91BDF06}"/>
    <cellStyle name="Arvutus 4" xfId="2324" xr:uid="{88567A64-56E8-41C3-9A8D-5E34CBFD9BD9}"/>
    <cellStyle name="Arvutus 4 2" xfId="2325" xr:uid="{17C5C82D-2A6C-4BC1-A2DF-D9D479F9F010}"/>
    <cellStyle name="Arvutus 4 2 2" xfId="2326" xr:uid="{AC368423-ECEB-4818-85B7-DD8D627EC0EB}"/>
    <cellStyle name="Arvutus 4 2 2 2" xfId="15750" xr:uid="{0103FD01-0A74-4F45-ADE4-A00770196891}"/>
    <cellStyle name="Arvutus 4 2 3" xfId="2327" xr:uid="{329577C1-44A3-459E-9563-3FBF85E6C85E}"/>
    <cellStyle name="Arvutus 4 2 3 2" xfId="15751" xr:uid="{AFD9EC3B-E1A7-40BB-820E-21C06913B0F5}"/>
    <cellStyle name="Arvutus 4 2 4" xfId="2328" xr:uid="{C655DA6D-6A3F-438D-8BEC-2CBD36F57225}"/>
    <cellStyle name="Arvutus 4 2 4 2" xfId="15752" xr:uid="{272B547C-999B-4451-A086-A68089252CF2}"/>
    <cellStyle name="Arvutus 4 2 5" xfId="2329" xr:uid="{05A967DE-E1D9-4FA8-B149-9FFAFC372890}"/>
    <cellStyle name="Arvutus 4 2 5 2" xfId="15753" xr:uid="{3E7CA2D7-DFEB-45B0-AF40-F8A125F1E39C}"/>
    <cellStyle name="Arvutus 4 2 6" xfId="15749" xr:uid="{A1F842A6-DF48-4DD7-A77E-40ADC73F7447}"/>
    <cellStyle name="Arvutus 4 3" xfId="2330" xr:uid="{70FAD362-42D6-4FC8-84E1-090FCCC25124}"/>
    <cellStyle name="Arvutus 4 3 2" xfId="15754" xr:uid="{3703A4E7-27B8-404A-9CB8-5B22AB95B5AD}"/>
    <cellStyle name="Arvutus 4 4" xfId="2331" xr:uid="{A829D302-F681-487D-BBE2-90AC6DE61D5D}"/>
    <cellStyle name="Arvutus 4 4 2" xfId="15755" xr:uid="{B18AE1C1-FCFA-46F3-9CA4-0E7ABCD3122D}"/>
    <cellStyle name="Arvutus 4 5" xfId="2332" xr:uid="{666C0388-A693-43D3-B13F-974411DB15A3}"/>
    <cellStyle name="Arvutus 4 5 2" xfId="15756" xr:uid="{0D711045-7E07-4A0D-802E-6DE3939CF27F}"/>
    <cellStyle name="Arvutus 4 6" xfId="2333" xr:uid="{9BBFBA0B-2BDE-47D0-ABC6-AB617B1DA2B3}"/>
    <cellStyle name="Arvutus 4 6 2" xfId="15757" xr:uid="{AE2E4E7E-EAF3-4A26-A255-6BE41A05AED4}"/>
    <cellStyle name="Arvutus 4 7" xfId="15748" xr:uid="{8ACA768D-5E32-444A-96D8-0BC5BE2BA8A8}"/>
    <cellStyle name="Arvutus 5" xfId="2334" xr:uid="{8F5C463F-66C3-42C7-8F52-28CB298A3F45}"/>
    <cellStyle name="Arvutus 5 2" xfId="2335" xr:uid="{0407858D-2331-4ACE-8E86-853D1876AF7F}"/>
    <cellStyle name="Arvutus 5 2 2" xfId="2336" xr:uid="{3EA830FC-AC8F-45A8-872E-57A9B1BDEB21}"/>
    <cellStyle name="Arvutus 5 2 2 2" xfId="15760" xr:uid="{4D83994F-2E62-42E0-B18F-445D6324B67F}"/>
    <cellStyle name="Arvutus 5 2 3" xfId="2337" xr:uid="{25AC6ED9-A084-4E43-A32A-432E70776D8F}"/>
    <cellStyle name="Arvutus 5 2 3 2" xfId="15761" xr:uid="{9F6EE1C4-9B1B-4D09-843F-064533A3ECF0}"/>
    <cellStyle name="Arvutus 5 2 4" xfId="2338" xr:uid="{3AB74C39-D857-4F56-81F9-29947F9C1864}"/>
    <cellStyle name="Arvutus 5 2 4 2" xfId="15762" xr:uid="{13D67C0E-FA35-4D31-9EC8-B42F94570BFC}"/>
    <cellStyle name="Arvutus 5 2 5" xfId="2339" xr:uid="{EEC66FB1-B0DE-4D54-8B6F-2272EF68482B}"/>
    <cellStyle name="Arvutus 5 2 5 2" xfId="15763" xr:uid="{36B6FFE2-57AD-4B39-BEB4-65BB3048AA51}"/>
    <cellStyle name="Arvutus 5 2 6" xfId="15759" xr:uid="{7694CCDA-9137-4F76-A3AD-F81769F9241C}"/>
    <cellStyle name="Arvutus 5 3" xfId="2340" xr:uid="{FEB081B4-9F7A-4A91-BA24-763F013651A9}"/>
    <cellStyle name="Arvutus 5 3 2" xfId="15764" xr:uid="{D717ACB8-7BD1-45A6-9E82-45D87B8686A3}"/>
    <cellStyle name="Arvutus 5 4" xfId="2341" xr:uid="{347ED1E4-CF94-4D12-8EF1-27C3015455E2}"/>
    <cellStyle name="Arvutus 5 4 2" xfId="15765" xr:uid="{BCC0BD0E-17D4-4335-80A3-CF2ADF89897A}"/>
    <cellStyle name="Arvutus 5 5" xfId="2342" xr:uid="{6124EEF3-9A9E-4AFD-9DE3-BAD0759FC069}"/>
    <cellStyle name="Arvutus 5 5 2" xfId="15766" xr:uid="{AB1C1193-7320-4D70-9230-C3746907EB29}"/>
    <cellStyle name="Arvutus 5 6" xfId="2343" xr:uid="{7392A521-E658-4023-833D-213B2391F5DA}"/>
    <cellStyle name="Arvutus 5 6 2" xfId="15767" xr:uid="{D6C96C29-C763-4BB8-8468-90BAFE972D3B}"/>
    <cellStyle name="Arvutus 5 7" xfId="15758" xr:uid="{93BAC137-F02D-4BF0-A783-0FB4624B659B}"/>
    <cellStyle name="Arvutus 6" xfId="2344" xr:uid="{135931DE-BA39-4768-9F2B-449897F92E7B}"/>
    <cellStyle name="Arvutus 6 2" xfId="2345" xr:uid="{195350AC-E89D-4200-94E3-3A8B0C088F14}"/>
    <cellStyle name="Arvutus 6 2 2" xfId="2346" xr:uid="{E40F787C-5221-4C6C-9FCA-A8180383124B}"/>
    <cellStyle name="Arvutus 6 2 2 2" xfId="15770" xr:uid="{96191B66-834E-4304-B844-EFC1BC8FC9FC}"/>
    <cellStyle name="Arvutus 6 2 3" xfId="2347" xr:uid="{CF17555C-9C1F-4F81-AFBB-CEBBED1F93EE}"/>
    <cellStyle name="Arvutus 6 2 3 2" xfId="15771" xr:uid="{95CB8A44-41C6-4258-AFA2-01837ED46246}"/>
    <cellStyle name="Arvutus 6 2 4" xfId="2348" xr:uid="{5B0A843D-D9E8-49F3-A0BB-FB1C4DA4ADDF}"/>
    <cellStyle name="Arvutus 6 2 4 2" xfId="15772" xr:uid="{F6EF54C5-5C33-4127-8AF8-3DCED5FB911D}"/>
    <cellStyle name="Arvutus 6 2 5" xfId="2349" xr:uid="{00BD6AC1-BC50-4E12-A945-5BA6DB31BA82}"/>
    <cellStyle name="Arvutus 6 2 5 2" xfId="15773" xr:uid="{C0EE6E51-175A-4D0B-B663-A5D84D3D6555}"/>
    <cellStyle name="Arvutus 6 2 6" xfId="15769" xr:uid="{4415E09D-493B-44E8-BA2C-BA87EF6049D0}"/>
    <cellStyle name="Arvutus 6 3" xfId="2350" xr:uid="{00DC738F-245E-4F2A-8241-6647FECA8A3A}"/>
    <cellStyle name="Arvutus 6 3 2" xfId="15774" xr:uid="{2F7D2D5E-82D9-4F18-86C0-A9225A079335}"/>
    <cellStyle name="Arvutus 6 4" xfId="2351" xr:uid="{4B35A3B3-8FA7-4F25-A53E-EC922247AED6}"/>
    <cellStyle name="Arvutus 6 4 2" xfId="15775" xr:uid="{C9C2D3DB-80B8-4955-8757-3FEADED0B168}"/>
    <cellStyle name="Arvutus 6 5" xfId="2352" xr:uid="{6DE3DE26-D290-4DFF-90B5-AB3917E613E2}"/>
    <cellStyle name="Arvutus 6 5 2" xfId="15776" xr:uid="{3577B845-122A-480F-9481-CE38042AA952}"/>
    <cellStyle name="Arvutus 6 6" xfId="2353" xr:uid="{A5EC0F8E-94C3-4D22-B7E0-C2BDFB01C0C5}"/>
    <cellStyle name="Arvutus 6 6 2" xfId="15777" xr:uid="{9F5DCC05-33B7-4076-9643-A25582409038}"/>
    <cellStyle name="Arvutus 6 7" xfId="15768" xr:uid="{A26F79C8-20E0-4714-B27E-66CECE5CD3D0}"/>
    <cellStyle name="Arvutus 7" xfId="2354" xr:uid="{945DC13E-FAE7-4CDE-9354-F4D3705AEAC0}"/>
    <cellStyle name="Arvutus 7 2" xfId="2355" xr:uid="{435330DD-27DC-46B8-B237-0E35D43ABA58}"/>
    <cellStyle name="Arvutus 7 2 2" xfId="2356" xr:uid="{A56238BB-0F05-4977-8C29-60F99CDCC823}"/>
    <cellStyle name="Arvutus 7 2 2 2" xfId="15780" xr:uid="{DE7913FE-C01B-4D24-B023-A23E7D8C2061}"/>
    <cellStyle name="Arvutus 7 2 3" xfId="2357" xr:uid="{267D152F-71D0-49E9-A22F-6F3233C3941D}"/>
    <cellStyle name="Arvutus 7 2 3 2" xfId="15781" xr:uid="{655264EF-C26F-46DF-BE47-4FD4E30AFF7B}"/>
    <cellStyle name="Arvutus 7 2 4" xfId="2358" xr:uid="{2967B9B0-2AAA-416F-A150-DF50249E9AEF}"/>
    <cellStyle name="Arvutus 7 2 4 2" xfId="15782" xr:uid="{B85113A5-5D3B-4D28-8B99-56CCBB544366}"/>
    <cellStyle name="Arvutus 7 2 5" xfId="2359" xr:uid="{738E7190-2C59-4331-A263-B0072E10AD15}"/>
    <cellStyle name="Arvutus 7 2 5 2" xfId="15783" xr:uid="{AA677CEC-07D6-46BF-87F7-E8FC8A016118}"/>
    <cellStyle name="Arvutus 7 2 6" xfId="15779" xr:uid="{FA5FA2CF-32D4-4B86-8C6D-E8B463D8743E}"/>
    <cellStyle name="Arvutus 7 3" xfId="2360" xr:uid="{4D21A35A-5D6F-4872-8836-9E35E72C1E43}"/>
    <cellStyle name="Arvutus 7 3 2" xfId="15784" xr:uid="{D4940661-49A5-433D-B04A-138DAEC4EF20}"/>
    <cellStyle name="Arvutus 7 4" xfId="2361" xr:uid="{BB80DFB0-695E-490E-B208-8370625151B4}"/>
    <cellStyle name="Arvutus 7 4 2" xfId="15785" xr:uid="{BE2A157C-CDA7-4EB5-828B-5F863B991040}"/>
    <cellStyle name="Arvutus 7 5" xfId="2362" xr:uid="{99B7FF57-DDA1-49E9-83F3-1410392AEAD8}"/>
    <cellStyle name="Arvutus 7 5 2" xfId="15786" xr:uid="{1F4FBC83-C0E4-4A5A-AE59-333439BF7390}"/>
    <cellStyle name="Arvutus 7 6" xfId="2363" xr:uid="{F14574A8-7496-449F-8E7E-78B02FF4644A}"/>
    <cellStyle name="Arvutus 7 6 2" xfId="15787" xr:uid="{75DD6DC3-6197-4DAF-A584-922D30CEC3BE}"/>
    <cellStyle name="Arvutus 7 7" xfId="15778" xr:uid="{635EA7BC-EF52-44B8-8B65-7A27DA343891}"/>
    <cellStyle name="Arvutus 8" xfId="2364" xr:uid="{A87B5CCB-124A-4570-A6CE-E52C26B75C20}"/>
    <cellStyle name="Arvutus 8 2" xfId="2365" xr:uid="{ECB46E81-79F0-44A3-83C7-9F7C50E56E72}"/>
    <cellStyle name="Arvutus 8 2 2" xfId="2366" xr:uid="{E495CA82-588B-42CB-B053-1E0A12B83BA2}"/>
    <cellStyle name="Arvutus 8 2 2 2" xfId="15790" xr:uid="{898AF972-3563-4A42-A5A3-08DFDE9A04CD}"/>
    <cellStyle name="Arvutus 8 2 3" xfId="2367" xr:uid="{8B3401B8-AB3B-48EA-AC71-570875DAD438}"/>
    <cellStyle name="Arvutus 8 2 3 2" xfId="15791" xr:uid="{A2E71CEA-C107-44D9-8399-B6C8A0DBDD39}"/>
    <cellStyle name="Arvutus 8 2 4" xfId="2368" xr:uid="{06A2C055-40E2-4460-9C92-929D7F171DB2}"/>
    <cellStyle name="Arvutus 8 2 4 2" xfId="15792" xr:uid="{1532A707-CF42-4B0B-A09E-07B44C436D7B}"/>
    <cellStyle name="Arvutus 8 2 5" xfId="2369" xr:uid="{7789880F-6571-4FFF-B05C-9764CF905AAB}"/>
    <cellStyle name="Arvutus 8 2 5 2" xfId="15793" xr:uid="{FC8263CC-B98B-43D8-801B-A7C289B0DC05}"/>
    <cellStyle name="Arvutus 8 2 6" xfId="15789" xr:uid="{2E6B78FF-0432-4971-8558-E2FDB9C7357D}"/>
    <cellStyle name="Arvutus 8 3" xfId="2370" xr:uid="{AEE0E7C1-78EF-42F7-B0F7-BA07CF441BF9}"/>
    <cellStyle name="Arvutus 8 3 2" xfId="15794" xr:uid="{192B11A9-2ACA-4CC3-AEBB-17DF4361F231}"/>
    <cellStyle name="Arvutus 8 4" xfId="2371" xr:uid="{C9F1C603-BE6A-423C-9B85-48D7156A5D12}"/>
    <cellStyle name="Arvutus 8 4 2" xfId="15795" xr:uid="{F335C7FA-2D64-4767-B70F-646F5F04ED3B}"/>
    <cellStyle name="Arvutus 8 5" xfId="2372" xr:uid="{E5F6A35E-D3C5-490E-9BAB-4C85DA66A75B}"/>
    <cellStyle name="Arvutus 8 5 2" xfId="15796" xr:uid="{C7B2461C-5C95-49D1-84DA-2A59FBA4224F}"/>
    <cellStyle name="Arvutus 8 6" xfId="2373" xr:uid="{3DEDDF76-F3A8-4AD6-A0DC-1C8EBC9F5DCC}"/>
    <cellStyle name="Arvutus 8 6 2" xfId="15797" xr:uid="{25E243EF-EE46-4774-A08B-8DF6293445C0}"/>
    <cellStyle name="Arvutus 8 7" xfId="15788" xr:uid="{5AD2EBF2-319E-4803-993D-7FA5645E01AF}"/>
    <cellStyle name="Arvutus 9" xfId="2374" xr:uid="{B4AF15A6-943A-44CA-9EF1-8AC41EFB2D96}"/>
    <cellStyle name="Arvutus 9 2" xfId="2375" xr:uid="{C49E0C1A-34A4-4171-BA5E-DA530E6581E5}"/>
    <cellStyle name="Arvutus 9 2 2" xfId="2376" xr:uid="{1C72887A-8FF8-471E-BDC3-0D26574D1171}"/>
    <cellStyle name="Arvutus 9 2 2 2" xfId="15800" xr:uid="{EDC34C94-1F2C-4538-885F-6FCB96AAFCE9}"/>
    <cellStyle name="Arvutus 9 2 3" xfId="2377" xr:uid="{59A896B9-9297-4D10-8CEF-E4D135343D2E}"/>
    <cellStyle name="Arvutus 9 2 3 2" xfId="15801" xr:uid="{98175AEB-173F-46F5-9E3B-0A3EF304707D}"/>
    <cellStyle name="Arvutus 9 2 4" xfId="2378" xr:uid="{DF1E2DEB-FC11-4479-9CED-4ABB01065E8D}"/>
    <cellStyle name="Arvutus 9 2 4 2" xfId="15802" xr:uid="{6D7336C7-ADC9-4B6F-AEED-BA1782D57257}"/>
    <cellStyle name="Arvutus 9 2 5" xfId="2379" xr:uid="{4B7813C2-CFC9-410A-9980-53E42A0D3EAA}"/>
    <cellStyle name="Arvutus 9 2 5 2" xfId="15803" xr:uid="{7573B570-2BD7-44E9-8ADF-DEC47956521A}"/>
    <cellStyle name="Arvutus 9 2 6" xfId="15799" xr:uid="{0CF70187-CD33-4372-86A9-D502D51CC3CC}"/>
    <cellStyle name="Arvutus 9 3" xfId="2380" xr:uid="{CFD75955-5A4E-4463-89E7-30A3A0FB843B}"/>
    <cellStyle name="Arvutus 9 3 2" xfId="15804" xr:uid="{056A9A35-78F7-470B-A8D2-464E1B96500C}"/>
    <cellStyle name="Arvutus 9 4" xfId="2381" xr:uid="{75DB66F9-336C-409B-AFD6-3B6692992CF3}"/>
    <cellStyle name="Arvutus 9 4 2" xfId="15805" xr:uid="{F92F8C0B-FD6F-4107-9C20-DC14AA0C6479}"/>
    <cellStyle name="Arvutus 9 5" xfId="2382" xr:uid="{F39518AD-7E65-40B7-B843-740E8CAC9928}"/>
    <cellStyle name="Arvutus 9 5 2" xfId="15806" xr:uid="{39B796CE-9498-47DA-A38B-D9D66B02ADDF}"/>
    <cellStyle name="Arvutus 9 6" xfId="2383" xr:uid="{CAB5BDF8-520B-4514-9B0B-0A3C6AC33972}"/>
    <cellStyle name="Arvutus 9 6 2" xfId="15807" xr:uid="{D930D16B-0F6E-4443-BCE1-0943DE7F3440}"/>
    <cellStyle name="Arvutus 9 7" xfId="15798" xr:uid="{217E26F3-7CE5-463B-9848-C8E9363E3077}"/>
    <cellStyle name="Arvutus_KTR An-Abflug" xfId="14883" xr:uid="{72C9997E-75D8-480F-8016-5B31A3E878E9}"/>
    <cellStyle name="assumption 1" xfId="2384" xr:uid="{04F4A001-D6FC-4CAB-9B3E-34E20DFB52CC}"/>
    <cellStyle name="assumption 2" xfId="2385" xr:uid="{8A4D9F69-707B-45F8-88F9-D28600D0D0E9}"/>
    <cellStyle name="assumption 2 2" xfId="2386" xr:uid="{EAF58481-2849-4782-A4E0-36779D54ADC7}"/>
    <cellStyle name="assumption 4" xfId="2387" xr:uid="{B04C862C-6D39-4356-A653-FFC44D5A3C94}"/>
    <cellStyle name="Assumption Date" xfId="2388" xr:uid="{EAB00A23-12EE-49F8-871C-43B716997158}"/>
    <cellStyle name="Assumptions % 0 dp" xfId="2389" xr:uid="{5C40CCAD-83BD-4817-B74C-EB3CD5B54748}"/>
    <cellStyle name="Assumptions % 1 dp" xfId="2390" xr:uid="{91E3730F-CA74-4E4C-823C-89CCE2B4BBB4}"/>
    <cellStyle name="Assumptions % 2 dp" xfId="2391" xr:uid="{956C23AB-B51A-4DB3-A107-1D85BE53CF82}"/>
    <cellStyle name="Assumptions 0 dp" xfId="2392" xr:uid="{0C7BC839-A2D7-42AF-BB37-F0E88C537B57}"/>
    <cellStyle name="Assumptions 2 dp" xfId="2393" xr:uid="{C5E5D9A1-0503-43BA-B6B0-9DF76B4DC705}"/>
    <cellStyle name="Assumptions 3 dp" xfId="2394" xr:uid="{A9EA6AD6-8173-44BE-B0C5-30E1752BE19F}"/>
    <cellStyle name="Ausgabe" xfId="2395" xr:uid="{D5F07188-5B6F-47DA-90FB-BA2454ADCD09}"/>
    <cellStyle name="Ausgabe 2" xfId="2396" xr:uid="{1A7873FF-0583-4FFF-97D6-3DB0D063EC12}"/>
    <cellStyle name="Ausgabe 2 2" xfId="15809" xr:uid="{75894D5C-28F1-4264-9A6A-FA7A7A5905E5}"/>
    <cellStyle name="Ausgabe 3" xfId="2397" xr:uid="{BB78E3A9-2D2B-4CE3-BACF-5542DC8D8A63}"/>
    <cellStyle name="Ausgabe 3 2" xfId="15810" xr:uid="{625992F2-BB3B-4A8D-8B07-EBCE6AB84C35}"/>
    <cellStyle name="Ausgabe 4" xfId="14942" xr:uid="{B1ECAE4E-0196-4C40-AB07-463E7A4AC93A}"/>
    <cellStyle name="Ausgabe_RP3 PP revised" xfId="15218" xr:uid="{9C0C0935-1C2C-4A9E-8F7E-B9218DF4AE0F}"/>
    <cellStyle name="Avertissement" xfId="14943" xr:uid="{71055F70-BAD9-49E6-9A37-622C43C32608}"/>
    <cellStyle name="Avertissement 2" xfId="2398" xr:uid="{B41D4653-4292-435E-884A-6945FBC2DCFB}"/>
    <cellStyle name="Avertissement 2 2" xfId="2399" xr:uid="{14F21D10-4149-489D-9C0C-693018EC5DC3}"/>
    <cellStyle name="Avertissement 3" xfId="2400" xr:uid="{287081AF-08E6-4765-8874-2B3D29152482}"/>
    <cellStyle name="Avertissement 3 2" xfId="2401" xr:uid="{13DB73E8-3C80-4F16-9F94-15B181A85672}"/>
    <cellStyle name="Avertissement 4" xfId="2402" xr:uid="{DF076640-555F-4175-ABB4-5D6F0AE45C36}"/>
    <cellStyle name="Avertissement 4 2" xfId="2403" xr:uid="{FF872359-25C7-4945-8855-FDD6638878B2}"/>
    <cellStyle name="Avertissement 5" xfId="2404" xr:uid="{FAB18240-CE7B-4DF6-8CDF-CBEC91C2EF1E}"/>
    <cellStyle name="B" xfId="2405" xr:uid="{3C87121B-7B00-40D2-99F9-3BBE23541678}"/>
    <cellStyle name="Bad 2" xfId="2406" xr:uid="{0E9A9299-7CDF-4E7F-B5C0-987B20847DEC}"/>
    <cellStyle name="Bad 3" xfId="2407" xr:uid="{C416DB24-E318-4EB3-93D7-74A5F46653F7}"/>
    <cellStyle name="Bad 4" xfId="14673" xr:uid="{B4B79C99-04AD-4AB4-8CB3-EDE72629B5FE}"/>
    <cellStyle name="Bemærk!" xfId="2408" xr:uid="{202AA184-311A-4530-85AA-40F655A7F6B5}"/>
    <cellStyle name="Bemærk! 10" xfId="2409" xr:uid="{8DF77271-E047-4E11-9D05-4723FCFFCE83}"/>
    <cellStyle name="Bemærk! 10 2" xfId="2410" xr:uid="{E1D85CDE-5579-4B05-BF7F-C29C40C4C352}"/>
    <cellStyle name="Bemærk! 10 2 2" xfId="2411" xr:uid="{8D25B8F7-BB43-4AED-9B2C-332B610335C9}"/>
    <cellStyle name="Bemærk! 10 2 2 2" xfId="15813" xr:uid="{036AA875-07BC-4086-8E04-D86D93743A8F}"/>
    <cellStyle name="Bemærk! 10 2 3" xfId="2412" xr:uid="{C4EB7CC9-751C-4AE3-B184-B41E242AD986}"/>
    <cellStyle name="Bemærk! 10 2 3 2" xfId="15814" xr:uid="{DA9C3685-BB54-4700-B877-89BE2C53DFEC}"/>
    <cellStyle name="Bemærk! 10 2 4" xfId="2413" xr:uid="{CEE978A7-91BB-4298-8E4D-E90207D946F4}"/>
    <cellStyle name="Bemærk! 10 2 4 2" xfId="15815" xr:uid="{EF621698-D587-48F4-9FC7-FC3D7C1E61D8}"/>
    <cellStyle name="Bemærk! 10 2 5" xfId="2414" xr:uid="{E44A16AC-ED51-4375-948A-823DFB0F98CD}"/>
    <cellStyle name="Bemærk! 10 2 5 2" xfId="15816" xr:uid="{EFF191DB-DE28-4296-ACDB-9660CB63A1AB}"/>
    <cellStyle name="Bemærk! 10 2 6" xfId="15812" xr:uid="{A42F08AC-ED20-4E6F-A7BC-1EA087C8B634}"/>
    <cellStyle name="Bemærk! 10 3" xfId="2415" xr:uid="{05FD4655-30C1-44CB-9F7D-A8CCF1575E3C}"/>
    <cellStyle name="Bemærk! 10 3 2" xfId="15817" xr:uid="{0DDEE9C1-BAEC-4F2F-8541-34DE6525761A}"/>
    <cellStyle name="Bemærk! 10 4" xfId="2416" xr:uid="{32A06D19-09BE-4F96-9720-8841BD9D276A}"/>
    <cellStyle name="Bemærk! 10 4 2" xfId="15818" xr:uid="{A52BB1D8-560A-4A33-8694-DC0B2D569698}"/>
    <cellStyle name="Bemærk! 10 5" xfId="2417" xr:uid="{813D0969-4C29-4D27-BB1F-0CC329E683CA}"/>
    <cellStyle name="Bemærk! 10 5 2" xfId="15819" xr:uid="{B7F1F402-A309-4085-8C11-959112F38A3E}"/>
    <cellStyle name="Bemærk! 10 6" xfId="2418" xr:uid="{D32AF75F-7C16-4983-A229-D8EADE81EE89}"/>
    <cellStyle name="Bemærk! 10 6 2" xfId="15820" xr:uid="{F12C74B7-7B1D-486A-B2E7-26B4C08BDC38}"/>
    <cellStyle name="Bemærk! 10 7" xfId="15811" xr:uid="{DCB71EC6-A5BB-4408-9A15-E0D1F375BBC8}"/>
    <cellStyle name="Bemærk! 11" xfId="2419" xr:uid="{D870ABC6-5830-4ED6-A5CD-571CC6D4987B}"/>
    <cellStyle name="Bemærk! 11 2" xfId="2420" xr:uid="{05B635E1-D169-4BBB-BC69-129F26B9DC41}"/>
    <cellStyle name="Bemærk! 11 2 2" xfId="2421" xr:uid="{B4618DB9-1E36-4B12-B055-DB8790E29243}"/>
    <cellStyle name="Bemærk! 11 2 2 2" xfId="15823" xr:uid="{3988D67B-C992-4666-A103-F7DDF9D13F56}"/>
    <cellStyle name="Bemærk! 11 2 3" xfId="2422" xr:uid="{18A4AD2E-94F9-4DD6-929A-B77079DBBFDD}"/>
    <cellStyle name="Bemærk! 11 2 3 2" xfId="15824" xr:uid="{17052821-E64C-4246-93FE-2B5762CDF4F3}"/>
    <cellStyle name="Bemærk! 11 2 4" xfId="2423" xr:uid="{91E36C49-2AEA-4A9A-9B45-41364DE0A072}"/>
    <cellStyle name="Bemærk! 11 2 4 2" xfId="15825" xr:uid="{2A91E348-4906-41BF-95DF-828A03CE80F0}"/>
    <cellStyle name="Bemærk! 11 2 5" xfId="2424" xr:uid="{86369412-272F-4895-9DF2-26F02DF8B0BF}"/>
    <cellStyle name="Bemærk! 11 2 5 2" xfId="15826" xr:uid="{874655CE-A688-4E84-806C-426BB854D2FA}"/>
    <cellStyle name="Bemærk! 11 2 6" xfId="15822" xr:uid="{EC46A9A9-E8B6-4BC5-AB62-8AD748E6C7F5}"/>
    <cellStyle name="Bemærk! 11 3" xfId="2425" xr:uid="{D15D846D-93F0-4B93-8029-103D7FCA9319}"/>
    <cellStyle name="Bemærk! 11 3 2" xfId="15827" xr:uid="{12C9E9A2-DED2-4BC2-A3F8-BC42EFB13CAC}"/>
    <cellStyle name="Bemærk! 11 4" xfId="2426" xr:uid="{97702E60-765A-468E-AFFB-9CC1CBF706F8}"/>
    <cellStyle name="Bemærk! 11 4 2" xfId="15828" xr:uid="{769D363E-7CB2-4BC4-9E16-C2CBD9D882C2}"/>
    <cellStyle name="Bemærk! 11 5" xfId="2427" xr:uid="{1BC348E2-09D6-4006-9FBE-D414E176E210}"/>
    <cellStyle name="Bemærk! 11 5 2" xfId="15829" xr:uid="{5064D2E5-12A1-492F-BA73-F07CA6A07045}"/>
    <cellStyle name="Bemærk! 11 6" xfId="2428" xr:uid="{CB2247F1-502D-4B95-B382-86C377A84E4D}"/>
    <cellStyle name="Bemærk! 11 6 2" xfId="15830" xr:uid="{278F8901-6B52-4490-B52A-138A2BD0C501}"/>
    <cellStyle name="Bemærk! 11 7" xfId="15821" xr:uid="{42970C38-9BDE-4209-8ED0-C60C957204A9}"/>
    <cellStyle name="Bemærk! 12" xfId="2429" xr:uid="{95D5E542-F456-422A-B5EA-8C48A4FF6A97}"/>
    <cellStyle name="Bemærk! 12 2" xfId="2430" xr:uid="{E3DCDBB8-58D7-4099-B15E-E5A695B58894}"/>
    <cellStyle name="Bemærk! 12 2 2" xfId="2431" xr:uid="{29CB964B-A177-4B3F-A479-D596309ED063}"/>
    <cellStyle name="Bemærk! 12 2 2 2" xfId="15833" xr:uid="{77E5173B-0201-4F28-A6CE-6D193C52BCFC}"/>
    <cellStyle name="Bemærk! 12 2 3" xfId="2432" xr:uid="{76C8E715-148A-4690-9E16-AF27B3A186DA}"/>
    <cellStyle name="Bemærk! 12 2 3 2" xfId="15834" xr:uid="{F3E11899-C7C0-4F54-9473-ECDB87793381}"/>
    <cellStyle name="Bemærk! 12 2 4" xfId="2433" xr:uid="{1ACCA8B6-6E37-43B6-8137-F9EC25E13D4A}"/>
    <cellStyle name="Bemærk! 12 2 4 2" xfId="15835" xr:uid="{E35E0678-3872-4628-8746-729E13A6763F}"/>
    <cellStyle name="Bemærk! 12 2 5" xfId="2434" xr:uid="{39561E73-C8BF-42CF-8A86-254F4F1D95E8}"/>
    <cellStyle name="Bemærk! 12 2 5 2" xfId="15836" xr:uid="{39EC4368-A545-4795-AF15-6351C8ABF980}"/>
    <cellStyle name="Bemærk! 12 2 6" xfId="15832" xr:uid="{B6F5B2DB-498F-45D1-B43B-CE3A3AA6F1FA}"/>
    <cellStyle name="Bemærk! 12 3" xfId="2435" xr:uid="{AF7840CD-624C-4B1A-9E36-B8A36B47943A}"/>
    <cellStyle name="Bemærk! 12 3 2" xfId="15837" xr:uid="{3BB14818-EFC9-4E17-AFC8-43E320E72D9E}"/>
    <cellStyle name="Bemærk! 12 4" xfId="2436" xr:uid="{CCE1FB79-1C0A-4A39-9994-6A6C9E08005A}"/>
    <cellStyle name="Bemærk! 12 4 2" xfId="15838" xr:uid="{15A4A192-74B9-4102-A73B-8CB8F730F294}"/>
    <cellStyle name="Bemærk! 12 5" xfId="2437" xr:uid="{8C5AA2EA-8E20-421A-8F72-DDFE97C04B62}"/>
    <cellStyle name="Bemærk! 12 5 2" xfId="15839" xr:uid="{C2373748-B89A-43BB-98AC-EDE26204D624}"/>
    <cellStyle name="Bemærk! 12 6" xfId="2438" xr:uid="{14644310-3D34-497B-88AD-68ED9587A76F}"/>
    <cellStyle name="Bemærk! 12 6 2" xfId="15840" xr:uid="{28F6EAB3-96D4-4A7A-B58E-DEF286ECB91F}"/>
    <cellStyle name="Bemærk! 12 7" xfId="15831" xr:uid="{05E3225F-6C30-4D89-A033-C2DA367E2CB8}"/>
    <cellStyle name="Bemærk! 13" xfId="2439" xr:uid="{70D4CC25-F6E6-4B09-BF8F-41F004223387}"/>
    <cellStyle name="Bemærk! 13 2" xfId="2440" xr:uid="{868FB220-4F80-4BA5-82E9-4932EE913263}"/>
    <cellStyle name="Bemærk! 13 2 2" xfId="2441" xr:uid="{6E230147-D8EE-4B7C-BAC4-E334BFEC31FC}"/>
    <cellStyle name="Bemærk! 13 2 2 2" xfId="15843" xr:uid="{88109B9E-CDAE-42C7-8811-5C9C4E52A5EF}"/>
    <cellStyle name="Bemærk! 13 2 3" xfId="2442" xr:uid="{F27C7B47-E23A-46F5-BF3E-3DF24CAA95E8}"/>
    <cellStyle name="Bemærk! 13 2 3 2" xfId="15844" xr:uid="{68C75711-4E81-453B-9390-FF4E7E3C30E4}"/>
    <cellStyle name="Bemærk! 13 2 4" xfId="2443" xr:uid="{62EF6A64-8C99-437A-A6B9-18A272F833FB}"/>
    <cellStyle name="Bemærk! 13 2 4 2" xfId="15845" xr:uid="{4A0A971C-41E4-4770-98C2-5583443D541A}"/>
    <cellStyle name="Bemærk! 13 2 5" xfId="2444" xr:uid="{85FA7C04-7313-4322-8541-56938A4519E2}"/>
    <cellStyle name="Bemærk! 13 2 5 2" xfId="15846" xr:uid="{F2C56C81-28A6-4EA2-BBA7-C47728B6425D}"/>
    <cellStyle name="Bemærk! 13 2 6" xfId="15842" xr:uid="{6DB45C51-A83F-446F-97F5-D137F9A7A1FA}"/>
    <cellStyle name="Bemærk! 13 3" xfId="2445" xr:uid="{DE1274F5-51DA-4DCD-9E59-AFCADC5D196D}"/>
    <cellStyle name="Bemærk! 13 3 2" xfId="15847" xr:uid="{B353C125-F030-48E2-9104-0333FD77D2C9}"/>
    <cellStyle name="Bemærk! 13 4" xfId="2446" xr:uid="{37A9A502-3515-4999-8440-76E8DE0378B3}"/>
    <cellStyle name="Bemærk! 13 4 2" xfId="15848" xr:uid="{2C35C53F-F291-4A82-9572-1F0FD4C0A2D3}"/>
    <cellStyle name="Bemærk! 13 5" xfId="2447" xr:uid="{7A3E354A-05BC-482F-B2D8-552B1BBBCC99}"/>
    <cellStyle name="Bemærk! 13 5 2" xfId="15849" xr:uid="{FF2A8B95-E50D-4569-AF0F-AAD861D44D86}"/>
    <cellStyle name="Bemærk! 13 6" xfId="2448" xr:uid="{6377613C-2C29-4F8C-9655-E5A0A5753F24}"/>
    <cellStyle name="Bemærk! 13 6 2" xfId="15850" xr:uid="{384EC670-A998-435C-ACFC-06AAEE719149}"/>
    <cellStyle name="Bemærk! 13 7" xfId="15841" xr:uid="{E9D3F84A-9F7D-463D-B87D-1025D09B4A23}"/>
    <cellStyle name="Bemærk! 14" xfId="2449" xr:uid="{690479AB-49E5-4085-9AD5-7CD305BE7517}"/>
    <cellStyle name="Bemærk! 14 2" xfId="2450" xr:uid="{DE02952F-7573-4444-A238-97538772C799}"/>
    <cellStyle name="Bemærk! 14 2 2" xfId="2451" xr:uid="{74B0B0E4-197C-4319-BE3D-5D0D511EF5C3}"/>
    <cellStyle name="Bemærk! 14 2 2 2" xfId="15853" xr:uid="{034A016A-5834-46B3-AE3F-CD3FC0433C16}"/>
    <cellStyle name="Bemærk! 14 2 3" xfId="2452" xr:uid="{89D24D76-93CA-43FC-AA03-36B267E317E9}"/>
    <cellStyle name="Bemærk! 14 2 3 2" xfId="15854" xr:uid="{7DC3D19B-2CA9-4331-81DF-AB474AF12DF0}"/>
    <cellStyle name="Bemærk! 14 2 4" xfId="2453" xr:uid="{F3F17BCC-4446-43F7-AB96-217296B1C40A}"/>
    <cellStyle name="Bemærk! 14 2 4 2" xfId="15855" xr:uid="{6E07E921-07AD-4949-AB7A-22B65D30EB14}"/>
    <cellStyle name="Bemærk! 14 2 5" xfId="2454" xr:uid="{44E28D02-BC45-479C-87DD-02FE3A77054C}"/>
    <cellStyle name="Bemærk! 14 2 5 2" xfId="15856" xr:uid="{119F2B9C-F3DC-4C6C-8E7C-1C63C837FC85}"/>
    <cellStyle name="Bemærk! 14 2 6" xfId="15852" xr:uid="{2D92E395-29FB-41F7-B568-246AE9141EB7}"/>
    <cellStyle name="Bemærk! 14 3" xfId="2455" xr:uid="{AF685A4F-25EA-4CBD-BAF5-72A29EF85328}"/>
    <cellStyle name="Bemærk! 14 3 2" xfId="15857" xr:uid="{28C8BF7B-1F1E-4D74-8FEE-AB437D97C646}"/>
    <cellStyle name="Bemærk! 14 4" xfId="2456" xr:uid="{5A05C885-3263-442D-B9FD-691BF512F22E}"/>
    <cellStyle name="Bemærk! 14 4 2" xfId="15858" xr:uid="{6618C7E7-918F-4795-BAC5-8DA28E845C16}"/>
    <cellStyle name="Bemærk! 14 5" xfId="2457" xr:uid="{20E3E420-EC95-4BFB-8855-ABD737717DAA}"/>
    <cellStyle name="Bemærk! 14 5 2" xfId="15859" xr:uid="{D0569430-7768-4774-A6B4-C84B78DBD509}"/>
    <cellStyle name="Bemærk! 14 6" xfId="2458" xr:uid="{B40F4C27-165E-4515-942C-7DCF0858B5B9}"/>
    <cellStyle name="Bemærk! 14 6 2" xfId="15860" xr:uid="{FDEDDD5D-35A4-4C23-8781-59FF52E124B8}"/>
    <cellStyle name="Bemærk! 14 7" xfId="15851" xr:uid="{C4F1C5EB-777A-42F1-989E-1DE626862177}"/>
    <cellStyle name="Bemærk! 15" xfId="2459" xr:uid="{DDB26E02-5113-42ED-BF2F-56CBF68EBEBE}"/>
    <cellStyle name="Bemærk! 15 2" xfId="2460" xr:uid="{F2BDEA2D-23B4-4A76-8815-155CACE0E18E}"/>
    <cellStyle name="Bemærk! 15 2 2" xfId="2461" xr:uid="{11A87B96-1B3B-4021-A7F4-FE5DD1CA2C08}"/>
    <cellStyle name="Bemærk! 15 2 2 2" xfId="15863" xr:uid="{F2FFBECC-09FB-4E1A-B790-D0642A6A045D}"/>
    <cellStyle name="Bemærk! 15 2 3" xfId="2462" xr:uid="{3258678A-2D76-4423-AA5C-B27517CEF603}"/>
    <cellStyle name="Bemærk! 15 2 3 2" xfId="15864" xr:uid="{6DCAB2F7-0AD2-40A8-97B5-E7D3234C781E}"/>
    <cellStyle name="Bemærk! 15 2 4" xfId="2463" xr:uid="{EEAE9AA1-715C-4B9D-9483-BEF52E1005E4}"/>
    <cellStyle name="Bemærk! 15 2 4 2" xfId="15865" xr:uid="{72BFCAE9-4287-423E-A5E6-7605AB13C8DC}"/>
    <cellStyle name="Bemærk! 15 2 5" xfId="2464" xr:uid="{28B76734-485D-46FD-A705-90F47DBC24FB}"/>
    <cellStyle name="Bemærk! 15 2 5 2" xfId="15866" xr:uid="{48D84037-E203-429F-95E9-DFA94D6DA62F}"/>
    <cellStyle name="Bemærk! 15 2 6" xfId="15862" xr:uid="{12342D6E-1ED1-4BA8-AD43-EB2965888095}"/>
    <cellStyle name="Bemærk! 15 3" xfId="2465" xr:uid="{A1A7B2D9-AD67-43AB-8147-EF9536165E0C}"/>
    <cellStyle name="Bemærk! 15 3 2" xfId="15867" xr:uid="{C86034F8-806A-4EBE-A0EC-51397DDC22C8}"/>
    <cellStyle name="Bemærk! 15 4" xfId="2466" xr:uid="{F0DB988C-0739-4757-88C2-4410681C5699}"/>
    <cellStyle name="Bemærk! 15 4 2" xfId="15868" xr:uid="{99598776-8CE3-4571-AA33-691FCA876E85}"/>
    <cellStyle name="Bemærk! 15 5" xfId="2467" xr:uid="{BFDB64D7-C855-4AC0-AD46-2CD3FC3341BF}"/>
    <cellStyle name="Bemærk! 15 5 2" xfId="15869" xr:uid="{BC1F9050-FBAA-4502-86A9-A53CD600764E}"/>
    <cellStyle name="Bemærk! 15 6" xfId="2468" xr:uid="{603825B2-07F0-4358-93A2-B576A75A6F63}"/>
    <cellStyle name="Bemærk! 15 6 2" xfId="15870" xr:uid="{413E5BF1-7973-4AAB-877A-E6047611D87F}"/>
    <cellStyle name="Bemærk! 15 7" xfId="15861" xr:uid="{D0FC5699-2093-4BA5-8A87-0D7D18A21DE4}"/>
    <cellStyle name="Bemærk! 16" xfId="2469" xr:uid="{FA1B92D5-5756-4BA6-B586-1BA3F48F881C}"/>
    <cellStyle name="Bemærk! 16 2" xfId="2470" xr:uid="{98AECBC9-C443-4D59-AD28-78510323E477}"/>
    <cellStyle name="Bemærk! 16 2 2" xfId="2471" xr:uid="{EE582A79-8810-432F-962F-2737B9F24B67}"/>
    <cellStyle name="Bemærk! 16 2 2 2" xfId="15873" xr:uid="{012447D5-365F-43B2-AA49-4B0C2E12726D}"/>
    <cellStyle name="Bemærk! 16 2 3" xfId="2472" xr:uid="{FA36B5F3-8394-4307-B2DD-34945A1840FD}"/>
    <cellStyle name="Bemærk! 16 2 3 2" xfId="15874" xr:uid="{C0EF1FD8-EB15-4E74-AA5A-349F6199EF20}"/>
    <cellStyle name="Bemærk! 16 2 4" xfId="2473" xr:uid="{43BB60FF-B512-486B-88CF-90718ABEA01B}"/>
    <cellStyle name="Bemærk! 16 2 4 2" xfId="15875" xr:uid="{3FB154BB-127D-4457-89B5-AA588414F319}"/>
    <cellStyle name="Bemærk! 16 2 5" xfId="2474" xr:uid="{E9D053C7-B072-4457-9E4C-62348960ED53}"/>
    <cellStyle name="Bemærk! 16 2 5 2" xfId="15876" xr:uid="{B3707ED8-CDA5-49F0-A93A-B1AA9693AA90}"/>
    <cellStyle name="Bemærk! 16 2 6" xfId="15872" xr:uid="{4529C9AE-A6DB-4243-85F1-E49AC64A76EB}"/>
    <cellStyle name="Bemærk! 16 3" xfId="2475" xr:uid="{0DAC0056-5258-49E3-86F0-765808FD054F}"/>
    <cellStyle name="Bemærk! 16 3 2" xfId="15877" xr:uid="{B65CA133-DCCB-4B0A-B6F9-CE0371A85DFD}"/>
    <cellStyle name="Bemærk! 16 4" xfId="2476" xr:uid="{B7FF7B26-D0CC-4054-A3E7-35F5F4BC4423}"/>
    <cellStyle name="Bemærk! 16 4 2" xfId="15878" xr:uid="{44528538-BF3F-4CA4-9A49-1EB73C44D8F1}"/>
    <cellStyle name="Bemærk! 16 5" xfId="2477" xr:uid="{C0C62BA1-B1C7-43CB-A0C5-2C59EEFCF0D0}"/>
    <cellStyle name="Bemærk! 16 5 2" xfId="15879" xr:uid="{3437915E-D080-44CF-A61D-1ED3CE5240C3}"/>
    <cellStyle name="Bemærk! 16 6" xfId="2478" xr:uid="{A5BEE734-742E-465C-82F0-95AE28D618FB}"/>
    <cellStyle name="Bemærk! 16 6 2" xfId="15880" xr:uid="{D4E6CAC9-C0B7-4ED6-963D-38B89C9417D5}"/>
    <cellStyle name="Bemærk! 16 7" xfId="15871" xr:uid="{4063BFF7-5ABD-40FE-8EA9-3E6C8C43941C}"/>
    <cellStyle name="Bemærk! 17" xfId="2479" xr:uid="{13C328FF-51BE-4A4C-A768-55775329D6CD}"/>
    <cellStyle name="Bemærk! 17 2" xfId="2480" xr:uid="{E47C421B-AC7D-4385-917D-996A7F57DD98}"/>
    <cellStyle name="Bemærk! 17 2 2" xfId="2481" xr:uid="{DAED1405-FC11-44C6-AE94-833AF0383815}"/>
    <cellStyle name="Bemærk! 17 2 2 2" xfId="15883" xr:uid="{07C9EEED-2776-49A9-A3BC-2E6C76BF6FFE}"/>
    <cellStyle name="Bemærk! 17 2 3" xfId="2482" xr:uid="{550F45AB-35B6-4648-84D2-F3C23A01BD62}"/>
    <cellStyle name="Bemærk! 17 2 3 2" xfId="15884" xr:uid="{5042DE24-E333-4D2E-A324-CF4CB461E8C3}"/>
    <cellStyle name="Bemærk! 17 2 4" xfId="2483" xr:uid="{45DEE26A-6ABD-43AF-A812-9940ABBA93C9}"/>
    <cellStyle name="Bemærk! 17 2 4 2" xfId="15885" xr:uid="{5A4244F4-0293-490A-8567-F38EBBF054BA}"/>
    <cellStyle name="Bemærk! 17 2 5" xfId="2484" xr:uid="{A67C10F9-03ED-4C0C-9F37-8E057CA30E91}"/>
    <cellStyle name="Bemærk! 17 2 5 2" xfId="15886" xr:uid="{F2DE4939-30BD-43D6-A349-4474775AE155}"/>
    <cellStyle name="Bemærk! 17 2 6" xfId="15882" xr:uid="{2ECBF166-85CE-4A57-8448-61CF68DE00D3}"/>
    <cellStyle name="Bemærk! 17 3" xfId="2485" xr:uid="{0D12960C-1FE2-48B0-90E4-0C627D46E54B}"/>
    <cellStyle name="Bemærk! 17 3 2" xfId="15887" xr:uid="{111E654A-7596-4898-A79F-DE0A70795F90}"/>
    <cellStyle name="Bemærk! 17 4" xfId="2486" xr:uid="{1D20183A-F227-425E-A198-3B9188403B10}"/>
    <cellStyle name="Bemærk! 17 4 2" xfId="15888" xr:uid="{FCA3B6DD-92BA-4E4F-99A5-16BBAF6A25FC}"/>
    <cellStyle name="Bemærk! 17 5" xfId="2487" xr:uid="{AFF6CB7F-83D0-494D-B6EB-9A05FB8AA9F6}"/>
    <cellStyle name="Bemærk! 17 5 2" xfId="15889" xr:uid="{86668071-5CB5-416D-A870-E43B12D469B8}"/>
    <cellStyle name="Bemærk! 17 6" xfId="2488" xr:uid="{CB9DF687-25E5-47BC-A146-EEE825147F9F}"/>
    <cellStyle name="Bemærk! 17 6 2" xfId="15890" xr:uid="{EC8A0A7E-BB8B-4449-A67A-B63CB66F7B96}"/>
    <cellStyle name="Bemærk! 17 7" xfId="15881" xr:uid="{38E98B04-85E1-4F56-985B-BED57D6E762A}"/>
    <cellStyle name="Bemærk! 18" xfId="2489" xr:uid="{8971DA21-CE1C-4A66-98BD-2C8E55025E71}"/>
    <cellStyle name="Bemærk! 18 2" xfId="2490" xr:uid="{F76130B3-37A7-47E9-BC2B-2C84490D0C17}"/>
    <cellStyle name="Bemærk! 18 2 2" xfId="2491" xr:uid="{9DDBC336-1B2F-4402-8A50-CA910A7F2AEB}"/>
    <cellStyle name="Bemærk! 18 2 2 2" xfId="15893" xr:uid="{CC12D03B-C3B1-4505-BDB3-5AAF021951A0}"/>
    <cellStyle name="Bemærk! 18 2 3" xfId="2492" xr:uid="{AEBB3ED6-992C-411F-90E1-27C0E30D10EB}"/>
    <cellStyle name="Bemærk! 18 2 3 2" xfId="15894" xr:uid="{DB46C76D-6181-4DCF-8242-67549642952E}"/>
    <cellStyle name="Bemærk! 18 2 4" xfId="2493" xr:uid="{2491484D-ACE7-4259-9962-EF217A3BA15B}"/>
    <cellStyle name="Bemærk! 18 2 4 2" xfId="15895" xr:uid="{E465DC49-8B2D-4983-B204-9A4D50136ADE}"/>
    <cellStyle name="Bemærk! 18 2 5" xfId="2494" xr:uid="{93FD5564-1E95-42D2-8ED7-AAB439129E8D}"/>
    <cellStyle name="Bemærk! 18 2 5 2" xfId="15896" xr:uid="{A331796E-D88C-4D96-B685-ACD7F2103224}"/>
    <cellStyle name="Bemærk! 18 2 6" xfId="15892" xr:uid="{1F946594-D4E8-4B19-B2EA-2F74BD793998}"/>
    <cellStyle name="Bemærk! 18 3" xfId="2495" xr:uid="{0F93AC1C-AEBC-4564-AF68-0331D9AA6D08}"/>
    <cellStyle name="Bemærk! 18 3 2" xfId="15897" xr:uid="{920F3FB0-1130-4447-BF61-AC1BE22E2171}"/>
    <cellStyle name="Bemærk! 18 4" xfId="2496" xr:uid="{48CEC274-EF47-4E36-8C41-37C18C16AAFC}"/>
    <cellStyle name="Bemærk! 18 4 2" xfId="15898" xr:uid="{528669E1-5E22-429E-AC29-5CD76FACC34A}"/>
    <cellStyle name="Bemærk! 18 5" xfId="2497" xr:uid="{0D25A5C6-F934-4393-8411-926025CEE62B}"/>
    <cellStyle name="Bemærk! 18 5 2" xfId="15899" xr:uid="{547E4E95-A56E-4EE0-AFBF-9A12BA1D124B}"/>
    <cellStyle name="Bemærk! 18 6" xfId="2498" xr:uid="{0F145865-1905-484F-B081-A98AA1A8240E}"/>
    <cellStyle name="Bemærk! 18 6 2" xfId="15900" xr:uid="{2186ECA3-61D2-4A31-AFFF-F761C96ADA55}"/>
    <cellStyle name="Bemærk! 18 7" xfId="15891" xr:uid="{49649555-9927-4843-89CD-12DA87C9E046}"/>
    <cellStyle name="Bemærk! 19" xfId="2499" xr:uid="{3EC5FDA0-3EA2-45F1-93E4-19394B67AF59}"/>
    <cellStyle name="Bemærk! 19 2" xfId="2500" xr:uid="{B354AFDD-8E70-4F49-8474-2ED129F66FF5}"/>
    <cellStyle name="Bemærk! 19 2 2" xfId="15902" xr:uid="{62B101FE-9FC5-44DF-95E0-21EA80A4EF7B}"/>
    <cellStyle name="Bemærk! 19 3" xfId="2501" xr:uid="{A2276257-43C3-47FF-8A21-CFB613CA230A}"/>
    <cellStyle name="Bemærk! 19 3 2" xfId="15903" xr:uid="{F097096A-0268-4AC7-B81B-9C48F723C36F}"/>
    <cellStyle name="Bemærk! 19 4" xfId="2502" xr:uid="{51BB6F8B-21CD-4A28-80E7-AEFC469771AB}"/>
    <cellStyle name="Bemærk! 19 4 2" xfId="15904" xr:uid="{EE46C2B7-CAB9-406E-9F96-84CAFE280497}"/>
    <cellStyle name="Bemærk! 19 5" xfId="2503" xr:uid="{7D1D6491-1260-44BB-9861-24112682C3F7}"/>
    <cellStyle name="Bemærk! 19 5 2" xfId="15905" xr:uid="{AB0DC63E-E22D-4F87-A001-4B3408478391}"/>
    <cellStyle name="Bemærk! 19 6" xfId="15901" xr:uid="{D50A2D06-D77E-4EFC-ABB6-A7B4202E18E6}"/>
    <cellStyle name="Bemærk! 2" xfId="2504" xr:uid="{4797C298-4403-42A3-9885-0CB1D679B466}"/>
    <cellStyle name="Bemærk! 2 2" xfId="2505" xr:uid="{4B8CA4DF-9FF6-4C02-97F6-C195E1E923ED}"/>
    <cellStyle name="Bemærk! 2 2 2" xfId="2506" xr:uid="{DEB70F61-FD70-4DBC-A2E4-A591092B49F7}"/>
    <cellStyle name="Bemærk! 2 2 2 2" xfId="15908" xr:uid="{F83677CD-D9CE-4037-B23C-0F591EDCE6DC}"/>
    <cellStyle name="Bemærk! 2 2 3" xfId="2507" xr:uid="{C2200802-9E6A-4A7A-BDA1-12F3FBCA7C48}"/>
    <cellStyle name="Bemærk! 2 2 3 2" xfId="15909" xr:uid="{1CA744DD-9C55-4E61-8D26-216FF892F43A}"/>
    <cellStyle name="Bemærk! 2 2 4" xfId="2508" xr:uid="{4DE63786-DE21-4D04-B23D-4199E5DB36CC}"/>
    <cellStyle name="Bemærk! 2 2 4 2" xfId="15910" xr:uid="{70798C81-FBFE-4DB2-BFAB-3AE7C416597C}"/>
    <cellStyle name="Bemærk! 2 2 5" xfId="2509" xr:uid="{0C6B3FB2-D737-4DCA-B285-075BCE74414B}"/>
    <cellStyle name="Bemærk! 2 2 5 2" xfId="15911" xr:uid="{C7DECB1F-2EFF-4F31-81E4-B53F1CD0FE39}"/>
    <cellStyle name="Bemærk! 2 2 6" xfId="15907" xr:uid="{BD527113-5BD6-421E-99A6-7E78F4FB5095}"/>
    <cellStyle name="Bemærk! 2 3" xfId="2510" xr:uid="{8B174D40-89A8-40D0-8D8D-72B4A37B9D0B}"/>
    <cellStyle name="Bemærk! 2 3 2" xfId="15912" xr:uid="{0402E529-81C2-4329-B799-7CE53D0626FD}"/>
    <cellStyle name="Bemærk! 2 4" xfId="2511" xr:uid="{33F38EC5-1338-4B66-A3E8-8ECAFC191A1C}"/>
    <cellStyle name="Bemærk! 2 4 2" xfId="15913" xr:uid="{1FD8F13D-9A7A-4CFE-A374-08583800CE1E}"/>
    <cellStyle name="Bemærk! 2 5" xfId="2512" xr:uid="{DFC58836-28C0-4768-B493-B59E81530762}"/>
    <cellStyle name="Bemærk! 2 5 2" xfId="15914" xr:uid="{B6C0D0FE-4512-4111-A4FB-9F490DF52902}"/>
    <cellStyle name="Bemærk! 2 6" xfId="2513" xr:uid="{4B01EF4E-A627-4496-A483-66FCDE2CD3D9}"/>
    <cellStyle name="Bemærk! 2 6 2" xfId="15915" xr:uid="{837D0444-5CF5-4470-9DDC-125DFD1C3025}"/>
    <cellStyle name="Bemærk! 2 7" xfId="15906" xr:uid="{C11BF5EE-8893-4DF4-92D0-740AA82CDA1D}"/>
    <cellStyle name="Bemærk! 20" xfId="2514" xr:uid="{54072D73-EAB1-4C01-92FA-58B6312EEBD0}"/>
    <cellStyle name="Bemærk! 20 2" xfId="15916" xr:uid="{F9E0876D-2622-4425-A3EF-6985A7C063AB}"/>
    <cellStyle name="Bemærk! 21" xfId="2515" xr:uid="{C69F5976-6F79-4ECC-8593-CE3F2152E3AD}"/>
    <cellStyle name="Bemærk! 21 2" xfId="15917" xr:uid="{0E05CD0E-004C-4087-B477-54C99CDBD1DF}"/>
    <cellStyle name="Bemærk! 22" xfId="2516" xr:uid="{32D544C0-9BB4-4188-89C8-A137E77940AD}"/>
    <cellStyle name="Bemærk! 22 2" xfId="15918" xr:uid="{A2AEC11B-058F-4F84-8A90-53C72E8CA7D3}"/>
    <cellStyle name="Bemærk! 23" xfId="2517" xr:uid="{965C8043-855B-4208-BFBC-152A9EBF9827}"/>
    <cellStyle name="Bemærk! 23 2" xfId="15919" xr:uid="{A817D556-C3A9-405D-91A2-F77724910E95}"/>
    <cellStyle name="Bemærk! 24" xfId="14944" xr:uid="{FE670CE9-7B50-4B23-8396-2F1ACD322CCB}"/>
    <cellStyle name="Bemærk! 3" xfId="2518" xr:uid="{15F79019-BF14-4C3C-B8AC-A0BE66F91F2A}"/>
    <cellStyle name="Bemærk! 3 2" xfId="2519" xr:uid="{BBF5DCCA-9B59-4CA2-8F71-16C031301283}"/>
    <cellStyle name="Bemærk! 3 2 2" xfId="2520" xr:uid="{F6E93DF9-DA7D-4B6B-B5B6-670F624AD0F7}"/>
    <cellStyle name="Bemærk! 3 2 2 2" xfId="15922" xr:uid="{F5769477-A9EB-4C86-B514-5D30EDCE206F}"/>
    <cellStyle name="Bemærk! 3 2 3" xfId="2521" xr:uid="{6D88A09E-B844-497B-93AD-499FF2B8E4F1}"/>
    <cellStyle name="Bemærk! 3 2 3 2" xfId="15923" xr:uid="{BE978BE3-137F-473C-BD6B-C68C9A5F8219}"/>
    <cellStyle name="Bemærk! 3 2 4" xfId="2522" xr:uid="{9C0386FD-DC73-4523-AE87-1AF69AA58AF4}"/>
    <cellStyle name="Bemærk! 3 2 4 2" xfId="15924" xr:uid="{A7B02533-8A43-43A8-BBC9-EB9507ACFAE8}"/>
    <cellStyle name="Bemærk! 3 2 5" xfId="2523" xr:uid="{D82A5765-ACA3-4330-B253-965128623A2B}"/>
    <cellStyle name="Bemærk! 3 2 5 2" xfId="15925" xr:uid="{4F169238-C9FD-4846-A46D-FDAD3F866AD9}"/>
    <cellStyle name="Bemærk! 3 2 6" xfId="15921" xr:uid="{E683C11A-AE59-40E4-A3A1-AB7C08016C3C}"/>
    <cellStyle name="Bemærk! 3 3" xfId="2524" xr:uid="{3660F2F4-66C2-4326-8CBB-B2077CFC5222}"/>
    <cellStyle name="Bemærk! 3 3 2" xfId="15926" xr:uid="{EA384DC4-4652-45C4-B31D-72DE32A9EB1C}"/>
    <cellStyle name="Bemærk! 3 4" xfId="2525" xr:uid="{22F03BA9-0546-4EF1-B7C5-227FD8744D6F}"/>
    <cellStyle name="Bemærk! 3 4 2" xfId="15927" xr:uid="{940CACFC-3626-4272-8C39-FA6A5CE14A2C}"/>
    <cellStyle name="Bemærk! 3 5" xfId="2526" xr:uid="{9A086262-6363-4A6E-A6CB-DE9D221ADC3E}"/>
    <cellStyle name="Bemærk! 3 5 2" xfId="15928" xr:uid="{1278E57A-ABD5-467F-B060-826660D9094D}"/>
    <cellStyle name="Bemærk! 3 6" xfId="2527" xr:uid="{B3CA2AAE-3643-4DB6-96C9-25B103D6AB19}"/>
    <cellStyle name="Bemærk! 3 6 2" xfId="15929" xr:uid="{0D7B3AA0-8CA7-4944-8B4B-BF82C9C8452E}"/>
    <cellStyle name="Bemærk! 3 7" xfId="15920" xr:uid="{AE4B7C49-673B-4F26-9A62-CD7543CE5879}"/>
    <cellStyle name="Bemærk! 4" xfId="2528" xr:uid="{D765ED75-2E54-40FC-B16E-9BB717193E93}"/>
    <cellStyle name="Bemærk! 4 2" xfId="2529" xr:uid="{BCCA809F-69BC-44C4-AB54-C28CDDAEB19E}"/>
    <cellStyle name="Bemærk! 4 2 2" xfId="2530" xr:uid="{850A4F67-DE9A-4017-9A6A-4679FDF68ABC}"/>
    <cellStyle name="Bemærk! 4 2 2 2" xfId="15932" xr:uid="{36A339E2-5EF5-418D-9ACE-903940356406}"/>
    <cellStyle name="Bemærk! 4 2 3" xfId="2531" xr:uid="{97CABBCF-6080-4672-9942-8C67C860FFA0}"/>
    <cellStyle name="Bemærk! 4 2 3 2" xfId="15933" xr:uid="{07B03F63-54E1-4E7C-933B-AA9F9E008723}"/>
    <cellStyle name="Bemærk! 4 2 4" xfId="2532" xr:uid="{8C329171-E3C2-4643-8837-BDADDFDFCEFA}"/>
    <cellStyle name="Bemærk! 4 2 4 2" xfId="15934" xr:uid="{FD9B9362-AD50-413D-BA57-3FED17A2AA83}"/>
    <cellStyle name="Bemærk! 4 2 5" xfId="2533" xr:uid="{A371C905-E7A0-4028-BD94-D0A332D8B0B3}"/>
    <cellStyle name="Bemærk! 4 2 5 2" xfId="15935" xr:uid="{03BB416A-6183-4DE8-A525-B60EFFBE8764}"/>
    <cellStyle name="Bemærk! 4 2 6" xfId="15931" xr:uid="{E166D5A2-5182-4144-9B0E-0E689EE0D4A5}"/>
    <cellStyle name="Bemærk! 4 3" xfId="2534" xr:uid="{3580872C-1830-465A-9FB5-841BA799B3A8}"/>
    <cellStyle name="Bemærk! 4 3 2" xfId="15936" xr:uid="{E78B1181-D68F-4297-BBD9-D0669CC36691}"/>
    <cellStyle name="Bemærk! 4 4" xfId="2535" xr:uid="{2ADBC129-6F47-4120-85D0-4C8DF9503A82}"/>
    <cellStyle name="Bemærk! 4 4 2" xfId="15937" xr:uid="{27A140EB-C259-457F-9823-1A6FF6ACCCE1}"/>
    <cellStyle name="Bemærk! 4 5" xfId="2536" xr:uid="{FCDF3181-3D59-4867-A762-40023F5099A8}"/>
    <cellStyle name="Bemærk! 4 5 2" xfId="15938" xr:uid="{144BF47E-8314-46B0-A083-B38F11F1B750}"/>
    <cellStyle name="Bemærk! 4 6" xfId="2537" xr:uid="{9DD007F0-B6D0-4BCC-B957-25434890BA12}"/>
    <cellStyle name="Bemærk! 4 6 2" xfId="15939" xr:uid="{94CA2E32-B986-4E47-B141-2AF00FA3C41E}"/>
    <cellStyle name="Bemærk! 4 7" xfId="15930" xr:uid="{1D8AE182-1195-4CCD-ABE5-C3E0CB387BE8}"/>
    <cellStyle name="Bemærk! 5" xfId="2538" xr:uid="{FA194E81-922F-4CC5-A39A-C06288386F83}"/>
    <cellStyle name="Bemærk! 5 2" xfId="2539" xr:uid="{BDB53B5F-E86A-49AC-92C5-90655CEC620B}"/>
    <cellStyle name="Bemærk! 5 2 2" xfId="2540" xr:uid="{9033D7DC-042F-429B-9990-A0D337F116B4}"/>
    <cellStyle name="Bemærk! 5 2 2 2" xfId="15942" xr:uid="{FF8A2E72-DE62-4A41-8928-7645D3B0E537}"/>
    <cellStyle name="Bemærk! 5 2 3" xfId="2541" xr:uid="{E0C43ECD-13CD-42E1-8E8E-17886028CF92}"/>
    <cellStyle name="Bemærk! 5 2 3 2" xfId="15943" xr:uid="{6AA0AA4C-1261-49F6-81DF-9ACD128B0298}"/>
    <cellStyle name="Bemærk! 5 2 4" xfId="2542" xr:uid="{0A50FCB9-B6B8-4A0B-BF0F-A5C7E8DEA668}"/>
    <cellStyle name="Bemærk! 5 2 4 2" xfId="15944" xr:uid="{68CA1429-9F59-4720-B8A3-C4969598BC8F}"/>
    <cellStyle name="Bemærk! 5 2 5" xfId="2543" xr:uid="{153C941E-240D-4CFF-96FA-B2757BC950A5}"/>
    <cellStyle name="Bemærk! 5 2 5 2" xfId="15945" xr:uid="{4DF63AB7-CDB5-4E7F-B8E4-B6A9196615C6}"/>
    <cellStyle name="Bemærk! 5 2 6" xfId="15941" xr:uid="{B140843F-8129-4DBC-BBFD-2F139AB4E566}"/>
    <cellStyle name="Bemærk! 5 3" xfId="2544" xr:uid="{225C9F42-A05F-4DFA-BF4E-2D8EF7C19C9C}"/>
    <cellStyle name="Bemærk! 5 3 2" xfId="15946" xr:uid="{B5E02B13-2235-4157-99C3-76CA43A2831A}"/>
    <cellStyle name="Bemærk! 5 4" xfId="2545" xr:uid="{F947444A-9DD6-4C48-BF72-D7F3FA0CA9F6}"/>
    <cellStyle name="Bemærk! 5 4 2" xfId="15947" xr:uid="{895C174B-DB66-43C4-831E-6E78EDA083D5}"/>
    <cellStyle name="Bemærk! 5 5" xfId="2546" xr:uid="{7F425FE1-49E9-41C4-8420-94DB56256921}"/>
    <cellStyle name="Bemærk! 5 5 2" xfId="15948" xr:uid="{21CD097C-9A1C-45CF-A5D4-E97FDBF5E41B}"/>
    <cellStyle name="Bemærk! 5 6" xfId="2547" xr:uid="{E96593D5-27FD-42D6-AE20-7C1675F45A6C}"/>
    <cellStyle name="Bemærk! 5 6 2" xfId="15949" xr:uid="{D54012B7-F73E-4236-A8F3-D4D4010F5246}"/>
    <cellStyle name="Bemærk! 5 7" xfId="15940" xr:uid="{DD5650B1-4B57-415A-8A01-B43558DA8C76}"/>
    <cellStyle name="Bemærk! 6" xfId="2548" xr:uid="{71E1AA93-9564-48B7-996B-291807ED1018}"/>
    <cellStyle name="Bemærk! 6 2" xfId="2549" xr:uid="{CEEA86A5-4909-44B6-9B3E-A3259298DD69}"/>
    <cellStyle name="Bemærk! 6 2 2" xfId="2550" xr:uid="{560EB438-6FD9-4EE4-9CA5-EBCDDAA70C92}"/>
    <cellStyle name="Bemærk! 6 2 2 2" xfId="15952" xr:uid="{CF37D230-0270-4482-ACE8-8857DA080C89}"/>
    <cellStyle name="Bemærk! 6 2 3" xfId="2551" xr:uid="{7BEE530A-098D-4A74-B66F-49FFFB1ACAB0}"/>
    <cellStyle name="Bemærk! 6 2 3 2" xfId="15953" xr:uid="{4627B4B9-7A2F-4544-8278-D20326A5B1A8}"/>
    <cellStyle name="Bemærk! 6 2 4" xfId="2552" xr:uid="{C36F6870-09C1-4920-9392-2A16AC70DFF3}"/>
    <cellStyle name="Bemærk! 6 2 4 2" xfId="15954" xr:uid="{A3229319-C053-4126-9FBE-8477DE598033}"/>
    <cellStyle name="Bemærk! 6 2 5" xfId="2553" xr:uid="{F17D6045-F390-487C-8397-2ECEF7C6AC46}"/>
    <cellStyle name="Bemærk! 6 2 5 2" xfId="15955" xr:uid="{B7D7D408-C68E-4606-B742-4BDDF0768B98}"/>
    <cellStyle name="Bemærk! 6 2 6" xfId="15951" xr:uid="{45203BED-ED06-48CB-9358-75808975818E}"/>
    <cellStyle name="Bemærk! 6 3" xfId="2554" xr:uid="{8B92F271-7865-435A-A285-D006D11548DD}"/>
    <cellStyle name="Bemærk! 6 3 2" xfId="15956" xr:uid="{CD087946-B86B-4BB9-9E94-2ACE28C7D6E2}"/>
    <cellStyle name="Bemærk! 6 4" xfId="2555" xr:uid="{DB96D49A-1384-4D41-AE27-B20AC090B172}"/>
    <cellStyle name="Bemærk! 6 4 2" xfId="15957" xr:uid="{7557AC49-6DB9-4BFC-9E09-EA8DCB828FFD}"/>
    <cellStyle name="Bemærk! 6 5" xfId="2556" xr:uid="{693D0C1E-D2A2-4480-B5F6-AC59C2C1DEAB}"/>
    <cellStyle name="Bemærk! 6 5 2" xfId="15958" xr:uid="{5AEF28DA-46B1-4448-81EC-7331B73A43B4}"/>
    <cellStyle name="Bemærk! 6 6" xfId="2557" xr:uid="{69902662-5CD8-43E9-A327-17D7FF9E0C1A}"/>
    <cellStyle name="Bemærk! 6 6 2" xfId="15959" xr:uid="{01B4511A-A2F2-48DC-97FC-B3D249D91169}"/>
    <cellStyle name="Bemærk! 6 7" xfId="15950" xr:uid="{D8801E0E-F722-42FA-A4C6-73BCE1A01F80}"/>
    <cellStyle name="Bemærk! 7" xfId="2558" xr:uid="{7ED5F05A-7E37-4E3C-8C55-C81B0B81CFDD}"/>
    <cellStyle name="Bemærk! 7 2" xfId="2559" xr:uid="{EB4340A0-4298-4999-B8D6-2490A0AECEBD}"/>
    <cellStyle name="Bemærk! 7 2 2" xfId="2560" xr:uid="{B7C01415-78CC-4C81-871F-1E5E79DB6C3E}"/>
    <cellStyle name="Bemærk! 7 2 2 2" xfId="15962" xr:uid="{EA4597AB-A35B-4B2C-A6A1-381082F0DAF1}"/>
    <cellStyle name="Bemærk! 7 2 3" xfId="2561" xr:uid="{325D914F-3CA2-468F-8B06-AC6F6B304367}"/>
    <cellStyle name="Bemærk! 7 2 3 2" xfId="15963" xr:uid="{5D51CEC7-CAC8-4CFE-B43E-408E6322D9B2}"/>
    <cellStyle name="Bemærk! 7 2 4" xfId="2562" xr:uid="{AFE26B9B-5852-4425-A629-440CB834AA8F}"/>
    <cellStyle name="Bemærk! 7 2 4 2" xfId="15964" xr:uid="{9C9A91A0-1F32-466D-91B9-A28D9BF27B1E}"/>
    <cellStyle name="Bemærk! 7 2 5" xfId="2563" xr:uid="{7866EBC2-A29E-489F-B5BA-C6B17C584103}"/>
    <cellStyle name="Bemærk! 7 2 5 2" xfId="15965" xr:uid="{9DE4509B-02E1-4382-8608-225B229E0190}"/>
    <cellStyle name="Bemærk! 7 2 6" xfId="15961" xr:uid="{433A4272-1FC2-4F18-9C31-05ACF818BFA2}"/>
    <cellStyle name="Bemærk! 7 3" xfId="2564" xr:uid="{4207CFE6-2734-4A54-AFEE-073F73B835C6}"/>
    <cellStyle name="Bemærk! 7 3 2" xfId="15966" xr:uid="{2D97E4C2-1836-43DF-89B4-539A05750470}"/>
    <cellStyle name="Bemærk! 7 4" xfId="2565" xr:uid="{D25CBCEE-66F2-45B0-9AB5-45701E61B3DD}"/>
    <cellStyle name="Bemærk! 7 4 2" xfId="15967" xr:uid="{C8B73978-CD30-4844-933E-B04E9694F10E}"/>
    <cellStyle name="Bemærk! 7 5" xfId="2566" xr:uid="{E6BD3687-05B5-41C5-9F27-24DA3D7A574D}"/>
    <cellStyle name="Bemærk! 7 5 2" xfId="15968" xr:uid="{B093C97E-349D-4F60-9FDC-7E1BAF6BBF3E}"/>
    <cellStyle name="Bemærk! 7 6" xfId="2567" xr:uid="{4A2D8419-2145-46FE-9288-E6FFBA799D3A}"/>
    <cellStyle name="Bemærk! 7 6 2" xfId="15969" xr:uid="{B1657876-5795-4FF5-B84B-3D6ABD3A197E}"/>
    <cellStyle name="Bemærk! 7 7" xfId="15960" xr:uid="{1E651A01-3951-43AC-B3D8-C281FF27628C}"/>
    <cellStyle name="Bemærk! 8" xfId="2568" xr:uid="{E13113DF-4BEB-409D-AF0E-087F1392B61F}"/>
    <cellStyle name="Bemærk! 8 2" xfId="2569" xr:uid="{5C0D5522-DE69-4DC3-B8CC-C9CE18128BC2}"/>
    <cellStyle name="Bemærk! 8 2 2" xfId="2570" xr:uid="{3F336125-5A66-406F-AA13-05EED40D0C7A}"/>
    <cellStyle name="Bemærk! 8 2 2 2" xfId="15972" xr:uid="{6B4E1ECE-FFC1-44DC-A581-75F97C343449}"/>
    <cellStyle name="Bemærk! 8 2 3" xfId="2571" xr:uid="{C0028864-6EA9-4FAE-8DA7-9E684D9E4538}"/>
    <cellStyle name="Bemærk! 8 2 3 2" xfId="15973" xr:uid="{A22F41AD-3E34-41D1-964C-676E722B7CC1}"/>
    <cellStyle name="Bemærk! 8 2 4" xfId="2572" xr:uid="{D4E5DB87-75D4-447E-8DA7-7486CC4C771B}"/>
    <cellStyle name="Bemærk! 8 2 4 2" xfId="15974" xr:uid="{24AA2F0F-AFA0-48F9-9972-7DBEF35025D2}"/>
    <cellStyle name="Bemærk! 8 2 5" xfId="2573" xr:uid="{C4CC259E-1351-4A89-B992-4B7F3DFEC3AA}"/>
    <cellStyle name="Bemærk! 8 2 5 2" xfId="15975" xr:uid="{5ECC3326-98C9-4063-B55F-C996EBE8E757}"/>
    <cellStyle name="Bemærk! 8 2 6" xfId="15971" xr:uid="{BE4C4556-6C5A-4D3A-95D2-E9327E00EC26}"/>
    <cellStyle name="Bemærk! 8 3" xfId="2574" xr:uid="{2C31970B-3325-4FED-BF2F-CCE58813165B}"/>
    <cellStyle name="Bemærk! 8 3 2" xfId="15976" xr:uid="{75366109-6A98-4751-A79A-A6792DDABA3B}"/>
    <cellStyle name="Bemærk! 8 4" xfId="2575" xr:uid="{9393DF22-5462-4095-B12E-0E853868B391}"/>
    <cellStyle name="Bemærk! 8 4 2" xfId="15977" xr:uid="{EB7CBFD4-CEFA-4C7E-ADA3-7E42517A4F09}"/>
    <cellStyle name="Bemærk! 8 5" xfId="2576" xr:uid="{C64C213E-8210-4DF9-ADDB-3C33F867F363}"/>
    <cellStyle name="Bemærk! 8 5 2" xfId="15978" xr:uid="{A4EE3E02-0A12-4018-B66F-86504B27596B}"/>
    <cellStyle name="Bemærk! 8 6" xfId="2577" xr:uid="{20C828BA-4A41-4F9B-9EB9-21BC1F938F0D}"/>
    <cellStyle name="Bemærk! 8 6 2" xfId="15979" xr:uid="{B4BEAB6D-5033-498C-8251-3327B9BF43E3}"/>
    <cellStyle name="Bemærk! 8 7" xfId="15970" xr:uid="{E4D297F0-5FF7-41F2-BBE3-94D45BC79718}"/>
    <cellStyle name="Bemærk! 9" xfId="2578" xr:uid="{1056B027-4E51-487E-B119-718472B69BC5}"/>
    <cellStyle name="Bemærk! 9 2" xfId="2579" xr:uid="{74596CED-A68C-4CFA-8F07-4F53E23658C9}"/>
    <cellStyle name="Bemærk! 9 2 2" xfId="2580" xr:uid="{7022F4DC-98E2-4EE6-8CF2-DBA7A85B3963}"/>
    <cellStyle name="Bemærk! 9 2 2 2" xfId="15982" xr:uid="{8677102F-8F8E-4E2D-9D9C-702C16FA7A3A}"/>
    <cellStyle name="Bemærk! 9 2 3" xfId="2581" xr:uid="{6CD3B4D8-B994-4494-A07B-9D23B774768D}"/>
    <cellStyle name="Bemærk! 9 2 3 2" xfId="15983" xr:uid="{2D3F6380-0D7A-4EFF-8D86-DA10701DC000}"/>
    <cellStyle name="Bemærk! 9 2 4" xfId="2582" xr:uid="{56753692-6BD0-4E92-964F-46676A1E59E1}"/>
    <cellStyle name="Bemærk! 9 2 4 2" xfId="15984" xr:uid="{39AE850A-3D9C-4752-8F00-186D1943DC1B}"/>
    <cellStyle name="Bemærk! 9 2 5" xfId="2583" xr:uid="{B63D8ED7-1D3F-4C7F-B114-348440D08C81}"/>
    <cellStyle name="Bemærk! 9 2 5 2" xfId="15985" xr:uid="{54BE480B-FEF7-458A-A217-CBA8ECF8BA11}"/>
    <cellStyle name="Bemærk! 9 2 6" xfId="15981" xr:uid="{6A33628B-4329-4BE9-9A57-FAF10585F37D}"/>
    <cellStyle name="Bemærk! 9 3" xfId="2584" xr:uid="{AC03F6E7-1FA3-48E1-ACFE-CE879882C0EB}"/>
    <cellStyle name="Bemærk! 9 3 2" xfId="15986" xr:uid="{3CCE26B1-7C41-4810-B2B8-D6EC67F9D4FB}"/>
    <cellStyle name="Bemærk! 9 4" xfId="2585" xr:uid="{3C91E8E5-F153-435C-9BD4-1B6ED9E661E2}"/>
    <cellStyle name="Bemærk! 9 4 2" xfId="15987" xr:uid="{D13CF3C3-C3B5-4F42-AB4E-3F25DB28590D}"/>
    <cellStyle name="Bemærk! 9 5" xfId="2586" xr:uid="{7B1F390F-8CDC-4CB7-87EF-26BC7AD160CC}"/>
    <cellStyle name="Bemærk! 9 5 2" xfId="15988" xr:uid="{16820B3F-DFEB-4A60-9D99-1652B4EB45B1}"/>
    <cellStyle name="Bemærk! 9 6" xfId="2587" xr:uid="{EDFCEF1F-F4A7-4840-BDD1-8A5BFFEC2A0C}"/>
    <cellStyle name="Bemærk! 9 6 2" xfId="15989" xr:uid="{CBDC539D-A259-40FD-981C-B9077A5C2525}"/>
    <cellStyle name="Bemærk! 9 7" xfId="15980" xr:uid="{60B31884-88B3-48B5-9804-F6B197FE142B}"/>
    <cellStyle name="Bemærk!_RP3 PP revised" xfId="15420" xr:uid="{E07A556E-4A67-4AA0-BD68-01DC052D3998}"/>
    <cellStyle name="Beräkning" xfId="2588" xr:uid="{1E903DDE-A3BF-4D41-ABF4-4489233B8FC9}"/>
    <cellStyle name="Beräkning 10" xfId="2589" xr:uid="{9BF72828-2498-45F2-9C42-CF16ACCD1E32}"/>
    <cellStyle name="Beräkning 10 2" xfId="2590" xr:uid="{2D3FEB2E-BB43-40C9-AE29-FC93366A66B5}"/>
    <cellStyle name="Beräkning 10 2 2" xfId="2591" xr:uid="{255ECBD3-D784-4DE7-95F9-F9978C28D3EC}"/>
    <cellStyle name="Beräkning 10 2 2 2" xfId="15992" xr:uid="{B774CCC0-B1CF-46AB-8835-24B55994197F}"/>
    <cellStyle name="Beräkning 10 2 3" xfId="2592" xr:uid="{E4DDD4D4-33AF-4086-BAF2-3815C814247A}"/>
    <cellStyle name="Beräkning 10 2 3 2" xfId="15993" xr:uid="{0729235A-E207-4398-B8E7-0A8B561D3892}"/>
    <cellStyle name="Beräkning 10 2 4" xfId="2593" xr:uid="{49AD506B-2F85-407A-952C-971DD9BA242D}"/>
    <cellStyle name="Beräkning 10 2 4 2" xfId="15994" xr:uid="{D5072E3E-C4CF-461E-9D72-59B53D79C814}"/>
    <cellStyle name="Beräkning 10 2 5" xfId="2594" xr:uid="{8E51AD71-3C3F-428E-9184-A0A96BBBA3FE}"/>
    <cellStyle name="Beräkning 10 2 5 2" xfId="15995" xr:uid="{20539E77-9683-46BE-908E-E91D73FA2997}"/>
    <cellStyle name="Beräkning 10 2 6" xfId="15991" xr:uid="{0508A988-C311-49C5-8DB0-624D960E1A69}"/>
    <cellStyle name="Beräkning 10 3" xfId="2595" xr:uid="{A5AAA3A3-328E-4B83-8DAD-E28FC29877F6}"/>
    <cellStyle name="Beräkning 10 3 2" xfId="15996" xr:uid="{1EBDEEE4-3895-4B71-8271-D172CA978938}"/>
    <cellStyle name="Beräkning 10 4" xfId="2596" xr:uid="{7F1C427A-CFEF-4DAC-94DF-D68B7E68D5A5}"/>
    <cellStyle name="Beräkning 10 4 2" xfId="15997" xr:uid="{BBE81075-FF66-4946-9A5B-4A164869B0EF}"/>
    <cellStyle name="Beräkning 10 5" xfId="2597" xr:uid="{F336E24D-9A76-44E2-B379-120450D5C061}"/>
    <cellStyle name="Beräkning 10 5 2" xfId="15998" xr:uid="{80281F02-3FDF-4114-BDE3-A7B8C35C5E03}"/>
    <cellStyle name="Beräkning 10 6" xfId="2598" xr:uid="{3385DB07-5D10-4456-B0EB-474A57272365}"/>
    <cellStyle name="Beräkning 10 6 2" xfId="15999" xr:uid="{A7712224-B0A9-4B6B-A41A-C6BC98202A57}"/>
    <cellStyle name="Beräkning 10 7" xfId="15990" xr:uid="{270A1E5D-E6C6-4028-8167-8211B6F1EFFC}"/>
    <cellStyle name="Beräkning 11" xfId="2599" xr:uid="{F4CB961E-E977-4219-8814-9D8BE1C2F0CF}"/>
    <cellStyle name="Beräkning 11 2" xfId="2600" xr:uid="{A14ADE8F-D5E8-4B0C-AA05-5DC1E37FCC68}"/>
    <cellStyle name="Beräkning 11 2 2" xfId="2601" xr:uid="{F149E2C9-11ED-41C0-A412-B8D075D4C42C}"/>
    <cellStyle name="Beräkning 11 2 2 2" xfId="16002" xr:uid="{B79F43F0-1D61-4902-B4DA-FCF285BE4E98}"/>
    <cellStyle name="Beräkning 11 2 3" xfId="2602" xr:uid="{CC733253-F90B-4505-A298-E073D0F7D60D}"/>
    <cellStyle name="Beräkning 11 2 3 2" xfId="16003" xr:uid="{BF5E7805-A5C2-47B6-9CC9-24AF4341DC3B}"/>
    <cellStyle name="Beräkning 11 2 4" xfId="2603" xr:uid="{0818A305-C117-4770-8776-BBC07EDF7B04}"/>
    <cellStyle name="Beräkning 11 2 4 2" xfId="16004" xr:uid="{86C9A6D6-4325-4A77-8C23-4A3C16CF469F}"/>
    <cellStyle name="Beräkning 11 2 5" xfId="2604" xr:uid="{7995925E-CBA5-4DC7-AAAF-AD3D37BCC585}"/>
    <cellStyle name="Beräkning 11 2 5 2" xfId="16005" xr:uid="{BC79CA36-ED92-486C-B2A1-B943B46DE000}"/>
    <cellStyle name="Beräkning 11 2 6" xfId="16001" xr:uid="{1DDE42F9-1C74-468B-B4FF-C3C367891DC1}"/>
    <cellStyle name="Beräkning 11 3" xfId="2605" xr:uid="{D118A769-0AE4-4746-A814-658BD6FD3FFD}"/>
    <cellStyle name="Beräkning 11 3 2" xfId="16006" xr:uid="{B6A7DA15-F236-4885-8416-9A7C757012AC}"/>
    <cellStyle name="Beräkning 11 4" xfId="2606" xr:uid="{62D4C732-5C35-4E7B-B15A-B745BD7C8FAE}"/>
    <cellStyle name="Beräkning 11 4 2" xfId="16007" xr:uid="{4EB9C416-B0CD-4EE2-8D61-302B7F31BEA2}"/>
    <cellStyle name="Beräkning 11 5" xfId="2607" xr:uid="{5B31C291-0703-4C13-8243-F4C684703FF6}"/>
    <cellStyle name="Beräkning 11 5 2" xfId="16008" xr:uid="{A6D238A8-8CB5-4ABD-B895-5DC86CF6AF48}"/>
    <cellStyle name="Beräkning 11 6" xfId="2608" xr:uid="{A5430FBB-9F14-4863-8DC4-A704C9277DC0}"/>
    <cellStyle name="Beräkning 11 6 2" xfId="16009" xr:uid="{EE6ACF17-CA30-48C4-B6C8-53DED3186E7D}"/>
    <cellStyle name="Beräkning 11 7" xfId="16000" xr:uid="{E40F6261-2300-4721-AAD9-E2A6C68DA580}"/>
    <cellStyle name="Beräkning 12" xfId="2609" xr:uid="{94DA8A5A-6438-48DE-B218-0B7F1B7BEAD3}"/>
    <cellStyle name="Beräkning 12 2" xfId="2610" xr:uid="{E005B608-C8D2-4B40-A6D5-2B5AE614C7A4}"/>
    <cellStyle name="Beräkning 12 2 2" xfId="2611" xr:uid="{0069AD8A-422D-4735-8855-67094322ADD2}"/>
    <cellStyle name="Beräkning 12 2 2 2" xfId="16012" xr:uid="{9DE21DF7-A260-4A80-9F55-7DD7653DEABE}"/>
    <cellStyle name="Beräkning 12 2 3" xfId="2612" xr:uid="{FDFCF413-6C9B-4595-93E7-7E8183966229}"/>
    <cellStyle name="Beräkning 12 2 3 2" xfId="16013" xr:uid="{63EC3AB8-5DA6-4BC8-B583-F8B4DC0DC4BB}"/>
    <cellStyle name="Beräkning 12 2 4" xfId="2613" xr:uid="{94ACA3C6-0626-4D08-AE0C-5E7181349D9E}"/>
    <cellStyle name="Beräkning 12 2 4 2" xfId="16014" xr:uid="{A2A02F14-0F37-4C13-8B9B-6A5AC38E2E7B}"/>
    <cellStyle name="Beräkning 12 2 5" xfId="2614" xr:uid="{1C780273-8713-40D4-92E4-4FEB413C4B90}"/>
    <cellStyle name="Beräkning 12 2 5 2" xfId="16015" xr:uid="{469AD473-BCD9-414E-8FEC-F838E7C1DA78}"/>
    <cellStyle name="Beräkning 12 2 6" xfId="16011" xr:uid="{DDD0978D-DFBB-4C70-8911-1E1DC3CABCC5}"/>
    <cellStyle name="Beräkning 12 3" xfId="2615" xr:uid="{429B91F6-40A1-45A0-BB6A-FE111BB431B8}"/>
    <cellStyle name="Beräkning 12 3 2" xfId="16016" xr:uid="{E237C00C-1D16-4C95-8CC5-D17F5490660B}"/>
    <cellStyle name="Beräkning 12 4" xfId="2616" xr:uid="{F8B4A2BD-F94E-4C08-BC59-9D74570FBFA9}"/>
    <cellStyle name="Beräkning 12 4 2" xfId="16017" xr:uid="{C4971434-CD37-4F1A-B1AD-2A40DB84FE91}"/>
    <cellStyle name="Beräkning 12 5" xfId="2617" xr:uid="{FA73C988-428A-46F2-BD66-0806392AA066}"/>
    <cellStyle name="Beräkning 12 5 2" xfId="16018" xr:uid="{A1CFBED6-E923-4950-BB42-7EE41AED7355}"/>
    <cellStyle name="Beräkning 12 6" xfId="2618" xr:uid="{8C4CBB8D-F079-452C-BCBA-C52497EC8BB6}"/>
    <cellStyle name="Beräkning 12 6 2" xfId="16019" xr:uid="{18A15C98-CF4E-4DBD-A8F9-F2F8B5D65B42}"/>
    <cellStyle name="Beräkning 12 7" xfId="16010" xr:uid="{8CBDBC58-EFC2-41F1-B5E7-6E2D5969F894}"/>
    <cellStyle name="Beräkning 13" xfId="2619" xr:uid="{D2003183-E1E4-4D5B-B25F-EDB25032845B}"/>
    <cellStyle name="Beräkning 13 2" xfId="2620" xr:uid="{A99C697C-2C4E-432B-A136-61D7A32DAFAA}"/>
    <cellStyle name="Beräkning 13 2 2" xfId="2621" xr:uid="{20BC6AA6-E130-4895-A3BA-02EC452C20A8}"/>
    <cellStyle name="Beräkning 13 2 2 2" xfId="16022" xr:uid="{38CA9B27-4024-4FCF-8BCA-2E7652234B51}"/>
    <cellStyle name="Beräkning 13 2 3" xfId="2622" xr:uid="{0E7F0F37-34FE-4D4E-942A-BA9FFA4ABFDC}"/>
    <cellStyle name="Beräkning 13 2 3 2" xfId="16023" xr:uid="{44B82174-835D-4281-A470-E91CBBA99496}"/>
    <cellStyle name="Beräkning 13 2 4" xfId="2623" xr:uid="{FB09C058-79C2-4522-9A71-11C4E6606B51}"/>
    <cellStyle name="Beräkning 13 2 4 2" xfId="16024" xr:uid="{5F09EDA3-8167-4B98-B0D2-A10F5727AFF8}"/>
    <cellStyle name="Beräkning 13 2 5" xfId="2624" xr:uid="{40A66BD8-9569-4F36-AAF8-C9C68765BBF0}"/>
    <cellStyle name="Beräkning 13 2 5 2" xfId="16025" xr:uid="{FD3D6426-450B-4865-BF99-ABCF6774DC04}"/>
    <cellStyle name="Beräkning 13 2 6" xfId="16021" xr:uid="{74DDF81A-DA11-40FC-931F-3DBDA4D8B698}"/>
    <cellStyle name="Beräkning 13 3" xfId="2625" xr:uid="{69546A18-AD6A-4387-8D6D-7803AD353388}"/>
    <cellStyle name="Beräkning 13 3 2" xfId="16026" xr:uid="{018DB1B3-45EA-47BC-9C6D-14EA6280CE3F}"/>
    <cellStyle name="Beräkning 13 4" xfId="2626" xr:uid="{6AE0FA0F-3647-4D7C-A2EB-938600C43196}"/>
    <cellStyle name="Beräkning 13 4 2" xfId="16027" xr:uid="{9C703E74-50B5-4230-8ACD-7BA97AA459FD}"/>
    <cellStyle name="Beräkning 13 5" xfId="2627" xr:uid="{A8A0728D-98A3-4501-8ACE-71A8236215B9}"/>
    <cellStyle name="Beräkning 13 5 2" xfId="16028" xr:uid="{1CF7BF01-C15D-4B1F-A151-90F2FBF28864}"/>
    <cellStyle name="Beräkning 13 6" xfId="2628" xr:uid="{C250D50E-A852-4BEF-AD35-4C72E2BA7021}"/>
    <cellStyle name="Beräkning 13 6 2" xfId="16029" xr:uid="{30C15B8F-3C11-4B04-9CC8-658BD1DC65EA}"/>
    <cellStyle name="Beräkning 13 7" xfId="16020" xr:uid="{27F5DC8B-CB00-48ED-AD62-25D67E87AF95}"/>
    <cellStyle name="Beräkning 14" xfId="2629" xr:uid="{231F78EE-9263-412A-80D0-A836DBD99F2A}"/>
    <cellStyle name="Beräkning 14 2" xfId="2630" xr:uid="{2F8DBF8D-35C2-42C6-BBCC-A43BA4F9FD02}"/>
    <cellStyle name="Beräkning 14 2 2" xfId="2631" xr:uid="{C27DDFBB-558D-44D4-AE3E-EDE1295CD903}"/>
    <cellStyle name="Beräkning 14 2 2 2" xfId="16032" xr:uid="{643C98C0-D6D2-462B-AD39-3C64E6213749}"/>
    <cellStyle name="Beräkning 14 2 3" xfId="2632" xr:uid="{1BB49523-D856-4C1B-82FD-4A7F3F7C63B1}"/>
    <cellStyle name="Beräkning 14 2 3 2" xfId="16033" xr:uid="{A629AC1C-80FD-49C6-91F8-A6D16161658E}"/>
    <cellStyle name="Beräkning 14 2 4" xfId="2633" xr:uid="{6D33A312-CB3A-46C0-A52D-8914A29EE867}"/>
    <cellStyle name="Beräkning 14 2 4 2" xfId="16034" xr:uid="{608A5961-4E17-44E9-A832-FF2370FF9E43}"/>
    <cellStyle name="Beräkning 14 2 5" xfId="2634" xr:uid="{C0104ABD-6135-4F0A-B0ED-98B943AD8E6E}"/>
    <cellStyle name="Beräkning 14 2 5 2" xfId="16035" xr:uid="{E8EC33EF-066B-4BD6-B345-BFB9A8AB394F}"/>
    <cellStyle name="Beräkning 14 2 6" xfId="16031" xr:uid="{BC4D5161-5756-4102-BD2C-8D94E4FD97DE}"/>
    <cellStyle name="Beräkning 14 3" xfId="2635" xr:uid="{FFCFA36D-E666-483C-86A1-D8ACE881C719}"/>
    <cellStyle name="Beräkning 14 3 2" xfId="16036" xr:uid="{E744EB37-750A-4ABA-A3C0-DF34F1C6C73A}"/>
    <cellStyle name="Beräkning 14 4" xfId="2636" xr:uid="{5822212E-0366-4FCE-971A-FCB952A59905}"/>
    <cellStyle name="Beräkning 14 4 2" xfId="16037" xr:uid="{CC45DB29-B559-4CDA-8910-540AD7AA2528}"/>
    <cellStyle name="Beräkning 14 5" xfId="2637" xr:uid="{4A1CB806-67E9-4866-BB25-0F9590E96E54}"/>
    <cellStyle name="Beräkning 14 5 2" xfId="16038" xr:uid="{A41DDE22-E07F-4833-8E90-F7867D5DEFFA}"/>
    <cellStyle name="Beräkning 14 6" xfId="2638" xr:uid="{E1386A70-C576-4B69-8ADC-A1B45207A7F2}"/>
    <cellStyle name="Beräkning 14 6 2" xfId="16039" xr:uid="{D3201499-5163-491F-A111-484569E4D6D4}"/>
    <cellStyle name="Beräkning 14 7" xfId="16030" xr:uid="{22E81125-F46D-443D-B8CF-A9A234FB7729}"/>
    <cellStyle name="Beräkning 15" xfId="2639" xr:uid="{7645C64C-3FCF-4376-99F6-934E857D9B3C}"/>
    <cellStyle name="Beräkning 15 2" xfId="2640" xr:uid="{64CA0CCE-0CFF-4A8A-8201-95B91E21616E}"/>
    <cellStyle name="Beräkning 15 2 2" xfId="2641" xr:uid="{A20AB20F-AC8D-4C08-909B-4EEE2A74B51B}"/>
    <cellStyle name="Beräkning 15 2 2 2" xfId="16042" xr:uid="{3312D2B2-ADB9-42FF-BAF9-382BE978D075}"/>
    <cellStyle name="Beräkning 15 2 3" xfId="2642" xr:uid="{A600E0A7-CA70-4900-A081-2AA92B547CF2}"/>
    <cellStyle name="Beräkning 15 2 3 2" xfId="16043" xr:uid="{3C602112-CA45-44B4-80D8-EA7724C6421D}"/>
    <cellStyle name="Beräkning 15 2 4" xfId="2643" xr:uid="{7F2762B7-F572-4590-93EA-069C0AED6E16}"/>
    <cellStyle name="Beräkning 15 2 4 2" xfId="16044" xr:uid="{DB58BE09-1D57-49D3-B965-6ECFD448C300}"/>
    <cellStyle name="Beräkning 15 2 5" xfId="2644" xr:uid="{2B725CE8-1869-420A-9878-4907543F92EA}"/>
    <cellStyle name="Beräkning 15 2 5 2" xfId="16045" xr:uid="{5FD18F5C-E475-4243-B677-EE7470E46EAD}"/>
    <cellStyle name="Beräkning 15 2 6" xfId="16041" xr:uid="{3F777DEE-713F-4425-B097-C297DEFFC996}"/>
    <cellStyle name="Beräkning 15 3" xfId="2645" xr:uid="{416DBC99-9953-4231-B578-401F791DD1C1}"/>
    <cellStyle name="Beräkning 15 3 2" xfId="16046" xr:uid="{73CD4591-E197-431A-89C3-CEF4B98D0FE0}"/>
    <cellStyle name="Beräkning 15 4" xfId="2646" xr:uid="{C949D726-36FB-418D-B200-115E4044C275}"/>
    <cellStyle name="Beräkning 15 4 2" xfId="16047" xr:uid="{CB3D6CCC-6726-4B6F-AE72-85889B19C0FB}"/>
    <cellStyle name="Beräkning 15 5" xfId="2647" xr:uid="{F75A8D27-AA0F-4A98-9039-AA9809414DFB}"/>
    <cellStyle name="Beräkning 15 5 2" xfId="16048" xr:uid="{D77FA358-D24A-487F-A933-16840E3CB769}"/>
    <cellStyle name="Beräkning 15 6" xfId="2648" xr:uid="{18FE7569-8E8E-407B-ACC7-3DC25B5F4A2C}"/>
    <cellStyle name="Beräkning 15 6 2" xfId="16049" xr:uid="{BD4CFDFE-B29F-4926-937B-718868DC0E08}"/>
    <cellStyle name="Beräkning 15 7" xfId="16040" xr:uid="{12E648B7-85BA-41D7-8463-6D5CBCED13EB}"/>
    <cellStyle name="Beräkning 16" xfId="2649" xr:uid="{EB17F9BD-AF5C-48F9-A449-C0A93C8DFED3}"/>
    <cellStyle name="Beräkning 16 2" xfId="2650" xr:uid="{F9462A06-32E5-41D6-AD49-B61091AC7849}"/>
    <cellStyle name="Beräkning 16 2 2" xfId="2651" xr:uid="{6146616A-59B5-44CF-A4B6-2647A15D4F0D}"/>
    <cellStyle name="Beräkning 16 2 2 2" xfId="16052" xr:uid="{336F2521-84C6-48AE-8ABD-AEF37E33CAAE}"/>
    <cellStyle name="Beräkning 16 2 3" xfId="2652" xr:uid="{A6BCDF9B-0BE3-481D-8122-A4D9FC349061}"/>
    <cellStyle name="Beräkning 16 2 3 2" xfId="16053" xr:uid="{41FEB29E-6E59-4873-9CAC-3631FA650854}"/>
    <cellStyle name="Beräkning 16 2 4" xfId="2653" xr:uid="{4680B168-224A-44C6-BF83-F68ACFE759F8}"/>
    <cellStyle name="Beräkning 16 2 4 2" xfId="16054" xr:uid="{BA11D17A-EA1A-4545-9E7A-C6043CE86F39}"/>
    <cellStyle name="Beräkning 16 2 5" xfId="2654" xr:uid="{B1379A4B-17D5-42F7-A3E3-04E919A7FB91}"/>
    <cellStyle name="Beräkning 16 2 5 2" xfId="16055" xr:uid="{AC953D48-1142-4A49-A424-E1659A9402EA}"/>
    <cellStyle name="Beräkning 16 2 6" xfId="16051" xr:uid="{821C997D-3708-4B3F-8FE1-0F7455A67C3F}"/>
    <cellStyle name="Beräkning 16 3" xfId="2655" xr:uid="{F54E1844-BF7C-4AA1-9241-CF4CD5033A41}"/>
    <cellStyle name="Beräkning 16 3 2" xfId="16056" xr:uid="{98F970F1-5034-4AB2-856A-4B8435B8EE90}"/>
    <cellStyle name="Beräkning 16 4" xfId="2656" xr:uid="{E5643E87-1873-4A32-94DA-9235594F9C31}"/>
    <cellStyle name="Beräkning 16 4 2" xfId="16057" xr:uid="{128B27B5-B87C-4AAE-B8F9-F0E1164DECB9}"/>
    <cellStyle name="Beräkning 16 5" xfId="2657" xr:uid="{05D53F88-B1CA-4381-8E7C-435901196595}"/>
    <cellStyle name="Beräkning 16 5 2" xfId="16058" xr:uid="{1D43B382-2F2F-4880-BC6A-5384D05F2BDC}"/>
    <cellStyle name="Beräkning 16 6" xfId="2658" xr:uid="{E7D54F1F-A197-4D2C-BA5E-5AA7A75E6DD1}"/>
    <cellStyle name="Beräkning 16 6 2" xfId="16059" xr:uid="{5BD5D3B6-03D7-4E5D-BF4B-7912E70F65E5}"/>
    <cellStyle name="Beräkning 16 7" xfId="16050" xr:uid="{4725E6B3-0253-4975-B9EE-7E487A334CA0}"/>
    <cellStyle name="Beräkning 17" xfId="2659" xr:uid="{1802EC19-0D68-4DCF-80CD-B71EAB18E3DF}"/>
    <cellStyle name="Beräkning 17 2" xfId="2660" xr:uid="{327030FE-32CD-43B5-8AA7-F3973B7A3B19}"/>
    <cellStyle name="Beräkning 17 2 2" xfId="2661" xr:uid="{3D9BBA5F-F257-45CE-9C33-AFBC7D804594}"/>
    <cellStyle name="Beräkning 17 2 2 2" xfId="16062" xr:uid="{E7A8DFD4-30FD-44D2-8CBD-714E23A3EF05}"/>
    <cellStyle name="Beräkning 17 2 3" xfId="2662" xr:uid="{3E0BBB87-C69C-4AB4-8279-E2F0157E9C31}"/>
    <cellStyle name="Beräkning 17 2 3 2" xfId="16063" xr:uid="{74D1C05B-C232-4FF3-9CE2-81738B077055}"/>
    <cellStyle name="Beräkning 17 2 4" xfId="2663" xr:uid="{526BBAD1-A176-4AF0-BBD7-D9483D8DD59F}"/>
    <cellStyle name="Beräkning 17 2 4 2" xfId="16064" xr:uid="{FB7754E1-FE7B-4991-A70E-E3973A114DEE}"/>
    <cellStyle name="Beräkning 17 2 5" xfId="2664" xr:uid="{50AE10D7-71EA-40AD-8757-411DC02222C2}"/>
    <cellStyle name="Beräkning 17 2 5 2" xfId="16065" xr:uid="{F7C6F6E3-5906-46B8-85A3-760061ADB2C2}"/>
    <cellStyle name="Beräkning 17 2 6" xfId="16061" xr:uid="{04F73BD9-0960-4FFA-99A1-7CF118264656}"/>
    <cellStyle name="Beräkning 17 3" xfId="2665" xr:uid="{4268C84B-0410-4510-B64E-36E88169A72D}"/>
    <cellStyle name="Beräkning 17 3 2" xfId="16066" xr:uid="{2E14CCDA-113D-450C-8BDF-2D622F005ECA}"/>
    <cellStyle name="Beräkning 17 4" xfId="2666" xr:uid="{8C77D1ED-1DE3-4642-BAF2-FD97E5B1643C}"/>
    <cellStyle name="Beräkning 17 4 2" xfId="16067" xr:uid="{59F7C649-DB9D-42B4-9981-49FEB744222C}"/>
    <cellStyle name="Beräkning 17 5" xfId="2667" xr:uid="{2F5DA90A-FCF9-4071-9CFF-75A5C2A03261}"/>
    <cellStyle name="Beräkning 17 5 2" xfId="16068" xr:uid="{4298BE1C-DFED-432D-A803-DD35541C4719}"/>
    <cellStyle name="Beräkning 17 6" xfId="2668" xr:uid="{9BA5B1A8-0A53-4223-9D72-3042BB0E1ABE}"/>
    <cellStyle name="Beräkning 17 6 2" xfId="16069" xr:uid="{BC746FF2-AABE-4F2F-AEAD-A26C20F6AFE6}"/>
    <cellStyle name="Beräkning 17 7" xfId="16060" xr:uid="{F3C42C37-4C48-4ADF-8489-1A00115A91BE}"/>
    <cellStyle name="Beräkning 18" xfId="2669" xr:uid="{F733455D-0941-4C26-AB0C-7D456B205C78}"/>
    <cellStyle name="Beräkning 18 2" xfId="2670" xr:uid="{EFF91B17-60C9-481E-8133-D6CD190F6EDB}"/>
    <cellStyle name="Beräkning 18 2 2" xfId="2671" xr:uid="{6012A3DC-C61A-4EEC-996B-9166D98725E4}"/>
    <cellStyle name="Beräkning 18 2 2 2" xfId="16072" xr:uid="{5AC51E26-E370-4285-A0FB-8050688030CB}"/>
    <cellStyle name="Beräkning 18 2 3" xfId="2672" xr:uid="{CB619B97-43A3-403D-BD11-33F8E8CA8608}"/>
    <cellStyle name="Beräkning 18 2 3 2" xfId="16073" xr:uid="{949DF434-A262-4495-B1C9-C502DF2DC950}"/>
    <cellStyle name="Beräkning 18 2 4" xfId="2673" xr:uid="{DAB72425-215F-4218-A50C-0C35C119A0EE}"/>
    <cellStyle name="Beräkning 18 2 4 2" xfId="16074" xr:uid="{5F2E67DD-DE11-45FD-AC4B-748BB23ECBE9}"/>
    <cellStyle name="Beräkning 18 2 5" xfId="2674" xr:uid="{6BE508C4-73FD-4251-A96F-E50B38BF664C}"/>
    <cellStyle name="Beräkning 18 2 5 2" xfId="16075" xr:uid="{5675928F-FA20-439D-8CC9-2E04E2F1BD7F}"/>
    <cellStyle name="Beräkning 18 2 6" xfId="16071" xr:uid="{45253436-5C6F-448E-90AD-CAD96AA9B662}"/>
    <cellStyle name="Beräkning 18 3" xfId="2675" xr:uid="{57A92513-2323-4DF8-803F-175A637580C5}"/>
    <cellStyle name="Beräkning 18 3 2" xfId="16076" xr:uid="{A58C0993-035B-4FF1-8439-CF89BCF642C7}"/>
    <cellStyle name="Beräkning 18 4" xfId="2676" xr:uid="{62818D07-EAA9-49C6-8477-196F7B19A4D4}"/>
    <cellStyle name="Beräkning 18 4 2" xfId="16077" xr:uid="{8E3F6D86-3C85-4B3F-B814-10F3A62FE41A}"/>
    <cellStyle name="Beräkning 18 5" xfId="2677" xr:uid="{B431BED0-7433-48B0-A01F-D4F9769595F0}"/>
    <cellStyle name="Beräkning 18 5 2" xfId="16078" xr:uid="{7E0DCF61-8C95-43D8-A4AD-32462A06C0EC}"/>
    <cellStyle name="Beräkning 18 6" xfId="2678" xr:uid="{47F62267-5F1D-4DDC-AEE3-D0595D1CC1AE}"/>
    <cellStyle name="Beräkning 18 6 2" xfId="16079" xr:uid="{3DDC0CFE-6EAC-4B7A-9403-035AA4855954}"/>
    <cellStyle name="Beräkning 18 7" xfId="16070" xr:uid="{DCD4B3C4-6B3A-4180-AB5C-C23094124E31}"/>
    <cellStyle name="Beräkning 19" xfId="2679" xr:uid="{571A7638-5F97-4E8F-89DA-C4E5A3308D82}"/>
    <cellStyle name="Beräkning 19 2" xfId="2680" xr:uid="{F2E3474B-E74D-43F6-9AE4-6E4414867818}"/>
    <cellStyle name="Beräkning 19 2 2" xfId="16081" xr:uid="{E10082CA-433D-4330-91C2-4572615B19C8}"/>
    <cellStyle name="Beräkning 19 3" xfId="2681" xr:uid="{DF00DD0D-705E-4DF0-8393-92C5443A7545}"/>
    <cellStyle name="Beräkning 19 3 2" xfId="16082" xr:uid="{6A2D2D6D-5C69-4494-8D47-2A71A593F9BF}"/>
    <cellStyle name="Beräkning 19 4" xfId="2682" xr:uid="{6879AF30-0CA4-4C89-BC59-A9F7F226E05B}"/>
    <cellStyle name="Beräkning 19 4 2" xfId="16083" xr:uid="{DB50E47C-EDFA-4853-86DA-1A71E194C561}"/>
    <cellStyle name="Beräkning 19 5" xfId="2683" xr:uid="{F777B823-6AB3-4057-94A0-84D91D9E7E80}"/>
    <cellStyle name="Beräkning 19 5 2" xfId="16084" xr:uid="{77DAC34A-84A4-46B0-A18E-1E15F4F545D5}"/>
    <cellStyle name="Beräkning 19 6" xfId="16080" xr:uid="{E9EA6A01-ED5A-41E2-AFD0-F0B9D74F3014}"/>
    <cellStyle name="Beräkning 2" xfId="2684" xr:uid="{48DF78BD-4D27-46D3-B634-6F937D59AB90}"/>
    <cellStyle name="Beräkning 2 2" xfId="2685" xr:uid="{A86436EF-9968-429E-8E01-2243E0A811F3}"/>
    <cellStyle name="Beräkning 2 2 2" xfId="2686" xr:uid="{79F1D57B-6A6A-4809-96AE-8F9E1F33EA79}"/>
    <cellStyle name="Beräkning 2 2 2 2" xfId="16087" xr:uid="{98197BE2-6BB7-45BC-8EC2-2FD2708CCF18}"/>
    <cellStyle name="Beräkning 2 2 3" xfId="2687" xr:uid="{22DCA939-FBB8-4A5C-A04D-B4D50F8E2816}"/>
    <cellStyle name="Beräkning 2 2 3 2" xfId="16088" xr:uid="{A2C6F547-4F09-49E2-BB25-78D93ADCDFEF}"/>
    <cellStyle name="Beräkning 2 2 4" xfId="2688" xr:uid="{AA17D4AF-52F1-463F-A907-373B8B279DAB}"/>
    <cellStyle name="Beräkning 2 2 4 2" xfId="16089" xr:uid="{A428E9CA-E888-4DD0-8905-34950697A9FC}"/>
    <cellStyle name="Beräkning 2 2 5" xfId="2689" xr:uid="{D98FB782-2922-4B87-8CE5-4C8E06AF9407}"/>
    <cellStyle name="Beräkning 2 2 5 2" xfId="16090" xr:uid="{70214B75-69BD-4A67-8722-DC018F3EA762}"/>
    <cellStyle name="Beräkning 2 2 6" xfId="16086" xr:uid="{00E3958B-C01D-4A99-A961-42AC36BF1A95}"/>
    <cellStyle name="Beräkning 2 3" xfId="2690" xr:uid="{0BC79099-FBB4-4D3E-AA3B-67E3B64920FF}"/>
    <cellStyle name="Beräkning 2 3 2" xfId="16091" xr:uid="{BF4C837D-268C-49C3-9A2E-6CABF282ECA7}"/>
    <cellStyle name="Beräkning 2 4" xfId="2691" xr:uid="{C6C040F1-BA68-4E37-BD60-65CBAC9C7382}"/>
    <cellStyle name="Beräkning 2 4 2" xfId="16092" xr:uid="{795376F4-0E86-4BB4-BA48-F7F5B2133023}"/>
    <cellStyle name="Beräkning 2 5" xfId="2692" xr:uid="{9F1B14FD-13A2-4DDB-86A6-6450B94CED6A}"/>
    <cellStyle name="Beräkning 2 5 2" xfId="16093" xr:uid="{C0192D00-F845-40AD-8CDF-6247A61FA37D}"/>
    <cellStyle name="Beräkning 2 6" xfId="2693" xr:uid="{C2143BF3-05C3-44DB-8403-67CE8EBEC6EA}"/>
    <cellStyle name="Beräkning 2 6 2" xfId="16094" xr:uid="{6E934EC4-668B-4C80-96CB-E7C6F9CE92CE}"/>
    <cellStyle name="Beräkning 2 7" xfId="16085" xr:uid="{A6A992C8-278C-41C9-8821-1E0997FDB205}"/>
    <cellStyle name="Beräkning 20" xfId="2694" xr:uid="{61561ED7-08C4-4845-9D1B-0FE8B5BF16EC}"/>
    <cellStyle name="Beräkning 20 2" xfId="16095" xr:uid="{241A0AA6-B6B4-4A9B-8FB6-093CAF2D8DE3}"/>
    <cellStyle name="Beräkning 21" xfId="2695" xr:uid="{17988534-9C1E-418E-AF8E-499AA799A2D3}"/>
    <cellStyle name="Beräkning 21 2" xfId="16096" xr:uid="{F687E6FE-77F1-4DF1-AF69-DC8A377691F4}"/>
    <cellStyle name="Beräkning 22" xfId="2696" xr:uid="{22AAF2C8-BA5C-4566-9364-D542CF2C4DAC}"/>
    <cellStyle name="Beräkning 22 2" xfId="16097" xr:uid="{08F85387-C30B-4220-884C-4067EE2F244F}"/>
    <cellStyle name="Beräkning 23" xfId="2697" xr:uid="{D1F07CE7-71B4-47DD-BC6B-37249A7AB21C}"/>
    <cellStyle name="Beräkning 23 2" xfId="16098" xr:uid="{1DC71ACD-2EE5-4B03-B27C-0141F4058B5C}"/>
    <cellStyle name="Beräkning 24" xfId="14945" xr:uid="{A687224B-219E-4DCE-9934-63662E58DB7F}"/>
    <cellStyle name="Beräkning 3" xfId="2698" xr:uid="{6C0346ED-C528-4F58-AECC-F2FBD67062DA}"/>
    <cellStyle name="Beräkning 3 2" xfId="2699" xr:uid="{F5CD059A-36C0-4D8B-82EB-33A5071BDC38}"/>
    <cellStyle name="Beräkning 3 2 2" xfId="2700" xr:uid="{21A02BB7-CAC1-40D6-98D4-D51F46534588}"/>
    <cellStyle name="Beräkning 3 2 2 2" xfId="16101" xr:uid="{B6411D57-A299-48C8-9639-D4D825351097}"/>
    <cellStyle name="Beräkning 3 2 3" xfId="2701" xr:uid="{9A256C43-2621-4F20-83CE-AE23AE759463}"/>
    <cellStyle name="Beräkning 3 2 3 2" xfId="16102" xr:uid="{E17A47DE-52CF-4759-B36D-1D2399FB8C34}"/>
    <cellStyle name="Beräkning 3 2 4" xfId="2702" xr:uid="{BF908995-D02F-4315-872D-804A8D1E0FDF}"/>
    <cellStyle name="Beräkning 3 2 4 2" xfId="16103" xr:uid="{377607F0-A6AF-4C74-A1B1-DB9B5D74585B}"/>
    <cellStyle name="Beräkning 3 2 5" xfId="2703" xr:uid="{2C8D487E-15FA-4622-A8BD-82B49F43FA6D}"/>
    <cellStyle name="Beräkning 3 2 5 2" xfId="16104" xr:uid="{19EF4046-9706-4E93-A272-7399C3B1F4B2}"/>
    <cellStyle name="Beräkning 3 2 6" xfId="16100" xr:uid="{6F2C7B44-6551-460A-B424-32B3A5935556}"/>
    <cellStyle name="Beräkning 3 3" xfId="2704" xr:uid="{F730FD29-BFA2-42E5-9309-08D8199359D3}"/>
    <cellStyle name="Beräkning 3 3 2" xfId="16105" xr:uid="{EB778A1A-B682-4D9F-A3E7-18152F0D2096}"/>
    <cellStyle name="Beräkning 3 4" xfId="2705" xr:uid="{7F0D04D2-10A8-4513-BAB4-F926AC9CB8B2}"/>
    <cellStyle name="Beräkning 3 4 2" xfId="16106" xr:uid="{E526A9EE-D67F-4085-A52E-4859D8291D91}"/>
    <cellStyle name="Beräkning 3 5" xfId="2706" xr:uid="{5834B1B2-0B9E-4F45-8702-F5FC6A6D454C}"/>
    <cellStyle name="Beräkning 3 5 2" xfId="16107" xr:uid="{A071606E-E4A1-4CF7-AFF5-1BF48B0CEB1B}"/>
    <cellStyle name="Beräkning 3 6" xfId="2707" xr:uid="{5F643633-7650-4B56-9599-8DB302AA9176}"/>
    <cellStyle name="Beräkning 3 6 2" xfId="16108" xr:uid="{C88DD9B4-5AEA-4EE4-9120-DD9F16D6DD77}"/>
    <cellStyle name="Beräkning 3 7" xfId="16099" xr:uid="{93AC5131-BA61-4D74-A065-77693C7D86C4}"/>
    <cellStyle name="Beräkning 4" xfId="2708" xr:uid="{BAFE76DA-0599-42D4-B997-0C1A3614B058}"/>
    <cellStyle name="Beräkning 4 2" xfId="2709" xr:uid="{82774678-9973-4533-9223-71BCC5BBCF33}"/>
    <cellStyle name="Beräkning 4 2 2" xfId="2710" xr:uid="{3B18DC6A-9F97-4004-B914-B7E130C992D5}"/>
    <cellStyle name="Beräkning 4 2 2 2" xfId="16111" xr:uid="{B11A2652-0AC8-4676-ADB1-B20CEE86857A}"/>
    <cellStyle name="Beräkning 4 2 3" xfId="2711" xr:uid="{B664C937-78DF-4846-926D-A860D9CA4856}"/>
    <cellStyle name="Beräkning 4 2 3 2" xfId="16112" xr:uid="{0464A2DF-B60B-4D79-A54A-80744262A375}"/>
    <cellStyle name="Beräkning 4 2 4" xfId="2712" xr:uid="{0DBB4CC9-ED28-45CF-A9DF-8AD7CC52888C}"/>
    <cellStyle name="Beräkning 4 2 4 2" xfId="16113" xr:uid="{69037D95-CAFB-4584-8308-332D7A709000}"/>
    <cellStyle name="Beräkning 4 2 5" xfId="2713" xr:uid="{CA735AE0-06A1-4963-8EB1-01EA62D32CB5}"/>
    <cellStyle name="Beräkning 4 2 5 2" xfId="16114" xr:uid="{C367C226-1BC6-4059-92D9-47D973A580B2}"/>
    <cellStyle name="Beräkning 4 2 6" xfId="16110" xr:uid="{CBCE9D0B-B750-4FD8-ADE8-10C08F3E2D38}"/>
    <cellStyle name="Beräkning 4 3" xfId="2714" xr:uid="{CC9F50DD-C3A7-4791-8D67-89736A36B0E7}"/>
    <cellStyle name="Beräkning 4 3 2" xfId="16115" xr:uid="{37C902C8-3661-49EF-816D-E4A5CE3CF19B}"/>
    <cellStyle name="Beräkning 4 4" xfId="2715" xr:uid="{C26E2D1F-D0AE-46F8-B099-20E10A630440}"/>
    <cellStyle name="Beräkning 4 4 2" xfId="16116" xr:uid="{BEB67FA2-81B2-46CA-8EED-3734220D90D9}"/>
    <cellStyle name="Beräkning 4 5" xfId="2716" xr:uid="{65397E90-2035-4310-B6D4-878E1510D57C}"/>
    <cellStyle name="Beräkning 4 5 2" xfId="16117" xr:uid="{7369EBBE-5AE8-4F35-88CB-D45685C9E92C}"/>
    <cellStyle name="Beräkning 4 6" xfId="2717" xr:uid="{2C2151D6-891B-488E-AF7B-7D88C4F53428}"/>
    <cellStyle name="Beräkning 4 6 2" xfId="16118" xr:uid="{2BA305AB-DD7C-4B7B-A73A-B1FCEA24C761}"/>
    <cellStyle name="Beräkning 4 7" xfId="16109" xr:uid="{14E3EB98-9660-4176-883B-87F43507AB88}"/>
    <cellStyle name="Beräkning 5" xfId="2718" xr:uid="{D0800B44-6476-465A-AF73-AB6AEDDDAFF8}"/>
    <cellStyle name="Beräkning 5 2" xfId="2719" xr:uid="{4A3CF820-088D-4A05-8B86-FCA3CBF8279A}"/>
    <cellStyle name="Beräkning 5 2 2" xfId="2720" xr:uid="{02A0AC9E-D582-42EE-A2E3-D04FB0511FC6}"/>
    <cellStyle name="Beräkning 5 2 2 2" xfId="16121" xr:uid="{0801EAF9-302B-42C6-A096-4ED50C584667}"/>
    <cellStyle name="Beräkning 5 2 3" xfId="2721" xr:uid="{7DDBAB96-D8D6-41FD-AFAB-0D5AB601802A}"/>
    <cellStyle name="Beräkning 5 2 3 2" xfId="16122" xr:uid="{7BB0EA08-B53F-4D4C-8654-13E100D9C49D}"/>
    <cellStyle name="Beräkning 5 2 4" xfId="2722" xr:uid="{FA0DA90E-093F-4A19-AE32-7AC2493D52DE}"/>
    <cellStyle name="Beräkning 5 2 4 2" xfId="16123" xr:uid="{4321459B-B8CB-4184-A984-900E568E7639}"/>
    <cellStyle name="Beräkning 5 2 5" xfId="2723" xr:uid="{0DD11DAC-5B83-4914-A951-C106C8D67592}"/>
    <cellStyle name="Beräkning 5 2 5 2" xfId="16124" xr:uid="{E0F4E5E5-1B81-48D8-9FFC-1AE4F3885265}"/>
    <cellStyle name="Beräkning 5 2 6" xfId="16120" xr:uid="{A5B736B0-F94B-43CE-A04C-2903E1FE80B2}"/>
    <cellStyle name="Beräkning 5 3" xfId="2724" xr:uid="{819434F5-04F9-4124-A61B-DA9C220123F2}"/>
    <cellStyle name="Beräkning 5 3 2" xfId="16125" xr:uid="{EEA4227C-7DC7-41A5-A0FB-AF053B892129}"/>
    <cellStyle name="Beräkning 5 4" xfId="2725" xr:uid="{643F3054-614D-4503-98CA-120709678ECF}"/>
    <cellStyle name="Beräkning 5 4 2" xfId="16126" xr:uid="{48B5A695-FEF6-4BD9-BD83-EAC1E939BF17}"/>
    <cellStyle name="Beräkning 5 5" xfId="2726" xr:uid="{20AFA3EF-A0F6-4687-90CA-AD32DF6B40B7}"/>
    <cellStyle name="Beräkning 5 5 2" xfId="16127" xr:uid="{1AB7F5A7-A6CA-4F35-8D19-7FCEAD54DAA0}"/>
    <cellStyle name="Beräkning 5 6" xfId="2727" xr:uid="{356FFACB-572E-46E6-AB8C-E1D320A5D6D9}"/>
    <cellStyle name="Beräkning 5 6 2" xfId="16128" xr:uid="{C613CBF4-2A2B-4D45-88DC-CFC292AEDA9C}"/>
    <cellStyle name="Beräkning 5 7" xfId="16119" xr:uid="{48CDCF71-0F1C-4F53-9FD8-A97F9BFA9C56}"/>
    <cellStyle name="Beräkning 6" xfId="2728" xr:uid="{D58C22A0-CC87-41B2-89E7-851665C9CDBE}"/>
    <cellStyle name="Beräkning 6 2" xfId="2729" xr:uid="{25BEE7F0-6E4A-4125-9BF1-CD04CD5BA0C5}"/>
    <cellStyle name="Beräkning 6 2 2" xfId="2730" xr:uid="{53412969-3F42-4956-BDE4-F29DAADE2F18}"/>
    <cellStyle name="Beräkning 6 2 2 2" xfId="16131" xr:uid="{480490E3-5BE7-4344-A231-FD12F13BFE22}"/>
    <cellStyle name="Beräkning 6 2 3" xfId="2731" xr:uid="{3ED51A72-EB75-4D37-B458-7562368D3A09}"/>
    <cellStyle name="Beräkning 6 2 3 2" xfId="16132" xr:uid="{10800E45-1A3E-49E4-9B1A-80925705F85A}"/>
    <cellStyle name="Beräkning 6 2 4" xfId="2732" xr:uid="{31394936-29AE-4DED-96DF-845E0913C78E}"/>
    <cellStyle name="Beräkning 6 2 4 2" xfId="16133" xr:uid="{98D2BBF1-ED41-4F0D-9581-CE60D2B9D444}"/>
    <cellStyle name="Beräkning 6 2 5" xfId="2733" xr:uid="{2C2648C0-8A61-4204-B8F3-DD15E03D2176}"/>
    <cellStyle name="Beräkning 6 2 5 2" xfId="16134" xr:uid="{7828CAA4-3322-4AB4-AFD6-3C1E112A3B0D}"/>
    <cellStyle name="Beräkning 6 2 6" xfId="16130" xr:uid="{4B2F6823-AF1E-45C9-8231-E0CB47D2247F}"/>
    <cellStyle name="Beräkning 6 3" xfId="2734" xr:uid="{F528AEBF-858B-41C4-AF20-40777FE01332}"/>
    <cellStyle name="Beräkning 6 3 2" xfId="16135" xr:uid="{6CBB8681-8555-4383-8046-1362DCF1629A}"/>
    <cellStyle name="Beräkning 6 4" xfId="2735" xr:uid="{4FB39469-D9E4-4E81-A24D-4C34433AEE43}"/>
    <cellStyle name="Beräkning 6 4 2" xfId="16136" xr:uid="{65E18CD9-290D-400C-A1D2-07CC9D670B31}"/>
    <cellStyle name="Beräkning 6 5" xfId="2736" xr:uid="{0DAC2876-FAD7-463D-B7DC-319FE94B5822}"/>
    <cellStyle name="Beräkning 6 5 2" xfId="16137" xr:uid="{D6F74631-DABE-4757-B262-F6E22FFF856A}"/>
    <cellStyle name="Beräkning 6 6" xfId="2737" xr:uid="{25A5C4ED-8569-49C2-AB8F-50ECF26E2CF7}"/>
    <cellStyle name="Beräkning 6 6 2" xfId="16138" xr:uid="{7834EFD7-5DBA-47AC-972C-677443C9B15F}"/>
    <cellStyle name="Beräkning 6 7" xfId="16129" xr:uid="{2B58EA86-DFD9-4CE0-9056-B17B562D32DD}"/>
    <cellStyle name="Beräkning 7" xfId="2738" xr:uid="{F59792AB-2B1D-4E8E-BF36-44EB9E187514}"/>
    <cellStyle name="Beräkning 7 2" xfId="2739" xr:uid="{C797EA0C-CACE-490A-B393-488B36899704}"/>
    <cellStyle name="Beräkning 7 2 2" xfId="2740" xr:uid="{7202D5B2-8413-49DB-925C-500186EAEB74}"/>
    <cellStyle name="Beräkning 7 2 2 2" xfId="16141" xr:uid="{9D92ABD6-846C-401D-8056-93AFCF113E98}"/>
    <cellStyle name="Beräkning 7 2 3" xfId="2741" xr:uid="{8CB76044-DE85-4B67-A415-98177F2C9EE7}"/>
    <cellStyle name="Beräkning 7 2 3 2" xfId="16142" xr:uid="{B3123A6E-9609-4350-9F28-E3D739D6642C}"/>
    <cellStyle name="Beräkning 7 2 4" xfId="2742" xr:uid="{4600E943-FAB0-4C76-8F53-3B52C26CE22B}"/>
    <cellStyle name="Beräkning 7 2 4 2" xfId="16143" xr:uid="{665E0676-1383-4920-BED6-9E30CB7154D3}"/>
    <cellStyle name="Beräkning 7 2 5" xfId="2743" xr:uid="{A16177A3-FDE5-4775-BBE9-E862FC2A7742}"/>
    <cellStyle name="Beräkning 7 2 5 2" xfId="16144" xr:uid="{C3EBEB75-4741-4400-870A-20E3659734BF}"/>
    <cellStyle name="Beräkning 7 2 6" xfId="16140" xr:uid="{4CC6904C-3272-4685-819B-706747BDC1C6}"/>
    <cellStyle name="Beräkning 7 3" xfId="2744" xr:uid="{A2AE8746-1D5C-41D9-B8B4-2AB01BA21DC6}"/>
    <cellStyle name="Beräkning 7 3 2" xfId="16145" xr:uid="{0BD230A1-6377-424D-B9A7-345A70FD6347}"/>
    <cellStyle name="Beräkning 7 4" xfId="2745" xr:uid="{964F1E40-D3AB-49DE-BCC2-50EAD2DC0645}"/>
    <cellStyle name="Beräkning 7 4 2" xfId="16146" xr:uid="{4D6CA1F7-8841-4944-A452-F38F64C4FC4B}"/>
    <cellStyle name="Beräkning 7 5" xfId="2746" xr:uid="{A4E36BA3-AD0A-4B3D-8005-FDD0DB57F13B}"/>
    <cellStyle name="Beräkning 7 5 2" xfId="16147" xr:uid="{981855C6-1321-426A-B111-60AA9354C97C}"/>
    <cellStyle name="Beräkning 7 6" xfId="2747" xr:uid="{B20F7C8D-72D3-4DAB-8660-BC3F77AB9363}"/>
    <cellStyle name="Beräkning 7 6 2" xfId="16148" xr:uid="{3184FD69-45EC-43F5-8921-50EA2C168380}"/>
    <cellStyle name="Beräkning 7 7" xfId="16139" xr:uid="{9D063560-3A5C-48F3-A0C7-0FC89B099D0C}"/>
    <cellStyle name="Beräkning 8" xfId="2748" xr:uid="{EE966153-7810-46D4-8BEF-D04C6EEC2319}"/>
    <cellStyle name="Beräkning 8 2" xfId="2749" xr:uid="{5B5DE8DE-FB15-436E-B270-E8BF5EE1A7FC}"/>
    <cellStyle name="Beräkning 8 2 2" xfId="2750" xr:uid="{D70AF4B0-8EE8-4220-BFCC-A9C4D2B27A54}"/>
    <cellStyle name="Beräkning 8 2 2 2" xfId="16151" xr:uid="{4FE1577A-1034-4C72-A6B5-4D3B114E30BE}"/>
    <cellStyle name="Beräkning 8 2 3" xfId="2751" xr:uid="{EB78D471-02FA-4856-B27E-A2F7EAC0B1BD}"/>
    <cellStyle name="Beräkning 8 2 3 2" xfId="16152" xr:uid="{EA8C3972-956D-464B-A465-6321EFA23D7F}"/>
    <cellStyle name="Beräkning 8 2 4" xfId="2752" xr:uid="{2F5DDAA4-78F3-4F30-A4CA-8882423B0526}"/>
    <cellStyle name="Beräkning 8 2 4 2" xfId="16153" xr:uid="{A70AFF15-4818-493D-A451-0DDBD81543EF}"/>
    <cellStyle name="Beräkning 8 2 5" xfId="2753" xr:uid="{C7736ABD-536F-4EB1-8845-C513F24999C5}"/>
    <cellStyle name="Beräkning 8 2 5 2" xfId="16154" xr:uid="{532A414A-9A71-4280-BC06-7BC273222AEE}"/>
    <cellStyle name="Beräkning 8 2 6" xfId="16150" xr:uid="{F0AC0745-0A8C-4F57-9B3E-E3ACD2DAF920}"/>
    <cellStyle name="Beräkning 8 3" xfId="2754" xr:uid="{5206CB00-9960-4CD4-82AB-3E04F8E9C6CB}"/>
    <cellStyle name="Beräkning 8 3 2" xfId="16155" xr:uid="{4F9DD069-CB85-4414-9E5A-41C1F94315EF}"/>
    <cellStyle name="Beräkning 8 4" xfId="2755" xr:uid="{DDFE35C6-064B-4B47-B7DD-ECE038887008}"/>
    <cellStyle name="Beräkning 8 4 2" xfId="16156" xr:uid="{51C2F3D7-2F69-401D-98C2-C06D6EDAEB56}"/>
    <cellStyle name="Beräkning 8 5" xfId="2756" xr:uid="{4D48CDD0-C76F-4CD8-88B6-E9B7F8D87A86}"/>
    <cellStyle name="Beräkning 8 5 2" xfId="16157" xr:uid="{33EFF1A4-0CFF-4221-83F9-5C0CD822030A}"/>
    <cellStyle name="Beräkning 8 6" xfId="2757" xr:uid="{00739923-C5D8-48DB-BDF5-F342DD7E8BD2}"/>
    <cellStyle name="Beräkning 8 6 2" xfId="16158" xr:uid="{5532FB1C-F82A-4A0A-B64D-301E7845A3E6}"/>
    <cellStyle name="Beräkning 8 7" xfId="16149" xr:uid="{7AA6A679-E2A7-4869-853A-0DBA8BC2F354}"/>
    <cellStyle name="Beräkning 9" xfId="2758" xr:uid="{39D6E359-6607-4BCB-8300-3995CF34E526}"/>
    <cellStyle name="Beräkning 9 2" xfId="2759" xr:uid="{CD3551F5-F826-46D5-99A6-85A4CECF480E}"/>
    <cellStyle name="Beräkning 9 2 2" xfId="2760" xr:uid="{FA529F72-503F-4560-B1BF-1B821F52F26F}"/>
    <cellStyle name="Beräkning 9 2 2 2" xfId="16161" xr:uid="{B06087C9-81DF-4503-BDB8-553789892A2A}"/>
    <cellStyle name="Beräkning 9 2 3" xfId="2761" xr:uid="{7020D0D7-2AC0-44FD-AF34-B6A42A888024}"/>
    <cellStyle name="Beräkning 9 2 3 2" xfId="16162" xr:uid="{072F1DE0-ADE3-4481-A889-A4F795DB346F}"/>
    <cellStyle name="Beräkning 9 2 4" xfId="2762" xr:uid="{C851E2D6-B9EE-4C14-A827-C69058A7E4DE}"/>
    <cellStyle name="Beräkning 9 2 4 2" xfId="16163" xr:uid="{4AF525D7-BA9B-4878-B853-5D2509F12D12}"/>
    <cellStyle name="Beräkning 9 2 5" xfId="2763" xr:uid="{BDC7F05A-57C7-4D2D-86F6-A6D4342C8748}"/>
    <cellStyle name="Beräkning 9 2 5 2" xfId="16164" xr:uid="{0121C9FA-B7AB-43A6-B11B-07FCB351A90D}"/>
    <cellStyle name="Beräkning 9 2 6" xfId="16160" xr:uid="{E1210CD6-CDB9-46B6-BC22-B3F5C3F911C6}"/>
    <cellStyle name="Beräkning 9 3" xfId="2764" xr:uid="{B6B6D599-6D2E-474B-B00F-03C21B1AD6DF}"/>
    <cellStyle name="Beräkning 9 3 2" xfId="16165" xr:uid="{E5713654-56C1-476F-BCCB-7F42DFD38F31}"/>
    <cellStyle name="Beräkning 9 4" xfId="2765" xr:uid="{4E1FBD3D-43B8-4276-862D-5CE9442A7EF4}"/>
    <cellStyle name="Beräkning 9 4 2" xfId="16166" xr:uid="{84B62B00-4568-4161-8B82-E5AE5131A53B}"/>
    <cellStyle name="Beräkning 9 5" xfId="2766" xr:uid="{9149A8AF-3612-4162-9FE5-BCAE60D13B85}"/>
    <cellStyle name="Beräkning 9 5 2" xfId="16167" xr:uid="{0D073D90-2573-40FA-97A6-AD9FA780EA7D}"/>
    <cellStyle name="Beräkning 9 6" xfId="2767" xr:uid="{F472CB4E-8CEA-4118-9869-F8EB1BA47595}"/>
    <cellStyle name="Beräkning 9 6 2" xfId="16168" xr:uid="{60B6D316-5A20-45A0-A4A0-884FE5220240}"/>
    <cellStyle name="Beräkning 9 7" xfId="16159" xr:uid="{2F4C0EAA-57E7-44D7-A33B-1EC1C1CA1382}"/>
    <cellStyle name="Beräkning_PGM_CHECK" xfId="14715" xr:uid="{D89A990D-5A00-4AA0-8E5A-971BA0E82A5B}"/>
    <cellStyle name="Berechnung" xfId="2768" xr:uid="{B7665047-E7F3-475A-A7C1-C023D2B0219F}"/>
    <cellStyle name="Berechnung 2" xfId="2769" xr:uid="{6F5E758F-BA87-4F7C-ACC2-A2A10703578D}"/>
    <cellStyle name="Berechnung 2 2" xfId="16169" xr:uid="{F15D7E98-298D-43AA-A5CB-2C63CE8DD507}"/>
    <cellStyle name="Berechnung 3" xfId="2770" xr:uid="{7125588E-0F3B-48C5-B6C9-FDECA30005AA}"/>
    <cellStyle name="Berechnung 3 2" xfId="16170" xr:uid="{4E546D05-C964-4B9B-9A6F-AEDAD553701A}"/>
    <cellStyle name="Berechnung 4" xfId="14946" xr:uid="{ADF4B6EC-13D3-4D7F-B55E-98A672D7849E}"/>
    <cellStyle name="Berechnung_RP3 PP revised" xfId="15216" xr:uid="{4EA57141-C276-4A41-83FA-6ED19DBB06FB}"/>
    <cellStyle name="Beregning" xfId="2771" xr:uid="{7E47EC63-CA4A-498B-82C7-168D5F39B9AE}"/>
    <cellStyle name="Beregning 10" xfId="2772" xr:uid="{DB3DB50C-6610-47BA-B8B5-0D3B54E30596}"/>
    <cellStyle name="Beregning 10 2" xfId="2773" xr:uid="{1517C09E-30BB-40DE-BB8C-F76AD26BD0E6}"/>
    <cellStyle name="Beregning 10 2 2" xfId="2774" xr:uid="{24B270EC-63FD-4702-9E36-8A11DEA370A1}"/>
    <cellStyle name="Beregning 10 2 2 2" xfId="16173" xr:uid="{886FD924-4C31-40AB-864E-98428BE7A592}"/>
    <cellStyle name="Beregning 10 2 3" xfId="2775" xr:uid="{D804F7FF-5F26-4FEA-88F3-EE2160DFC354}"/>
    <cellStyle name="Beregning 10 2 3 2" xfId="16174" xr:uid="{ABB46048-5FE0-4AD6-A7D5-02BB18C7B328}"/>
    <cellStyle name="Beregning 10 2 4" xfId="2776" xr:uid="{61B5CADF-2D94-417E-8974-7C7B30D6D3B4}"/>
    <cellStyle name="Beregning 10 2 4 2" xfId="16175" xr:uid="{A23723AB-96BB-410C-AE16-8F7E00FA9D94}"/>
    <cellStyle name="Beregning 10 2 5" xfId="2777" xr:uid="{4A5B9204-4104-4D48-A320-5C3650BE1A8A}"/>
    <cellStyle name="Beregning 10 2 5 2" xfId="16176" xr:uid="{3C68180D-13A6-423C-A00D-8D597EBDAB4E}"/>
    <cellStyle name="Beregning 10 2 6" xfId="16172" xr:uid="{48FB0EB8-A7ED-4481-AE69-CB76FE135420}"/>
    <cellStyle name="Beregning 10 3" xfId="2778" xr:uid="{3B614C23-A58C-475E-9800-8B1EDA994EC5}"/>
    <cellStyle name="Beregning 10 3 2" xfId="16177" xr:uid="{8B697518-9300-474F-A37A-00F9A4C3B458}"/>
    <cellStyle name="Beregning 10 4" xfId="2779" xr:uid="{2E15124A-7020-4054-9897-42CEC92582AF}"/>
    <cellStyle name="Beregning 10 4 2" xfId="16178" xr:uid="{F4B1F277-132B-4D33-99A8-D465DDF9DFA3}"/>
    <cellStyle name="Beregning 10 5" xfId="2780" xr:uid="{7F443BDC-1005-45BA-8CEC-E143705EA6FB}"/>
    <cellStyle name="Beregning 10 5 2" xfId="16179" xr:uid="{1BACBDC8-BDED-4A47-AF0F-50C26B2224E5}"/>
    <cellStyle name="Beregning 10 6" xfId="2781" xr:uid="{B7372C9B-203A-4F35-94F9-A580CE1DFA45}"/>
    <cellStyle name="Beregning 10 6 2" xfId="16180" xr:uid="{DDD78610-424B-4C72-A795-1E329A59EACF}"/>
    <cellStyle name="Beregning 10 7" xfId="16171" xr:uid="{2E4580F9-3CD9-4741-A17C-48830A08C153}"/>
    <cellStyle name="Beregning 11" xfId="2782" xr:uid="{B3AF6D1C-A9AE-4DDE-9881-1B1EB77D29CF}"/>
    <cellStyle name="Beregning 11 2" xfId="2783" xr:uid="{2499E73C-9DF2-402F-8228-C473386D1788}"/>
    <cellStyle name="Beregning 11 2 2" xfId="2784" xr:uid="{DC082861-0432-4627-B5AC-C1AAB3FF0DE8}"/>
    <cellStyle name="Beregning 11 2 2 2" xfId="16183" xr:uid="{D31E34CF-8FE3-4970-ADC4-0318F891EF44}"/>
    <cellStyle name="Beregning 11 2 3" xfId="2785" xr:uid="{06BBAB05-72A5-4ECF-B170-9159CD83C40B}"/>
    <cellStyle name="Beregning 11 2 3 2" xfId="16184" xr:uid="{82DAC269-CBA5-46CA-BFA1-1E7FAA9525BB}"/>
    <cellStyle name="Beregning 11 2 4" xfId="2786" xr:uid="{13464675-11CA-4C28-9193-FD64653DF3B4}"/>
    <cellStyle name="Beregning 11 2 4 2" xfId="16185" xr:uid="{9015D859-C5A7-4EAE-80D8-6F4F68B98F0E}"/>
    <cellStyle name="Beregning 11 2 5" xfId="2787" xr:uid="{187A9D93-6401-4B40-8095-0CE25493C8C4}"/>
    <cellStyle name="Beregning 11 2 5 2" xfId="16186" xr:uid="{FDA896D1-8ADC-4658-9F4D-457252BEBD9B}"/>
    <cellStyle name="Beregning 11 2 6" xfId="16182" xr:uid="{88D2916C-710A-4A6B-88D0-18748369EAF4}"/>
    <cellStyle name="Beregning 11 3" xfId="2788" xr:uid="{7EBA17A2-DB74-4829-9E9A-B4967BA463C1}"/>
    <cellStyle name="Beregning 11 3 2" xfId="16187" xr:uid="{8E22342A-6893-4851-8E25-F7BD8034AE0A}"/>
    <cellStyle name="Beregning 11 4" xfId="2789" xr:uid="{F5111715-CEE1-47E5-B1E8-2427B6FEBED6}"/>
    <cellStyle name="Beregning 11 4 2" xfId="16188" xr:uid="{B3DE91C3-E5F9-417F-B0F4-78821854BB5B}"/>
    <cellStyle name="Beregning 11 5" xfId="2790" xr:uid="{7E311C62-BE11-4FC2-97D4-1D5E2F856B12}"/>
    <cellStyle name="Beregning 11 5 2" xfId="16189" xr:uid="{1F5E346F-992F-4CEE-B4B1-651BDB81B5A2}"/>
    <cellStyle name="Beregning 11 6" xfId="2791" xr:uid="{B9A97833-B5F5-43F3-93C0-47B6DD732A34}"/>
    <cellStyle name="Beregning 11 6 2" xfId="16190" xr:uid="{CF703212-7188-4209-A3F3-A69C5D9DE4ED}"/>
    <cellStyle name="Beregning 11 7" xfId="16181" xr:uid="{4D8B8B40-E144-4300-8C79-48B8D7DBA855}"/>
    <cellStyle name="Beregning 12" xfId="2792" xr:uid="{E0F8C98C-54BC-47D6-AA60-D784BB0E353C}"/>
    <cellStyle name="Beregning 12 2" xfId="2793" xr:uid="{CE35CD0F-5B86-4BFB-9E0C-AC3C6507203C}"/>
    <cellStyle name="Beregning 12 2 2" xfId="2794" xr:uid="{3B5D0307-19BD-41F3-84D7-987B52C6DF64}"/>
    <cellStyle name="Beregning 12 2 2 2" xfId="16193" xr:uid="{9628A93F-9D00-4435-A30B-22BA7884B827}"/>
    <cellStyle name="Beregning 12 2 3" xfId="2795" xr:uid="{9DF6991C-A918-418F-8569-2FC3A807DF69}"/>
    <cellStyle name="Beregning 12 2 3 2" xfId="16194" xr:uid="{E76A4979-4D44-4053-9D65-0FA2FB91CA71}"/>
    <cellStyle name="Beregning 12 2 4" xfId="2796" xr:uid="{30613EE2-6E8E-4D79-AA31-F2615DEFE10D}"/>
    <cellStyle name="Beregning 12 2 4 2" xfId="16195" xr:uid="{E8CAA9CC-7632-4F5B-848A-7BF6D30E2AF5}"/>
    <cellStyle name="Beregning 12 2 5" xfId="2797" xr:uid="{563DF44C-15C2-43EC-85A0-84460C59A743}"/>
    <cellStyle name="Beregning 12 2 5 2" xfId="16196" xr:uid="{62F57AE0-8BEC-428A-93E3-DE83C50AC357}"/>
    <cellStyle name="Beregning 12 2 6" xfId="16192" xr:uid="{0198C0CD-154A-459E-93BD-7ED271AAAFDB}"/>
    <cellStyle name="Beregning 12 3" xfId="2798" xr:uid="{45FB0BC7-2E50-4A43-961B-392A06B4B4E7}"/>
    <cellStyle name="Beregning 12 3 2" xfId="16197" xr:uid="{137B53B9-309C-4D0F-81EA-4E5E24128C7B}"/>
    <cellStyle name="Beregning 12 4" xfId="2799" xr:uid="{CCB90AD3-9272-40F1-BE9B-3A6141AA05A8}"/>
    <cellStyle name="Beregning 12 4 2" xfId="16198" xr:uid="{35AE3F20-E53B-48B3-92A4-C9BC175CB912}"/>
    <cellStyle name="Beregning 12 5" xfId="2800" xr:uid="{9C6F5F15-CB01-4374-BF52-8AFB145E9F76}"/>
    <cellStyle name="Beregning 12 5 2" xfId="16199" xr:uid="{093F9798-2947-468D-8569-CCD1E9D42344}"/>
    <cellStyle name="Beregning 12 6" xfId="2801" xr:uid="{E4E232E9-138A-459A-8972-3D5AA7503065}"/>
    <cellStyle name="Beregning 12 6 2" xfId="16200" xr:uid="{299AB752-75B5-4FBD-B687-5312465383CF}"/>
    <cellStyle name="Beregning 12 7" xfId="16191" xr:uid="{257421A9-A4BB-4581-813A-1334055F2C9A}"/>
    <cellStyle name="Beregning 13" xfId="2802" xr:uid="{75232239-C023-44B4-8730-3D40D0F09E56}"/>
    <cellStyle name="Beregning 13 2" xfId="2803" xr:uid="{45F5561D-FE92-4153-842A-474FCD0A46EF}"/>
    <cellStyle name="Beregning 13 2 2" xfId="2804" xr:uid="{FBA80439-6A83-4BE4-A03D-DCB6A46E50D7}"/>
    <cellStyle name="Beregning 13 2 2 2" xfId="16203" xr:uid="{D83217E2-3122-46C3-A71F-C3E8209DDB3A}"/>
    <cellStyle name="Beregning 13 2 3" xfId="2805" xr:uid="{977EF35F-13C8-43E9-82D7-01FD871790B0}"/>
    <cellStyle name="Beregning 13 2 3 2" xfId="16204" xr:uid="{AF0E7AA0-5AF0-4CA0-8BCC-6CF90C24B676}"/>
    <cellStyle name="Beregning 13 2 4" xfId="2806" xr:uid="{9C4A95BA-A6C2-43C3-889E-F244713BD1F4}"/>
    <cellStyle name="Beregning 13 2 4 2" xfId="16205" xr:uid="{C205A146-55C9-4221-A99B-1BF39838ACFE}"/>
    <cellStyle name="Beregning 13 2 5" xfId="2807" xr:uid="{D7A88E96-8D93-4CC5-8028-0238420DDF98}"/>
    <cellStyle name="Beregning 13 2 5 2" xfId="16206" xr:uid="{B5818BF9-F0F1-4AE8-9004-79F5D41765EC}"/>
    <cellStyle name="Beregning 13 2 6" xfId="16202" xr:uid="{63D206D2-913A-427B-9557-EA256A3DB63E}"/>
    <cellStyle name="Beregning 13 3" xfId="2808" xr:uid="{8983E657-A9C4-4400-B0C1-82BF2A2E0C54}"/>
    <cellStyle name="Beregning 13 3 2" xfId="16207" xr:uid="{AEE40DE5-3EF8-433D-97C8-1A6EF83C0565}"/>
    <cellStyle name="Beregning 13 4" xfId="2809" xr:uid="{3A1EFD2C-9554-4E90-B013-B1C7F931361B}"/>
    <cellStyle name="Beregning 13 4 2" xfId="16208" xr:uid="{F63DCD8A-C617-4219-A79F-1A12D8B4DABD}"/>
    <cellStyle name="Beregning 13 5" xfId="2810" xr:uid="{C08A1184-AA78-4AC4-846B-135A0FA6C8C5}"/>
    <cellStyle name="Beregning 13 5 2" xfId="16209" xr:uid="{4661556C-48A7-48FD-9CE4-A5B456C305C3}"/>
    <cellStyle name="Beregning 13 6" xfId="2811" xr:uid="{89626147-524A-4B42-B5F0-C040626D58F6}"/>
    <cellStyle name="Beregning 13 6 2" xfId="16210" xr:uid="{1EF73FB0-F918-4A4C-AB3D-A367345FF6E2}"/>
    <cellStyle name="Beregning 13 7" xfId="16201" xr:uid="{DE04A6FC-7A00-4001-A5ED-A9BC30C42D6D}"/>
    <cellStyle name="Beregning 14" xfId="2812" xr:uid="{3E368918-5601-4B91-A941-FC175E940440}"/>
    <cellStyle name="Beregning 14 2" xfId="2813" xr:uid="{175CBA29-6BE2-4997-AF43-57A82ADB69D0}"/>
    <cellStyle name="Beregning 14 2 2" xfId="2814" xr:uid="{01A61B6D-EC51-4854-BD64-A2E576A701CC}"/>
    <cellStyle name="Beregning 14 2 2 2" xfId="16213" xr:uid="{24AC4396-4253-404D-B64F-2192112A447D}"/>
    <cellStyle name="Beregning 14 2 3" xfId="2815" xr:uid="{4218E3B6-6F92-4E00-BE66-C4D241C12F55}"/>
    <cellStyle name="Beregning 14 2 3 2" xfId="16214" xr:uid="{51BB37A2-1DF0-4C8F-9224-B6D7AC426350}"/>
    <cellStyle name="Beregning 14 2 4" xfId="2816" xr:uid="{C1302380-699C-4605-B147-7C021F59E57B}"/>
    <cellStyle name="Beregning 14 2 4 2" xfId="16215" xr:uid="{431D0D8F-2883-4730-8358-563A26391D1B}"/>
    <cellStyle name="Beregning 14 2 5" xfId="2817" xr:uid="{1D3315B2-44D9-4C9D-9D7A-18D06038F57B}"/>
    <cellStyle name="Beregning 14 2 5 2" xfId="16216" xr:uid="{E03044BA-AFFF-4ADD-9506-1065125A6073}"/>
    <cellStyle name="Beregning 14 2 6" xfId="16212" xr:uid="{44075A72-B45D-4BB6-A63A-4CC3AA589443}"/>
    <cellStyle name="Beregning 14 3" xfId="2818" xr:uid="{BEAF4D5C-321C-4B54-B83C-0749421FF832}"/>
    <cellStyle name="Beregning 14 3 2" xfId="16217" xr:uid="{395189C3-F18E-4712-BA93-4422C42BB802}"/>
    <cellStyle name="Beregning 14 4" xfId="2819" xr:uid="{B7C654E1-CB0D-460F-9CCF-9651EE521CF7}"/>
    <cellStyle name="Beregning 14 4 2" xfId="16218" xr:uid="{4184636B-3B52-4050-B0F6-BF0C72A1AE3E}"/>
    <cellStyle name="Beregning 14 5" xfId="2820" xr:uid="{FD1E45C7-388F-4CFE-87E4-B523AAAB1AB3}"/>
    <cellStyle name="Beregning 14 5 2" xfId="16219" xr:uid="{264D603F-BF91-42DF-A906-A70073C8C585}"/>
    <cellStyle name="Beregning 14 6" xfId="2821" xr:uid="{B157B4C6-6801-43CB-939A-403664FF9931}"/>
    <cellStyle name="Beregning 14 6 2" xfId="16220" xr:uid="{92D5AFE0-BA9A-46B7-842D-BB83B26E6BC9}"/>
    <cellStyle name="Beregning 14 7" xfId="16211" xr:uid="{D29BFD66-EF26-4AD6-A97E-3DB89A589EB2}"/>
    <cellStyle name="Beregning 15" xfId="2822" xr:uid="{3ED1A047-5C68-40FC-89E1-510B85296E28}"/>
    <cellStyle name="Beregning 15 2" xfId="2823" xr:uid="{EA7070B0-6771-4BB2-92A5-3E46312FDB03}"/>
    <cellStyle name="Beregning 15 2 2" xfId="2824" xr:uid="{982F12A6-536F-4698-A567-AFAE819D4BAB}"/>
    <cellStyle name="Beregning 15 2 2 2" xfId="16223" xr:uid="{2548389D-EA01-41F2-9490-7031729BB398}"/>
    <cellStyle name="Beregning 15 2 3" xfId="2825" xr:uid="{7F10FAC2-C0DE-4D3E-98E0-E4BAB7922B35}"/>
    <cellStyle name="Beregning 15 2 3 2" xfId="16224" xr:uid="{137D89F2-F892-481C-94CE-83F0C7DB99F3}"/>
    <cellStyle name="Beregning 15 2 4" xfId="2826" xr:uid="{C24C0849-61AC-4AAE-9AF1-02FD197E3794}"/>
    <cellStyle name="Beregning 15 2 4 2" xfId="16225" xr:uid="{B569BFD1-FB78-463E-8E66-46AE84BABBCC}"/>
    <cellStyle name="Beregning 15 2 5" xfId="2827" xr:uid="{26BFC940-9706-4B02-B097-BD7A3D7D1AE3}"/>
    <cellStyle name="Beregning 15 2 5 2" xfId="16226" xr:uid="{0591C95B-7125-49E4-A819-B51C31F0D3A5}"/>
    <cellStyle name="Beregning 15 2 6" xfId="16222" xr:uid="{FFE2CE9B-BDE9-48C8-A3D5-054FA396EF6A}"/>
    <cellStyle name="Beregning 15 3" xfId="2828" xr:uid="{F73B232A-4095-4D3A-A23A-3F1002FB7370}"/>
    <cellStyle name="Beregning 15 3 2" xfId="16227" xr:uid="{636B0732-DD53-42D2-BC9B-1AB3FF0608C1}"/>
    <cellStyle name="Beregning 15 4" xfId="2829" xr:uid="{A9732255-B75A-414E-9B48-E44836DB85E8}"/>
    <cellStyle name="Beregning 15 4 2" xfId="16228" xr:uid="{FC320A8F-16A7-4EB0-A298-7CF546E8A2DA}"/>
    <cellStyle name="Beregning 15 5" xfId="2830" xr:uid="{9F18F95B-B82D-438D-8446-1B5389CD07A2}"/>
    <cellStyle name="Beregning 15 5 2" xfId="16229" xr:uid="{228BE210-1C0A-4CAB-A1D5-B4BDB7CBE003}"/>
    <cellStyle name="Beregning 15 6" xfId="2831" xr:uid="{9CB88582-00D1-482C-8E13-4EAE7129400D}"/>
    <cellStyle name="Beregning 15 6 2" xfId="16230" xr:uid="{E60A64F2-E556-4F92-9B24-4C7605340D5B}"/>
    <cellStyle name="Beregning 15 7" xfId="16221" xr:uid="{4B730F16-BD9A-49EA-B845-AC49790D2FF9}"/>
    <cellStyle name="Beregning 16" xfId="2832" xr:uid="{30D2AAEA-E2AE-42E4-9685-E8554A236164}"/>
    <cellStyle name="Beregning 16 2" xfId="2833" xr:uid="{EA2D69FD-566D-43C6-8AC0-2CDB43CB8091}"/>
    <cellStyle name="Beregning 16 2 2" xfId="2834" xr:uid="{BA13AB28-06A3-4157-8443-89741C79C821}"/>
    <cellStyle name="Beregning 16 2 2 2" xfId="16233" xr:uid="{9FF4C707-1E40-4F98-903B-C84DBA56261E}"/>
    <cellStyle name="Beregning 16 2 3" xfId="2835" xr:uid="{B16FE01A-10C9-4415-8F88-8AD593B205B9}"/>
    <cellStyle name="Beregning 16 2 3 2" xfId="16234" xr:uid="{3508D959-E026-4AA0-9939-6FE766FAE09A}"/>
    <cellStyle name="Beregning 16 2 4" xfId="2836" xr:uid="{05B6A15F-8BF6-4FFE-8943-EDCC0B291317}"/>
    <cellStyle name="Beregning 16 2 4 2" xfId="16235" xr:uid="{E943A194-5C4C-4240-AA2A-B1F48484CDD7}"/>
    <cellStyle name="Beregning 16 2 5" xfId="2837" xr:uid="{BBDCF1E0-861E-41F5-B7FB-100C89FBCD37}"/>
    <cellStyle name="Beregning 16 2 5 2" xfId="16236" xr:uid="{B860F1CD-B12E-4DBC-81ED-129C61EB0FFC}"/>
    <cellStyle name="Beregning 16 2 6" xfId="16232" xr:uid="{2FFB34F6-E829-4FB6-9CE1-2C1E0189CBF7}"/>
    <cellStyle name="Beregning 16 3" xfId="2838" xr:uid="{EFAC2EA1-B330-4270-9B39-241701FC59E2}"/>
    <cellStyle name="Beregning 16 3 2" xfId="16237" xr:uid="{006BB024-B573-487E-BC19-9AFCD0EE01EC}"/>
    <cellStyle name="Beregning 16 4" xfId="2839" xr:uid="{C4653CF5-C09A-440A-9F86-0A5A6C89BBF5}"/>
    <cellStyle name="Beregning 16 4 2" xfId="16238" xr:uid="{0966665A-7E3D-4513-9676-CC76414AC2D2}"/>
    <cellStyle name="Beregning 16 5" xfId="2840" xr:uid="{3C32B59E-1660-4D78-A8F6-A76FBBBB2323}"/>
    <cellStyle name="Beregning 16 5 2" xfId="16239" xr:uid="{30A0BC2B-195A-4F4E-898E-152E4E82C227}"/>
    <cellStyle name="Beregning 16 6" xfId="2841" xr:uid="{C9E6B91E-DDE1-46B5-A777-1E68FD94EA2C}"/>
    <cellStyle name="Beregning 16 6 2" xfId="16240" xr:uid="{33BAA632-9321-4E8A-952A-D85C7031CF25}"/>
    <cellStyle name="Beregning 16 7" xfId="16231" xr:uid="{2C52577A-3A01-404C-842C-98DB9E647DCB}"/>
    <cellStyle name="Beregning 17" xfId="2842" xr:uid="{6B8DA279-F793-4676-9A1D-AF53453CB605}"/>
    <cellStyle name="Beregning 17 2" xfId="2843" xr:uid="{E65AA900-C34E-47B7-86A5-2D730319F8F8}"/>
    <cellStyle name="Beregning 17 2 2" xfId="2844" xr:uid="{8209D408-23AE-427E-BE58-FE5E3AEB2833}"/>
    <cellStyle name="Beregning 17 2 2 2" xfId="16243" xr:uid="{72449718-3474-4BE2-941D-079A19B7A518}"/>
    <cellStyle name="Beregning 17 2 3" xfId="2845" xr:uid="{48693786-0142-4120-83B3-A400F4952A12}"/>
    <cellStyle name="Beregning 17 2 3 2" xfId="16244" xr:uid="{FFC7C2F0-B1C6-43FD-A05E-9E8849489813}"/>
    <cellStyle name="Beregning 17 2 4" xfId="2846" xr:uid="{B68904F6-9007-48D0-A49B-1848F688723E}"/>
    <cellStyle name="Beregning 17 2 4 2" xfId="16245" xr:uid="{234DBC97-785E-458B-977E-ABF802799CAB}"/>
    <cellStyle name="Beregning 17 2 5" xfId="2847" xr:uid="{D29AF147-E5AE-4B38-9FCA-32984E584B7A}"/>
    <cellStyle name="Beregning 17 2 5 2" xfId="16246" xr:uid="{8181F67D-305E-41A3-AC3D-0AE86693A2FD}"/>
    <cellStyle name="Beregning 17 2 6" xfId="16242" xr:uid="{6611A38C-4EAC-4D31-8170-3B5AB96ABE88}"/>
    <cellStyle name="Beregning 17 3" xfId="2848" xr:uid="{10E8FAA6-BA95-4DE3-AA43-855D73BA3252}"/>
    <cellStyle name="Beregning 17 3 2" xfId="16247" xr:uid="{AD344953-B83D-40E6-8B72-40D137EF7481}"/>
    <cellStyle name="Beregning 17 4" xfId="2849" xr:uid="{791A778E-3F57-4F2E-AD26-63C7ECA02D4F}"/>
    <cellStyle name="Beregning 17 4 2" xfId="16248" xr:uid="{31284540-5F7A-4D47-99EF-10C66C422891}"/>
    <cellStyle name="Beregning 17 5" xfId="2850" xr:uid="{D3F31798-93C5-4CE4-AF1D-F2506C6C51AD}"/>
    <cellStyle name="Beregning 17 5 2" xfId="16249" xr:uid="{2683A848-6A9A-403B-9457-C19758E42F69}"/>
    <cellStyle name="Beregning 17 6" xfId="2851" xr:uid="{0E22F824-272B-4814-8CAC-7AC26AF7786E}"/>
    <cellStyle name="Beregning 17 6 2" xfId="16250" xr:uid="{39B31101-B4CA-4FC1-AC92-692BF5CFB43C}"/>
    <cellStyle name="Beregning 17 7" xfId="16241" xr:uid="{99E87D80-20BC-4C8D-BDCA-A5091C5BC258}"/>
    <cellStyle name="Beregning 18" xfId="2852" xr:uid="{06468F2E-47BA-4658-8B94-C5E4867AE9D9}"/>
    <cellStyle name="Beregning 18 2" xfId="2853" xr:uid="{0C7DFF8C-3559-4DA1-B407-4521B1DBDFE0}"/>
    <cellStyle name="Beregning 18 2 2" xfId="2854" xr:uid="{DAE0E2CF-3297-4BF3-9007-0CABA48ADB35}"/>
    <cellStyle name="Beregning 18 2 2 2" xfId="16253" xr:uid="{10088F68-AEE2-456B-BA34-3FA81E8E1309}"/>
    <cellStyle name="Beregning 18 2 3" xfId="2855" xr:uid="{4225D460-4E40-48D7-B152-453C69CBF730}"/>
    <cellStyle name="Beregning 18 2 3 2" xfId="16254" xr:uid="{123D70B3-79FD-4448-B082-1D8BDD5A64C6}"/>
    <cellStyle name="Beregning 18 2 4" xfId="2856" xr:uid="{79C65F2A-17BC-497D-A53D-D446E1C3AE11}"/>
    <cellStyle name="Beregning 18 2 4 2" xfId="16255" xr:uid="{9157AA55-0528-4040-84B9-FEC40C67224D}"/>
    <cellStyle name="Beregning 18 2 5" xfId="2857" xr:uid="{F6C0869A-1878-4E27-8ADA-8EE70286018B}"/>
    <cellStyle name="Beregning 18 2 5 2" xfId="16256" xr:uid="{9D2E7D5C-19D9-4D2B-B1EA-9A01BFAB9911}"/>
    <cellStyle name="Beregning 18 2 6" xfId="16252" xr:uid="{754AC771-ADCE-40DB-9A73-D9124C19A445}"/>
    <cellStyle name="Beregning 18 3" xfId="2858" xr:uid="{6029916A-0C03-4448-BABC-F15C0CC0FA0D}"/>
    <cellStyle name="Beregning 18 3 2" xfId="16257" xr:uid="{5C41D9B3-510B-4601-9006-D43DAA3A2D05}"/>
    <cellStyle name="Beregning 18 4" xfId="2859" xr:uid="{9E2E58B8-44E8-46E3-9C97-C84CDB93579A}"/>
    <cellStyle name="Beregning 18 4 2" xfId="16258" xr:uid="{3FCC6342-77C7-4B5D-9F56-B408BB465AEB}"/>
    <cellStyle name="Beregning 18 5" xfId="2860" xr:uid="{E792427C-3690-4597-86A4-4EA176E7D93E}"/>
    <cellStyle name="Beregning 18 5 2" xfId="16259" xr:uid="{54E5E3D1-7C5E-42D8-AF2A-DC8CEA6186FF}"/>
    <cellStyle name="Beregning 18 6" xfId="2861" xr:uid="{6520B185-D890-4DC7-90C7-CCE2A3D5A6B9}"/>
    <cellStyle name="Beregning 18 6 2" xfId="16260" xr:uid="{022EEAAC-BC52-44CF-8A2C-7FEFAE1798A4}"/>
    <cellStyle name="Beregning 18 7" xfId="16251" xr:uid="{51CB9986-3D39-4AD2-B4D9-4BE1120F54C2}"/>
    <cellStyle name="Beregning 19" xfId="2862" xr:uid="{CC26CAA5-05FE-447B-9C1B-7C0098B4B3EB}"/>
    <cellStyle name="Beregning 19 2" xfId="2863" xr:uid="{9547A04E-869A-409C-8027-2A7B0289EB74}"/>
    <cellStyle name="Beregning 19 2 2" xfId="16262" xr:uid="{665E748B-EF77-4FCA-B0A4-28EF59AC44D0}"/>
    <cellStyle name="Beregning 19 3" xfId="2864" xr:uid="{6BD88251-192E-4EC2-953C-2FD14F48C713}"/>
    <cellStyle name="Beregning 19 3 2" xfId="16263" xr:uid="{54793B9F-A66A-475C-AB67-6F73C80A3DFC}"/>
    <cellStyle name="Beregning 19 4" xfId="2865" xr:uid="{25C3B142-F2C1-450C-8084-824901BFC883}"/>
    <cellStyle name="Beregning 19 4 2" xfId="16264" xr:uid="{61A1510C-ACE9-4418-B940-0C90F9EBD994}"/>
    <cellStyle name="Beregning 19 5" xfId="2866" xr:uid="{03521323-7F4D-44C1-A8A0-6ECCB55C3A31}"/>
    <cellStyle name="Beregning 19 5 2" xfId="16265" xr:uid="{3E5E2BE6-AC2D-4708-A4A1-E388E2B9517F}"/>
    <cellStyle name="Beregning 19 6" xfId="16261" xr:uid="{31E6B5F8-FE5B-423D-83B1-F879AA9DB79E}"/>
    <cellStyle name="Beregning 2" xfId="2867" xr:uid="{A8007AA4-B6E1-4B70-A877-C9CAE8D5AC30}"/>
    <cellStyle name="Beregning 2 2" xfId="2868" xr:uid="{C201EBEB-B94C-4010-B0FC-E7969007AA99}"/>
    <cellStyle name="Beregning 2 2 2" xfId="2869" xr:uid="{3E5618A6-FFFA-4BC2-82DB-DA5B936C4852}"/>
    <cellStyle name="Beregning 2 2 2 2" xfId="16268" xr:uid="{9534B063-156E-4DD6-8485-8B8458F36E07}"/>
    <cellStyle name="Beregning 2 2 3" xfId="2870" xr:uid="{6C76A1A7-0F60-4F84-9D0D-87AE53CDE817}"/>
    <cellStyle name="Beregning 2 2 3 2" xfId="16269" xr:uid="{784CAD5B-91D9-47C7-A252-830DD6459702}"/>
    <cellStyle name="Beregning 2 2 4" xfId="2871" xr:uid="{1154FF58-C72D-43FA-BBA4-FB26998437F2}"/>
    <cellStyle name="Beregning 2 2 4 2" xfId="16270" xr:uid="{2605C13C-07B8-4F49-B582-FA298C6DC570}"/>
    <cellStyle name="Beregning 2 2 5" xfId="2872" xr:uid="{138A0670-03A7-44CB-A62F-29ED0CC6FAEF}"/>
    <cellStyle name="Beregning 2 2 5 2" xfId="16271" xr:uid="{B899157A-16DE-474B-9E42-9E9AB1D95A89}"/>
    <cellStyle name="Beregning 2 2 6" xfId="16267" xr:uid="{CD29B652-AA44-49CC-9AD0-A827F74935FF}"/>
    <cellStyle name="Beregning 2 3" xfId="2873" xr:uid="{A22DCC34-67E5-4A9D-9714-7B7DFF175693}"/>
    <cellStyle name="Beregning 2 3 2" xfId="16272" xr:uid="{F922E247-D413-439B-ADA6-5D1E4706B5C1}"/>
    <cellStyle name="Beregning 2 4" xfId="2874" xr:uid="{F00003D9-3A63-4F2B-B93C-D5A46FD91FC0}"/>
    <cellStyle name="Beregning 2 4 2" xfId="16273" xr:uid="{FD85A9E2-71CE-4BB3-990E-10F826BFEF8B}"/>
    <cellStyle name="Beregning 2 5" xfId="2875" xr:uid="{62B85532-D569-4C73-88F3-460C974F162B}"/>
    <cellStyle name="Beregning 2 5 2" xfId="16274" xr:uid="{F51F4E76-4FFD-4D10-B1C6-A6A55BC6816D}"/>
    <cellStyle name="Beregning 2 6" xfId="2876" xr:uid="{744D7094-4085-4D26-9F14-D59CF020739D}"/>
    <cellStyle name="Beregning 2 6 2" xfId="16275" xr:uid="{FFD28365-FDC8-41A9-A6A2-EC33378960A4}"/>
    <cellStyle name="Beregning 2 7" xfId="16266" xr:uid="{E0A5E9EF-E7E5-40BF-991A-9E9C4A5F0531}"/>
    <cellStyle name="Beregning 20" xfId="2877" xr:uid="{FEAD4AD7-5506-4B3A-9608-E8598C90E56F}"/>
    <cellStyle name="Beregning 20 2" xfId="16276" xr:uid="{751B63DB-DD80-4DB5-A87B-CDD1CD1E4DAD}"/>
    <cellStyle name="Beregning 21" xfId="2878" xr:uid="{91E4F33F-AADD-4FCC-A9DA-9E5FF8F8D28F}"/>
    <cellStyle name="Beregning 21 2" xfId="16277" xr:uid="{D7D170ED-2426-478B-8424-9D2B13D497F9}"/>
    <cellStyle name="Beregning 22" xfId="2879" xr:uid="{CC59F137-0CBF-4150-9BD3-10BA2C5B2545}"/>
    <cellStyle name="Beregning 22 2" xfId="16278" xr:uid="{EFAFB78C-1BAB-46DD-9B44-97C1138F97F0}"/>
    <cellStyle name="Beregning 23" xfId="2880" xr:uid="{F9742F82-F758-4CC3-A858-5F136F781CAF}"/>
    <cellStyle name="Beregning 23 2" xfId="16279" xr:uid="{93AC1476-E847-4B13-B663-3576868AB698}"/>
    <cellStyle name="Beregning 24" xfId="14947" xr:uid="{2878ED35-6182-4DAF-B0F2-AE7A4ACD3424}"/>
    <cellStyle name="Beregning 3" xfId="2881" xr:uid="{43E6ED81-2B3A-4A1C-952B-BA31505389C8}"/>
    <cellStyle name="Beregning 3 2" xfId="2882" xr:uid="{E79B7790-1C84-419C-BE0D-B9B97828CB95}"/>
    <cellStyle name="Beregning 3 2 2" xfId="2883" xr:uid="{A3B814AC-15AF-4CFC-958B-599818A5F917}"/>
    <cellStyle name="Beregning 3 2 2 2" xfId="16282" xr:uid="{69E3D6F0-28FC-49DE-9DBB-CCECE128C8D2}"/>
    <cellStyle name="Beregning 3 2 3" xfId="2884" xr:uid="{2616E7E0-27F2-4838-A00F-EE1241E74F35}"/>
    <cellStyle name="Beregning 3 2 3 2" xfId="16283" xr:uid="{2C2FC7FF-AB72-461C-8A94-6CF1936BF38F}"/>
    <cellStyle name="Beregning 3 2 4" xfId="2885" xr:uid="{5338B20B-2E30-4028-8BA6-C41BB055BBE4}"/>
    <cellStyle name="Beregning 3 2 4 2" xfId="16284" xr:uid="{7CBDE014-62F6-4DC1-A282-5DAA2EEB9907}"/>
    <cellStyle name="Beregning 3 2 5" xfId="2886" xr:uid="{3931FB56-B5CB-4C68-A154-D61E109E8819}"/>
    <cellStyle name="Beregning 3 2 5 2" xfId="16285" xr:uid="{97398933-8D30-4065-9FD6-BC5631C1BAB0}"/>
    <cellStyle name="Beregning 3 2 6" xfId="16281" xr:uid="{1E3440D7-2CF7-4A83-ABED-8389494A5583}"/>
    <cellStyle name="Beregning 3 3" xfId="2887" xr:uid="{67C29B31-FF51-4322-A0CB-E750A1108639}"/>
    <cellStyle name="Beregning 3 3 2" xfId="16286" xr:uid="{BE5E732B-23F4-4D4F-B9D9-AEDEAC679A49}"/>
    <cellStyle name="Beregning 3 4" xfId="2888" xr:uid="{098E0317-80B4-48CD-8A90-255BC974FCE3}"/>
    <cellStyle name="Beregning 3 4 2" xfId="16287" xr:uid="{2FD2B3D1-1546-4692-B61F-D7AE3CE6FA11}"/>
    <cellStyle name="Beregning 3 5" xfId="2889" xr:uid="{CAF1B06C-8A1E-4DC3-BF8A-3971611F6949}"/>
    <cellStyle name="Beregning 3 5 2" xfId="16288" xr:uid="{EC89B4EF-3E1E-47E2-88DB-B3F90782DA56}"/>
    <cellStyle name="Beregning 3 6" xfId="2890" xr:uid="{A1CF5CD0-85B2-40B7-91A8-797DCC209A7D}"/>
    <cellStyle name="Beregning 3 6 2" xfId="16289" xr:uid="{1162C7C0-2A56-4EAF-B4CE-C09C016FCA2D}"/>
    <cellStyle name="Beregning 3 7" xfId="16280" xr:uid="{7066AE1B-4605-490D-96C5-A5454F6B1EB5}"/>
    <cellStyle name="Beregning 4" xfId="2891" xr:uid="{E6DE8B96-BEEE-4D21-AB85-2400D0077A6B}"/>
    <cellStyle name="Beregning 4 2" xfId="2892" xr:uid="{A88955BC-4102-4180-955D-59D2CB165E18}"/>
    <cellStyle name="Beregning 4 2 2" xfId="2893" xr:uid="{F6CBF492-3B3E-4240-BC0A-4FB3C65BB81A}"/>
    <cellStyle name="Beregning 4 2 2 2" xfId="16292" xr:uid="{C9D7D534-FDA6-4CC9-A165-FD660D4016AE}"/>
    <cellStyle name="Beregning 4 2 3" xfId="2894" xr:uid="{8E9EE18C-6559-4921-8496-881E37584C5F}"/>
    <cellStyle name="Beregning 4 2 3 2" xfId="16293" xr:uid="{E3E895A1-91EC-46F0-B108-192C0C64392F}"/>
    <cellStyle name="Beregning 4 2 4" xfId="2895" xr:uid="{AE514A55-1B82-4378-B834-22B4AEFF18C1}"/>
    <cellStyle name="Beregning 4 2 4 2" xfId="16294" xr:uid="{2742C6BB-E016-4454-A144-8887687A5B5A}"/>
    <cellStyle name="Beregning 4 2 5" xfId="2896" xr:uid="{5CAC1D81-2351-4CE1-867E-5ABFC0D6BD22}"/>
    <cellStyle name="Beregning 4 2 5 2" xfId="16295" xr:uid="{53E21816-C8C1-45E1-8CDC-539701B49FB5}"/>
    <cellStyle name="Beregning 4 2 6" xfId="16291" xr:uid="{726985F7-A3B1-401F-B7B2-8458F6331795}"/>
    <cellStyle name="Beregning 4 3" xfId="2897" xr:uid="{B079CA92-28D6-477F-9767-D743E4C725D3}"/>
    <cellStyle name="Beregning 4 3 2" xfId="16296" xr:uid="{4090ADC7-0B4F-4261-A226-0D6440F6BDAD}"/>
    <cellStyle name="Beregning 4 4" xfId="2898" xr:uid="{6D0A8C4A-C168-4E0D-A440-A3C8618A4515}"/>
    <cellStyle name="Beregning 4 4 2" xfId="16297" xr:uid="{DFBA7239-954A-4A94-BDE6-025D7AD40F0C}"/>
    <cellStyle name="Beregning 4 5" xfId="2899" xr:uid="{36887108-D9D1-4316-A11D-07D4EFD6852B}"/>
    <cellStyle name="Beregning 4 5 2" xfId="16298" xr:uid="{3830AECA-69F9-42C7-99E9-0BEA03A86544}"/>
    <cellStyle name="Beregning 4 6" xfId="2900" xr:uid="{CD64ABA4-8033-4D6C-B879-8043C157CB13}"/>
    <cellStyle name="Beregning 4 6 2" xfId="16299" xr:uid="{A52B8EE2-7E97-4E58-B6F7-1FCDF8A8A754}"/>
    <cellStyle name="Beregning 4 7" xfId="16290" xr:uid="{54722350-F311-4354-A3C3-CBBD90F06A29}"/>
    <cellStyle name="Beregning 5" xfId="2901" xr:uid="{FBC3337E-181D-456C-BB1C-512A46F09256}"/>
    <cellStyle name="Beregning 5 2" xfId="2902" xr:uid="{6E3F46F2-B8DD-4BC1-BAD4-CFCE15A9CB62}"/>
    <cellStyle name="Beregning 5 2 2" xfId="2903" xr:uid="{1D855214-3553-4D3F-8EEB-8A2848EC48C6}"/>
    <cellStyle name="Beregning 5 2 2 2" xfId="16302" xr:uid="{C70707AF-51F1-459C-B409-4A9D0131235A}"/>
    <cellStyle name="Beregning 5 2 3" xfId="2904" xr:uid="{6F646C13-E1F3-4FFE-BBA4-D79FFD5E5368}"/>
    <cellStyle name="Beregning 5 2 3 2" xfId="16303" xr:uid="{247505B9-C914-4A6E-8D27-09852A9F4E11}"/>
    <cellStyle name="Beregning 5 2 4" xfId="2905" xr:uid="{18B49521-5468-4E5A-B287-24CB0D894E5F}"/>
    <cellStyle name="Beregning 5 2 4 2" xfId="16304" xr:uid="{C1F19BF1-C547-43E7-83C1-0999B67F5112}"/>
    <cellStyle name="Beregning 5 2 5" xfId="2906" xr:uid="{89CCEE4D-F581-421E-A052-28B50172F5F9}"/>
    <cellStyle name="Beregning 5 2 5 2" xfId="16305" xr:uid="{9413C65D-220A-4CDA-BDAC-A7F2E948ADF0}"/>
    <cellStyle name="Beregning 5 2 6" xfId="16301" xr:uid="{0FB4ED2B-7AC8-41CE-958E-51A73F2A70D4}"/>
    <cellStyle name="Beregning 5 3" xfId="2907" xr:uid="{54B5000C-A966-4B19-A80E-827C5D14C548}"/>
    <cellStyle name="Beregning 5 3 2" xfId="16306" xr:uid="{76D52F38-A11B-4F19-AD97-161038750676}"/>
    <cellStyle name="Beregning 5 4" xfId="2908" xr:uid="{4DCFBCD6-C1C8-4C54-BA61-FCD413F64051}"/>
    <cellStyle name="Beregning 5 4 2" xfId="16307" xr:uid="{4BF7561C-6A6F-461C-9CC8-183735740D05}"/>
    <cellStyle name="Beregning 5 5" xfId="2909" xr:uid="{D03CE994-AF9E-4DE2-8029-F1C49601C90B}"/>
    <cellStyle name="Beregning 5 5 2" xfId="16308" xr:uid="{6C325867-62BE-4F2C-A803-BE9993E16EBE}"/>
    <cellStyle name="Beregning 5 6" xfId="2910" xr:uid="{600BDA15-E71C-4D6A-BCE1-AE2670EE24FA}"/>
    <cellStyle name="Beregning 5 6 2" xfId="16309" xr:uid="{E31287CA-2BEF-4AEB-9B8A-C24173533018}"/>
    <cellStyle name="Beregning 5 7" xfId="16300" xr:uid="{8F64E453-BAEE-4979-A7AB-DE1E8ACE45D3}"/>
    <cellStyle name="Beregning 6" xfId="2911" xr:uid="{40FDECBB-0420-4697-B8D9-CEBED26BA1E8}"/>
    <cellStyle name="Beregning 6 2" xfId="2912" xr:uid="{C3F03FC0-F0A4-4C34-B8E2-9D24A9A3EF02}"/>
    <cellStyle name="Beregning 6 2 2" xfId="2913" xr:uid="{05F6A0DA-2742-4579-9B66-418AEEBCD9C3}"/>
    <cellStyle name="Beregning 6 2 2 2" xfId="16312" xr:uid="{E20E243D-F149-4525-AF3D-89BFF134CCAD}"/>
    <cellStyle name="Beregning 6 2 3" xfId="2914" xr:uid="{CB2AAC86-B939-43FE-A3D9-EFF541981817}"/>
    <cellStyle name="Beregning 6 2 3 2" xfId="16313" xr:uid="{5C480197-1924-422C-810F-8F12BB31DA2B}"/>
    <cellStyle name="Beregning 6 2 4" xfId="2915" xr:uid="{68FFB6A3-B4DF-4F37-8985-6DAE860CAF35}"/>
    <cellStyle name="Beregning 6 2 4 2" xfId="16314" xr:uid="{291672DC-46F7-4C15-90ED-B2527BE7BCAB}"/>
    <cellStyle name="Beregning 6 2 5" xfId="2916" xr:uid="{9DD7F991-90EA-4540-AB59-371519077442}"/>
    <cellStyle name="Beregning 6 2 5 2" xfId="16315" xr:uid="{33026D99-EAD9-4217-AB37-E20D569613C4}"/>
    <cellStyle name="Beregning 6 2 6" xfId="16311" xr:uid="{25DF76F9-417E-44FF-A4D5-1209EF33F2C8}"/>
    <cellStyle name="Beregning 6 3" xfId="2917" xr:uid="{1F45A2FB-AB19-4671-92D9-470BFC3579D2}"/>
    <cellStyle name="Beregning 6 3 2" xfId="16316" xr:uid="{AC0E6A59-4C50-434F-BBA6-515867B8C486}"/>
    <cellStyle name="Beregning 6 4" xfId="2918" xr:uid="{4AB01748-0057-4084-B559-9E0CE5B00664}"/>
    <cellStyle name="Beregning 6 4 2" xfId="16317" xr:uid="{676FEBEF-A8FA-430B-839A-A813220367A4}"/>
    <cellStyle name="Beregning 6 5" xfId="2919" xr:uid="{6EF9E39C-24DE-488D-9524-A2AF5C028EA1}"/>
    <cellStyle name="Beregning 6 5 2" xfId="16318" xr:uid="{A5DDE20F-0FE2-4E78-BFD9-1AA93D4FC188}"/>
    <cellStyle name="Beregning 6 6" xfId="2920" xr:uid="{C28B9037-228D-42F3-B0BF-C7C49B83CE06}"/>
    <cellStyle name="Beregning 6 6 2" xfId="16319" xr:uid="{4E88C08C-7174-48D4-A0FA-6987CA69B1B6}"/>
    <cellStyle name="Beregning 6 7" xfId="16310" xr:uid="{DFAA793B-CAEA-4941-AD22-600B17BEB422}"/>
    <cellStyle name="Beregning 7" xfId="2921" xr:uid="{BE1B08AF-4ACD-4761-B8C6-F1B14B4B6B74}"/>
    <cellStyle name="Beregning 7 2" xfId="2922" xr:uid="{6B67EBDA-FF00-4EAD-856D-F9C5158C040F}"/>
    <cellStyle name="Beregning 7 2 2" xfId="2923" xr:uid="{4BF19564-5AA1-401C-A2F4-C86902B57742}"/>
    <cellStyle name="Beregning 7 2 2 2" xfId="16322" xr:uid="{228B65B4-9AE0-4B8D-B937-219C27137DC7}"/>
    <cellStyle name="Beregning 7 2 3" xfId="2924" xr:uid="{F32C4ADB-E1C5-4B07-B201-C68E2238D55B}"/>
    <cellStyle name="Beregning 7 2 3 2" xfId="16323" xr:uid="{F3DEB79E-4CB5-423F-BE45-1BDBAD493E27}"/>
    <cellStyle name="Beregning 7 2 4" xfId="2925" xr:uid="{FB7FE433-6462-48DB-BFD6-37BC22A84AA2}"/>
    <cellStyle name="Beregning 7 2 4 2" xfId="16324" xr:uid="{1A7F5BC4-394A-4CD4-8FCE-BE99FDD97EBE}"/>
    <cellStyle name="Beregning 7 2 5" xfId="2926" xr:uid="{1B0A513B-8AFD-4136-96E1-B82CBA9B61BE}"/>
    <cellStyle name="Beregning 7 2 5 2" xfId="16325" xr:uid="{3F34F343-0FF5-4F5C-B9F4-CFBD55E4A3B4}"/>
    <cellStyle name="Beregning 7 2 6" xfId="16321" xr:uid="{2C2553EB-4836-475F-B2C8-018ABEE661F2}"/>
    <cellStyle name="Beregning 7 3" xfId="2927" xr:uid="{675BFF2C-2FE4-4F49-9E29-32C994F3CD2B}"/>
    <cellStyle name="Beregning 7 3 2" xfId="16326" xr:uid="{2BB8F0DC-0D1C-4141-8D24-F81CE9A80AD6}"/>
    <cellStyle name="Beregning 7 4" xfId="2928" xr:uid="{11B5F076-CA51-45E7-88A4-2E25550DDC2A}"/>
    <cellStyle name="Beregning 7 4 2" xfId="16327" xr:uid="{442D3D54-3EEE-472F-8DFD-214A2EE2105D}"/>
    <cellStyle name="Beregning 7 5" xfId="2929" xr:uid="{489B4DE1-CC7B-470F-964B-45DD4FC73903}"/>
    <cellStyle name="Beregning 7 5 2" xfId="16328" xr:uid="{55F85BA4-72E3-4985-9B81-3D8EE205E76F}"/>
    <cellStyle name="Beregning 7 6" xfId="2930" xr:uid="{25D3820C-C011-485B-8530-7B9C59FB70A4}"/>
    <cellStyle name="Beregning 7 6 2" xfId="16329" xr:uid="{3ADEE0B8-BFA3-4BC4-8DB4-11A5DF93FF54}"/>
    <cellStyle name="Beregning 7 7" xfId="16320" xr:uid="{C0EC93A5-C105-49BD-AC53-E806D78BBB0A}"/>
    <cellStyle name="Beregning 8" xfId="2931" xr:uid="{0B3BC22D-2A35-4440-B15E-8CCFEC1D03EC}"/>
    <cellStyle name="Beregning 8 2" xfId="2932" xr:uid="{B36104D7-2FCA-4C68-9D19-3071CD6CC75F}"/>
    <cellStyle name="Beregning 8 2 2" xfId="2933" xr:uid="{4031796D-1943-4211-85B9-4FA578C9EBC1}"/>
    <cellStyle name="Beregning 8 2 2 2" xfId="16332" xr:uid="{607DFEDA-2CB3-489D-BFE7-E1934AB7100C}"/>
    <cellStyle name="Beregning 8 2 3" xfId="2934" xr:uid="{4F80FF28-4CA4-4A0D-A481-3A15497D3D7E}"/>
    <cellStyle name="Beregning 8 2 3 2" xfId="16333" xr:uid="{4A0B6B61-EBFC-4CFA-9764-FEE0585E2E53}"/>
    <cellStyle name="Beregning 8 2 4" xfId="2935" xr:uid="{296D3C15-2E29-43EE-B29D-D2CBEEDD140C}"/>
    <cellStyle name="Beregning 8 2 4 2" xfId="16334" xr:uid="{34974648-81D2-41E0-91A8-7ABC2C527E3E}"/>
    <cellStyle name="Beregning 8 2 5" xfId="2936" xr:uid="{B8A201A0-9BB9-42E8-9D39-4B5468A4EED1}"/>
    <cellStyle name="Beregning 8 2 5 2" xfId="16335" xr:uid="{23178290-02FD-42A7-B180-D73CD1F5F08D}"/>
    <cellStyle name="Beregning 8 2 6" xfId="16331" xr:uid="{767FB4D3-8DCB-4E52-929F-103E2756AC9D}"/>
    <cellStyle name="Beregning 8 3" xfId="2937" xr:uid="{E39A9EEA-E88A-4A1F-A9C5-EAED5CCF5602}"/>
    <cellStyle name="Beregning 8 3 2" xfId="16336" xr:uid="{F05AB29B-886A-46A7-97EA-4D4CA4DE0A68}"/>
    <cellStyle name="Beregning 8 4" xfId="2938" xr:uid="{5C3DCE93-2DDD-4697-ACA6-026552285BF8}"/>
    <cellStyle name="Beregning 8 4 2" xfId="16337" xr:uid="{A9BD404B-FF08-47B3-AFE4-2815F1028ADA}"/>
    <cellStyle name="Beregning 8 5" xfId="2939" xr:uid="{8100A882-6493-4BA4-936F-87911694A8B8}"/>
    <cellStyle name="Beregning 8 5 2" xfId="16338" xr:uid="{1C52465E-B723-4496-BAFE-CE52EC7A0219}"/>
    <cellStyle name="Beregning 8 6" xfId="2940" xr:uid="{B4F6935E-9626-4089-A382-C561808FA261}"/>
    <cellStyle name="Beregning 8 6 2" xfId="16339" xr:uid="{AD080533-2292-4AA3-9C5D-530B3051FFAB}"/>
    <cellStyle name="Beregning 8 7" xfId="16330" xr:uid="{81AB448C-0B30-4C6D-9E47-D563356BF0EA}"/>
    <cellStyle name="Beregning 9" xfId="2941" xr:uid="{5ECBEF18-C63E-46A0-868C-E8662212FCC8}"/>
    <cellStyle name="Beregning 9 2" xfId="2942" xr:uid="{075F7C5F-C175-4B2F-A3E6-F63B792F6BB5}"/>
    <cellStyle name="Beregning 9 2 2" xfId="2943" xr:uid="{9AF8F7F6-92F7-488F-B723-07219A54817E}"/>
    <cellStyle name="Beregning 9 2 2 2" xfId="16342" xr:uid="{958338A2-62D0-4B9A-8F49-3764ECACCF94}"/>
    <cellStyle name="Beregning 9 2 3" xfId="2944" xr:uid="{10735161-28E9-4559-B3E5-5C90EC850573}"/>
    <cellStyle name="Beregning 9 2 3 2" xfId="16343" xr:uid="{427668BB-2783-4E59-A12A-B124F790617E}"/>
    <cellStyle name="Beregning 9 2 4" xfId="2945" xr:uid="{7D321D21-A782-491F-9AF2-71EDD096247D}"/>
    <cellStyle name="Beregning 9 2 4 2" xfId="16344" xr:uid="{EF6AC2DB-8415-4747-BFE7-9FEE648B974C}"/>
    <cellStyle name="Beregning 9 2 5" xfId="2946" xr:uid="{2723C901-82C1-4EA1-A93D-FB2E9A0A3E31}"/>
    <cellStyle name="Beregning 9 2 5 2" xfId="16345" xr:uid="{66E24D30-4AD0-46BB-B26F-3CA0550028B6}"/>
    <cellStyle name="Beregning 9 2 6" xfId="16341" xr:uid="{A82AC911-A44A-47E8-A8E6-F19383A28C96}"/>
    <cellStyle name="Beregning 9 3" xfId="2947" xr:uid="{601E6FF8-0D47-495B-B75B-3D85C7B3EFC2}"/>
    <cellStyle name="Beregning 9 3 2" xfId="16346" xr:uid="{B22709CC-7B7F-4781-AF40-46935DD46CF9}"/>
    <cellStyle name="Beregning 9 4" xfId="2948" xr:uid="{72D84DCD-7716-4184-93DC-4291D7AF6081}"/>
    <cellStyle name="Beregning 9 4 2" xfId="16347" xr:uid="{34D42295-52AE-454C-AED7-43E483C813B8}"/>
    <cellStyle name="Beregning 9 5" xfId="2949" xr:uid="{31991570-ACD3-42EE-94D7-5F084AA695C5}"/>
    <cellStyle name="Beregning 9 5 2" xfId="16348" xr:uid="{50C4877A-A35D-49AB-A692-6A238CF90B7F}"/>
    <cellStyle name="Beregning 9 6" xfId="2950" xr:uid="{AAA75CEB-AE61-4B38-92BE-81F1CBBE40C4}"/>
    <cellStyle name="Beregning 9 6 2" xfId="16349" xr:uid="{8FF009AD-8F82-4D41-88DB-8242F95D2D3F}"/>
    <cellStyle name="Beregning 9 7" xfId="16340" xr:uid="{2821C3F0-26BC-49F5-B636-8C2A617C0950}"/>
    <cellStyle name="Beregning_RP3 PP revised" xfId="15419" xr:uid="{F0776343-7711-4559-8E96-1C5EA368D0BA}"/>
    <cellStyle name="Bevitel 2" xfId="2951" xr:uid="{B2D3DFA2-6827-41F0-B09E-B0A8B1559CDB}"/>
    <cellStyle name="Bevitel 2 2" xfId="2952" xr:uid="{2373880D-D5A2-4CB8-8B93-438178D61E94}"/>
    <cellStyle name="Bevitel 2 2 2" xfId="16350" xr:uid="{91C56DD3-C7A3-4C4E-BCB7-C947FCD93526}"/>
    <cellStyle name="Bevitel 2 3" xfId="2953" xr:uid="{B6CD60A0-81AE-4FCB-A272-7E811F0C8FEE}"/>
    <cellStyle name="Bevitel 2 3 2" xfId="16351" xr:uid="{B4C128BB-FA6E-47E5-AB31-94B47ED579B9}"/>
    <cellStyle name="Bevitel 2 4" xfId="15356" xr:uid="{6477237F-6DAF-4A77-8D29-1845A00E4D12}"/>
    <cellStyle name="Bevitel 2_RP3 PP revised" xfId="15418" xr:uid="{862CAB74-CDCD-4532-8C2F-68F1C94D6E70}"/>
    <cellStyle name="blank" xfId="2954" xr:uid="{9B599C2B-C121-4E59-BA9A-D8FA466CC51B}"/>
    <cellStyle name="BlankRow" xfId="2955" xr:uid="{AC8FA0F2-6C3E-4478-A730-2E80E192E0B6}"/>
    <cellStyle name="Blogas" xfId="2956" xr:uid="{963224FC-C658-43F1-9619-2C7FC6175CB5}"/>
    <cellStyle name="Bon" xfId="2957" xr:uid="{635979ED-8F71-4F03-8048-141552A15098}"/>
    <cellStyle name="Border Heavy" xfId="2958" xr:uid="{DDBB491E-28F3-4524-83DC-1B1D48767722}"/>
    <cellStyle name="Border Thin" xfId="2959" xr:uid="{2C4290C0-5E0F-46AA-8563-0C446CD5C49E}"/>
    <cellStyle name="Border Thin 2" xfId="14704" xr:uid="{ABB7158B-32DE-4850-88EA-DDA925DF0EB5}"/>
    <cellStyle name="Border Thin 2 2" xfId="25757" xr:uid="{C3311E0C-D8AA-4F82-B88A-1CCB62D09254}"/>
    <cellStyle name="Border Thin 2 2 2" xfId="25889" xr:uid="{E126DBFF-5DE7-480F-81FC-834971EFFCA1}"/>
    <cellStyle name="Border Thin 2 2 3" xfId="25842" xr:uid="{0F261A56-8EFC-4041-920D-D6A3836D29B9}"/>
    <cellStyle name="Border Thin 2 3" xfId="25841" xr:uid="{78FED0DA-2B8E-47BC-8FD4-3435055A3510}"/>
    <cellStyle name="Border Thin 2 3 2" xfId="25898" xr:uid="{F8662D7C-41D4-4925-850D-5D25A6EC3968}"/>
    <cellStyle name="Border Thin 2 3 3" xfId="25906" xr:uid="{FEF84C10-9854-4FB5-BCB3-9B8D0223BF6A}"/>
    <cellStyle name="Border Thin 3" xfId="16352" xr:uid="{D150CB7F-F544-43B3-B6CE-6FD4D6A03824}"/>
    <cellStyle name="Border Thin 3 2" xfId="25873" xr:uid="{627C6061-FAE4-407B-AB35-592872D508C3}"/>
    <cellStyle name="Border Thin 3 3" xfId="25874" xr:uid="{005E4FCA-6AF4-4779-9A50-0EC8CD0F7657}"/>
    <cellStyle name="Border Thin 4" xfId="15808" xr:uid="{5EC3DCD8-9E91-4C58-8F41-FF887D34FD1E}"/>
    <cellStyle name="Border Thin 4 2" xfId="25872" xr:uid="{440EC82D-C4BC-4206-AE9D-4C14DBFF4C41}"/>
    <cellStyle name="Border Thin 4 3" xfId="25851" xr:uid="{D2F0088C-164D-4013-B916-CD747FAC4F06}"/>
    <cellStyle name="Bra" xfId="2960" xr:uid="{E9A82664-CD1D-4F0C-AE03-FC4AE9121CEF}"/>
    <cellStyle name="brakcomma" xfId="2961" xr:uid="{5D308929-C8E4-49A7-B01F-15712ABB8EDB}"/>
    <cellStyle name="Buena" xfId="2962" xr:uid="{9A6BDB24-0F57-4A84-8C8F-4BAC0578CD67}"/>
    <cellStyle name="bullet" xfId="2963" xr:uid="{8AE486EF-0C75-432C-A7E6-95FDF5FA791A}"/>
    <cellStyle name="bwcomma" xfId="2964" xr:uid="{965C0220-C42B-4910-B077-33878BD684AF}"/>
    <cellStyle name="C" xfId="2965" xr:uid="{18B0F18D-844F-4988-9772-F91165878819}"/>
    <cellStyle name="Calander_heading" xfId="2966" xr:uid="{F8FFB0AB-45EA-4833-A10B-50DED4F27591}"/>
    <cellStyle name="Calc" xfId="2967" xr:uid="{99BF9136-C4D5-4801-B75C-43D66EEC1FE8}"/>
    <cellStyle name="Calc - Blue" xfId="2968" xr:uid="{4996309C-EAA6-4154-A307-D8FD68AE3877}"/>
    <cellStyle name="Calc - Blue 2" xfId="2969" xr:uid="{97B37111-593B-4D1F-95AB-73167F4CFB60}"/>
    <cellStyle name="Calc - Blue 3" xfId="2970" xr:uid="{84C4EA1B-09C7-47FA-93D2-5018638A53B8}"/>
    <cellStyle name="Calc - Feed" xfId="2971" xr:uid="{4ABA7154-3798-4CAA-A55A-7E2CCC12AE92}"/>
    <cellStyle name="Calc - Feed 2" xfId="2972" xr:uid="{BAEAFA02-D311-441D-AD28-FEB83D6C2F84}"/>
    <cellStyle name="Calc - Feed 3" xfId="2973" xr:uid="{EBD594CD-B82D-4D79-AFE4-3F2A1122E479}"/>
    <cellStyle name="Calc - Green" xfId="2974" xr:uid="{1265E8A4-BB0F-4925-A997-3436532CEB1D}"/>
    <cellStyle name="Calc - Green 2" xfId="2975" xr:uid="{FF2E9EE1-C11D-47ED-81B6-40B49C43F069}"/>
    <cellStyle name="Calc - Green 3" xfId="2976" xr:uid="{DF239EB5-8A66-4B0B-AC74-C9D93A4CAB92}"/>
    <cellStyle name="Calc - Grey" xfId="2977" xr:uid="{8432C352-83D7-4F41-9E5A-E22BD1302968}"/>
    <cellStyle name="Calc - Grey 2" xfId="2978" xr:uid="{C247B7CD-AEED-4A88-B706-8F249BB5FD2D}"/>
    <cellStyle name="Calc - Grey 3" xfId="2979" xr:uid="{2D4674D2-CB0D-4706-82F2-46DAED1928B5}"/>
    <cellStyle name="Calc - Index" xfId="2980" xr:uid="{77F7F6B7-1A1D-4EF8-9F52-03B67E5ED335}"/>
    <cellStyle name="Calc - White" xfId="2981" xr:uid="{050F6DF1-656E-4192-A0E3-5D3E3EB52E65}"/>
    <cellStyle name="Calc - White 2" xfId="2982" xr:uid="{56638696-0DA9-4BAD-A917-717A3D781A6C}"/>
    <cellStyle name="Calc - White 3" xfId="2983" xr:uid="{E29959F4-EAAE-4B0D-80AF-F8E309BD0D11}"/>
    <cellStyle name="Calc - yellow" xfId="2984" xr:uid="{A3AA0937-4B79-4528-9B30-97209F1BD4D1}"/>
    <cellStyle name="Calc - yellow 2" xfId="2985" xr:uid="{10F841E8-28A1-4133-9DFF-98BABB62EC9C}"/>
    <cellStyle name="Calc - yellow 3" xfId="2986" xr:uid="{4915205E-E9BF-4363-B0D8-7816A393935D}"/>
    <cellStyle name="Calc 10" xfId="2987" xr:uid="{9E2DE9FA-6FA4-4C75-95C8-CC4EAEB36342}"/>
    <cellStyle name="Calc 11" xfId="2988" xr:uid="{28891276-C6F7-46D5-878D-BA3E861C147F}"/>
    <cellStyle name="Calc 12" xfId="2989" xr:uid="{CC5B5F92-5818-49AE-9E59-06E4A7960849}"/>
    <cellStyle name="Calc 13" xfId="2990" xr:uid="{C169153B-5899-4FA0-B560-AD8AC0D5EE8F}"/>
    <cellStyle name="Calc 14" xfId="2991" xr:uid="{CAB4C436-A948-4E4D-B9DD-41910EC2A41C}"/>
    <cellStyle name="Calc 15" xfId="2992" xr:uid="{E8ABFFBA-6319-4A56-8CE3-C8560FB7D80D}"/>
    <cellStyle name="Calc 16" xfId="2993" xr:uid="{57040A55-459F-4045-89E0-6FE1AD5497DC}"/>
    <cellStyle name="Calc 17" xfId="2994" xr:uid="{1702442F-A296-460B-9135-F844E87E03F1}"/>
    <cellStyle name="Calc 18" xfId="2995" xr:uid="{8E5B1010-C12C-40BE-8013-B1FA78DB2DE9}"/>
    <cellStyle name="Calc 19" xfId="14727" xr:uid="{3E2519C1-E6F5-4636-8671-4506AC8929D8}"/>
    <cellStyle name="Calc 2" xfId="2996" xr:uid="{FE062C45-7FDA-4832-953D-DA20285CFA70}"/>
    <cellStyle name="Calc 3" xfId="2997" xr:uid="{1FFCF54B-0A9B-4C4C-BF0C-17D849961195}"/>
    <cellStyle name="Calc 4" xfId="2998" xr:uid="{1FBC2CFF-F06F-41CE-B122-9A03BEA88730}"/>
    <cellStyle name="Calc 5" xfId="2999" xr:uid="{7A824F17-CFAA-431B-9043-C6C2D086D30A}"/>
    <cellStyle name="Calc 6" xfId="3000" xr:uid="{46FA3E72-2C08-43EA-A6FB-05D92BBD5397}"/>
    <cellStyle name="Calc 7" xfId="3001" xr:uid="{69F76FC2-1902-442C-9953-FF85491732BB}"/>
    <cellStyle name="Calc 8" xfId="3002" xr:uid="{EA7F4383-A726-41E2-BA40-B4942FFCA388}"/>
    <cellStyle name="Calc 9" xfId="3003" xr:uid="{EB40D08D-AE36-4A83-8624-0A03ED16CA61}"/>
    <cellStyle name="Calc_BizMo" xfId="3004" xr:uid="{A9E01A2F-0A0D-436B-A030-D93D325BFC31}"/>
    <cellStyle name="Calcolo 10" xfId="3005" xr:uid="{2B0AA48E-3170-4DA5-BB63-8A460880D61A}"/>
    <cellStyle name="Calcolo 10 2" xfId="3006" xr:uid="{2E4886FB-F473-4B82-89D5-F39060E01570}"/>
    <cellStyle name="Calcolo 10 2 2" xfId="3007" xr:uid="{17FA8E99-EF3C-4EED-A321-222E411056BE}"/>
    <cellStyle name="Calcolo 10 2 2 2" xfId="16355" xr:uid="{8C1E53BB-EFFA-4518-B785-A61BEF658178}"/>
    <cellStyle name="Calcolo 10 2 3" xfId="3008" xr:uid="{E09592BC-2989-440C-8875-E4C010C67CDF}"/>
    <cellStyle name="Calcolo 10 2 3 2" xfId="16356" xr:uid="{C44DDD06-73B8-4052-86D3-EF92A2ADEDA4}"/>
    <cellStyle name="Calcolo 10 2 4" xfId="3009" xr:uid="{8F288E9B-5F21-45CB-963A-0DDA326A1117}"/>
    <cellStyle name="Calcolo 10 2 4 2" xfId="16357" xr:uid="{F564B2BB-363A-4227-94A4-A6F020677B74}"/>
    <cellStyle name="Calcolo 10 2 5" xfId="3010" xr:uid="{EEB81D06-1C1A-4F3C-8E3C-1FCFA2E54EDF}"/>
    <cellStyle name="Calcolo 10 2 5 2" xfId="16358" xr:uid="{A28E73B4-386E-45AF-B661-452758FFD2A6}"/>
    <cellStyle name="Calcolo 10 2 6" xfId="16354" xr:uid="{1F0A0D24-6435-4210-A877-6BB241485747}"/>
    <cellStyle name="Calcolo 10 3" xfId="3011" xr:uid="{5564EBD8-AD1D-4BFA-9B9C-5C4A7527DC50}"/>
    <cellStyle name="Calcolo 10 3 2" xfId="16359" xr:uid="{5641D8E8-FCFC-4961-B306-843F40FFB24C}"/>
    <cellStyle name="Calcolo 10 4" xfId="3012" xr:uid="{C08A8B99-2BD1-4397-B472-39CE94482B5C}"/>
    <cellStyle name="Calcolo 10 4 2" xfId="16360" xr:uid="{43755EA2-FEDE-4F1A-8DFB-F06FB10B078D}"/>
    <cellStyle name="Calcolo 10 5" xfId="3013" xr:uid="{18FF199D-C4EA-467A-BB14-D81D24975BED}"/>
    <cellStyle name="Calcolo 10 5 2" xfId="16361" xr:uid="{D3171FA3-72F1-41EF-B080-5C98791C8180}"/>
    <cellStyle name="Calcolo 10 6" xfId="3014" xr:uid="{3F912995-3966-41CB-96B3-F4CEDAEC3164}"/>
    <cellStyle name="Calcolo 10 6 2" xfId="16362" xr:uid="{C0C53E19-A432-4128-915B-72A7C157DF93}"/>
    <cellStyle name="Calcolo 10 7" xfId="16353" xr:uid="{2178A902-2D4F-4B80-B071-28825722EDEE}"/>
    <cellStyle name="Calcolo 11" xfId="3015" xr:uid="{13D74DD2-6C26-4590-9EB1-C9B6CF0CF600}"/>
    <cellStyle name="Calcolo 11 2" xfId="3016" xr:uid="{3D7DF982-A147-481D-87E3-0B9E1FD42E43}"/>
    <cellStyle name="Calcolo 11 2 2" xfId="3017" xr:uid="{3136A59A-86E6-4C63-9637-2ABBB0489BF1}"/>
    <cellStyle name="Calcolo 11 2 2 2" xfId="16365" xr:uid="{BE9736F6-A4B2-44B0-A2CA-A694ED0B1989}"/>
    <cellStyle name="Calcolo 11 2 3" xfId="3018" xr:uid="{0B2E35F9-450A-49B8-B98D-3FB104D4072A}"/>
    <cellStyle name="Calcolo 11 2 3 2" xfId="16366" xr:uid="{948122A8-E3A8-48FF-8946-C5C85991852F}"/>
    <cellStyle name="Calcolo 11 2 4" xfId="3019" xr:uid="{A81FEFAA-D838-4E65-97D6-3FDF03DC6598}"/>
    <cellStyle name="Calcolo 11 2 4 2" xfId="16367" xr:uid="{0B5CEAA0-9E0D-4B68-9CCC-35880A8984C1}"/>
    <cellStyle name="Calcolo 11 2 5" xfId="3020" xr:uid="{EB3F202C-F232-4C2C-AAA2-4EDAB8C4664D}"/>
    <cellStyle name="Calcolo 11 2 5 2" xfId="16368" xr:uid="{6C4BE9BA-4CB4-4941-89AE-E8A196CA0B9E}"/>
    <cellStyle name="Calcolo 11 2 6" xfId="16364" xr:uid="{6E95F470-BF3F-4114-98A5-7D0A0F1FB10A}"/>
    <cellStyle name="Calcolo 11 3" xfId="3021" xr:uid="{41FBDA3D-09EB-4ED7-9AD6-0F22E88CFD7F}"/>
    <cellStyle name="Calcolo 11 3 2" xfId="16369" xr:uid="{9581E6D2-6D26-4542-BCF7-23C8EF7CB028}"/>
    <cellStyle name="Calcolo 11 4" xfId="3022" xr:uid="{C5DAACBC-72E9-4859-9C22-CD6538324B11}"/>
    <cellStyle name="Calcolo 11 4 2" xfId="16370" xr:uid="{9FCEE486-38EC-4D9F-88ED-B865060D80A3}"/>
    <cellStyle name="Calcolo 11 5" xfId="3023" xr:uid="{382FDC92-4B3B-4759-B8A1-8D21E5DB7079}"/>
    <cellStyle name="Calcolo 11 5 2" xfId="16371" xr:uid="{53417EC9-54A7-4BBC-B6A2-53BA6EED183F}"/>
    <cellStyle name="Calcolo 11 6" xfId="3024" xr:uid="{556A352B-843E-4E70-85ED-B900C79BBE2A}"/>
    <cellStyle name="Calcolo 11 6 2" xfId="16372" xr:uid="{D9B19EDD-9C58-4929-B35E-532E1FC926C5}"/>
    <cellStyle name="Calcolo 11 7" xfId="16363" xr:uid="{5846386E-7A1E-4CB5-A177-D345014F0464}"/>
    <cellStyle name="Calcolo 12" xfId="3025" xr:uid="{F0869C17-17A3-4C9E-823C-FBCD5C0E205E}"/>
    <cellStyle name="Calcolo 12 2" xfId="3026" xr:uid="{0C7B2286-0EE9-4143-985C-567F9967DACE}"/>
    <cellStyle name="Calcolo 12 2 2" xfId="3027" xr:uid="{339F2082-2C5A-43DF-A0EC-748F2102E4CC}"/>
    <cellStyle name="Calcolo 12 2 2 2" xfId="16375" xr:uid="{112ADA19-BCAF-46CC-92D7-7E991AC03676}"/>
    <cellStyle name="Calcolo 12 2 3" xfId="3028" xr:uid="{15C809FA-8928-4A68-869A-92C56EC3799A}"/>
    <cellStyle name="Calcolo 12 2 3 2" xfId="16376" xr:uid="{188F627E-E75E-4F49-B34C-CBC88E52A157}"/>
    <cellStyle name="Calcolo 12 2 4" xfId="3029" xr:uid="{E95EC8FA-9F41-44C0-8009-59879D490A98}"/>
    <cellStyle name="Calcolo 12 2 4 2" xfId="16377" xr:uid="{82D78156-5E2D-4924-9CA8-E3269A8D3464}"/>
    <cellStyle name="Calcolo 12 2 5" xfId="3030" xr:uid="{52E56CC8-4DAF-4C8F-918D-8009F0E2412F}"/>
    <cellStyle name="Calcolo 12 2 5 2" xfId="16378" xr:uid="{95D86A58-31F8-4F94-83DC-A9A1DBFD7F5E}"/>
    <cellStyle name="Calcolo 12 2 6" xfId="16374" xr:uid="{7B3C7F3A-B907-42E1-BA8B-0DF793D2C2BD}"/>
    <cellStyle name="Calcolo 12 3" xfId="3031" xr:uid="{81803B0A-18D2-47C2-8294-19ADDF90C0AE}"/>
    <cellStyle name="Calcolo 12 3 2" xfId="16379" xr:uid="{D045D2DD-FCF0-4FC2-9699-BCECB152F3FE}"/>
    <cellStyle name="Calcolo 12 4" xfId="3032" xr:uid="{76C6B982-D14D-41E7-B1E6-29F3AAA23920}"/>
    <cellStyle name="Calcolo 12 4 2" xfId="16380" xr:uid="{56516CD9-E7E7-4081-8A73-BFCE24E1DCF6}"/>
    <cellStyle name="Calcolo 12 5" xfId="3033" xr:uid="{A0173581-6827-4539-9235-C523627E9982}"/>
    <cellStyle name="Calcolo 12 5 2" xfId="16381" xr:uid="{CC07B772-8C62-49C8-92D8-D17BAEBDDDF0}"/>
    <cellStyle name="Calcolo 12 6" xfId="3034" xr:uid="{AC7004A5-00BA-4544-BE72-79AF8E6189BB}"/>
    <cellStyle name="Calcolo 12 6 2" xfId="16382" xr:uid="{1F32CD04-6173-4792-BD7C-538BDA7FBB4B}"/>
    <cellStyle name="Calcolo 12 7" xfId="16373" xr:uid="{E4BC9433-5503-4BC9-80B0-613CE36664B1}"/>
    <cellStyle name="Calcolo 13" xfId="3035" xr:uid="{91D31368-5CE8-41F7-9234-BF751399F1F7}"/>
    <cellStyle name="Calcolo 13 2" xfId="3036" xr:uid="{2AA5DD3E-0058-4366-BF2C-BF37CEAE12A7}"/>
    <cellStyle name="Calcolo 13 2 2" xfId="3037" xr:uid="{4D6CD956-6560-48D9-92E6-1FF79A4B786A}"/>
    <cellStyle name="Calcolo 13 2 2 2" xfId="16385" xr:uid="{2763D13D-BA48-4CD7-B6F3-FC353C5A72E8}"/>
    <cellStyle name="Calcolo 13 2 3" xfId="3038" xr:uid="{3F6FF537-6F6B-4ED1-ADC7-E856ADB53FF5}"/>
    <cellStyle name="Calcolo 13 2 3 2" xfId="16386" xr:uid="{FEFDAD29-78CE-4CCE-A2F0-03AFD7DFAB2A}"/>
    <cellStyle name="Calcolo 13 2 4" xfId="3039" xr:uid="{7D8E24F1-00F9-41EF-84CF-352BC2121465}"/>
    <cellStyle name="Calcolo 13 2 4 2" xfId="16387" xr:uid="{9BDC1C7A-DC11-4FF2-9272-193A796B22AB}"/>
    <cellStyle name="Calcolo 13 2 5" xfId="3040" xr:uid="{7EBBD7C6-455A-45BB-B4BB-F8EE28745E6D}"/>
    <cellStyle name="Calcolo 13 2 5 2" xfId="16388" xr:uid="{54EE161E-B897-4986-B875-22AEFA830A3C}"/>
    <cellStyle name="Calcolo 13 2 6" xfId="16384" xr:uid="{E8E7FD8C-79E8-46C9-9B9C-662B42CB0FDE}"/>
    <cellStyle name="Calcolo 13 3" xfId="3041" xr:uid="{A1D65814-6C0B-41E9-9F8A-1A1129C176FD}"/>
    <cellStyle name="Calcolo 13 3 2" xfId="16389" xr:uid="{F2B6C1E5-E5DA-4EA0-87BA-EEFC14E1E257}"/>
    <cellStyle name="Calcolo 13 4" xfId="3042" xr:uid="{98DB17F6-533C-423E-A2BF-D14D8A8207DD}"/>
    <cellStyle name="Calcolo 13 4 2" xfId="16390" xr:uid="{02713DD5-1A22-4CD0-A968-1A1486AB2C3F}"/>
    <cellStyle name="Calcolo 13 5" xfId="3043" xr:uid="{DAE5C9CA-E3EB-4DD1-9392-7DA7ABC99EEA}"/>
    <cellStyle name="Calcolo 13 5 2" xfId="16391" xr:uid="{FEAC80CA-D52D-417E-8070-C346BAF36077}"/>
    <cellStyle name="Calcolo 13 6" xfId="3044" xr:uid="{355CD48C-4253-4784-9F30-2253C4259CAB}"/>
    <cellStyle name="Calcolo 13 6 2" xfId="16392" xr:uid="{ABE96D8F-5538-4137-BCC4-8A16D703F39C}"/>
    <cellStyle name="Calcolo 13 7" xfId="16383" xr:uid="{F4E7F62C-612F-46E9-AB77-E4A8CF899E39}"/>
    <cellStyle name="Calcolo 14" xfId="3045" xr:uid="{FC63E189-6E30-49FA-8D22-BF8A331CE1A8}"/>
    <cellStyle name="Calcolo 14 2" xfId="3046" xr:uid="{27C597BA-7DF0-4609-90F1-494B975EBCC2}"/>
    <cellStyle name="Calcolo 14 2 2" xfId="3047" xr:uid="{9D334A0C-0E18-45F5-AE6F-7EABDAAC9B14}"/>
    <cellStyle name="Calcolo 14 2 2 2" xfId="16395" xr:uid="{F68067A6-B895-4D1C-B43D-3A9227A6480E}"/>
    <cellStyle name="Calcolo 14 2 3" xfId="3048" xr:uid="{FB7148B5-C289-4E35-A239-8D6308644784}"/>
    <cellStyle name="Calcolo 14 2 3 2" xfId="16396" xr:uid="{BBC48804-29F6-4536-A435-056C04B58734}"/>
    <cellStyle name="Calcolo 14 2 4" xfId="3049" xr:uid="{5D57C499-4770-4836-A635-0D991629F1B3}"/>
    <cellStyle name="Calcolo 14 2 4 2" xfId="16397" xr:uid="{9977892F-9294-47B0-8F59-833A7808697D}"/>
    <cellStyle name="Calcolo 14 2 5" xfId="3050" xr:uid="{37DCA802-3124-4A0F-97A9-26537207FA18}"/>
    <cellStyle name="Calcolo 14 2 5 2" xfId="16398" xr:uid="{3CBEFDF0-09D5-4D17-B16F-E33D0B5E3D83}"/>
    <cellStyle name="Calcolo 14 2 6" xfId="16394" xr:uid="{E0EB789A-C96F-4018-8957-F93245E6FB34}"/>
    <cellStyle name="Calcolo 14 3" xfId="3051" xr:uid="{BC87C520-3735-4DC7-BBC1-C9DDD39C3B09}"/>
    <cellStyle name="Calcolo 14 3 2" xfId="16399" xr:uid="{880C2150-5A8B-4C81-80C7-1F7C32E51CE8}"/>
    <cellStyle name="Calcolo 14 4" xfId="3052" xr:uid="{559B829B-1BB0-49A6-9347-E7492846EE05}"/>
    <cellStyle name="Calcolo 14 4 2" xfId="16400" xr:uid="{E1E14CC7-B6FE-40DA-B911-6165C305E673}"/>
    <cellStyle name="Calcolo 14 5" xfId="3053" xr:uid="{378301FB-37AF-48C2-897B-D85081D3E25A}"/>
    <cellStyle name="Calcolo 14 5 2" xfId="16401" xr:uid="{2EAF9857-6FBC-453C-8693-01C66C67A0BA}"/>
    <cellStyle name="Calcolo 14 6" xfId="3054" xr:uid="{1ADA59B8-D459-4DA8-A8AE-E1939DDC1885}"/>
    <cellStyle name="Calcolo 14 6 2" xfId="16402" xr:uid="{0DC314EB-5339-4B27-9707-0873F98B5D78}"/>
    <cellStyle name="Calcolo 14 7" xfId="16393" xr:uid="{BDA0F3C3-3DF8-4A16-AC5A-143B7334A66A}"/>
    <cellStyle name="Calcolo 15" xfId="3055" xr:uid="{CF0A9E2A-C013-46C0-BF99-5AD2CE8726BE}"/>
    <cellStyle name="Calcolo 15 2" xfId="3056" xr:uid="{19D25A8C-D8D6-4DCB-8B90-27AEA1AFE646}"/>
    <cellStyle name="Calcolo 15 2 2" xfId="3057" xr:uid="{0BD6DFA9-79E9-4ECF-98C1-B4DC43593A8A}"/>
    <cellStyle name="Calcolo 15 2 2 2" xfId="16405" xr:uid="{CE32CE2A-63CA-4EE4-B13F-73BEB30BEED0}"/>
    <cellStyle name="Calcolo 15 2 3" xfId="3058" xr:uid="{13D64346-5087-4504-8E7B-34C8A1133745}"/>
    <cellStyle name="Calcolo 15 2 3 2" xfId="16406" xr:uid="{96824709-B167-4DBC-8777-8C462CDE522B}"/>
    <cellStyle name="Calcolo 15 2 4" xfId="3059" xr:uid="{CCB1E94F-33FE-4601-9B15-2DBD93BB10B7}"/>
    <cellStyle name="Calcolo 15 2 4 2" xfId="16407" xr:uid="{8598BB60-61C9-4A3E-8B87-828A7272A244}"/>
    <cellStyle name="Calcolo 15 2 5" xfId="3060" xr:uid="{8EDE5E22-CBAD-4D06-AE0E-F5F71ABB1CD4}"/>
    <cellStyle name="Calcolo 15 2 5 2" xfId="16408" xr:uid="{2FEE4222-D4C0-428C-9FFD-9F0D94559B71}"/>
    <cellStyle name="Calcolo 15 2 6" xfId="16404" xr:uid="{42D97525-14B0-4BDE-84B0-39C24E86E3A8}"/>
    <cellStyle name="Calcolo 15 3" xfId="3061" xr:uid="{2A9F3AA8-41BA-4D58-AE6E-DEC79511E146}"/>
    <cellStyle name="Calcolo 15 3 2" xfId="16409" xr:uid="{B1AA24EA-684C-458B-8601-9E8753390DDE}"/>
    <cellStyle name="Calcolo 15 4" xfId="3062" xr:uid="{FC066FA9-95FD-437A-B8AF-618F12AA99C7}"/>
    <cellStyle name="Calcolo 15 4 2" xfId="16410" xr:uid="{DC53FFD5-67EE-4012-A077-CC0FEACE2706}"/>
    <cellStyle name="Calcolo 15 5" xfId="3063" xr:uid="{D8AF7EFB-589A-4AE5-8D41-AB7450C11AEC}"/>
    <cellStyle name="Calcolo 15 5 2" xfId="16411" xr:uid="{FF5B980F-555E-4C76-A8E0-469862984809}"/>
    <cellStyle name="Calcolo 15 6" xfId="3064" xr:uid="{FD3FB7F3-764E-4874-A8DF-73936A5F61CD}"/>
    <cellStyle name="Calcolo 15 6 2" xfId="16412" xr:uid="{A44D9DBE-2417-49C0-8C6A-D81956035848}"/>
    <cellStyle name="Calcolo 15 7" xfId="16403" xr:uid="{B0C0AB30-B563-44A7-BE15-DDAD33A852F1}"/>
    <cellStyle name="Calcolo 16" xfId="3065" xr:uid="{ACAF026C-9A74-419B-94EA-C29B2ADBB75A}"/>
    <cellStyle name="Calcolo 16 2" xfId="3066" xr:uid="{4338B03B-9C90-420C-AA97-B06BD69CBAB9}"/>
    <cellStyle name="Calcolo 16 2 2" xfId="3067" xr:uid="{9939F86E-A5D0-4EFA-8F8F-64FFB28EA5A8}"/>
    <cellStyle name="Calcolo 16 2 2 2" xfId="16415" xr:uid="{DF31C61B-02B2-4281-948C-FBCCF5407BA6}"/>
    <cellStyle name="Calcolo 16 2 3" xfId="3068" xr:uid="{E94629AD-9A88-48A9-A5D1-83FD436B2F67}"/>
    <cellStyle name="Calcolo 16 2 3 2" xfId="16416" xr:uid="{16D01612-897F-40FE-9B86-3EAA0C8E7042}"/>
    <cellStyle name="Calcolo 16 2 4" xfId="3069" xr:uid="{0E5417D4-3035-4CCF-81A8-E1D347D410B8}"/>
    <cellStyle name="Calcolo 16 2 4 2" xfId="16417" xr:uid="{CF407D43-3637-40D7-95E8-B4083F89D12C}"/>
    <cellStyle name="Calcolo 16 2 5" xfId="3070" xr:uid="{EB4D23C3-A9B3-4578-9983-7D0302E92B00}"/>
    <cellStyle name="Calcolo 16 2 5 2" xfId="16418" xr:uid="{40864509-A4AC-494C-9E0B-66F38FBC9D4C}"/>
    <cellStyle name="Calcolo 16 2 6" xfId="16414" xr:uid="{27E39A7D-9104-446D-A635-358B1D763B2C}"/>
    <cellStyle name="Calcolo 16 3" xfId="3071" xr:uid="{29E48ADD-9059-4BFF-97CF-E0338AC0F5A4}"/>
    <cellStyle name="Calcolo 16 3 2" xfId="16419" xr:uid="{6B1BCF88-B178-4762-B023-3D98E3DDAB14}"/>
    <cellStyle name="Calcolo 16 4" xfId="3072" xr:uid="{1B629678-E468-4145-A53D-4882AF19BC0C}"/>
    <cellStyle name="Calcolo 16 4 2" xfId="16420" xr:uid="{98FB0EEA-9FE5-4EF4-9FDD-6AF3880777B7}"/>
    <cellStyle name="Calcolo 16 5" xfId="3073" xr:uid="{559E7224-7EAC-4700-8F9F-E190C4DC8642}"/>
    <cellStyle name="Calcolo 16 5 2" xfId="16421" xr:uid="{DD269206-E6AD-42BE-854C-49F9B27485A7}"/>
    <cellStyle name="Calcolo 16 6" xfId="3074" xr:uid="{FBAC5A1E-8427-45C5-B595-894BF0C25D4B}"/>
    <cellStyle name="Calcolo 16 6 2" xfId="16422" xr:uid="{51528D67-1730-4450-9FE5-DE262E767833}"/>
    <cellStyle name="Calcolo 16 7" xfId="16413" xr:uid="{C4977222-3D65-4806-941C-B49ED3DEDC20}"/>
    <cellStyle name="Calcolo 17" xfId="3075" xr:uid="{9D551603-8DE7-4237-BBEE-0FD19B39412E}"/>
    <cellStyle name="Calcolo 17 2" xfId="3076" xr:uid="{7B5D611E-5355-4CCA-8CC7-C630CEE3E799}"/>
    <cellStyle name="Calcolo 17 2 2" xfId="16424" xr:uid="{5CE5A994-E8BF-47FE-AE5B-C49EDB9ADF57}"/>
    <cellStyle name="Calcolo 17 3" xfId="3077" xr:uid="{30BF5BDA-9DD9-40D4-8DBC-0D784BA06A96}"/>
    <cellStyle name="Calcolo 17 3 2" xfId="16425" xr:uid="{2802A1F5-860A-482B-A962-C4987764C35E}"/>
    <cellStyle name="Calcolo 17 4" xfId="3078" xr:uid="{9859AB88-A8E9-46B4-8E56-6D4DC2F3A0E3}"/>
    <cellStyle name="Calcolo 17 4 2" xfId="16426" xr:uid="{DF6E1F58-430C-41DA-8FE5-B950995766CD}"/>
    <cellStyle name="Calcolo 17 5" xfId="3079" xr:uid="{C071154D-EC5F-404F-A951-1A18C983AD3D}"/>
    <cellStyle name="Calcolo 17 5 2" xfId="16427" xr:uid="{5A52F4FF-4F63-4006-910C-ABDF37089B71}"/>
    <cellStyle name="Calcolo 17 6" xfId="16423" xr:uid="{3E7AA416-82D7-4D1A-AA99-215E1E23123F}"/>
    <cellStyle name="Calcolo 18" xfId="3080" xr:uid="{E3B16A95-3BEA-4E8D-A020-31DEFB56305D}"/>
    <cellStyle name="Calcolo 18 2" xfId="3081" xr:uid="{CEF813A1-13C5-4AB5-B6C6-D0AE4ED8F16D}"/>
    <cellStyle name="Calcolo 18 2 2" xfId="16429" xr:uid="{C36BF28F-CD0C-408B-84F2-FE84A64BD0FA}"/>
    <cellStyle name="Calcolo 18 3" xfId="3082" xr:uid="{D75CBEEA-43D3-4550-9819-DFAE70D82630}"/>
    <cellStyle name="Calcolo 18 3 2" xfId="16430" xr:uid="{2876BAA9-507D-414C-BA75-2ADC8D8085F1}"/>
    <cellStyle name="Calcolo 18 4" xfId="3083" xr:uid="{B940F406-A6AE-4F79-A9FC-4AF09DD30CC6}"/>
    <cellStyle name="Calcolo 18 4 2" xfId="16431" xr:uid="{6F1C09A9-1A81-49DD-8CB7-503D0F11D269}"/>
    <cellStyle name="Calcolo 18 5" xfId="3084" xr:uid="{6C7E0605-A983-4D26-8C11-EED90D45EB7C}"/>
    <cellStyle name="Calcolo 18 5 2" xfId="16432" xr:uid="{CA077ECE-446E-412C-A310-181720AD61E5}"/>
    <cellStyle name="Calcolo 18 6" xfId="16428" xr:uid="{76929423-8FE5-4190-A15C-82F02ABA4792}"/>
    <cellStyle name="Calcolo 2" xfId="3085" xr:uid="{46E860BD-5CF1-4801-BE5E-EB5A46AB9904}"/>
    <cellStyle name="Calcolo 2 2" xfId="3086" xr:uid="{C3C87C88-9DCD-46C6-B5D3-614D8B8842D5}"/>
    <cellStyle name="Calcolo 2 2 2" xfId="3087" xr:uid="{F5217EF7-9518-4214-BF20-A98D6BC6095B}"/>
    <cellStyle name="Calcolo 2 2 2 2" xfId="16435" xr:uid="{638F280A-06AC-43B0-8124-59E6538813F5}"/>
    <cellStyle name="Calcolo 2 2 3" xfId="3088" xr:uid="{4EB6609F-143C-4621-80D3-5C7A8359919E}"/>
    <cellStyle name="Calcolo 2 2 3 2" xfId="16436" xr:uid="{87E4BBE3-7DC2-4284-BD67-169F14E0D6F0}"/>
    <cellStyle name="Calcolo 2 2 4" xfId="3089" xr:uid="{B8A1C853-A3A0-4CC2-8F10-E92C1BA66498}"/>
    <cellStyle name="Calcolo 2 2 4 2" xfId="16437" xr:uid="{D085F174-59AA-407C-844C-D0B6D9B9E877}"/>
    <cellStyle name="Calcolo 2 2 5" xfId="3090" xr:uid="{7B1F0AC7-A9B8-4C63-A17A-5B71F3CDA15D}"/>
    <cellStyle name="Calcolo 2 2 5 2" xfId="16438" xr:uid="{314B6B65-E540-4B4E-BC7A-A490C286B5C8}"/>
    <cellStyle name="Calcolo 2 2 6" xfId="16434" xr:uid="{2402C6D9-8CEE-423D-8152-6B7C3FA7A892}"/>
    <cellStyle name="Calcolo 2 3" xfId="3091" xr:uid="{DD721C68-5BC0-46E8-A17B-4E9A4DA365FA}"/>
    <cellStyle name="Calcolo 2 3 2" xfId="16439" xr:uid="{21FB30BA-DAAF-4C99-A34A-BC3F963C275F}"/>
    <cellStyle name="Calcolo 2 4" xfId="3092" xr:uid="{BB2E5709-3226-4546-9791-CC5C0C70E1BE}"/>
    <cellStyle name="Calcolo 2 4 2" xfId="16440" xr:uid="{4B740D84-0F19-45E1-97BE-478B39BC579A}"/>
    <cellStyle name="Calcolo 2 5" xfId="3093" xr:uid="{6FC2EEAE-FE5F-4ABA-BB81-960DD16BD1B5}"/>
    <cellStyle name="Calcolo 2 5 2" xfId="16441" xr:uid="{B88AA551-ECAF-442B-A0D8-BEC9FE295881}"/>
    <cellStyle name="Calcolo 2 6" xfId="3094" xr:uid="{B7C6BC1B-B44A-4C31-8295-174F4A6300B0}"/>
    <cellStyle name="Calcolo 2 6 2" xfId="16442" xr:uid="{52C0EC89-41A2-4108-8FE0-033CA7A5E28A}"/>
    <cellStyle name="Calcolo 2 7" xfId="16433" xr:uid="{189A7695-30F7-4101-A9F6-1C251392DD69}"/>
    <cellStyle name="Calcolo 3" xfId="3095" xr:uid="{426147D0-C59F-4679-8123-79C7ABFBC17E}"/>
    <cellStyle name="Calcolo 3 2" xfId="3096" xr:uid="{E05E9D81-E20F-4743-8648-8D40E1064701}"/>
    <cellStyle name="Calcolo 3 2 2" xfId="3097" xr:uid="{254CD1CB-B030-4AC9-BF25-173B80E5E238}"/>
    <cellStyle name="Calcolo 3 2 2 2" xfId="16445" xr:uid="{BF79B66B-59C4-4EE1-A587-C892B590634D}"/>
    <cellStyle name="Calcolo 3 2 3" xfId="3098" xr:uid="{B0411A84-7F73-4785-99A6-4832B8F910A3}"/>
    <cellStyle name="Calcolo 3 2 3 2" xfId="16446" xr:uid="{4DCED80C-5F28-4361-BF54-3381926070ED}"/>
    <cellStyle name="Calcolo 3 2 4" xfId="3099" xr:uid="{BD5C176F-B9D4-4F2A-8DF7-075A24D73F40}"/>
    <cellStyle name="Calcolo 3 2 4 2" xfId="16447" xr:uid="{45FD94DE-9D14-4301-87E2-EED0F80F7135}"/>
    <cellStyle name="Calcolo 3 2 5" xfId="3100" xr:uid="{647F704A-EC77-4CAD-B448-91640F34543A}"/>
    <cellStyle name="Calcolo 3 2 5 2" xfId="16448" xr:uid="{8CB2F94D-DDB2-4C9A-B93C-56B0075FFE72}"/>
    <cellStyle name="Calcolo 3 2 6" xfId="16444" xr:uid="{E59CC838-86D7-4E20-8D2B-E54E1DEF54F2}"/>
    <cellStyle name="Calcolo 3 3" xfId="3101" xr:uid="{DED0F219-D3EF-46C2-BA7F-3144485A4F0A}"/>
    <cellStyle name="Calcolo 3 3 2" xfId="16449" xr:uid="{5C0183E0-19ED-4D53-8B17-C576233B45E5}"/>
    <cellStyle name="Calcolo 3 4" xfId="3102" xr:uid="{256A4A45-B9CC-49BB-9BD8-4BE36F433881}"/>
    <cellStyle name="Calcolo 3 4 2" xfId="16450" xr:uid="{F66DD8FE-019E-4ED9-9D01-A1B7941C86A3}"/>
    <cellStyle name="Calcolo 3 5" xfId="3103" xr:uid="{7E36F63C-50B2-4E41-866B-FAAC4146D2A7}"/>
    <cellStyle name="Calcolo 3 5 2" xfId="16451" xr:uid="{3D2645A3-A545-4EBD-8EE8-1771885DBA8A}"/>
    <cellStyle name="Calcolo 3 6" xfId="3104" xr:uid="{52273F78-2394-4868-A5C1-D8D8FA5354ED}"/>
    <cellStyle name="Calcolo 3 6 2" xfId="16452" xr:uid="{432C593A-0AEB-43EC-8F26-5423B1167BF0}"/>
    <cellStyle name="Calcolo 3 7" xfId="16443" xr:uid="{A99575F9-5E92-4BEE-8E7B-96CD99035D12}"/>
    <cellStyle name="Calcolo 4" xfId="3105" xr:uid="{EC1AFDF7-98C1-428B-8872-4F8E82AC8046}"/>
    <cellStyle name="Calcolo 4 2" xfId="3106" xr:uid="{66B107C0-8E86-4674-B055-EBEA1742652F}"/>
    <cellStyle name="Calcolo 4 2 2" xfId="3107" xr:uid="{BAEA9E41-F937-4AE1-AC99-C19E8C6D2DA1}"/>
    <cellStyle name="Calcolo 4 2 2 2" xfId="16455" xr:uid="{FD79ED49-0BAD-4B71-98F5-24B7B0385AB7}"/>
    <cellStyle name="Calcolo 4 2 3" xfId="3108" xr:uid="{93CEF4A3-E357-4C2B-8601-C1BAEA25FA85}"/>
    <cellStyle name="Calcolo 4 2 3 2" xfId="16456" xr:uid="{BAF7BD9C-F4F8-48B1-B262-7BC057119FE0}"/>
    <cellStyle name="Calcolo 4 2 4" xfId="3109" xr:uid="{C93FCAA3-A9A4-4AF6-B99A-F7AC3DAF8924}"/>
    <cellStyle name="Calcolo 4 2 4 2" xfId="16457" xr:uid="{52EC4BC2-5351-456B-B08C-A2EB91F55BFB}"/>
    <cellStyle name="Calcolo 4 2 5" xfId="3110" xr:uid="{0961B101-E673-4C4F-9E3C-BD1DF111EB6E}"/>
    <cellStyle name="Calcolo 4 2 5 2" xfId="16458" xr:uid="{79A50013-C0B8-4E48-95C6-7784C7C0FF40}"/>
    <cellStyle name="Calcolo 4 2 6" xfId="16454" xr:uid="{6BC4E787-B542-4A40-B111-038834BF9D9F}"/>
    <cellStyle name="Calcolo 4 3" xfId="3111" xr:uid="{A62FC80E-179E-44D2-A958-8FF43779C6DE}"/>
    <cellStyle name="Calcolo 4 3 2" xfId="16459" xr:uid="{66825483-D4F0-473D-95E1-A7B41CEFF927}"/>
    <cellStyle name="Calcolo 4 4" xfId="3112" xr:uid="{728B10C7-DF88-4F47-9EE2-B79DD5FAA3C3}"/>
    <cellStyle name="Calcolo 4 4 2" xfId="16460" xr:uid="{E3E1C463-1CF0-467F-859D-419489DE88F7}"/>
    <cellStyle name="Calcolo 4 5" xfId="3113" xr:uid="{D95CFD28-47C5-4B51-A635-8B051E6B2155}"/>
    <cellStyle name="Calcolo 4 5 2" xfId="16461" xr:uid="{50287895-76B2-46EE-A30A-C0B2F0BBB450}"/>
    <cellStyle name="Calcolo 4 6" xfId="3114" xr:uid="{73537569-27AE-4A54-8013-C37D7EC1642A}"/>
    <cellStyle name="Calcolo 4 6 2" xfId="16462" xr:uid="{5A89C033-B907-4839-A9A7-3F9BC108858E}"/>
    <cellStyle name="Calcolo 4 7" xfId="16453" xr:uid="{B9480AD0-818A-4241-B415-B93E529117F9}"/>
    <cellStyle name="Calcolo 5" xfId="3115" xr:uid="{D8E67BBF-C373-4BFE-A013-40A68133F466}"/>
    <cellStyle name="Calcolo 5 2" xfId="3116" xr:uid="{EBFB022E-F27F-42EC-B8D0-790056B32145}"/>
    <cellStyle name="Calcolo 5 2 2" xfId="3117" xr:uid="{5B370384-2EBE-4CF6-9FB8-ACFB1BBEE764}"/>
    <cellStyle name="Calcolo 5 2 2 2" xfId="16465" xr:uid="{537C02AC-3DEA-4378-BA8E-981F74192AC5}"/>
    <cellStyle name="Calcolo 5 2 3" xfId="3118" xr:uid="{4C77BD10-F7F2-4D3C-ADCA-0D80B5ABEFE5}"/>
    <cellStyle name="Calcolo 5 2 3 2" xfId="16466" xr:uid="{0E84894A-62F9-4BE7-8882-B27378222203}"/>
    <cellStyle name="Calcolo 5 2 4" xfId="3119" xr:uid="{A1030A19-785A-4506-B6B7-5BE58D7FEB99}"/>
    <cellStyle name="Calcolo 5 2 4 2" xfId="16467" xr:uid="{6D9BC184-EF41-422A-BCAD-6E1228613AED}"/>
    <cellStyle name="Calcolo 5 2 5" xfId="3120" xr:uid="{62E4FF49-DB23-4F75-AF3E-66A836977666}"/>
    <cellStyle name="Calcolo 5 2 5 2" xfId="16468" xr:uid="{D49E2616-F6A8-413B-BA5B-893E622A4EA5}"/>
    <cellStyle name="Calcolo 5 2 6" xfId="16464" xr:uid="{9E9F810C-A321-4056-BE07-ABE89FE74673}"/>
    <cellStyle name="Calcolo 5 3" xfId="3121" xr:uid="{BBF5E64F-9799-4426-8C6A-9CEB45C6CD46}"/>
    <cellStyle name="Calcolo 5 3 2" xfId="16469" xr:uid="{21E3DC0C-AF1D-4626-9F11-8563EF8B87AA}"/>
    <cellStyle name="Calcolo 5 4" xfId="3122" xr:uid="{5B2901CC-E77C-40C9-86DA-DE68067D3FF1}"/>
    <cellStyle name="Calcolo 5 4 2" xfId="16470" xr:uid="{0B2F3DE8-EDB0-4BF2-8DCB-149D81124592}"/>
    <cellStyle name="Calcolo 5 5" xfId="3123" xr:uid="{E8D0ADC7-F547-44CD-AFC7-A1FE6D626588}"/>
    <cellStyle name="Calcolo 5 5 2" xfId="16471" xr:uid="{A1AED9A7-CDBA-4F5B-B832-8B8149A6007B}"/>
    <cellStyle name="Calcolo 5 6" xfId="3124" xr:uid="{5DB4FD3F-DF96-466E-862D-E188A0CFE8F4}"/>
    <cellStyle name="Calcolo 5 6 2" xfId="16472" xr:uid="{60B381B4-0BAA-4225-ABD2-7B4D22209F85}"/>
    <cellStyle name="Calcolo 5 7" xfId="16463" xr:uid="{BA422914-E164-4A93-9FAA-15D940C1B5F9}"/>
    <cellStyle name="Calcolo 6" xfId="3125" xr:uid="{FDC02CBC-B0EC-4A6E-A398-E917DE164528}"/>
    <cellStyle name="Calcolo 6 2" xfId="3126" xr:uid="{700CCCC9-FB26-48C1-AB58-972CB1A3B107}"/>
    <cellStyle name="Calcolo 6 2 2" xfId="3127" xr:uid="{FD5453B3-B7E8-4770-8AF1-3D35D541C2B9}"/>
    <cellStyle name="Calcolo 6 2 2 2" xfId="16475" xr:uid="{79D7B88A-1605-463D-9247-5CD91F11E25D}"/>
    <cellStyle name="Calcolo 6 2 3" xfId="3128" xr:uid="{F311B939-E56F-456C-B0E8-6CE63B17A092}"/>
    <cellStyle name="Calcolo 6 2 3 2" xfId="16476" xr:uid="{70294E04-D16D-4042-83DA-F70F3FD8E891}"/>
    <cellStyle name="Calcolo 6 2 4" xfId="3129" xr:uid="{5BC50A56-DFFC-47BF-81C0-9F6E05E157B8}"/>
    <cellStyle name="Calcolo 6 2 4 2" xfId="16477" xr:uid="{7F4E5924-7FBB-4E93-BD5B-0A161197E0B6}"/>
    <cellStyle name="Calcolo 6 2 5" xfId="3130" xr:uid="{C60B733B-725D-4F1C-A046-CA9550A15D95}"/>
    <cellStyle name="Calcolo 6 2 5 2" xfId="16478" xr:uid="{E0941CA0-4D00-4FAC-BE57-FE6BBC02AD74}"/>
    <cellStyle name="Calcolo 6 2 6" xfId="16474" xr:uid="{B5F2B244-129C-4F71-B1BC-DFC30409C54D}"/>
    <cellStyle name="Calcolo 6 3" xfId="3131" xr:uid="{ADDCEA3F-4C9C-4F9F-929E-E167B4996154}"/>
    <cellStyle name="Calcolo 6 3 2" xfId="16479" xr:uid="{4961E58F-1A5B-471A-8C01-D040DBD0FC8B}"/>
    <cellStyle name="Calcolo 6 4" xfId="3132" xr:uid="{1D0EB135-43E2-448D-83F8-2F0DB177BB38}"/>
    <cellStyle name="Calcolo 6 4 2" xfId="16480" xr:uid="{E4EC49D6-78B3-48A0-996A-5FEF686E57A5}"/>
    <cellStyle name="Calcolo 6 5" xfId="3133" xr:uid="{1A34A396-9066-4B41-BACD-F5E5E6B1D9DD}"/>
    <cellStyle name="Calcolo 6 5 2" xfId="16481" xr:uid="{5797F7EB-14DE-47DB-8085-BB8E4AC201FE}"/>
    <cellStyle name="Calcolo 6 6" xfId="3134" xr:uid="{B789EEF7-4EF0-4A18-934E-7F5DE8E7965F}"/>
    <cellStyle name="Calcolo 6 6 2" xfId="16482" xr:uid="{B3AB2801-814E-4F42-A604-40D20FC491E8}"/>
    <cellStyle name="Calcolo 6 7" xfId="16473" xr:uid="{F834A6A4-232C-42C2-A392-DEEDAB29A94F}"/>
    <cellStyle name="Calcolo 7" xfId="3135" xr:uid="{76F87C4D-2CA9-4741-A2AA-220C0BF818DD}"/>
    <cellStyle name="Calcolo 7 2" xfId="3136" xr:uid="{D8F73402-CC49-44CC-9E56-C779B3E9C41E}"/>
    <cellStyle name="Calcolo 7 2 2" xfId="3137" xr:uid="{5C6D1D12-703A-460D-B5AE-8B3FBA4EF294}"/>
    <cellStyle name="Calcolo 7 2 2 2" xfId="16485" xr:uid="{92D863CF-5902-4A2E-811A-B124AFBC2DEB}"/>
    <cellStyle name="Calcolo 7 2 3" xfId="3138" xr:uid="{1EA4564B-3C85-4001-9F4D-ED9986DBF574}"/>
    <cellStyle name="Calcolo 7 2 3 2" xfId="16486" xr:uid="{5286FD67-98F8-4990-AD34-DFD44D719B51}"/>
    <cellStyle name="Calcolo 7 2 4" xfId="3139" xr:uid="{7D610A29-E7E6-4194-88BF-26647C55324E}"/>
    <cellStyle name="Calcolo 7 2 4 2" xfId="16487" xr:uid="{B6174BE6-0330-470B-A46C-8BD86F969C3D}"/>
    <cellStyle name="Calcolo 7 2 5" xfId="3140" xr:uid="{42E94D9C-80A9-4E60-B78E-55B737B07C5D}"/>
    <cellStyle name="Calcolo 7 2 5 2" xfId="16488" xr:uid="{D71DCE03-479E-4C1F-BA5D-F736D4CE9610}"/>
    <cellStyle name="Calcolo 7 2 6" xfId="16484" xr:uid="{49E890DE-9C29-4033-8FB4-4E48459626A6}"/>
    <cellStyle name="Calcolo 7 3" xfId="3141" xr:uid="{606B77AF-43A8-4AC7-A1F6-DC69E53FD7AF}"/>
    <cellStyle name="Calcolo 7 3 2" xfId="16489" xr:uid="{A127B2DF-6FD4-459A-B65C-AD054DFDF42C}"/>
    <cellStyle name="Calcolo 7 4" xfId="3142" xr:uid="{ED9B89F8-3363-4677-97E9-20C7A9D26104}"/>
    <cellStyle name="Calcolo 7 4 2" xfId="16490" xr:uid="{39CF1DEE-7DBB-4EB5-9C25-F74F24A9E955}"/>
    <cellStyle name="Calcolo 7 5" xfId="3143" xr:uid="{3AF139D7-50DE-41E0-9D1F-35113B2558BD}"/>
    <cellStyle name="Calcolo 7 5 2" xfId="16491" xr:uid="{3B0DD54C-AC42-45F6-B9C7-367AD4874A72}"/>
    <cellStyle name="Calcolo 7 6" xfId="3144" xr:uid="{F02EBE82-84A4-4B83-BC53-2395F11B73DF}"/>
    <cellStyle name="Calcolo 7 6 2" xfId="16492" xr:uid="{BB5E9814-5E47-4025-87F2-CB3C527B6279}"/>
    <cellStyle name="Calcolo 7 7" xfId="16483" xr:uid="{CA7EA0A4-8867-4406-A5C7-51185E5C15AA}"/>
    <cellStyle name="Calcolo 8" xfId="3145" xr:uid="{81F10BAF-5BC1-412E-BF3A-1F0BEABE53A4}"/>
    <cellStyle name="Calcolo 8 2" xfId="3146" xr:uid="{EB3C7A81-6A17-4A57-857F-88B2F4BF01EE}"/>
    <cellStyle name="Calcolo 8 2 2" xfId="3147" xr:uid="{3EF495E7-E440-404B-9BD2-81E3DFE48535}"/>
    <cellStyle name="Calcolo 8 2 2 2" xfId="16495" xr:uid="{BCE2422F-00D4-489B-B6C2-7B6D641C7F73}"/>
    <cellStyle name="Calcolo 8 2 3" xfId="3148" xr:uid="{D2CF0FE8-73F2-4D36-A0EC-FA89F7B315F7}"/>
    <cellStyle name="Calcolo 8 2 3 2" xfId="16496" xr:uid="{5A16831A-2DF9-42A7-9978-AD0D155C9549}"/>
    <cellStyle name="Calcolo 8 2 4" xfId="3149" xr:uid="{268A62C4-CFAD-4F5C-8BD5-84E862395DFB}"/>
    <cellStyle name="Calcolo 8 2 4 2" xfId="16497" xr:uid="{32B8832F-FD93-42C9-B85F-6ED9B04B6D70}"/>
    <cellStyle name="Calcolo 8 2 5" xfId="3150" xr:uid="{F0B531B8-5F4C-4BF2-BD53-80C7973B2EFE}"/>
    <cellStyle name="Calcolo 8 2 5 2" xfId="16498" xr:uid="{AA4C5B8A-0631-4A62-8624-AE0016CEC6D3}"/>
    <cellStyle name="Calcolo 8 2 6" xfId="16494" xr:uid="{5B6F673E-8DB3-40FF-80FB-7D4BE013063A}"/>
    <cellStyle name="Calcolo 8 3" xfId="3151" xr:uid="{F6EA87AB-E33F-4705-BE10-D0D4A2DDB870}"/>
    <cellStyle name="Calcolo 8 3 2" xfId="16499" xr:uid="{9D778809-506D-44A3-963F-B28A2B727DF0}"/>
    <cellStyle name="Calcolo 8 4" xfId="3152" xr:uid="{07EDEDB8-5E98-44CF-AB2C-55BA12E28DD1}"/>
    <cellStyle name="Calcolo 8 4 2" xfId="16500" xr:uid="{9B41975B-8AFC-4C09-B7A8-232E5AE5FC15}"/>
    <cellStyle name="Calcolo 8 5" xfId="3153" xr:uid="{4A0CA958-C6C7-426C-9CC6-D944F7C9E8A3}"/>
    <cellStyle name="Calcolo 8 5 2" xfId="16501" xr:uid="{45DEFB7D-0F59-4FA9-B62F-0C3AFDE4D719}"/>
    <cellStyle name="Calcolo 8 6" xfId="3154" xr:uid="{835B44BD-5496-4158-B75A-72E3CD2958BB}"/>
    <cellStyle name="Calcolo 8 6 2" xfId="16502" xr:uid="{C655E5CF-3296-40E0-A69C-C81FADEC8FD4}"/>
    <cellStyle name="Calcolo 8 7" xfId="16493" xr:uid="{68ABEBCE-CD22-4949-8357-37BBAD093924}"/>
    <cellStyle name="Calcolo 9" xfId="3155" xr:uid="{F628B45D-9319-4BDD-A6E3-31502557E03D}"/>
    <cellStyle name="Calcolo 9 2" xfId="3156" xr:uid="{CFFF2E85-C01D-4C86-AB6E-0E7940E00CC9}"/>
    <cellStyle name="Calcolo 9 2 2" xfId="3157" xr:uid="{52A000F6-32A7-4710-A88D-C549BAC3B98F}"/>
    <cellStyle name="Calcolo 9 2 2 2" xfId="16505" xr:uid="{56082D04-5D7C-4658-8163-CFB41FA0033B}"/>
    <cellStyle name="Calcolo 9 2 3" xfId="3158" xr:uid="{B0F469A3-4724-4CCA-AE50-42603CF7FB29}"/>
    <cellStyle name="Calcolo 9 2 3 2" xfId="16506" xr:uid="{7EE0CC8F-3627-490B-90C2-C2D19A377F8D}"/>
    <cellStyle name="Calcolo 9 2 4" xfId="3159" xr:uid="{C0FF6798-C120-4998-9369-958B6F196B6A}"/>
    <cellStyle name="Calcolo 9 2 4 2" xfId="16507" xr:uid="{888F3C04-A259-4830-9BCC-4FDB98B93711}"/>
    <cellStyle name="Calcolo 9 2 5" xfId="3160" xr:uid="{3F91C763-83DB-4B09-931C-DD5F9DA3A80A}"/>
    <cellStyle name="Calcolo 9 2 5 2" xfId="16508" xr:uid="{93C89D19-EE9A-4A4A-BE09-EB693650F696}"/>
    <cellStyle name="Calcolo 9 2 6" xfId="16504" xr:uid="{40FCBCD9-8C6B-496D-A216-473B5985C417}"/>
    <cellStyle name="Calcolo 9 3" xfId="3161" xr:uid="{1645836E-7300-453F-B64B-9DC9EFB2383E}"/>
    <cellStyle name="Calcolo 9 3 2" xfId="16509" xr:uid="{400FE1ED-5F10-4E49-819E-B017406A981F}"/>
    <cellStyle name="Calcolo 9 4" xfId="3162" xr:uid="{F386F51F-74E0-4F92-AAD9-6023591AC8EA}"/>
    <cellStyle name="Calcolo 9 4 2" xfId="16510" xr:uid="{565F9A60-17C7-4036-A422-8F901EACE631}"/>
    <cellStyle name="Calcolo 9 5" xfId="3163" xr:uid="{2E5D6190-3520-4721-AD02-5EBFB5805CF8}"/>
    <cellStyle name="Calcolo 9 5 2" xfId="16511" xr:uid="{1D0EF1EB-3AB9-4891-88E3-A6B31F94B90E}"/>
    <cellStyle name="Calcolo 9 6" xfId="3164" xr:uid="{2D463405-5132-4C03-8747-885C550E31B8}"/>
    <cellStyle name="Calcolo 9 6 2" xfId="16512" xr:uid="{CAB55ACC-7085-4D7A-9ECF-D3FD19A846E8}"/>
    <cellStyle name="Calcolo 9 7" xfId="16503" xr:uid="{1AF5F17C-7548-4AAA-85BD-A6BF4E3C2796}"/>
    <cellStyle name="Calcul" xfId="14948" xr:uid="{28F736FE-2952-4769-967C-9D2EE03DB8E6}"/>
    <cellStyle name="Calcul 10" xfId="3165" xr:uid="{AB1B0DFE-4003-4A1F-9F27-AD8D3683521E}"/>
    <cellStyle name="Calcul 10 2" xfId="3166" xr:uid="{BCF4F3A5-1EDF-4BF6-A1D1-F59FEFC34A6E}"/>
    <cellStyle name="Calcul 10 2 2" xfId="3167" xr:uid="{AD73422A-1A1E-4D69-9B2E-CB06433D00D4}"/>
    <cellStyle name="Calcul 10 2 2 2" xfId="16515" xr:uid="{FDA7C2B9-D448-49C0-9EF0-2A745ADA7BB7}"/>
    <cellStyle name="Calcul 10 2 3" xfId="3168" xr:uid="{FDA9D9AC-9CA7-4512-A92A-7BC9C3CBCEF5}"/>
    <cellStyle name="Calcul 10 2 3 2" xfId="16516" xr:uid="{D3B9D903-9B8B-402A-A71F-2DD34E7AAD88}"/>
    <cellStyle name="Calcul 10 2 4" xfId="3169" xr:uid="{ECBA5128-5E6E-4929-867D-F1F2A9514F8C}"/>
    <cellStyle name="Calcul 10 2 4 2" xfId="16517" xr:uid="{557E87DC-98DF-47FE-916B-315CC83E51F6}"/>
    <cellStyle name="Calcul 10 2 5" xfId="3170" xr:uid="{8CEF44A9-FC1F-4B3A-8C95-40D5C16A400D}"/>
    <cellStyle name="Calcul 10 2 5 2" xfId="16518" xr:uid="{621DC065-5689-4CA8-950E-F1645EF1FC45}"/>
    <cellStyle name="Calcul 10 2 6" xfId="16514" xr:uid="{8703081C-4EF1-4CBD-9CB4-25082C8DD470}"/>
    <cellStyle name="Calcul 10 3" xfId="3171" xr:uid="{DBDC4AD3-64C9-4B07-83F3-0D89FE0D7B25}"/>
    <cellStyle name="Calcul 10 3 2" xfId="16519" xr:uid="{3C8987AD-C591-4593-9002-97104E8CBF9F}"/>
    <cellStyle name="Calcul 10 4" xfId="3172" xr:uid="{96AD0DBB-2A82-4C6E-AB5A-C982EFE5E533}"/>
    <cellStyle name="Calcul 10 4 2" xfId="16520" xr:uid="{39136772-84D8-492B-94B8-AD2A36EDDB0B}"/>
    <cellStyle name="Calcul 10 5" xfId="3173" xr:uid="{77F54400-47B6-428A-B6FE-8A03743ADCB4}"/>
    <cellStyle name="Calcul 10 5 2" xfId="16521" xr:uid="{309FE091-6532-469B-8E7F-D802914FA995}"/>
    <cellStyle name="Calcul 10 6" xfId="3174" xr:uid="{71DCCD8C-EC9A-4C11-8C1F-3A99721D902B}"/>
    <cellStyle name="Calcul 10 6 2" xfId="16522" xr:uid="{70D37552-DE15-4010-A022-627681E367B3}"/>
    <cellStyle name="Calcul 10 7" xfId="16513" xr:uid="{AAC44490-4BB0-456C-B497-66EAD9A34BD9}"/>
    <cellStyle name="Calcul 11" xfId="3175" xr:uid="{A1B79AA4-E0CB-4AAE-8FE2-2BDC56EF128B}"/>
    <cellStyle name="Calcul 11 2" xfId="3176" xr:uid="{3B00FD7A-C802-4665-83FE-E34E31D8092C}"/>
    <cellStyle name="Calcul 11 2 2" xfId="3177" xr:uid="{8C0B190F-BA55-4AC1-B3E5-46F7168B6766}"/>
    <cellStyle name="Calcul 11 2 2 2" xfId="16525" xr:uid="{2DBFBCF8-9CB5-401F-8169-BBE627DE4CA8}"/>
    <cellStyle name="Calcul 11 2 3" xfId="3178" xr:uid="{EEA7588F-6D58-4253-9E78-48E0A9798C7E}"/>
    <cellStyle name="Calcul 11 2 3 2" xfId="16526" xr:uid="{283C7BF3-C852-42D4-BDC6-4ABD54663B33}"/>
    <cellStyle name="Calcul 11 2 4" xfId="3179" xr:uid="{CFF2AB44-CCDB-4E78-B36A-EC767A4056C1}"/>
    <cellStyle name="Calcul 11 2 4 2" xfId="16527" xr:uid="{B1ABFC87-7095-4EBE-8243-01355C533FE6}"/>
    <cellStyle name="Calcul 11 2 5" xfId="3180" xr:uid="{93CCDC38-CB2C-41EA-A2DA-23A3AAF161C6}"/>
    <cellStyle name="Calcul 11 2 5 2" xfId="16528" xr:uid="{7615E690-01BB-446A-B893-706F9680F196}"/>
    <cellStyle name="Calcul 11 2 6" xfId="16524" xr:uid="{C18DF121-2F75-4628-9766-42DD4D7417EB}"/>
    <cellStyle name="Calcul 11 3" xfId="3181" xr:uid="{B3AA67BF-0496-44BD-B9E9-F658820EA86D}"/>
    <cellStyle name="Calcul 11 3 2" xfId="16529" xr:uid="{41DD24A0-B898-4505-B4D4-0BFBC3C9C523}"/>
    <cellStyle name="Calcul 11 4" xfId="3182" xr:uid="{FCF23B0B-7FFC-42DE-BDE4-F49C6E721AAD}"/>
    <cellStyle name="Calcul 11 4 2" xfId="16530" xr:uid="{2D18B93E-71C1-4C81-9C5F-1EB1E40E6E9B}"/>
    <cellStyle name="Calcul 11 5" xfId="3183" xr:uid="{CB6E6E29-86B6-46ED-BD65-6BC6FA069A33}"/>
    <cellStyle name="Calcul 11 5 2" xfId="16531" xr:uid="{F6D25684-B159-49FE-B2B0-168BCCEE0851}"/>
    <cellStyle name="Calcul 11 6" xfId="3184" xr:uid="{D0FB8317-8901-4844-82BF-853788273AFC}"/>
    <cellStyle name="Calcul 11 6 2" xfId="16532" xr:uid="{6EB1417F-0FF5-43A5-A1B3-E99CF83D0C3E}"/>
    <cellStyle name="Calcul 11 7" xfId="16523" xr:uid="{7060B3DA-8A6C-4120-8BC2-4354006E0447}"/>
    <cellStyle name="Calcul 12" xfId="3185" xr:uid="{586A68D9-9529-4840-834B-9F9B58D6047D}"/>
    <cellStyle name="Calcul 12 2" xfId="3186" xr:uid="{5347EDB4-9D0F-446B-ADD7-EBC297CF7921}"/>
    <cellStyle name="Calcul 12 2 2" xfId="3187" xr:uid="{BA682BE0-70EE-4C72-85D5-DC2FFD625D4C}"/>
    <cellStyle name="Calcul 12 2 2 2" xfId="16535" xr:uid="{A49A263D-A699-4C2C-B860-105FC09015EA}"/>
    <cellStyle name="Calcul 12 2 3" xfId="3188" xr:uid="{758A235E-8928-428C-A220-606373BAC488}"/>
    <cellStyle name="Calcul 12 2 3 2" xfId="16536" xr:uid="{48463EF3-7E11-4962-BAB7-E8905CBC26C6}"/>
    <cellStyle name="Calcul 12 2 4" xfId="3189" xr:uid="{BA352486-B557-428C-94CA-9B344D256BD3}"/>
    <cellStyle name="Calcul 12 2 4 2" xfId="16537" xr:uid="{E268894C-AF96-4722-B558-C6D7DE4F59E0}"/>
    <cellStyle name="Calcul 12 2 5" xfId="3190" xr:uid="{B90DA954-40FC-40E1-BF2C-475E9D22916E}"/>
    <cellStyle name="Calcul 12 2 5 2" xfId="16538" xr:uid="{60AD9648-8435-4EE8-B90C-9CB863D64E91}"/>
    <cellStyle name="Calcul 12 2 6" xfId="16534" xr:uid="{C23799DE-91AA-494C-9AD7-0610C819C8F8}"/>
    <cellStyle name="Calcul 12 3" xfId="3191" xr:uid="{66A4945A-E08E-40CB-8E51-84F2B1502E43}"/>
    <cellStyle name="Calcul 12 3 2" xfId="16539" xr:uid="{91EFDA4F-F02D-472E-BEA2-EB55CCD3B7D4}"/>
    <cellStyle name="Calcul 12 4" xfId="3192" xr:uid="{55A92012-DA8C-4BD7-B9FC-22DAE109211A}"/>
    <cellStyle name="Calcul 12 4 2" xfId="16540" xr:uid="{9DF1C856-65E7-416D-B805-C77283D016FA}"/>
    <cellStyle name="Calcul 12 5" xfId="3193" xr:uid="{4652CD03-71BB-4762-B76A-482208E40508}"/>
    <cellStyle name="Calcul 12 5 2" xfId="16541" xr:uid="{7784969F-8664-4C4B-9F9F-44A4DC8B0320}"/>
    <cellStyle name="Calcul 12 6" xfId="3194" xr:uid="{C62A6C7F-4A30-48FF-8014-5736D19C9018}"/>
    <cellStyle name="Calcul 12 6 2" xfId="16542" xr:uid="{00E31291-EBE1-4C49-B3D6-D2E8AEDF07DB}"/>
    <cellStyle name="Calcul 12 7" xfId="16533" xr:uid="{003842E4-098C-42AE-95EA-D07FAC2EC1E6}"/>
    <cellStyle name="Calcul 13" xfId="3195" xr:uid="{02970F14-781F-42CC-A444-B64D67B4E85C}"/>
    <cellStyle name="Calcul 13 2" xfId="3196" xr:uid="{36B2DF3A-D2DB-4756-9280-82FB54A6EAB9}"/>
    <cellStyle name="Calcul 13 2 2" xfId="3197" xr:uid="{90556031-23E2-4E48-9494-E8AC9851BF0C}"/>
    <cellStyle name="Calcul 13 2 2 2" xfId="16545" xr:uid="{3E478E37-B614-4AA1-8163-2A8813D73E12}"/>
    <cellStyle name="Calcul 13 2 3" xfId="3198" xr:uid="{68A42E84-D7C9-4EF8-BC59-18138EC7D4A4}"/>
    <cellStyle name="Calcul 13 2 3 2" xfId="16546" xr:uid="{0E91164B-CA13-458B-83CF-E1D8E5F4F664}"/>
    <cellStyle name="Calcul 13 2 4" xfId="3199" xr:uid="{38C7EC48-D7CB-4CFD-A594-70F6339B0720}"/>
    <cellStyle name="Calcul 13 2 4 2" xfId="16547" xr:uid="{11B70858-4E5F-4B91-A846-1C383A740275}"/>
    <cellStyle name="Calcul 13 2 5" xfId="3200" xr:uid="{3C5EB5BB-C943-462F-9CE2-D967267594EF}"/>
    <cellStyle name="Calcul 13 2 5 2" xfId="16548" xr:uid="{53E30E1E-4734-4288-BDC5-B81D8CEA52CD}"/>
    <cellStyle name="Calcul 13 2 6" xfId="16544" xr:uid="{66EFBCC8-73C4-4232-A72E-2219CC05C455}"/>
    <cellStyle name="Calcul 13 3" xfId="3201" xr:uid="{6288A2C2-4E82-4B01-B685-2E077753D4AA}"/>
    <cellStyle name="Calcul 13 3 2" xfId="16549" xr:uid="{21DE0472-F534-4AB8-8E4F-B8E59EC6BC8E}"/>
    <cellStyle name="Calcul 13 4" xfId="3202" xr:uid="{9294EF0D-021B-41B7-B979-D1C66CBFDC78}"/>
    <cellStyle name="Calcul 13 4 2" xfId="16550" xr:uid="{EFBF5016-BC59-4FF1-B4F8-D97425CAC17A}"/>
    <cellStyle name="Calcul 13 5" xfId="3203" xr:uid="{1E205858-737A-4086-A556-30A6DCE1EBE8}"/>
    <cellStyle name="Calcul 13 5 2" xfId="16551" xr:uid="{11B8E548-64D5-4C86-8FFD-EE983495E099}"/>
    <cellStyle name="Calcul 13 6" xfId="3204" xr:uid="{CF02BB9E-B679-4ACD-96B5-BBE1ED3D4F72}"/>
    <cellStyle name="Calcul 13 6 2" xfId="16552" xr:uid="{4616ECF6-C877-4C95-853F-9C11B0BD03A2}"/>
    <cellStyle name="Calcul 13 7" xfId="16543" xr:uid="{FCA09404-5660-47BF-96D7-B750191C629F}"/>
    <cellStyle name="Calcul 14" xfId="3205" xr:uid="{76FCBEBB-D999-4355-8627-98B6E7A0952A}"/>
    <cellStyle name="Calcul 14 2" xfId="3206" xr:uid="{D7F62FF4-5561-46BD-8B4E-72406C106808}"/>
    <cellStyle name="Calcul 14 2 2" xfId="3207" xr:uid="{5FB60665-9EC7-438A-B217-D279F97FFFEF}"/>
    <cellStyle name="Calcul 14 2 2 2" xfId="16555" xr:uid="{9116846A-DA09-4E5F-8D91-1BD7BDE7A2AD}"/>
    <cellStyle name="Calcul 14 2 3" xfId="3208" xr:uid="{98E38417-6223-4F51-A619-A7C4C917B4AC}"/>
    <cellStyle name="Calcul 14 2 3 2" xfId="16556" xr:uid="{DFD3799F-D52A-4603-8607-0C114883912C}"/>
    <cellStyle name="Calcul 14 2 4" xfId="3209" xr:uid="{0DA12179-28F5-438F-BF0E-D7E6BDF6254A}"/>
    <cellStyle name="Calcul 14 2 4 2" xfId="16557" xr:uid="{14D1EC96-3D0F-4CE7-A995-C4D18DC7F8C9}"/>
    <cellStyle name="Calcul 14 2 5" xfId="3210" xr:uid="{D5523A4A-F4E9-4852-B689-E95DBFC6B39F}"/>
    <cellStyle name="Calcul 14 2 5 2" xfId="16558" xr:uid="{12DF257E-CA06-496D-9A8A-591160507D26}"/>
    <cellStyle name="Calcul 14 2 6" xfId="16554" xr:uid="{BAF6174E-04AF-41D0-A8B4-E7D5D13F443E}"/>
    <cellStyle name="Calcul 14 3" xfId="3211" xr:uid="{D2755E5F-9DAC-4598-8667-F71167A1BFB6}"/>
    <cellStyle name="Calcul 14 3 2" xfId="16559" xr:uid="{0949D3BA-84DF-4AAB-B882-B90342EE109A}"/>
    <cellStyle name="Calcul 14 4" xfId="3212" xr:uid="{5571548F-3891-45A9-8EB8-6D77383AF118}"/>
    <cellStyle name="Calcul 14 4 2" xfId="16560" xr:uid="{B8A89BE7-DDF7-4539-94C8-4621AB6BB2D2}"/>
    <cellStyle name="Calcul 14 5" xfId="3213" xr:uid="{999C34AC-F0AF-41C8-A5E9-CC48F4729209}"/>
    <cellStyle name="Calcul 14 5 2" xfId="16561" xr:uid="{129A8C02-9E89-4EAB-A419-2F8E2FD4C8A9}"/>
    <cellStyle name="Calcul 14 6" xfId="3214" xr:uid="{8E75541C-2158-4B8A-8ADC-70C43D68FE64}"/>
    <cellStyle name="Calcul 14 6 2" xfId="16562" xr:uid="{F9605A60-8884-4278-A61B-05000D89A6DF}"/>
    <cellStyle name="Calcul 14 7" xfId="16553" xr:uid="{291CA833-AC52-46F7-B34C-3585F4CA2783}"/>
    <cellStyle name="Calcul 15" xfId="3215" xr:uid="{261DB884-DD75-40CE-BFEC-4B56E6E58E33}"/>
    <cellStyle name="Calcul 15 2" xfId="3216" xr:uid="{3B8DB5CB-FF25-4B4A-A8D2-B1279BD4BD58}"/>
    <cellStyle name="Calcul 15 2 2" xfId="3217" xr:uid="{8F75D168-CDE8-49A4-B865-AF83D915F1A0}"/>
    <cellStyle name="Calcul 15 2 2 2" xfId="16565" xr:uid="{3D2BAE43-A78B-4ACA-85A2-2DD39B9FCB33}"/>
    <cellStyle name="Calcul 15 2 3" xfId="3218" xr:uid="{0EF2DC4B-7CAC-424F-BBAA-0EBF3E8F17D8}"/>
    <cellStyle name="Calcul 15 2 3 2" xfId="16566" xr:uid="{FF62AC3E-39AC-4AB7-B4FC-65986AC89F50}"/>
    <cellStyle name="Calcul 15 2 4" xfId="3219" xr:uid="{D10F3FF5-1ECD-4742-96A4-B996A295F813}"/>
    <cellStyle name="Calcul 15 2 4 2" xfId="16567" xr:uid="{DB03B837-1EEB-47CA-890B-3DA261BAA1CD}"/>
    <cellStyle name="Calcul 15 2 5" xfId="3220" xr:uid="{A5894A9E-0D79-4985-90C3-4EE6469E9A39}"/>
    <cellStyle name="Calcul 15 2 5 2" xfId="16568" xr:uid="{CF78BC10-A858-43D7-8A23-C5A2685B0F68}"/>
    <cellStyle name="Calcul 15 2 6" xfId="16564" xr:uid="{19CC4FE1-20D7-465C-BA28-370EDAE00967}"/>
    <cellStyle name="Calcul 15 3" xfId="3221" xr:uid="{AA1A1A8C-7900-4869-9B4E-F4B6A30CA385}"/>
    <cellStyle name="Calcul 15 3 2" xfId="16569" xr:uid="{B1399FB5-ECBD-41AD-B2CB-EF6162247CAE}"/>
    <cellStyle name="Calcul 15 4" xfId="3222" xr:uid="{F525C600-3125-4827-B2B0-E34BBDDA7A69}"/>
    <cellStyle name="Calcul 15 4 2" xfId="16570" xr:uid="{71B6C114-3FEB-49E6-B15E-FA41BCE500F7}"/>
    <cellStyle name="Calcul 15 5" xfId="3223" xr:uid="{60CCFD67-7A16-4D1E-B2EE-CA24722AC42C}"/>
    <cellStyle name="Calcul 15 5 2" xfId="16571" xr:uid="{0F281B5E-F153-4745-BC8C-5A5B0BCC6018}"/>
    <cellStyle name="Calcul 15 6" xfId="3224" xr:uid="{B3737B4F-63A5-4A26-820B-D976ADBCD5E2}"/>
    <cellStyle name="Calcul 15 6 2" xfId="16572" xr:uid="{07D4A436-571C-4FC9-9079-B0A0D4A9DC6F}"/>
    <cellStyle name="Calcul 15 7" xfId="16563" xr:uid="{26F7899B-1674-47AC-934D-24D674CB618E}"/>
    <cellStyle name="Calcul 16" xfId="3225" xr:uid="{F99CBD56-D897-46FE-AD3E-11EDFC056EF4}"/>
    <cellStyle name="Calcul 16 2" xfId="3226" xr:uid="{EC399122-C174-4F39-8445-BB7637EBF424}"/>
    <cellStyle name="Calcul 16 2 2" xfId="16574" xr:uid="{68B7AEA0-FBE4-4DA1-987A-A3E567108D16}"/>
    <cellStyle name="Calcul 16 3" xfId="3227" xr:uid="{904EC1FC-1FC4-45F9-A584-DC4826360B66}"/>
    <cellStyle name="Calcul 16 3 2" xfId="16575" xr:uid="{2AC5EC68-0F2C-4ACA-99DE-353DD9E1688B}"/>
    <cellStyle name="Calcul 16 4" xfId="3228" xr:uid="{8F5BA86B-CDB7-47D8-A0AB-DAE06A12B21F}"/>
    <cellStyle name="Calcul 16 4 2" xfId="16576" xr:uid="{813094B2-92D4-47E7-9702-60CFAB1245DC}"/>
    <cellStyle name="Calcul 16 5" xfId="3229" xr:uid="{7C41EBEB-CC96-4384-A5E6-9C87B85D8AA1}"/>
    <cellStyle name="Calcul 16 5 2" xfId="16577" xr:uid="{D80B7298-9C36-4FFA-B7DD-52C4C0D91525}"/>
    <cellStyle name="Calcul 16 6" xfId="16573" xr:uid="{5FBC032D-DB80-4014-9926-FDB30ED3DE65}"/>
    <cellStyle name="Calcul 17" xfId="3230" xr:uid="{C3159C02-0080-48CA-89A6-CF28AE24A0B5}"/>
    <cellStyle name="Calcul 17 2" xfId="3231" xr:uid="{B3BF075F-B41D-47E9-9BC0-3AF675B14C73}"/>
    <cellStyle name="Calcul 17 2 2" xfId="16579" xr:uid="{3755A60A-104D-49E5-8487-2ABB631DF270}"/>
    <cellStyle name="Calcul 17 3" xfId="3232" xr:uid="{B2D3E234-C1B5-4510-BCE8-3707A33AD22E}"/>
    <cellStyle name="Calcul 17 3 2" xfId="16580" xr:uid="{8BFC1E4A-D617-42DF-AFBC-C11F0DA5D8DE}"/>
    <cellStyle name="Calcul 17 4" xfId="16578" xr:uid="{CD4F54D6-4C2F-4877-9F6E-6BBF152C0F07}"/>
    <cellStyle name="Calcul 18" xfId="3233" xr:uid="{4BB37A1C-4DEE-4E5E-8C87-89F4CA369650}"/>
    <cellStyle name="Calcul 18 2" xfId="16581" xr:uid="{56E21E92-38C0-490F-93B7-9799FD947322}"/>
    <cellStyle name="Calcul 19" xfId="3234" xr:uid="{C9D32F5D-C2AC-4CB1-93EA-12C10C99B22F}"/>
    <cellStyle name="Calcul 19 2" xfId="16582" xr:uid="{EAE9F583-F94B-43DE-8184-B1475554D45B}"/>
    <cellStyle name="Calcul 2" xfId="3235" xr:uid="{F340C6D5-B35C-4AAC-B4FF-7CA7DD320DA5}"/>
    <cellStyle name="Calcul 2 2" xfId="3236" xr:uid="{F212BE95-A1C5-4A91-9904-5C9DC9730C7C}"/>
    <cellStyle name="Calcul 2 2 2" xfId="3237" xr:uid="{184BDF92-DDD4-416C-A0F5-DFE293D692DC}"/>
    <cellStyle name="Calcul 2 2 2 2" xfId="3238" xr:uid="{E76290F5-FF1F-4B4E-9E55-DD4B2949875B}"/>
    <cellStyle name="Calcul 2 2 2 2 2" xfId="16585" xr:uid="{4358EDF4-2848-4919-A0D3-B85F4271A543}"/>
    <cellStyle name="Calcul 2 2 2 3" xfId="16584" xr:uid="{3B492DFF-3C47-4E5F-824C-E3D479C523B3}"/>
    <cellStyle name="Calcul 2 2 3" xfId="3239" xr:uid="{0B8F2BAB-A2B9-4E54-9EFB-4BAEDFC4014F}"/>
    <cellStyle name="Calcul 2 2 3 2" xfId="3240" xr:uid="{378FB7E6-9223-48DA-AF2B-88792D49DDAB}"/>
    <cellStyle name="Calcul 2 2 3 2 2" xfId="16587" xr:uid="{8AD69C29-12A1-4E2C-9E08-BC4614AE2C15}"/>
    <cellStyle name="Calcul 2 2 3 3" xfId="16586" xr:uid="{C8FAAD9E-25AE-4B42-8643-E2D3C5DFE1F0}"/>
    <cellStyle name="Calcul 2 2 4" xfId="3241" xr:uid="{8841295C-4212-4891-874D-CB5982C11E29}"/>
    <cellStyle name="Calcul 2 2 4 2" xfId="3242" xr:uid="{E38C4C7D-1382-4A4B-A777-8C06C563AAA4}"/>
    <cellStyle name="Calcul 2 2 4 2 2" xfId="16589" xr:uid="{BE198C62-6882-4827-9006-B4F79F4C1F8D}"/>
    <cellStyle name="Calcul 2 2 4 3" xfId="16588" xr:uid="{F35B00CD-AC97-4C0C-BEF9-14331A734E2A}"/>
    <cellStyle name="Calcul 2 2 5" xfId="3243" xr:uid="{D888ED4F-B410-4193-8EA1-8B10CA9D3419}"/>
    <cellStyle name="Calcul 2 2 5 2" xfId="16590" xr:uid="{A81C5924-E2AB-4242-8566-406B613F39AF}"/>
    <cellStyle name="Calcul 2 2 6" xfId="16583" xr:uid="{467471C9-557E-48B7-A778-D55646C39DD4}"/>
    <cellStyle name="Calcul 2 3" xfId="3244" xr:uid="{DD13E6B1-E994-4ED3-8AD7-E2AD9A47AFF5}"/>
    <cellStyle name="Calcul 2 3 2" xfId="3245" xr:uid="{0C6CA9F0-1E57-4EE7-92CD-0C67CA420F2E}"/>
    <cellStyle name="Calcul 2 3 2 2" xfId="16592" xr:uid="{AFF297F5-5D54-41B9-9A70-0C8507CB3D7B}"/>
    <cellStyle name="Calcul 2 3 3" xfId="16591" xr:uid="{5BA0EE97-6709-43B5-A206-ED1FADA32613}"/>
    <cellStyle name="Calcul 2 4" xfId="3246" xr:uid="{D1928C32-5D6E-449B-90B0-E32B8738B21D}"/>
    <cellStyle name="Calcul 2 4 2" xfId="3247" xr:uid="{B64A96DE-E711-48F6-B57F-C2595340947A}"/>
    <cellStyle name="Calcul 2 4 2 2" xfId="16594" xr:uid="{55DC747E-249B-4F5F-8818-9F0FD2E7DDFC}"/>
    <cellStyle name="Calcul 2 4 3" xfId="16593" xr:uid="{9A347DEE-FA5C-4720-AB9E-E820D0B8FE5A}"/>
    <cellStyle name="Calcul 2 5" xfId="3248" xr:uid="{08EC2F0F-A96E-4CCE-A1CB-ACB3307D31A0}"/>
    <cellStyle name="Calcul 2 5 2" xfId="3249" xr:uid="{BE7E1EB9-9484-4C2D-BCB9-7B5A8A5BFC7D}"/>
    <cellStyle name="Calcul 2 5 2 2" xfId="16596" xr:uid="{24848103-CCB2-4B6D-B489-834579CB835D}"/>
    <cellStyle name="Calcul 2 5 3" xfId="16595" xr:uid="{3D4BF8A2-2C6A-403F-B294-FBF6A521D68C}"/>
    <cellStyle name="Calcul 2 6" xfId="3250" xr:uid="{67B95842-1349-4062-91D2-F5D517BFF0A2}"/>
    <cellStyle name="Calcul 2 6 2" xfId="16597" xr:uid="{50C2FC16-F242-424D-BA4C-1DEC1FF337A4}"/>
    <cellStyle name="Calcul 2 7" xfId="15357" xr:uid="{23650E71-399F-4A57-B134-670F5A680D82}"/>
    <cellStyle name="Calcul 2_130725 DSNA 2011 Dossier de révision initial" xfId="14707" xr:uid="{72D284DC-B215-42BD-B360-28C0BC271620}"/>
    <cellStyle name="Calcul 20" xfId="3251" xr:uid="{E70F119B-BC8F-42E2-B98E-5E07323BFA99}"/>
    <cellStyle name="Calcul 20 2" xfId="16598" xr:uid="{8AEDE040-76DE-4A6E-BD2F-E49E22BE877A}"/>
    <cellStyle name="Calcul 3" xfId="3252" xr:uid="{2595B291-DD74-4D7B-846D-4A5A591741E2}"/>
    <cellStyle name="Calcul 3 2" xfId="3253" xr:uid="{5FBEDC5D-E038-408C-B825-158B9EB8733F}"/>
    <cellStyle name="Calcul 3 2 2" xfId="3254" xr:uid="{4A9DBEDA-3DFD-4C1C-B2D6-785504611A22}"/>
    <cellStyle name="Calcul 3 2 2 2" xfId="16601" xr:uid="{62D6BDE4-D389-4723-B50E-CB4B939B246C}"/>
    <cellStyle name="Calcul 3 2 3" xfId="3255" xr:uid="{989AE0DA-1C88-487D-A92B-2A2C6166CFA4}"/>
    <cellStyle name="Calcul 3 2 3 2" xfId="16602" xr:uid="{2F7FC2C8-99F2-4503-84F7-06B1FD7F0410}"/>
    <cellStyle name="Calcul 3 2 4" xfId="3256" xr:uid="{E6B4042C-EA5B-4692-A85D-6F12772B7E08}"/>
    <cellStyle name="Calcul 3 2 4 2" xfId="16603" xr:uid="{6E0F167A-B3E8-426C-9E87-CE361FDA9A04}"/>
    <cellStyle name="Calcul 3 2 5" xfId="3257" xr:uid="{F2F2AB2F-2F28-47C8-B9CE-9202F85CF814}"/>
    <cellStyle name="Calcul 3 2 5 2" xfId="16604" xr:uid="{68BA28DF-356D-4980-9F27-272953DA03F7}"/>
    <cellStyle name="Calcul 3 2 6" xfId="16600" xr:uid="{C3585441-E088-402C-AED1-975C1E0B6315}"/>
    <cellStyle name="Calcul 3 3" xfId="3258" xr:uid="{E064CC62-6DD7-46A0-B74F-E876B9BF051C}"/>
    <cellStyle name="Calcul 3 3 2" xfId="3259" xr:uid="{F0F80EAA-E54A-432D-9BFD-AC74945FC43A}"/>
    <cellStyle name="Calcul 3 3 2 2" xfId="16606" xr:uid="{4AD0EF5E-CF4D-44C1-91A6-509085AD58F9}"/>
    <cellStyle name="Calcul 3 3 3" xfId="16605" xr:uid="{D91BE8F1-09B3-400B-AEFB-4375155BE960}"/>
    <cellStyle name="Calcul 3 4" xfId="3260" xr:uid="{8B4795A8-E818-4941-AF23-164F2961E603}"/>
    <cellStyle name="Calcul 3 4 2" xfId="3261" xr:uid="{1B2BA2D4-88AD-4C26-878D-936C7163CFC1}"/>
    <cellStyle name="Calcul 3 4 2 2" xfId="16608" xr:uid="{955A2730-6E63-4FD5-9C87-A574648AC32E}"/>
    <cellStyle name="Calcul 3 4 3" xfId="16607" xr:uid="{A81E5667-D28A-4ADD-AA33-0F71D09985BA}"/>
    <cellStyle name="Calcul 3 5" xfId="3262" xr:uid="{73362FEE-7D7A-4395-A5A2-ED7D34F4F082}"/>
    <cellStyle name="Calcul 3 5 2" xfId="16609" xr:uid="{57798E5C-BE7E-46CD-8F79-3D3EAAE7DE78}"/>
    <cellStyle name="Calcul 3 6" xfId="3263" xr:uid="{E006AB17-D2A4-4B87-9611-A1A57BDF5B74}"/>
    <cellStyle name="Calcul 3 6 2" xfId="16610" xr:uid="{5128425A-A494-4B99-8401-3F6B179D0AAD}"/>
    <cellStyle name="Calcul 3 7" xfId="16599" xr:uid="{AA2E9153-876A-40F0-895C-AC8FEBA4958E}"/>
    <cellStyle name="Calcul 4" xfId="3264" xr:uid="{2C290C28-68B3-4434-93E7-2E5346B2D824}"/>
    <cellStyle name="Calcul 4 2" xfId="3265" xr:uid="{D9315F40-9729-4110-944E-3A773B397F6D}"/>
    <cellStyle name="Calcul 4 2 2" xfId="3266" xr:uid="{22778ED8-8F24-41A3-A49C-01C8DC763BF0}"/>
    <cellStyle name="Calcul 4 2 3" xfId="3267" xr:uid="{7C4E1CE0-9D9E-4CE5-A422-4F09A430342F}"/>
    <cellStyle name="Calcul 4 2 3 2" xfId="16611" xr:uid="{D39BDC13-42B8-497C-AA90-531DFDA2D6D7}"/>
    <cellStyle name="Calcul 4 2 4" xfId="3268" xr:uid="{E6C94E9E-A3F9-46DD-8A7C-3EB1179B2A44}"/>
    <cellStyle name="Calcul 4 2 4 2" xfId="16612" xr:uid="{477378F0-8E75-490A-8312-1367342ADF3F}"/>
    <cellStyle name="Calcul 4 3" xfId="3269" xr:uid="{7D0C6A16-11C5-46C7-9B1B-32D0346E4DBF}"/>
    <cellStyle name="Calcul 4 3 2" xfId="3270" xr:uid="{B817A767-7485-4B10-AC72-A2CBB6E5DBB6}"/>
    <cellStyle name="Calcul 4 3 3" xfId="3271" xr:uid="{FB59512F-1A70-4409-AD57-837DDC7E40B2}"/>
    <cellStyle name="Calcul 4 3 3 2" xfId="16613" xr:uid="{AD6B50E8-3F62-4F8D-8625-F834E9EE78E2}"/>
    <cellStyle name="Calcul 4 4" xfId="3272" xr:uid="{922C039D-B9BB-405B-91B7-2DBCD5D0766D}"/>
    <cellStyle name="Calcul 4 4 2" xfId="16614" xr:uid="{57C453C6-C6A9-4189-80CD-0A7050FFCCD3}"/>
    <cellStyle name="Calcul 4 5" xfId="3273" xr:uid="{367B2AAA-0EA0-4C03-892C-1C0E81F9F100}"/>
    <cellStyle name="Calcul 4 5 2" xfId="16615" xr:uid="{FBE1A647-585C-4733-83BB-2CF684543F66}"/>
    <cellStyle name="Calcul 5" xfId="3274" xr:uid="{55F5EC00-F5D4-4D46-AC73-98BF51CF878A}"/>
    <cellStyle name="Calcul 5 2" xfId="3275" xr:uid="{0EB9097F-1E01-453A-B372-BBCCCE2DD95B}"/>
    <cellStyle name="Calcul 5 2 2" xfId="3276" xr:uid="{A57E87CC-4331-4FB5-A9AD-AB277E259176}"/>
    <cellStyle name="Calcul 5 2 2 2" xfId="16618" xr:uid="{054D0E10-E2ED-4C62-9C45-6E48C96F2F54}"/>
    <cellStyle name="Calcul 5 2 3" xfId="3277" xr:uid="{FA456365-EE37-41A3-BC95-A557604828BB}"/>
    <cellStyle name="Calcul 5 2 3 2" xfId="16619" xr:uid="{331E30D3-2D39-41EC-927A-58B901872F24}"/>
    <cellStyle name="Calcul 5 2 4" xfId="3278" xr:uid="{F0D3294B-B3D1-43BB-A954-E7D3CE6C1085}"/>
    <cellStyle name="Calcul 5 2 4 2" xfId="16620" xr:uid="{E3714323-1906-44E3-AF3E-D98C660796F0}"/>
    <cellStyle name="Calcul 5 2 5" xfId="3279" xr:uid="{833553FA-7DEA-419F-BD78-8D84A35ED30D}"/>
    <cellStyle name="Calcul 5 2 5 2" xfId="16621" xr:uid="{8931066B-2A4A-4190-B178-F6C61FF8541E}"/>
    <cellStyle name="Calcul 5 2 6" xfId="16617" xr:uid="{7F3D4E71-40E2-4D03-8AF7-99CBDDE1D748}"/>
    <cellStyle name="Calcul 5 3" xfId="3280" xr:uid="{7AF135CE-CE59-4306-B894-FF622BCBAC48}"/>
    <cellStyle name="Calcul 5 3 2" xfId="3281" xr:uid="{6E4F198D-4791-4FB3-9E28-3811A60C4EBE}"/>
    <cellStyle name="Calcul 5 3 2 2" xfId="16623" xr:uid="{E6ACB6A6-BBC9-4A58-9DCF-9AFB9459B880}"/>
    <cellStyle name="Calcul 5 3 3" xfId="16622" xr:uid="{5B312150-0854-4EAE-A1DB-E24E8B23AE6E}"/>
    <cellStyle name="Calcul 5 4" xfId="3282" xr:uid="{E057C028-DFF4-4E44-9D25-B7DA46098AF7}"/>
    <cellStyle name="Calcul 5 4 2" xfId="16624" xr:uid="{EBF98B36-28E3-4D60-8439-EB511B1AC637}"/>
    <cellStyle name="Calcul 5 5" xfId="3283" xr:uid="{27AAB0CC-21E7-4775-BDFB-01A343973644}"/>
    <cellStyle name="Calcul 5 5 2" xfId="16625" xr:uid="{E1BF05BE-2FBA-4E51-BA82-184DC63BC8B9}"/>
    <cellStyle name="Calcul 5 6" xfId="3284" xr:uid="{03ABDC93-A5AD-4E68-89E6-3E4408C2D2E5}"/>
    <cellStyle name="Calcul 5 6 2" xfId="16626" xr:uid="{C1E8E511-4794-4FE6-98C8-EDF496DE9722}"/>
    <cellStyle name="Calcul 5 7" xfId="16616" xr:uid="{F261659E-71E1-43C3-89F7-FF729FC9043A}"/>
    <cellStyle name="Calcul 6" xfId="3285" xr:uid="{A6B2E3CE-44AA-4BCB-8E95-3E4732ECABCA}"/>
    <cellStyle name="Calcul 6 2" xfId="3286" xr:uid="{CC91F600-1B28-44DE-8777-9707AC82C2F6}"/>
    <cellStyle name="Calcul 6 2 2" xfId="3287" xr:uid="{76469A57-852C-4390-A77C-4C2AD4611FAC}"/>
    <cellStyle name="Calcul 6 2 2 2" xfId="16629" xr:uid="{1E87DFF1-40FB-4AFB-BE49-C08ABE3CD53E}"/>
    <cellStyle name="Calcul 6 2 3" xfId="3288" xr:uid="{021FDEF2-2CCA-400D-98D9-D5D8C924665D}"/>
    <cellStyle name="Calcul 6 2 3 2" xfId="16630" xr:uid="{949DBD86-87CF-4925-9FD0-5286FD7E340D}"/>
    <cellStyle name="Calcul 6 2 4" xfId="3289" xr:uid="{2361AE58-B918-467F-AEDC-DD54BB9254C1}"/>
    <cellStyle name="Calcul 6 2 4 2" xfId="16631" xr:uid="{20BF837D-67C5-45A0-B399-BB82573FAEFE}"/>
    <cellStyle name="Calcul 6 2 5" xfId="3290" xr:uid="{37A4E21E-FAA5-4830-A9AB-558ADC95105C}"/>
    <cellStyle name="Calcul 6 2 5 2" xfId="16632" xr:uid="{F51F8DC0-FD47-40F1-BA79-D8E55870A842}"/>
    <cellStyle name="Calcul 6 2 6" xfId="16628" xr:uid="{2CAA1ADA-FF88-47B3-93DC-584EB1947460}"/>
    <cellStyle name="Calcul 6 3" xfId="3291" xr:uid="{BBADECCE-2E4D-4BF2-A303-4BCB3ABA272C}"/>
    <cellStyle name="Calcul 6 3 2" xfId="16633" xr:uid="{A3C7710D-1DD7-48DB-95F9-9B008FB83B6F}"/>
    <cellStyle name="Calcul 6 4" xfId="3292" xr:uid="{84CB2263-190F-4C31-9851-F8FBC7298256}"/>
    <cellStyle name="Calcul 6 4 2" xfId="16634" xr:uid="{7237827E-CC7A-4C6B-9F31-F8F51CFD09CF}"/>
    <cellStyle name="Calcul 6 5" xfId="3293" xr:uid="{B5F7B4BE-5435-4EE9-8689-48AE853B2386}"/>
    <cellStyle name="Calcul 6 5 2" xfId="16635" xr:uid="{21292572-E3D3-4F9A-B9E5-FE5E0EA669F9}"/>
    <cellStyle name="Calcul 6 6" xfId="3294" xr:uid="{A59BE46B-5E55-4FEF-B2EA-7325418159A8}"/>
    <cellStyle name="Calcul 6 6 2" xfId="16636" xr:uid="{F940282C-2A62-4ADE-AE1D-E5BE693D02CA}"/>
    <cellStyle name="Calcul 6 7" xfId="16627" xr:uid="{C3831ED4-EBE6-4978-999C-17F06BA30E93}"/>
    <cellStyle name="Calcul 7" xfId="3295" xr:uid="{19D5B811-E354-4967-BBB3-64C288B6CB6F}"/>
    <cellStyle name="Calcul 7 2" xfId="3296" xr:uid="{2FF2A6C9-7D61-453A-BE44-BC0D63D14086}"/>
    <cellStyle name="Calcul 7 2 2" xfId="3297" xr:uid="{3B2D0CD8-DF5B-4123-8386-C86407C2B348}"/>
    <cellStyle name="Calcul 7 2 2 2" xfId="16639" xr:uid="{68E3B86F-1D1E-4B53-AF8B-944C5CAF7ABC}"/>
    <cellStyle name="Calcul 7 2 3" xfId="3298" xr:uid="{8142615C-0E43-4ECD-B135-5050B04B863A}"/>
    <cellStyle name="Calcul 7 2 3 2" xfId="16640" xr:uid="{A7F84CD2-F4C0-4C17-A326-D2A20F822589}"/>
    <cellStyle name="Calcul 7 2 4" xfId="3299" xr:uid="{4D9363AF-C817-4D80-8D56-6341078AF1C0}"/>
    <cellStyle name="Calcul 7 2 4 2" xfId="16641" xr:uid="{000D144C-7370-45D0-97E3-029D483EECD7}"/>
    <cellStyle name="Calcul 7 2 5" xfId="3300" xr:uid="{C90A7D56-E441-4B34-AFC0-5977FEDEF5F6}"/>
    <cellStyle name="Calcul 7 2 5 2" xfId="16642" xr:uid="{55E174D7-4CC4-4AED-A533-73F8CDB45AAD}"/>
    <cellStyle name="Calcul 7 2 6" xfId="16638" xr:uid="{4AA4E068-A636-42F1-BC61-31C386F530A4}"/>
    <cellStyle name="Calcul 7 3" xfId="3301" xr:uid="{49CBAE4D-F0E9-4596-82B7-93A95A958B4D}"/>
    <cellStyle name="Calcul 7 3 2" xfId="16643" xr:uid="{1C52229B-6BAD-4581-8C26-BC686F5E12B2}"/>
    <cellStyle name="Calcul 7 4" xfId="3302" xr:uid="{EF9A9917-D549-441A-90F5-ED67071A69F9}"/>
    <cellStyle name="Calcul 7 4 2" xfId="16644" xr:uid="{E566890B-572E-49DE-AA6D-62835E9F75E1}"/>
    <cellStyle name="Calcul 7 5" xfId="3303" xr:uid="{09E11628-4E18-4BDE-B53B-D020C90D9BFA}"/>
    <cellStyle name="Calcul 7 5 2" xfId="16645" xr:uid="{A76175F2-9FB5-4259-BAD3-B1998B296621}"/>
    <cellStyle name="Calcul 7 6" xfId="3304" xr:uid="{97A23BC3-6EB5-4BDD-BC38-3CCBC991117B}"/>
    <cellStyle name="Calcul 7 6 2" xfId="16646" xr:uid="{CABAE798-43CE-455A-BE95-39A124DE03D6}"/>
    <cellStyle name="Calcul 7 7" xfId="16637" xr:uid="{62DCCED0-30F0-4648-8418-831E7EF00F88}"/>
    <cellStyle name="Calcul 8" xfId="3305" xr:uid="{A225360D-7DBE-41BC-B398-E02BE657201D}"/>
    <cellStyle name="Calcul 8 2" xfId="3306" xr:uid="{ECDE4626-6890-4DA5-85DF-B38411BD7D70}"/>
    <cellStyle name="Calcul 8 2 2" xfId="3307" xr:uid="{513796F6-1C6C-4DD1-A101-45C472215CDF}"/>
    <cellStyle name="Calcul 8 2 2 2" xfId="16649" xr:uid="{4AFC2605-3011-4A36-9819-4E7F0C5A94D4}"/>
    <cellStyle name="Calcul 8 2 3" xfId="3308" xr:uid="{81C92C4B-5171-423A-AC93-D67D8D4642F3}"/>
    <cellStyle name="Calcul 8 2 3 2" xfId="16650" xr:uid="{2EF3FCBB-CFD2-4A3C-9D64-9E4D6237D4E6}"/>
    <cellStyle name="Calcul 8 2 4" xfId="3309" xr:uid="{B22DC8D1-4C55-4B49-AA36-BD7BADBFACE8}"/>
    <cellStyle name="Calcul 8 2 4 2" xfId="16651" xr:uid="{7C975212-72C4-4C3B-B8CF-C68D6417C26A}"/>
    <cellStyle name="Calcul 8 2 5" xfId="3310" xr:uid="{11D3C73B-F372-4E7B-8D43-0185E922E7EA}"/>
    <cellStyle name="Calcul 8 2 5 2" xfId="16652" xr:uid="{A217B139-B8E1-47EE-BB86-05FF37CDEDE2}"/>
    <cellStyle name="Calcul 8 2 6" xfId="16648" xr:uid="{34B6EE97-5341-4F31-88A5-5236F795C10C}"/>
    <cellStyle name="Calcul 8 3" xfId="3311" xr:uid="{509C7B3A-1248-4730-BCA7-B86877B35F1B}"/>
    <cellStyle name="Calcul 8 3 2" xfId="16653" xr:uid="{0C0BD925-B6F3-4016-8DB8-B11639079246}"/>
    <cellStyle name="Calcul 8 4" xfId="3312" xr:uid="{6EE00D95-2136-4867-86B6-79C519320CB6}"/>
    <cellStyle name="Calcul 8 4 2" xfId="16654" xr:uid="{FD3AA12D-8C9A-4D21-B9FB-10E917824402}"/>
    <cellStyle name="Calcul 8 5" xfId="3313" xr:uid="{F44C58AF-4F45-43F6-944A-2256BEEF0E9E}"/>
    <cellStyle name="Calcul 8 5 2" xfId="16655" xr:uid="{F21F8E32-0B6D-4AAC-A22F-50DF509272C7}"/>
    <cellStyle name="Calcul 8 6" xfId="3314" xr:uid="{F90EFCDF-159E-4E85-AFC2-F12CE338368F}"/>
    <cellStyle name="Calcul 8 6 2" xfId="16656" xr:uid="{C6CFAFB3-DBF3-4BDF-BE1F-E450545F2FDB}"/>
    <cellStyle name="Calcul 8 7" xfId="16647" xr:uid="{D4B8F069-2813-4013-8A42-804D77ADB653}"/>
    <cellStyle name="Calcul 9" xfId="3315" xr:uid="{2F20B94B-FEAE-4EAA-9634-CDFCFA122AC9}"/>
    <cellStyle name="Calcul 9 2" xfId="3316" xr:uid="{8E1FF92C-FB34-469C-88A8-32B7F777B2AD}"/>
    <cellStyle name="Calcul 9 2 2" xfId="3317" xr:uid="{0178A02E-0488-423F-AD88-634925D9264D}"/>
    <cellStyle name="Calcul 9 2 2 2" xfId="16659" xr:uid="{8F27DA33-0483-49BE-ABCE-080B0EECDFC5}"/>
    <cellStyle name="Calcul 9 2 3" xfId="3318" xr:uid="{5D43CADD-1EDF-46AE-9B7E-42B7C917F45C}"/>
    <cellStyle name="Calcul 9 2 3 2" xfId="16660" xr:uid="{459A0230-92CC-419F-8FF8-1D3F437CAE8E}"/>
    <cellStyle name="Calcul 9 2 4" xfId="3319" xr:uid="{5DF88001-D767-4E4D-9AB2-D1A148C51BE7}"/>
    <cellStyle name="Calcul 9 2 4 2" xfId="16661" xr:uid="{C66A3C65-444F-4696-B294-14479F14C3D1}"/>
    <cellStyle name="Calcul 9 2 5" xfId="3320" xr:uid="{65BEA319-6518-43B1-8433-9CF56EA63812}"/>
    <cellStyle name="Calcul 9 2 5 2" xfId="16662" xr:uid="{CFE2CF52-75C6-47D3-8B9E-60FC78BC4369}"/>
    <cellStyle name="Calcul 9 2 6" xfId="16658" xr:uid="{737E9AA5-5417-45F5-96E7-6B4F9033DFFA}"/>
    <cellStyle name="Calcul 9 3" xfId="3321" xr:uid="{A2BC862C-A088-4BFF-A711-18DE4E6A2D85}"/>
    <cellStyle name="Calcul 9 3 2" xfId="16663" xr:uid="{A705D72D-8E96-4711-A6D5-CD8868FC9AFE}"/>
    <cellStyle name="Calcul 9 4" xfId="3322" xr:uid="{DB83955D-F851-4C17-AC56-67D3D05BE539}"/>
    <cellStyle name="Calcul 9 4 2" xfId="16664" xr:uid="{EE0675E3-72DA-40AC-AF59-1403E8EB81B9}"/>
    <cellStyle name="Calcul 9 5" xfId="3323" xr:uid="{3F5F8601-63A5-47C8-8206-A064F264D130}"/>
    <cellStyle name="Calcul 9 5 2" xfId="16665" xr:uid="{4A8822B7-594F-4C61-BC9F-0E553542B9EE}"/>
    <cellStyle name="Calcul 9 6" xfId="3324" xr:uid="{E42ECEDD-EAC2-4C24-A2BF-6C55DB24AB68}"/>
    <cellStyle name="Calcul 9 6 2" xfId="16666" xr:uid="{4D8EF4DF-6088-4926-963E-8BA7938950D4}"/>
    <cellStyle name="Calcul 9 7" xfId="16657" xr:uid="{797B8491-02BD-440C-A858-545EF86A688F}"/>
    <cellStyle name="Calculation 10" xfId="3326" xr:uid="{81251E67-38E5-4167-9BD8-4D435A6C1EFD}"/>
    <cellStyle name="Calculation 10 2" xfId="3327" xr:uid="{501C982C-D681-46CE-ABA8-F91E9F6118E1}"/>
    <cellStyle name="Calculation 10 2 2" xfId="3328" xr:uid="{D8638F9C-2321-4C30-A75B-27E595ABB2E0}"/>
    <cellStyle name="Calculation 10 2 2 2" xfId="16669" xr:uid="{16200659-A311-42EE-9C75-4CDCAE8A80A2}"/>
    <cellStyle name="Calculation 10 2 3" xfId="3329" xr:uid="{3F299A27-594F-4956-A64C-99379F3CA36E}"/>
    <cellStyle name="Calculation 10 2 3 2" xfId="16670" xr:uid="{654EBAB4-BDB6-4D0C-9E95-C90EECA2D595}"/>
    <cellStyle name="Calculation 10 2 4" xfId="3330" xr:uid="{5B45C600-0227-4D1B-837F-8021B4E8042D}"/>
    <cellStyle name="Calculation 10 2 4 2" xfId="16671" xr:uid="{9FF5FC67-6DFB-4A22-8FDB-2C12AE02A275}"/>
    <cellStyle name="Calculation 10 2 5" xfId="3331" xr:uid="{E77A8479-6C13-40F1-A70C-EA9D4CE06FB6}"/>
    <cellStyle name="Calculation 10 2 5 2" xfId="16672" xr:uid="{46EBBF1B-CCE7-4FBF-9790-3BB7ED4A0E65}"/>
    <cellStyle name="Calculation 10 2 6" xfId="16668" xr:uid="{13CC20BA-A2F0-4CB6-BC95-DA77F9B787F3}"/>
    <cellStyle name="Calculation 10 3" xfId="3332" xr:uid="{53F80C18-5229-4B99-A232-0F3835E40047}"/>
    <cellStyle name="Calculation 10 3 2" xfId="16673" xr:uid="{CA22C873-8274-4059-ADCB-89896DE17249}"/>
    <cellStyle name="Calculation 10 4" xfId="3333" xr:uid="{3A507D10-049C-4823-AF78-C2DDA2DF51CE}"/>
    <cellStyle name="Calculation 10 4 2" xfId="16674" xr:uid="{5DAF4768-8DC7-4E07-94CD-890C61BE334E}"/>
    <cellStyle name="Calculation 10 5" xfId="3334" xr:uid="{2FC4FE68-E212-43D9-9396-3AE1BF288F0E}"/>
    <cellStyle name="Calculation 10 5 2" xfId="16675" xr:uid="{F04C6DD8-8926-481A-8713-49E5B5D50095}"/>
    <cellStyle name="Calculation 10 6" xfId="3335" xr:uid="{F23E050B-9D70-4174-B96A-256FBAB3E64C}"/>
    <cellStyle name="Calculation 10 6 2" xfId="16676" xr:uid="{62C64ADC-BB74-4AEB-A04B-495E66C96BD2}"/>
    <cellStyle name="Calculation 10 7" xfId="16667" xr:uid="{DEA7D5E3-62C0-4CDA-9CD6-AB47A94BD0E6}"/>
    <cellStyle name="Calculation 11" xfId="3336" xr:uid="{96FFBAC6-9A74-4EC2-B90A-A09418799FB0}"/>
    <cellStyle name="Calculation 11 2" xfId="3337" xr:uid="{BF1FA069-C48E-4994-BBE5-798495F9A584}"/>
    <cellStyle name="Calculation 11 2 2" xfId="3338" xr:uid="{A7C4A696-5D7B-4079-8C2E-0790C3F95428}"/>
    <cellStyle name="Calculation 11 2 2 2" xfId="16679" xr:uid="{17BA3A4F-57A7-465D-9E37-770F78AF1D60}"/>
    <cellStyle name="Calculation 11 2 3" xfId="3339" xr:uid="{820A7465-56B2-4FE9-8035-E7C99C580C2F}"/>
    <cellStyle name="Calculation 11 2 3 2" xfId="16680" xr:uid="{0578B75E-795A-4225-B3E1-7A9CB1DF1628}"/>
    <cellStyle name="Calculation 11 2 4" xfId="3340" xr:uid="{4B1BB665-6D03-4748-B621-BFC06D7CE9BD}"/>
    <cellStyle name="Calculation 11 2 4 2" xfId="16681" xr:uid="{77A97F03-0756-46F5-A13B-79FDCD22FE65}"/>
    <cellStyle name="Calculation 11 2 5" xfId="3341" xr:uid="{8C3B14D8-9384-4606-B37B-502E2BC9F093}"/>
    <cellStyle name="Calculation 11 2 5 2" xfId="16682" xr:uid="{B208D349-2E58-4036-BEB2-E0864DC6AA49}"/>
    <cellStyle name="Calculation 11 2 6" xfId="16678" xr:uid="{AE01FBFD-7EFC-48AD-BA5D-D223C6AF5A1F}"/>
    <cellStyle name="Calculation 11 3" xfId="3342" xr:uid="{2C8BEA58-2BED-4BF5-B8B3-83B148A5EE1D}"/>
    <cellStyle name="Calculation 11 3 2" xfId="16683" xr:uid="{2C095B64-19BA-4117-B67B-4DD1708A236D}"/>
    <cellStyle name="Calculation 11 4" xfId="3343" xr:uid="{A48D8BA2-4D41-4C7B-972F-9B98C012CB17}"/>
    <cellStyle name="Calculation 11 4 2" xfId="16684" xr:uid="{9E32867C-88EF-4F10-A4C1-921CE05553FE}"/>
    <cellStyle name="Calculation 11 5" xfId="3344" xr:uid="{FF38ED03-F45C-481B-8660-4478EAD4780D}"/>
    <cellStyle name="Calculation 11 5 2" xfId="16685" xr:uid="{60DAC3D9-CFC3-425F-A8C7-3CB3CCEB2C1E}"/>
    <cellStyle name="Calculation 11 6" xfId="3345" xr:uid="{256419FF-9D73-4DFB-9143-F46BFE8CAFBA}"/>
    <cellStyle name="Calculation 11 6 2" xfId="16686" xr:uid="{E6B76C82-5A0A-42D5-A9A4-3BBF3095D801}"/>
    <cellStyle name="Calculation 11 7" xfId="16677" xr:uid="{046174F3-6504-4F16-BEC3-85353077079D}"/>
    <cellStyle name="Calculation 12" xfId="3346" xr:uid="{3FC20DBA-159E-4A46-9E44-4E4E0AC16C6E}"/>
    <cellStyle name="Calculation 12 2" xfId="3347" xr:uid="{A9217615-FC1C-4F1F-A362-12C6823CF000}"/>
    <cellStyle name="Calculation 12 2 2" xfId="3348" xr:uid="{F925589B-6663-434F-A554-7F530AF9242E}"/>
    <cellStyle name="Calculation 12 2 2 2" xfId="16689" xr:uid="{9215F16D-79F9-4874-B6DD-7269F3A1CDD9}"/>
    <cellStyle name="Calculation 12 2 3" xfId="3349" xr:uid="{069AF8E1-A225-40CF-BEDD-9039502584F3}"/>
    <cellStyle name="Calculation 12 2 3 2" xfId="16690" xr:uid="{5CB939F8-78AD-48BC-BFCD-89F1AD7DA8AF}"/>
    <cellStyle name="Calculation 12 2 4" xfId="3350" xr:uid="{4E6DCB2F-0E91-4AE3-B6F4-913D49EA609B}"/>
    <cellStyle name="Calculation 12 2 4 2" xfId="16691" xr:uid="{E55B7ABE-1B9F-45E0-8258-C15B3FB6CB2F}"/>
    <cellStyle name="Calculation 12 2 5" xfId="3351" xr:uid="{2C943A27-4544-414B-8D5F-2196C3958B45}"/>
    <cellStyle name="Calculation 12 2 5 2" xfId="16692" xr:uid="{57653024-9974-4AEB-A352-77EC0C682212}"/>
    <cellStyle name="Calculation 12 2 6" xfId="16688" xr:uid="{9FD9DDB5-04A4-48FA-8A91-DECED080B97E}"/>
    <cellStyle name="Calculation 12 3" xfId="3352" xr:uid="{8D4E97DE-B8DC-4100-95C3-0901EB28262D}"/>
    <cellStyle name="Calculation 12 3 2" xfId="16693" xr:uid="{FCED326C-8F0F-480B-8176-C29C512C47BC}"/>
    <cellStyle name="Calculation 12 4" xfId="3353" xr:uid="{2D3C2BC1-61C1-44F1-BDDB-FE21254C9593}"/>
    <cellStyle name="Calculation 12 4 2" xfId="16694" xr:uid="{7B4CDC48-A1AB-4045-A4AC-E6A44FFF5387}"/>
    <cellStyle name="Calculation 12 5" xfId="3354" xr:uid="{50A71DED-3E79-4593-B488-4623E5B78F32}"/>
    <cellStyle name="Calculation 12 5 2" xfId="16695" xr:uid="{89C175D7-E884-4557-AA43-0B440364030A}"/>
    <cellStyle name="Calculation 12 6" xfId="3355" xr:uid="{6193783A-7516-439E-9161-4A556EFD5611}"/>
    <cellStyle name="Calculation 12 6 2" xfId="16696" xr:uid="{BAEE80E7-C437-4CB9-A9FE-DE98668ADCB1}"/>
    <cellStyle name="Calculation 12 7" xfId="16687" xr:uid="{CEE75048-BF0E-48E0-B985-B98398281CF9}"/>
    <cellStyle name="Calculation 13" xfId="3356" xr:uid="{30E03968-AF16-42A5-9DE2-1F339E377A57}"/>
    <cellStyle name="Calculation 13 2" xfId="3357" xr:uid="{A64CDFF2-6DFF-42B5-BE6B-4EEB04BBAF2F}"/>
    <cellStyle name="Calculation 13 2 2" xfId="3358" xr:uid="{9C12E1CC-7D29-4D05-9442-FE59C9C8C73B}"/>
    <cellStyle name="Calculation 13 2 2 2" xfId="16699" xr:uid="{C2AB113A-2945-48EB-B92F-39809355E1EC}"/>
    <cellStyle name="Calculation 13 2 3" xfId="3359" xr:uid="{F943A9E7-A445-401E-9EA8-5241C2DCB51D}"/>
    <cellStyle name="Calculation 13 2 3 2" xfId="16700" xr:uid="{4927CBF0-0FAE-478F-9480-549CEE948AF9}"/>
    <cellStyle name="Calculation 13 2 4" xfId="3360" xr:uid="{37E1A5A9-CB72-4C20-AE38-171F05FB2F58}"/>
    <cellStyle name="Calculation 13 2 4 2" xfId="16701" xr:uid="{380F4575-F18D-42E2-B34C-CDA0A69DF9EE}"/>
    <cellStyle name="Calculation 13 2 5" xfId="3361" xr:uid="{993FCD42-FF3B-422B-89C7-6FA9EC8E760B}"/>
    <cellStyle name="Calculation 13 2 5 2" xfId="16702" xr:uid="{8542A22C-3317-4483-88AE-193076C8ED85}"/>
    <cellStyle name="Calculation 13 2 6" xfId="16698" xr:uid="{7AC41E02-AFEF-45F2-8FB5-4AACA9D59031}"/>
    <cellStyle name="Calculation 13 3" xfId="3362" xr:uid="{4D12EAEE-E6EB-4027-BE84-98112A942953}"/>
    <cellStyle name="Calculation 13 3 2" xfId="16703" xr:uid="{5F907318-2542-46CA-ACBF-7C52546EBFE9}"/>
    <cellStyle name="Calculation 13 4" xfId="3363" xr:uid="{50CA800B-2634-451C-B548-3CA12C9A5669}"/>
    <cellStyle name="Calculation 13 4 2" xfId="16704" xr:uid="{C547852B-266F-433E-94CF-BBECD0DB5001}"/>
    <cellStyle name="Calculation 13 5" xfId="3364" xr:uid="{834618F5-0DD8-4286-9D33-F8AA48D3FE6A}"/>
    <cellStyle name="Calculation 13 5 2" xfId="16705" xr:uid="{B794CDF9-77CC-4F11-965C-63011A574435}"/>
    <cellStyle name="Calculation 13 6" xfId="3365" xr:uid="{B834DA22-A55D-4248-A7E3-5E6517E4E973}"/>
    <cellStyle name="Calculation 13 6 2" xfId="16706" xr:uid="{65EEE8D8-5EEB-450F-9149-4FD56DBB4689}"/>
    <cellStyle name="Calculation 13 7" xfId="16697" xr:uid="{E6826B3B-9E6D-4E6C-AAA5-CB2ACF23EC99}"/>
    <cellStyle name="Calculation 14" xfId="3366" xr:uid="{CC528DBA-0CD2-413B-B925-C4E414252898}"/>
    <cellStyle name="Calculation 14 2" xfId="3367" xr:uid="{7C646AF5-8180-449A-8720-84EC51945CDB}"/>
    <cellStyle name="Calculation 14 2 2" xfId="3368" xr:uid="{FE2B4680-01FF-4344-84D3-8C98BDBFD611}"/>
    <cellStyle name="Calculation 14 2 2 2" xfId="16709" xr:uid="{D666ACBE-D970-4968-B5BE-A4586599B9B7}"/>
    <cellStyle name="Calculation 14 2 3" xfId="3369" xr:uid="{B31C9032-368F-46DD-A47E-CE29960FB5C6}"/>
    <cellStyle name="Calculation 14 2 3 2" xfId="16710" xr:uid="{7A94DE5C-BBB5-4A94-846E-846A2C4FB1B5}"/>
    <cellStyle name="Calculation 14 2 4" xfId="3370" xr:uid="{E839B4B8-0656-4D81-A625-89AA4ED3D337}"/>
    <cellStyle name="Calculation 14 2 4 2" xfId="16711" xr:uid="{C8E4F331-523F-40CB-BDE2-4853B38AF6B5}"/>
    <cellStyle name="Calculation 14 2 5" xfId="3371" xr:uid="{6C892A0D-B5F2-4391-840E-4621B864A5DC}"/>
    <cellStyle name="Calculation 14 2 5 2" xfId="16712" xr:uid="{646897B2-4E0E-4FAF-A381-1DE16F564386}"/>
    <cellStyle name="Calculation 14 2 6" xfId="16708" xr:uid="{BEE7E9FC-324D-46E9-BBD5-CC0F5CDC64EC}"/>
    <cellStyle name="Calculation 14 3" xfId="3372" xr:uid="{8BA178BD-F197-4378-9CC9-E4C9B5EE1430}"/>
    <cellStyle name="Calculation 14 3 2" xfId="16713" xr:uid="{F830B191-77B5-4A9C-A660-7F49614CDB4C}"/>
    <cellStyle name="Calculation 14 4" xfId="3373" xr:uid="{0EC240D2-6782-4E91-ABE0-8879274BC880}"/>
    <cellStyle name="Calculation 14 4 2" xfId="16714" xr:uid="{212B137B-7B69-4864-A129-C93B73301CE8}"/>
    <cellStyle name="Calculation 14 5" xfId="3374" xr:uid="{51C74A16-B9BD-4307-8765-1E3730770E41}"/>
    <cellStyle name="Calculation 14 5 2" xfId="16715" xr:uid="{743038CC-0F3B-4BF8-970B-9ED842241342}"/>
    <cellStyle name="Calculation 14 6" xfId="3375" xr:uid="{4112D89A-497D-4C89-BB76-278060A3B2D0}"/>
    <cellStyle name="Calculation 14 6 2" xfId="16716" xr:uid="{2026C49D-04E5-4B63-A334-FD8EEE2BFD5F}"/>
    <cellStyle name="Calculation 14 7" xfId="16707" xr:uid="{E559A2C2-E8AA-43CC-B9A4-58D2A41709DB}"/>
    <cellStyle name="Calculation 15" xfId="3376" xr:uid="{DAB3245B-4898-446F-B182-E3640E744E5F}"/>
    <cellStyle name="Calculation 15 2" xfId="3377" xr:uid="{1C8749DB-1D43-49DE-B2A5-03FDCD1CFBE9}"/>
    <cellStyle name="Calculation 15 2 2" xfId="3378" xr:uid="{937AC3FE-501A-4278-A1B4-410DB47EA825}"/>
    <cellStyle name="Calculation 15 2 2 2" xfId="16719" xr:uid="{851E39DE-844B-46F7-A3D7-4D05843D08CC}"/>
    <cellStyle name="Calculation 15 2 3" xfId="3379" xr:uid="{00115A98-2623-472D-8EFE-6B6A111A47F0}"/>
    <cellStyle name="Calculation 15 2 3 2" xfId="16720" xr:uid="{ECA2FE6D-FCB3-4407-9EB8-26E27ED77625}"/>
    <cellStyle name="Calculation 15 2 4" xfId="3380" xr:uid="{CD382E5E-F45B-430D-B8B6-30883EA87E41}"/>
    <cellStyle name="Calculation 15 2 4 2" xfId="16721" xr:uid="{DE1DFF1E-C7E5-4903-8755-F07D6AB7F80D}"/>
    <cellStyle name="Calculation 15 2 5" xfId="3381" xr:uid="{425BA5E3-99A2-44C0-9E84-D220A0AA32AA}"/>
    <cellStyle name="Calculation 15 2 5 2" xfId="16722" xr:uid="{BD184571-CA5A-4553-A753-24E8AB016F55}"/>
    <cellStyle name="Calculation 15 2 6" xfId="16718" xr:uid="{E2B1FC98-CF3F-43CD-BE87-906419EB84B8}"/>
    <cellStyle name="Calculation 15 3" xfId="3382" xr:uid="{65A0D217-63CC-4ABA-817A-E398100DBC20}"/>
    <cellStyle name="Calculation 15 3 2" xfId="16723" xr:uid="{13CC2E49-664B-4927-87B2-537F78DB5B73}"/>
    <cellStyle name="Calculation 15 4" xfId="3383" xr:uid="{E828F894-A565-428C-9932-BD7719AC15E6}"/>
    <cellStyle name="Calculation 15 4 2" xfId="16724" xr:uid="{AB34474F-4477-4129-ABB4-E34638A2A620}"/>
    <cellStyle name="Calculation 15 5" xfId="3384" xr:uid="{72DDC2FE-990B-451D-AD92-F8FBA166DC1E}"/>
    <cellStyle name="Calculation 15 5 2" xfId="16725" xr:uid="{D69E1D8E-8AD5-45A2-BEC7-D5A074EF843E}"/>
    <cellStyle name="Calculation 15 6" xfId="3385" xr:uid="{128C470D-D19C-4452-A69F-042C0D0D4E41}"/>
    <cellStyle name="Calculation 15 6 2" xfId="16726" xr:uid="{0A62E30F-0A83-4609-B6A5-63F3BCBD6EF3}"/>
    <cellStyle name="Calculation 15 7" xfId="16717" xr:uid="{88636FC6-DF12-489B-9639-D273CECA0D1A}"/>
    <cellStyle name="Calculation 16" xfId="3386" xr:uid="{B979D960-A017-45B4-BA32-7A8DD4EFBF53}"/>
    <cellStyle name="Calculation 16 2" xfId="3387" xr:uid="{B3F9C663-E360-44A5-8184-6DCCD3032811}"/>
    <cellStyle name="Calculation 16 2 2" xfId="16728" xr:uid="{AF8E635B-C92A-4AF5-A336-D3220A7EA00A}"/>
    <cellStyle name="Calculation 16 3" xfId="3388" xr:uid="{0EC7A4D9-A732-4BF7-8425-9AB413376820}"/>
    <cellStyle name="Calculation 16 3 2" xfId="16729" xr:uid="{9633CFBE-308B-4945-A083-A8FC63C0B59C}"/>
    <cellStyle name="Calculation 16 4" xfId="3389" xr:uid="{44B8B352-D970-4909-A410-3097D08233A3}"/>
    <cellStyle name="Calculation 16 4 2" xfId="16730" xr:uid="{8F6B200E-BD47-4A95-ADD8-F8FB84153325}"/>
    <cellStyle name="Calculation 16 5" xfId="3390" xr:uid="{94CCD03A-7EA9-49C9-9E97-6045327E4B8A}"/>
    <cellStyle name="Calculation 16 5 2" xfId="16731" xr:uid="{087C7722-2D21-48F3-AA51-B107631B9F52}"/>
    <cellStyle name="Calculation 16 6" xfId="16727" xr:uid="{C6E85EE6-A885-4323-97F8-77360CD31B2A}"/>
    <cellStyle name="Calculation 17" xfId="3391" xr:uid="{C72AFE8B-4F8F-4674-876C-005C330008B3}"/>
    <cellStyle name="Calculation 17 2" xfId="16732" xr:uid="{AF332564-9BB4-4CF0-8EB5-3EF659346ACC}"/>
    <cellStyle name="Calculation 18" xfId="3392" xr:uid="{FC7BFA1C-238C-423B-A03E-62A5A673F800}"/>
    <cellStyle name="Calculation 18 2" xfId="16733" xr:uid="{487E524B-7530-413D-B341-FE22D8C2F5D8}"/>
    <cellStyle name="Calculation 19" xfId="3393" xr:uid="{A2F03E35-566F-448A-8689-F527ED3D0212}"/>
    <cellStyle name="Calculation 19 2" xfId="16734" xr:uid="{E63F1F00-7EB8-4D47-A29A-1037E701D2C9}"/>
    <cellStyle name="Calculation 2" xfId="3394" xr:uid="{0EAF8E18-9E65-4802-A20F-7B607075A7F9}"/>
    <cellStyle name="Calculation 2 2" xfId="3395" xr:uid="{DD8D1BEF-DD06-4B18-AAE6-397426F22A4C}"/>
    <cellStyle name="Calculation 2 2 2" xfId="3396" xr:uid="{8BA7A55E-DC5E-4BB6-B032-EABD3591F139}"/>
    <cellStyle name="Calculation 2 2 2 2" xfId="16736" xr:uid="{8ADC0327-10C5-421E-96CC-2B579DCD9233}"/>
    <cellStyle name="Calculation 2 2 3" xfId="3397" xr:uid="{0997DE19-045C-47EA-B585-24E5A3071066}"/>
    <cellStyle name="Calculation 2 2 3 2" xfId="16737" xr:uid="{F7307035-729F-4057-B28B-1E0BE4ACB105}"/>
    <cellStyle name="Calculation 2 2 4" xfId="3398" xr:uid="{561C8930-5D37-4749-80AD-FBA829DB4598}"/>
    <cellStyle name="Calculation 2 2 4 2" xfId="16738" xr:uid="{2869BDF5-D8B3-4DF9-A684-62AFAC928087}"/>
    <cellStyle name="Calculation 2 2 5" xfId="3399" xr:uid="{1794E23A-873D-4DFE-92E7-664B7A1F2210}"/>
    <cellStyle name="Calculation 2 2 5 2" xfId="16739" xr:uid="{DD38AF1E-E084-40A1-98CE-B9FB61B611E6}"/>
    <cellStyle name="Calculation 2 2 6" xfId="16735" xr:uid="{645B6024-3A31-4266-A461-6EFED0F7EFF0}"/>
    <cellStyle name="Calculation 2 3" xfId="3400" xr:uid="{444DB24C-0BEE-43B1-972B-BF2402DC44AD}"/>
    <cellStyle name="Calculation 2 3 2" xfId="16740" xr:uid="{1FE9B478-0545-4475-A6B5-840C93C8FECC}"/>
    <cellStyle name="Calculation 2 4" xfId="3401" xr:uid="{8637B595-AC6E-48AD-9015-52829F6F79E5}"/>
    <cellStyle name="Calculation 2 4 2" xfId="16741" xr:uid="{F5A12FB2-5A3F-4CD6-9573-08924885D595}"/>
    <cellStyle name="Calculation 2 5" xfId="3402" xr:uid="{07B5FBC5-EEC7-47BF-A0C6-8E74B70E7E7B}"/>
    <cellStyle name="Calculation 2 5 2" xfId="16742" xr:uid="{04336BDF-F8DB-4B21-BD8B-5A503AB46906}"/>
    <cellStyle name="Calculation 2 6" xfId="3403" xr:uid="{E41B7C17-1DE2-4664-B679-5B84B97A6B5C}"/>
    <cellStyle name="Calculation 2 6 2" xfId="16743" xr:uid="{00D6A890-B292-4635-B364-13C8FC60B80A}"/>
    <cellStyle name="Calculation 2 7" xfId="14949" xr:uid="{2A2C4B05-B2AE-40F7-9B62-8BA9D3802B2B}"/>
    <cellStyle name="Calculation 2_RP3 PP revised" xfId="15212" xr:uid="{EA3976FA-81F2-429E-94D5-A3229FBE2C65}"/>
    <cellStyle name="Calculation 20" xfId="3404" xr:uid="{56B86DC8-D29F-4215-952A-4F3094307580}"/>
    <cellStyle name="Calculation 20 2" xfId="16744" xr:uid="{821141AB-94EC-4BC9-B29C-008EA9E0EE41}"/>
    <cellStyle name="Calculation 21" xfId="3325" xr:uid="{259586B5-43F7-41E0-9724-A5956F559ECF}"/>
    <cellStyle name="Calculation 3" xfId="3405" xr:uid="{5AEB2426-8A1E-4475-A1F5-C6870367EE01}"/>
    <cellStyle name="Calculation 3 2" xfId="3406" xr:uid="{EECF9003-3F88-4028-BFCC-E1FC663C1459}"/>
    <cellStyle name="Calculation 3 2 2" xfId="3407" xr:uid="{7034D504-B57C-428A-8589-B35AD497B290}"/>
    <cellStyle name="Calculation 3 2 2 2" xfId="16747" xr:uid="{A2BF82E6-721B-4AD2-B540-DED69C34043F}"/>
    <cellStyle name="Calculation 3 2 3" xfId="3408" xr:uid="{800B28E2-8609-4032-BE37-625BBB787308}"/>
    <cellStyle name="Calculation 3 2 3 2" xfId="16748" xr:uid="{B2B69D8F-C792-4029-BDE5-FB3F818D2BC0}"/>
    <cellStyle name="Calculation 3 2 4" xfId="3409" xr:uid="{423891D1-92D8-4E51-B164-EDC30593AAEF}"/>
    <cellStyle name="Calculation 3 2 4 2" xfId="16749" xr:uid="{6B38306F-288E-4301-A599-743D67FE4288}"/>
    <cellStyle name="Calculation 3 2 5" xfId="3410" xr:uid="{A661389F-2A70-453A-B696-87610E718E38}"/>
    <cellStyle name="Calculation 3 2 5 2" xfId="16750" xr:uid="{77FD925F-49C8-4A44-A18C-CEE771AB709F}"/>
    <cellStyle name="Calculation 3 2 6" xfId="16746" xr:uid="{7BE3039A-5BF3-44FE-8944-D295CB017834}"/>
    <cellStyle name="Calculation 3 3" xfId="3411" xr:uid="{84F6B4C1-FDB2-4008-8E03-91C09F182FD1}"/>
    <cellStyle name="Calculation 3 3 2" xfId="16751" xr:uid="{D4DC6BAF-8647-41F2-B587-A398E2427451}"/>
    <cellStyle name="Calculation 3 4" xfId="3412" xr:uid="{56F691F5-6E19-4553-ACD6-C109F48D9E7D}"/>
    <cellStyle name="Calculation 3 4 2" xfId="16752" xr:uid="{7863ECF0-1C92-49F8-B0C8-0926FC865723}"/>
    <cellStyle name="Calculation 3 5" xfId="3413" xr:uid="{5D0E5981-8434-42E7-AEA7-4B5EC5FC583B}"/>
    <cellStyle name="Calculation 3 5 2" xfId="16753" xr:uid="{2278CA84-6DBB-41CA-AF11-85FB83D2754C}"/>
    <cellStyle name="Calculation 3 6" xfId="3414" xr:uid="{114F5A6A-97E9-4D31-960C-EEEB79CFBC56}"/>
    <cellStyle name="Calculation 3 6 2" xfId="16754" xr:uid="{E5EF7A4F-6D8B-4E48-9F12-7B6E31BEB04A}"/>
    <cellStyle name="Calculation 3 7" xfId="16745" xr:uid="{8413952E-6073-4BAF-8871-1B715C09A11F}"/>
    <cellStyle name="Calculation 4" xfId="3415" xr:uid="{F1DF48AE-E228-4902-A6A4-231C18F4BC91}"/>
    <cellStyle name="Calculation 4 2" xfId="3416" xr:uid="{DF6BEC09-8480-446F-8088-587C02E14D00}"/>
    <cellStyle name="Calculation 4 2 2" xfId="3417" xr:uid="{9A75D95C-4138-4ABA-907E-D86951A71AEA}"/>
    <cellStyle name="Calculation 4 2 2 2" xfId="16757" xr:uid="{DC0CA6DE-37EC-4E2E-8422-D394A8234417}"/>
    <cellStyle name="Calculation 4 2 3" xfId="3418" xr:uid="{74676D5C-0F34-4AB8-A7FC-F89CA94ADFD0}"/>
    <cellStyle name="Calculation 4 2 3 2" xfId="16758" xr:uid="{13AD7111-DF0E-4AF7-AD11-C4C22B7F668F}"/>
    <cellStyle name="Calculation 4 2 4" xfId="3419" xr:uid="{59D87BBC-6CAB-4530-A301-0D8113F3725B}"/>
    <cellStyle name="Calculation 4 2 4 2" xfId="16759" xr:uid="{78C285B6-E1F1-4666-90F1-4859079BBF2F}"/>
    <cellStyle name="Calculation 4 2 5" xfId="3420" xr:uid="{794DC9AF-F6FF-4B3B-BF32-0BCCB4B38DF5}"/>
    <cellStyle name="Calculation 4 2 5 2" xfId="16760" xr:uid="{525E0DBE-9B34-4E59-9AD1-E82FCB737593}"/>
    <cellStyle name="Calculation 4 2 6" xfId="16756" xr:uid="{AB4D9F07-B048-431C-AC2D-8E0A27A0F2B4}"/>
    <cellStyle name="Calculation 4 3" xfId="3421" xr:uid="{4E2E358B-2716-40AA-86C9-847F111EBB36}"/>
    <cellStyle name="Calculation 4 3 2" xfId="16761" xr:uid="{AB64E3DE-7FCF-4370-BE2D-CBC0923C108D}"/>
    <cellStyle name="Calculation 4 4" xfId="3422" xr:uid="{06387BE8-8C2C-4DBE-9BA4-EBEF54324CC1}"/>
    <cellStyle name="Calculation 4 4 2" xfId="16762" xr:uid="{5A80BFCF-19D2-4CA4-95FF-680704926327}"/>
    <cellStyle name="Calculation 4 5" xfId="3423" xr:uid="{C8560A80-5282-43DB-8926-844FD5087843}"/>
    <cellStyle name="Calculation 4 5 2" xfId="16763" xr:uid="{740303CE-1A26-4A5B-9350-B2BBBDA2CB24}"/>
    <cellStyle name="Calculation 4 6" xfId="3424" xr:uid="{F0C3BD82-944C-4527-A8A5-3CD4FAF6CE97}"/>
    <cellStyle name="Calculation 4 6 2" xfId="16764" xr:uid="{4EE94818-05A7-4383-A7BA-73171A97B250}"/>
    <cellStyle name="Calculation 4 7" xfId="16755" xr:uid="{34DC0B36-243D-410C-8780-EB4BC9569E3B}"/>
    <cellStyle name="Calculation 5" xfId="3425" xr:uid="{B2351A52-43F2-498D-BC4D-EF5718EDBED1}"/>
    <cellStyle name="Calculation 5 2" xfId="3426" xr:uid="{02B098A9-E439-4388-915D-A24F4AE059F5}"/>
    <cellStyle name="Calculation 5 2 2" xfId="3427" xr:uid="{903732F4-3B8D-4066-AB0F-C5C2C8BE1F03}"/>
    <cellStyle name="Calculation 5 2 2 2" xfId="16767" xr:uid="{36AB0CFC-38F2-4059-BB93-64CE3C7BC6EB}"/>
    <cellStyle name="Calculation 5 2 3" xfId="3428" xr:uid="{D8C06D0E-626C-45BD-A984-49F99DBE77F9}"/>
    <cellStyle name="Calculation 5 2 3 2" xfId="16768" xr:uid="{E67DE768-16B2-4414-92A8-8036588BB724}"/>
    <cellStyle name="Calculation 5 2 4" xfId="3429" xr:uid="{91241081-309F-454E-8389-D3B60C931A79}"/>
    <cellStyle name="Calculation 5 2 4 2" xfId="16769" xr:uid="{532923DB-B2E7-419F-9503-0353BA7A39E9}"/>
    <cellStyle name="Calculation 5 2 5" xfId="3430" xr:uid="{88D161A2-503A-41D8-8D1C-2D1EC51B583E}"/>
    <cellStyle name="Calculation 5 2 5 2" xfId="16770" xr:uid="{C5B1F9FA-3309-4E9E-9AD0-D7D20961948A}"/>
    <cellStyle name="Calculation 5 2 6" xfId="16766" xr:uid="{DFC83B7E-91BE-4D1B-9EBA-6136CDAE70BF}"/>
    <cellStyle name="Calculation 5 3" xfId="3431" xr:uid="{F3E94EFB-CC6F-4062-AEB4-2316E513CB77}"/>
    <cellStyle name="Calculation 5 3 2" xfId="16771" xr:uid="{5540E4F7-BD1E-4723-9A4A-DC2B8CC5847D}"/>
    <cellStyle name="Calculation 5 4" xfId="3432" xr:uid="{D1A35403-7586-4036-8F7A-B5BB21DC8716}"/>
    <cellStyle name="Calculation 5 4 2" xfId="16772" xr:uid="{3E8C5EDF-8D15-4460-9E68-65654726693D}"/>
    <cellStyle name="Calculation 5 5" xfId="3433" xr:uid="{39EA4351-343E-43B5-99BA-47BF7C3E311B}"/>
    <cellStyle name="Calculation 5 5 2" xfId="16773" xr:uid="{B8913FEF-9835-466D-99AB-C5C014C7C052}"/>
    <cellStyle name="Calculation 5 6" xfId="3434" xr:uid="{6FD52D40-19C9-4593-A4BD-C4083BDE7419}"/>
    <cellStyle name="Calculation 5 6 2" xfId="16774" xr:uid="{33938848-A345-4392-B003-F07C7D98B6C2}"/>
    <cellStyle name="Calculation 5 7" xfId="16765" xr:uid="{3E3DBAAC-8523-4D56-8B2A-02A9B2EC17AD}"/>
    <cellStyle name="Calculation 6" xfId="3435" xr:uid="{FBF56111-2C79-42EE-86D6-FFFE8BCC2786}"/>
    <cellStyle name="Calculation 6 2" xfId="3436" xr:uid="{7405FC43-5999-4A1E-AA68-FE1D6D8EECBC}"/>
    <cellStyle name="Calculation 6 2 2" xfId="3437" xr:uid="{2AE28BC5-2691-43D4-99F2-96F7D8FADBE5}"/>
    <cellStyle name="Calculation 6 2 2 2" xfId="16777" xr:uid="{86142CAB-9A12-4645-920C-615C95BBC1F7}"/>
    <cellStyle name="Calculation 6 2 3" xfId="3438" xr:uid="{43E8DA2D-84F8-4BE9-B426-C864B58503D5}"/>
    <cellStyle name="Calculation 6 2 3 2" xfId="16778" xr:uid="{17C58396-6192-46F5-A577-F9CEA3943486}"/>
    <cellStyle name="Calculation 6 2 4" xfId="3439" xr:uid="{524EAB22-D6AA-4484-BDAA-AFF4F0118BEA}"/>
    <cellStyle name="Calculation 6 2 4 2" xfId="16779" xr:uid="{F0BD1C29-2772-4034-A0BC-BB5C65F924C6}"/>
    <cellStyle name="Calculation 6 2 5" xfId="3440" xr:uid="{F94BA6AF-C4F6-45F6-832A-A7F6A4EDB781}"/>
    <cellStyle name="Calculation 6 2 5 2" xfId="16780" xr:uid="{B2531BB1-1BA7-4ABD-8C19-D3DEDB410C5A}"/>
    <cellStyle name="Calculation 6 2 6" xfId="16776" xr:uid="{AEB0619B-AE33-4B4D-BEEB-95052341F3DD}"/>
    <cellStyle name="Calculation 6 3" xfId="3441" xr:uid="{AC610195-F0A2-4715-B09E-6DBCAF446A4A}"/>
    <cellStyle name="Calculation 6 3 2" xfId="16781" xr:uid="{1B396C9C-CD6A-4CFE-9C77-5F0F54AC5FE8}"/>
    <cellStyle name="Calculation 6 4" xfId="3442" xr:uid="{2F3F93DB-405E-4137-B249-499E395398D0}"/>
    <cellStyle name="Calculation 6 4 2" xfId="16782" xr:uid="{0E0BC411-BFFF-427A-8E91-324E31D9EDF0}"/>
    <cellStyle name="Calculation 6 5" xfId="3443" xr:uid="{AD8A931F-1A01-41CD-BF8C-D31A269964F8}"/>
    <cellStyle name="Calculation 6 5 2" xfId="16783" xr:uid="{7B89A82F-F82E-4248-9413-64337331A366}"/>
    <cellStyle name="Calculation 6 6" xfId="3444" xr:uid="{4C2FEFE8-AFCF-434E-83D3-C6195709A261}"/>
    <cellStyle name="Calculation 6 6 2" xfId="16784" xr:uid="{D977D56B-856D-4683-BE91-C44924154ED2}"/>
    <cellStyle name="Calculation 6 7" xfId="16775" xr:uid="{7C08E87E-4C5A-4B06-802F-2AFBFE3B0B03}"/>
    <cellStyle name="Calculation 7" xfId="3445" xr:uid="{4CE1EACD-4D70-44D1-8DCE-C938351781D3}"/>
    <cellStyle name="Calculation 7 2" xfId="3446" xr:uid="{B7E48EA6-1C08-4C81-BAA9-D65C8452F435}"/>
    <cellStyle name="Calculation 7 2 2" xfId="3447" xr:uid="{F9520EF7-EBAE-4738-A29D-64720CDA8EE5}"/>
    <cellStyle name="Calculation 7 2 2 2" xfId="16787" xr:uid="{5B6C4A63-4DB0-44BA-B4B8-BFB921733BF0}"/>
    <cellStyle name="Calculation 7 2 3" xfId="3448" xr:uid="{9DEEE709-EF17-4040-8A19-0E7C0DE7DE4C}"/>
    <cellStyle name="Calculation 7 2 3 2" xfId="16788" xr:uid="{38D90855-4890-4AA3-A351-E460BC1250D7}"/>
    <cellStyle name="Calculation 7 2 4" xfId="3449" xr:uid="{28191ED0-3BC8-44AA-8706-C0AF78CC293C}"/>
    <cellStyle name="Calculation 7 2 4 2" xfId="16789" xr:uid="{D5B9C0B2-B793-4F37-95D7-3BA54BD03155}"/>
    <cellStyle name="Calculation 7 2 5" xfId="3450" xr:uid="{573D7610-34D3-48E1-82D9-805EF422BB58}"/>
    <cellStyle name="Calculation 7 2 5 2" xfId="16790" xr:uid="{35C59E04-579B-45BF-A43F-7D50F8C417A2}"/>
    <cellStyle name="Calculation 7 2 6" xfId="16786" xr:uid="{8265E447-2432-4E31-B7AD-D7050C9A8A6B}"/>
    <cellStyle name="Calculation 7 3" xfId="3451" xr:uid="{38AB6017-D79C-42ED-B2A9-855031E439AD}"/>
    <cellStyle name="Calculation 7 3 2" xfId="16791" xr:uid="{805D960F-5B2B-45AA-A1FF-60E6EF7363D5}"/>
    <cellStyle name="Calculation 7 4" xfId="3452" xr:uid="{A61BB777-DC20-4BD1-919F-87403C51FD70}"/>
    <cellStyle name="Calculation 7 4 2" xfId="16792" xr:uid="{1EA1BF2B-9709-4E87-889A-F46E1567A68D}"/>
    <cellStyle name="Calculation 7 5" xfId="3453" xr:uid="{6EE1ADED-10E8-4817-AA5C-A886B2440563}"/>
    <cellStyle name="Calculation 7 5 2" xfId="16793" xr:uid="{FD1393C9-288C-4A86-AD97-64980AD6A48F}"/>
    <cellStyle name="Calculation 7 6" xfId="3454" xr:uid="{97FEB6D3-EA87-42E6-9E00-FAE0D4D06D47}"/>
    <cellStyle name="Calculation 7 6 2" xfId="16794" xr:uid="{D9F67C87-2920-4A80-91B0-42056360FA0F}"/>
    <cellStyle name="Calculation 7 7" xfId="16785" xr:uid="{8307D86F-C5BE-4A37-90F5-EAC2E3E928A9}"/>
    <cellStyle name="Calculation 8" xfId="3455" xr:uid="{EE92CA90-9C81-4F6E-82E6-846B8C649F15}"/>
    <cellStyle name="Calculation 8 2" xfId="3456" xr:uid="{9C1FAF5D-3BF1-47AA-A24D-D0913D32CF53}"/>
    <cellStyle name="Calculation 8 2 2" xfId="3457" xr:uid="{107516F3-9978-4556-805A-BB41B9ED137B}"/>
    <cellStyle name="Calculation 8 2 2 2" xfId="16797" xr:uid="{60458E06-CA41-409B-8F0A-A80749F48B64}"/>
    <cellStyle name="Calculation 8 2 3" xfId="3458" xr:uid="{7B2E078F-DC3D-423D-8662-83DC6D3540A3}"/>
    <cellStyle name="Calculation 8 2 3 2" xfId="16798" xr:uid="{2C4D969F-6BFC-41AF-8075-903F50C06D9E}"/>
    <cellStyle name="Calculation 8 2 4" xfId="3459" xr:uid="{602B48D7-3A13-4FA0-BD03-23F28C5634E2}"/>
    <cellStyle name="Calculation 8 2 4 2" xfId="16799" xr:uid="{EF6B6317-8AAB-436D-9A61-DFDE4A809118}"/>
    <cellStyle name="Calculation 8 2 5" xfId="3460" xr:uid="{1A9AA521-6886-4976-AB39-E0793E7ABF1A}"/>
    <cellStyle name="Calculation 8 2 5 2" xfId="16800" xr:uid="{1DAB125C-AF4B-4A5D-BDC7-0BB22781A9CC}"/>
    <cellStyle name="Calculation 8 2 6" xfId="16796" xr:uid="{904BADB6-779C-41BD-9DE8-AB82CA286FBC}"/>
    <cellStyle name="Calculation 8 3" xfId="3461" xr:uid="{EB3697DF-764E-42E9-8A2B-9862AB6BB9CA}"/>
    <cellStyle name="Calculation 8 3 2" xfId="16801" xr:uid="{3F7F86BF-5FB9-415F-9FE7-3BBD30FE55DF}"/>
    <cellStyle name="Calculation 8 4" xfId="3462" xr:uid="{B9CAAC9D-5398-4264-8933-B9298B80C2D9}"/>
    <cellStyle name="Calculation 8 4 2" xfId="16802" xr:uid="{2D7AA2F8-F2D9-4240-834B-72BFBFAA50AD}"/>
    <cellStyle name="Calculation 8 5" xfId="3463" xr:uid="{0F2F7EE4-5A97-4B89-9933-BC70594BE0FA}"/>
    <cellStyle name="Calculation 8 5 2" xfId="16803" xr:uid="{8E4035B1-EA5C-4B66-95C8-7C2F8939E7E6}"/>
    <cellStyle name="Calculation 8 6" xfId="3464" xr:uid="{92CA891E-9A54-4ABE-8438-3D807563E777}"/>
    <cellStyle name="Calculation 8 6 2" xfId="16804" xr:uid="{CC90F7D8-DE1A-46F4-B74D-733314AF9844}"/>
    <cellStyle name="Calculation 8 7" xfId="16795" xr:uid="{F2BE3649-2A86-4277-998B-1EB045D44BE4}"/>
    <cellStyle name="Calculation 9" xfId="3465" xr:uid="{53D09D61-41ED-45CF-BB9D-39F5D2728E62}"/>
    <cellStyle name="Calculation 9 2" xfId="3466" xr:uid="{89624346-BEFF-4320-AE1D-52592B21B06D}"/>
    <cellStyle name="Calculation 9 2 2" xfId="3467" xr:uid="{AE1C4297-8838-48B9-AE33-3D1638D34E3F}"/>
    <cellStyle name="Calculation 9 2 2 2" xfId="16807" xr:uid="{470D49FE-3E65-42BC-8087-7B3276765EB6}"/>
    <cellStyle name="Calculation 9 2 3" xfId="3468" xr:uid="{22494F80-27BE-44C9-B24B-992F7F36ED7E}"/>
    <cellStyle name="Calculation 9 2 3 2" xfId="16808" xr:uid="{9EB946A3-16D0-46CE-9975-2611362A5A64}"/>
    <cellStyle name="Calculation 9 2 4" xfId="3469" xr:uid="{C28BBA00-F642-4E0C-86A3-5E9C00C99F7C}"/>
    <cellStyle name="Calculation 9 2 4 2" xfId="16809" xr:uid="{DF29668F-4C9E-4396-AD85-22527305039B}"/>
    <cellStyle name="Calculation 9 2 5" xfId="3470" xr:uid="{F5104E4E-D850-404F-A945-22458F0B5730}"/>
    <cellStyle name="Calculation 9 2 5 2" xfId="16810" xr:uid="{AD4EEEDB-6B22-43E3-9419-4F409767043F}"/>
    <cellStyle name="Calculation 9 2 6" xfId="16806" xr:uid="{AD410EB9-C811-42AF-A291-D2CF9AF9C8C4}"/>
    <cellStyle name="Calculation 9 3" xfId="3471" xr:uid="{0687195F-C2E6-4C75-A38A-D59BCC5E48B7}"/>
    <cellStyle name="Calculation 9 3 2" xfId="16811" xr:uid="{2648C091-99B2-4225-8315-2615A0FB4941}"/>
    <cellStyle name="Calculation 9 4" xfId="3472" xr:uid="{5AB4CF72-20CA-4219-BBA6-523999F8F5C3}"/>
    <cellStyle name="Calculation 9 4 2" xfId="16812" xr:uid="{57B2AB99-B208-4E0D-B757-979617000F81}"/>
    <cellStyle name="Calculation 9 5" xfId="3473" xr:uid="{FFE33234-9317-4633-B0D2-A49D8B7AB9BE}"/>
    <cellStyle name="Calculation 9 5 2" xfId="16813" xr:uid="{5B938D13-E489-4B94-927C-4EC49AC8D500}"/>
    <cellStyle name="Calculation 9 6" xfId="3474" xr:uid="{D19263E4-F59C-4B7F-9CD1-2EC3066C5CBC}"/>
    <cellStyle name="Calculation 9 6 2" xfId="16814" xr:uid="{220F7CDB-8649-49C7-B607-81F6A3F44E0A}"/>
    <cellStyle name="Calculation 9 7" xfId="16805" xr:uid="{958DCF17-5692-41F5-AF18-6B8D60013566}"/>
    <cellStyle name="Cálculo" xfId="3475" xr:uid="{094A464E-85D3-4941-B955-42833924D6D2}"/>
    <cellStyle name="Cálculo 10" xfId="3476" xr:uid="{9E622CC3-B8D8-42A3-8E60-268EA6CD7C74}"/>
    <cellStyle name="Cálculo 10 2" xfId="3477" xr:uid="{BC1849B1-5104-42C3-8FD8-F9DB1E661D6E}"/>
    <cellStyle name="Cálculo 10 2 2" xfId="3478" xr:uid="{4F69DF9F-296B-4ADA-8524-070557ACD5E6}"/>
    <cellStyle name="Cálculo 10 2 2 2" xfId="16817" xr:uid="{9CD40D75-534D-4720-9D84-101BF7B056CF}"/>
    <cellStyle name="Cálculo 10 2 3" xfId="3479" xr:uid="{1562E0E3-9EE3-4863-B0AC-EE6CF3640BA2}"/>
    <cellStyle name="Cálculo 10 2 3 2" xfId="16818" xr:uid="{05F1F594-DD23-451F-9A4A-0FA42408480F}"/>
    <cellStyle name="Cálculo 10 2 4" xfId="3480" xr:uid="{2A9671A3-7FF9-4D02-9B49-8A49B34A8A65}"/>
    <cellStyle name="Cálculo 10 2 4 2" xfId="16819" xr:uid="{DF989A70-0974-45CC-B6B0-15F8EBA3C3C3}"/>
    <cellStyle name="Cálculo 10 2 5" xfId="3481" xr:uid="{9CF15A8B-6A23-4721-B302-4BE93AD9F198}"/>
    <cellStyle name="Cálculo 10 2 5 2" xfId="16820" xr:uid="{28EA8D91-E2F0-4BDF-9176-901579CC84E3}"/>
    <cellStyle name="Cálculo 10 2 6" xfId="16816" xr:uid="{E2340379-6723-4C6C-B7C0-43CC470B91CC}"/>
    <cellStyle name="Cálculo 10 3" xfId="3482" xr:uid="{04A8F215-050E-4A00-8C62-5BF66F385EC2}"/>
    <cellStyle name="Cálculo 10 3 2" xfId="16821" xr:uid="{8DDF1FED-70B2-4936-9291-D27C04EDA29D}"/>
    <cellStyle name="Cálculo 10 4" xfId="3483" xr:uid="{57A7602A-4CF6-4FD8-8074-01C717942D3F}"/>
    <cellStyle name="Cálculo 10 4 2" xfId="16822" xr:uid="{3220124A-B65B-4C82-B376-B8FD423C27D8}"/>
    <cellStyle name="Cálculo 10 5" xfId="3484" xr:uid="{3F5B9132-2519-4701-BFE7-3A22E47A8BC9}"/>
    <cellStyle name="Cálculo 10 5 2" xfId="16823" xr:uid="{6725D362-9022-4511-9A41-EC3CBF531B5A}"/>
    <cellStyle name="Cálculo 10 6" xfId="3485" xr:uid="{307B9414-D174-43F6-B169-C36202F3A62A}"/>
    <cellStyle name="Cálculo 10 6 2" xfId="16824" xr:uid="{C1C1970B-E180-41EF-AF0B-3A612F22A727}"/>
    <cellStyle name="Cálculo 10 7" xfId="16815" xr:uid="{9E007487-485D-4D09-84D5-BCAD630ADB91}"/>
    <cellStyle name="Cálculo 11" xfId="3486" xr:uid="{30C1B045-C57D-4BC5-BE44-71C1EAA97A54}"/>
    <cellStyle name="Cálculo 11 2" xfId="3487" xr:uid="{617CA4AC-FFE7-483F-B03B-64C91484D333}"/>
    <cellStyle name="Cálculo 11 2 2" xfId="3488" xr:uid="{474814F8-DADC-40FB-8B23-5532E2535B38}"/>
    <cellStyle name="Cálculo 11 2 2 2" xfId="16827" xr:uid="{0D1CB791-5815-4DF9-8732-0CBE4E8783E3}"/>
    <cellStyle name="Cálculo 11 2 3" xfId="3489" xr:uid="{4A81F127-9CA0-48DF-924A-720499B9CC63}"/>
    <cellStyle name="Cálculo 11 2 3 2" xfId="16828" xr:uid="{28282169-1416-4F61-982F-FC846CBBF0EE}"/>
    <cellStyle name="Cálculo 11 2 4" xfId="3490" xr:uid="{912836BE-DBB7-45B6-902E-BCF171B7B566}"/>
    <cellStyle name="Cálculo 11 2 4 2" xfId="16829" xr:uid="{6167DBA8-EAA9-4AE0-8A2A-F8D43950B0C6}"/>
    <cellStyle name="Cálculo 11 2 5" xfId="3491" xr:uid="{B326E0BC-BE28-4218-9C11-24787325508F}"/>
    <cellStyle name="Cálculo 11 2 5 2" xfId="16830" xr:uid="{444B65C8-E8E1-4183-9697-6FF1C415B6AF}"/>
    <cellStyle name="Cálculo 11 2 6" xfId="16826" xr:uid="{4176E33E-FA6A-4089-89DD-E8978A3BDAA8}"/>
    <cellStyle name="Cálculo 11 3" xfId="3492" xr:uid="{F8C80447-AB42-47FB-8602-F68EAE694794}"/>
    <cellStyle name="Cálculo 11 3 2" xfId="16831" xr:uid="{74A47423-D2FD-4FBC-8EB2-B5CBE4041D00}"/>
    <cellStyle name="Cálculo 11 4" xfId="3493" xr:uid="{C7C2A882-64E4-49DE-A679-745F71DE90CE}"/>
    <cellStyle name="Cálculo 11 4 2" xfId="16832" xr:uid="{F0EA3A68-2871-41BA-B77A-FD9BBA5584A2}"/>
    <cellStyle name="Cálculo 11 5" xfId="3494" xr:uid="{51660BCB-4883-4592-846A-8B7EBF4C1499}"/>
    <cellStyle name="Cálculo 11 5 2" xfId="16833" xr:uid="{E046FF9D-2351-4C40-9D4D-D25474BCCDEA}"/>
    <cellStyle name="Cálculo 11 6" xfId="3495" xr:uid="{5F945A82-A5BE-4AEA-A72C-CB9DB071B7F7}"/>
    <cellStyle name="Cálculo 11 6 2" xfId="16834" xr:uid="{475C516A-59BE-4382-827A-96C3AD04C677}"/>
    <cellStyle name="Cálculo 11 7" xfId="16825" xr:uid="{F69CBCFC-1B69-456E-9D7E-263E4DA2FD77}"/>
    <cellStyle name="Cálculo 12" xfId="3496" xr:uid="{A5CE9243-2947-4647-BA56-2D43BBB83329}"/>
    <cellStyle name="Cálculo 12 2" xfId="3497" xr:uid="{BA971A3E-C20D-4A43-AE70-D13675ECB542}"/>
    <cellStyle name="Cálculo 12 2 2" xfId="3498" xr:uid="{65B2ABB8-B456-4464-8EDC-97C9A6D8258F}"/>
    <cellStyle name="Cálculo 12 2 2 2" xfId="16837" xr:uid="{466ADA60-11BC-4DAC-A222-8AAFE19E83D5}"/>
    <cellStyle name="Cálculo 12 2 3" xfId="3499" xr:uid="{ED298E5A-D33A-4C65-87F9-F0B381711C39}"/>
    <cellStyle name="Cálculo 12 2 3 2" xfId="16838" xr:uid="{5248FF68-7BDE-475A-AA40-CFA518F1ECD7}"/>
    <cellStyle name="Cálculo 12 2 4" xfId="3500" xr:uid="{6423AAA7-857A-4606-AA4A-B206AFD7CA86}"/>
    <cellStyle name="Cálculo 12 2 4 2" xfId="16839" xr:uid="{417CEF62-3B71-40B3-9B95-31825FAC0E98}"/>
    <cellStyle name="Cálculo 12 2 5" xfId="3501" xr:uid="{1241E87D-06A7-4DAB-97EC-9CB9D13F4AA1}"/>
    <cellStyle name="Cálculo 12 2 5 2" xfId="16840" xr:uid="{A30BE034-2023-468B-ACE3-E964A4449E38}"/>
    <cellStyle name="Cálculo 12 2 6" xfId="16836" xr:uid="{F8280798-A716-49C5-B441-97B9B9A10E98}"/>
    <cellStyle name="Cálculo 12 3" xfId="3502" xr:uid="{6B2549E4-A44C-4FE8-B492-B00E4C3868FE}"/>
    <cellStyle name="Cálculo 12 3 2" xfId="16841" xr:uid="{A3CA7ED9-4472-417E-9B66-BC15D7E70C82}"/>
    <cellStyle name="Cálculo 12 4" xfId="3503" xr:uid="{7EAA57B7-2005-449E-8001-7C147232F0A2}"/>
    <cellStyle name="Cálculo 12 4 2" xfId="16842" xr:uid="{D9117F99-B987-4582-A150-6487683A7960}"/>
    <cellStyle name="Cálculo 12 5" xfId="3504" xr:uid="{40C9FE15-A158-45B1-95EE-2D6EC4081491}"/>
    <cellStyle name="Cálculo 12 5 2" xfId="16843" xr:uid="{4C16CE11-74AF-4D4B-913A-303980A07F95}"/>
    <cellStyle name="Cálculo 12 6" xfId="3505" xr:uid="{AF6E7F29-2E72-4BA8-A84D-E7B968147017}"/>
    <cellStyle name="Cálculo 12 6 2" xfId="16844" xr:uid="{BF2AED0F-4E2E-49E8-B376-0C306DC205A5}"/>
    <cellStyle name="Cálculo 12 7" xfId="16835" xr:uid="{56AB9481-9856-48FB-97BB-6A2FEDD06ABC}"/>
    <cellStyle name="Cálculo 13" xfId="3506" xr:uid="{456CE17D-0000-43CE-A926-09192EF07347}"/>
    <cellStyle name="Cálculo 13 2" xfId="3507" xr:uid="{40B35813-8F77-4702-B6A0-A122F7933639}"/>
    <cellStyle name="Cálculo 13 2 2" xfId="3508" xr:uid="{43B2CC31-9213-466C-B178-433417D42698}"/>
    <cellStyle name="Cálculo 13 2 2 2" xfId="16847" xr:uid="{CA270DBB-B4F3-4ADC-9FEE-6C4C74658B07}"/>
    <cellStyle name="Cálculo 13 2 3" xfId="3509" xr:uid="{6AF3D61A-B51E-4579-B24D-AB5616D2948F}"/>
    <cellStyle name="Cálculo 13 2 3 2" xfId="16848" xr:uid="{1A760F6D-6EF6-4B0F-9667-659A9633ADA5}"/>
    <cellStyle name="Cálculo 13 2 4" xfId="3510" xr:uid="{85681657-2CF2-49ED-8F7A-B6DDC05E332E}"/>
    <cellStyle name="Cálculo 13 2 4 2" xfId="16849" xr:uid="{6E076F23-297A-45CE-A6E1-2789D003053F}"/>
    <cellStyle name="Cálculo 13 2 5" xfId="3511" xr:uid="{06F7BE93-76B9-4485-B785-0A3EA014BD98}"/>
    <cellStyle name="Cálculo 13 2 5 2" xfId="16850" xr:uid="{2EBE9E87-77B6-4DA3-8329-285AA301FDA6}"/>
    <cellStyle name="Cálculo 13 2 6" xfId="16846" xr:uid="{15F12EA9-E420-4626-91CF-FF46A543DF5C}"/>
    <cellStyle name="Cálculo 13 3" xfId="3512" xr:uid="{67BF20AD-AF33-44E3-A919-5980C6A7C03A}"/>
    <cellStyle name="Cálculo 13 3 2" xfId="16851" xr:uid="{F47642A0-0EE4-46FB-BE91-9D21EB446E7C}"/>
    <cellStyle name="Cálculo 13 4" xfId="3513" xr:uid="{C76140B4-164D-4930-ABFA-CDFDBC5DD75A}"/>
    <cellStyle name="Cálculo 13 4 2" xfId="16852" xr:uid="{19EC65C8-10D5-4316-91C2-7FEF26509E80}"/>
    <cellStyle name="Cálculo 13 5" xfId="3514" xr:uid="{D35DD832-7E2E-4EC1-8B08-B122B393DC42}"/>
    <cellStyle name="Cálculo 13 5 2" xfId="16853" xr:uid="{C84DD052-B846-47F1-8F9B-C1F4D729A4E5}"/>
    <cellStyle name="Cálculo 13 6" xfId="3515" xr:uid="{D2E36CDD-5020-470F-A664-6E19F891EA03}"/>
    <cellStyle name="Cálculo 13 6 2" xfId="16854" xr:uid="{E64FCAB3-2732-407D-9158-9AAA996DC4A3}"/>
    <cellStyle name="Cálculo 13 7" xfId="16845" xr:uid="{BC603345-0A1B-4652-8B42-7630BD9661D2}"/>
    <cellStyle name="Cálculo 14" xfId="3516" xr:uid="{15231A81-51F2-41BF-A6F5-8A73E1338CEE}"/>
    <cellStyle name="Cálculo 14 2" xfId="3517" xr:uid="{32E4A164-7B12-4B0D-A111-BA4A4FADF24A}"/>
    <cellStyle name="Cálculo 14 2 2" xfId="3518" xr:uid="{8175D728-E4BC-4A6A-ACDE-791ED426C690}"/>
    <cellStyle name="Cálculo 14 2 2 2" xfId="16857" xr:uid="{17BB28EC-145A-4709-8CE4-EA60E58918D8}"/>
    <cellStyle name="Cálculo 14 2 3" xfId="3519" xr:uid="{57C8431D-3219-411A-9A6E-7F754337C124}"/>
    <cellStyle name="Cálculo 14 2 3 2" xfId="16858" xr:uid="{9EA6A21A-A143-44E8-9226-20D6C699C03C}"/>
    <cellStyle name="Cálculo 14 2 4" xfId="3520" xr:uid="{6EA9842D-2DBE-47D0-8C1B-E2378D161187}"/>
    <cellStyle name="Cálculo 14 2 4 2" xfId="16859" xr:uid="{7A8F107E-EF61-4859-A8B1-5E92622AFD1F}"/>
    <cellStyle name="Cálculo 14 2 5" xfId="3521" xr:uid="{452099B8-F5F3-4D5C-A1BF-E2F4E0708473}"/>
    <cellStyle name="Cálculo 14 2 5 2" xfId="16860" xr:uid="{E99628E1-8340-4007-81EA-79D3454CD595}"/>
    <cellStyle name="Cálculo 14 2 6" xfId="16856" xr:uid="{90A4D4F1-5309-4479-8F04-BA18BF23F8FD}"/>
    <cellStyle name="Cálculo 14 3" xfId="3522" xr:uid="{CF574338-75A6-4165-913D-C13EB64B7F6B}"/>
    <cellStyle name="Cálculo 14 3 2" xfId="16861" xr:uid="{F793769E-424A-44D0-8A26-69EE9531858D}"/>
    <cellStyle name="Cálculo 14 4" xfId="3523" xr:uid="{FCBF30CF-43B8-49E2-921B-91A8218A6B11}"/>
    <cellStyle name="Cálculo 14 4 2" xfId="16862" xr:uid="{035A8C18-6E68-451E-BE9C-C14B02C5BF5E}"/>
    <cellStyle name="Cálculo 14 5" xfId="3524" xr:uid="{BDD6117E-B54C-4C8F-B2B5-F1FE66271D5C}"/>
    <cellStyle name="Cálculo 14 5 2" xfId="16863" xr:uid="{3F118DDD-25B7-4883-ABA0-027A1639DEF6}"/>
    <cellStyle name="Cálculo 14 6" xfId="3525" xr:uid="{B3CDE946-CA80-4FD3-A138-1E70C5418C38}"/>
    <cellStyle name="Cálculo 14 6 2" xfId="16864" xr:uid="{ACFFC45C-550F-4E19-A449-56D01B878F89}"/>
    <cellStyle name="Cálculo 14 7" xfId="16855" xr:uid="{6A369C20-4265-42DF-9D7D-E552EF737654}"/>
    <cellStyle name="Cálculo 15" xfId="3526" xr:uid="{8B1561F8-F96C-4449-8BA5-D8A6F3819730}"/>
    <cellStyle name="Cálculo 15 2" xfId="3527" xr:uid="{991850CC-DCF4-4D6F-908D-BAA329988FC2}"/>
    <cellStyle name="Cálculo 15 2 2" xfId="3528" xr:uid="{4B3322CF-5DF7-4E6E-A2E1-7885C86EC013}"/>
    <cellStyle name="Cálculo 15 2 2 2" xfId="16867" xr:uid="{5167A1D2-C02D-4756-A510-B2F53A34315F}"/>
    <cellStyle name="Cálculo 15 2 3" xfId="3529" xr:uid="{0D6879AD-0FC7-4FA3-95AE-6A8D0B687FDB}"/>
    <cellStyle name="Cálculo 15 2 3 2" xfId="16868" xr:uid="{26179884-20BC-44D3-9F3D-C66551D8582D}"/>
    <cellStyle name="Cálculo 15 2 4" xfId="3530" xr:uid="{BB0666A9-7F5E-4185-B589-E921D0251B85}"/>
    <cellStyle name="Cálculo 15 2 4 2" xfId="16869" xr:uid="{E733C6DD-75F9-4EA4-98FB-35F1055688A6}"/>
    <cellStyle name="Cálculo 15 2 5" xfId="3531" xr:uid="{9AF2D516-BB29-4D90-8F70-2FA77967DF0D}"/>
    <cellStyle name="Cálculo 15 2 5 2" xfId="16870" xr:uid="{E7854B2A-C966-4CF0-8A20-ACFB3EF0866C}"/>
    <cellStyle name="Cálculo 15 2 6" xfId="16866" xr:uid="{00A3E00E-DC03-4FE9-8692-53DE1046F744}"/>
    <cellStyle name="Cálculo 15 3" xfId="3532" xr:uid="{84D6F2C0-0709-4211-A6DF-BD72C5201B60}"/>
    <cellStyle name="Cálculo 15 3 2" xfId="16871" xr:uid="{61E3CF7C-AD9F-4025-8B1A-363F35C5F0CC}"/>
    <cellStyle name="Cálculo 15 4" xfId="3533" xr:uid="{FB839F98-22A1-49EA-9E65-A6CA4CF5602E}"/>
    <cellStyle name="Cálculo 15 4 2" xfId="16872" xr:uid="{51189B07-C3D4-47F6-99E3-A84BF5C5A2B5}"/>
    <cellStyle name="Cálculo 15 5" xfId="3534" xr:uid="{1F172C54-DB35-4C52-A097-C4721FED428C}"/>
    <cellStyle name="Cálculo 15 5 2" xfId="16873" xr:uid="{9F4F1EAF-7638-40FE-9DCB-90E52BF3E31E}"/>
    <cellStyle name="Cálculo 15 6" xfId="3535" xr:uid="{5DDA3FB4-AF01-48BA-AB74-DD301822B45B}"/>
    <cellStyle name="Cálculo 15 6 2" xfId="16874" xr:uid="{E3D9E392-ECAF-46D4-AE04-F264DDCD07C5}"/>
    <cellStyle name="Cálculo 15 7" xfId="16865" xr:uid="{E80E355B-991C-46BC-B7DE-4DD7F2031C0E}"/>
    <cellStyle name="Cálculo 16" xfId="3536" xr:uid="{9B5886B1-3331-4C81-9514-938F972F35ED}"/>
    <cellStyle name="Cálculo 16 2" xfId="3537" xr:uid="{8750782B-FD63-4191-8527-324567A65FE6}"/>
    <cellStyle name="Cálculo 16 2 2" xfId="3538" xr:uid="{7FD05190-B496-4C5E-82D9-6AA703E578A0}"/>
    <cellStyle name="Cálculo 16 2 2 2" xfId="16877" xr:uid="{1B180A05-B2A2-4001-8C20-E8FD61021F1B}"/>
    <cellStyle name="Cálculo 16 2 3" xfId="3539" xr:uid="{67E8D857-E608-42D3-9172-EA6676DAC6C6}"/>
    <cellStyle name="Cálculo 16 2 3 2" xfId="16878" xr:uid="{BAA92F4F-6899-45FA-9152-8D018A483AF4}"/>
    <cellStyle name="Cálculo 16 2 4" xfId="3540" xr:uid="{922095D2-3135-4539-84E7-A9DF943A5038}"/>
    <cellStyle name="Cálculo 16 2 4 2" xfId="16879" xr:uid="{D02F3759-B063-4E92-AD61-912A551E8705}"/>
    <cellStyle name="Cálculo 16 2 5" xfId="3541" xr:uid="{6750C66B-5AAA-4092-A1CA-A252535A5261}"/>
    <cellStyle name="Cálculo 16 2 5 2" xfId="16880" xr:uid="{3841AF1B-16DE-454F-B4D4-8F13D2DAB384}"/>
    <cellStyle name="Cálculo 16 2 6" xfId="16876" xr:uid="{B82BF53E-24DF-4ECE-BC7D-C38AE0EE7E08}"/>
    <cellStyle name="Cálculo 16 3" xfId="3542" xr:uid="{CF02E832-E1CB-480C-B2CB-76A02803DAAB}"/>
    <cellStyle name="Cálculo 16 3 2" xfId="16881" xr:uid="{B49AA320-FADE-48CA-A1C2-16002DE11673}"/>
    <cellStyle name="Cálculo 16 4" xfId="3543" xr:uid="{A90F6E86-81BE-4E94-9577-7128A305FB2D}"/>
    <cellStyle name="Cálculo 16 4 2" xfId="16882" xr:uid="{E1262297-1359-46D3-AE15-3F51B797A78B}"/>
    <cellStyle name="Cálculo 16 5" xfId="3544" xr:uid="{64C43420-C194-47AE-B870-F5A7CFF9AF8F}"/>
    <cellStyle name="Cálculo 16 5 2" xfId="16883" xr:uid="{7D99E39A-0A9B-4DDE-B0D1-A8F9B417FF2A}"/>
    <cellStyle name="Cálculo 16 6" xfId="3545" xr:uid="{C1A2440E-4AF1-4368-AB5F-7007F61A5FBB}"/>
    <cellStyle name="Cálculo 16 6 2" xfId="16884" xr:uid="{BA546A2F-3F4F-4006-84BD-D266597892A2}"/>
    <cellStyle name="Cálculo 16 7" xfId="16875" xr:uid="{3C569D37-BEAA-46C3-A3E2-EFFDFCB7905C}"/>
    <cellStyle name="Cálculo 17" xfId="3546" xr:uid="{36482408-502A-4262-91D9-5F316E4027C6}"/>
    <cellStyle name="Cálculo 17 2" xfId="3547" xr:uid="{CF12255D-B2F9-4AC6-9883-55915688E474}"/>
    <cellStyle name="Cálculo 17 2 2" xfId="3548" xr:uid="{4C85D654-E8F4-4436-A578-C90912604CA5}"/>
    <cellStyle name="Cálculo 17 2 2 2" xfId="16887" xr:uid="{949187C7-BAE3-465A-B8F1-981CED13EC4B}"/>
    <cellStyle name="Cálculo 17 2 3" xfId="3549" xr:uid="{EB6B386D-4C55-41C4-AF9B-128F4BBA7056}"/>
    <cellStyle name="Cálculo 17 2 3 2" xfId="16888" xr:uid="{92BAB280-B798-485B-953C-0041F0EBD875}"/>
    <cellStyle name="Cálculo 17 2 4" xfId="3550" xr:uid="{E08337C1-49E3-46DE-8BE4-066CB16A905D}"/>
    <cellStyle name="Cálculo 17 2 4 2" xfId="16889" xr:uid="{0FA81763-7C44-494B-A2BC-62B1344E5547}"/>
    <cellStyle name="Cálculo 17 2 5" xfId="3551" xr:uid="{CEB30FC4-42B2-42E6-9393-CAB2D95E7E39}"/>
    <cellStyle name="Cálculo 17 2 5 2" xfId="16890" xr:uid="{90FE5447-94FA-4D03-B423-96FACB151C90}"/>
    <cellStyle name="Cálculo 17 2 6" xfId="16886" xr:uid="{8E09255D-E43A-4937-A300-5FBC138535FD}"/>
    <cellStyle name="Cálculo 17 3" xfId="3552" xr:uid="{477F7D24-8956-4092-82FD-579FF01788F0}"/>
    <cellStyle name="Cálculo 17 3 2" xfId="16891" xr:uid="{9A7AD6EF-F07C-4E74-86CA-1FD7D8FC0AE1}"/>
    <cellStyle name="Cálculo 17 4" xfId="3553" xr:uid="{91460880-CA2D-466E-8621-B0762DCF4081}"/>
    <cellStyle name="Cálculo 17 4 2" xfId="16892" xr:uid="{406DD40E-5756-4402-AF4B-60B6971FFE4A}"/>
    <cellStyle name="Cálculo 17 5" xfId="3554" xr:uid="{85C88312-3066-408D-B934-72EC1E248AA4}"/>
    <cellStyle name="Cálculo 17 5 2" xfId="16893" xr:uid="{5833CAAA-72B6-4336-AB64-7BA2ECB93024}"/>
    <cellStyle name="Cálculo 17 6" xfId="3555" xr:uid="{49E33FA1-96DD-4B81-BB00-01340E36B997}"/>
    <cellStyle name="Cálculo 17 6 2" xfId="16894" xr:uid="{2D566248-E0CA-4703-98E5-5552FEC8C3DC}"/>
    <cellStyle name="Cálculo 17 7" xfId="16885" xr:uid="{325CD899-F86E-46E7-B0CB-8B85FE068FB5}"/>
    <cellStyle name="Cálculo 18" xfId="3556" xr:uid="{961287AB-26B7-4B56-8F41-F60EB0AAD288}"/>
    <cellStyle name="Cálculo 18 2" xfId="3557" xr:uid="{45034988-0855-438E-B64A-59408EB8AE0C}"/>
    <cellStyle name="Cálculo 18 2 2" xfId="3558" xr:uid="{C081AB7A-3DDF-445A-9397-2518DED1E752}"/>
    <cellStyle name="Cálculo 18 2 2 2" xfId="16897" xr:uid="{D95212A7-E5BF-42A8-98F2-A75FBAC01DE7}"/>
    <cellStyle name="Cálculo 18 2 3" xfId="3559" xr:uid="{153D6397-F619-4F7D-A295-601BC3B34B2E}"/>
    <cellStyle name="Cálculo 18 2 3 2" xfId="16898" xr:uid="{05CAED46-A1DD-4E45-B536-7C101AFFE28E}"/>
    <cellStyle name="Cálculo 18 2 4" xfId="3560" xr:uid="{931E4062-EEDA-40E4-A9F5-C94039AF2D04}"/>
    <cellStyle name="Cálculo 18 2 4 2" xfId="16899" xr:uid="{AB76C19C-EE52-4421-9EE9-14E83E24727A}"/>
    <cellStyle name="Cálculo 18 2 5" xfId="3561" xr:uid="{386CE3B0-6CE8-4E0D-8D01-B8EADDC60203}"/>
    <cellStyle name="Cálculo 18 2 5 2" xfId="16900" xr:uid="{2044D549-7069-40BC-B31D-4A37B9786686}"/>
    <cellStyle name="Cálculo 18 2 6" xfId="16896" xr:uid="{B49155D1-86C9-41BD-A405-4BCEF171C2A7}"/>
    <cellStyle name="Cálculo 18 3" xfId="3562" xr:uid="{E550F1E3-1F5F-47B2-ADEA-31B19B474848}"/>
    <cellStyle name="Cálculo 18 3 2" xfId="16901" xr:uid="{A03AC15A-48EF-417B-B217-1AFA2039DB4E}"/>
    <cellStyle name="Cálculo 18 4" xfId="3563" xr:uid="{75798711-502F-455D-8455-B53B50939359}"/>
    <cellStyle name="Cálculo 18 4 2" xfId="16902" xr:uid="{BE5499BF-0FC3-4B74-ABAC-131C39D0C8D9}"/>
    <cellStyle name="Cálculo 18 5" xfId="3564" xr:uid="{E258BB49-522A-42C4-861F-AC5527F7D9F6}"/>
    <cellStyle name="Cálculo 18 5 2" xfId="16903" xr:uid="{3FD5F15C-AE98-49C5-833C-3224EA0DB38F}"/>
    <cellStyle name="Cálculo 18 6" xfId="3565" xr:uid="{4498CD1B-32A2-47C6-B290-79CEE9573562}"/>
    <cellStyle name="Cálculo 18 6 2" xfId="16904" xr:uid="{1E6E9247-05CF-4AF9-9E83-386BF5CCAD82}"/>
    <cellStyle name="Cálculo 18 7" xfId="16895" xr:uid="{23B5D798-F46C-4058-9923-47DEFA2421B4}"/>
    <cellStyle name="Cálculo 19" xfId="3566" xr:uid="{8D077217-C73A-4308-8EB6-0BDB8A616074}"/>
    <cellStyle name="Cálculo 19 2" xfId="3567" xr:uid="{BD21B37E-BED9-477F-99E2-556A3DF39E87}"/>
    <cellStyle name="Cálculo 19 2 2" xfId="16906" xr:uid="{04063E36-8D75-4745-BBC8-BC901A392B88}"/>
    <cellStyle name="Cálculo 19 3" xfId="3568" xr:uid="{48FC3B31-FB0A-4953-836B-A104B23A956A}"/>
    <cellStyle name="Cálculo 19 3 2" xfId="16907" xr:uid="{054A439A-5F15-4125-A4A0-D1711BA68CA5}"/>
    <cellStyle name="Cálculo 19 4" xfId="3569" xr:uid="{1360089F-0274-41CB-86B0-C0B971C72708}"/>
    <cellStyle name="Cálculo 19 4 2" xfId="16908" xr:uid="{7E3370C9-A440-42E5-B45C-4781F92C70E6}"/>
    <cellStyle name="Cálculo 19 5" xfId="3570" xr:uid="{A45161BE-615D-417D-A0C5-DDE865725194}"/>
    <cellStyle name="Cálculo 19 5 2" xfId="16909" xr:uid="{82BCE002-36C3-42A7-AE5F-56356BF7CD5F}"/>
    <cellStyle name="Cálculo 19 6" xfId="16905" xr:uid="{FB908442-F0B0-42EF-8DB8-57C68B8A09D7}"/>
    <cellStyle name="Cálculo 2" xfId="3571" xr:uid="{B1310FAE-8299-4FD9-AEF2-906FA2160DD4}"/>
    <cellStyle name="Cálculo 2 2" xfId="3572" xr:uid="{AD6D255E-2C38-4FCF-B398-29C2F574BEE1}"/>
    <cellStyle name="Cálculo 2 2 2" xfId="3573" xr:uid="{02487132-D565-4146-8BC8-1D80AF050E60}"/>
    <cellStyle name="Cálculo 2 2 2 2" xfId="16912" xr:uid="{7F94C257-CB0A-4712-878D-623D904ACF30}"/>
    <cellStyle name="Cálculo 2 2 3" xfId="3574" xr:uid="{B0813C1B-4075-41B2-8529-BDD8E87E2983}"/>
    <cellStyle name="Cálculo 2 2 3 2" xfId="16913" xr:uid="{B4A8A403-932B-4105-8B4E-EAE22E7ED1B2}"/>
    <cellStyle name="Cálculo 2 2 4" xfId="3575" xr:uid="{58B71B45-BDD4-4C93-BDE7-AFE4FFCAC44C}"/>
    <cellStyle name="Cálculo 2 2 4 2" xfId="16914" xr:uid="{1DB4E152-7D1A-49CE-B26B-1D90E3AD90CF}"/>
    <cellStyle name="Cálculo 2 2 5" xfId="3576" xr:uid="{6CF8FB93-7031-486E-89C8-BD61340268AF}"/>
    <cellStyle name="Cálculo 2 2 5 2" xfId="16915" xr:uid="{8B0FFD17-6BE2-4CB7-829E-CA2AA5EC245D}"/>
    <cellStyle name="Cálculo 2 2 6" xfId="16911" xr:uid="{CF03384E-502F-4880-B29F-D37EBC64C6EB}"/>
    <cellStyle name="Cálculo 2 3" xfId="3577" xr:uid="{76E906BB-39CB-4DD4-B7CA-7D19B144A019}"/>
    <cellStyle name="Cálculo 2 3 2" xfId="16916" xr:uid="{F2B65298-2535-43F6-B286-64EFE254B7D8}"/>
    <cellStyle name="Cálculo 2 4" xfId="3578" xr:uid="{69E00966-503E-4E7D-9818-4B81EBAB9E5F}"/>
    <cellStyle name="Cálculo 2 4 2" xfId="16917" xr:uid="{9B07C431-A8F2-46E8-B0D7-36F1ED9FD506}"/>
    <cellStyle name="Cálculo 2 5" xfId="3579" xr:uid="{568C7609-BD33-4D45-B425-419F20707B9D}"/>
    <cellStyle name="Cálculo 2 5 2" xfId="16918" xr:uid="{91C60676-EC3F-4467-BF8E-3F2BA5DB49A3}"/>
    <cellStyle name="Cálculo 2 6" xfId="3580" xr:uid="{25009BBB-E5F9-4B34-A7B1-FBF226E3B18E}"/>
    <cellStyle name="Cálculo 2 6 2" xfId="16919" xr:uid="{4FDE9A8B-5EBF-475F-B40E-663862C0CC42}"/>
    <cellStyle name="Cálculo 2 7" xfId="16910" xr:uid="{BA0580CF-DF58-4227-BE3F-90F7A702C153}"/>
    <cellStyle name="Cálculo 20" xfId="3581" xr:uid="{5DC7D485-16BF-44F9-8275-BB7C6EE57D20}"/>
    <cellStyle name="Cálculo 20 2" xfId="16920" xr:uid="{7B99411C-B7A5-4E5C-B0D3-5C81923D19F9}"/>
    <cellStyle name="Cálculo 21" xfId="3582" xr:uid="{9CD77826-5196-4C78-9FDB-1FAA7D59610B}"/>
    <cellStyle name="Cálculo 21 2" xfId="16921" xr:uid="{FF51FC03-EEFF-471E-BC74-3505C9043E6D}"/>
    <cellStyle name="Cálculo 22" xfId="3583" xr:uid="{82C01724-C31F-4ED8-8D47-3F3D1BB3C075}"/>
    <cellStyle name="Cálculo 22 2" xfId="16922" xr:uid="{5371846E-A288-44F8-BFEB-35FDACFD8D5E}"/>
    <cellStyle name="Cálculo 23" xfId="3584" xr:uid="{E6C24672-707D-4794-8E1B-60007B481F7C}"/>
    <cellStyle name="Cálculo 23 2" xfId="16923" xr:uid="{3EAA5F76-BFF8-42A5-9EBE-1467659EC9E8}"/>
    <cellStyle name="Cálculo 24" xfId="14950" xr:uid="{35D0A9FB-262A-4614-85D6-F610B02487FB}"/>
    <cellStyle name="Cálculo 3" xfId="3585" xr:uid="{0D1EC60D-784F-466D-AEC4-E4BF79D3B174}"/>
    <cellStyle name="Cálculo 3 2" xfId="3586" xr:uid="{EC4D5963-51A2-4D68-BDAA-63FF6FE32D93}"/>
    <cellStyle name="Cálculo 3 2 2" xfId="3587" xr:uid="{4BE74CE7-5CBA-41A1-BEB9-34E53DA87E6E}"/>
    <cellStyle name="Cálculo 3 2 2 2" xfId="16926" xr:uid="{E9BDB360-3F3A-455F-9B08-67AE739394E8}"/>
    <cellStyle name="Cálculo 3 2 3" xfId="3588" xr:uid="{79DB26EE-5F4F-44A1-9691-C3917FD30695}"/>
    <cellStyle name="Cálculo 3 2 3 2" xfId="16927" xr:uid="{E0D800AA-7016-4E2E-9E83-07816DCA893F}"/>
    <cellStyle name="Cálculo 3 2 4" xfId="3589" xr:uid="{E32394EB-2379-4B75-9704-ADD3ED882B18}"/>
    <cellStyle name="Cálculo 3 2 4 2" xfId="16928" xr:uid="{36748A08-7E70-4D02-88CE-49E3258601CA}"/>
    <cellStyle name="Cálculo 3 2 5" xfId="3590" xr:uid="{6E6672E3-1C53-4EAB-A547-9175A9460C2B}"/>
    <cellStyle name="Cálculo 3 2 5 2" xfId="16929" xr:uid="{746F182A-88D2-4156-9613-DD6C5EF5422E}"/>
    <cellStyle name="Cálculo 3 2 6" xfId="16925" xr:uid="{B8690547-0892-4637-B1E1-543BEBC117E5}"/>
    <cellStyle name="Cálculo 3 3" xfId="3591" xr:uid="{BC04FBA4-6C01-4235-BE07-3FDA6E1E82D9}"/>
    <cellStyle name="Cálculo 3 3 2" xfId="16930" xr:uid="{2835C12B-C657-4196-B4AB-5B55F9695068}"/>
    <cellStyle name="Cálculo 3 4" xfId="3592" xr:uid="{309600FA-21C8-48FE-855B-92A2A8038EFA}"/>
    <cellStyle name="Cálculo 3 4 2" xfId="16931" xr:uid="{62A05814-0C8B-467C-9693-BC87A2606DDF}"/>
    <cellStyle name="Cálculo 3 5" xfId="3593" xr:uid="{ADA632B8-2B9D-451A-A5C5-EC1B1CDBAF36}"/>
    <cellStyle name="Cálculo 3 5 2" xfId="16932" xr:uid="{900D32C1-FF33-4021-B13E-167B7F2DC90B}"/>
    <cellStyle name="Cálculo 3 6" xfId="3594" xr:uid="{84F101FF-4A20-4CD2-821B-CA3A8CD8466A}"/>
    <cellStyle name="Cálculo 3 6 2" xfId="16933" xr:uid="{27A3AABF-1E73-4E2D-B14D-D45D9C692EF2}"/>
    <cellStyle name="Cálculo 3 7" xfId="16924" xr:uid="{AE2A4966-85A0-46CB-BBCD-9FEB4E2162D8}"/>
    <cellStyle name="Cálculo 4" xfId="3595" xr:uid="{65AD6AD1-0133-4850-85AD-EC058048C2D8}"/>
    <cellStyle name="Cálculo 4 2" xfId="3596" xr:uid="{11E98640-25E4-444C-930B-EB64C6416B51}"/>
    <cellStyle name="Cálculo 4 2 2" xfId="3597" xr:uid="{A34852E5-EB08-4486-98AE-8FC2F777EDE9}"/>
    <cellStyle name="Cálculo 4 2 2 2" xfId="16936" xr:uid="{879FE42A-EED5-46B0-BA87-5A8C288A3466}"/>
    <cellStyle name="Cálculo 4 2 3" xfId="3598" xr:uid="{78377AAE-8894-434A-90F4-0DB622EF96A1}"/>
    <cellStyle name="Cálculo 4 2 3 2" xfId="16937" xr:uid="{3A5D50B0-E61B-4153-B9FC-AA2BF48703A7}"/>
    <cellStyle name="Cálculo 4 2 4" xfId="3599" xr:uid="{2094082C-6F02-4BA9-B9BF-CAC4B64ABF8E}"/>
    <cellStyle name="Cálculo 4 2 4 2" xfId="16938" xr:uid="{01FD1DFB-862A-45B5-9E38-9092973ED92B}"/>
    <cellStyle name="Cálculo 4 2 5" xfId="3600" xr:uid="{811A94BD-2623-4598-91E6-B1815EE2C704}"/>
    <cellStyle name="Cálculo 4 2 5 2" xfId="16939" xr:uid="{93462BE2-3D69-4821-BB41-F4B54B803314}"/>
    <cellStyle name="Cálculo 4 2 6" xfId="16935" xr:uid="{17B0A392-7AF3-47CD-B666-6175B7027559}"/>
    <cellStyle name="Cálculo 4 3" xfId="3601" xr:uid="{41658076-364A-4314-9828-832AD3F358DC}"/>
    <cellStyle name="Cálculo 4 3 2" xfId="16940" xr:uid="{481733A3-A08E-45E7-BF96-3755C6F68DDD}"/>
    <cellStyle name="Cálculo 4 4" xfId="3602" xr:uid="{B9D306A9-471A-477E-9345-84497FCCEBF8}"/>
    <cellStyle name="Cálculo 4 4 2" xfId="16941" xr:uid="{35202082-2236-407E-8D5C-4F8A3169C045}"/>
    <cellStyle name="Cálculo 4 5" xfId="3603" xr:uid="{AD337954-48AD-4E6B-8988-FF58A3B9D0FC}"/>
    <cellStyle name="Cálculo 4 5 2" xfId="16942" xr:uid="{7C945C7B-E7E3-43A8-A1B0-757F53A797FB}"/>
    <cellStyle name="Cálculo 4 6" xfId="3604" xr:uid="{DCB7815A-1500-40EE-8245-CE4299C477A2}"/>
    <cellStyle name="Cálculo 4 6 2" xfId="16943" xr:uid="{0FB722D3-944B-4F2E-B355-91229EAD6539}"/>
    <cellStyle name="Cálculo 4 7" xfId="16934" xr:uid="{E666B30F-A999-4F08-B471-FFE9272E904E}"/>
    <cellStyle name="Cálculo 5" xfId="3605" xr:uid="{7036117E-9F47-4AA6-A3E0-BA3E898C944F}"/>
    <cellStyle name="Cálculo 5 2" xfId="3606" xr:uid="{5B5E3C2E-79B3-4CB7-8167-DBD8EFB75BD0}"/>
    <cellStyle name="Cálculo 5 2 2" xfId="3607" xr:uid="{53A300AD-B9F2-47D4-93B1-9F41B4E4D4A5}"/>
    <cellStyle name="Cálculo 5 2 2 2" xfId="16946" xr:uid="{2C0D159F-766B-4508-94B2-ED1C2C233639}"/>
    <cellStyle name="Cálculo 5 2 3" xfId="3608" xr:uid="{A6445DDE-E301-4CB8-B4A7-390EF0B7FA6A}"/>
    <cellStyle name="Cálculo 5 2 3 2" xfId="16947" xr:uid="{687D8EE6-E6EC-43CD-B733-8F9FB02A914B}"/>
    <cellStyle name="Cálculo 5 2 4" xfId="3609" xr:uid="{C77F9266-5E67-4EEF-9223-E18635140795}"/>
    <cellStyle name="Cálculo 5 2 4 2" xfId="16948" xr:uid="{42FC9AA9-4275-44F8-ABEF-68A82C686C33}"/>
    <cellStyle name="Cálculo 5 2 5" xfId="3610" xr:uid="{07EE6FA4-C0F4-4114-BAF5-B37D8BA96F33}"/>
    <cellStyle name="Cálculo 5 2 5 2" xfId="16949" xr:uid="{E44E99B3-407D-49EC-82B0-C272CE4E64BE}"/>
    <cellStyle name="Cálculo 5 2 6" xfId="16945" xr:uid="{D6D7F4BF-B53F-4BCD-B318-5FF23426C070}"/>
    <cellStyle name="Cálculo 5 3" xfId="3611" xr:uid="{7EF3CE29-2837-49CB-8270-E51D2BC6C282}"/>
    <cellStyle name="Cálculo 5 3 2" xfId="16950" xr:uid="{18E51F60-E3FC-40F6-B7F5-C4B90C324AD3}"/>
    <cellStyle name="Cálculo 5 4" xfId="3612" xr:uid="{71D89FFC-F588-4C1A-960D-245BE8617484}"/>
    <cellStyle name="Cálculo 5 4 2" xfId="16951" xr:uid="{B8B26BA4-387C-44E9-8445-76F149310458}"/>
    <cellStyle name="Cálculo 5 5" xfId="3613" xr:uid="{7F17862F-C386-4184-B26D-2A95B485D8FD}"/>
    <cellStyle name="Cálculo 5 5 2" xfId="16952" xr:uid="{554AE8EC-7C1B-49D1-9252-F14A94999269}"/>
    <cellStyle name="Cálculo 5 6" xfId="3614" xr:uid="{492CCE5A-0C99-401D-A09A-1601CAA90479}"/>
    <cellStyle name="Cálculo 5 6 2" xfId="16953" xr:uid="{083237F0-49BE-4C48-B4E5-00B467A6BFAC}"/>
    <cellStyle name="Cálculo 5 7" xfId="16944" xr:uid="{BE77A715-AFDA-4879-95B5-BCE4875A351B}"/>
    <cellStyle name="Cálculo 6" xfId="3615" xr:uid="{2A9F7F20-18A5-46D7-9ABD-D510DDEA61E3}"/>
    <cellStyle name="Cálculo 6 2" xfId="3616" xr:uid="{B82A1D08-89E8-4A6F-9C6D-0BB8FAE0B31B}"/>
    <cellStyle name="Cálculo 6 2 2" xfId="3617" xr:uid="{460727A1-16BA-428F-B60F-E091F2A80717}"/>
    <cellStyle name="Cálculo 6 2 2 2" xfId="16956" xr:uid="{E5B250D2-CF34-4D14-B0B0-9DD9B073DD8A}"/>
    <cellStyle name="Cálculo 6 2 3" xfId="3618" xr:uid="{F52F008B-EB71-409C-BF5D-E6EAA546251A}"/>
    <cellStyle name="Cálculo 6 2 3 2" xfId="16957" xr:uid="{61EE13DE-A2CE-46C1-B043-2C79AE1FD1D6}"/>
    <cellStyle name="Cálculo 6 2 4" xfId="3619" xr:uid="{B51FB4AC-D679-49C4-BBD2-7EC979DE2AC9}"/>
    <cellStyle name="Cálculo 6 2 4 2" xfId="16958" xr:uid="{CEDA3FAB-3A9C-42EF-89D7-1A278D66DCF2}"/>
    <cellStyle name="Cálculo 6 2 5" xfId="3620" xr:uid="{7641D941-8FCA-4EA7-A416-FBF2D7C3EB9A}"/>
    <cellStyle name="Cálculo 6 2 5 2" xfId="16959" xr:uid="{03148268-43E3-403E-A45C-BDC9CE47B9C8}"/>
    <cellStyle name="Cálculo 6 2 6" xfId="16955" xr:uid="{6F8F5FB6-CC83-4057-A786-9E95B0D601B9}"/>
    <cellStyle name="Cálculo 6 3" xfId="3621" xr:uid="{44204984-7FB0-4D74-B187-DB48A448BC3D}"/>
    <cellStyle name="Cálculo 6 3 2" xfId="16960" xr:uid="{F435F236-C955-4FFF-9868-5555F07E60D2}"/>
    <cellStyle name="Cálculo 6 4" xfId="3622" xr:uid="{8D347121-F7E1-476B-9025-C8133352DFBB}"/>
    <cellStyle name="Cálculo 6 4 2" xfId="16961" xr:uid="{9FAF2130-A0A4-4627-A5F8-17483AB85E48}"/>
    <cellStyle name="Cálculo 6 5" xfId="3623" xr:uid="{4F5FD55D-F32A-4987-81DE-FF86963A4033}"/>
    <cellStyle name="Cálculo 6 5 2" xfId="16962" xr:uid="{E1011829-763B-40D8-8B7F-89B64BCDE2A8}"/>
    <cellStyle name="Cálculo 6 6" xfId="3624" xr:uid="{44D22E23-9995-4ABF-98EE-C8C803CF369C}"/>
    <cellStyle name="Cálculo 6 6 2" xfId="16963" xr:uid="{0220B9B8-4F9B-4F3B-AA1F-CB57664BE66B}"/>
    <cellStyle name="Cálculo 6 7" xfId="16954" xr:uid="{43445D6A-63E9-4221-9FCD-D6E86553DF6E}"/>
    <cellStyle name="Cálculo 7" xfId="3625" xr:uid="{BA6FD494-48C5-46C6-AC20-EFA6B943B60C}"/>
    <cellStyle name="Cálculo 7 2" xfId="3626" xr:uid="{14408B50-C421-443B-B759-2482E9D5FA08}"/>
    <cellStyle name="Cálculo 7 2 2" xfId="3627" xr:uid="{ACE76281-A59A-4A76-9C30-8CB05C11D525}"/>
    <cellStyle name="Cálculo 7 2 2 2" xfId="16966" xr:uid="{E80AF764-F794-4C6D-B903-461CF32577F3}"/>
    <cellStyle name="Cálculo 7 2 3" xfId="3628" xr:uid="{EFA2FDDC-2CFB-432B-9F48-FAFAEF4E03FC}"/>
    <cellStyle name="Cálculo 7 2 3 2" xfId="16967" xr:uid="{713C5D64-1836-42CF-AC5C-EE51D8F0EAAC}"/>
    <cellStyle name="Cálculo 7 2 4" xfId="3629" xr:uid="{B0B3F121-0743-43EA-8181-04CD52F333F0}"/>
    <cellStyle name="Cálculo 7 2 4 2" xfId="16968" xr:uid="{CF04CC1D-328C-400B-8CE2-F2C32D433C3D}"/>
    <cellStyle name="Cálculo 7 2 5" xfId="3630" xr:uid="{873D574E-B956-41B6-830A-54B5F250EE54}"/>
    <cellStyle name="Cálculo 7 2 5 2" xfId="16969" xr:uid="{EF60FB6B-2989-415C-A501-B601E646C5B5}"/>
    <cellStyle name="Cálculo 7 2 6" xfId="16965" xr:uid="{002B0435-A8F9-4F80-BDB6-2EE2EA4C0EC1}"/>
    <cellStyle name="Cálculo 7 3" xfId="3631" xr:uid="{E482CC49-DE23-47C6-BF6D-9569A285A44E}"/>
    <cellStyle name="Cálculo 7 3 2" xfId="16970" xr:uid="{4E479AB6-29EC-49AD-B007-9FA77A7330F5}"/>
    <cellStyle name="Cálculo 7 4" xfId="3632" xr:uid="{D5C0398D-41F7-4641-8A6C-FF32BBA157A2}"/>
    <cellStyle name="Cálculo 7 4 2" xfId="16971" xr:uid="{EBA9351B-A0F9-4192-9907-E1B202997AB9}"/>
    <cellStyle name="Cálculo 7 5" xfId="3633" xr:uid="{FAED8A3C-1D1D-4AEE-B561-9DC3AAB9ADCB}"/>
    <cellStyle name="Cálculo 7 5 2" xfId="16972" xr:uid="{364CDD03-B430-4AF9-AEDE-3F406B12E12F}"/>
    <cellStyle name="Cálculo 7 6" xfId="3634" xr:uid="{D0415D09-4FA1-4260-B830-9BE98C11937F}"/>
    <cellStyle name="Cálculo 7 6 2" xfId="16973" xr:uid="{0B9D8AEF-0915-44C1-AB28-6ED37FB5AF3A}"/>
    <cellStyle name="Cálculo 7 7" xfId="16964" xr:uid="{AB97BD6E-FEF5-4FCC-B690-EC69463D43B4}"/>
    <cellStyle name="Cálculo 8" xfId="3635" xr:uid="{3F714C49-E6BF-4ECB-BD15-67D0333F589F}"/>
    <cellStyle name="Cálculo 8 2" xfId="3636" xr:uid="{C94D3F02-B991-4869-ACAD-D4BE50BA1B01}"/>
    <cellStyle name="Cálculo 8 2 2" xfId="3637" xr:uid="{09A258E2-1D7F-41B3-B12F-A6CB0175168B}"/>
    <cellStyle name="Cálculo 8 2 2 2" xfId="16976" xr:uid="{3C058252-2187-4D01-B211-625A15E4D1B7}"/>
    <cellStyle name="Cálculo 8 2 3" xfId="3638" xr:uid="{09C371F8-18FF-436A-BF64-FE8C2ACB956C}"/>
    <cellStyle name="Cálculo 8 2 3 2" xfId="16977" xr:uid="{205CFF7A-231E-4E96-9A83-1658CEDE83D8}"/>
    <cellStyle name="Cálculo 8 2 4" xfId="3639" xr:uid="{B2FAB9D9-6888-4E09-81D8-4592F1FD9043}"/>
    <cellStyle name="Cálculo 8 2 4 2" xfId="16978" xr:uid="{B736DE61-3961-4EC3-81FA-AFE560F5323C}"/>
    <cellStyle name="Cálculo 8 2 5" xfId="3640" xr:uid="{A8ECDEF8-C803-42EB-B13F-77717A55E335}"/>
    <cellStyle name="Cálculo 8 2 5 2" xfId="16979" xr:uid="{BB6B63A4-C323-4A6E-89A5-7C5CB983E42B}"/>
    <cellStyle name="Cálculo 8 2 6" xfId="16975" xr:uid="{9E6F8CA7-3019-4817-A18E-A2DD6E17AB72}"/>
    <cellStyle name="Cálculo 8 3" xfId="3641" xr:uid="{C62B31EC-642C-415A-A605-C4A26051124A}"/>
    <cellStyle name="Cálculo 8 3 2" xfId="16980" xr:uid="{4E5EB852-1E8A-4D16-B25C-D480B2607729}"/>
    <cellStyle name="Cálculo 8 4" xfId="3642" xr:uid="{2F289791-31C2-407B-A55E-D7DB0333A151}"/>
    <cellStyle name="Cálculo 8 4 2" xfId="16981" xr:uid="{59FA4E1D-172C-452C-B8D0-AC364EF56280}"/>
    <cellStyle name="Cálculo 8 5" xfId="3643" xr:uid="{C464E708-D18C-413E-8753-AF72D9DB1B9E}"/>
    <cellStyle name="Cálculo 8 5 2" xfId="16982" xr:uid="{71965C47-E1D9-476C-9C27-E666E618F35C}"/>
    <cellStyle name="Cálculo 8 6" xfId="3644" xr:uid="{D1A163BE-B3DC-45C7-9CEF-BD6EF08D8FB0}"/>
    <cellStyle name="Cálculo 8 6 2" xfId="16983" xr:uid="{C31156EA-CBB7-4201-8769-A787325B2007}"/>
    <cellStyle name="Cálculo 8 7" xfId="16974" xr:uid="{B4E4C4B8-3D3C-4DA0-AAD5-0E7B0B9ED5FA}"/>
    <cellStyle name="Cálculo 9" xfId="3645" xr:uid="{5322444F-3286-4DC7-BA1D-C06A358697E0}"/>
    <cellStyle name="Cálculo 9 2" xfId="3646" xr:uid="{0EB5DB01-A7A6-45B3-B989-EECBF9479C5B}"/>
    <cellStyle name="Cálculo 9 2 2" xfId="3647" xr:uid="{F01ADB45-B4F5-4882-B947-4BB9F4BA5880}"/>
    <cellStyle name="Cálculo 9 2 2 2" xfId="16986" xr:uid="{D54E48B9-476C-45AA-BE55-31CA8FAC76CA}"/>
    <cellStyle name="Cálculo 9 2 3" xfId="3648" xr:uid="{712D1423-3F4C-4EE7-9A5D-11BE8DEE5DEF}"/>
    <cellStyle name="Cálculo 9 2 3 2" xfId="16987" xr:uid="{CEAF9E0B-B91C-465B-B764-580F27220C68}"/>
    <cellStyle name="Cálculo 9 2 4" xfId="3649" xr:uid="{BC30F325-C139-43DA-9EF6-23E934D387C0}"/>
    <cellStyle name="Cálculo 9 2 4 2" xfId="16988" xr:uid="{0542F9B6-70F5-486C-94B9-F1FE646C4409}"/>
    <cellStyle name="Cálculo 9 2 5" xfId="3650" xr:uid="{671DC034-96B0-460E-BF7D-65B970FAA94D}"/>
    <cellStyle name="Cálculo 9 2 5 2" xfId="16989" xr:uid="{BF19743F-0DC5-4EF2-AEA8-95141B05D176}"/>
    <cellStyle name="Cálculo 9 2 6" xfId="16985" xr:uid="{A5114E4E-AB43-4729-9A67-5A65450ECDF2}"/>
    <cellStyle name="Cálculo 9 3" xfId="3651" xr:uid="{39D64B14-BC6C-4D40-AC3E-2CE5C10F0421}"/>
    <cellStyle name="Cálculo 9 3 2" xfId="16990" xr:uid="{35E69C65-84C8-491A-98E8-383A42A90415}"/>
    <cellStyle name="Cálculo 9 4" xfId="3652" xr:uid="{7780C78B-E3F1-45AD-A901-15B8DB66C555}"/>
    <cellStyle name="Cálculo 9 4 2" xfId="16991" xr:uid="{D2A2DA99-1077-4C52-89F0-00B7B4CA4233}"/>
    <cellStyle name="Cálculo 9 5" xfId="3653" xr:uid="{90661599-D4A1-48FC-9522-77A23525BB96}"/>
    <cellStyle name="Cálculo 9 5 2" xfId="16992" xr:uid="{A9CBAD4D-A22B-40FF-A245-73E40C28D729}"/>
    <cellStyle name="Cálculo 9 6" xfId="3654" xr:uid="{55B671EA-6926-485E-B5D8-166450D37D7A}"/>
    <cellStyle name="Cálculo 9 6 2" xfId="16993" xr:uid="{F0842B87-B5CD-4DEB-A9FC-3BBA5FDF0D7D}"/>
    <cellStyle name="Cálculo 9 7" xfId="16984" xr:uid="{AF56E108-97D5-436A-B011-1DBB34B1BC7B}"/>
    <cellStyle name="Cálculo_KTR An-Abflug" xfId="14842" xr:uid="{3AE3028C-2C4A-4EE6-BA39-F5D1DCF338E6}"/>
    <cellStyle name="CalculYellow" xfId="3655" xr:uid="{01554066-1332-4D20-A3DE-BEA2DB8F416C}"/>
    <cellStyle name="Cat. A" xfId="3656" xr:uid="{BB5437CA-AADB-4E6E-ABFD-C6609047AE2C}"/>
    <cellStyle name="Cat. B" xfId="3657" xr:uid="{43116C01-77FA-46F5-A0C0-CDFB1226594B}"/>
    <cellStyle name="Cat. C" xfId="3658" xr:uid="{EDCAD71E-4325-45A9-8398-D8E0BE802C23}"/>
    <cellStyle name="Cat. D" xfId="3659" xr:uid="{02A7001E-CBCA-415F-AE10-E0E2E1B306D2}"/>
    <cellStyle name="Celda de comprobación" xfId="3660" xr:uid="{7DB23936-DDEF-4E82-BB0F-041F0700B551}"/>
    <cellStyle name="Celda vinculada" xfId="3661" xr:uid="{E0F4FA96-4716-4D0D-B38C-C203CF04358D}"/>
    <cellStyle name="Celkem" xfId="3662" xr:uid="{F7C27378-56E9-46C4-A11E-45630FB139B8}"/>
    <cellStyle name="Celkem 2" xfId="3663" xr:uid="{4BF9E222-2BD6-4727-9219-8F609D964C12}"/>
    <cellStyle name="Celkem 2 2" xfId="16995" xr:uid="{D75D6786-630F-4694-8C0E-3BDFA84AF86E}"/>
    <cellStyle name="Celkem 3" xfId="3664" xr:uid="{80AA6732-E108-4C3E-AF15-491927B6EA3B}"/>
    <cellStyle name="Celkem 3 2" xfId="16996" xr:uid="{1D90EAAC-B872-4562-82EA-25E4CD59D128}"/>
    <cellStyle name="Celkem 4" xfId="16994" xr:uid="{4BFFBE1E-930C-4D75-83D0-DA07C64D5FF9}"/>
    <cellStyle name="Cella collegata 2" xfId="3665" xr:uid="{CCBA109C-8D6F-4EEC-81D7-7FC7D635025C}"/>
    <cellStyle name="Cella collegata 3" xfId="3666" xr:uid="{0AC8B4FD-2008-4F33-936D-6CA8666F1838}"/>
    <cellStyle name="Cella da controllare 2" xfId="3667" xr:uid="{3FEF5C1C-A1F7-4731-820B-0BF5EB75E518}"/>
    <cellStyle name="Cella da controllare 3" xfId="3668" xr:uid="{485E1900-123E-4B89-AB1C-E962102C3F4F}"/>
    <cellStyle name="Cellule liée" xfId="14951" xr:uid="{B62F1989-D9BA-4313-998E-4A6ECEFD93A2}"/>
    <cellStyle name="Cellule liée 2" xfId="3669" xr:uid="{2DA2224A-74EC-4875-B3F1-70E918F7C7E2}"/>
    <cellStyle name="Cellule liée 2 2" xfId="3670" xr:uid="{B8BA4CFF-B74C-4D88-92B1-C969693EB988}"/>
    <cellStyle name="Cellule liée 2_130725 DSNA 2011 Dossier de révision initial" xfId="3671" xr:uid="{5BEF5724-4D12-41A8-AD3F-488458F1399B}"/>
    <cellStyle name="Cellule liée 3" xfId="3672" xr:uid="{CEE7950D-8CDD-4688-B84B-2924B91F29EE}"/>
    <cellStyle name="Cellule liée 3 2" xfId="3673" xr:uid="{402A257F-F71C-4751-BC6B-43D433CC0038}"/>
    <cellStyle name="Cellule liée 4" xfId="3674" xr:uid="{17A98300-EA63-434A-9784-0C2F45111B1C}"/>
    <cellStyle name="Cellule liée 4 2" xfId="3675" xr:uid="{5CB9D523-B724-4251-AF5D-60B400782322}"/>
    <cellStyle name="Cellule liée 5" xfId="3676" xr:uid="{011C2373-978C-4451-9496-42974FBD7AFC}"/>
    <cellStyle name="Chap" xfId="3677" xr:uid="{39587BBC-0486-4368-B910-0E964D670F58}"/>
    <cellStyle name="Check Box" xfId="3678" xr:uid="{4697CEC4-BA58-4E10-8B2B-70C064B4AE7E}"/>
    <cellStyle name="Check Box Input" xfId="3679" xr:uid="{E75393A4-121A-4F6F-B446-FF5565EB95E6}"/>
    <cellStyle name="Check Box_First Capital Connect Financial Model" xfId="3680" xr:uid="{B2AEBCE7-B338-4FFA-85E9-6E70230E19DF}"/>
    <cellStyle name="Check Cell 2" xfId="3681" xr:uid="{B817DA3C-3A3B-40AE-A360-43A6C155F0F1}"/>
    <cellStyle name="Check Cell 3" xfId="14676" xr:uid="{4E925D78-0EDC-41C8-8B43-D541F2EC6EC5}"/>
    <cellStyle name="Chybně" xfId="3682" xr:uid="{B7D8F873-261B-48C2-9AC6-B9C65EE25BA1}"/>
    <cellStyle name="Cím 2" xfId="3683" xr:uid="{65A15DF7-EC62-4DDD-8520-2CA8F6472761}"/>
    <cellStyle name="Címsor 1 2" xfId="3684" xr:uid="{4684354D-3FE5-4BAE-B837-85890A8C723D}"/>
    <cellStyle name="Címsor 2 2" xfId="3685" xr:uid="{28A90124-7033-4619-A8F2-42B133C84ABB}"/>
    <cellStyle name="Címsor 3 2" xfId="3686" xr:uid="{7D9666A6-A5D7-40E8-9DFC-DF23AF33F408}"/>
    <cellStyle name="Címsor 4 2" xfId="3687" xr:uid="{309128E9-ED33-4914-87F3-338E732B6CFB}"/>
    <cellStyle name="ColBlue" xfId="3688" xr:uid="{E96183A8-78D5-4587-8494-9D4BDE5CF297}"/>
    <cellStyle name="ColGreen" xfId="3689" xr:uid="{DDE69A09-0F82-49E3-A353-FA83E28A7991}"/>
    <cellStyle name="colonne" xfId="3690" xr:uid="{DDA7A307-827C-471A-8EA3-534B32598F0B}"/>
    <cellStyle name="colorcomma" xfId="3691" xr:uid="{21549332-8E58-4626-AB85-FE47AE779D6B}"/>
    <cellStyle name="Colore 1 2" xfId="3692" xr:uid="{45087341-B954-483B-B07F-156935252EA7}"/>
    <cellStyle name="Colore 1 3" xfId="3693" xr:uid="{6A10C749-6668-4CCA-BD4D-48ECFC345926}"/>
    <cellStyle name="Colore 2 2" xfId="3694" xr:uid="{D7B4A52B-2DA2-41E0-8EF6-447A4D650470}"/>
    <cellStyle name="Colore 2 3" xfId="3695" xr:uid="{2B64F997-2432-40C6-ABF7-ECFD43D70F21}"/>
    <cellStyle name="Colore 3 2" xfId="3696" xr:uid="{2EFF4BEF-D375-40D8-9377-B1297450F81C}"/>
    <cellStyle name="Colore 3 3" xfId="3697" xr:uid="{3BBBF09D-73A3-40F1-BD3F-9A1577FCF363}"/>
    <cellStyle name="Colore 4 2" xfId="3698" xr:uid="{4F207ED3-35E6-4ECA-923F-47E473EBA6D6}"/>
    <cellStyle name="Colore 4 3" xfId="3699" xr:uid="{3085F3A8-2666-4E79-A610-444F3DDEE2DD}"/>
    <cellStyle name="Colore 5 2" xfId="3700" xr:uid="{3FB31784-8368-42B6-BF6F-37B33896F7EB}"/>
    <cellStyle name="Colore 5 3" xfId="3701" xr:uid="{4F065A67-1B71-4CDF-9EE8-7BBF01D68D6F}"/>
    <cellStyle name="Colore 6 2" xfId="3702" xr:uid="{B6E76C81-14BA-4B06-BD82-6BB01C26BA12}"/>
    <cellStyle name="Colore 6 3" xfId="3703" xr:uid="{BE6B3E79-CE48-432E-B500-76C2F215EBCD}"/>
    <cellStyle name="ColRed" xfId="3704" xr:uid="{788058AC-8372-40A9-A3F5-1F54BA08A60B}"/>
    <cellStyle name="Column Title" xfId="3705" xr:uid="{9DA08267-D5F1-4647-9C12-18040D915505}"/>
    <cellStyle name="Column Title 2" xfId="3706" xr:uid="{5BC11BCE-B598-4E45-9FA0-49DDF9D8E14B}"/>
    <cellStyle name="Comma (1)" xfId="3707" xr:uid="{140CA498-16ED-4D5D-8D1C-30E24E754655}"/>
    <cellStyle name="comma (2)" xfId="3708" xr:uid="{3DCDF340-A064-4E6A-ABC2-D1E3DDE74701}"/>
    <cellStyle name="comma (2) 2" xfId="3709" xr:uid="{D80FA34D-3CF4-4F8A-8E60-845906B6BC99}"/>
    <cellStyle name="comma (2) 3" xfId="3710" xr:uid="{E64EBC52-4C48-444A-825D-4C5D6663A295}"/>
    <cellStyle name="Comma 0" xfId="3711" xr:uid="{455AE504-721A-4B1E-8CFA-C9068E53C94A}"/>
    <cellStyle name="Comma 10" xfId="3712" xr:uid="{37BA8BBC-7F54-4509-9886-523BEFB6C14E}"/>
    <cellStyle name="Comma 10 2" xfId="3713" xr:uid="{9232765B-7499-41BB-B856-94DB2E9764A2}"/>
    <cellStyle name="Comma 10 2 2" xfId="3714" xr:uid="{AB41101B-829F-4C5C-9271-4F07B7DCEB69}"/>
    <cellStyle name="Comma 10 2 2 2" xfId="16999" xr:uid="{36152AFF-66C8-4CE3-8E5D-BF017D39E001}"/>
    <cellStyle name="Comma 10 2 3" xfId="15257" xr:uid="{3BBDB7EE-D487-4A64-9673-2767FADF35C6}"/>
    <cellStyle name="Comma 10 2 3 2" xfId="25766" xr:uid="{95863D6D-0FB6-4B85-9212-8D878D43A76D}"/>
    <cellStyle name="Comma 10 2 4" xfId="16998" xr:uid="{442C75F7-B82A-4A15-80B4-E08D524F49D9}"/>
    <cellStyle name="Comma 10 3" xfId="3715" xr:uid="{9596205E-D0DF-4217-9FA6-9B4ED1C3921B}"/>
    <cellStyle name="Comma 10 3 2" xfId="17000" xr:uid="{1BC3860C-1BCD-45C8-8950-97853A7BEFDF}"/>
    <cellStyle name="Comma 10 4" xfId="14953" xr:uid="{49CFD7A5-AE17-49A5-9AD0-47844EB77201}"/>
    <cellStyle name="Comma 10 5" xfId="16997" xr:uid="{F98833EB-47B0-417B-98D5-41E86687A9F7}"/>
    <cellStyle name="Comma 10_RP3 PP revised" xfId="15211" xr:uid="{12918FFB-9A1F-4419-8038-132BD85A7F03}"/>
    <cellStyle name="Comma 11" xfId="3716" xr:uid="{16A8EE6F-4C54-4F4E-ACEF-62EFD02F3267}"/>
    <cellStyle name="Comma 11 2" xfId="3717" xr:uid="{15FCFAAC-D633-44C6-94CB-556787D9942B}"/>
    <cellStyle name="Comma 11 2 2" xfId="3718" xr:uid="{2F9B32B0-338C-491C-8044-6ADEEE4BCBC7}"/>
    <cellStyle name="Comma 11 2 2 2" xfId="17003" xr:uid="{A2ECF721-3F91-4FB2-8453-E26846258E9E}"/>
    <cellStyle name="Comma 11 2 3" xfId="3719" xr:uid="{6631C526-DD93-4853-B45D-215CFFCECF6A}"/>
    <cellStyle name="Comma 11 2 3 2" xfId="17004" xr:uid="{4F8B2251-97A8-4A85-8997-E6AB3832F051}"/>
    <cellStyle name="Comma 11 2 4" xfId="15258" xr:uid="{48277991-69EE-4F00-B793-CEDFB94FFA2E}"/>
    <cellStyle name="Comma 11 2 4 2" xfId="25767" xr:uid="{6D70A854-9AD9-4A6B-AC00-A33F08CDD5FB}"/>
    <cellStyle name="Comma 11 2 5" xfId="17002" xr:uid="{80913456-E901-419A-92B6-6FDB852DB333}"/>
    <cellStyle name="Comma 11 3" xfId="3720" xr:uid="{95F41527-825D-4625-828A-B93D85956070}"/>
    <cellStyle name="Comma 11 3 2" xfId="17005" xr:uid="{2685B70B-51B6-4695-BD44-60A9E9E12DDD}"/>
    <cellStyle name="Comma 11 4" xfId="3721" xr:uid="{41E56D05-16D7-44A7-8E25-0A7DAEA2297B}"/>
    <cellStyle name="Comma 11 4 2" xfId="17006" xr:uid="{E24FA028-39C5-4A7C-841D-35573E3E7091}"/>
    <cellStyle name="Comma 11 5" xfId="14954" xr:uid="{49BC3F61-722F-46DC-8E7C-2378E84292FD}"/>
    <cellStyle name="Comma 11 6" xfId="17001" xr:uid="{ED9D8630-0FBB-4BB0-B548-D91C04E7C74C}"/>
    <cellStyle name="Comma 11_RP3 PP revised" xfId="15210" xr:uid="{5E843843-420D-4EEE-813B-4DB59D369665}"/>
    <cellStyle name="Comma 12" xfId="3722" xr:uid="{69E02628-FA13-4FBB-9518-7E28E7C035C4}"/>
    <cellStyle name="Comma 12 2" xfId="3723" xr:uid="{27E98BE9-205D-4BA6-A661-1123C6E3824B}"/>
    <cellStyle name="Comma 12 2 2" xfId="3724" xr:uid="{3BFF53E4-F1FD-4118-9B89-C302D7813EED}"/>
    <cellStyle name="Comma 12 2 2 2" xfId="17009" xr:uid="{0C48D6F0-AF76-4C8C-A350-F13EC5FF8E33}"/>
    <cellStyle name="Comma 12 2 3" xfId="15349" xr:uid="{84D799AE-B4DA-4777-8217-F9DC7CB662BB}"/>
    <cellStyle name="Comma 12 2 3 2" xfId="25826" xr:uid="{43806788-0127-4663-9EF9-CECA835B7286}"/>
    <cellStyle name="Comma 12 2 4" xfId="17008" xr:uid="{D3AA136F-88A1-4928-83BF-F95F0FC84006}"/>
    <cellStyle name="Comma 12 3" xfId="15350" xr:uid="{0FD12CA4-50E3-48B4-AAB6-C53C8053BD11}"/>
    <cellStyle name="Comma 12 4" xfId="17007" xr:uid="{8F5EC7B5-E9A7-44D7-8216-961CCFAB64AE}"/>
    <cellStyle name="Comma 12_RP3 PP revised" xfId="15348" xr:uid="{0DA532D8-1A22-439D-8E40-381B476C061F}"/>
    <cellStyle name="Comma 13" xfId="3725" xr:uid="{D0FF982C-A4CC-4853-B170-05ABBC0365F9}"/>
    <cellStyle name="Comma 13 2" xfId="3726" xr:uid="{FBFD5DF8-8A72-41F0-B030-665FD7839F3D}"/>
    <cellStyle name="Comma 13 2 2" xfId="3727" xr:uid="{D577F5FA-3819-47FB-9965-C417E3F96386}"/>
    <cellStyle name="Comma 13 2 3" xfId="17011" xr:uid="{D6EA36EA-1FDC-4C48-B570-2D25C1A8241F}"/>
    <cellStyle name="Comma 13 3" xfId="3728" xr:uid="{A87CA2EC-D2D1-4130-95B5-C1DB1DC72378}"/>
    <cellStyle name="Comma 13 3 2" xfId="14787" xr:uid="{237A3C1F-DE3A-471A-9525-A2CE105D87A6}"/>
    <cellStyle name="Comma 13 4" xfId="15358" xr:uid="{19217B59-62CB-4EA6-8F78-D1FAFD75D250}"/>
    <cellStyle name="Comma 13 5" xfId="17010" xr:uid="{0E513E17-63DE-4A7E-B8B4-6DDC69D86F19}"/>
    <cellStyle name="Comma 13_RP3 PP revised" xfId="15209" xr:uid="{AA411AB0-4F9D-4FE7-9EF7-EBAB98610C8F}"/>
    <cellStyle name="Comma 14" xfId="3729" xr:uid="{CC1897F0-7FA0-4533-A40C-5E5306017BB7}"/>
    <cellStyle name="Comma 14 2" xfId="3730" xr:uid="{9863EBB7-345E-4716-ABF5-8AE5A5E4F2A2}"/>
    <cellStyle name="Comma 14 2 2" xfId="3731" xr:uid="{B8F59C56-B914-4D4E-9313-5ED75C897026}"/>
    <cellStyle name="Comma 14 2 3" xfId="17013" xr:uid="{3E747A0A-1AC2-4A0F-B452-7BCA6ACC60D7}"/>
    <cellStyle name="Comma 14 3" xfId="3732" xr:uid="{BCC8D7F3-0058-4EFF-9319-8D74D5452FDB}"/>
    <cellStyle name="Comma 14 3 2" xfId="14790" xr:uid="{FBE61901-F67E-4F48-95F2-53D7C3046ECE}"/>
    <cellStyle name="Comma 14 4" xfId="15359" xr:uid="{9E44AD7B-4F16-45EE-B633-F3A82F14EF8C}"/>
    <cellStyle name="Comma 14 5" xfId="17012" xr:uid="{0D4EE535-2181-4814-917A-EF3B3D3C8490}"/>
    <cellStyle name="Comma 14_RP3 PP revised" xfId="15208" xr:uid="{D0DE303B-0177-4408-9A9F-7337A1D8C27C}"/>
    <cellStyle name="Comma 15" xfId="3733" xr:uid="{C1B4A1F7-6E89-44C1-AE85-08B5FD040544}"/>
    <cellStyle name="Comma 15 2" xfId="3734" xr:uid="{BFDBE246-85D6-4B77-8CA7-290C3F79781E}"/>
    <cellStyle name="Comma 15 2 2" xfId="3735" xr:uid="{3CBEA324-D9E5-4D3D-9998-BEE2AEA1CB03}"/>
    <cellStyle name="Comma 15 2 3" xfId="17015" xr:uid="{FF3EB23B-C5BD-4CEF-8CC7-ACA03739BB54}"/>
    <cellStyle name="Comma 15 3" xfId="3736" xr:uid="{EE5EE211-5548-4F22-B2EA-C7C63D35D09F}"/>
    <cellStyle name="Comma 15 3 2" xfId="14805" xr:uid="{941C0E57-33D1-4068-B9F0-98008F9AB465}"/>
    <cellStyle name="Comma 15 4" xfId="15360" xr:uid="{6D28CB96-A2CF-441A-B512-14639D573633}"/>
    <cellStyle name="Comma 15 5" xfId="17014" xr:uid="{E34CB1A0-E317-4EB2-BB4B-D02420586F88}"/>
    <cellStyle name="Comma 15_RP3 PP revised" xfId="15207" xr:uid="{731A3DC1-48BC-419B-9DA5-9E3E42EB4AF5}"/>
    <cellStyle name="Comma 16" xfId="3737" xr:uid="{52669E7B-4CED-4F50-9671-7102F5259920}"/>
    <cellStyle name="Comma 16 2" xfId="3738" xr:uid="{E0C51F76-0728-43EB-9417-33B4AF49A752}"/>
    <cellStyle name="Comma 16 2 2" xfId="3739" xr:uid="{20D0D0E8-D27F-41A0-B598-B3996FF28716}"/>
    <cellStyle name="Comma 16 2 3" xfId="17017" xr:uid="{554652A2-60B2-4630-B624-20EC92C63E44}"/>
    <cellStyle name="Comma 16 3" xfId="3740" xr:uid="{3ACF4538-D074-418F-80FF-2A33BE420EA2}"/>
    <cellStyle name="Comma 16 3 2" xfId="14793" xr:uid="{593B5A9C-C514-467D-83BB-2D01A2FB3233}"/>
    <cellStyle name="Comma 16 4" xfId="15361" xr:uid="{E43960B7-C0E4-4524-987B-5C4287AEBEAD}"/>
    <cellStyle name="Comma 16 5" xfId="17016" xr:uid="{D0C6128E-1306-4E62-87A2-E992F9BFED2A}"/>
    <cellStyle name="Comma 16_RP3 PP revised" xfId="15416" xr:uid="{F94B9241-6F5E-43C0-AB48-B85C55100092}"/>
    <cellStyle name="Comma 17" xfId="3741" xr:uid="{082C5075-AC6A-48C8-91D4-E591F9980F86}"/>
    <cellStyle name="Comma 17 2" xfId="3742" xr:uid="{D3E19E74-0A4F-4613-AA6E-80959E2875A3}"/>
    <cellStyle name="Comma 17 2 2" xfId="3743" xr:uid="{F5C2D8A1-0CDA-403B-BC5E-A189153C083C}"/>
    <cellStyle name="Comma 17 2 2 2" xfId="17020" xr:uid="{5A245545-A572-40A5-A215-FC069710EBB9}"/>
    <cellStyle name="Comma 17 2 3" xfId="17019" xr:uid="{A3398E04-96D0-4F02-A8F0-D5A84CC87915}"/>
    <cellStyle name="Comma 17 3" xfId="14952" xr:uid="{B63004C9-B809-4464-A184-43688F73D8F4}"/>
    <cellStyle name="Comma 17 4" xfId="17018" xr:uid="{2468375B-33D5-4D55-B531-C9DBC3FE6511}"/>
    <cellStyle name="Comma 17_RP3 PP revised" xfId="15347" xr:uid="{B5F36D1F-A4CC-4F15-8452-383328C9784A}"/>
    <cellStyle name="Comma 18" xfId="3744" xr:uid="{B8300D5B-34CE-4CFF-9264-11613DB7C07C}"/>
    <cellStyle name="Comma 18 2" xfId="3745" xr:uid="{466A5A58-DF68-473D-959F-76AFD05FD248}"/>
    <cellStyle name="Comma 18 2 2" xfId="3746" xr:uid="{10F9EAB0-0D82-45B5-8226-5BC1C4092C4E}"/>
    <cellStyle name="Comma 18 2 3" xfId="17022" xr:uid="{306C0154-B87E-4915-BA0B-B5A86782B45B}"/>
    <cellStyle name="Comma 18 3" xfId="3747" xr:uid="{0FF8D1C3-0319-4F9B-8899-F01CE7BA954F}"/>
    <cellStyle name="Comma 18 3 2" xfId="14796" xr:uid="{E85F2AB7-1767-40E3-B189-AAB06243BAF1}"/>
    <cellStyle name="Comma 18 4" xfId="14913" xr:uid="{E94ABF08-5D82-42C8-BB41-42091CBE2BDE}"/>
    <cellStyle name="Comma 18 4 2" xfId="25761" xr:uid="{5DF22520-6773-4B22-A73E-B265A615D38E}"/>
    <cellStyle name="Comma 18 5" xfId="15430" xr:uid="{5090963A-C971-406A-9BA2-92B920107111}"/>
    <cellStyle name="Comma 18 5 2" xfId="25828" xr:uid="{1B4CA116-EF9F-4BE0-876E-ADA9FC488761}"/>
    <cellStyle name="Comma 18 6" xfId="17021" xr:uid="{127C5658-7CCA-4718-8FFE-D6BEB6F33234}"/>
    <cellStyle name="Comma 18_RP3 PP revised" xfId="15206" xr:uid="{2152D8AE-D5C7-48CD-9ADA-F2432FCDCD3C}"/>
    <cellStyle name="Comma 19" xfId="3748" xr:uid="{A7618BCD-53D9-489C-89FD-4C4FF4C0F334}"/>
    <cellStyle name="Comma 19 2" xfId="3749" xr:uid="{64615FA5-FC9A-4EDF-AF2D-5C6CDB2757D9}"/>
    <cellStyle name="Comma 19 2 2" xfId="3750" xr:uid="{C319CD6C-812C-4D2B-8CB6-063425D22D8E}"/>
    <cellStyle name="Comma 19 2 3" xfId="17024" xr:uid="{E33B5545-D963-4922-BABB-FE357FBA65FF}"/>
    <cellStyle name="Comma 19 3" xfId="3751" xr:uid="{8F4EF608-2406-412D-8DC5-8FD1F1C2A30C}"/>
    <cellStyle name="Comma 19 3 2" xfId="14802" xr:uid="{55EF7823-038D-4437-B3B9-AADCAF2F5C39}"/>
    <cellStyle name="Comma 19 4" xfId="17023" xr:uid="{ADEC0858-A2F6-40B6-AA33-48FE6FB6329B}"/>
    <cellStyle name="Comma 2" xfId="6" xr:uid="{F22B2B7D-4ACC-4AC7-A3DD-46803691700A}"/>
    <cellStyle name="Comma 2 10" xfId="15444" xr:uid="{6F6B2F64-C7B6-496B-8D9D-D020C8D9B23F}"/>
    <cellStyle name="Comma 2 11" xfId="3752" xr:uid="{3FB96523-884E-4A5A-A559-2DA72FF7791A}"/>
    <cellStyle name="Comma 2 2" xfId="23" xr:uid="{0916937C-096E-4FE9-AEE6-64DBD2650F0C}"/>
    <cellStyle name="Comma 2 2 2" xfId="3754" xr:uid="{65945110-9AE1-467A-9AA6-4B2EE77A0AAE}"/>
    <cellStyle name="Comma 2 2 2 2" xfId="3755" xr:uid="{BC4A2234-222F-4278-905E-56229AE838B4}"/>
    <cellStyle name="Comma 2 2 2 2 2" xfId="17028" xr:uid="{68D0416A-07D5-41CA-BD13-D3063BA351C5}"/>
    <cellStyle name="Comma 2 2 2 3" xfId="15260" xr:uid="{BB3D12D3-3BA6-4BDA-B1D2-BA1FC354B4F7}"/>
    <cellStyle name="Comma 2 2 2 3 2" xfId="25769" xr:uid="{1669C9B6-7C16-4B01-81D3-E308541A9DC1}"/>
    <cellStyle name="Comma 2 2 2 4" xfId="17027" xr:uid="{41924677-AC98-4585-B136-856F7F650F2B}"/>
    <cellStyle name="Comma 2 2 3" xfId="3756" xr:uid="{38322EE0-81B8-415C-BB11-258F633202B2}"/>
    <cellStyle name="Comma 2 2 3 2" xfId="17029" xr:uid="{80C5BA4B-3F8F-448B-9B4D-CC2DCBFA2687}"/>
    <cellStyle name="Comma 2 2 4" xfId="14955" xr:uid="{D52B54CC-BE7A-4A66-A740-71B153917975}"/>
    <cellStyle name="Comma 2 2 5" xfId="17026" xr:uid="{511C3791-52A3-4809-9A3F-D36D67EBEA3E}"/>
    <cellStyle name="Comma 2 2 6" xfId="3753" xr:uid="{1F586A9A-A9C5-46A3-85B6-ABFA999CED64}"/>
    <cellStyle name="Comma 2 2_RP3 PP revised" xfId="15202" xr:uid="{AE2A212A-F9EC-4B65-8F37-1F726A806DD6}"/>
    <cellStyle name="Comma 2 3" xfId="3757" xr:uid="{2F905166-EA21-4FF1-9BF3-23D2C00EDDD9}"/>
    <cellStyle name="Comma 2 3 2" xfId="3758" xr:uid="{6BE8F131-B7D7-43C9-9D3F-DEB542E5B0BC}"/>
    <cellStyle name="Comma 2 3 2 2" xfId="3759" xr:uid="{E093B540-E1DA-4B58-B35E-0D511903FC3A}"/>
    <cellStyle name="Comma 2 3 2 2 2" xfId="3760" xr:uid="{ADF63D76-4301-493C-AD1A-56356A7156E9}"/>
    <cellStyle name="Comma 2 3 2 2 3" xfId="14921" xr:uid="{0D695093-C70D-4296-A6A4-130C74E5C957}"/>
    <cellStyle name="Comma 2 3 2 2 3 2" xfId="25763" xr:uid="{621DEA10-C806-40F8-8EBB-FDBD4B5D149E}"/>
    <cellStyle name="Comma 2 3 2 3" xfId="3761" xr:uid="{A7CC90CE-5997-48BF-97DD-FAADF05C43D3}"/>
    <cellStyle name="Comma 2 3 2 3 2" xfId="14810" xr:uid="{0285C91E-7B1B-4CBE-A883-EAEE4B4589CB}"/>
    <cellStyle name="Comma 2 3 2 3 3" xfId="15262" xr:uid="{B80D64A0-525A-497F-A87B-B2C19F148473}"/>
    <cellStyle name="Comma 2 3 2 3 3 2" xfId="25771" xr:uid="{70E2FA78-4B50-4C48-9259-3B76F74EA391}"/>
    <cellStyle name="Comma 2 3 2 3 4" xfId="17032" xr:uid="{2AF0C557-D8C3-4F2D-8B32-1E6452CE59AE}"/>
    <cellStyle name="Comma 2 3 2 4" xfId="17031" xr:uid="{A1F545B4-F69A-4BA8-89CD-EF95E02EB014}"/>
    <cellStyle name="Comma 2 3 2_RP3 PP revised" xfId="15201" xr:uid="{52E064A2-EF30-4A0D-BEA8-9451207A7DCD}"/>
    <cellStyle name="Comma 2 3 3" xfId="3762" xr:uid="{E56AD5D5-C01B-4403-A1E9-A765E3AF1CE0}"/>
    <cellStyle name="Comma 2 3 3 2" xfId="3763" xr:uid="{8FD50198-45CE-40E0-9D1B-BBE29EB3817C}"/>
    <cellStyle name="Comma 2 3 3 2 2" xfId="17034" xr:uid="{11A2A9D1-514B-4239-A35F-3F9CF15104CD}"/>
    <cellStyle name="Comma 2 3 3 3" xfId="15261" xr:uid="{56EA96CC-8671-4CA2-8C66-D3AD1AB57A57}"/>
    <cellStyle name="Comma 2 3 3 3 2" xfId="25770" xr:uid="{E87FF7AE-5DF6-40D8-BA8D-A819CDFD7E12}"/>
    <cellStyle name="Comma 2 3 3 4" xfId="17033" xr:uid="{6CE84975-5624-40B5-B0D8-F8A615410036}"/>
    <cellStyle name="Comma 2 3 4" xfId="3764" xr:uid="{236B6CFA-B3D5-463F-88FB-DED1F8212FE1}"/>
    <cellStyle name="Comma 2 3 4 2" xfId="3765" xr:uid="{9BE96948-6948-4737-8C01-BA4B05EEDA1C}"/>
    <cellStyle name="Comma 2 3 4 2 2" xfId="17036" xr:uid="{3927894F-B876-45A4-A81A-365133F46BDD}"/>
    <cellStyle name="Comma 2 3 4 3" xfId="17035" xr:uid="{1123D416-3B1B-49E0-93CC-9FFCD2FB781A}"/>
    <cellStyle name="Comma 2 3 5" xfId="3766" xr:uid="{32EEECED-6489-495D-B7A6-9BA64AA58505}"/>
    <cellStyle name="Comma 2 3 5 2" xfId="17037" xr:uid="{3FE5C04D-5D2F-4645-81F6-FE1A221777FE}"/>
    <cellStyle name="Comma 2 3 6" xfId="17030" xr:uid="{6FAD823A-D3A9-4D16-A5B6-B75C1BE41DF3}"/>
    <cellStyle name="Comma 2 3_RP3 PP revised" xfId="15412" xr:uid="{97E5894E-3C32-4021-BCB2-7B787BBB3567}"/>
    <cellStyle name="Comma 2 4" xfId="3767" xr:uid="{744C1025-A2C6-4252-BB79-7BB3591AB40A}"/>
    <cellStyle name="Comma 2 4 2" xfId="3768" xr:uid="{5F988F2D-0292-4F6F-BF4B-C77DEC4909F1}"/>
    <cellStyle name="Comma 2 4 2 2" xfId="3769" xr:uid="{7DBC453E-F48E-4BF1-A2CC-1B3A14DEF5F4}"/>
    <cellStyle name="Comma 2 4 2 2 2" xfId="17040" xr:uid="{822279AA-D424-4CEA-AA6D-4F3E36EC5BAD}"/>
    <cellStyle name="Comma 2 4 2 3" xfId="17039" xr:uid="{4FD96010-5194-4889-BB06-A4BBE648BACB}"/>
    <cellStyle name="Comma 2 4 3" xfId="15259" xr:uid="{B8FBDDE8-000F-4174-8522-9D70864112E9}"/>
    <cellStyle name="Comma 2 4 3 2" xfId="25768" xr:uid="{3F54348C-3CB9-4641-84BB-164C36C028F9}"/>
    <cellStyle name="Comma 2 4 4" xfId="17038" xr:uid="{E7A15FCE-BC95-47D9-823D-31098C888F2A}"/>
    <cellStyle name="Comma 2 5" xfId="3770" xr:uid="{F0A80F1A-7509-4B6C-BF3A-722C1BE2FE2A}"/>
    <cellStyle name="Comma 2 5 2" xfId="3771" xr:uid="{A148B584-A3AE-4017-886B-DCB5D574D73C}"/>
    <cellStyle name="Comma 2 5 2 2" xfId="17042" xr:uid="{B24EE5C8-D91F-46D1-BBFA-908DEC6DB347}"/>
    <cellStyle name="Comma 2 5 3" xfId="17041" xr:uid="{1C99FFB1-3555-4E8A-991C-05D7EE1ED14B}"/>
    <cellStyle name="Comma 2 6" xfId="3772" xr:uid="{36FBA2BB-4CF4-4DC8-B1BB-B4263080A991}"/>
    <cellStyle name="Comma 2 6 2" xfId="17043" xr:uid="{A648FD4D-A40F-4214-A586-B9ECC3425241}"/>
    <cellStyle name="Comma 2 7" xfId="3773" xr:uid="{C5629660-2614-47BD-BF90-479E123EACEE}"/>
    <cellStyle name="Comma 2 7 2" xfId="17044" xr:uid="{80B8EEC6-4B9B-4704-8513-ADF64DFDFA53}"/>
    <cellStyle name="Comma 2 8" xfId="3774" xr:uid="{DA4B51EE-44E2-4CAE-951B-B04437C8C036}"/>
    <cellStyle name="Comma 2 8 2" xfId="17045" xr:uid="{9796E8F3-B7CD-4727-9125-7B9A1A3FBE96}"/>
    <cellStyle name="Comma 2 9" xfId="17025" xr:uid="{CCDAB622-8D58-44DF-92F8-55207A3CC709}"/>
    <cellStyle name="Comma 2_RP1-FI-V0" xfId="3775" xr:uid="{93493044-737C-48E9-81D1-D0A9D0092CE8}"/>
    <cellStyle name="Comma 20" xfId="3776" xr:uid="{F32FA602-7F79-41D8-9A6A-970F55A10E27}"/>
    <cellStyle name="Comma 20 2" xfId="3777" xr:uid="{2D60A4FF-88AC-486B-A23A-0D84DD6871E3}"/>
    <cellStyle name="Comma 20 2 2" xfId="3778" xr:uid="{C3E3C6BF-E250-4B4F-9398-D6D3B4F1E6D8}"/>
    <cellStyle name="Comma 20 2 3" xfId="17047" xr:uid="{5F07D3AC-59EA-4900-BE00-4BC12C489D07}"/>
    <cellStyle name="Comma 20 3" xfId="3779" xr:uid="{5100A27D-C660-49E6-BE3E-9A24634A40F0}"/>
    <cellStyle name="Comma 20 3 2" xfId="14799" xr:uid="{DC9BD743-F91E-431D-B898-0B2686D7D461}"/>
    <cellStyle name="Comma 20 4" xfId="17046" xr:uid="{0FF9C45B-90DF-4263-A9F5-134E5E90A32D}"/>
    <cellStyle name="Comma 21" xfId="3780" xr:uid="{126CD61C-0D43-4DB5-96EF-33CC202937F0}"/>
    <cellStyle name="Comma 21 2" xfId="3781" xr:uid="{FBA71631-D0A7-4D7A-874F-99A37A52C0A2}"/>
    <cellStyle name="Comma 21 2 2" xfId="17049" xr:uid="{3C9E5EAB-EC9D-4A72-9773-5535FAF28BFB}"/>
    <cellStyle name="Comma 21 3" xfId="17048" xr:uid="{8DFE4D68-A816-442C-8FD5-073974DAA8C8}"/>
    <cellStyle name="Comma 22" xfId="3782" xr:uid="{3606B7CF-860E-463E-A5D4-F0340BFC22D3}"/>
    <cellStyle name="Comma 22 2" xfId="3783" xr:uid="{FF62392B-76AF-4B73-8825-79C4E1FA1306}"/>
    <cellStyle name="Comma 22 2 2" xfId="17051" xr:uid="{ED98D759-AFED-4B58-A27C-E375D98FBC7E}"/>
    <cellStyle name="Comma 22 3" xfId="17050" xr:uid="{F8E3ACEC-72DD-46E9-82C1-63F47E5B69DB}"/>
    <cellStyle name="Comma 23" xfId="3784" xr:uid="{0B469B31-8A7D-4962-8C4D-09F7C01D52AB}"/>
    <cellStyle name="Comma 23 2" xfId="3785" xr:uid="{4647F288-3111-478F-8136-6F650767990E}"/>
    <cellStyle name="Comma 23 2 2" xfId="17053" xr:uid="{626C769C-951D-4B08-A7F9-B57C97C151F8}"/>
    <cellStyle name="Comma 23 3" xfId="17052" xr:uid="{BACEE28E-1E4F-40E1-943A-6926B82490DB}"/>
    <cellStyle name="Comma 24" xfId="3786" xr:uid="{A7EBFD57-9125-42F5-A642-6EDFF2004AAE}"/>
    <cellStyle name="Comma 24 2" xfId="3787" xr:uid="{327C1F6B-DC30-4184-A620-C8A956DD8C31}"/>
    <cellStyle name="Comma 24 2 2" xfId="17055" xr:uid="{DF30EB8D-1E9B-4CB5-8826-2B27EDCC330E}"/>
    <cellStyle name="Comma 24 3" xfId="15431" xr:uid="{7D5D1BE6-FF3D-4891-A763-3BCA9B623F52}"/>
    <cellStyle name="Comma 24 3 2" xfId="25829" xr:uid="{B894EAA9-8152-4418-951F-629738201E48}"/>
    <cellStyle name="Comma 24 4" xfId="17054" xr:uid="{D5F66A52-A6FB-4143-82B8-05279A0963D3}"/>
    <cellStyle name="Comma 25" xfId="3788" xr:uid="{1786E76C-FD10-4984-8032-BE0DF325AFA0}"/>
    <cellStyle name="Comma 25 2" xfId="3789" xr:uid="{E2CE8CAA-348D-4AF7-876F-D8EE15ACE66E}"/>
    <cellStyle name="Comma 25 2 2" xfId="17057" xr:uid="{8F119872-C411-4CA5-9DB1-E15174948F27}"/>
    <cellStyle name="Comma 25 3" xfId="17056" xr:uid="{6F3A6FDE-3060-4E44-A7F1-60F637F4617A}"/>
    <cellStyle name="Comma 26" xfId="3790" xr:uid="{ABA7D9D7-E9AB-42B9-8DC5-1FFEB4A53EE8}"/>
    <cellStyle name="Comma 26 2" xfId="3791" xr:uid="{C008FCFF-277E-42BD-A9D3-B244E3E0E26C}"/>
    <cellStyle name="Comma 26 2 2" xfId="17059" xr:uid="{132ECE31-9698-4569-9512-5790139AB12A}"/>
    <cellStyle name="Comma 26 3" xfId="17058" xr:uid="{E8E4A8C3-E013-4766-AE05-C5E28F272597}"/>
    <cellStyle name="Comma 27" xfId="3792" xr:uid="{803C1FAD-97C4-44EC-A547-BBC4D66E719D}"/>
    <cellStyle name="Comma 27 2" xfId="3793" xr:uid="{DDD546C4-7A84-4AAA-872A-A0703D680A10}"/>
    <cellStyle name="Comma 27 2 2" xfId="17061" xr:uid="{7082FE1E-19D9-45CC-A99A-EA239CCF9881}"/>
    <cellStyle name="Comma 27 3" xfId="17060" xr:uid="{ED1B003D-9914-4B17-829F-CF058B589B0E}"/>
    <cellStyle name="Comma 28" xfId="3794" xr:uid="{016B6F67-4EE4-4454-8C78-6FB8465B1185}"/>
    <cellStyle name="Comma 28 2" xfId="3795" xr:uid="{133E45EC-62FA-4958-B188-BA9BF8638E0A}"/>
    <cellStyle name="Comma 28 2 2" xfId="17063" xr:uid="{87125F70-5F25-4D19-8D62-EE5278901A99}"/>
    <cellStyle name="Comma 28 3" xfId="17062" xr:uid="{78F31F80-99F9-43FC-AF73-689035803FBD}"/>
    <cellStyle name="Comma 29" xfId="3796" xr:uid="{19F0C886-6020-43BF-9B39-7C120BE13D3A}"/>
    <cellStyle name="Comma 29 2" xfId="3797" xr:uid="{DF95D9A5-C2AE-431E-94C9-9E087D347A95}"/>
    <cellStyle name="Comma 29 2 2" xfId="17065" xr:uid="{37821A9F-D9C8-42F4-843B-C1B2768C414B}"/>
    <cellStyle name="Comma 29 3" xfId="17064" xr:uid="{5506DC2D-7566-4D41-8068-798ABD5E3C70}"/>
    <cellStyle name="Comma 3" xfId="21" xr:uid="{B081EA09-F98A-4336-AAA8-84E344D02034}"/>
    <cellStyle name="Comma 3 10" xfId="3798" xr:uid="{FEFB0174-7C5B-42BE-A947-5C01D3CB8F47}"/>
    <cellStyle name="Comma 3 2" xfId="3799" xr:uid="{9783042E-808D-457A-805D-A56E31A5F52A}"/>
    <cellStyle name="Comma 3 2 2" xfId="3800" xr:uid="{F508DBE6-5B43-4985-B0D3-CCFB69AE5DC9}"/>
    <cellStyle name="Comma 3 2 3" xfId="3801" xr:uid="{D6FAC39F-6A9A-471E-B4EE-0A1ABE665D9F}"/>
    <cellStyle name="Comma 3 2 3 2" xfId="17068" xr:uid="{50B92ED7-60BE-4F6E-8B80-E5FF4B12F8D4}"/>
    <cellStyle name="Comma 3 2 4" xfId="15263" xr:uid="{03510827-59F4-45B1-9131-79576AB6F050}"/>
    <cellStyle name="Comma 3 2 4 2" xfId="25772" xr:uid="{4962C8A8-AAED-4466-8A94-1BC5BDACD96D}"/>
    <cellStyle name="Comma 3 2 5" xfId="17067" xr:uid="{00B9C7F5-7E03-4CB7-978D-8769C098A747}"/>
    <cellStyle name="Comma 3 3" xfId="3802" xr:uid="{4520AFA1-4930-406C-A5E9-09EBD72A794C}"/>
    <cellStyle name="Comma 3 3 2" xfId="3803" xr:uid="{44216F06-3CA6-43B3-AC43-4AB5532A0C82}"/>
    <cellStyle name="Comma 3 3 2 2" xfId="17070" xr:uid="{FD72352B-B668-4BE3-8FE7-D7A887210BCB}"/>
    <cellStyle name="Comma 3 3 3" xfId="15362" xr:uid="{1E3B5AB8-A8B6-49C3-A1CB-14FF19E7AD79}"/>
    <cellStyle name="Comma 3 3 3 2" xfId="25827" xr:uid="{65763AD1-2668-43E3-9492-1FD07093078E}"/>
    <cellStyle name="Comma 3 3 4" xfId="17069" xr:uid="{D81A95F5-6E49-4BE2-B0D5-4493DDB6543C}"/>
    <cellStyle name="Comma 3 4" xfId="3804" xr:uid="{324AFBF0-3DC3-46E1-BACC-4B57E123B43A}"/>
    <cellStyle name="Comma 3 4 2" xfId="3805" xr:uid="{82C285BF-45FC-4FA7-B876-06F7CB1D6FE3}"/>
    <cellStyle name="Comma 3 4 2 2" xfId="17072" xr:uid="{633781A9-FBD9-4D99-82A2-D25EBAB148F1}"/>
    <cellStyle name="Comma 3 4 3" xfId="17071" xr:uid="{6340754D-6571-4EBF-A357-A18F4BD2B79F}"/>
    <cellStyle name="Comma 3 5" xfId="3806" xr:uid="{833C311D-FECC-404F-9B45-4E5D5CC8F9F6}"/>
    <cellStyle name="Comma 3 5 2" xfId="3807" xr:uid="{18EE6297-79E3-4EF1-AE23-5058FB272323}"/>
    <cellStyle name="Comma 3 5 2 2" xfId="17074" xr:uid="{541940B9-CFCD-4CBD-B5F6-F7C9852A9CC2}"/>
    <cellStyle name="Comma 3 5 3" xfId="17073" xr:uid="{556E5808-A9BD-4229-80EB-A32BB91289C2}"/>
    <cellStyle name="Comma 3 6" xfId="3808" xr:uid="{1DEFFA17-3B93-4B9C-9D6C-3D0D106D1EA0}"/>
    <cellStyle name="Comma 3 6 2" xfId="17075" xr:uid="{A7D8BBD2-5ADB-4BF6-ACBD-05BEC83395A8}"/>
    <cellStyle name="Comma 3 7" xfId="3809" xr:uid="{D1F178AC-6292-4C57-B0CA-42BA4DA97784}"/>
    <cellStyle name="Comma 3 7 2" xfId="17076" xr:uid="{7EC08958-1A59-4604-8393-539D7DCE2564}"/>
    <cellStyle name="Comma 3 8" xfId="14956" xr:uid="{31007D86-83D8-42B8-8C7E-B71AC071A60B}"/>
    <cellStyle name="Comma 3 9" xfId="17066" xr:uid="{B9F952CF-B327-453B-98E6-80842F399EA9}"/>
    <cellStyle name="Comma 3_RP1-FI-V0" xfId="3810" xr:uid="{CA68DF24-41B5-4DB3-87A1-F90B042E6599}"/>
    <cellStyle name="Comma 30" xfId="3811" xr:uid="{0E9C38F6-2CD5-43E5-8E6E-8EA663BA3E34}"/>
    <cellStyle name="Comma 30 2" xfId="3812" xr:uid="{3688ABA6-6F7F-4F01-B324-526FFFC6B3D0}"/>
    <cellStyle name="Comma 30 2 2" xfId="17078" xr:uid="{1C5CE79F-69F2-4FCC-8269-5DD727EF5F41}"/>
    <cellStyle name="Comma 30 3" xfId="17077" xr:uid="{10897FC8-8870-47D8-9A59-0BB590F11986}"/>
    <cellStyle name="Comma 31" xfId="3813" xr:uid="{9F24F92C-D214-4CEA-A97C-C3BDAB0AAADB}"/>
    <cellStyle name="Comma 31 2" xfId="3814" xr:uid="{5A25F810-0F86-4BFC-B4DD-80B3CAFCA0EE}"/>
    <cellStyle name="Comma 31 2 2" xfId="17080" xr:uid="{851BA2B1-B611-4598-89D6-7F1FE69D4627}"/>
    <cellStyle name="Comma 31 3" xfId="17079" xr:uid="{D1B611D5-0904-4FF3-BB31-7FAD5C7914E5}"/>
    <cellStyle name="Comma 32" xfId="3815" xr:uid="{58FBA219-73A7-46D8-B7FC-FD6081555F42}"/>
    <cellStyle name="Comma 32 2" xfId="3816" xr:uid="{BDF1C632-8515-4890-964F-A86C704E584D}"/>
    <cellStyle name="Comma 32 2 2" xfId="17082" xr:uid="{2FB3AFAB-27AD-4958-A4B8-912FAE6DFF00}"/>
    <cellStyle name="Comma 32 3" xfId="15363" xr:uid="{225AF518-0478-47A5-ABC8-74E8D94A1FC6}"/>
    <cellStyle name="Comma 32 4" xfId="17081" xr:uid="{017F1206-EEA4-4428-8B20-321862E2263F}"/>
    <cellStyle name="Comma 32_RP3 PP revised" xfId="15411" xr:uid="{380AED74-9F87-49CF-BBCB-8D5152A9B413}"/>
    <cellStyle name="Comma 33" xfId="3817" xr:uid="{061692D6-1031-4D11-AB8B-41BF92FC4D62}"/>
    <cellStyle name="Comma 33 2" xfId="17083" xr:uid="{AC74A27B-ECAF-43C8-A7CC-C8DC1E7DEBB8}"/>
    <cellStyle name="Comma 34" xfId="3818" xr:uid="{12FE58F9-DA01-4E90-8885-880D08598627}"/>
    <cellStyle name="Comma 34 2" xfId="17084" xr:uid="{6EBA752F-1033-4A13-845C-9FE51682335A}"/>
    <cellStyle name="Comma 35" xfId="3819" xr:uid="{F28DA9B9-9E64-4CF9-9F51-321F691821D2}"/>
    <cellStyle name="Comma 35 2" xfId="17085" xr:uid="{AF0DC14A-D449-48AB-B5A7-FD58B233CE4C}"/>
    <cellStyle name="Comma 36" xfId="3820" xr:uid="{BBE9C7F5-5CD7-4AFF-B5A9-CA829A4D97DD}"/>
    <cellStyle name="Comma 36 2" xfId="17086" xr:uid="{3164117E-B9DB-4217-9990-7CCB8763B2E1}"/>
    <cellStyle name="Comma 37" xfId="3821" xr:uid="{F45F58C7-5302-4662-825F-5AF4953B0017}"/>
    <cellStyle name="Comma 37 2" xfId="17087" xr:uid="{2B462F1C-5D03-4047-BE10-8B4084477E03}"/>
    <cellStyle name="Comma 38" xfId="3822" xr:uid="{53C76AFE-48AA-41F2-9ECB-1E83A45FAD03}"/>
    <cellStyle name="Comma 38 2" xfId="17088" xr:uid="{01C70631-3656-4FBC-AEC1-FDB1BA9958F9}"/>
    <cellStyle name="Comma 39" xfId="3823" xr:uid="{3C300D98-F541-4042-9520-A4587E02D3D0}"/>
    <cellStyle name="Comma 39 2" xfId="17089" xr:uid="{0199209A-B276-412E-8789-188943B900B8}"/>
    <cellStyle name="Comma 4" xfId="3824" xr:uid="{8C281F60-11C9-42E3-9158-1703C361CF0F}"/>
    <cellStyle name="Comma 4 2" xfId="3825" xr:uid="{93040F93-E88D-4C68-B0C0-9CF1DB84941D}"/>
    <cellStyle name="Comma 4 2 2" xfId="3826" xr:uid="{FD2824F7-F6A9-438A-AF95-9D2843B67670}"/>
    <cellStyle name="Comma 4 2 2 2" xfId="17091" xr:uid="{B244CED1-548B-41ED-BA5C-5F772C600798}"/>
    <cellStyle name="Comma 4 2 3" xfId="15264" xr:uid="{397F3486-6014-4A2A-8766-7319F8813C8B}"/>
    <cellStyle name="Comma 4 2 3 2" xfId="25773" xr:uid="{2F3223E6-8553-4A26-BA2C-9AA1DC6254E2}"/>
    <cellStyle name="Comma 4 2_RP3 PP revised" xfId="15199" xr:uid="{28B152DD-9446-44F7-8F72-B2AF8FEACD35}"/>
    <cellStyle name="Comma 4 3" xfId="3827" xr:uid="{4DFDAE12-2DF1-400F-A346-BFBBA314DD37}"/>
    <cellStyle name="Comma 4 3 2" xfId="3828" xr:uid="{41599874-71D9-47D9-B37D-E7916D4F68FA}"/>
    <cellStyle name="Comma 4 3 2 2" xfId="17093" xr:uid="{4FF5DAF9-47B7-4EC5-B99E-CE749B753D57}"/>
    <cellStyle name="Comma 4 3 3" xfId="15364" xr:uid="{BA9190BC-AB59-4626-AB28-6E1ED7211EC8}"/>
    <cellStyle name="Comma 4 3 4" xfId="17092" xr:uid="{5DCF25C2-B5C9-476C-BC11-46DEF9E3072E}"/>
    <cellStyle name="Comma 4 3_RP3 PP revised" xfId="15410" xr:uid="{7618D8D6-B0DC-47B0-9065-7B62266B71A2}"/>
    <cellStyle name="Comma 4 4" xfId="3829" xr:uid="{CDC93A34-837A-4D5E-861F-D72CC1AE1DFA}"/>
    <cellStyle name="Comma 4 4 2" xfId="17094" xr:uid="{C8176C75-D4B3-4238-94C7-7AA6B5CFB956}"/>
    <cellStyle name="Comma 4 5" xfId="3830" xr:uid="{73C661D2-C3A0-4083-9392-95E3921BF49A}"/>
    <cellStyle name="Comma 4 5 2" xfId="17095" xr:uid="{178864A5-D4A7-4CAA-B0E2-58E9E815CB67}"/>
    <cellStyle name="Comma 4 6" xfId="17090" xr:uid="{702D652A-A053-4AB3-AC40-D274057E46A8}"/>
    <cellStyle name="Comma 4 7" xfId="15443" xr:uid="{9E57464A-CCE0-4CC3-B6F9-DE638F0430A8}"/>
    <cellStyle name="Comma 4_RP3 PP revised" xfId="15200" xr:uid="{C3DA8A31-C72C-423D-98FD-502B98433DB7}"/>
    <cellStyle name="Comma 40" xfId="14914" xr:uid="{BA13313A-2A4D-44F0-AE84-4681CB7909D0}"/>
    <cellStyle name="Comma 40 2" xfId="25762" xr:uid="{AF876685-DA0B-4023-BD42-9A486CD780F2}"/>
    <cellStyle name="Comma 41" xfId="25868" xr:uid="{EB7B3B0A-CFF7-49C5-9E3B-74D289199CCC}"/>
    <cellStyle name="Comma 42" xfId="25859" xr:uid="{546E944C-2E6D-4A1A-9020-325222B9FF05}"/>
    <cellStyle name="Comma 43" xfId="25863" xr:uid="{075A01A6-5B97-4224-ACA2-8C8E080080F9}"/>
    <cellStyle name="Comma 5" xfId="3831" xr:uid="{DAE59772-2E09-450B-B6CD-2E883B6753D6}"/>
    <cellStyle name="Comma 5 2" xfId="3832" xr:uid="{4B3E9D28-5104-47AE-975C-4136F33437D3}"/>
    <cellStyle name="Comma 5 2 2" xfId="3833" xr:uid="{D3E66FA7-DC88-4910-9E87-DC4E8C433B7A}"/>
    <cellStyle name="Comma 5 2 2 2" xfId="3834" xr:uid="{0E156131-B0C2-4774-AFF8-C314FC0C47E3}"/>
    <cellStyle name="Comma 5 2 2 2 2" xfId="17099" xr:uid="{1769DE1E-ACFF-4B7C-9229-6D27AA063EF6}"/>
    <cellStyle name="Comma 5 2 2 3" xfId="17098" xr:uid="{B0C3EA70-1C8E-4C93-A20E-265EDE489522}"/>
    <cellStyle name="Comma 5 2 3" xfId="15265" xr:uid="{63192933-5B5F-4C4F-B538-C251722AEF5E}"/>
    <cellStyle name="Comma 5 2 3 2" xfId="25774" xr:uid="{C6447D3F-1498-4127-BBC6-19955D566B88}"/>
    <cellStyle name="Comma 5 2 4" xfId="17097" xr:uid="{2C69D523-F115-4E44-8D5B-38F9FAC69E99}"/>
    <cellStyle name="Comma 5 3" xfId="3835" xr:uid="{7E5D0901-B5F7-4736-8524-05C350EE30E1}"/>
    <cellStyle name="Comma 5 3 2" xfId="3836" xr:uid="{1C2FC011-6394-4F94-9491-C0C68F392F85}"/>
    <cellStyle name="Comma 5 3 2 2" xfId="17101" xr:uid="{DF3ABCDC-0F02-4CD8-82BA-07E8ED4D7603}"/>
    <cellStyle name="Comma 5 3 3" xfId="17100" xr:uid="{0FA304D8-E14A-4FA7-AEB1-2DCCAA9FEDD8}"/>
    <cellStyle name="Comma 5 4" xfId="3837" xr:uid="{B232F17C-A1FC-4CF7-B9E0-0C5C94B3BC84}"/>
    <cellStyle name="Comma 5 4 2" xfId="17102" xr:uid="{E901E1CE-9CB9-4828-9966-A4087BFE605C}"/>
    <cellStyle name="Comma 5 5" xfId="14957" xr:uid="{CCDDE391-1A38-4F78-A78A-91A769D20143}"/>
    <cellStyle name="Comma 5 6" xfId="17096" xr:uid="{35468ABC-A12D-4653-993D-DC582ABB6209}"/>
    <cellStyle name="Comma 5_RP3 PP revised" xfId="15196" xr:uid="{DCE880F1-5349-4168-8A76-99637C9A7338}"/>
    <cellStyle name="Comma 6" xfId="3838" xr:uid="{C0A0ED24-FCEF-4780-A615-2C0681E6D847}"/>
    <cellStyle name="Comma 6 2" xfId="3839" xr:uid="{B0EA75D4-29C3-48EE-9EDE-E5095C0B3C17}"/>
    <cellStyle name="Comma 6 2 2" xfId="3840" xr:uid="{21D786E0-515F-4149-8E7C-CD50CF04E513}"/>
    <cellStyle name="Comma 6 2 2 2" xfId="17105" xr:uid="{E1594502-E237-4E19-B214-D8F13D06DC99}"/>
    <cellStyle name="Comma 6 2 3" xfId="15266" xr:uid="{6858E88F-06F3-4A62-8E4C-608A75E7223B}"/>
    <cellStyle name="Comma 6 2 3 2" xfId="25775" xr:uid="{B562F0D8-B8E7-4DDC-A863-4FCB1AFCE96B}"/>
    <cellStyle name="Comma 6 2 4" xfId="17104" xr:uid="{1E581060-0330-41CF-9D00-BB606FCD3039}"/>
    <cellStyle name="Comma 6 3" xfId="3841" xr:uid="{B70A0BEF-6900-416A-9CD3-9DB1F315FDFE}"/>
    <cellStyle name="Comma 6 3 2" xfId="3842" xr:uid="{5C9883EF-9C46-4140-81A8-CC43BA286903}"/>
    <cellStyle name="Comma 6 3 3" xfId="17106" xr:uid="{3399E3D1-AEBA-4C5C-986F-DB3C394B56E9}"/>
    <cellStyle name="Comma 6 4" xfId="3843" xr:uid="{3D62564C-449C-4DCB-83DF-F03BD16CA9DE}"/>
    <cellStyle name="Comma 6 4 2" xfId="3844" xr:uid="{2933A10A-7C5C-49D7-BD10-D08518A1AFCC}"/>
    <cellStyle name="Comma 6 4 2 2" xfId="17107" xr:uid="{EAFDCA52-EF56-48E6-B89A-FFA5B1899EC6}"/>
    <cellStyle name="Comma 6 5" xfId="14958" xr:uid="{67F76E99-1D53-414D-B944-CD84EBA31381}"/>
    <cellStyle name="Comma 6 6" xfId="17103" xr:uid="{62E1093C-89BA-4776-9B2C-A56BD6BA0CF2}"/>
    <cellStyle name="Comma 6_RP3 PP revised" xfId="15176" xr:uid="{4AEF304F-EAD1-4645-A61F-FEEB9448445D}"/>
    <cellStyle name="Comma 7" xfId="3845" xr:uid="{1ACF1E1C-691E-4D1F-82BE-E3F7C86481D0}"/>
    <cellStyle name="Comma 7 2" xfId="3846" xr:uid="{4F7DBCDF-E396-4202-A71C-7F6022D70E62}"/>
    <cellStyle name="Comma 7 2 2" xfId="3847" xr:uid="{CC4A3896-098F-4160-8839-751838150BCA}"/>
    <cellStyle name="Comma 7 2 2 2" xfId="17110" xr:uid="{C3C03E74-5E5F-4A51-BD0B-2F59EC6F9DF7}"/>
    <cellStyle name="Comma 7 2 3" xfId="15267" xr:uid="{53501FEC-64B3-4E9E-A761-FB4FDA367094}"/>
    <cellStyle name="Comma 7 2 3 2" xfId="25776" xr:uid="{8DBBD095-9D1C-4C1B-A7F5-73AD684798C6}"/>
    <cellStyle name="Comma 7 2 4" xfId="17109" xr:uid="{78012852-0402-4B59-897F-90CE5BA6EA10}"/>
    <cellStyle name="Comma 7 3" xfId="3848" xr:uid="{6A56BF39-BAE8-4AF3-8928-3291133825F2}"/>
    <cellStyle name="Comma 7 3 2" xfId="3849" xr:uid="{4CB5241B-4A3D-4C17-AE28-1A528AC86F14}"/>
    <cellStyle name="Comma 7 3 2 2" xfId="17112" xr:uid="{7605B7E8-3210-47BA-9B19-9DD07B3B89F5}"/>
    <cellStyle name="Comma 7 3 3" xfId="17111" xr:uid="{023D59C4-FBDC-4FE7-B0FD-535C6ECA315F}"/>
    <cellStyle name="Comma 7 4" xfId="3850" xr:uid="{5DE60C4C-EA4D-497B-A7AF-885A6636D850}"/>
    <cellStyle name="Comma 7 4 2" xfId="17113" xr:uid="{D04B9B30-446B-452A-B745-50C7D243B358}"/>
    <cellStyle name="Comma 7 5" xfId="14959" xr:uid="{D5DB1B91-8B2C-4AB1-B7C7-A02CAF1F8600}"/>
    <cellStyle name="Comma 7 6" xfId="17108" xr:uid="{2173EA37-DA07-4143-BA8A-4AA72887CEE1}"/>
    <cellStyle name="Comma 7_RP3 PP revised" xfId="15175" xr:uid="{B248ECC5-111A-4FBB-9EE5-D882E6EB8328}"/>
    <cellStyle name="Comma 8" xfId="3851" xr:uid="{82A5C5EF-26B3-481C-9112-FFABB581D142}"/>
    <cellStyle name="Comma 8 2" xfId="3852" xr:uid="{D5159141-9015-42C0-B9AB-7B5C725DBA07}"/>
    <cellStyle name="Comma 8 2 2" xfId="3853" xr:uid="{878D9BCC-32F0-4BEC-86AF-86FBB0222E2C}"/>
    <cellStyle name="Comma 8 2 2 2" xfId="17116" xr:uid="{58BB3667-3241-4005-9976-CB9CDADFB437}"/>
    <cellStyle name="Comma 8 2 3" xfId="15268" xr:uid="{0CC6319A-2030-4C1A-A5F6-5E4A1D70228F}"/>
    <cellStyle name="Comma 8 2 3 2" xfId="25777" xr:uid="{B7F7941E-EC36-48E7-84A4-CB5C554EF739}"/>
    <cellStyle name="Comma 8 2 4" xfId="17115" xr:uid="{DFCE13F1-4B86-4E89-8E25-D5C585CD24CC}"/>
    <cellStyle name="Comma 8 3" xfId="3854" xr:uid="{6D7176AB-A770-4997-9E3F-5AF3C624BBBD}"/>
    <cellStyle name="Comma 8 3 2" xfId="3855" xr:uid="{ABE8174E-9F8A-4697-8AC6-FDBFD8593777}"/>
    <cellStyle name="Comma 8 3 2 2" xfId="17118" xr:uid="{448CEF08-A72E-41B9-ADA8-B4EFF73CF545}"/>
    <cellStyle name="Comma 8 3 3" xfId="17117" xr:uid="{2EB6F9AD-B70A-41D5-B9C1-5E7958C80F6C}"/>
    <cellStyle name="Comma 8 4" xfId="3856" xr:uid="{D05C6723-F2AC-4E7C-867E-8519F8B5F371}"/>
    <cellStyle name="Comma 8 4 2" xfId="17119" xr:uid="{26DB707E-2B68-4A5B-B412-1B35D854726C}"/>
    <cellStyle name="Comma 8 5" xfId="3857" xr:uid="{2025440E-4B67-4489-96D8-F13CE85C8CE2}"/>
    <cellStyle name="Comma 8 5 2" xfId="17120" xr:uid="{D528330D-B515-40B1-9AC2-FEFD72EF4AD7}"/>
    <cellStyle name="Comma 8 6" xfId="14960" xr:uid="{729D5EF0-EFCB-4129-BD73-A6D09D94BDA0}"/>
    <cellStyle name="Comma 8 7" xfId="17114" xr:uid="{B15AD641-8890-4A52-BC18-A87387F35F0A}"/>
    <cellStyle name="Comma 8_RP3 PP revised" xfId="15159" xr:uid="{A80082B9-DDE2-489D-A705-25F2771326C0}"/>
    <cellStyle name="Comma 9" xfId="3858" xr:uid="{140F0EE7-EB5C-4275-8152-820BA3242D00}"/>
    <cellStyle name="Comma 9 2" xfId="3859" xr:uid="{49CFEEF1-5B98-4B0A-8C21-191EA682BDF0}"/>
    <cellStyle name="Comma 9 2 2" xfId="3860" xr:uid="{1B1FA8C0-0A59-4E68-858E-6D4AD1741876}"/>
    <cellStyle name="Comma 9 2 2 2" xfId="17123" xr:uid="{9B506A66-62C6-4EEA-9E98-4C6D56510548}"/>
    <cellStyle name="Comma 9 2 3" xfId="15269" xr:uid="{6E0DCD5D-3BA4-42B8-934C-7FA28441BF7F}"/>
    <cellStyle name="Comma 9 2 3 2" xfId="25778" xr:uid="{EE65F11B-2C7A-4C16-8CB6-E1C45F7A5E69}"/>
    <cellStyle name="Comma 9 2 4" xfId="17122" xr:uid="{F65FDE9F-7C34-4412-A755-6ED98979F584}"/>
    <cellStyle name="Comma 9 3" xfId="3861" xr:uid="{B63A95BB-CB68-4EB7-BF13-F01E0FF2A791}"/>
    <cellStyle name="Comma 9 3 2" xfId="3862" xr:uid="{9455E0B9-E5FA-4CE8-BD5A-AEAAB52D26E1}"/>
    <cellStyle name="Comma 9 3 2 2" xfId="17125" xr:uid="{351B1781-EFAF-4930-B7A9-CA9ED716E761}"/>
    <cellStyle name="Comma 9 3 3" xfId="15365" xr:uid="{5E02D7AF-ABC0-48B4-B224-167D90B8897D}"/>
    <cellStyle name="Comma 9 3 4" xfId="17124" xr:uid="{5023A99A-C467-40E0-99E4-ADEF929C3B64}"/>
    <cellStyle name="Comma 9 3_RP3 PP revised" xfId="15156" xr:uid="{0E4512A6-86BD-45F3-8C03-63C862B64E82}"/>
    <cellStyle name="Comma 9 4" xfId="3863" xr:uid="{E9AC35CA-F61E-4A86-A93C-EC8CCD3CA061}"/>
    <cellStyle name="Comma 9 4 2" xfId="14961" xr:uid="{DB2C7B12-47E9-49E2-B860-59E81010E1AB}"/>
    <cellStyle name="Comma 9 4 3" xfId="17126" xr:uid="{68C65DEE-6EAE-4594-80A6-351AB83A3597}"/>
    <cellStyle name="Comma 9 4_RP3 PP revised" xfId="15155" xr:uid="{EBC8C5E4-E994-4938-ACA0-0BCF053A30C4}"/>
    <cellStyle name="Comma 9 5" xfId="3864" xr:uid="{42292C9A-825F-4844-B49F-10E7664BA206}"/>
    <cellStyle name="Comma 9 5 2" xfId="17127" xr:uid="{F04F97FE-A088-476F-B951-F68881D1D0DE}"/>
    <cellStyle name="Comma 9 6" xfId="17121" xr:uid="{192D22FB-815C-4F52-9537-BB97CA54FAB3}"/>
    <cellStyle name="Comma 9_RP3 PP revised" xfId="15157" xr:uid="{0F15BAFC-8562-425D-A402-96E1A5296F4A}"/>
    <cellStyle name="Comma(2)" xfId="3865" xr:uid="{137ED01E-6646-454D-947E-C0AF5DAAF2EC}"/>
    <cellStyle name="Comma(2) 2" xfId="3866" xr:uid="{3282F343-CE23-45C5-8C73-1871A16AC2F5}"/>
    <cellStyle name="Comma(2) 3" xfId="3867" xr:uid="{AA785AAA-68B5-44FA-9148-9677C99EB777}"/>
    <cellStyle name="Commentaire" xfId="14962" xr:uid="{7253C41A-839E-4846-8481-DC434F151F22}"/>
    <cellStyle name="Commentaire 10" xfId="3868" xr:uid="{04AC3355-0119-4CCB-8834-040DF1C6D996}"/>
    <cellStyle name="Commentaire 10 2" xfId="3869" xr:uid="{CD96AC8F-384B-4A72-AA71-DB38D3147262}"/>
    <cellStyle name="Commentaire 10 2 2" xfId="3870" xr:uid="{8E78A1D2-D7B1-47BE-9F97-A56E2969F482}"/>
    <cellStyle name="Commentaire 10 2 2 2" xfId="17130" xr:uid="{0F59D27F-86A7-41FE-922F-8BD6ED4D63CD}"/>
    <cellStyle name="Commentaire 10 2 3" xfId="3871" xr:uid="{120C8855-90C1-4CFA-9DD9-E30FFC3FE9B9}"/>
    <cellStyle name="Commentaire 10 2 3 2" xfId="17131" xr:uid="{697F97ED-C5E9-4768-8016-83A6EDCD2834}"/>
    <cellStyle name="Commentaire 10 2 4" xfId="3872" xr:uid="{A6807D8F-8DB1-4CF8-ACE7-1D974A1F2F90}"/>
    <cellStyle name="Commentaire 10 2 4 2" xfId="17132" xr:uid="{0FC3F16D-BB19-4000-AE71-2A4F59C1A54A}"/>
    <cellStyle name="Commentaire 10 2 5" xfId="3873" xr:uid="{26DD0358-D8A4-4A9D-ABD5-31457AD7D2E3}"/>
    <cellStyle name="Commentaire 10 2 5 2" xfId="17133" xr:uid="{FD32CD6F-2432-492B-941D-54078FB3E2AE}"/>
    <cellStyle name="Commentaire 10 2 6" xfId="17129" xr:uid="{45E3F3AA-2465-4BEC-8FC1-2EE313A711E6}"/>
    <cellStyle name="Commentaire 10 3" xfId="3874" xr:uid="{F304948B-EDC1-472C-886E-922FB1B8C801}"/>
    <cellStyle name="Commentaire 10 3 2" xfId="17134" xr:uid="{F305A940-513A-4A18-8D3F-82B6B8150FEA}"/>
    <cellStyle name="Commentaire 10 4" xfId="3875" xr:uid="{AEDA696F-FA2C-4697-BFA7-508DE56CB7D8}"/>
    <cellStyle name="Commentaire 10 4 2" xfId="17135" xr:uid="{B09E2862-3F0F-405E-BDB2-DC568623F06F}"/>
    <cellStyle name="Commentaire 10 5" xfId="3876" xr:uid="{6E40FFFE-F85A-4C2C-88C4-BE446ADC716D}"/>
    <cellStyle name="Commentaire 10 5 2" xfId="17136" xr:uid="{B580C246-D99B-4EC3-9DF2-316A4B8B997F}"/>
    <cellStyle name="Commentaire 10 6" xfId="3877" xr:uid="{08ABA3BC-48AB-4345-A54F-70E9759B9B52}"/>
    <cellStyle name="Commentaire 10 6 2" xfId="17137" xr:uid="{F05674D7-9AA1-400B-BAC7-4D06E80420DD}"/>
    <cellStyle name="Commentaire 10 7" xfId="17128" xr:uid="{1EBB0B9C-D9CB-4260-96FD-95FCE633121A}"/>
    <cellStyle name="Commentaire 11" xfId="3878" xr:uid="{FF50A4E1-9189-4B60-A3CD-286394ADFA00}"/>
    <cellStyle name="Commentaire 11 2" xfId="3879" xr:uid="{1660040A-251D-4B1E-9563-AD05DE75B1B6}"/>
    <cellStyle name="Commentaire 11 2 2" xfId="3880" xr:uid="{DBBE26E9-D708-428E-B5D8-3BD3B0BE6150}"/>
    <cellStyle name="Commentaire 11 2 2 2" xfId="17140" xr:uid="{C7328A92-AEAA-472A-A9B0-B67EA15629DE}"/>
    <cellStyle name="Commentaire 11 2 3" xfId="3881" xr:uid="{580D6C63-A002-4D23-86B4-4EF07B7E5E6B}"/>
    <cellStyle name="Commentaire 11 2 3 2" xfId="17141" xr:uid="{70D35BDE-482A-4F9C-A1C0-B641629CB16D}"/>
    <cellStyle name="Commentaire 11 2 4" xfId="3882" xr:uid="{5134D141-FD84-4BE8-8BDA-137543546FA8}"/>
    <cellStyle name="Commentaire 11 2 4 2" xfId="17142" xr:uid="{31D5D963-B067-4CC1-B1C3-E67A287AF48A}"/>
    <cellStyle name="Commentaire 11 2 5" xfId="3883" xr:uid="{51A6408C-3275-4001-8442-982D4C19713A}"/>
    <cellStyle name="Commentaire 11 2 5 2" xfId="17143" xr:uid="{34A2F1A8-63B5-4E08-B4C2-178274E3BEF4}"/>
    <cellStyle name="Commentaire 11 2 6" xfId="17139" xr:uid="{FBCB531B-A944-46F2-BA6C-411B06135C73}"/>
    <cellStyle name="Commentaire 11 3" xfId="3884" xr:uid="{2CF22671-D28D-41B9-A99B-2C9FC0B30842}"/>
    <cellStyle name="Commentaire 11 3 2" xfId="17144" xr:uid="{98FFF9F0-F315-4A2F-9E2D-04C501013596}"/>
    <cellStyle name="Commentaire 11 4" xfId="3885" xr:uid="{807D2B9A-F3C8-4B8F-B1F6-F20B373F3FB8}"/>
    <cellStyle name="Commentaire 11 4 2" xfId="17145" xr:uid="{8035ED47-A98B-4B82-BD6A-B9DF78FB7152}"/>
    <cellStyle name="Commentaire 11 5" xfId="3886" xr:uid="{BF519587-4A46-41A9-9042-90B88A82FA33}"/>
    <cellStyle name="Commentaire 11 5 2" xfId="17146" xr:uid="{B9F05E01-DCCB-41EE-9F0F-BE0D74E34E35}"/>
    <cellStyle name="Commentaire 11 6" xfId="3887" xr:uid="{2B5005C8-D2F3-408F-B928-0FCF2C288CFE}"/>
    <cellStyle name="Commentaire 11 6 2" xfId="17147" xr:uid="{625F5651-3F38-4B5A-9C4B-2564BB8FD78E}"/>
    <cellStyle name="Commentaire 11 7" xfId="17138" xr:uid="{AFC3A8C1-56A0-43F1-A29D-265716CD61BE}"/>
    <cellStyle name="Commentaire 12" xfId="3888" xr:uid="{871D52E1-FDF6-43B2-A3FF-0C148D53B564}"/>
    <cellStyle name="Commentaire 12 2" xfId="3889" xr:uid="{AC6D3904-2214-4328-8943-64DBAD1961AD}"/>
    <cellStyle name="Commentaire 12 2 2" xfId="3890" xr:uid="{562766FF-59B2-4F06-B347-94EDCDFF6545}"/>
    <cellStyle name="Commentaire 12 2 2 2" xfId="17150" xr:uid="{BD3D1B06-DAEC-4C43-BDD7-C3E1833472D0}"/>
    <cellStyle name="Commentaire 12 2 3" xfId="3891" xr:uid="{E2156E96-D2BA-4403-8E4D-4BE058E4BE55}"/>
    <cellStyle name="Commentaire 12 2 3 2" xfId="17151" xr:uid="{A5E39794-92CE-4475-A25F-9D1245FD4545}"/>
    <cellStyle name="Commentaire 12 2 4" xfId="3892" xr:uid="{A3425FCE-7E35-4EA9-9DEF-51B6E7CA22D0}"/>
    <cellStyle name="Commentaire 12 2 4 2" xfId="17152" xr:uid="{0791A8A3-8A83-475F-BDBA-89F1E8A2660C}"/>
    <cellStyle name="Commentaire 12 2 5" xfId="3893" xr:uid="{01A86010-E498-4F0A-8476-1CAD2ABA2DDA}"/>
    <cellStyle name="Commentaire 12 2 5 2" xfId="17153" xr:uid="{889778EA-1366-429A-AB25-24DFFDDF75BB}"/>
    <cellStyle name="Commentaire 12 2 6" xfId="17149" xr:uid="{DD85AB2B-C7DD-4F72-A9A5-1C46DB26CC75}"/>
    <cellStyle name="Commentaire 12 3" xfId="3894" xr:uid="{4348D775-655D-416D-8305-8D749C31533C}"/>
    <cellStyle name="Commentaire 12 3 2" xfId="17154" xr:uid="{BE7F02E5-4971-4347-9CE1-B4D102D37C31}"/>
    <cellStyle name="Commentaire 12 4" xfId="3895" xr:uid="{E5531131-B4AE-42A8-8A35-3BF346058AC4}"/>
    <cellStyle name="Commentaire 12 4 2" xfId="17155" xr:uid="{8EF38846-37D4-4303-9DF6-6E5B5FD434CB}"/>
    <cellStyle name="Commentaire 12 5" xfId="3896" xr:uid="{ACA92AE5-AF5C-403E-BEB3-4F503768B9B8}"/>
    <cellStyle name="Commentaire 12 5 2" xfId="17156" xr:uid="{C8F11ED0-CBC8-4753-A41E-1EA61965C4F8}"/>
    <cellStyle name="Commentaire 12 6" xfId="3897" xr:uid="{2135E70F-3A0F-4495-8269-A57B9E626D53}"/>
    <cellStyle name="Commentaire 12 6 2" xfId="17157" xr:uid="{1B7CD757-5CBA-40E8-867C-C01C4DA75CC4}"/>
    <cellStyle name="Commentaire 12 7" xfId="17148" xr:uid="{2EC04407-C2FC-4C76-A5B0-FF74126643D8}"/>
    <cellStyle name="Commentaire 13" xfId="3898" xr:uid="{EDDC555B-016E-47FC-BBB6-5DC6FE0D6595}"/>
    <cellStyle name="Commentaire 13 2" xfId="3899" xr:uid="{C8076BA6-F75B-4AD0-8EC6-81A68D65661E}"/>
    <cellStyle name="Commentaire 13 2 2" xfId="3900" xr:uid="{478488FC-5E5A-4F6D-A9C3-C1D2FB08CD6E}"/>
    <cellStyle name="Commentaire 13 2 2 2" xfId="17160" xr:uid="{1F996C7D-CFC6-48D6-BDFD-5A65602F2869}"/>
    <cellStyle name="Commentaire 13 2 3" xfId="3901" xr:uid="{E940C0F5-8533-442F-80F2-BFC7E61F37E6}"/>
    <cellStyle name="Commentaire 13 2 3 2" xfId="17161" xr:uid="{664E01D5-66E2-4D9B-A776-5819753DF623}"/>
    <cellStyle name="Commentaire 13 2 4" xfId="3902" xr:uid="{2DDB542D-0BD6-43BE-ACE6-331228ABA6CD}"/>
    <cellStyle name="Commentaire 13 2 4 2" xfId="17162" xr:uid="{E66BDDBF-68DD-46BB-8B32-8CE843FF388E}"/>
    <cellStyle name="Commentaire 13 2 5" xfId="3903" xr:uid="{077FE528-CBBE-4707-B3B0-B17D37F1F412}"/>
    <cellStyle name="Commentaire 13 2 5 2" xfId="17163" xr:uid="{E3CA3E2E-CD43-4525-A6AD-4ABD875CC370}"/>
    <cellStyle name="Commentaire 13 2 6" xfId="17159" xr:uid="{3346F6CF-B17B-4B71-BEC9-E194E0F1DF1C}"/>
    <cellStyle name="Commentaire 13 3" xfId="3904" xr:uid="{43E18CD3-8312-4357-8F6C-00374A4F27ED}"/>
    <cellStyle name="Commentaire 13 3 2" xfId="17164" xr:uid="{CAC6DDF5-FAA5-42E9-9E6A-F06ACFB0229A}"/>
    <cellStyle name="Commentaire 13 4" xfId="3905" xr:uid="{6902FE1E-0912-4EE6-80CA-284E8EAEA7D0}"/>
    <cellStyle name="Commentaire 13 4 2" xfId="17165" xr:uid="{371B9C4D-6691-4806-BF3E-37B40FA0E961}"/>
    <cellStyle name="Commentaire 13 5" xfId="3906" xr:uid="{8C3D5303-B31D-40FA-9499-7D46A510E35C}"/>
    <cellStyle name="Commentaire 13 5 2" xfId="17166" xr:uid="{EF5CE2E6-2DC4-4D89-B934-74E73C61AFC8}"/>
    <cellStyle name="Commentaire 13 6" xfId="3907" xr:uid="{3CD9D123-5071-4D1C-B554-CACFEDC47177}"/>
    <cellStyle name="Commentaire 13 6 2" xfId="17167" xr:uid="{7EC1DFF7-DBCD-4676-9ED5-59114907D98C}"/>
    <cellStyle name="Commentaire 13 7" xfId="17158" xr:uid="{7D9E2F6D-73D9-4678-B146-110890A18A8C}"/>
    <cellStyle name="Commentaire 14" xfId="3908" xr:uid="{F7469A5F-C55C-459C-BD0F-5482FD00679A}"/>
    <cellStyle name="Commentaire 14 2" xfId="3909" xr:uid="{4005D735-7E37-4BDB-B0A2-2ECE624E238A}"/>
    <cellStyle name="Commentaire 14 2 2" xfId="3910" xr:uid="{93FE18D7-C491-4024-9A62-13DF8958AED8}"/>
    <cellStyle name="Commentaire 14 2 2 2" xfId="17170" xr:uid="{FD6A6650-C6CA-4406-AD4F-5486DB042D8E}"/>
    <cellStyle name="Commentaire 14 2 3" xfId="3911" xr:uid="{2F788557-44D6-4FF6-996E-4D994B90E33E}"/>
    <cellStyle name="Commentaire 14 2 3 2" xfId="17171" xr:uid="{BA33AE7C-3979-40B3-8B61-6A4E2EDB14CE}"/>
    <cellStyle name="Commentaire 14 2 4" xfId="3912" xr:uid="{E109D277-4A30-46A6-9F2F-425BB696E814}"/>
    <cellStyle name="Commentaire 14 2 4 2" xfId="17172" xr:uid="{AF222AEA-3CD0-4C47-9900-EF465C351C50}"/>
    <cellStyle name="Commentaire 14 2 5" xfId="3913" xr:uid="{5DD66EBF-91A1-4FE0-8979-C08325726249}"/>
    <cellStyle name="Commentaire 14 2 5 2" xfId="17173" xr:uid="{D2B9D949-01AD-4DAF-9A7B-9F3DF2E9362A}"/>
    <cellStyle name="Commentaire 14 2 6" xfId="17169" xr:uid="{FF20D6CA-070B-4F99-A9BB-C47D1C635068}"/>
    <cellStyle name="Commentaire 14 3" xfId="3914" xr:uid="{24DEF392-875E-44A3-A4D8-587DBC63B6A2}"/>
    <cellStyle name="Commentaire 14 3 2" xfId="17174" xr:uid="{1578AD66-A808-4EEB-8EEE-3C63D596BAF5}"/>
    <cellStyle name="Commentaire 14 4" xfId="3915" xr:uid="{D9548300-B2F1-4D45-AFDA-55F3DC5DA019}"/>
    <cellStyle name="Commentaire 14 4 2" xfId="17175" xr:uid="{DCBDB55E-2376-4090-87E0-03A5BC91AD62}"/>
    <cellStyle name="Commentaire 14 5" xfId="3916" xr:uid="{3F1DCB5E-293F-4D79-975F-4972B7A7BA94}"/>
    <cellStyle name="Commentaire 14 5 2" xfId="17176" xr:uid="{4D915184-E6C9-4E35-8150-459FE2D440C4}"/>
    <cellStyle name="Commentaire 14 6" xfId="3917" xr:uid="{9A82EA2E-3502-458E-BB66-64B0D4EA060A}"/>
    <cellStyle name="Commentaire 14 6 2" xfId="17177" xr:uid="{E094524B-58DF-42B0-BD33-08C2E5EB6D48}"/>
    <cellStyle name="Commentaire 14 7" xfId="17168" xr:uid="{022C31BD-A7B2-4571-93CD-E3EF92131BE1}"/>
    <cellStyle name="Commentaire 15" xfId="3918" xr:uid="{4283D857-4965-4F83-8883-D381F52D5A85}"/>
    <cellStyle name="Commentaire 15 2" xfId="3919" xr:uid="{10702035-101D-429F-B7F7-8E5A4513729B}"/>
    <cellStyle name="Commentaire 15 2 2" xfId="3920" xr:uid="{9B16F873-8026-43B8-8788-7D268C111EBC}"/>
    <cellStyle name="Commentaire 15 2 2 2" xfId="17180" xr:uid="{5DCDAF5A-6C61-4733-A22B-13F9A5294C16}"/>
    <cellStyle name="Commentaire 15 2 3" xfId="3921" xr:uid="{2E5A0CCD-3BA8-4244-B221-8D7FD47B648E}"/>
    <cellStyle name="Commentaire 15 2 3 2" xfId="17181" xr:uid="{543CE5E1-D3A1-4793-BDCB-DB9886C0A764}"/>
    <cellStyle name="Commentaire 15 2 4" xfId="3922" xr:uid="{AB2B97A7-34C5-4EF5-8041-77EF44E94A83}"/>
    <cellStyle name="Commentaire 15 2 4 2" xfId="17182" xr:uid="{C257385A-9E00-4838-A694-789B205C68F0}"/>
    <cellStyle name="Commentaire 15 2 5" xfId="3923" xr:uid="{E1CA3FBB-B349-4DD2-B786-240054803A95}"/>
    <cellStyle name="Commentaire 15 2 5 2" xfId="17183" xr:uid="{94122851-4CB4-4C5B-B67D-189CCA4872E9}"/>
    <cellStyle name="Commentaire 15 2 6" xfId="17179" xr:uid="{1760B30A-82E8-41B9-9E2A-E9D3D82A2B6A}"/>
    <cellStyle name="Commentaire 15 3" xfId="3924" xr:uid="{AFB73F09-FEEC-44EC-911A-14A2BBF90804}"/>
    <cellStyle name="Commentaire 15 3 2" xfId="17184" xr:uid="{5E7F3D2E-877F-433A-AC26-0A91A96D7457}"/>
    <cellStyle name="Commentaire 15 4" xfId="3925" xr:uid="{5E77C867-7A29-4BB4-9F13-E1AE98AFE1E3}"/>
    <cellStyle name="Commentaire 15 4 2" xfId="17185" xr:uid="{B86E4046-3ED3-474C-AC6C-10A90A81202F}"/>
    <cellStyle name="Commentaire 15 5" xfId="3926" xr:uid="{C3B3050A-3BE9-4B5B-9189-67F140495B9D}"/>
    <cellStyle name="Commentaire 15 5 2" xfId="17186" xr:uid="{43C47657-E124-490D-8031-6FCAEFEA9EB3}"/>
    <cellStyle name="Commentaire 15 6" xfId="3927" xr:uid="{CA306795-A6C1-49EE-8389-79A5C2A25FC7}"/>
    <cellStyle name="Commentaire 15 6 2" xfId="17187" xr:uid="{444B3F0F-BC25-4968-BC4E-C72D2C924709}"/>
    <cellStyle name="Commentaire 15 7" xfId="17178" xr:uid="{130347EB-3F72-416A-84CB-10E7A39419C1}"/>
    <cellStyle name="Commentaire 16" xfId="3928" xr:uid="{44E86EA0-A363-41DA-856B-186F9534757E}"/>
    <cellStyle name="Commentaire 16 2" xfId="3929" xr:uid="{F1718081-A59D-435C-9EE8-198511AE2F6D}"/>
    <cellStyle name="Commentaire 16 2 2" xfId="17189" xr:uid="{840982DD-5732-4902-A51C-214502834BCA}"/>
    <cellStyle name="Commentaire 16 3" xfId="3930" xr:uid="{7E854C53-3A7A-4A03-BA30-96A8C369D349}"/>
    <cellStyle name="Commentaire 16 3 2" xfId="17190" xr:uid="{CF50C75B-F164-4BD4-843F-FAD3C49496A4}"/>
    <cellStyle name="Commentaire 16 4" xfId="3931" xr:uid="{3C8855F7-FFED-46D2-A799-8959F4D35F7A}"/>
    <cellStyle name="Commentaire 16 4 2" xfId="17191" xr:uid="{5EF8A487-F8A3-40C5-9AFE-687B778E4CD9}"/>
    <cellStyle name="Commentaire 16 5" xfId="3932" xr:uid="{427D16D8-4DE3-457F-A9FF-B39A5927D2C6}"/>
    <cellStyle name="Commentaire 16 5 2" xfId="17192" xr:uid="{F36BD891-6554-49AD-8128-D74D033A1B4B}"/>
    <cellStyle name="Commentaire 16 6" xfId="17188" xr:uid="{E5A7EC14-950F-4577-9008-EE468516FD40}"/>
    <cellStyle name="Commentaire 17" xfId="3933" xr:uid="{9A2986C0-0186-4072-896A-0182D2EB3875}"/>
    <cellStyle name="Commentaire 17 2" xfId="3934" xr:uid="{9E1A85C3-AB58-496C-B25B-AF98AF23FFFD}"/>
    <cellStyle name="Commentaire 17 2 2" xfId="17194" xr:uid="{66610885-D3A1-42A6-84EB-D446FB865052}"/>
    <cellStyle name="Commentaire 17 3" xfId="3935" xr:uid="{F4BDA9E4-F64E-4101-B6D1-AF3CC7CDE046}"/>
    <cellStyle name="Commentaire 17 3 2" xfId="17195" xr:uid="{68D0DBE4-8BBC-4777-90E0-1C69CCE9C459}"/>
    <cellStyle name="Commentaire 17 4" xfId="17193" xr:uid="{4BDC8CA9-2286-4078-8C5C-21CD04ABDA2B}"/>
    <cellStyle name="Commentaire 18" xfId="3936" xr:uid="{10AF2555-3AD3-4B22-B87B-730F36B63619}"/>
    <cellStyle name="Commentaire 18 2" xfId="3937" xr:uid="{8E59452F-F8ED-462B-933F-ED4C77BA47FB}"/>
    <cellStyle name="Commentaire 18 2 2" xfId="17197" xr:uid="{B432CF47-A186-4CD9-9DB9-42F14B6DDF6F}"/>
    <cellStyle name="Commentaire 18 3" xfId="3938" xr:uid="{601025EA-6337-4270-822A-44BC246FBC81}"/>
    <cellStyle name="Commentaire 18 3 2" xfId="17198" xr:uid="{33CB958F-A682-4D51-91E6-F25C47DD09DE}"/>
    <cellStyle name="Commentaire 18 4" xfId="17196" xr:uid="{1B510D04-2F57-495D-B6DE-D344DE17FF15}"/>
    <cellStyle name="Commentaire 19" xfId="3939" xr:uid="{EE417CF2-FCD7-4463-9095-2D251E3BFF54}"/>
    <cellStyle name="Commentaire 19 2" xfId="17199" xr:uid="{5D724FB7-EE7F-4179-9A1A-63E653ADF0C0}"/>
    <cellStyle name="Commentaire 2" xfId="3940" xr:uid="{F4EDD765-8ECB-4900-83CD-28D2E0A30EDA}"/>
    <cellStyle name="Commentaire 2 2" xfId="3941" xr:uid="{B7C1DECC-EC31-4497-B52E-98A92CADE88C}"/>
    <cellStyle name="Commentaire 2 2 2" xfId="3942" xr:uid="{A68E3C7C-C76F-4D92-AF04-FB0F6D58DBDC}"/>
    <cellStyle name="Commentaire 2 2 2 2" xfId="17201" xr:uid="{56A910E8-71D6-432C-A623-A04BF2EB1AD5}"/>
    <cellStyle name="Commentaire 2 2 3" xfId="3943" xr:uid="{281D01F8-B66B-4B7D-93C6-68D0D5259698}"/>
    <cellStyle name="Commentaire 2 2 3 2" xfId="17202" xr:uid="{407D7FF6-6A20-4AF3-9E1E-5A38EB9FE6E4}"/>
    <cellStyle name="Commentaire 2 2 4" xfId="3944" xr:uid="{5CC03629-9FDA-4080-855D-2DE92E7DF6DB}"/>
    <cellStyle name="Commentaire 2 2 4 2" xfId="17203" xr:uid="{F52FE2D5-D7F6-4895-B4B3-91223E25C98A}"/>
    <cellStyle name="Commentaire 2 2 5" xfId="3945" xr:uid="{3D30D6B6-15F3-4FEE-9CC6-625DA596C25E}"/>
    <cellStyle name="Commentaire 2 2 5 2" xfId="17204" xr:uid="{4329BD5D-77C9-4E10-9DC9-3FC155FBE168}"/>
    <cellStyle name="Commentaire 2 2 6" xfId="17200" xr:uid="{8532C5BB-26AC-49A0-A995-0101D468DDF3}"/>
    <cellStyle name="Commentaire 2 3" xfId="3946" xr:uid="{AC5677FF-01DB-4B11-BD95-66D48FAB4082}"/>
    <cellStyle name="Commentaire 2 3 2" xfId="3947" xr:uid="{2AECA906-32F0-485F-AA71-C8F6199A6C03}"/>
    <cellStyle name="Commentaire 2 3 2 2" xfId="17206" xr:uid="{6DAE84B1-49D1-46D6-A8C0-066E9FCA867F}"/>
    <cellStyle name="Commentaire 2 3 3" xfId="3948" xr:uid="{80661868-35ED-4146-B07F-CB52430C9DA5}"/>
    <cellStyle name="Commentaire 2 3 3 2" xfId="17207" xr:uid="{E3266AE9-79E0-461B-928D-DB9A076FC02A}"/>
    <cellStyle name="Commentaire 2 3 4" xfId="3949" xr:uid="{743A312C-E11C-48EC-B23F-40C3635C2B61}"/>
    <cellStyle name="Commentaire 2 3 4 2" xfId="17208" xr:uid="{65CC86E1-2847-4753-8F0B-01FAD1DA3EB4}"/>
    <cellStyle name="Commentaire 2 3 5" xfId="3950" xr:uid="{EE300BC0-54CD-4BE0-A51D-A5ECE08B52C3}"/>
    <cellStyle name="Commentaire 2 3 5 2" xfId="17209" xr:uid="{9F20C66F-38B4-44CE-83E5-C2D071DBD02D}"/>
    <cellStyle name="Commentaire 2 3 6" xfId="17205" xr:uid="{2ED291D4-EAE0-433A-B9AA-0ECDFEFAA683}"/>
    <cellStyle name="Commentaire 2 4" xfId="3951" xr:uid="{C5719A49-783C-467C-A52C-331043103973}"/>
    <cellStyle name="Commentaire 2 4 2" xfId="17210" xr:uid="{F0568369-BAD8-4FF8-9FF7-4556D02EE797}"/>
    <cellStyle name="Commentaire 2 5" xfId="3952" xr:uid="{1C73979B-3E19-404B-92E2-03CB750AFE81}"/>
    <cellStyle name="Commentaire 2 5 2" xfId="17211" xr:uid="{954A31A7-C4B2-4F13-A250-3568199D73B9}"/>
    <cellStyle name="Commentaire 2 6" xfId="3953" xr:uid="{A4439AF5-D3E7-4FC0-99D3-7844229DC63D}"/>
    <cellStyle name="Commentaire 2 6 2" xfId="17212" xr:uid="{DDC709B5-672B-424E-A8AF-DD8B6DBAEFDF}"/>
    <cellStyle name="Commentaire 2 7" xfId="3954" xr:uid="{11865410-537C-423A-AD09-60D541030F36}"/>
    <cellStyle name="Commentaire 2 7 2" xfId="17213" xr:uid="{3FD93355-7AA6-481B-8A50-843289FE62AA}"/>
    <cellStyle name="Commentaire 2 8" xfId="14963" xr:uid="{96EA6049-E470-4D2F-865E-3650F829782A}"/>
    <cellStyle name="Commentaire 2_RP3 PP revised" xfId="15154" xr:uid="{31B07209-55B4-45FE-91F4-A0BA52C52E6A}"/>
    <cellStyle name="Commentaire 20" xfId="3955" xr:uid="{DE19A45F-4946-4748-A2C4-35CE4CCFDDF7}"/>
    <cellStyle name="Commentaire 20 2" xfId="17214" xr:uid="{BB829B4C-6B21-41B9-B0F9-F11AA3F1F842}"/>
    <cellStyle name="Commentaire 21" xfId="3956" xr:uid="{848E4477-8F72-48A8-8CBF-ED83EBB105F4}"/>
    <cellStyle name="Commentaire 21 2" xfId="17215" xr:uid="{00A86F50-C479-4CEC-BE0D-FFCA3462EB6F}"/>
    <cellStyle name="Commentaire 3" xfId="3957" xr:uid="{B41D2AAE-B26A-49FD-B980-5C092EC48534}"/>
    <cellStyle name="Commentaire 3 2" xfId="3958" xr:uid="{E69D8A6C-74D2-48F9-9525-06AB19EA835E}"/>
    <cellStyle name="Commentaire 3 2 2" xfId="3959" xr:uid="{24532AE0-3B38-4203-BFC0-06FB8ED4F11E}"/>
    <cellStyle name="Commentaire 3 2 2 2" xfId="17218" xr:uid="{68089A2D-54E4-4BF0-A5C2-DB597A4A4BE1}"/>
    <cellStyle name="Commentaire 3 2 3" xfId="3960" xr:uid="{88947BA0-61B4-4351-868B-FE65E3D67FF6}"/>
    <cellStyle name="Commentaire 3 2 3 2" xfId="17219" xr:uid="{B23C26B6-7BAE-47DC-8F13-73D1A805D635}"/>
    <cellStyle name="Commentaire 3 2 4" xfId="3961" xr:uid="{1AB543D0-51EF-4E70-8BBF-1CDCB8D9CEAE}"/>
    <cellStyle name="Commentaire 3 2 4 2" xfId="17220" xr:uid="{C645CD6E-A102-4287-B57E-EE4712EA9956}"/>
    <cellStyle name="Commentaire 3 2 5" xfId="3962" xr:uid="{FE6E29C5-2DEA-4CC3-9282-44713A8029A4}"/>
    <cellStyle name="Commentaire 3 2 5 2" xfId="17221" xr:uid="{5C623CEF-E483-418C-A889-8796B47B4447}"/>
    <cellStyle name="Commentaire 3 2 6" xfId="17217" xr:uid="{18084E72-C806-4A5B-BB0F-94A2D7351C32}"/>
    <cellStyle name="Commentaire 3 3" xfId="3963" xr:uid="{E7EC175D-121E-4F05-B4E0-3EC61C56BC69}"/>
    <cellStyle name="Commentaire 3 3 2" xfId="3964" xr:uid="{58B3B2A1-12CC-495C-A3FF-39D22A4A6331}"/>
    <cellStyle name="Commentaire 3 3 2 2" xfId="17223" xr:uid="{F1CB2196-9A73-40E7-9B80-422AA1515539}"/>
    <cellStyle name="Commentaire 3 3 3" xfId="3965" xr:uid="{B86E6E18-3984-4583-8C02-2C682C14F576}"/>
    <cellStyle name="Commentaire 3 3 3 2" xfId="17224" xr:uid="{0C5F3F2B-8F31-4375-BBB5-CA30A0798AC4}"/>
    <cellStyle name="Commentaire 3 3 4" xfId="3966" xr:uid="{C8F01F54-96FA-4380-B96A-ABCECECFE82D}"/>
    <cellStyle name="Commentaire 3 3 4 2" xfId="17225" xr:uid="{1C678AFE-4FB2-4BDB-8007-4401CB352117}"/>
    <cellStyle name="Commentaire 3 3 5" xfId="3967" xr:uid="{F3AD5C7B-A65C-4324-85E4-962B73F2B76B}"/>
    <cellStyle name="Commentaire 3 3 5 2" xfId="17226" xr:uid="{367467D3-71ED-458B-8DE3-6F14F7F054F2}"/>
    <cellStyle name="Commentaire 3 3 6" xfId="3968" xr:uid="{2A43A422-EEA8-4EED-8FC3-8B5008FE7A75}"/>
    <cellStyle name="Commentaire 3 3 6 2" xfId="17227" xr:uid="{981CB923-5FBC-40C3-B93C-3A1350FFC060}"/>
    <cellStyle name="Commentaire 3 3 7" xfId="3969" xr:uid="{2720DFD6-5BD0-454C-869B-7DBD5F2FFE47}"/>
    <cellStyle name="Commentaire 3 3 7 2" xfId="17228" xr:uid="{86E4B8A7-E533-43DF-A6A2-0A519AB6A9AE}"/>
    <cellStyle name="Commentaire 3 3 8" xfId="17222" xr:uid="{8CC3EA35-9CE0-461F-8048-2D740ECDA801}"/>
    <cellStyle name="Commentaire 3 4" xfId="3970" xr:uid="{67A32A85-14D2-4846-9DD8-241F2BDFE99D}"/>
    <cellStyle name="Commentaire 3 4 2" xfId="17229" xr:uid="{D20BC5C6-47C0-4FBE-889D-75FD81867B0B}"/>
    <cellStyle name="Commentaire 3 5" xfId="3971" xr:uid="{DEB47F98-1947-4118-B634-67303D4C0A10}"/>
    <cellStyle name="Commentaire 3 5 2" xfId="17230" xr:uid="{476EC0E4-1D2F-4CCE-BDE5-28E4C4A32CEB}"/>
    <cellStyle name="Commentaire 3 6" xfId="3972" xr:uid="{3C359C52-2ECC-448E-B50B-A5025491407F}"/>
    <cellStyle name="Commentaire 3 6 2" xfId="17231" xr:uid="{4C3FBE52-EE1F-4590-AE1A-E4CC0215926E}"/>
    <cellStyle name="Commentaire 3 7" xfId="3973" xr:uid="{177911BD-8287-44EB-BB01-D27273F52BF4}"/>
    <cellStyle name="Commentaire 3 7 2" xfId="17232" xr:uid="{29F917AC-6BAF-41B9-86C8-9CE9256FCC90}"/>
    <cellStyle name="Commentaire 3 8" xfId="15366" xr:uid="{A73C5C1E-EBB4-4BDE-B85A-FEDDAEACBF4C}"/>
    <cellStyle name="Commentaire 3 9" xfId="17216" xr:uid="{F01623D7-B727-4005-BD26-38B5A995B847}"/>
    <cellStyle name="Commentaire 3_RP3 PP revised" xfId="15153" xr:uid="{3808A816-2E40-4BAD-A378-13E6972E3DD7}"/>
    <cellStyle name="Commentaire 4" xfId="3974" xr:uid="{9C07045E-2518-4194-8D22-3585C2FDBB86}"/>
    <cellStyle name="Commentaire 4 2" xfId="3975" xr:uid="{AE9B7C5F-19BC-498F-B561-51EB646DCE20}"/>
    <cellStyle name="Commentaire 4 2 2" xfId="3976" xr:uid="{91E65605-DDE4-463F-A0B6-F5F5FCA55398}"/>
    <cellStyle name="Commentaire 4 2 3" xfId="3977" xr:uid="{1A673660-4FC9-45BA-9729-309D8EE7DAC7}"/>
    <cellStyle name="Commentaire 4 2 3 2" xfId="17233" xr:uid="{D5D9215C-E3BE-4624-8F50-81F378C787D5}"/>
    <cellStyle name="Commentaire 4 2 4" xfId="3978" xr:uid="{9E009826-D274-4092-B6AB-C30A15FD29E5}"/>
    <cellStyle name="Commentaire 4 2 4 2" xfId="17234" xr:uid="{67294DE4-43D6-4841-ACBB-4882DA2BF5FF}"/>
    <cellStyle name="Commentaire 4 3" xfId="3979" xr:uid="{26313DD4-A1D6-4510-94D6-00D1578BBA8B}"/>
    <cellStyle name="Commentaire 4 3 2" xfId="3980" xr:uid="{1F0CFC8E-E92A-4C39-A83B-F4EE75925591}"/>
    <cellStyle name="Commentaire 4 3 3" xfId="3981" xr:uid="{B7E656DC-13CD-4D8C-8A9A-C3D0306D8FC9}"/>
    <cellStyle name="Commentaire 4 3 3 2" xfId="17235" xr:uid="{1E68BDF1-DA8C-445F-8D00-EF67F63E487D}"/>
    <cellStyle name="Commentaire 4 4" xfId="3982" xr:uid="{582E169E-02BD-4A3B-AB83-E33E9888F122}"/>
    <cellStyle name="Commentaire 4 4 2" xfId="17236" xr:uid="{31B4FC07-F043-42A8-914D-22FBD3DB8BC7}"/>
    <cellStyle name="Commentaire 4 5" xfId="3983" xr:uid="{768BC85E-55A7-4306-B7FA-54C381F1B587}"/>
    <cellStyle name="Commentaire 4 5 2" xfId="17237" xr:uid="{6402E67A-2BDF-4E2E-AB5A-AE6CFB288A9C}"/>
    <cellStyle name="Commentaire 4 6" xfId="3984" xr:uid="{F0CE78A4-8DA0-4810-A78A-1280A9EB7151}"/>
    <cellStyle name="Commentaire 5" xfId="3985" xr:uid="{69EE7922-0D1D-48A1-A094-DEFA47C025CF}"/>
    <cellStyle name="Commentaire 5 2" xfId="3986" xr:uid="{A6E80184-EA84-4874-BC7D-7866CC979164}"/>
    <cellStyle name="Commentaire 5 2 2" xfId="3987" xr:uid="{A3ECF319-CB51-4221-B324-5B986AB108E3}"/>
    <cellStyle name="Commentaire 5 2 2 2" xfId="17240" xr:uid="{0675D9E4-8771-4CAB-BB84-BFAD4AF976CF}"/>
    <cellStyle name="Commentaire 5 2 3" xfId="3988" xr:uid="{CB007307-CBCA-45CF-906D-00D033376AF5}"/>
    <cellStyle name="Commentaire 5 2 3 2" xfId="17241" xr:uid="{157CA396-3E66-4084-90FA-D082F2CB585C}"/>
    <cellStyle name="Commentaire 5 2 4" xfId="3989" xr:uid="{BA288555-C387-4750-8238-45248CC08687}"/>
    <cellStyle name="Commentaire 5 2 4 2" xfId="17242" xr:uid="{1BBAA585-AEF9-4836-853B-10E865716270}"/>
    <cellStyle name="Commentaire 5 2 5" xfId="3990" xr:uid="{6ED92664-39A1-4863-9B7E-5B2385490DB7}"/>
    <cellStyle name="Commentaire 5 2 5 2" xfId="17243" xr:uid="{357E4A4B-52F1-4CC6-9692-D815E9A24D7E}"/>
    <cellStyle name="Commentaire 5 2 6" xfId="17239" xr:uid="{AB944C68-DF15-4734-B4E0-D2573E4D58E8}"/>
    <cellStyle name="Commentaire 5 3" xfId="3991" xr:uid="{AF2E0A50-43E0-4361-AE1F-2F815BAB81A1}"/>
    <cellStyle name="Commentaire 5 3 2" xfId="3992" xr:uid="{5DCD8E94-05B1-48B9-9D65-2A729C5840C3}"/>
    <cellStyle name="Commentaire 5 3 2 2" xfId="17245" xr:uid="{D8B78BFF-C68A-41BB-B7C0-68E7A593D3D0}"/>
    <cellStyle name="Commentaire 5 3 3" xfId="3993" xr:uid="{E1837971-4A4D-46DC-B57F-4505BA0B190D}"/>
    <cellStyle name="Commentaire 5 3 3 2" xfId="17246" xr:uid="{4CFC56B2-778E-41E8-AE39-78ACE048AF12}"/>
    <cellStyle name="Commentaire 5 3 4" xfId="3994" xr:uid="{CCEC51A1-D277-481A-AC1B-948D388C3858}"/>
    <cellStyle name="Commentaire 5 3 4 2" xfId="17247" xr:uid="{31F26019-C972-4573-B5F8-78AD629F8303}"/>
    <cellStyle name="Commentaire 5 3 5" xfId="3995" xr:uid="{02982189-BC98-46C6-BBA8-110FEDB7027C}"/>
    <cellStyle name="Commentaire 5 3 5 2" xfId="17248" xr:uid="{372197B8-115C-45D7-97E0-E46A23DC2917}"/>
    <cellStyle name="Commentaire 5 3 6" xfId="17244" xr:uid="{2BE52BD9-B016-4FCC-A2A7-73635EDB7900}"/>
    <cellStyle name="Commentaire 5 4" xfId="3996" xr:uid="{E57BA4D4-04A4-418C-B1EB-C3B0B62A17B7}"/>
    <cellStyle name="Commentaire 5 4 2" xfId="17249" xr:uid="{10FCC79C-1D40-4D36-9524-3448876E47CC}"/>
    <cellStyle name="Commentaire 5 5" xfId="3997" xr:uid="{858E1857-BB78-413F-AC78-95A7FF125535}"/>
    <cellStyle name="Commentaire 5 5 2" xfId="17250" xr:uid="{2036EC7D-43AE-4D0A-A7ED-9095ED03CD86}"/>
    <cellStyle name="Commentaire 5 6" xfId="3998" xr:uid="{F0B955CD-5D3E-433B-9644-91C321756966}"/>
    <cellStyle name="Commentaire 5 6 2" xfId="17251" xr:uid="{6073A789-3496-4CA0-A184-852DF0245DA5}"/>
    <cellStyle name="Commentaire 5 7" xfId="3999" xr:uid="{779B8908-DC3C-42DE-B060-559957BF4500}"/>
    <cellStyle name="Commentaire 5 7 2" xfId="17252" xr:uid="{0C5471A2-DAD4-4D47-8B69-8263B8B6040A}"/>
    <cellStyle name="Commentaire 5 8" xfId="4000" xr:uid="{01CD86C0-0B63-4C88-B32D-21E78BE3FB58}"/>
    <cellStyle name="Commentaire 5 9" xfId="17238" xr:uid="{B248B8A0-DC1C-42AB-A69D-362171EFCB0F}"/>
    <cellStyle name="Commentaire 6" xfId="4001" xr:uid="{AC980B78-06DD-46C3-82AB-765E2BB56A15}"/>
    <cellStyle name="Commentaire 6 2" xfId="4002" xr:uid="{DE3574F5-2493-46F8-A047-1468134D0790}"/>
    <cellStyle name="Commentaire 6 2 2" xfId="4003" xr:uid="{2BEE30EC-D0AB-4499-850D-2EF42909CF9D}"/>
    <cellStyle name="Commentaire 6 2 2 2" xfId="17255" xr:uid="{FF798B7B-B7FF-40C4-9BAC-B8713DFF21FB}"/>
    <cellStyle name="Commentaire 6 2 3" xfId="4004" xr:uid="{18DD0E75-F243-416F-A70F-383B42F98CA4}"/>
    <cellStyle name="Commentaire 6 2 3 2" xfId="17256" xr:uid="{B2EF9AC4-E428-4C39-98F7-7F2FB36D1E8D}"/>
    <cellStyle name="Commentaire 6 2 4" xfId="4005" xr:uid="{437BBEA9-E624-4FB9-B2EA-6B28ECFA2959}"/>
    <cellStyle name="Commentaire 6 2 4 2" xfId="17257" xr:uid="{BE9FA3CC-BC32-4FB3-8B1F-21862696455F}"/>
    <cellStyle name="Commentaire 6 2 5" xfId="4006" xr:uid="{95061CAC-47F8-437C-B1DA-0855B76FB837}"/>
    <cellStyle name="Commentaire 6 2 5 2" xfId="17258" xr:uid="{89D4D764-F1D6-4A4C-B6AF-41F68F169C5D}"/>
    <cellStyle name="Commentaire 6 2 6" xfId="17254" xr:uid="{B486E44F-C9C6-4FC9-B2C9-2B88100A6748}"/>
    <cellStyle name="Commentaire 6 3" xfId="4007" xr:uid="{878EF321-999E-41BE-8F36-C5ADD275C23D}"/>
    <cellStyle name="Commentaire 6 3 2" xfId="17259" xr:uid="{E1E36E4F-B9F4-4548-AF42-F33FF354A160}"/>
    <cellStyle name="Commentaire 6 4" xfId="4008" xr:uid="{B062D468-DBE8-4E3E-B099-CFCF3E965B67}"/>
    <cellStyle name="Commentaire 6 4 2" xfId="17260" xr:uid="{D32F404C-9387-49BA-BA9F-E7DE091B909F}"/>
    <cellStyle name="Commentaire 6 5" xfId="4009" xr:uid="{DEFB5234-C7FE-47E8-AA9D-EAFF7E753AD2}"/>
    <cellStyle name="Commentaire 6 5 2" xfId="17261" xr:uid="{39576115-D25C-43D9-A2E3-86017D97D1FC}"/>
    <cellStyle name="Commentaire 6 6" xfId="4010" xr:uid="{3B2F1E76-906C-456E-92A5-79369E5233FE}"/>
    <cellStyle name="Commentaire 6 6 2" xfId="17262" xr:uid="{E7E5FC52-054F-4AB6-B728-BF4615E91688}"/>
    <cellStyle name="Commentaire 6 7" xfId="17253" xr:uid="{D2D26032-3CA3-4913-AF76-AF45D3E0276E}"/>
    <cellStyle name="Commentaire 7" xfId="4011" xr:uid="{F8F4C714-7595-413F-8C5E-262EB9D5FF30}"/>
    <cellStyle name="Commentaire 7 2" xfId="4012" xr:uid="{18F0A44A-DD9D-4F66-9A7D-76FD6E716EB7}"/>
    <cellStyle name="Commentaire 7 2 2" xfId="4013" xr:uid="{14B49CBC-ADA6-46A9-BCC0-C396C87FFA66}"/>
    <cellStyle name="Commentaire 7 2 2 2" xfId="17265" xr:uid="{06A578BC-5E17-4B39-96B6-B69F85647C1F}"/>
    <cellStyle name="Commentaire 7 2 3" xfId="4014" xr:uid="{EDA98AD8-29CC-4D08-A7AB-05625786BC9F}"/>
    <cellStyle name="Commentaire 7 2 3 2" xfId="17266" xr:uid="{11015B94-C874-4273-8315-75D07CCE63CB}"/>
    <cellStyle name="Commentaire 7 2 4" xfId="4015" xr:uid="{E98828E7-F9EB-4B89-A6BC-BFE8DDCEED47}"/>
    <cellStyle name="Commentaire 7 2 4 2" xfId="17267" xr:uid="{4B3C912C-3DAD-41CB-A3CB-B29425E6324A}"/>
    <cellStyle name="Commentaire 7 2 5" xfId="4016" xr:uid="{49F7268B-7E5B-463E-9427-CE50F8432D9F}"/>
    <cellStyle name="Commentaire 7 2 5 2" xfId="17268" xr:uid="{DAD17C41-53F0-4DE4-ACF9-E29C50C7A526}"/>
    <cellStyle name="Commentaire 7 2 6" xfId="17264" xr:uid="{90C310D5-86EB-4BB5-910A-34EBE9E9FBBF}"/>
    <cellStyle name="Commentaire 7 3" xfId="4017" xr:uid="{238C068A-CE1D-4249-9893-5585E9368F77}"/>
    <cellStyle name="Commentaire 7 3 2" xfId="17269" xr:uid="{827423DD-74F2-4D3A-B1C9-09218D11EDE8}"/>
    <cellStyle name="Commentaire 7 4" xfId="4018" xr:uid="{C268179A-46DC-4CDF-AE72-8254A9159F79}"/>
    <cellStyle name="Commentaire 7 4 2" xfId="17270" xr:uid="{F911A3FD-04F3-43E3-8D3D-09803265AA99}"/>
    <cellStyle name="Commentaire 7 5" xfId="4019" xr:uid="{C69F6554-784C-42D6-85CC-C8E5E370ACA9}"/>
    <cellStyle name="Commentaire 7 5 2" xfId="17271" xr:uid="{D1F259F7-B967-4BF4-9F23-1B9B132AADBC}"/>
    <cellStyle name="Commentaire 7 6" xfId="4020" xr:uid="{5E05D0BB-B763-499E-A57B-05162719457A}"/>
    <cellStyle name="Commentaire 7 6 2" xfId="17272" xr:uid="{EB4578B3-35DD-4B3A-847F-37FD06564DF6}"/>
    <cellStyle name="Commentaire 7 7" xfId="17263" xr:uid="{11C401D0-E6DC-451B-9E3E-1F06EA092AB8}"/>
    <cellStyle name="Commentaire 8" xfId="4021" xr:uid="{13EF036C-8E05-4896-BBA8-78176E68EA5A}"/>
    <cellStyle name="Commentaire 8 2" xfId="4022" xr:uid="{579F46D8-20E2-423A-B613-27D800950F68}"/>
    <cellStyle name="Commentaire 8 2 2" xfId="4023" xr:uid="{EA88F142-EF54-4F54-B3DA-BC606A3F569E}"/>
    <cellStyle name="Commentaire 8 2 2 2" xfId="17275" xr:uid="{F1C4B4D1-4A33-40F1-875F-EA8E26947B0C}"/>
    <cellStyle name="Commentaire 8 2 3" xfId="4024" xr:uid="{C0DB63A0-BE22-4BEC-811A-2808118169E7}"/>
    <cellStyle name="Commentaire 8 2 3 2" xfId="17276" xr:uid="{A321A441-F302-484A-8718-8E42E6F0EC07}"/>
    <cellStyle name="Commentaire 8 2 4" xfId="4025" xr:uid="{44BD24F4-F47B-49B7-BB4B-6B9E3FA5F95B}"/>
    <cellStyle name="Commentaire 8 2 4 2" xfId="17277" xr:uid="{76C6198C-9164-4C43-8322-A7972C1ACC7A}"/>
    <cellStyle name="Commentaire 8 2 5" xfId="4026" xr:uid="{053DF3D4-C895-401E-888C-6F11A9305025}"/>
    <cellStyle name="Commentaire 8 2 5 2" xfId="17278" xr:uid="{C67FB43C-335D-4B0F-8DE0-78D187C97227}"/>
    <cellStyle name="Commentaire 8 2 6" xfId="17274" xr:uid="{C14C6931-8736-4E05-A2C9-C96EFC9060F0}"/>
    <cellStyle name="Commentaire 8 3" xfId="4027" xr:uid="{DCB8436B-E167-4860-87FF-EB14966DABC6}"/>
    <cellStyle name="Commentaire 8 3 2" xfId="17279" xr:uid="{B89F100E-6101-452B-A0D7-3C4C20617CD3}"/>
    <cellStyle name="Commentaire 8 4" xfId="4028" xr:uid="{F5E0EDF5-22FD-479E-AF2C-5B43CEA9154B}"/>
    <cellStyle name="Commentaire 8 4 2" xfId="17280" xr:uid="{B95379B7-BAB1-486F-B45E-0768C2A6060A}"/>
    <cellStyle name="Commentaire 8 5" xfId="4029" xr:uid="{E6DBC757-0DB9-4637-AD87-635314BC571F}"/>
    <cellStyle name="Commentaire 8 5 2" xfId="17281" xr:uid="{F6F32C8C-1C18-4508-A110-04B0078DED6D}"/>
    <cellStyle name="Commentaire 8 6" xfId="4030" xr:uid="{A662B171-ACAF-4798-9188-05AA993ACCEC}"/>
    <cellStyle name="Commentaire 8 6 2" xfId="17282" xr:uid="{EB307C1E-4E07-4F8C-B26D-CCA3A4D4D31A}"/>
    <cellStyle name="Commentaire 8 7" xfId="17273" xr:uid="{436E8B32-C18F-44B3-A675-1EC1E9C1E3C0}"/>
    <cellStyle name="Commentaire 9" xfId="4031" xr:uid="{FCAF6926-6560-405B-9AFC-7CEBF719C6E5}"/>
    <cellStyle name="Commentaire 9 2" xfId="4032" xr:uid="{55A4DF0E-51D4-4701-8F0E-134A95B0D023}"/>
    <cellStyle name="Commentaire 9 2 2" xfId="4033" xr:uid="{3396804C-F226-48C3-8E24-77F68ACBBCFB}"/>
    <cellStyle name="Commentaire 9 2 2 2" xfId="17285" xr:uid="{14A2BE95-6E60-4CF3-9F10-60BCCAF4A2D3}"/>
    <cellStyle name="Commentaire 9 2 3" xfId="4034" xr:uid="{43C7FEB4-2C80-411E-BDA2-8458E46E51B3}"/>
    <cellStyle name="Commentaire 9 2 3 2" xfId="17286" xr:uid="{83CD0CEA-4F6A-4499-87C5-1A11FB19B21D}"/>
    <cellStyle name="Commentaire 9 2 4" xfId="4035" xr:uid="{C592D13B-07AF-453A-91DE-468B9BF7D9D7}"/>
    <cellStyle name="Commentaire 9 2 4 2" xfId="17287" xr:uid="{3B05D8AC-BBED-4470-8BF4-235C3E1C61E5}"/>
    <cellStyle name="Commentaire 9 2 5" xfId="4036" xr:uid="{F3781615-4343-4B6D-B46D-17107894BD55}"/>
    <cellStyle name="Commentaire 9 2 5 2" xfId="17288" xr:uid="{2E9AF882-2EE4-4F5F-9CB9-E50AC0133B97}"/>
    <cellStyle name="Commentaire 9 2 6" xfId="17284" xr:uid="{13AAF2BA-8D98-4C78-B64A-FCDFDF22443A}"/>
    <cellStyle name="Commentaire 9 3" xfId="4037" xr:uid="{519F834F-F0BB-42D9-8C7A-9E2BD3D3EF63}"/>
    <cellStyle name="Commentaire 9 3 2" xfId="17289" xr:uid="{F72D475A-E19B-4CDE-B29E-FCE577DB7203}"/>
    <cellStyle name="Commentaire 9 4" xfId="4038" xr:uid="{847AD3EC-4AFA-4616-B720-DE301172D917}"/>
    <cellStyle name="Commentaire 9 4 2" xfId="17290" xr:uid="{726486FE-069E-4D42-8A57-B508B8C155B0}"/>
    <cellStyle name="Commentaire 9 5" xfId="4039" xr:uid="{195985EF-03D1-4FFF-B634-3C11F41754D9}"/>
    <cellStyle name="Commentaire 9 5 2" xfId="17291" xr:uid="{93DC2D25-61D8-4FF7-9EEE-C0289BBB7633}"/>
    <cellStyle name="Commentaire 9 6" xfId="4040" xr:uid="{2C6B52B4-FB25-4353-BC14-9416EEE78742}"/>
    <cellStyle name="Commentaire 9 6 2" xfId="17292" xr:uid="{646B2CCC-DA8B-4905-9DF2-0A25DF5F2252}"/>
    <cellStyle name="Commentaire 9 7" xfId="17283" xr:uid="{FA0B4B6F-69AD-41CB-8437-4C45DE3A170E}"/>
    <cellStyle name="Control Check" xfId="4041" xr:uid="{78763081-CA35-4E5A-9A49-39D97DADDE51}"/>
    <cellStyle name="control table footer 1" xfId="4042" xr:uid="{F39366B5-A6F4-4166-A257-7AFE7C93A4E2}"/>
    <cellStyle name="control table header 1" xfId="4043" xr:uid="{F8C51234-63E7-405D-919D-F36581CBBF64}"/>
    <cellStyle name="Curren - Style1" xfId="4044" xr:uid="{EB19BA88-276F-480F-9EEB-8A92037C7B72}"/>
    <cellStyle name="Curren - Style4" xfId="4045" xr:uid="{33D1FF26-52F2-48C4-903C-4F861397E01D}"/>
    <cellStyle name="Currency (0)" xfId="4046" xr:uid="{AEA193A5-D0C6-4C2F-954A-CEB892614289}"/>
    <cellStyle name="Currency (2)" xfId="4047" xr:uid="{D77C7967-AF0A-44DA-AC6D-30076CC7CB30}"/>
    <cellStyle name="Currency 0" xfId="4048" xr:uid="{E5E3D591-9932-40FF-8386-9243D65F3E8C}"/>
    <cellStyle name="Currency 2" xfId="4049" xr:uid="{C8B785BD-8DF8-4F23-906D-06694B3CCB72}"/>
    <cellStyle name="Currency 2 2" xfId="4050" xr:uid="{CA0FCF71-B22F-4E9D-B7EC-1CF1E4997039}"/>
    <cellStyle name="Currency 2 2 2" xfId="4051" xr:uid="{703C2222-479A-4667-A98D-EE5786C808F4}"/>
    <cellStyle name="Currency 2 3" xfId="4052" xr:uid="{F0C5B077-65CF-488B-88AF-3F0B73FA6FAD}"/>
    <cellStyle name="Currency 2_RP3 PP revised" xfId="15152" xr:uid="{A9C2590F-60FC-43EE-B8E9-B656FCD76D95}"/>
    <cellStyle name="D" xfId="4053" xr:uid="{BA88C978-2AE6-4453-A855-054B5F2829F1}"/>
    <cellStyle name="Dålig" xfId="4054" xr:uid="{5D214D00-9EB0-446E-927E-A62721D55AC4}"/>
    <cellStyle name="Dane wejściowe" xfId="4055" xr:uid="{F15D149A-F3C7-4D52-B268-1F057590B025}"/>
    <cellStyle name="Dane wejściowe 2" xfId="4056" xr:uid="{979D9FDF-191C-4918-9E2F-601F1A9AB86A}"/>
    <cellStyle name="Dane wejściowe 2 2" xfId="4057" xr:uid="{911DA4BF-AC8F-473A-B4CA-77F39822954A}"/>
    <cellStyle name="Dane wejściowe 2 2 2" xfId="17295" xr:uid="{0F358A33-95E4-4B2D-BD36-1B1119BD95E6}"/>
    <cellStyle name="Dane wejściowe 2 3" xfId="4058" xr:uid="{9CE9EDDE-202A-4BA1-AAAA-C2EE77CCB5F9}"/>
    <cellStyle name="Dane wejściowe 2 3 2" xfId="17296" xr:uid="{6BD1FDD7-F02B-44D2-92B6-783E83F8A790}"/>
    <cellStyle name="Dane wejściowe 2 4" xfId="17294" xr:uid="{B826AB83-390B-4C64-AB51-4F1F3B01F5C9}"/>
    <cellStyle name="Dane wejściowe 3" xfId="4059" xr:uid="{5A3D07B2-DF49-4B4A-A9F8-971E3E78A19E}"/>
    <cellStyle name="Dane wejściowe 3 2" xfId="17297" xr:uid="{393CECAC-0409-4139-943F-F35E82CE7CEF}"/>
    <cellStyle name="Dane wejściowe 4" xfId="4060" xr:uid="{7E7048B8-6AF8-4610-8EE0-1AD623742F97}"/>
    <cellStyle name="Dane wejściowe 4 2" xfId="17298" xr:uid="{CA45EA08-5D94-4932-B517-8EBD1242F096}"/>
    <cellStyle name="Dane wejściowe 5" xfId="4061" xr:uid="{3972D6FE-48E4-46A0-A5E6-1D5DCD9435EA}"/>
    <cellStyle name="Dane wejściowe 5 2" xfId="17299" xr:uid="{E44F60A2-26D5-4F06-A125-56F3A734CD32}"/>
    <cellStyle name="Dane wejściowe 6" xfId="4062" xr:uid="{4E723143-1FD7-41BE-AAA6-32A85D01CA7F}"/>
    <cellStyle name="Dane wejściowe 6 2" xfId="17300" xr:uid="{C75CA972-C68F-4847-8189-02ADDC820BF2}"/>
    <cellStyle name="Dane wejściowe 7" xfId="17293" xr:uid="{18A29545-236B-4CCD-9113-312C7A98AA96}"/>
    <cellStyle name="Dane wyjściowe" xfId="4063" xr:uid="{3B34A304-43AF-4DBF-A821-C0196368F910}"/>
    <cellStyle name="Dane wyjściowe 2" xfId="4064" xr:uid="{CAC34082-0EDF-4F5B-9B09-C5DB47E9CE07}"/>
    <cellStyle name="Dane wyjściowe 2 2" xfId="4065" xr:uid="{304AE18F-11F0-44D9-80D6-FE69CFD5FC14}"/>
    <cellStyle name="Dane wyjściowe 2 2 2" xfId="17303" xr:uid="{D0957024-129F-42CE-B2D2-C3C96C2D17B4}"/>
    <cellStyle name="Dane wyjściowe 2 3" xfId="4066" xr:uid="{9599A1F8-F71C-4E14-A92C-C0868DDDCE62}"/>
    <cellStyle name="Dane wyjściowe 2 3 2" xfId="17304" xr:uid="{8830110E-89AB-45E8-A0A9-7BC4E71A9A1A}"/>
    <cellStyle name="Dane wyjściowe 2 4" xfId="17302" xr:uid="{A5F211BD-2ECA-4B06-A27D-61CBDB90BC24}"/>
    <cellStyle name="Dane wyjściowe 3" xfId="4067" xr:uid="{88F0E215-E900-41BC-888A-105CE0CDC39B}"/>
    <cellStyle name="Dane wyjściowe 3 2" xfId="17305" xr:uid="{D14340D2-1A00-4875-8BC2-1132E270A296}"/>
    <cellStyle name="Dane wyjściowe 4" xfId="4068" xr:uid="{4D53118B-AB2D-4B82-A5A1-DA58884CC95D}"/>
    <cellStyle name="Dane wyjściowe 4 2" xfId="17306" xr:uid="{35EF7DEA-AEC2-4B56-969E-C35659042D51}"/>
    <cellStyle name="Dane wyjściowe 5" xfId="4069" xr:uid="{6A26D0A7-8A21-4656-85CC-BD53D686235B}"/>
    <cellStyle name="Dane wyjściowe 5 2" xfId="17307" xr:uid="{293BDFB8-43DB-4F20-8474-F8D5A82C2E5C}"/>
    <cellStyle name="Dane wyjściowe 6" xfId="4070" xr:uid="{A3FD979A-DFE6-41F5-9333-2B36631D4A02}"/>
    <cellStyle name="Dane wyjściowe 6 2" xfId="17308" xr:uid="{5D8E89B6-3C3A-4BC4-8CA9-60FAFD81144E}"/>
    <cellStyle name="Dane wyjściowe 7" xfId="17301" xr:uid="{836B532F-93D5-48D5-8779-BA96120D6255}"/>
    <cellStyle name="Data" xfId="4071" xr:uid="{D035E63F-38D8-4CF3-B08B-AFBEFFDDD75C}"/>
    <cellStyle name="Date" xfId="4072" xr:uid="{7273AD69-39F4-4330-8C6A-8E52EF785D97}"/>
    <cellStyle name="Date 2" xfId="4073" xr:uid="{29F6450D-6E2F-46B1-9101-2864C19DAB72}"/>
    <cellStyle name="Date 3" xfId="4074" xr:uid="{090D9725-4AC0-4127-A6E7-81D120893EA3}"/>
    <cellStyle name="Date Aligned" xfId="4075" xr:uid="{6F7F454A-68A6-452F-8B0C-5A61C2C9EFE2}"/>
    <cellStyle name="Date_ATC Services 6+6 Forecast - 051008" xfId="4076" xr:uid="{6C1A87B4-BA24-4CF1-B9D0-9C7AB21BB8B3}"/>
    <cellStyle name="dateformat" xfId="4077" xr:uid="{D1FFB0B0-D7CD-46DD-966C-6137ADA49364}"/>
    <cellStyle name="dateformatz" xfId="4078" xr:uid="{0E818EB0-9C44-4310-9754-D4A70AD6F591}"/>
    <cellStyle name="Days" xfId="4079" xr:uid="{4A54F4F9-CE4E-4C1D-A98E-AC69A25C286C}"/>
    <cellStyle name="Défaut" xfId="4080" xr:uid="{C4A64007-C3F1-4426-9171-EA9DE1A7D485}"/>
    <cellStyle name="Deviant" xfId="4081" xr:uid="{E25BE452-A468-4366-A06C-D4BD7FFD3FDA}"/>
    <cellStyle name="Deviant 2" xfId="4082" xr:uid="{909A0EAA-0808-41CF-B9A0-F75762286C22}"/>
    <cellStyle name="Deviant 3" xfId="4083" xr:uid="{619775D2-E5CA-4EC7-B90B-B3BE196FE271}"/>
    <cellStyle name="Dezimal [0]_aM120029" xfId="4084" xr:uid="{96D36269-04F8-4806-9561-9E63F81B82BB}"/>
    <cellStyle name="Dezimal 2" xfId="4085" xr:uid="{C73CB3B5-3C5D-45B6-A482-B0C8ABA9784A}"/>
    <cellStyle name="Dezimal 2 2" xfId="17309" xr:uid="{BD23240D-6F2E-4B26-A1C9-E9F1B32F8786}"/>
    <cellStyle name="Dezimal_aM120029" xfId="4086" xr:uid="{F85C4AB1-ECBF-4050-8E40-E29152817C20}"/>
    <cellStyle name="Dobre" xfId="4087" xr:uid="{FE03EC15-47CB-4EDB-875E-068F0E5DD45D}"/>
    <cellStyle name="Dobre 2" xfId="4088" xr:uid="{FC8E2773-F323-476A-85CF-4374B60E5E59}"/>
    <cellStyle name="Dotted Line" xfId="4089" xr:uid="{05BACB2D-2EF8-4914-B182-DEE3EEF1D307}"/>
    <cellStyle name="Dziesiętny 2" xfId="4090" xr:uid="{6F3D9E17-6525-4FA5-873D-E7E52D0C04FB}"/>
    <cellStyle name="Dziesiętny 2 2" xfId="14811" xr:uid="{9A3DF09C-B68A-46B6-BDD5-C10CDF007CB1}"/>
    <cellStyle name="Dziesiętny 2 2 2" xfId="25760" xr:uid="{2A854B87-FD26-41CD-BB52-CEE4C5BB85BB}"/>
    <cellStyle name="Dziesiętny 2 3" xfId="17310" xr:uid="{8554A947-95D4-4E87-ACDA-6CD3744C8878}"/>
    <cellStyle name="Dziesiętny 3" xfId="4091" xr:uid="{5E6459D1-87E2-46B9-9C60-D6EF9CA2CC17}"/>
    <cellStyle name="Effect Symbol" xfId="4092" xr:uid="{DD7AF781-B497-4DB4-AACF-EE8A966A43A9}"/>
    <cellStyle name="Eingabe" xfId="4093" xr:uid="{0A476673-A86D-4384-9F41-A177E0083C14}"/>
    <cellStyle name="Eingabe 2" xfId="4094" xr:uid="{94E5CC74-B287-45EC-9E2D-ED45AE219DD0}"/>
    <cellStyle name="Eingabe 2 2" xfId="17311" xr:uid="{B8B50151-B9E8-451C-9F12-0353BC5A8D33}"/>
    <cellStyle name="Eingabe 3" xfId="4095" xr:uid="{54567878-998B-463A-A065-078EB33E20DB}"/>
    <cellStyle name="Eingabe 3 2" xfId="17312" xr:uid="{3F3B2FC6-101D-4840-9CCE-0CD8ABC6BE8F}"/>
    <cellStyle name="Eingabe 4" xfId="14964" xr:uid="{60D7D861-A838-4E93-BFBE-184945F832FD}"/>
    <cellStyle name="Eingabe_RP3 PP revised" xfId="15409" xr:uid="{5A15A810-C2B1-49C9-93F2-DF267A316251}"/>
    <cellStyle name="Ellenőrzőcella 2" xfId="4096" xr:uid="{46FD8F61-7694-42F9-8DBD-F022256E4BBB}"/>
    <cellStyle name="Emphase 1" xfId="4097" xr:uid="{A8C3D764-3108-4876-AFB8-0006E3F2AA1C}"/>
    <cellStyle name="Emphase 2" xfId="4098" xr:uid="{82A87A7A-D07A-44FD-9485-6A011D8C0E73}"/>
    <cellStyle name="Emphase 3" xfId="4099" xr:uid="{EE6F9E82-44F9-41ED-9C93-1C9E0107ED2A}"/>
    <cellStyle name="Encabezado 4" xfId="4100" xr:uid="{472C47F6-870D-464A-8AA7-2052FE45C082}"/>
    <cellStyle name="EncTitre" xfId="4101" xr:uid="{50818245-4651-4570-8A13-A6F41900429D}"/>
    <cellStyle name="EncTitre 2" xfId="4102" xr:uid="{A15B0FCB-1357-4F63-8BCB-A9CEF3E35A30}"/>
    <cellStyle name="EncTitre 2 2" xfId="4103" xr:uid="{9AC30E16-3EB9-47E5-AC0F-6F79A909DE65}"/>
    <cellStyle name="EncTitre 2 3" xfId="4104" xr:uid="{3A20173A-4941-47FF-8E0D-0BFE99007B8E}"/>
    <cellStyle name="EncTitre 3" xfId="4105" xr:uid="{223A1A8C-EB15-47BB-91FA-2E6619162A25}"/>
    <cellStyle name="EncTitre 3 2" xfId="4106" xr:uid="{67E40284-A91C-4550-BDFD-989139198F1E}"/>
    <cellStyle name="EncTitre 3 3" xfId="4107" xr:uid="{3CE23773-0943-49A5-8089-F4BEC2056B54}"/>
    <cellStyle name="EncTitre 4" xfId="4108" xr:uid="{F94D551A-FAD7-41D7-92AA-25DEF22D9CDB}"/>
    <cellStyle name="EncTitre 4 2" xfId="4109" xr:uid="{68E79307-AEBB-4D13-87A1-A9A719FF58A4}"/>
    <cellStyle name="EncTitre 5" xfId="4110" xr:uid="{98F1FA1B-55D7-4034-A8F3-B42E99443DBB}"/>
    <cellStyle name="Énfasis1" xfId="4111" xr:uid="{8AD0B9BE-C74C-4114-94F2-9E6794A3B169}"/>
    <cellStyle name="Énfasis2" xfId="4112" xr:uid="{B8B0FD66-AB81-4D38-A55B-3EFDC0C401FD}"/>
    <cellStyle name="Énfasis3" xfId="4113" xr:uid="{B1A955B8-CECF-4C67-84D9-E46E7B77DD43}"/>
    <cellStyle name="Énfasis4" xfId="4114" xr:uid="{E6D32848-AFDF-4F1A-B458-AB1A2D5AC16B}"/>
    <cellStyle name="Énfasis5" xfId="4115" xr:uid="{E42DD30A-8C4C-418B-82A7-A10EE4261BB5}"/>
    <cellStyle name="Énfasis6" xfId="4116" xr:uid="{864C5F8E-1DB7-4FE7-8ADE-404150B21BEB}"/>
    <cellStyle name="Entrada" xfId="4117" xr:uid="{08D33924-B9BF-438D-9589-B6F40D0C309D}"/>
    <cellStyle name="Entrada 10" xfId="4118" xr:uid="{C2A0A876-414B-426E-9CBD-ACE2A5304EBD}"/>
    <cellStyle name="Entrada 10 2" xfId="4119" xr:uid="{6A21FB3A-54F7-43CC-A994-305B4608605C}"/>
    <cellStyle name="Entrada 10 2 2" xfId="4120" xr:uid="{A9511315-B6F1-4EEB-AE97-8C43FD113AD9}"/>
    <cellStyle name="Entrada 10 2 2 2" xfId="17315" xr:uid="{DEBF9E1F-7A70-4B70-981E-375EBB0FC7BF}"/>
    <cellStyle name="Entrada 10 2 3" xfId="4121" xr:uid="{EAD85B09-BD65-4644-8A21-905148A495BF}"/>
    <cellStyle name="Entrada 10 2 3 2" xfId="17316" xr:uid="{272014D6-DD86-48FC-84FD-33C2C157F46F}"/>
    <cellStyle name="Entrada 10 2 4" xfId="4122" xr:uid="{A6217E92-BF11-429A-B2C9-C3142FAB05FE}"/>
    <cellStyle name="Entrada 10 2 4 2" xfId="17317" xr:uid="{BF61D839-291C-4D47-8014-E159A589BBAD}"/>
    <cellStyle name="Entrada 10 2 5" xfId="4123" xr:uid="{4BF41484-BA51-4A77-A33D-512646DAD4B2}"/>
    <cellStyle name="Entrada 10 2 5 2" xfId="17318" xr:uid="{E3F355AC-634A-4230-951D-C7D62E8BD950}"/>
    <cellStyle name="Entrada 10 2 6" xfId="17314" xr:uid="{E98FC795-F090-4428-9D3F-8A9294A64C3F}"/>
    <cellStyle name="Entrada 10 3" xfId="4124" xr:uid="{10B32881-A017-44F8-8ADF-1301D34C8FB9}"/>
    <cellStyle name="Entrada 10 3 2" xfId="17319" xr:uid="{229A8BAF-6444-464D-BF6B-6673124A7F69}"/>
    <cellStyle name="Entrada 10 4" xfId="4125" xr:uid="{F6B293C7-6193-4FE2-B15C-2989A88BCB93}"/>
    <cellStyle name="Entrada 10 4 2" xfId="17320" xr:uid="{A1B482D7-8FFA-4E92-959D-16B66BEC95F3}"/>
    <cellStyle name="Entrada 10 5" xfId="4126" xr:uid="{8B684548-AC1B-480F-B529-E67A45D568DF}"/>
    <cellStyle name="Entrada 10 5 2" xfId="17321" xr:uid="{B4DC09DD-F2A5-43A0-9C94-D42D4DA44EF7}"/>
    <cellStyle name="Entrada 10 6" xfId="4127" xr:uid="{05D8BADD-D0B2-47C6-A073-169F9A323685}"/>
    <cellStyle name="Entrada 10 6 2" xfId="17322" xr:uid="{1CAFF33D-6337-473C-8B4D-41BC9C60486A}"/>
    <cellStyle name="Entrada 10 7" xfId="17313" xr:uid="{4781DCE1-115F-47E1-B94A-2B99E3157938}"/>
    <cellStyle name="Entrada 11" xfId="4128" xr:uid="{CEDB32AC-A142-469A-BF14-D72F2F9D7C7A}"/>
    <cellStyle name="Entrada 11 2" xfId="4129" xr:uid="{C321CED8-EDDF-4CB5-8525-2A08FA1EA2A1}"/>
    <cellStyle name="Entrada 11 2 2" xfId="4130" xr:uid="{B40EED2C-BF5C-447A-86A8-AEED3309C22E}"/>
    <cellStyle name="Entrada 11 2 2 2" xfId="17325" xr:uid="{C00BF0E1-99F9-418F-936D-2EDF3E8BA78E}"/>
    <cellStyle name="Entrada 11 2 3" xfId="4131" xr:uid="{502CD6FF-A609-43CB-90CF-EA04FE27E950}"/>
    <cellStyle name="Entrada 11 2 3 2" xfId="17326" xr:uid="{EC9F2057-C8F6-46D5-8A6E-C6BAF4FE05FD}"/>
    <cellStyle name="Entrada 11 2 4" xfId="4132" xr:uid="{D809ECBA-E64D-4EBB-A272-88C7F2C6D21F}"/>
    <cellStyle name="Entrada 11 2 4 2" xfId="17327" xr:uid="{56367B54-0716-4E1D-817A-9B04F0E6267C}"/>
    <cellStyle name="Entrada 11 2 5" xfId="4133" xr:uid="{24DD25DD-1704-47DD-B4D9-3C59B0A264DB}"/>
    <cellStyle name="Entrada 11 2 5 2" xfId="17328" xr:uid="{C37787A0-C018-4659-8520-1AB53E3AFEAF}"/>
    <cellStyle name="Entrada 11 2 6" xfId="17324" xr:uid="{CBD8963D-389E-441E-8125-79CBBAF2FB67}"/>
    <cellStyle name="Entrada 11 3" xfId="4134" xr:uid="{D66CAB16-F0C0-44C9-8C54-DAF7E769419A}"/>
    <cellStyle name="Entrada 11 3 2" xfId="17329" xr:uid="{8E7F3823-C41B-4A46-B164-E63AEAB2C9D0}"/>
    <cellStyle name="Entrada 11 4" xfId="4135" xr:uid="{CFA78434-E192-4B39-A5F8-0D122819DBB7}"/>
    <cellStyle name="Entrada 11 4 2" xfId="17330" xr:uid="{37E2363E-CA74-4299-B555-B8DBA2AAE3E1}"/>
    <cellStyle name="Entrada 11 5" xfId="4136" xr:uid="{4F522815-E3B9-4587-B437-F524D1612928}"/>
    <cellStyle name="Entrada 11 5 2" xfId="17331" xr:uid="{786BADFA-0697-4CBD-8E4D-D72A154978CD}"/>
    <cellStyle name="Entrada 11 6" xfId="4137" xr:uid="{43B6105C-A52B-47DB-A01B-2E7F82BEDABF}"/>
    <cellStyle name="Entrada 11 6 2" xfId="17332" xr:uid="{BCCFB4DA-87B8-49F6-BE7E-A5D4E991FEF0}"/>
    <cellStyle name="Entrada 11 7" xfId="17323" xr:uid="{88E9607B-76B4-4970-9773-68C88E046D90}"/>
    <cellStyle name="Entrada 12" xfId="4138" xr:uid="{DD8ED202-B332-4648-8FAC-B1CF9D665C72}"/>
    <cellStyle name="Entrada 12 2" xfId="4139" xr:uid="{3D2EAC80-BA4D-4A71-AEFF-671AC1B22790}"/>
    <cellStyle name="Entrada 12 2 2" xfId="4140" xr:uid="{D4CFBE49-BED3-466D-8E4D-6CB82F90FF3D}"/>
    <cellStyle name="Entrada 12 2 2 2" xfId="17335" xr:uid="{80B3CFB0-4DC6-4F45-9F6F-95BD22548E70}"/>
    <cellStyle name="Entrada 12 2 3" xfId="4141" xr:uid="{0895F759-14CA-4F8C-8833-D535FD53DE7F}"/>
    <cellStyle name="Entrada 12 2 3 2" xfId="17336" xr:uid="{96D55A0F-F263-4E20-82E3-2523795045D6}"/>
    <cellStyle name="Entrada 12 2 4" xfId="4142" xr:uid="{60E5368E-BD84-4EF4-9C80-870C617BA483}"/>
    <cellStyle name="Entrada 12 2 4 2" xfId="17337" xr:uid="{100818AE-F98E-4175-BEA4-A790F91AC409}"/>
    <cellStyle name="Entrada 12 2 5" xfId="4143" xr:uid="{5E4482A4-344D-4FE3-AB0E-85FE054B9A0F}"/>
    <cellStyle name="Entrada 12 2 5 2" xfId="17338" xr:uid="{6A4B66D8-8B5B-4CBA-B1CA-6641EE7298EC}"/>
    <cellStyle name="Entrada 12 2 6" xfId="17334" xr:uid="{1053483C-53DC-4558-B163-8F4C225BA08A}"/>
    <cellStyle name="Entrada 12 3" xfId="4144" xr:uid="{31AD459E-38F3-4693-9673-8CCCABBAAD28}"/>
    <cellStyle name="Entrada 12 3 2" xfId="17339" xr:uid="{E45FED35-D0D9-4F11-8626-5EF75504B3B5}"/>
    <cellStyle name="Entrada 12 4" xfId="4145" xr:uid="{F9487B0F-5B60-4C84-BF35-B85E70F62A18}"/>
    <cellStyle name="Entrada 12 4 2" xfId="17340" xr:uid="{0F47D937-6886-480B-B742-A5B2770F5894}"/>
    <cellStyle name="Entrada 12 5" xfId="4146" xr:uid="{6B150881-0C9B-4EFF-AAFE-47560AF9140B}"/>
    <cellStyle name="Entrada 12 5 2" xfId="17341" xr:uid="{B6A7DE2F-3787-4971-8BBF-A0C37538B2E7}"/>
    <cellStyle name="Entrada 12 6" xfId="4147" xr:uid="{9B39B09D-B7B4-4ADE-83B8-CECA332E5CAC}"/>
    <cellStyle name="Entrada 12 6 2" xfId="17342" xr:uid="{4E1D8243-D6AD-4081-B0E0-7967B4923570}"/>
    <cellStyle name="Entrada 12 7" xfId="17333" xr:uid="{4DE2C329-6A33-404B-BFC3-CA351CEF519B}"/>
    <cellStyle name="Entrada 13" xfId="4148" xr:uid="{53A70981-10FF-4F56-817F-CE184E1E712B}"/>
    <cellStyle name="Entrada 13 2" xfId="4149" xr:uid="{7879BA46-7060-4991-B794-8BE18696EEDC}"/>
    <cellStyle name="Entrada 13 2 2" xfId="4150" xr:uid="{8C87373A-8E41-4384-9C31-15052A1A09ED}"/>
    <cellStyle name="Entrada 13 2 2 2" xfId="17345" xr:uid="{B840D6E7-DD9A-44C1-8C35-83B5FB6BA928}"/>
    <cellStyle name="Entrada 13 2 3" xfId="4151" xr:uid="{8D36F883-CA81-44BC-870E-48C67F244557}"/>
    <cellStyle name="Entrada 13 2 3 2" xfId="17346" xr:uid="{5367F52C-60C5-4A79-8BE3-4EFA99B02A1C}"/>
    <cellStyle name="Entrada 13 2 4" xfId="4152" xr:uid="{879A7649-66CD-4661-8E8B-C065CB07FD45}"/>
    <cellStyle name="Entrada 13 2 4 2" xfId="17347" xr:uid="{74CBCC8D-7613-4D72-940A-4BE48C4C2C7E}"/>
    <cellStyle name="Entrada 13 2 5" xfId="4153" xr:uid="{1B7D6878-50A5-45D0-B2D0-4C26B9612FFD}"/>
    <cellStyle name="Entrada 13 2 5 2" xfId="17348" xr:uid="{B4A5D693-52E8-457E-B0F2-77776CB45CF7}"/>
    <cellStyle name="Entrada 13 2 6" xfId="17344" xr:uid="{EC51F66E-3417-4DEE-A74D-FCEA3BD2E968}"/>
    <cellStyle name="Entrada 13 3" xfId="4154" xr:uid="{D640EFA2-09A6-423C-A05C-40D5EAF92DFF}"/>
    <cellStyle name="Entrada 13 3 2" xfId="17349" xr:uid="{02DBA49C-C242-494A-998B-AB1E5A65F7FB}"/>
    <cellStyle name="Entrada 13 4" xfId="4155" xr:uid="{A8D88F75-E357-4493-A55A-0A4A8DB9ED0C}"/>
    <cellStyle name="Entrada 13 4 2" xfId="17350" xr:uid="{A00C854B-1554-49BE-8B46-A044DAE92E26}"/>
    <cellStyle name="Entrada 13 5" xfId="4156" xr:uid="{D9D0ED7E-957C-4476-8219-AFF6CDDAFE23}"/>
    <cellStyle name="Entrada 13 5 2" xfId="17351" xr:uid="{58F8E292-D3B0-48BD-B356-F5B98BBD1CA7}"/>
    <cellStyle name="Entrada 13 6" xfId="4157" xr:uid="{27F5F955-0D46-4070-96D4-9B78DC5FE03E}"/>
    <cellStyle name="Entrada 13 6 2" xfId="17352" xr:uid="{3CA619C9-E0BE-426C-8EFC-6CC8B80295FA}"/>
    <cellStyle name="Entrada 13 7" xfId="17343" xr:uid="{431301AA-9333-4FA1-A5BC-9A5A4293F376}"/>
    <cellStyle name="Entrada 14" xfId="4158" xr:uid="{3CDFDABC-DFC1-490B-B0F4-48EB0B3B3F7C}"/>
    <cellStyle name="Entrada 14 2" xfId="4159" xr:uid="{5D1D7370-F99F-4396-94F4-0E3935F91FE3}"/>
    <cellStyle name="Entrada 14 2 2" xfId="4160" xr:uid="{BF3841E4-FD14-4987-B619-DB89FC5ADF0D}"/>
    <cellStyle name="Entrada 14 2 2 2" xfId="17355" xr:uid="{721946BB-D6C9-499D-9468-6677DBB80393}"/>
    <cellStyle name="Entrada 14 2 3" xfId="4161" xr:uid="{4DC2FFD8-0A7E-4055-B417-F1A2461090CE}"/>
    <cellStyle name="Entrada 14 2 3 2" xfId="17356" xr:uid="{3812DDED-7C7E-4627-BB6E-D49670CDE11A}"/>
    <cellStyle name="Entrada 14 2 4" xfId="4162" xr:uid="{DE125766-C72F-41AF-8A96-C39804EC09A0}"/>
    <cellStyle name="Entrada 14 2 4 2" xfId="17357" xr:uid="{1B91A27A-6A04-43F4-991E-DA24E8607187}"/>
    <cellStyle name="Entrada 14 2 5" xfId="4163" xr:uid="{45507811-AAE2-4543-9B4A-36F07B1073B4}"/>
    <cellStyle name="Entrada 14 2 5 2" xfId="17358" xr:uid="{96F45185-FC3B-4B4B-A5D1-56043D4D5BEF}"/>
    <cellStyle name="Entrada 14 2 6" xfId="17354" xr:uid="{5C2F4B44-5E58-4EAC-9A2C-AC67D33E1727}"/>
    <cellStyle name="Entrada 14 3" xfId="4164" xr:uid="{35AE18AF-22AB-48CA-AD58-382A4384F6A1}"/>
    <cellStyle name="Entrada 14 3 2" xfId="17359" xr:uid="{4A160E5F-9BC9-4969-9E26-CC9069AFEB37}"/>
    <cellStyle name="Entrada 14 4" xfId="4165" xr:uid="{6A8AAA23-10E7-4729-9783-F9D8CE0D5D2F}"/>
    <cellStyle name="Entrada 14 4 2" xfId="17360" xr:uid="{9A304106-5AA8-4D3D-A028-102FA15843F0}"/>
    <cellStyle name="Entrada 14 5" xfId="4166" xr:uid="{53CC586F-9E1F-4E4F-AA18-4B1DF6105A72}"/>
    <cellStyle name="Entrada 14 5 2" xfId="17361" xr:uid="{6B2F2504-7CB5-43F0-89C8-6045FA144C24}"/>
    <cellStyle name="Entrada 14 6" xfId="4167" xr:uid="{FFFE21C8-1033-43EE-88C7-765A51D7BB6E}"/>
    <cellStyle name="Entrada 14 6 2" xfId="17362" xr:uid="{240667C9-9045-4F41-BD8C-70BC82C06F9B}"/>
    <cellStyle name="Entrada 14 7" xfId="17353" xr:uid="{E3580E93-AC33-4596-AA9A-5F37EC13ACC9}"/>
    <cellStyle name="Entrada 15" xfId="4168" xr:uid="{6D0A8569-3FB7-40F5-8252-1914F6284C35}"/>
    <cellStyle name="Entrada 15 2" xfId="4169" xr:uid="{B616762D-8120-44B5-B1A8-3FF3A6CA8BF1}"/>
    <cellStyle name="Entrada 15 2 2" xfId="4170" xr:uid="{9562F392-AF4E-4EC4-BB91-AA05C93D129D}"/>
    <cellStyle name="Entrada 15 2 2 2" xfId="17365" xr:uid="{51865E26-C53E-4363-A720-CB4C13ECFB6E}"/>
    <cellStyle name="Entrada 15 2 3" xfId="4171" xr:uid="{EEFB2AC4-B2EA-4AD1-A315-B776ED97B9A6}"/>
    <cellStyle name="Entrada 15 2 3 2" xfId="17366" xr:uid="{59E1241B-31F4-41A2-B1B9-C7DFC0F21C95}"/>
    <cellStyle name="Entrada 15 2 4" xfId="4172" xr:uid="{A5EFEB96-2C05-4A2C-8CB5-7DD3BBEA968F}"/>
    <cellStyle name="Entrada 15 2 4 2" xfId="17367" xr:uid="{A772A233-9EFB-45C8-9AFA-0C446FC03D82}"/>
    <cellStyle name="Entrada 15 2 5" xfId="4173" xr:uid="{E6143429-CB60-4679-BD88-93BD6D87D736}"/>
    <cellStyle name="Entrada 15 2 5 2" xfId="17368" xr:uid="{D35E5954-787B-492C-B33A-E2DABD786084}"/>
    <cellStyle name="Entrada 15 2 6" xfId="17364" xr:uid="{B0FE96C6-44A5-4B38-BEDD-2148F1C6A6EE}"/>
    <cellStyle name="Entrada 15 3" xfId="4174" xr:uid="{0921F64F-A73C-4D70-9916-E60BE8840034}"/>
    <cellStyle name="Entrada 15 3 2" xfId="17369" xr:uid="{21442F36-7E16-4CAD-83CC-B396B5EE5C6E}"/>
    <cellStyle name="Entrada 15 4" xfId="4175" xr:uid="{AF5E5538-AD50-439C-B538-DBD4B9E77E5E}"/>
    <cellStyle name="Entrada 15 4 2" xfId="17370" xr:uid="{2D817279-2F47-4072-BB97-577376DA5F34}"/>
    <cellStyle name="Entrada 15 5" xfId="4176" xr:uid="{DA14BF0F-88C0-4660-861C-F15E9CCE4F41}"/>
    <cellStyle name="Entrada 15 5 2" xfId="17371" xr:uid="{81561CCD-F644-4F6A-B2CA-A4D62BD77B81}"/>
    <cellStyle name="Entrada 15 6" xfId="4177" xr:uid="{522400DA-0175-43A7-A786-7344575C5DE0}"/>
    <cellStyle name="Entrada 15 6 2" xfId="17372" xr:uid="{7D7ECB8D-BC18-4BBD-BB48-5755192FFA44}"/>
    <cellStyle name="Entrada 15 7" xfId="17363" xr:uid="{3B6BB3DF-D8CD-4F89-BA1B-2F4F6499434A}"/>
    <cellStyle name="Entrada 16" xfId="4178" xr:uid="{50BA87EA-B994-40D4-892E-B3F1007B79B3}"/>
    <cellStyle name="Entrada 16 2" xfId="4179" xr:uid="{6CFD6629-203D-491D-8D9C-B47A7EC67737}"/>
    <cellStyle name="Entrada 16 2 2" xfId="4180" xr:uid="{61D72A68-18FE-45AD-9322-4CD4A9D10ECE}"/>
    <cellStyle name="Entrada 16 2 2 2" xfId="17375" xr:uid="{117CAB8D-7AE8-4900-8037-F2EF2675A8B0}"/>
    <cellStyle name="Entrada 16 2 3" xfId="4181" xr:uid="{DCD077FB-8488-46DA-81AF-60AE01D2201A}"/>
    <cellStyle name="Entrada 16 2 3 2" xfId="17376" xr:uid="{7663FB6D-BE45-47C0-A07D-63771B1DE2ED}"/>
    <cellStyle name="Entrada 16 2 4" xfId="4182" xr:uid="{CAAC3A16-C2B1-488F-B146-91F094308C27}"/>
    <cellStyle name="Entrada 16 2 4 2" xfId="17377" xr:uid="{E4790AC4-9F3D-4E3E-AD4D-474775FD68C3}"/>
    <cellStyle name="Entrada 16 2 5" xfId="4183" xr:uid="{DDD47153-D598-4167-B49D-CEB329D79EDF}"/>
    <cellStyle name="Entrada 16 2 5 2" xfId="17378" xr:uid="{F735BEAC-1990-4922-916D-8CBDF4A50DCD}"/>
    <cellStyle name="Entrada 16 2 6" xfId="17374" xr:uid="{7A0F1D16-C563-456B-BE00-AA91EE48996A}"/>
    <cellStyle name="Entrada 16 3" xfId="4184" xr:uid="{A63C86BA-1A87-48D5-A712-78F192D3CAEB}"/>
    <cellStyle name="Entrada 16 3 2" xfId="17379" xr:uid="{3167486A-2FB7-4544-8A1C-8E6FD09A5C87}"/>
    <cellStyle name="Entrada 16 4" xfId="4185" xr:uid="{338FE242-2B6E-428A-B9F1-7E0C880A411D}"/>
    <cellStyle name="Entrada 16 4 2" xfId="17380" xr:uid="{29486B82-2BCA-41F6-B6AF-60C4F0443998}"/>
    <cellStyle name="Entrada 16 5" xfId="4186" xr:uid="{126103EE-2B3B-462B-8326-BE3727E48C33}"/>
    <cellStyle name="Entrada 16 5 2" xfId="17381" xr:uid="{B722C36F-CB3C-40BA-BE1C-F0EF5A027F6B}"/>
    <cellStyle name="Entrada 16 6" xfId="4187" xr:uid="{80D23217-FB20-4067-AA14-6F20F8EBE153}"/>
    <cellStyle name="Entrada 16 6 2" xfId="17382" xr:uid="{CAB3070D-DE00-4CA9-8553-A45C62378FB6}"/>
    <cellStyle name="Entrada 16 7" xfId="17373" xr:uid="{CCF5D4F8-3BF6-44F5-8D05-0F2C41F28FBF}"/>
    <cellStyle name="Entrada 17" xfId="4188" xr:uid="{75B9D2E2-4C6C-4B09-8558-12FF3BA57752}"/>
    <cellStyle name="Entrada 17 2" xfId="4189" xr:uid="{58D6304B-AB6D-4AD1-810E-E9CA077B3172}"/>
    <cellStyle name="Entrada 17 2 2" xfId="4190" xr:uid="{18C4B489-077E-478C-8753-C578AE72623A}"/>
    <cellStyle name="Entrada 17 2 2 2" xfId="17385" xr:uid="{DF6288D4-B34D-4CA5-8F3A-7EB92898E933}"/>
    <cellStyle name="Entrada 17 2 3" xfId="4191" xr:uid="{28F9FE8C-7CD5-4CC7-9F8F-DBF77CEE19B3}"/>
    <cellStyle name="Entrada 17 2 3 2" xfId="17386" xr:uid="{83677D5E-64BA-463E-A335-E3A3486C6D79}"/>
    <cellStyle name="Entrada 17 2 4" xfId="4192" xr:uid="{7C30DED5-34B7-42A4-A515-B7E786C7DE89}"/>
    <cellStyle name="Entrada 17 2 4 2" xfId="17387" xr:uid="{9D84F442-F949-41A9-BA8C-A7FE0481C9F6}"/>
    <cellStyle name="Entrada 17 2 5" xfId="4193" xr:uid="{B9C683C7-CE69-4F39-BD91-5C0A473BA1A4}"/>
    <cellStyle name="Entrada 17 2 5 2" xfId="17388" xr:uid="{705B3045-4C62-4917-B34D-77AA97427523}"/>
    <cellStyle name="Entrada 17 2 6" xfId="17384" xr:uid="{B96965E8-BFF9-4385-9045-E459D16F5883}"/>
    <cellStyle name="Entrada 17 3" xfId="4194" xr:uid="{C4E500B9-71D9-49F6-9D9B-F92792BEC512}"/>
    <cellStyle name="Entrada 17 3 2" xfId="17389" xr:uid="{CAB6F236-8028-4232-88FC-D1D57877FEF8}"/>
    <cellStyle name="Entrada 17 4" xfId="4195" xr:uid="{3F163BA7-39BF-453B-873A-19D11458EC28}"/>
    <cellStyle name="Entrada 17 4 2" xfId="17390" xr:uid="{A8537DE5-34EA-4979-8BCA-F185153AFC87}"/>
    <cellStyle name="Entrada 17 5" xfId="4196" xr:uid="{B2D8F9EA-1D18-49BA-B099-C1FCB691AB81}"/>
    <cellStyle name="Entrada 17 5 2" xfId="17391" xr:uid="{CA350043-562F-4F3E-97C8-E724B4F9458F}"/>
    <cellStyle name="Entrada 17 6" xfId="4197" xr:uid="{721CD49F-9674-4307-80ED-6ECC14D9E7CF}"/>
    <cellStyle name="Entrada 17 6 2" xfId="17392" xr:uid="{A99A5068-B96A-45BA-9A71-CBCB9B3697F4}"/>
    <cellStyle name="Entrada 17 7" xfId="17383" xr:uid="{D7548C4A-A050-4671-8CEC-5E2ED91E02B0}"/>
    <cellStyle name="Entrada 18" xfId="4198" xr:uid="{F41B7F15-30F4-4118-907A-31425E97E130}"/>
    <cellStyle name="Entrada 18 2" xfId="4199" xr:uid="{385EE49C-DF7F-4D7C-B609-D93DC35A90E4}"/>
    <cellStyle name="Entrada 18 2 2" xfId="4200" xr:uid="{401DB69A-9C80-4559-B182-86AF697B374E}"/>
    <cellStyle name="Entrada 18 2 2 2" xfId="17395" xr:uid="{E07E3AC0-5CA5-4FE1-8940-E75FA1CD2865}"/>
    <cellStyle name="Entrada 18 2 3" xfId="4201" xr:uid="{E9B085D9-85F2-4E64-9D23-FB6D20FCBE0A}"/>
    <cellStyle name="Entrada 18 2 3 2" xfId="17396" xr:uid="{6367C360-2AB4-4BC0-ADF3-886EC0B2E359}"/>
    <cellStyle name="Entrada 18 2 4" xfId="4202" xr:uid="{A18FC1EA-3667-4BCE-92B2-033B589E128E}"/>
    <cellStyle name="Entrada 18 2 4 2" xfId="17397" xr:uid="{6B20A87D-D0E2-4EB7-B756-C2EC137617CA}"/>
    <cellStyle name="Entrada 18 2 5" xfId="4203" xr:uid="{6ADC1E0C-C005-4FE8-B726-21F080BD508D}"/>
    <cellStyle name="Entrada 18 2 5 2" xfId="17398" xr:uid="{699A4079-9743-409F-A4D4-1F23AF400D14}"/>
    <cellStyle name="Entrada 18 2 6" xfId="17394" xr:uid="{4823CD4B-B5C4-4C5A-ABA6-D631636EB0F1}"/>
    <cellStyle name="Entrada 18 3" xfId="4204" xr:uid="{0D1EF8E7-FFDC-419D-86F7-AEF11E30F1B5}"/>
    <cellStyle name="Entrada 18 3 2" xfId="17399" xr:uid="{CD14B44B-0B61-4FB8-9234-06496FE3CE04}"/>
    <cellStyle name="Entrada 18 4" xfId="4205" xr:uid="{078765C7-6ED7-4696-841B-084AE8C8BAC7}"/>
    <cellStyle name="Entrada 18 4 2" xfId="17400" xr:uid="{0E8FA262-7FC3-4D7F-93E3-FFD667BB32B8}"/>
    <cellStyle name="Entrada 18 5" xfId="4206" xr:uid="{473F1C81-F85D-4C04-931D-0F71C8FF98C3}"/>
    <cellStyle name="Entrada 18 5 2" xfId="17401" xr:uid="{FD23970A-AC2E-47A7-A832-F62A4D187DFE}"/>
    <cellStyle name="Entrada 18 6" xfId="4207" xr:uid="{2856EDD6-715E-43C3-8DC2-5AC266B87B3E}"/>
    <cellStyle name="Entrada 18 6 2" xfId="17402" xr:uid="{5E687FB6-A571-44C1-A20B-C3755FEAA8ED}"/>
    <cellStyle name="Entrada 18 7" xfId="17393" xr:uid="{43806BA5-7596-431F-B962-D390ED84A0EE}"/>
    <cellStyle name="Entrada 19" xfId="4208" xr:uid="{575C540B-56B2-4D8C-BE2B-1331A3AAE12F}"/>
    <cellStyle name="Entrada 19 2" xfId="4209" xr:uid="{CED81276-96A2-42BE-8D72-E33C40C2AF37}"/>
    <cellStyle name="Entrada 19 2 2" xfId="17404" xr:uid="{00B69B08-6D5A-4FE3-9607-B56B19A6CFDF}"/>
    <cellStyle name="Entrada 19 3" xfId="4210" xr:uid="{7742E8F5-5680-4420-A554-840830277633}"/>
    <cellStyle name="Entrada 19 3 2" xfId="17405" xr:uid="{59A8EDE7-1CB8-4BCD-AF8B-E59851F827C7}"/>
    <cellStyle name="Entrada 19 4" xfId="4211" xr:uid="{256A055C-8B27-43D9-B5DC-511F30BCB9BE}"/>
    <cellStyle name="Entrada 19 4 2" xfId="17406" xr:uid="{24ED7C76-B892-4EFD-9A77-C56F4FA039D5}"/>
    <cellStyle name="Entrada 19 5" xfId="4212" xr:uid="{36D79246-F591-4A25-BF9A-BB95F28AE652}"/>
    <cellStyle name="Entrada 19 5 2" xfId="17407" xr:uid="{D68C4E16-96F2-4CC0-8BBE-2D63B0A34F6D}"/>
    <cellStyle name="Entrada 19 6" xfId="17403" xr:uid="{691EFAF0-8CB7-4F05-8357-A5EE0CFD7955}"/>
    <cellStyle name="Entrada 2" xfId="4213" xr:uid="{E80B9BC2-BF94-4FAF-BE62-79557EEB9449}"/>
    <cellStyle name="Entrada 2 2" xfId="4214" xr:uid="{03FFAFE2-29BD-48E0-82BC-593F416119A7}"/>
    <cellStyle name="Entrada 2 2 2" xfId="4215" xr:uid="{C6C6C40A-EAA0-4DEC-974B-DCA4FDB4C54D}"/>
    <cellStyle name="Entrada 2 2 2 2" xfId="17410" xr:uid="{CAF64C24-BFAB-406C-A1FC-7A915E42CAD8}"/>
    <cellStyle name="Entrada 2 2 3" xfId="4216" xr:uid="{49224F38-EC74-4882-B777-AAB76EF58415}"/>
    <cellStyle name="Entrada 2 2 3 2" xfId="17411" xr:uid="{A1025C8F-554D-4681-A28B-2EABD367383C}"/>
    <cellStyle name="Entrada 2 2 4" xfId="4217" xr:uid="{5ACF3D3D-C12D-440C-8EA3-E3BF03970949}"/>
    <cellStyle name="Entrada 2 2 4 2" xfId="17412" xr:uid="{5C954B5D-636A-44D7-9E93-A13C952B688F}"/>
    <cellStyle name="Entrada 2 2 5" xfId="4218" xr:uid="{04A277F4-31AF-40CA-8FD5-B020D0C31FAB}"/>
    <cellStyle name="Entrada 2 2 5 2" xfId="17413" xr:uid="{05620BFA-51B0-4153-8E56-5A2FC57951EC}"/>
    <cellStyle name="Entrada 2 2 6" xfId="17409" xr:uid="{2B0E6DC3-D91F-4B2B-BA27-D5A095337BF7}"/>
    <cellStyle name="Entrada 2 3" xfId="4219" xr:uid="{6F0488E0-3A87-4E7D-8105-A2A8B2A3E3A1}"/>
    <cellStyle name="Entrada 2 3 2" xfId="17414" xr:uid="{8319D0DC-4DFD-4164-8876-30B728F29AD4}"/>
    <cellStyle name="Entrada 2 4" xfId="4220" xr:uid="{3A4A2D61-0439-4D9F-8754-B96F1CEC944E}"/>
    <cellStyle name="Entrada 2 4 2" xfId="17415" xr:uid="{CDC367D7-B977-4FFE-97C1-D8C60DBCCADF}"/>
    <cellStyle name="Entrada 2 5" xfId="4221" xr:uid="{1330062D-E09D-4B4F-ABF8-DC0E585FB52A}"/>
    <cellStyle name="Entrada 2 5 2" xfId="17416" xr:uid="{E5422BA5-2BC3-4A66-B644-9267D1FD1077}"/>
    <cellStyle name="Entrada 2 6" xfId="4222" xr:uid="{3EE9A768-D4FA-418C-AF06-DFDF0B5BA51C}"/>
    <cellStyle name="Entrada 2 6 2" xfId="17417" xr:uid="{A9D17E4F-F294-43A0-9CEB-BE6F91CCC176}"/>
    <cellStyle name="Entrada 2 7" xfId="17408" xr:uid="{C326C024-F9AA-4B81-B039-4682338E41AC}"/>
    <cellStyle name="Entrada 20" xfId="4223" xr:uid="{5E90AE87-E223-40D6-AA1E-D8C6160C5A26}"/>
    <cellStyle name="Entrada 20 2" xfId="17418" xr:uid="{31052141-54C2-4094-BA59-09A81DE39BC9}"/>
    <cellStyle name="Entrada 21" xfId="4224" xr:uid="{8EA2215B-139A-4259-A7D3-E0AE6526CE9A}"/>
    <cellStyle name="Entrada 21 2" xfId="17419" xr:uid="{71CDE997-0DC4-4C73-AD61-8C3AE9D5A599}"/>
    <cellStyle name="Entrada 22" xfId="4225" xr:uid="{50AD355E-9130-459B-8AA3-6FCAFE583963}"/>
    <cellStyle name="Entrada 22 2" xfId="17420" xr:uid="{165A80E8-0455-40A9-B5DF-2A96127F56A6}"/>
    <cellStyle name="Entrada 23" xfId="4226" xr:uid="{EF161514-F750-41E8-828B-636B14C7BB63}"/>
    <cellStyle name="Entrada 23 2" xfId="17421" xr:uid="{1201B9D5-88DC-4BAB-91DF-3266B7FF1F9E}"/>
    <cellStyle name="Entrada 24" xfId="14965" xr:uid="{EE428938-5A50-4228-A20A-0362E17D01A1}"/>
    <cellStyle name="Entrada 3" xfId="4227" xr:uid="{36F2D3BB-E316-4BED-A596-BD5CE1776CA0}"/>
    <cellStyle name="Entrada 3 2" xfId="4228" xr:uid="{A76EB65F-D0EB-45CB-90CE-FBB35E6DB572}"/>
    <cellStyle name="Entrada 3 2 2" xfId="4229" xr:uid="{B26BDF3E-25EE-4347-9BAC-F2EFE9A6ED2E}"/>
    <cellStyle name="Entrada 3 2 2 2" xfId="17424" xr:uid="{1B6D15FC-D799-4670-AF26-8C5E83B34C76}"/>
    <cellStyle name="Entrada 3 2 3" xfId="4230" xr:uid="{197309D3-F85E-42F7-856A-2CE6BD49830F}"/>
    <cellStyle name="Entrada 3 2 3 2" xfId="17425" xr:uid="{5385D26F-FAB2-4E54-9C64-12E29AE5FD08}"/>
    <cellStyle name="Entrada 3 2 4" xfId="4231" xr:uid="{77D84A47-6C2D-45A9-A42A-A8704C8B16C4}"/>
    <cellStyle name="Entrada 3 2 4 2" xfId="17426" xr:uid="{749F4670-BA87-4BD1-9A3C-C4B8353DF1F1}"/>
    <cellStyle name="Entrada 3 2 5" xfId="4232" xr:uid="{502DC36A-68DD-41CC-B8FC-D896AD85086F}"/>
    <cellStyle name="Entrada 3 2 5 2" xfId="17427" xr:uid="{91C3BC24-32CF-4BCA-8E99-67375664C17A}"/>
    <cellStyle name="Entrada 3 2 6" xfId="17423" xr:uid="{613901D8-F059-44DB-8070-2577E126F996}"/>
    <cellStyle name="Entrada 3 3" xfId="4233" xr:uid="{46F131C8-692D-46DC-9BE9-942B56527204}"/>
    <cellStyle name="Entrada 3 3 2" xfId="17428" xr:uid="{29F3DC96-28DF-438B-9A6C-585FF0263A11}"/>
    <cellStyle name="Entrada 3 4" xfId="4234" xr:uid="{1AAA70A8-FFC0-45D4-A17F-615AD7865F36}"/>
    <cellStyle name="Entrada 3 4 2" xfId="17429" xr:uid="{1AFE4D68-7E50-4027-9A54-6E8B2C80F1A8}"/>
    <cellStyle name="Entrada 3 5" xfId="4235" xr:uid="{F3C463FC-C7BE-40DD-931E-62CC593C6511}"/>
    <cellStyle name="Entrada 3 5 2" xfId="17430" xr:uid="{B34CA883-736F-4504-B0C6-EB3DBE1A2280}"/>
    <cellStyle name="Entrada 3 6" xfId="4236" xr:uid="{B8B63F4E-BA71-4CCE-ABE1-23C37D630753}"/>
    <cellStyle name="Entrada 3 6 2" xfId="17431" xr:uid="{638B9888-CD17-4573-92A3-A2E85AD39752}"/>
    <cellStyle name="Entrada 3 7" xfId="17422" xr:uid="{18B0E110-16D9-47B2-B6D0-E83976A82461}"/>
    <cellStyle name="Entrada 4" xfId="4237" xr:uid="{E182E06C-1719-432C-90BC-6218E263AE1A}"/>
    <cellStyle name="Entrada 4 2" xfId="4238" xr:uid="{F0E8303F-6D4F-40FE-A336-147B5529AC3D}"/>
    <cellStyle name="Entrada 4 2 2" xfId="4239" xr:uid="{6A57CC78-8A82-48D6-949B-D1815EF02DB4}"/>
    <cellStyle name="Entrada 4 2 2 2" xfId="17434" xr:uid="{88CA5F49-79AC-4C49-9720-C18DE35003FF}"/>
    <cellStyle name="Entrada 4 2 3" xfId="4240" xr:uid="{00B66417-977A-467B-B4DC-C49B138BB06C}"/>
    <cellStyle name="Entrada 4 2 3 2" xfId="17435" xr:uid="{B5B6C574-C7EF-4B6F-B51D-7107A41CF950}"/>
    <cellStyle name="Entrada 4 2 4" xfId="4241" xr:uid="{779DAE83-6A2F-4C78-B89F-7533A035169E}"/>
    <cellStyle name="Entrada 4 2 4 2" xfId="17436" xr:uid="{E0F7BC4F-9015-49A4-9F26-913032817CF4}"/>
    <cellStyle name="Entrada 4 2 5" xfId="4242" xr:uid="{F9295044-B9A7-430A-8B3F-AA55BB849EC9}"/>
    <cellStyle name="Entrada 4 2 5 2" xfId="17437" xr:uid="{3B769235-03D7-4DC5-956F-E880F85382A8}"/>
    <cellStyle name="Entrada 4 2 6" xfId="17433" xr:uid="{667DA5F9-D9E0-428A-B8E1-6CC214EB82B8}"/>
    <cellStyle name="Entrada 4 3" xfId="4243" xr:uid="{1E3588BA-D2CC-4AF9-B347-B1CBEB28372E}"/>
    <cellStyle name="Entrada 4 3 2" xfId="17438" xr:uid="{20573421-4CB0-4C79-8BE9-333AF5777658}"/>
    <cellStyle name="Entrada 4 4" xfId="4244" xr:uid="{E9BDAA50-475A-46DE-9CCB-F01FD0C079CB}"/>
    <cellStyle name="Entrada 4 4 2" xfId="17439" xr:uid="{AEBB25BC-CF5F-492D-9E69-41563BE6734D}"/>
    <cellStyle name="Entrada 4 5" xfId="4245" xr:uid="{AD49EAAF-9415-4421-AA11-1216CE48B3D1}"/>
    <cellStyle name="Entrada 4 5 2" xfId="17440" xr:uid="{4C50482B-63DB-4C6A-8B3A-51C34DB747AB}"/>
    <cellStyle name="Entrada 4 6" xfId="4246" xr:uid="{107E6E7A-0A72-4D85-82D4-E37B47C67DF2}"/>
    <cellStyle name="Entrada 4 6 2" xfId="17441" xr:uid="{22E52E32-C7D7-4418-9AD5-02BF088ED9BE}"/>
    <cellStyle name="Entrada 4 7" xfId="17432" xr:uid="{C7C28FBF-BC36-465A-A451-5BD4F02BF1F9}"/>
    <cellStyle name="Entrada 5" xfId="4247" xr:uid="{74F28E51-7BE0-4CD0-A61A-625371C611FF}"/>
    <cellStyle name="Entrada 5 2" xfId="4248" xr:uid="{D8088C00-6C91-4500-91E4-B2D5BB32BCA0}"/>
    <cellStyle name="Entrada 5 2 2" xfId="4249" xr:uid="{138D0CB9-488E-4258-9D07-87ABA3B65F3F}"/>
    <cellStyle name="Entrada 5 2 2 2" xfId="17444" xr:uid="{308769E9-EA7C-49EE-81B8-65C247138AA4}"/>
    <cellStyle name="Entrada 5 2 3" xfId="4250" xr:uid="{02500348-6348-4FE2-B027-4B0389E10C09}"/>
    <cellStyle name="Entrada 5 2 3 2" xfId="17445" xr:uid="{D8809C27-F01C-4550-9D29-DD6DA2A337EF}"/>
    <cellStyle name="Entrada 5 2 4" xfId="4251" xr:uid="{3FB00D73-1497-4F69-8EE9-679B7784EFBB}"/>
    <cellStyle name="Entrada 5 2 4 2" xfId="17446" xr:uid="{79B3958A-19D3-448A-8151-A84FA9CB345C}"/>
    <cellStyle name="Entrada 5 2 5" xfId="4252" xr:uid="{1EFECB50-E1B7-440A-A05F-062F810366D2}"/>
    <cellStyle name="Entrada 5 2 5 2" xfId="17447" xr:uid="{24F5F72D-0740-4272-BB27-CD41985E1E1A}"/>
    <cellStyle name="Entrada 5 2 6" xfId="17443" xr:uid="{F19762D9-174E-42D1-984F-806010D6BB39}"/>
    <cellStyle name="Entrada 5 3" xfId="4253" xr:uid="{8EC612BD-8328-4DDC-BAE0-57B1D22E171B}"/>
    <cellStyle name="Entrada 5 3 2" xfId="17448" xr:uid="{50885EDD-0C0F-4021-A117-C5914B2E3FCC}"/>
    <cellStyle name="Entrada 5 4" xfId="4254" xr:uid="{687C2625-E1A2-4896-BB90-1F2AE674B841}"/>
    <cellStyle name="Entrada 5 4 2" xfId="17449" xr:uid="{D6308898-518D-44DE-825D-9508BC4BEADB}"/>
    <cellStyle name="Entrada 5 5" xfId="4255" xr:uid="{68BDED80-FA98-49C3-B812-F9C819312761}"/>
    <cellStyle name="Entrada 5 5 2" xfId="17450" xr:uid="{7FF515D7-168D-48E5-9A98-612F754116CF}"/>
    <cellStyle name="Entrada 5 6" xfId="4256" xr:uid="{0753D261-483A-4132-9673-3E6A5809BF1F}"/>
    <cellStyle name="Entrada 5 6 2" xfId="17451" xr:uid="{6884D9F4-064E-49B0-B80D-F02C003F562C}"/>
    <cellStyle name="Entrada 5 7" xfId="17442" xr:uid="{626B652B-8EEA-48EF-88E4-33AF6A9A3FD7}"/>
    <cellStyle name="Entrada 6" xfId="4257" xr:uid="{292755DE-B763-4459-BE57-7B731BD7DF34}"/>
    <cellStyle name="Entrada 6 2" xfId="4258" xr:uid="{209D2B63-634E-4EE7-809F-B440FA90EF70}"/>
    <cellStyle name="Entrada 6 2 2" xfId="4259" xr:uid="{C78844FE-A3C9-40D6-A4C2-E557E0E415BC}"/>
    <cellStyle name="Entrada 6 2 2 2" xfId="17454" xr:uid="{5C632AE0-DA30-45A0-B954-466DC8C4FDDC}"/>
    <cellStyle name="Entrada 6 2 3" xfId="4260" xr:uid="{DFC99BC8-B42F-40C0-A09A-5089C6590BDD}"/>
    <cellStyle name="Entrada 6 2 3 2" xfId="17455" xr:uid="{3A90AAE5-8D21-469B-AF5B-3C553AFB5C84}"/>
    <cellStyle name="Entrada 6 2 4" xfId="4261" xr:uid="{1404855D-0C0F-4EE2-A34B-F37F014ED8A0}"/>
    <cellStyle name="Entrada 6 2 4 2" xfId="17456" xr:uid="{EB8612EC-2397-4948-9E02-080C73AA0915}"/>
    <cellStyle name="Entrada 6 2 5" xfId="4262" xr:uid="{E38FA5A0-7C3A-439F-B52B-5D8A051E78FD}"/>
    <cellStyle name="Entrada 6 2 5 2" xfId="17457" xr:uid="{C360179B-E0A1-41B2-900F-8A9E9384F412}"/>
    <cellStyle name="Entrada 6 2 6" xfId="17453" xr:uid="{8ABEE23D-6C4C-4D22-9942-FBE1309976E2}"/>
    <cellStyle name="Entrada 6 3" xfId="4263" xr:uid="{F9FA585A-ACE6-40B8-89B2-E1D37BB1E99B}"/>
    <cellStyle name="Entrada 6 3 2" xfId="17458" xr:uid="{01C38516-120C-474E-A724-DF3D0BC958D2}"/>
    <cellStyle name="Entrada 6 4" xfId="4264" xr:uid="{69F132AD-BD21-44EB-B528-2DF936784873}"/>
    <cellStyle name="Entrada 6 4 2" xfId="17459" xr:uid="{AA5BC953-10F8-46D6-B431-53F9726418D3}"/>
    <cellStyle name="Entrada 6 5" xfId="4265" xr:uid="{060F5126-EDF8-4498-983B-4CC09592FA50}"/>
    <cellStyle name="Entrada 6 5 2" xfId="17460" xr:uid="{FAA8B8C8-2F0D-4A85-9370-F7A8622354BA}"/>
    <cellStyle name="Entrada 6 6" xfId="4266" xr:uid="{632ADA20-122F-4369-AB12-5F1D3D1A5282}"/>
    <cellStyle name="Entrada 6 6 2" xfId="17461" xr:uid="{1FEEF57D-12EE-4965-9B62-0599FCE2EC0E}"/>
    <cellStyle name="Entrada 6 7" xfId="17452" xr:uid="{4B561C24-716C-409F-B260-EE5621406A44}"/>
    <cellStyle name="Entrada 7" xfId="4267" xr:uid="{EE757696-56A0-432F-BA4A-7F29D247156F}"/>
    <cellStyle name="Entrada 7 2" xfId="4268" xr:uid="{902E825E-96D2-4D99-B7F7-2ACEE1CF8B9C}"/>
    <cellStyle name="Entrada 7 2 2" xfId="4269" xr:uid="{C17728DF-EDA6-41A2-BB96-3DECB95EA6EF}"/>
    <cellStyle name="Entrada 7 2 2 2" xfId="17464" xr:uid="{A9905887-5922-4AC2-BB6E-9F0C211E8888}"/>
    <cellStyle name="Entrada 7 2 3" xfId="4270" xr:uid="{1FFA32AC-41F7-4884-A074-6213473CC8B0}"/>
    <cellStyle name="Entrada 7 2 3 2" xfId="17465" xr:uid="{982C4761-DAE1-4DED-B884-1C9422ADFA65}"/>
    <cellStyle name="Entrada 7 2 4" xfId="4271" xr:uid="{D2F8FE73-0ABF-4366-A820-D4BA2308D357}"/>
    <cellStyle name="Entrada 7 2 4 2" xfId="17466" xr:uid="{F2FED4DC-DF1F-4A28-9D7C-B1CAF73FFD02}"/>
    <cellStyle name="Entrada 7 2 5" xfId="4272" xr:uid="{FEA99174-1FC8-4860-8DD3-BA7ABD639D86}"/>
    <cellStyle name="Entrada 7 2 5 2" xfId="17467" xr:uid="{63091FED-7850-411F-91EC-1A19611086F3}"/>
    <cellStyle name="Entrada 7 2 6" xfId="17463" xr:uid="{052045F9-4AF8-408A-83EC-54F7E982C1FF}"/>
    <cellStyle name="Entrada 7 3" xfId="4273" xr:uid="{C8B50F5C-BBB7-4C0C-A442-C4DD16ACCA8A}"/>
    <cellStyle name="Entrada 7 3 2" xfId="17468" xr:uid="{AAAFEBA9-DBE6-4AE6-BFC8-1FE2819433AF}"/>
    <cellStyle name="Entrada 7 4" xfId="4274" xr:uid="{952DD917-6BE9-4FA0-BDE9-0D963D9E1BAB}"/>
    <cellStyle name="Entrada 7 4 2" xfId="17469" xr:uid="{58586C9F-96AE-4536-ABCB-414C3936DDC1}"/>
    <cellStyle name="Entrada 7 5" xfId="4275" xr:uid="{2EC91867-2D70-4C3B-84D8-A863253D356F}"/>
    <cellStyle name="Entrada 7 5 2" xfId="17470" xr:uid="{FF374F57-1C3A-4FF4-AD8E-EEDD7D8F0E1A}"/>
    <cellStyle name="Entrada 7 6" xfId="4276" xr:uid="{165AD0D8-8125-4FF6-AF92-482B35E02500}"/>
    <cellStyle name="Entrada 7 6 2" xfId="17471" xr:uid="{567B6499-B2F1-4F8E-B303-1187C9215B8F}"/>
    <cellStyle name="Entrada 7 7" xfId="17462" xr:uid="{15C24097-0698-4BA3-9BE1-F92146E921A3}"/>
    <cellStyle name="Entrada 8" xfId="4277" xr:uid="{CAFF404B-9048-4C94-8A6E-6FC1384CA203}"/>
    <cellStyle name="Entrada 8 2" xfId="4278" xr:uid="{CA484386-104B-42B0-ABB0-BA3A616D37EE}"/>
    <cellStyle name="Entrada 8 2 2" xfId="4279" xr:uid="{43CC8128-A8C4-444A-B9A6-E4AF2C5CBF84}"/>
    <cellStyle name="Entrada 8 2 2 2" xfId="17474" xr:uid="{8259AA28-A492-43C1-887F-601CB54246B9}"/>
    <cellStyle name="Entrada 8 2 3" xfId="4280" xr:uid="{0F61FF2C-7934-4393-B90D-C0897FA3C322}"/>
    <cellStyle name="Entrada 8 2 3 2" xfId="17475" xr:uid="{A399AAD2-CE73-445A-84B2-A23BDC09306E}"/>
    <cellStyle name="Entrada 8 2 4" xfId="4281" xr:uid="{DB52751F-6B0E-44D6-B634-7ED372F47F50}"/>
    <cellStyle name="Entrada 8 2 4 2" xfId="17476" xr:uid="{3D4DAD95-58E5-47E7-9BF6-868D951056EB}"/>
    <cellStyle name="Entrada 8 2 5" xfId="4282" xr:uid="{674A0702-0F5A-4DC8-AA47-C664ADAF55DB}"/>
    <cellStyle name="Entrada 8 2 5 2" xfId="17477" xr:uid="{8B7B7B7C-5C0C-4D59-94B5-85C248E9D902}"/>
    <cellStyle name="Entrada 8 2 6" xfId="17473" xr:uid="{2FAA5344-26DE-4856-858D-1FD08386B2B9}"/>
    <cellStyle name="Entrada 8 3" xfId="4283" xr:uid="{1E882B1C-EB45-4DAD-B464-3339182BCFB6}"/>
    <cellStyle name="Entrada 8 3 2" xfId="17478" xr:uid="{5C4CDBC5-923A-4653-8570-1F8F0FF615C1}"/>
    <cellStyle name="Entrada 8 4" xfId="4284" xr:uid="{D8447136-C6DD-4100-B219-4DA11003AC5E}"/>
    <cellStyle name="Entrada 8 4 2" xfId="17479" xr:uid="{A6D7CF9F-AF97-48BB-9E07-9B0A19E3D61B}"/>
    <cellStyle name="Entrada 8 5" xfId="4285" xr:uid="{5F1DE16F-A2F9-471E-A471-9FAF31145F9E}"/>
    <cellStyle name="Entrada 8 5 2" xfId="17480" xr:uid="{FF2EB8A5-1FA1-4EE3-B248-9DDDC2CB30B0}"/>
    <cellStyle name="Entrada 8 6" xfId="4286" xr:uid="{D4831012-A74D-4CAE-86FA-FB6DE0DB73C5}"/>
    <cellStyle name="Entrada 8 6 2" xfId="17481" xr:uid="{D3BA8C71-2EAC-4901-9015-5AAE5FAD0751}"/>
    <cellStyle name="Entrada 8 7" xfId="17472" xr:uid="{0F51A06E-902A-4082-A519-848F1733D243}"/>
    <cellStyle name="Entrada 9" xfId="4287" xr:uid="{6946F610-9D60-47FC-AAFD-6785B74271BA}"/>
    <cellStyle name="Entrada 9 2" xfId="4288" xr:uid="{0DBD02AB-7A0C-498B-A8D8-60E6D8F1BBD2}"/>
    <cellStyle name="Entrada 9 2 2" xfId="4289" xr:uid="{E0E4E9B7-E926-4913-8D6D-2109EE727C30}"/>
    <cellStyle name="Entrada 9 2 2 2" xfId="17484" xr:uid="{4F50609D-C933-4E99-A9ED-4E1D9932B33C}"/>
    <cellStyle name="Entrada 9 2 3" xfId="4290" xr:uid="{CA38CA74-86B2-4199-B8A5-B002985985E5}"/>
    <cellStyle name="Entrada 9 2 3 2" xfId="17485" xr:uid="{AB4107CD-AF8A-434D-99D0-5A8EB3004CD3}"/>
    <cellStyle name="Entrada 9 2 4" xfId="4291" xr:uid="{B6020400-61D4-4C98-B4AA-8A3A4C9AECBC}"/>
    <cellStyle name="Entrada 9 2 4 2" xfId="17486" xr:uid="{500C1094-AFA2-412C-B5C0-666CBA6A7178}"/>
    <cellStyle name="Entrada 9 2 5" xfId="4292" xr:uid="{16B101DF-3823-48B0-95C2-76C68A20FC16}"/>
    <cellStyle name="Entrada 9 2 5 2" xfId="17487" xr:uid="{0CFE1F2E-97C8-486B-A43D-0F4CD751DF3D}"/>
    <cellStyle name="Entrada 9 2 6" xfId="17483" xr:uid="{5B26EDD9-8D65-4610-8AD7-6A14C5C22420}"/>
    <cellStyle name="Entrada 9 3" xfId="4293" xr:uid="{2D585D11-8BCD-4AA1-93A4-E34EADA76378}"/>
    <cellStyle name="Entrada 9 3 2" xfId="17488" xr:uid="{EFADE75B-767E-4FEE-9BEB-56116D55AA29}"/>
    <cellStyle name="Entrada 9 4" xfId="4294" xr:uid="{5A6F47E7-358F-4AAF-8C41-40395C6264D0}"/>
    <cellStyle name="Entrada 9 4 2" xfId="17489" xr:uid="{84EA64A6-DB6E-4C9D-8D49-AE0A636E9337}"/>
    <cellStyle name="Entrada 9 5" xfId="4295" xr:uid="{B56FBF1A-670A-48DC-B666-54CD7F7F7F69}"/>
    <cellStyle name="Entrada 9 5 2" xfId="17490" xr:uid="{34B1683F-2B4B-47F0-B60F-0E329631ECBD}"/>
    <cellStyle name="Entrada 9 6" xfId="4296" xr:uid="{1C27DBA8-6BF8-4A55-8946-0CDBF75516A6}"/>
    <cellStyle name="Entrada 9 6 2" xfId="17491" xr:uid="{9796AF28-45B9-427F-881F-F4A31D416701}"/>
    <cellStyle name="Entrada 9 7" xfId="17482" xr:uid="{568D9344-921B-4A56-9587-32FB9CA3A8DC}"/>
    <cellStyle name="Entrada_KTR An-Abflug" xfId="14897" xr:uid="{7199383E-8E2E-46B0-8378-066F296A3A73}"/>
    <cellStyle name="Entrée" xfId="14966" xr:uid="{C4BF7D89-9690-4AE5-92A1-080226B30865}"/>
    <cellStyle name="Entrée 10" xfId="4297" xr:uid="{0AB3B4CC-CB44-443E-AE7B-4531B29E2446}"/>
    <cellStyle name="Entrée 10 2" xfId="4298" xr:uid="{5D24DF6D-03E5-4B52-B693-AB87B6134B69}"/>
    <cellStyle name="Entrée 10 2 2" xfId="4299" xr:uid="{6A748EA5-3637-46D6-8361-5E7A8D75E275}"/>
    <cellStyle name="Entrée 10 2 2 2" xfId="17494" xr:uid="{1F5D68C2-CD84-44C1-B777-7F2DC90FD3C0}"/>
    <cellStyle name="Entrée 10 2 3" xfId="4300" xr:uid="{052A8D60-8191-4DEC-AAB7-D9F16884A3BB}"/>
    <cellStyle name="Entrée 10 2 3 2" xfId="17495" xr:uid="{D2A2582F-EF51-4791-B695-8784DE227A13}"/>
    <cellStyle name="Entrée 10 2 4" xfId="4301" xr:uid="{39CF43A7-41A7-474B-B99A-EB129DFC5C95}"/>
    <cellStyle name="Entrée 10 2 4 2" xfId="17496" xr:uid="{8345647C-248B-4962-BA9C-BED195CCBA80}"/>
    <cellStyle name="Entrée 10 2 5" xfId="4302" xr:uid="{442CD08F-A3F7-47A4-AE3C-B1B1F365035F}"/>
    <cellStyle name="Entrée 10 2 5 2" xfId="17497" xr:uid="{15AFCE2A-D766-437F-B513-790107FF7308}"/>
    <cellStyle name="Entrée 10 2 6" xfId="17493" xr:uid="{C249CCF3-5C60-48C5-8964-7BDF6E9547E4}"/>
    <cellStyle name="Entrée 10 3" xfId="4303" xr:uid="{DC540F86-5391-49E3-B240-670C5E28DCA5}"/>
    <cellStyle name="Entrée 10 3 2" xfId="17498" xr:uid="{C520C0F9-A16B-41E8-A9AA-6FCB28D05D44}"/>
    <cellStyle name="Entrée 10 4" xfId="4304" xr:uid="{F5E8A8CA-7050-4D36-AB63-6B455350A0A2}"/>
    <cellStyle name="Entrée 10 4 2" xfId="17499" xr:uid="{AAAA393F-6EEC-4C14-9C08-29996A187871}"/>
    <cellStyle name="Entrée 10 5" xfId="4305" xr:uid="{F4D5A8AC-2E35-419F-A592-487EF689ECAF}"/>
    <cellStyle name="Entrée 10 5 2" xfId="17500" xr:uid="{12731B77-101D-4C77-9139-BB4D996E4080}"/>
    <cellStyle name="Entrée 10 6" xfId="4306" xr:uid="{54D49513-205E-456D-846C-95EEE62D842F}"/>
    <cellStyle name="Entrée 10 6 2" xfId="17501" xr:uid="{8177830A-0045-49EE-9D26-82612A7C4A5E}"/>
    <cellStyle name="Entrée 10 7" xfId="17492" xr:uid="{437B55A4-D6C5-4794-A6E0-303766854B5E}"/>
    <cellStyle name="Entrée 11" xfId="4307" xr:uid="{48171DFB-89E3-464D-A4FF-995F66DBFF94}"/>
    <cellStyle name="Entrée 11 2" xfId="4308" xr:uid="{4D3C5C43-D956-4109-BA3E-ABCDD3E242E3}"/>
    <cellStyle name="Entrée 11 2 2" xfId="4309" xr:uid="{B7838BB7-0517-4162-A44E-036E2F361340}"/>
    <cellStyle name="Entrée 11 2 2 2" xfId="17504" xr:uid="{27F6DEC6-F61B-4E20-820C-040F75C4E5B7}"/>
    <cellStyle name="Entrée 11 2 3" xfId="4310" xr:uid="{FD7DF245-F4A3-410F-B1A9-D51B5CE61276}"/>
    <cellStyle name="Entrée 11 2 3 2" xfId="17505" xr:uid="{947365D5-F5FE-4F6B-B845-76EBC3E26C3B}"/>
    <cellStyle name="Entrée 11 2 4" xfId="4311" xr:uid="{3EEACD2B-F947-4C3E-ACB9-2667AEA8603E}"/>
    <cellStyle name="Entrée 11 2 4 2" xfId="17506" xr:uid="{C2ADA485-719F-4E50-9698-E424C2CD59B4}"/>
    <cellStyle name="Entrée 11 2 5" xfId="4312" xr:uid="{1B20F6C4-8B45-4A0E-8FC8-2CA150A913B3}"/>
    <cellStyle name="Entrée 11 2 5 2" xfId="17507" xr:uid="{07980A2D-A8BC-4EF1-AAED-C5CEECDFD668}"/>
    <cellStyle name="Entrée 11 2 6" xfId="17503" xr:uid="{089EE392-5EA0-4664-B115-32DA97E2763B}"/>
    <cellStyle name="Entrée 11 3" xfId="4313" xr:uid="{9EC664E1-D80F-4CBD-AF31-50047C69CB15}"/>
    <cellStyle name="Entrée 11 3 2" xfId="17508" xr:uid="{1BAFE475-3798-4644-A99B-09F553074257}"/>
    <cellStyle name="Entrée 11 4" xfId="4314" xr:uid="{562332EC-E11B-4B95-8CC3-8272FDCA9375}"/>
    <cellStyle name="Entrée 11 4 2" xfId="17509" xr:uid="{FB33CB3E-AE4F-4CA6-858B-F4EDA712A9BB}"/>
    <cellStyle name="Entrée 11 5" xfId="4315" xr:uid="{2D461DF2-BB43-4ABD-A0CB-7CCCA1CC3EEB}"/>
    <cellStyle name="Entrée 11 5 2" xfId="17510" xr:uid="{038A6322-9858-4D90-8FC2-B3FACFE32DAC}"/>
    <cellStyle name="Entrée 11 6" xfId="4316" xr:uid="{45B097D9-C333-4816-97DF-CC122C429E05}"/>
    <cellStyle name="Entrée 11 6 2" xfId="17511" xr:uid="{8ED3A7A3-9461-4C29-8FBB-7BDB9E6CAD8D}"/>
    <cellStyle name="Entrée 11 7" xfId="17502" xr:uid="{B8A16AEF-C807-4DF7-9225-0E9B34084BE0}"/>
    <cellStyle name="Entrée 12" xfId="4317" xr:uid="{663B7E47-A59C-4B77-9D24-5FB0617C8993}"/>
    <cellStyle name="Entrée 12 2" xfId="4318" xr:uid="{7EC14AA8-8A37-428E-AF41-3E8C5356F6A1}"/>
    <cellStyle name="Entrée 12 2 2" xfId="4319" xr:uid="{DA42F3D4-FA8D-4039-A2AD-B3388F5A3F90}"/>
    <cellStyle name="Entrée 12 2 2 2" xfId="17514" xr:uid="{E68D498C-BB7A-46BF-B3A1-B6FFE7F15398}"/>
    <cellStyle name="Entrée 12 2 3" xfId="4320" xr:uid="{AD003CC7-138D-437D-993D-A72AA73AF60A}"/>
    <cellStyle name="Entrée 12 2 3 2" xfId="17515" xr:uid="{7FF03807-13FF-452A-A537-360BD5C850DA}"/>
    <cellStyle name="Entrée 12 2 4" xfId="4321" xr:uid="{F27C94FB-CA7B-4FB3-8A30-8843BE017A67}"/>
    <cellStyle name="Entrée 12 2 4 2" xfId="17516" xr:uid="{387D4321-32AA-40F1-BD59-AD868C37496B}"/>
    <cellStyle name="Entrée 12 2 5" xfId="4322" xr:uid="{4CF5A5DE-CE7D-472C-A09F-25B7DC98BAF6}"/>
    <cellStyle name="Entrée 12 2 5 2" xfId="17517" xr:uid="{87411727-F979-4B12-9A6B-1E35F36BF862}"/>
    <cellStyle name="Entrée 12 2 6" xfId="17513" xr:uid="{4AEB17A0-1DF2-4FEF-B1B7-35C1C54C893A}"/>
    <cellStyle name="Entrée 12 3" xfId="4323" xr:uid="{9D17AE41-EE13-4190-B62E-B37EAC162DF0}"/>
    <cellStyle name="Entrée 12 3 2" xfId="17518" xr:uid="{88EED7E4-2F9B-4DFB-B12B-D5AB40C666E9}"/>
    <cellStyle name="Entrée 12 4" xfId="4324" xr:uid="{4D4033AA-8018-4FEB-B8A1-7B90666C31F4}"/>
    <cellStyle name="Entrée 12 4 2" xfId="17519" xr:uid="{FA3DE486-F0D1-4262-99DD-5EAA4BD0262B}"/>
    <cellStyle name="Entrée 12 5" xfId="4325" xr:uid="{D4C5D5AF-F33A-4FD5-9F43-B365FF0320A2}"/>
    <cellStyle name="Entrée 12 5 2" xfId="17520" xr:uid="{68A18621-95F0-4891-95AA-EC82C407A66C}"/>
    <cellStyle name="Entrée 12 6" xfId="4326" xr:uid="{A6B398EE-CB8C-4E1D-9C80-08F489B8EEBC}"/>
    <cellStyle name="Entrée 12 6 2" xfId="17521" xr:uid="{3AB55EC3-D2CF-4CDB-8892-66E1B5595DE6}"/>
    <cellStyle name="Entrée 12 7" xfId="17512" xr:uid="{2C9C41DF-2684-4D5C-88E9-307A4C1A6141}"/>
    <cellStyle name="Entrée 13" xfId="4327" xr:uid="{AC442DAE-114E-428D-971A-F84FCBFB78DC}"/>
    <cellStyle name="Entrée 13 2" xfId="4328" xr:uid="{67231418-8B00-4A8F-A0C6-C0448E17A578}"/>
    <cellStyle name="Entrée 13 2 2" xfId="4329" xr:uid="{7086F587-72FA-442A-9102-C7177C6CE958}"/>
    <cellStyle name="Entrée 13 2 2 2" xfId="17524" xr:uid="{B8089960-20B1-490E-9F24-08E0CF392547}"/>
    <cellStyle name="Entrée 13 2 3" xfId="4330" xr:uid="{FE7BE0BC-8B1F-4194-A7B4-FDEEB7C273B9}"/>
    <cellStyle name="Entrée 13 2 3 2" xfId="17525" xr:uid="{25119A80-417C-424B-8355-F7A00C5CC703}"/>
    <cellStyle name="Entrée 13 2 4" xfId="4331" xr:uid="{6855B3E0-DB46-4438-A55C-270EAEE902E4}"/>
    <cellStyle name="Entrée 13 2 4 2" xfId="17526" xr:uid="{66A906B1-2922-4042-A086-6F3D857B71C4}"/>
    <cellStyle name="Entrée 13 2 5" xfId="4332" xr:uid="{0A47944A-AEBC-448B-80C8-6FE41F3F25C6}"/>
    <cellStyle name="Entrée 13 2 5 2" xfId="17527" xr:uid="{B951EC6A-9481-4F02-A3BF-983741EDA45F}"/>
    <cellStyle name="Entrée 13 2 6" xfId="17523" xr:uid="{76B93BE1-0761-4577-9A5B-48AB85E39FDA}"/>
    <cellStyle name="Entrée 13 3" xfId="4333" xr:uid="{7DF46B44-B81C-489D-9F56-60D1E21F5A0E}"/>
    <cellStyle name="Entrée 13 3 2" xfId="17528" xr:uid="{86C543AD-6725-46F1-9DB6-59375DF5E458}"/>
    <cellStyle name="Entrée 13 4" xfId="4334" xr:uid="{5857A026-2816-4DFB-A2B2-D6CAC78FB090}"/>
    <cellStyle name="Entrée 13 4 2" xfId="17529" xr:uid="{A0DB1852-65E3-4D4D-8F00-65F4D8CE65FB}"/>
    <cellStyle name="Entrée 13 5" xfId="4335" xr:uid="{DB7B8BD5-555D-4310-8C46-8D6FCD571478}"/>
    <cellStyle name="Entrée 13 5 2" xfId="17530" xr:uid="{DAB5F535-D6D1-46D5-96F5-ED66ACB7FDB1}"/>
    <cellStyle name="Entrée 13 6" xfId="4336" xr:uid="{03E7BF0D-F230-480F-B211-A0CE6C32A7F2}"/>
    <cellStyle name="Entrée 13 6 2" xfId="17531" xr:uid="{16A5E3C3-DC57-4083-8033-3F520D4174B6}"/>
    <cellStyle name="Entrée 13 7" xfId="17522" xr:uid="{FC198D40-B357-4B1A-867D-7A9215D94B44}"/>
    <cellStyle name="Entrée 14" xfId="4337" xr:uid="{5AF4C3D1-1AE1-4600-A042-726F9DDA14A3}"/>
    <cellStyle name="Entrée 14 2" xfId="4338" xr:uid="{F3FA5312-46A5-4729-86E3-1FE0C954ACD8}"/>
    <cellStyle name="Entrée 14 2 2" xfId="4339" xr:uid="{0D7E6B12-4BF6-4970-9E05-E4431A2EBACF}"/>
    <cellStyle name="Entrée 14 2 2 2" xfId="17534" xr:uid="{629C9955-8A8D-4366-9D5F-5648963117ED}"/>
    <cellStyle name="Entrée 14 2 3" xfId="4340" xr:uid="{DD619AA8-06A1-40CF-B395-F7E94DC140DB}"/>
    <cellStyle name="Entrée 14 2 3 2" xfId="17535" xr:uid="{85DC28C2-73A5-440F-B055-A79EA1EE0CFB}"/>
    <cellStyle name="Entrée 14 2 4" xfId="4341" xr:uid="{FD7FDC0B-47CE-486B-AB19-61BEB7EE97F8}"/>
    <cellStyle name="Entrée 14 2 4 2" xfId="17536" xr:uid="{9BE0DE22-E5E0-4403-ADE8-649D16950D07}"/>
    <cellStyle name="Entrée 14 2 5" xfId="4342" xr:uid="{BE732F8D-4546-462F-8694-E4CB2CA8DBB3}"/>
    <cellStyle name="Entrée 14 2 5 2" xfId="17537" xr:uid="{2D2CF5ED-BDCF-4C21-A610-B21D4912E765}"/>
    <cellStyle name="Entrée 14 2 6" xfId="17533" xr:uid="{9A307AC1-939F-4FF0-80D6-69CCC41CEA52}"/>
    <cellStyle name="Entrée 14 3" xfId="4343" xr:uid="{33D3B553-4A8A-4DB0-BF6A-A9F9161E3301}"/>
    <cellStyle name="Entrée 14 3 2" xfId="17538" xr:uid="{7EA7ED2A-5E4A-4C5B-960A-E0696763A7DD}"/>
    <cellStyle name="Entrée 14 4" xfId="4344" xr:uid="{24A8C50D-EB9F-4948-8574-BBC96A9DF7E1}"/>
    <cellStyle name="Entrée 14 4 2" xfId="17539" xr:uid="{310E7E53-526C-4375-8916-745A8B5EF8CB}"/>
    <cellStyle name="Entrée 14 5" xfId="4345" xr:uid="{594FCC39-73CC-4D89-AB77-22A39D5078B1}"/>
    <cellStyle name="Entrée 14 5 2" xfId="17540" xr:uid="{62A002BB-A992-4151-B6DA-129A7DEF4283}"/>
    <cellStyle name="Entrée 14 6" xfId="4346" xr:uid="{F79BA1B0-6C04-4426-98C6-11DDBE866356}"/>
    <cellStyle name="Entrée 14 6 2" xfId="17541" xr:uid="{1BD80933-7EE5-49C8-B9B5-69622DEED6A9}"/>
    <cellStyle name="Entrée 14 7" xfId="17532" xr:uid="{93CE6C46-432B-42D5-AA14-0F9F3E8D80FC}"/>
    <cellStyle name="Entrée 15" xfId="4347" xr:uid="{0BFCA747-E7BE-441F-9795-18370293FA3B}"/>
    <cellStyle name="Entrée 15 2" xfId="4348" xr:uid="{0300A90F-D196-4213-8C38-3D5DF07BDE8E}"/>
    <cellStyle name="Entrée 15 2 2" xfId="4349" xr:uid="{F0834044-660C-4317-80AF-6E9D4A82B37F}"/>
    <cellStyle name="Entrée 15 2 2 2" xfId="17544" xr:uid="{625C0F17-A843-4E50-8C29-AE17B88FE8F8}"/>
    <cellStyle name="Entrée 15 2 3" xfId="4350" xr:uid="{88CA2D27-FF61-4C83-8316-5C7D678B34B4}"/>
    <cellStyle name="Entrée 15 2 3 2" xfId="17545" xr:uid="{CA5916D6-5BA9-4671-A041-C8DA07E8B818}"/>
    <cellStyle name="Entrée 15 2 4" xfId="4351" xr:uid="{A4A3029A-8351-435E-A43D-DA104CB9FE95}"/>
    <cellStyle name="Entrée 15 2 4 2" xfId="17546" xr:uid="{8A266109-5984-4F02-A9BD-EE765B2654FF}"/>
    <cellStyle name="Entrée 15 2 5" xfId="4352" xr:uid="{3F144FF2-6706-4FD4-B0B5-BD54CA4F3ED4}"/>
    <cellStyle name="Entrée 15 2 5 2" xfId="17547" xr:uid="{81DEDDC3-8FB9-49F1-9EB2-7A8D7344656D}"/>
    <cellStyle name="Entrée 15 2 6" xfId="17543" xr:uid="{79ECBFC7-4232-492B-8D97-E11FF93ED3F3}"/>
    <cellStyle name="Entrée 15 3" xfId="4353" xr:uid="{6AAD8316-A2F4-4DCF-882C-1EBA4AF6F418}"/>
    <cellStyle name="Entrée 15 3 2" xfId="17548" xr:uid="{A8719316-3FC5-49D1-BF03-03B252EF4A48}"/>
    <cellStyle name="Entrée 15 4" xfId="4354" xr:uid="{4A3C4E3B-9F6D-4E32-BC08-3D73DFF979B0}"/>
    <cellStyle name="Entrée 15 4 2" xfId="17549" xr:uid="{543ABDC4-F4C1-435F-A7EC-7F7E8B237320}"/>
    <cellStyle name="Entrée 15 5" xfId="4355" xr:uid="{CB2BC7BD-EBB9-4739-9802-38DF4FECE8D2}"/>
    <cellStyle name="Entrée 15 5 2" xfId="17550" xr:uid="{9E2E9B3D-84CE-4BFD-B973-AD57571EEB6B}"/>
    <cellStyle name="Entrée 15 6" xfId="4356" xr:uid="{98645539-E80A-499F-8B68-590513D575E5}"/>
    <cellStyle name="Entrée 15 6 2" xfId="17551" xr:uid="{88122552-4914-40A6-868D-87F36390D7ED}"/>
    <cellStyle name="Entrée 15 7" xfId="17542" xr:uid="{AB6886A2-0BB3-489E-8868-E20554686210}"/>
    <cellStyle name="Entrée 16" xfId="4357" xr:uid="{B3DA60F2-787F-4CA0-A1A9-3554BC55E25C}"/>
    <cellStyle name="Entrée 16 2" xfId="4358" xr:uid="{2ADAD838-E6EC-492C-BAE4-72136F196303}"/>
    <cellStyle name="Entrée 16 2 2" xfId="17553" xr:uid="{122F9D57-E1D0-4D82-AB25-A5305627A032}"/>
    <cellStyle name="Entrée 16 3" xfId="4359" xr:uid="{CECD9A89-7C8F-4CAC-9A58-1A9E10B313B5}"/>
    <cellStyle name="Entrée 16 3 2" xfId="17554" xr:uid="{683F38B4-418A-4CB4-B5ED-B3DE62E7F041}"/>
    <cellStyle name="Entrée 16 4" xfId="4360" xr:uid="{4F8490D9-A4E4-4ACD-B005-820C4CEF097A}"/>
    <cellStyle name="Entrée 16 4 2" xfId="17555" xr:uid="{2A2C6F7D-FDA5-40A1-AD26-BD6CE414DD47}"/>
    <cellStyle name="Entrée 16 5" xfId="4361" xr:uid="{FB041ED6-C156-4A00-90A8-5A15041ED205}"/>
    <cellStyle name="Entrée 16 5 2" xfId="17556" xr:uid="{05FBADE1-C810-4D04-A40B-5317FB8C590C}"/>
    <cellStyle name="Entrée 16 6" xfId="17552" xr:uid="{814F7F4A-3A82-4D3E-97BB-D2A1D76EF5CA}"/>
    <cellStyle name="Entrée 17" xfId="4362" xr:uid="{0A4DC922-CC62-4359-ADAD-4CF8AC7FB1E9}"/>
    <cellStyle name="Entrée 17 2" xfId="4363" xr:uid="{79FFDABF-D7B9-4717-80BD-3EFCC6F9BD19}"/>
    <cellStyle name="Entrée 17 2 2" xfId="17558" xr:uid="{A4CCB4CE-085D-44D7-A62C-87BA2F9DED43}"/>
    <cellStyle name="Entrée 17 3" xfId="4364" xr:uid="{92938F19-399A-4ECF-ACE7-3EADC12CEB9A}"/>
    <cellStyle name="Entrée 17 3 2" xfId="17559" xr:uid="{949332D6-D1D7-4D12-8824-ED5B9B54859B}"/>
    <cellStyle name="Entrée 17 4" xfId="17557" xr:uid="{9A14CE79-72C7-459A-B566-7462BD872565}"/>
    <cellStyle name="Entrée 18" xfId="4365" xr:uid="{EADACCEA-DE49-415F-8D01-6802DC957240}"/>
    <cellStyle name="Entrée 18 2" xfId="17560" xr:uid="{E294CEC7-E5DC-4BC7-9429-912D30A3A66E}"/>
    <cellStyle name="Entrée 19" xfId="4366" xr:uid="{12343819-9F4F-4F55-B148-1C0B6EA5BB33}"/>
    <cellStyle name="Entrée 19 2" xfId="17561" xr:uid="{732A30DC-1894-4EAF-BF95-113CB956D540}"/>
    <cellStyle name="Entrée 2" xfId="4367" xr:uid="{91940C81-B4EC-490D-9AAF-3EA6CD0BD629}"/>
    <cellStyle name="Entrée 2 2" xfId="4368" xr:uid="{34B7D5E6-DD8D-4622-BDE5-FAA50FF335C3}"/>
    <cellStyle name="Entrée 2 2 2" xfId="4369" xr:uid="{35307608-163F-4063-ADC4-143C27FD1F46}"/>
    <cellStyle name="Entrée 2 2 2 2" xfId="4370" xr:uid="{E852895C-118B-49BB-9826-7F72CEFA42C2}"/>
    <cellStyle name="Entrée 2 2 2 2 2" xfId="17564" xr:uid="{BD60F344-CE43-4BF2-9FAE-0875D5483693}"/>
    <cellStyle name="Entrée 2 2 2 3" xfId="17563" xr:uid="{1B997480-C5B8-48D2-A042-6E59C9E55C0F}"/>
    <cellStyle name="Entrée 2 2 3" xfId="4371" xr:uid="{F4753CBF-62F7-4E1B-AE80-4BE148B0B2CB}"/>
    <cellStyle name="Entrée 2 2 3 2" xfId="4372" xr:uid="{9DCB090C-0565-44EB-AA1F-E492B433A3A4}"/>
    <cellStyle name="Entrée 2 2 3 2 2" xfId="17566" xr:uid="{48A4308B-FC72-453F-90BE-4E80E655AD24}"/>
    <cellStyle name="Entrée 2 2 3 3" xfId="17565" xr:uid="{1428092A-D020-4CE4-9D8E-7C6B330A8EAF}"/>
    <cellStyle name="Entrée 2 2 4" xfId="4373" xr:uid="{BABC5E88-7BC9-4855-8266-98F4E973911C}"/>
    <cellStyle name="Entrée 2 2 4 2" xfId="4374" xr:uid="{128F870D-70B7-4194-860A-355233CD975B}"/>
    <cellStyle name="Entrée 2 2 4 2 2" xfId="17568" xr:uid="{CD8C397F-6D4E-41E4-AD62-630AF506262C}"/>
    <cellStyle name="Entrée 2 2 4 3" xfId="17567" xr:uid="{22DDC58A-73AB-4249-85E9-D21C1DD4A7E4}"/>
    <cellStyle name="Entrée 2 2 5" xfId="4375" xr:uid="{000D3B0D-884B-43C4-B5FE-3260E2A5C5C4}"/>
    <cellStyle name="Entrée 2 2 5 2" xfId="17569" xr:uid="{13709058-DB7E-4771-B13D-8C63920438B8}"/>
    <cellStyle name="Entrée 2 2 6" xfId="17562" xr:uid="{25C5423E-38CB-48B9-A138-5C405431C179}"/>
    <cellStyle name="Entrée 2 3" xfId="4376" xr:uid="{C3815587-2F36-4480-A996-12B95E2A048B}"/>
    <cellStyle name="Entrée 2 3 2" xfId="4377" xr:uid="{E1CBE581-F1F0-4764-9E78-66D979B0AF33}"/>
    <cellStyle name="Entrée 2 3 2 2" xfId="17571" xr:uid="{4CFD59F9-5B3A-47C4-84F9-49D11625A8B6}"/>
    <cellStyle name="Entrée 2 3 3" xfId="17570" xr:uid="{7C68FB0D-258F-4526-A67A-5A49F3365F15}"/>
    <cellStyle name="Entrée 2 4" xfId="4378" xr:uid="{3DDF308B-4C39-48B0-B021-78454A496CFB}"/>
    <cellStyle name="Entrée 2 4 2" xfId="4379" xr:uid="{B5F86EF3-1904-40C1-AB10-024DB98EA9D3}"/>
    <cellStyle name="Entrée 2 4 2 2" xfId="17573" xr:uid="{51750D5D-6EB5-42EF-A12A-A3E0967BF464}"/>
    <cellStyle name="Entrée 2 4 3" xfId="17572" xr:uid="{856F4743-E9F7-4F39-A1CA-038A07B7BCDD}"/>
    <cellStyle name="Entrée 2 5" xfId="4380" xr:uid="{66C9B216-9EA0-462C-BABF-10CF44F02B60}"/>
    <cellStyle name="Entrée 2 5 2" xfId="4381" xr:uid="{651E48BF-303E-4342-83FA-46ACCB367A09}"/>
    <cellStyle name="Entrée 2 5 2 2" xfId="17575" xr:uid="{AA469979-290E-4A8A-B807-B0E926C7B028}"/>
    <cellStyle name="Entrée 2 5 3" xfId="17574" xr:uid="{31B111AE-F301-4438-B364-4F26758A2060}"/>
    <cellStyle name="Entrée 2 6" xfId="4382" xr:uid="{A4F2D755-5D8D-42F5-A43B-8CFF968BAA35}"/>
    <cellStyle name="Entrée 2 6 2" xfId="17576" xr:uid="{C7085A71-304F-4F21-850D-9CF8F4533C22}"/>
    <cellStyle name="Entrée 2 7" xfId="15367" xr:uid="{6B86FBB0-EBFB-44FA-A4DF-56012D54F4C4}"/>
    <cellStyle name="Entrée 2_130725 DSNA 2011 Dossier de révision initial" xfId="14880" xr:uid="{488C01A3-C749-41F2-95C6-306C05497C5E}"/>
    <cellStyle name="Entrée 20" xfId="4383" xr:uid="{46F82E02-32A1-4219-8A26-3D511F941ECB}"/>
    <cellStyle name="Entrée 20 2" xfId="17577" xr:uid="{54FB75BF-1E03-4439-807D-7B2485CECACB}"/>
    <cellStyle name="Entrée 3" xfId="4384" xr:uid="{2F2E5707-9189-453A-A737-DB1F4FEB1648}"/>
    <cellStyle name="Entrée 3 2" xfId="4385" xr:uid="{5908FD23-02EC-4526-B024-A52E4104305D}"/>
    <cellStyle name="Entrée 3 2 2" xfId="4386" xr:uid="{AC40ADC4-11FB-407F-B468-6D95D2AA0059}"/>
    <cellStyle name="Entrée 3 2 2 2" xfId="17580" xr:uid="{85464508-6A8A-4556-9F0E-7CF285125AC5}"/>
    <cellStyle name="Entrée 3 2 3" xfId="4387" xr:uid="{A1E07B04-A30B-40CE-9289-F6E028E028AC}"/>
    <cellStyle name="Entrée 3 2 3 2" xfId="17581" xr:uid="{8BA8B7D2-7645-4770-80D3-1A5F2A0280E9}"/>
    <cellStyle name="Entrée 3 2 4" xfId="4388" xr:uid="{1827CFFC-E5BD-4A0B-9CC1-FBC97136BE66}"/>
    <cellStyle name="Entrée 3 2 4 2" xfId="17582" xr:uid="{EDCD2638-7D89-482A-ABA7-E81C53950503}"/>
    <cellStyle name="Entrée 3 2 5" xfId="4389" xr:uid="{CD19A339-C4A8-4673-8992-5AA5C35CF6DF}"/>
    <cellStyle name="Entrée 3 2 5 2" xfId="17583" xr:uid="{8A13279A-7E9E-447D-8DFC-169F510BD4DA}"/>
    <cellStyle name="Entrée 3 2 6" xfId="17579" xr:uid="{9E012065-5E02-4992-8728-647BF016DFB5}"/>
    <cellStyle name="Entrée 3 3" xfId="4390" xr:uid="{2DBEC0E5-BB6D-4216-A924-F18A0F24675B}"/>
    <cellStyle name="Entrée 3 3 2" xfId="4391" xr:uid="{ED0B58B8-FDB1-40C1-A041-492CEB9B7F9E}"/>
    <cellStyle name="Entrée 3 3 2 2" xfId="17585" xr:uid="{1A6E6B38-D33A-4D44-9744-7FB5B481DB41}"/>
    <cellStyle name="Entrée 3 3 3" xfId="17584" xr:uid="{89658F90-7AB3-42DE-AEB5-992553617B47}"/>
    <cellStyle name="Entrée 3 4" xfId="4392" xr:uid="{2FA2A93F-CAD3-4926-B83E-4AC34601D48E}"/>
    <cellStyle name="Entrée 3 4 2" xfId="4393" xr:uid="{7B35F794-45C6-408E-A7BE-59B5CB063D10}"/>
    <cellStyle name="Entrée 3 4 2 2" xfId="17587" xr:uid="{1E199DDC-0145-4E39-8F66-BC29CB71B84B}"/>
    <cellStyle name="Entrée 3 4 3" xfId="17586" xr:uid="{B2488DC5-1AFB-4B26-BC85-8B52DE283477}"/>
    <cellStyle name="Entrée 3 5" xfId="4394" xr:uid="{088C72EC-D817-444E-8A13-CDBAC5C933DA}"/>
    <cellStyle name="Entrée 3 5 2" xfId="17588" xr:uid="{8A74BA6B-2BCC-4312-97B4-D28935A5452C}"/>
    <cellStyle name="Entrée 3 6" xfId="4395" xr:uid="{27CA6F0C-F9E1-4FEA-BD55-C185F663C832}"/>
    <cellStyle name="Entrée 3 6 2" xfId="17589" xr:uid="{0C886C32-0AEC-432B-A1B2-82C1BFD02F21}"/>
    <cellStyle name="Entrée 3 7" xfId="17578" xr:uid="{2DD6116F-F016-4528-B3D4-214E88B83319}"/>
    <cellStyle name="Entrée 4" xfId="4396" xr:uid="{260E97DD-EC8C-4017-91D4-42C99C7084B2}"/>
    <cellStyle name="Entrée 4 2" xfId="4397" xr:uid="{30A3ACBE-4FBA-417D-AB04-27994F228732}"/>
    <cellStyle name="Entrée 4 2 2" xfId="4398" xr:uid="{1B56F82A-2AD3-4302-A3EF-C80189AEA2F3}"/>
    <cellStyle name="Entrée 4 2 2 2" xfId="17591" xr:uid="{7CC53977-49D6-4416-A220-8FD4A42B320A}"/>
    <cellStyle name="Entrée 4 2 3" xfId="4399" xr:uid="{E8705877-7CFF-4AC3-B9DC-EC292D06E9D8}"/>
    <cellStyle name="Entrée 4 2 3 2" xfId="17592" xr:uid="{66E9B8EB-F73C-44FA-A40C-6A62CE5C6D51}"/>
    <cellStyle name="Entrée 4 2 4" xfId="4400" xr:uid="{38947F1C-8789-4FEF-A9A3-7D3B804982B4}"/>
    <cellStyle name="Entrée 4 2 4 2" xfId="17593" xr:uid="{3090AA48-752B-4654-AF16-92A128D541F5}"/>
    <cellStyle name="Entrée 4 2 5" xfId="4401" xr:uid="{7F0D4A76-F37A-45F6-8C5D-715EDB5B2A88}"/>
    <cellStyle name="Entrée 4 2 5 2" xfId="17594" xr:uid="{5ADE46B5-EEFA-44F3-8BA2-C3F8DE1A4B5C}"/>
    <cellStyle name="Entrée 4 2 6" xfId="17590" xr:uid="{64D4C9ED-587F-4AD9-977B-B7F53BF87C1C}"/>
    <cellStyle name="Entrée 4 3" xfId="4402" xr:uid="{6F6E059B-4B12-46F6-B229-3880A1394798}"/>
    <cellStyle name="Entrée 4 3 2" xfId="4403" xr:uid="{22CF7F29-4365-4E8D-BC50-C5B65FF17C12}"/>
    <cellStyle name="Entrée 4 3 3" xfId="4404" xr:uid="{DE0F9477-AB12-4B24-A7F1-BA3A090B2252}"/>
    <cellStyle name="Entrée 4 3 3 2" xfId="17595" xr:uid="{0C0A5334-E18F-4EA9-9223-99B297457F6D}"/>
    <cellStyle name="Entrée 4 4" xfId="4405" xr:uid="{7DCF7156-A23B-4EBA-BC49-94CDF05EF90B}"/>
    <cellStyle name="Entrée 4 4 2" xfId="17596" xr:uid="{AF4CEEDE-894C-445B-B5C4-6FE174B90912}"/>
    <cellStyle name="Entrée 4 5" xfId="4406" xr:uid="{E4257F8D-8789-481C-A878-772D15AFA349}"/>
    <cellStyle name="Entrée 4 5 2" xfId="17597" xr:uid="{689D0482-70D9-4B50-AD3E-ED98FDCD20FD}"/>
    <cellStyle name="Entrée 5" xfId="4407" xr:uid="{DD89DB69-E5FF-4B30-8EA2-8EAB5A5F2373}"/>
    <cellStyle name="Entrée 5 2" xfId="4408" xr:uid="{10DEAAD3-F92D-4CBC-97CA-235A62F7E7EC}"/>
    <cellStyle name="Entrée 5 2 2" xfId="4409" xr:uid="{45B0936A-D2F9-48B2-89B6-726472561715}"/>
    <cellStyle name="Entrée 5 2 2 2" xfId="17600" xr:uid="{69D6A195-7940-4E9D-B2BA-71F273D86384}"/>
    <cellStyle name="Entrée 5 2 3" xfId="4410" xr:uid="{BB98795C-26EE-4B82-9357-0E9482412FB8}"/>
    <cellStyle name="Entrée 5 2 3 2" xfId="17601" xr:uid="{B410614A-FF34-4CDB-8F13-3E06BDC1C4B0}"/>
    <cellStyle name="Entrée 5 2 4" xfId="4411" xr:uid="{3DBA86C3-3043-4C6C-A6F6-99BB49BA3654}"/>
    <cellStyle name="Entrée 5 2 4 2" xfId="17602" xr:uid="{3D40D265-23CA-49FB-9569-92198ECCD1E1}"/>
    <cellStyle name="Entrée 5 2 5" xfId="4412" xr:uid="{AEEEEA9F-3764-4E11-A37F-88DD18BB1928}"/>
    <cellStyle name="Entrée 5 2 5 2" xfId="17603" xr:uid="{520C69AC-7B99-49A9-9F26-E102E93D9B09}"/>
    <cellStyle name="Entrée 5 2 6" xfId="17599" xr:uid="{6158DA2D-1680-4A7F-952A-EB686E380770}"/>
    <cellStyle name="Entrée 5 3" xfId="4413" xr:uid="{EACCCC87-D181-4392-B763-ADF6F8FFF0BA}"/>
    <cellStyle name="Entrée 5 3 2" xfId="4414" xr:uid="{5176E1DF-AC73-4102-B103-5A3191AC6BAE}"/>
    <cellStyle name="Entrée 5 3 2 2" xfId="17605" xr:uid="{1E9460C3-41E2-4494-8DBC-408FB0AD1A86}"/>
    <cellStyle name="Entrée 5 3 3" xfId="17604" xr:uid="{74DAAB23-C0A5-4182-868D-68525B3CD1EC}"/>
    <cellStyle name="Entrée 5 4" xfId="4415" xr:uid="{5929D9BF-6014-495A-BE3E-0209801EEA59}"/>
    <cellStyle name="Entrée 5 4 2" xfId="17606" xr:uid="{F4377F07-415B-490C-AC7E-7C30E3273C89}"/>
    <cellStyle name="Entrée 5 5" xfId="4416" xr:uid="{04E0089D-B17A-4B50-AC47-D7E3E1087F56}"/>
    <cellStyle name="Entrée 5 5 2" xfId="17607" xr:uid="{15F6B176-B916-4FE6-A382-F4A05DA058BA}"/>
    <cellStyle name="Entrée 5 6" xfId="4417" xr:uid="{F20C062F-FA06-48E1-A7FA-2F29E9B66D6E}"/>
    <cellStyle name="Entrée 5 6 2" xfId="17608" xr:uid="{49EC8762-4BE5-4ACE-B7BF-44E6ACA5790D}"/>
    <cellStyle name="Entrée 5 7" xfId="17598" xr:uid="{96A36E6C-7DE0-4C07-AE56-D530EFDE9558}"/>
    <cellStyle name="Entrée 6" xfId="4418" xr:uid="{3E91C2CA-8157-48A3-BB47-B39C89407358}"/>
    <cellStyle name="Entrée 6 2" xfId="4419" xr:uid="{444E34D7-8B6A-4BC4-A30B-BEFCB3F6B962}"/>
    <cellStyle name="Entrée 6 2 2" xfId="4420" xr:uid="{88423728-760F-477F-BA39-9B7B84CAFF9C}"/>
    <cellStyle name="Entrée 6 2 2 2" xfId="17611" xr:uid="{252FB454-5076-4BB4-9FB5-C2675078A6DF}"/>
    <cellStyle name="Entrée 6 2 3" xfId="4421" xr:uid="{97D0B50E-6603-439F-8E10-3A793EDD890B}"/>
    <cellStyle name="Entrée 6 2 3 2" xfId="17612" xr:uid="{5978CA72-D95C-4AF5-8A42-4892B7407FDD}"/>
    <cellStyle name="Entrée 6 2 4" xfId="4422" xr:uid="{965926C2-F719-47C8-8102-3DBA899743AB}"/>
    <cellStyle name="Entrée 6 2 4 2" xfId="17613" xr:uid="{2FB2E6F2-30B5-48A9-B947-826700B17C65}"/>
    <cellStyle name="Entrée 6 2 5" xfId="4423" xr:uid="{73D3728B-D089-4034-B83E-6BBDF1ACAB38}"/>
    <cellStyle name="Entrée 6 2 5 2" xfId="17614" xr:uid="{34A178B3-7EB7-4B23-BC1F-F806A798C362}"/>
    <cellStyle name="Entrée 6 2 6" xfId="17610" xr:uid="{1E42576D-0000-4A06-A85E-999E753DD866}"/>
    <cellStyle name="Entrée 6 3" xfId="4424" xr:uid="{5DDD1C31-2F55-4CF9-8A36-F267DEB203F4}"/>
    <cellStyle name="Entrée 6 3 2" xfId="17615" xr:uid="{3B920966-79FF-4F4D-88FC-71DA95DB7B41}"/>
    <cellStyle name="Entrée 6 4" xfId="4425" xr:uid="{9C5E0D2B-3203-4FB6-A360-9E15164CDF7E}"/>
    <cellStyle name="Entrée 6 4 2" xfId="17616" xr:uid="{E6158292-BF7B-4FF4-BF4F-574FFDBA6597}"/>
    <cellStyle name="Entrée 6 5" xfId="4426" xr:uid="{C8EB31B5-243B-4ABA-A1E1-0EA9C0A73BC5}"/>
    <cellStyle name="Entrée 6 5 2" xfId="17617" xr:uid="{F6378C46-B5A9-47EA-95DE-8D47B77BCA67}"/>
    <cellStyle name="Entrée 6 6" xfId="4427" xr:uid="{49DA8DB3-F99A-4A46-B30E-4F2BC1D2246C}"/>
    <cellStyle name="Entrée 6 6 2" xfId="17618" xr:uid="{33199F3C-8B75-4B35-AFF8-CA05FF0AADBE}"/>
    <cellStyle name="Entrée 6 7" xfId="17609" xr:uid="{90E66609-6BD6-4C3D-B6EC-BAEC3D227826}"/>
    <cellStyle name="Entrée 7" xfId="4428" xr:uid="{A15A4B1C-A618-4C8D-BC7E-67D1DBF37856}"/>
    <cellStyle name="Entrée 7 2" xfId="4429" xr:uid="{60BCF878-F181-42B0-AD34-EC36A9E46046}"/>
    <cellStyle name="Entrée 7 2 2" xfId="4430" xr:uid="{BB2A3EB2-D8FE-4544-A90D-FF2709327D2F}"/>
    <cellStyle name="Entrée 7 2 2 2" xfId="17621" xr:uid="{A9F67515-DCC3-47F6-A34B-3FA3E925A855}"/>
    <cellStyle name="Entrée 7 2 3" xfId="4431" xr:uid="{0644B56E-27BD-4CF0-AA15-05DCF5A4CA2A}"/>
    <cellStyle name="Entrée 7 2 3 2" xfId="17622" xr:uid="{55440980-A358-440A-AA96-5F6135B265D3}"/>
    <cellStyle name="Entrée 7 2 4" xfId="4432" xr:uid="{EA5DF769-0B67-488C-930F-BAA5F6AEC044}"/>
    <cellStyle name="Entrée 7 2 4 2" xfId="17623" xr:uid="{3181C954-1689-42E1-A27E-016F072F7137}"/>
    <cellStyle name="Entrée 7 2 5" xfId="4433" xr:uid="{743E57DE-34B1-49CB-A10F-373E13E1F05F}"/>
    <cellStyle name="Entrée 7 2 5 2" xfId="17624" xr:uid="{9F75D676-9947-45BD-AB33-2DC0FF2C26CD}"/>
    <cellStyle name="Entrée 7 2 6" xfId="17620" xr:uid="{586ED5D8-9B70-4175-B1F0-01073F5E3691}"/>
    <cellStyle name="Entrée 7 3" xfId="4434" xr:uid="{F783E701-D1A0-4069-9430-53A7DA65508A}"/>
    <cellStyle name="Entrée 7 3 2" xfId="17625" xr:uid="{1A64E3BD-43FC-4178-B465-2452C42F93A5}"/>
    <cellStyle name="Entrée 7 4" xfId="4435" xr:uid="{1580274B-D565-4CC5-AD43-ED3A337B2260}"/>
    <cellStyle name="Entrée 7 4 2" xfId="17626" xr:uid="{213D3A61-6D1A-402E-9385-B8E3980ABD74}"/>
    <cellStyle name="Entrée 7 5" xfId="4436" xr:uid="{131D9687-8B67-47F8-96EE-442E81FBB31C}"/>
    <cellStyle name="Entrée 7 5 2" xfId="17627" xr:uid="{87CD3B4E-2EA9-4A8A-8335-BFC9944EC905}"/>
    <cellStyle name="Entrée 7 6" xfId="4437" xr:uid="{5B4BFE64-ABDF-49DF-954A-378935275166}"/>
    <cellStyle name="Entrée 7 6 2" xfId="17628" xr:uid="{7E0B088D-3328-41D2-B7B7-3D3598FA0CA0}"/>
    <cellStyle name="Entrée 7 7" xfId="17619" xr:uid="{5A8142F0-2585-4B3E-A2BA-929C402A9FB1}"/>
    <cellStyle name="Entrée 8" xfId="4438" xr:uid="{34A49C36-3698-4AB1-AED1-1836F68509F1}"/>
    <cellStyle name="Entrée 8 2" xfId="4439" xr:uid="{8AA34C13-D9EE-4820-AE51-71D80AF6D04A}"/>
    <cellStyle name="Entrée 8 2 2" xfId="4440" xr:uid="{21F43E10-0F04-4FF1-83E2-A6BEFAD33270}"/>
    <cellStyle name="Entrée 8 2 2 2" xfId="17631" xr:uid="{C98AC1A3-7238-4777-B7E5-FAB537C2FA99}"/>
    <cellStyle name="Entrée 8 2 3" xfId="4441" xr:uid="{577AA21E-95C9-407B-9C97-B5174C4ADD3D}"/>
    <cellStyle name="Entrée 8 2 3 2" xfId="17632" xr:uid="{BC457F1A-D261-4CE1-961C-6961FC3EB222}"/>
    <cellStyle name="Entrée 8 2 4" xfId="4442" xr:uid="{9AAC7239-32F4-4B57-AA59-64CA726820C3}"/>
    <cellStyle name="Entrée 8 2 4 2" xfId="17633" xr:uid="{7E7CB2C5-EE8C-45DA-86D8-1BFAD38EB586}"/>
    <cellStyle name="Entrée 8 2 5" xfId="4443" xr:uid="{6C3DF5B2-FE36-46EB-9A62-CE8F5BC7CA68}"/>
    <cellStyle name="Entrée 8 2 5 2" xfId="17634" xr:uid="{47E7CE25-E68E-4E38-9D45-1C2A587D451A}"/>
    <cellStyle name="Entrée 8 2 6" xfId="17630" xr:uid="{DAD6EC5B-1A25-4848-A50E-66583312E459}"/>
    <cellStyle name="Entrée 8 3" xfId="4444" xr:uid="{8F8B9F6D-18FD-4967-96F9-0E22892438EE}"/>
    <cellStyle name="Entrée 8 3 2" xfId="17635" xr:uid="{7EE7C14C-044F-434C-9F01-6B898CF2F6B9}"/>
    <cellStyle name="Entrée 8 4" xfId="4445" xr:uid="{EEEBB2FC-47BF-4332-B033-1A673474F76A}"/>
    <cellStyle name="Entrée 8 4 2" xfId="17636" xr:uid="{3112A40A-0052-473B-A2F4-BD9CAD5099F8}"/>
    <cellStyle name="Entrée 8 5" xfId="4446" xr:uid="{E0AF1D59-5B73-4352-AE2B-EE71037F53F3}"/>
    <cellStyle name="Entrée 8 5 2" xfId="17637" xr:uid="{301105CB-E84F-4FE1-9630-C3962545705A}"/>
    <cellStyle name="Entrée 8 6" xfId="4447" xr:uid="{B31640F2-1905-4491-AD32-B148DEA16C97}"/>
    <cellStyle name="Entrée 8 6 2" xfId="17638" xr:uid="{E911BC5C-DD8D-408F-96FD-C9B8C798EA8B}"/>
    <cellStyle name="Entrée 8 7" xfId="17629" xr:uid="{4E9C3950-F252-49C2-B765-3FDF514FAF69}"/>
    <cellStyle name="Entrée 9" xfId="4448" xr:uid="{4076C1FE-C21D-4754-9FA1-DEF10A42A42D}"/>
    <cellStyle name="Entrée 9 2" xfId="4449" xr:uid="{AEFE1B99-9693-4180-A6EB-46180AE45131}"/>
    <cellStyle name="Entrée 9 2 2" xfId="4450" xr:uid="{027D33EE-1813-46AC-935B-8EE083A97C8B}"/>
    <cellStyle name="Entrée 9 2 2 2" xfId="17641" xr:uid="{D12CA00F-052F-4331-9BCD-B9DD05B89A1B}"/>
    <cellStyle name="Entrée 9 2 3" xfId="4451" xr:uid="{E451B359-74C6-4EF8-B534-BFB6A9C49022}"/>
    <cellStyle name="Entrée 9 2 3 2" xfId="17642" xr:uid="{B76FA587-D111-4453-B87F-C88455D14856}"/>
    <cellStyle name="Entrée 9 2 4" xfId="4452" xr:uid="{1AFA5892-4D5A-4007-93D5-6BB9E3F64637}"/>
    <cellStyle name="Entrée 9 2 4 2" xfId="17643" xr:uid="{568E5DE3-8399-4B21-9C1F-12E97028E3B1}"/>
    <cellStyle name="Entrée 9 2 5" xfId="4453" xr:uid="{E57CE00A-5DAC-4924-B762-EBECB58AA8D5}"/>
    <cellStyle name="Entrée 9 2 5 2" xfId="17644" xr:uid="{28DD6225-904F-4104-8E2F-07862CEFE069}"/>
    <cellStyle name="Entrée 9 2 6" xfId="17640" xr:uid="{C97FC2B3-479D-4BEF-8154-A5D891A048ED}"/>
    <cellStyle name="Entrée 9 3" xfId="4454" xr:uid="{E755F450-EE6E-45D6-B539-016194F461E1}"/>
    <cellStyle name="Entrée 9 3 2" xfId="17645" xr:uid="{1D1DA728-E50A-487A-91B6-89A99F3F657B}"/>
    <cellStyle name="Entrée 9 4" xfId="4455" xr:uid="{9D9DD93E-94AA-4843-A0DB-16F3652F37A7}"/>
    <cellStyle name="Entrée 9 4 2" xfId="17646" xr:uid="{08BC26C3-8F8F-4506-BA6D-5D79CB9C2009}"/>
    <cellStyle name="Entrée 9 5" xfId="4456" xr:uid="{46686E9A-7325-4129-AFA9-0E7133C48D28}"/>
    <cellStyle name="Entrée 9 5 2" xfId="17647" xr:uid="{6A4698EE-55C9-4077-B09C-8A443070339B}"/>
    <cellStyle name="Entrée 9 6" xfId="4457" xr:uid="{6E0AE254-2F8D-473A-B866-2DBCF90C951B}"/>
    <cellStyle name="Entrée 9 6 2" xfId="17648" xr:uid="{A80025A4-E9E7-45E2-B3EA-76915A26F843}"/>
    <cellStyle name="Entrée 9 7" xfId="17639" xr:uid="{F1FE3D97-5F8E-45B4-8C2E-E5831A7DFB61}"/>
    <cellStyle name="Ergebnis" xfId="4458" xr:uid="{5539E94C-77FA-4130-83A2-3C69ECB8AB2A}"/>
    <cellStyle name="Ergebnis 2" xfId="4459" xr:uid="{F702ACF5-A282-46C4-BA3E-3E9C569A7F85}"/>
    <cellStyle name="Ergebnis 2 2" xfId="17649" xr:uid="{624FA44A-78A6-45B0-9D66-A984928E353A}"/>
    <cellStyle name="Ergebnis 3" xfId="4460" xr:uid="{DF808FFB-A206-4D68-A875-3F16B0FFD12B}"/>
    <cellStyle name="Ergebnis 3 2" xfId="17650" xr:uid="{F841FA1C-C5E7-44C2-A8A7-273701B17C9A}"/>
    <cellStyle name="Ergebnis 4" xfId="14967" xr:uid="{5CA3D388-0B5C-4BD1-9761-E0C747904AB7}"/>
    <cellStyle name="Ergebnis_RP3 PP revised" xfId="15151" xr:uid="{1FD995EA-933E-40F0-BA57-9ADF22509F4D}"/>
    <cellStyle name="Erklärender Text" xfId="4461" xr:uid="{9F58568E-7E76-4617-A349-78F9F2A59D2D}"/>
    <cellStyle name="Euro" xfId="4462" xr:uid="{49BDF5CB-B77A-441E-8D12-D63FAD92CF7E}"/>
    <cellStyle name="Euro 1" xfId="4463" xr:uid="{D49F25A9-D8D9-4F88-9AD5-AD769BACB5B5}"/>
    <cellStyle name="Euro 10" xfId="4464" xr:uid="{5D4F635D-F47B-4119-A457-06B070AFBDA5}"/>
    <cellStyle name="Euro 10 2" xfId="14812" xr:uid="{C8B4FC94-5D08-482E-9C8C-3A79EA3A5D04}"/>
    <cellStyle name="Euro 10 3" xfId="17652" xr:uid="{E8D44F0C-6969-41DD-AFB7-1AC64E799D2B}"/>
    <cellStyle name="Euro 11" xfId="17651" xr:uid="{269D7BB7-06F0-4BEB-A045-A7B95B13377A}"/>
    <cellStyle name="Euro 2" xfId="4465" xr:uid="{A6A28DD2-D73A-4F70-BE2D-821FCB8680E6}"/>
    <cellStyle name="Euro 2 2" xfId="4466" xr:uid="{899E5926-0030-4CFC-8398-1BB560C9E89D}"/>
    <cellStyle name="Euro 2 2 2" xfId="4467" xr:uid="{D5E366F3-4FA4-48F2-8B86-9CACA67CF1E8}"/>
    <cellStyle name="Euro 2 2 2 2" xfId="4468" xr:uid="{D0071F29-4121-4253-B6B0-CCAFEDF19DF0}"/>
    <cellStyle name="Euro 2 2 2 3" xfId="4469" xr:uid="{C3CF2037-6497-4F2A-B95F-BB80779DC9E2}"/>
    <cellStyle name="Euro 2 3" xfId="4470" xr:uid="{70E6C27F-243C-4323-B16B-D068159C9305}"/>
    <cellStyle name="Euro 2 3 2" xfId="4471" xr:uid="{BAC29EF4-7C4D-4CB7-9B9B-A2641BE919D7}"/>
    <cellStyle name="Euro 2 3 3" xfId="4472" xr:uid="{5F144673-5590-47DD-A0E0-67FAC833DAD9}"/>
    <cellStyle name="Euro 2 4" xfId="14968" xr:uid="{7F69DA89-C2B5-47BF-A3D7-1DC04359FEC4}"/>
    <cellStyle name="Euro 2_RP3 PP revised" xfId="15408" xr:uid="{FB453B90-1CE5-43F3-9CA6-62294567124B}"/>
    <cellStyle name="Euro 3" xfId="4473" xr:uid="{4D9F0B76-E0EE-4251-9CB4-84CCDD88D704}"/>
    <cellStyle name="Euro 3 2" xfId="4474" xr:uid="{D81A8265-0A59-485B-BC06-8B8474D41498}"/>
    <cellStyle name="Euro 3 3" xfId="4475" xr:uid="{F256FF87-030A-46AD-B5CA-5A07816187A5}"/>
    <cellStyle name="Euro 3_RP3 PP revised" xfId="15150" xr:uid="{BA25A9E5-3BE3-49F7-BB42-554DC70FE77B}"/>
    <cellStyle name="Euro 4" xfId="4476" xr:uid="{1E2EA1CA-86C2-4150-9F82-140C64435FFF}"/>
    <cellStyle name="Euro 4 2" xfId="4477" xr:uid="{5333B7EC-AD31-461F-BB29-6935FFDDEB11}"/>
    <cellStyle name="Euro 4 2 2" xfId="4478" xr:uid="{DCD496AC-0C63-4B5E-BC36-FED6A9EA28D6}"/>
    <cellStyle name="Euro 4 2 3" xfId="4479" xr:uid="{835A1CFA-669A-4CD4-B85D-6FB1E12F2077}"/>
    <cellStyle name="Euro 4 2 3 2" xfId="17655" xr:uid="{BAD51027-087E-4C69-A74B-0DEA75C16A79}"/>
    <cellStyle name="Euro 4 2 4" xfId="4480" xr:uid="{BB4F6931-07FE-4FC4-9C00-D4699388B67D}"/>
    <cellStyle name="Euro 4 2 4 2" xfId="17656" xr:uid="{357973AA-3D96-446E-874C-2861C48CB795}"/>
    <cellStyle name="Euro 4 2 5" xfId="17654" xr:uid="{5B9348A0-E758-41FC-A814-41FD10479CF8}"/>
    <cellStyle name="Euro 4 3" xfId="4481" xr:uid="{64AACEB9-404E-4F66-A691-0D08FCD9468C}"/>
    <cellStyle name="Euro 4 3 2" xfId="4482" xr:uid="{ACF3C234-903B-434A-8228-AF00B003E668}"/>
    <cellStyle name="Euro 4 3 3" xfId="17657" xr:uid="{45564AAB-BFA0-4C8F-ACAF-134252C6C01C}"/>
    <cellStyle name="Euro 4 4" xfId="17653" xr:uid="{8E7A2FE4-B3D6-495C-B2FF-5A2F21A92A17}"/>
    <cellStyle name="Euro 4_RP3 PP revised" xfId="15407" xr:uid="{4C54C3EA-CEA9-4CD6-97F9-3F5B3867AEBD}"/>
    <cellStyle name="Euro 5" xfId="4483" xr:uid="{2A13CAA4-D28C-41ED-B4A3-22F91BE6BE17}"/>
    <cellStyle name="Euro 5 2" xfId="4484" xr:uid="{C7DA0C3F-D360-4CC3-A854-F94E9F559F4B}"/>
    <cellStyle name="Euro 5 2 2" xfId="4485" xr:uid="{ACE8A189-28B7-451C-857C-AE6DF100EE36}"/>
    <cellStyle name="Euro 5 2 3" xfId="4486" xr:uid="{54568C84-C09B-451D-8CE4-091B0E890B32}"/>
    <cellStyle name="Euro 5 2 4" xfId="4487" xr:uid="{598979C2-4C57-4FBC-8AD2-67D614897FB4}"/>
    <cellStyle name="Euro 5_RP3 PP revised" xfId="15406" xr:uid="{E7173F85-2ABA-403F-B54F-7B97769E0705}"/>
    <cellStyle name="Euro 6" xfId="4488" xr:uid="{BD20B3FD-C408-4F65-8477-6477C08ED48A}"/>
    <cellStyle name="Euro 6 2" xfId="4489" xr:uid="{F1F4DBF4-2F3D-43BC-8580-B443031661F2}"/>
    <cellStyle name="Euro 6 2 2" xfId="4490" xr:uid="{4FC274DA-3D19-46E9-A150-8137A2EFDBEA}"/>
    <cellStyle name="Euro 6 2 3" xfId="4491" xr:uid="{F65D5BFE-0F46-42E1-952A-CBAB1B488901}"/>
    <cellStyle name="Euro 6 2 4" xfId="4492" xr:uid="{81524AB6-F500-4C1C-8ADF-628E313F112A}"/>
    <cellStyle name="Euro 6 3" xfId="4493" xr:uid="{AF08C133-657B-4656-A46A-05EF3951D70D}"/>
    <cellStyle name="Euro 6_RP3 PP revised" xfId="15149" xr:uid="{BC08986F-E888-437F-82B3-1CF85642D354}"/>
    <cellStyle name="Euro 7" xfId="4494" xr:uid="{62A73836-E78A-4EEB-B994-FADE6A1E9BFF}"/>
    <cellStyle name="Euro 7 2" xfId="4495" xr:uid="{BC652010-F07E-4440-BB58-FA4DD5A1FA56}"/>
    <cellStyle name="Euro 8" xfId="4496" xr:uid="{1431568A-E863-4DD0-87D0-7841999FF50E}"/>
    <cellStyle name="Euro 8 2" xfId="4497" xr:uid="{F69BC779-123D-4797-8D1F-93DD14C6874C}"/>
    <cellStyle name="Euro 8 3" xfId="4498" xr:uid="{F560899C-81F6-445C-A544-968C510AAD89}"/>
    <cellStyle name="Euro 8 4" xfId="4499" xr:uid="{0E986F40-6700-4A3C-B26C-0D670F4194B0}"/>
    <cellStyle name="Euro 8 5" xfId="15368" xr:uid="{C31FB45C-59BC-441D-BE0E-4A9134051291}"/>
    <cellStyle name="Euro 8_RP3 PP revised" xfId="15405" xr:uid="{D355D43C-2579-498F-B4AB-480F503FAFD1}"/>
    <cellStyle name="Euro 9" xfId="4500" xr:uid="{B4E9385D-89D4-407C-8A38-DBF918E6D8D2}"/>
    <cellStyle name="Euro 9 2" xfId="4501" xr:uid="{540C4109-329B-433A-90E5-B8F8B5E8E905}"/>
    <cellStyle name="Euro_0705XX_RETP_2007_DM1_BOP_v3" xfId="4502" xr:uid="{F87CE03C-AA48-4022-8538-0FAF3DD46203}"/>
    <cellStyle name="EVAL" xfId="4503" xr:uid="{3B3DF823-7019-43CB-BE77-D138D7A4FEBE}"/>
    <cellStyle name="Excel Built-in Normal" xfId="4504" xr:uid="{AD988448-D81C-44C3-BCCF-2863BE700D54}"/>
    <cellStyle name="Excel.Chart" xfId="4505" xr:uid="{7051DD07-BCFF-4E8A-B327-7D3AA0BCE173}"/>
    <cellStyle name="Exception" xfId="4506" xr:uid="{600E071D-134C-4FC4-9F77-9E826C79ACB0}"/>
    <cellStyle name="Exception 2" xfId="4507" xr:uid="{48364B3D-E502-41EA-B895-7D9C99D09AD6}"/>
    <cellStyle name="Exception 3" xfId="4508" xr:uid="{8D0E0CFC-BF31-44D7-87FF-6F199C374AE8}"/>
    <cellStyle name="Exchange_rate" xfId="4509" xr:uid="{B0E657CC-7788-4059-91A1-BE04922B2CB8}"/>
    <cellStyle name="Explanatory Text 2" xfId="4510" xr:uid="{C1E22E7A-30B1-450E-916B-58D0700E120C}"/>
    <cellStyle name="Explanatory Text 3" xfId="14677" xr:uid="{CAB6B7B9-CA59-40AC-8114-0B6EEE2FEAF1}"/>
    <cellStyle name="External Links" xfId="4511" xr:uid="{8844CCBD-C5BD-4482-ABAA-52FC73410D94}"/>
    <cellStyle name="External Links 2" xfId="4512" xr:uid="{CBCADC18-F7AE-4909-8D17-90DB4547CA3A}"/>
    <cellStyle name="External Links 3" xfId="4513" xr:uid="{2B0285E9-4B1E-4FC7-9EFF-006707960F4A}"/>
    <cellStyle name="Extra Large" xfId="4514" xr:uid="{8053A83E-A385-40F0-9D8C-2A8CBD758434}"/>
    <cellStyle name="EY House" xfId="4515" xr:uid="{E436D5A7-E7E8-4535-BA73-4084130CC407}"/>
    <cellStyle name="EY%colcalc" xfId="4516" xr:uid="{ED4196D2-A04E-47E0-BCF1-13B2D65820C0}"/>
    <cellStyle name="EY%input" xfId="4517" xr:uid="{3C918CD5-F653-4B62-AD27-EED4560F37D8}"/>
    <cellStyle name="EY%rowcalc" xfId="4518" xr:uid="{DE1BE690-E0AF-4079-8D16-1B623621D84A}"/>
    <cellStyle name="EY0dp" xfId="4519" xr:uid="{5C058630-2746-4B1C-890E-EF1048DB1CF2}"/>
    <cellStyle name="EY1dp" xfId="4520" xr:uid="{8E5AD854-5DB2-4E3C-ADB4-88015F05CA9B}"/>
    <cellStyle name="EY2dp" xfId="4521" xr:uid="{3B36EAC9-14EB-4B1F-BFFE-2D55C463CAFF}"/>
    <cellStyle name="EY3dp" xfId="4522" xr:uid="{AA74963F-56A8-41E7-B583-6CD995CBFDB9}"/>
    <cellStyle name="EYColumnHeading" xfId="4523" xr:uid="{B1DD731D-A807-4D7A-AFCB-FBFC0B2A6523}"/>
    <cellStyle name="EYHeading1" xfId="4524" xr:uid="{688DD694-F976-4B77-838E-6182AFF27721}"/>
    <cellStyle name="EYheading2" xfId="4525" xr:uid="{43C742FE-0D10-402E-88FF-59E35B4437CE}"/>
    <cellStyle name="EYheading3" xfId="4526" xr:uid="{B86D2C55-6203-4861-BAD3-9F2722A91E46}"/>
    <cellStyle name="EYnumber" xfId="4527" xr:uid="{3A04AF16-B139-4C72-8E9F-1C4F1B0CED3D}"/>
    <cellStyle name="EYSheetHeader1" xfId="4528" xr:uid="{34C5680D-F064-4801-BE78-D9D0D0288033}"/>
    <cellStyle name="EYtext" xfId="4529" xr:uid="{B3ED7A3C-D83B-4095-868F-F2BC693F5930}"/>
    <cellStyle name="Factor" xfId="4530" xr:uid="{11867A90-B1AD-4584-85CE-10AEEB2AB77C}"/>
    <cellStyle name="Factor 2" xfId="4531" xr:uid="{47DEB3F5-0724-4CFC-AEFA-D21C5FBB0CD8}"/>
    <cellStyle name="Factor 3" xfId="4532" xr:uid="{F3072204-31D2-4C05-8768-D31A7A41E7F5}"/>
    <cellStyle name="Färg1" xfId="4533" xr:uid="{E950C7F7-C588-4D15-B3CD-4803361B041E}"/>
    <cellStyle name="Färg2" xfId="4534" xr:uid="{B9D597C1-A4D8-40D1-97AB-536D95F54FC8}"/>
    <cellStyle name="Färg3" xfId="4535" xr:uid="{1940E380-8A44-42A5-AD8B-C8CEC3374CE2}"/>
    <cellStyle name="Färg4" xfId="4536" xr:uid="{335789E3-1E78-4095-9E51-3221924C1712}"/>
    <cellStyle name="Färg5" xfId="4537" xr:uid="{66FDE110-DC7C-4516-87B5-B943BC19E1D5}"/>
    <cellStyle name="Färg6" xfId="4538" xr:uid="{87DA4D7C-05BA-4478-A040-801791B4AB3F}"/>
    <cellStyle name="Feed Label" xfId="4539" xr:uid="{E290FBE7-DF2D-475A-86BA-E34C33A5575E}"/>
    <cellStyle name="Feeder Field" xfId="4540" xr:uid="{FE9E2A18-5FA6-47A0-AFE6-3C33EE922602}"/>
    <cellStyle name="Feeder Field 2" xfId="4541" xr:uid="{2A7EA86C-400B-4485-8101-ACF48CE8100A}"/>
    <cellStyle name="Feeder Field 2 2" xfId="4542" xr:uid="{30C20BB8-98C9-4B47-B536-B6BDF468A59E}"/>
    <cellStyle name="Feeder Field 2 2 2" xfId="17659" xr:uid="{EAC4E0B6-2488-4455-A488-B945A512B16A}"/>
    <cellStyle name="Feeder Field 2 3" xfId="4543" xr:uid="{F925FAA1-8D71-415C-9839-58541F70BD2F}"/>
    <cellStyle name="Feeder Field 2 3 2" xfId="17660" xr:uid="{6A637AC9-7EB9-4E49-8E1C-578EC4F0BA51}"/>
    <cellStyle name="Feeder Field 2 4" xfId="17658" xr:uid="{4714BBA7-B4E1-4821-8EDE-533C9DE87AC1}"/>
    <cellStyle name="Feeder Field 3" xfId="4544" xr:uid="{FE7094FB-C1C3-40EA-8DAF-E43C14711B0F}"/>
    <cellStyle name="Feeder Field 3 2" xfId="17661" xr:uid="{29D18522-0DEF-4E5F-B1B7-6A33F01B84D4}"/>
    <cellStyle name="Feeder Field 4" xfId="4545" xr:uid="{B2A4F21F-DF4F-40A2-9A0F-63C637791A98}"/>
    <cellStyle name="Feeder Field 4 2" xfId="17662" xr:uid="{0A3477B8-F3C3-4A2F-BEEE-A507A495195B}"/>
    <cellStyle name="Feeder Field 5" xfId="4546" xr:uid="{0397370E-4571-46AA-B6CF-56D4AE7F3697}"/>
    <cellStyle name="Feeder Field 5 2" xfId="17663" xr:uid="{72ECE32F-6AB6-45F7-83B5-DEA432E32B1B}"/>
    <cellStyle name="Feeder Field 6" xfId="4547" xr:uid="{99B05EF8-3BE5-4D13-BE61-EA0F18781F7F}"/>
    <cellStyle name="Feeder Field 6 2" xfId="17664" xr:uid="{81E4BED5-B626-4E2C-BA46-4EC6D5624D81}"/>
    <cellStyle name="Feeder Field 7" xfId="14969" xr:uid="{0B6CB432-C4E4-416D-A2A9-09AE0C9CD736}"/>
    <cellStyle name="Feeder Field_RP3 PP revised" xfId="15404" xr:uid="{6ED6D506-3A4A-42C0-9A4E-F7766B8C69B3}"/>
    <cellStyle name="Figyelmeztetés 2" xfId="4548" xr:uid="{F085C3B2-20C4-4646-9CEA-E3C5B04B084F}"/>
    <cellStyle name="Financier0" xfId="4549" xr:uid="{AF916115-52D6-4722-9F12-0BD9A15F8DEA}"/>
    <cellStyle name="Fine" xfId="4550" xr:uid="{99E48132-B861-416F-BE62-0660C1FD5B6B}"/>
    <cellStyle name="Fixed3 - Style3" xfId="4551" xr:uid="{022E0CD2-81C4-4662-8F4B-92748E2D9ADD}"/>
    <cellStyle name="Flag" xfId="4552" xr:uid="{91F2C6CF-37B9-408D-9EF1-EB020A51EBA1}"/>
    <cellStyle name="Footnote" xfId="4553" xr:uid="{2DB787E4-D7B0-4E9F-8A26-BF902A90BE19}"/>
    <cellStyle name="Förklarande text" xfId="4554" xr:uid="{351ED672-D055-4083-8BCA-690225BA948B}"/>
    <cellStyle name="Forklarende tekst" xfId="4555" xr:uid="{0A590EC1-486F-4824-9FDE-0FAECBE07907}"/>
    <cellStyle name="Formule Interne" xfId="4556" xr:uid="{052806AD-0FD2-41DE-B795-D266CBDB4A37}"/>
    <cellStyle name="Francs" xfId="4557" xr:uid="{39761869-170E-45C8-8640-FBD98307E3D2}"/>
    <cellStyle name="Francs 2" xfId="4558" xr:uid="{C5C91302-1F96-487C-BD3B-1B5CB693CB95}"/>
    <cellStyle name="Francs 3" xfId="4559" xr:uid="{1E74E01E-8959-439E-816D-0A5F80721590}"/>
    <cellStyle name="From" xfId="4560" xr:uid="{CA67F4FA-B996-4F9D-8800-30D738BA2D37}"/>
    <cellStyle name="FS_reporting" xfId="4561" xr:uid="{4988A321-C6D9-4D78-BF05-1D0F34890F49}"/>
    <cellStyle name="Gap" xfId="4562" xr:uid="{1E9DBB82-E93C-43C5-8657-A58EC9C801E0}"/>
    <cellStyle name="Gap 2" xfId="4563" xr:uid="{7D02A417-04A8-42CC-BBE3-8DB3EE9117C6}"/>
    <cellStyle name="Gap 3" xfId="4564" xr:uid="{77F2EC59-7A03-4EBA-9470-6328A3168281}"/>
    <cellStyle name="Geras" xfId="4565" xr:uid="{8B81CD74-F2B9-46D7-B49C-61609A6E7715}"/>
    <cellStyle name="God" xfId="4566" xr:uid="{F58ECA6B-8F19-452D-AD7F-7954F8D861FB}"/>
    <cellStyle name="Good 2" xfId="4567" xr:uid="{32790894-90C9-4C86-9150-8DF01023022A}"/>
    <cellStyle name="Good 3" xfId="14672" xr:uid="{6C822889-E029-4EDA-AE84-56392CA5DC16}"/>
    <cellStyle name="Grey" xfId="4568" xr:uid="{FD88824D-F551-4FFA-AF75-10DFC74BA9C3}"/>
    <cellStyle name="Greyed out" xfId="4569" xr:uid="{D387221A-D477-45DC-BCCC-C4EE8B215780}"/>
    <cellStyle name="Gut" xfId="4570" xr:uid="{0260E430-EAF7-438D-90CE-7A68B10FB0F2}"/>
    <cellStyle name="Halb" xfId="4571" xr:uid="{5172B12E-31F0-4D21-A3E0-F69FCA449A70}"/>
    <cellStyle name="Halb 2" xfId="4572" xr:uid="{E24E0021-C954-477E-B13A-5FB4277D3E74}"/>
    <cellStyle name="Halb 3" xfId="4573" xr:uid="{721356F0-0FB8-4E80-9F62-C0DD2384801D}"/>
    <cellStyle name="hard no" xfId="4574" xr:uid="{EFE00623-FCB7-487F-9578-59341BB3FA73}"/>
    <cellStyle name="Hard Percent" xfId="4575" xr:uid="{C7FB751E-1D6B-474A-A497-C586F2F21B7B}"/>
    <cellStyle name="hardno" xfId="4576" xr:uid="{5C5DD515-7F2F-4666-87DC-5070AC254F9D}"/>
    <cellStyle name="Hea" xfId="4577" xr:uid="{5C27D10E-003A-4565-921A-A40B46F79F47}"/>
    <cellStyle name="Hea 2" xfId="4578" xr:uid="{5C2C7352-6346-4573-989F-E6B3AD0922AC}"/>
    <cellStyle name="Hea 3" xfId="4579" xr:uid="{765AD8A4-0861-4D0D-A584-40397B5278F4}"/>
    <cellStyle name="Header" xfId="4580" xr:uid="{0F2B6463-CF72-4245-B056-F10CF3BA479F}"/>
    <cellStyle name="Header 1" xfId="4581" xr:uid="{FB6D018C-2583-4479-A7F9-6D2FA9CC7407}"/>
    <cellStyle name="Header 2" xfId="4582" xr:uid="{05912B9B-8823-4FBF-BB45-7BA061A3E4BC}"/>
    <cellStyle name="Header_ATC Services 6+6 Forecast - 051008" xfId="4583" xr:uid="{96470C3F-98A5-4E9D-8DE2-E2304334EC64}"/>
    <cellStyle name="headerStyle" xfId="4584" xr:uid="{74B30363-E6D6-4F72-A9FD-5C1934ED2080}"/>
    <cellStyle name="Heading" xfId="4585" xr:uid="{2698ED35-1795-4356-8E4F-1814C4E31749}"/>
    <cellStyle name="Heading 1 2" xfId="4586" xr:uid="{4E33F22A-0283-4A3C-A9CD-F4C5AB502F5B}"/>
    <cellStyle name="Heading 1 2 2" xfId="4587" xr:uid="{1BBDE511-4BB0-4B5B-AFC7-75358D9C4FDE}"/>
    <cellStyle name="Heading 1 2 3" xfId="4588" xr:uid="{E31BFD78-9A5A-4C00-8D08-5109255A1F2E}"/>
    <cellStyle name="Heading 1 3" xfId="14668" xr:uid="{B3B5DF17-FFCD-4B7F-A4B2-3904C022B4A5}"/>
    <cellStyle name="Heading 2 2" xfId="4589" xr:uid="{05FB726F-C5BA-4903-AB0F-DE6AD4BBD087}"/>
    <cellStyle name="Heading 2 2 2" xfId="4590" xr:uid="{4D5F5EBD-64EB-497D-860E-493758178E73}"/>
    <cellStyle name="Heading 2 2 3" xfId="4591" xr:uid="{4E73CB71-0EE4-4C8C-8E3A-9480BA7B9B01}"/>
    <cellStyle name="Heading 2 3" xfId="14669" xr:uid="{4B212884-E360-43CE-B9D3-49C7128DAA45}"/>
    <cellStyle name="Heading 3 2" xfId="4592" xr:uid="{3116D317-3D0D-437C-A593-EDD5674396AC}"/>
    <cellStyle name="Heading 3 3" xfId="14670" xr:uid="{28F7DD5E-E97E-4C0E-ABD5-3DABFB86275E}"/>
    <cellStyle name="Heading 4 2" xfId="4593" xr:uid="{F279A1E4-061C-410F-A93C-C917437E4AE1}"/>
    <cellStyle name="Heading 4 2 2" xfId="4594" xr:uid="{E0B2E45C-F6BC-420E-A56B-79149B598BDA}"/>
    <cellStyle name="Heading 4 2 3" xfId="4595" xr:uid="{FB3ABDE1-18B7-43AC-A196-A1CA1FF45552}"/>
    <cellStyle name="Heading 4 2 4" xfId="4596" xr:uid="{27D2885B-08E9-43B9-8DD4-3683637A1EB6}"/>
    <cellStyle name="Heading 4 3" xfId="14671" xr:uid="{D6E7E5F9-4739-4AED-901D-B37F4EF8EE01}"/>
    <cellStyle name="Heading2" xfId="4597" xr:uid="{CE114246-2B74-48F2-B777-303EBE1CE018}"/>
    <cellStyle name="Heading3" xfId="4598" xr:uid="{E435CBA7-3BBE-4F17-B086-3D315ECACE3C}"/>
    <cellStyle name="Headings" xfId="4599" xr:uid="{0A10ED1D-2226-4549-B07A-E03B9C2754BE}"/>
    <cellStyle name="HELV8BLUE" xfId="4600" xr:uid="{0C24F2BE-030A-41F9-92F1-369CAED406CE}"/>
    <cellStyle name="Hidden" xfId="4601" xr:uid="{7864B37D-750A-4D1D-A378-D4215E7A66B1}"/>
    <cellStyle name="Hivatkozott cella 2" xfId="4602" xr:uid="{5D551D8A-7DE1-45FB-8746-4383F8802A35}"/>
    <cellStyle name="Hoiatustekst" xfId="4603" xr:uid="{F183E4B2-CE5F-4A92-82B8-F9F48F99C385}"/>
    <cellStyle name="Hoiatustekst 2" xfId="4604" xr:uid="{1B86D0F7-AE8E-4F4E-A5BD-7A6327AD7E82}"/>
    <cellStyle name="Hoiatustekst 3" xfId="4605" xr:uid="{7B0482B6-DE34-4BCC-9836-D821BAB65C6C}"/>
    <cellStyle name="HP" xfId="4606" xr:uid="{7FB6E4FE-484A-4921-84FB-F3738E830949}"/>
    <cellStyle name="Huomautus" xfId="4607" xr:uid="{2900E5AF-7964-4E0C-8D0B-143C8760C5DA}"/>
    <cellStyle name="Huomautus 10" xfId="4608" xr:uid="{932EEDFD-0C91-4C9D-A624-8B2484D0E90E}"/>
    <cellStyle name="Huomautus 10 2" xfId="4609" xr:uid="{AD3B4C70-3519-4061-8FC1-81B769F91DAA}"/>
    <cellStyle name="Huomautus 10 2 2" xfId="4610" xr:uid="{2683504F-F6BB-48B9-BE26-68D7D15065BD}"/>
    <cellStyle name="Huomautus 10 2 2 2" xfId="17667" xr:uid="{BDC96A47-A68B-4A43-88FD-CA1D50FFDB6B}"/>
    <cellStyle name="Huomautus 10 2 3" xfId="4611" xr:uid="{5C8D56F1-75FB-4296-B2D3-A194ABDF5733}"/>
    <cellStyle name="Huomautus 10 2 3 2" xfId="17668" xr:uid="{08B20762-985D-4F5E-A5A1-6D4C213297C4}"/>
    <cellStyle name="Huomautus 10 2 4" xfId="4612" xr:uid="{43043ACA-FAAF-4CF7-BE55-7F606E6F1698}"/>
    <cellStyle name="Huomautus 10 2 4 2" xfId="17669" xr:uid="{562F2574-8A08-4146-A5D8-63F711B5DB78}"/>
    <cellStyle name="Huomautus 10 2 5" xfId="4613" xr:uid="{DA6F2AE9-F726-4752-86CB-714ECC65EDD7}"/>
    <cellStyle name="Huomautus 10 2 5 2" xfId="17670" xr:uid="{4AD1BEC4-0FC8-4DC0-A25C-F5066FD6EE8C}"/>
    <cellStyle name="Huomautus 10 2 6" xfId="17666" xr:uid="{02B6A709-200A-41CA-84D2-C8AE3367674F}"/>
    <cellStyle name="Huomautus 10 3" xfId="4614" xr:uid="{913F60F8-A03A-47F3-B45E-2F0473EEE281}"/>
    <cellStyle name="Huomautus 10 3 2" xfId="17671" xr:uid="{6A58029F-9053-4155-B227-7AAF38F0ED5C}"/>
    <cellStyle name="Huomautus 10 4" xfId="4615" xr:uid="{49BA74A2-B44D-4C2B-BFFB-7F110C6AFE30}"/>
    <cellStyle name="Huomautus 10 4 2" xfId="17672" xr:uid="{81DEB13A-D2D6-4A92-A71E-020B51586C9C}"/>
    <cellStyle name="Huomautus 10 5" xfId="4616" xr:uid="{2DAA4ED8-B6CF-4340-AF73-3092C544D2C5}"/>
    <cellStyle name="Huomautus 10 5 2" xfId="17673" xr:uid="{0AB14FB9-07CA-4B8E-87EB-B8EF936EA17E}"/>
    <cellStyle name="Huomautus 10 6" xfId="4617" xr:uid="{2A233100-B0CF-498F-8316-9C12E0F266A2}"/>
    <cellStyle name="Huomautus 10 6 2" xfId="17674" xr:uid="{61F737F5-F1EE-43F5-8462-92498C8E846E}"/>
    <cellStyle name="Huomautus 10 7" xfId="17665" xr:uid="{F6F1968D-B90E-4078-9ACC-7F7A1867CF82}"/>
    <cellStyle name="Huomautus 11" xfId="4618" xr:uid="{E2432120-C6DC-42F3-A3E9-0BEC28B20451}"/>
    <cellStyle name="Huomautus 11 2" xfId="4619" xr:uid="{3DD7E17D-0F90-41A4-A715-769E1D654249}"/>
    <cellStyle name="Huomautus 11 2 2" xfId="4620" xr:uid="{916BE35B-671F-4B30-81E9-E12F6933C38A}"/>
    <cellStyle name="Huomautus 11 2 2 2" xfId="17677" xr:uid="{AADFC6DC-FD2C-4E1E-BA1D-68C53DA1A8A5}"/>
    <cellStyle name="Huomautus 11 2 3" xfId="4621" xr:uid="{B9811067-6D18-409A-AB9F-BE7EF3264EFB}"/>
    <cellStyle name="Huomautus 11 2 3 2" xfId="17678" xr:uid="{45BEF0C0-12D4-4F15-AE84-813246D6BFEF}"/>
    <cellStyle name="Huomautus 11 2 4" xfId="4622" xr:uid="{1A52C196-F11D-4898-9ED6-071A73715A14}"/>
    <cellStyle name="Huomautus 11 2 4 2" xfId="17679" xr:uid="{6C79CD19-7568-44D4-BF83-6B884BC34D0E}"/>
    <cellStyle name="Huomautus 11 2 5" xfId="4623" xr:uid="{68161025-CC77-482A-882F-94CEA81D3F98}"/>
    <cellStyle name="Huomautus 11 2 5 2" xfId="17680" xr:uid="{FAC7C0E1-E2EC-46A1-81C1-AF3F634BF17D}"/>
    <cellStyle name="Huomautus 11 2 6" xfId="17676" xr:uid="{48C2B21F-0FCB-40D5-B766-E654C96A9119}"/>
    <cellStyle name="Huomautus 11 3" xfId="4624" xr:uid="{A12F94E5-8874-4C86-83BA-619AA409E022}"/>
    <cellStyle name="Huomautus 11 3 2" xfId="17681" xr:uid="{F133E814-8138-4DA6-A900-8F40C01607B9}"/>
    <cellStyle name="Huomautus 11 4" xfId="4625" xr:uid="{EC82A8F6-DC00-4373-A3AB-5B9EB07D9F71}"/>
    <cellStyle name="Huomautus 11 4 2" xfId="17682" xr:uid="{AA0F496A-9DF3-40F8-8302-29F6CEB1AA83}"/>
    <cellStyle name="Huomautus 11 5" xfId="4626" xr:uid="{2A941F83-8C5D-4AD9-AF5E-9D288863E94D}"/>
    <cellStyle name="Huomautus 11 5 2" xfId="17683" xr:uid="{B790409D-419C-4247-9A27-A4312130E19E}"/>
    <cellStyle name="Huomautus 11 6" xfId="4627" xr:uid="{BB68BC0C-FC35-4800-9DD5-6C1E5B1FD3B4}"/>
    <cellStyle name="Huomautus 11 6 2" xfId="17684" xr:uid="{B10AF07C-F1E4-4A81-8D6D-A117F1DE3AD1}"/>
    <cellStyle name="Huomautus 11 7" xfId="17675" xr:uid="{B9B6F82C-B871-433B-B49B-91BB7BB59E40}"/>
    <cellStyle name="Huomautus 12" xfId="4628" xr:uid="{D1345E0B-AC63-4E89-ACB0-4EA315B53E3E}"/>
    <cellStyle name="Huomautus 12 2" xfId="4629" xr:uid="{BEB020AE-01F9-47C1-988C-BAE98F74D2C3}"/>
    <cellStyle name="Huomautus 12 2 2" xfId="4630" xr:uid="{BBFC26B5-62A8-4290-A451-64670E5AC836}"/>
    <cellStyle name="Huomautus 12 2 2 2" xfId="17687" xr:uid="{43270044-C34B-414E-9BC8-319F71E9CB7B}"/>
    <cellStyle name="Huomautus 12 2 3" xfId="4631" xr:uid="{690D6BDD-E4F9-40B1-BF5C-3F1A51D10B0E}"/>
    <cellStyle name="Huomautus 12 2 3 2" xfId="17688" xr:uid="{7BC324B2-BBEB-4B86-BD21-0AE3AB2A7298}"/>
    <cellStyle name="Huomautus 12 2 4" xfId="4632" xr:uid="{1DE481A2-5B9D-419A-8C4C-C7AAF6458C5E}"/>
    <cellStyle name="Huomautus 12 2 4 2" xfId="17689" xr:uid="{77E7A013-247A-4C71-BA57-E98065FB0A76}"/>
    <cellStyle name="Huomautus 12 2 5" xfId="4633" xr:uid="{4E2969FC-D38C-4114-8FF5-ACF6D5FEC125}"/>
    <cellStyle name="Huomautus 12 2 5 2" xfId="17690" xr:uid="{9AA83B6A-957C-4148-912D-FD619A48F2DE}"/>
    <cellStyle name="Huomautus 12 2 6" xfId="17686" xr:uid="{2C6AD392-0DA4-4651-BAB8-4F13D678259E}"/>
    <cellStyle name="Huomautus 12 3" xfId="4634" xr:uid="{407CDFD4-2408-4F03-834F-9A52CDC4DD5E}"/>
    <cellStyle name="Huomautus 12 3 2" xfId="17691" xr:uid="{BD84264A-DB1E-4CE3-88F9-02CC994E25CF}"/>
    <cellStyle name="Huomautus 12 4" xfId="4635" xr:uid="{2ED2D859-7D05-448D-B1B0-CDA7E52FC9C4}"/>
    <cellStyle name="Huomautus 12 4 2" xfId="17692" xr:uid="{B11012B9-718F-40E3-B7E4-1D62519A3898}"/>
    <cellStyle name="Huomautus 12 5" xfId="4636" xr:uid="{03C43729-BF9F-4ACD-B2D1-8DEFB1CE2C7F}"/>
    <cellStyle name="Huomautus 12 5 2" xfId="17693" xr:uid="{EA9490A2-08BD-48B2-8D04-A94DA2CEDE9E}"/>
    <cellStyle name="Huomautus 12 6" xfId="4637" xr:uid="{F729E772-DEAC-405D-87ED-30DE38B49448}"/>
    <cellStyle name="Huomautus 12 6 2" xfId="17694" xr:uid="{D20C0732-9B27-4DC6-BC3A-18A3A29EAD32}"/>
    <cellStyle name="Huomautus 12 7" xfId="17685" xr:uid="{E593031A-77C9-4779-BF64-C7F6BBEC9FF0}"/>
    <cellStyle name="Huomautus 13" xfId="4638" xr:uid="{FDD2E8B3-64AC-4111-96B0-6A491C4BB6BA}"/>
    <cellStyle name="Huomautus 13 2" xfId="4639" xr:uid="{549E4457-CFE1-4D56-83CF-622DDDC2978C}"/>
    <cellStyle name="Huomautus 13 2 2" xfId="4640" xr:uid="{A3A42A5A-41EC-47CE-B6E1-EE259175D710}"/>
    <cellStyle name="Huomautus 13 2 2 2" xfId="17697" xr:uid="{6CA90DF9-1EEF-44EC-9AD5-93EFD301DDF4}"/>
    <cellStyle name="Huomautus 13 2 3" xfId="4641" xr:uid="{8D25F096-2A4C-4E06-9B4B-B1A4994FEB43}"/>
    <cellStyle name="Huomautus 13 2 3 2" xfId="17698" xr:uid="{8B7BF4CB-F1FD-4F18-8232-E09F837E3D07}"/>
    <cellStyle name="Huomautus 13 2 4" xfId="4642" xr:uid="{8B495953-C23B-4B1F-8276-3EA144462FAC}"/>
    <cellStyle name="Huomautus 13 2 4 2" xfId="17699" xr:uid="{C72FCEC3-89F3-4960-B524-DEE30B08C23B}"/>
    <cellStyle name="Huomautus 13 2 5" xfId="4643" xr:uid="{E4FFC4D3-9310-4A5E-9100-E5BDD47A6E45}"/>
    <cellStyle name="Huomautus 13 2 5 2" xfId="17700" xr:uid="{D9B3EF43-67B3-4C5A-8F83-208AC0EED7E2}"/>
    <cellStyle name="Huomautus 13 2 6" xfId="17696" xr:uid="{E7A04E43-0D11-4840-BD2F-6E4756410441}"/>
    <cellStyle name="Huomautus 13 3" xfId="4644" xr:uid="{37653E36-B07C-453A-9739-94B6CE4D7E92}"/>
    <cellStyle name="Huomautus 13 3 2" xfId="17701" xr:uid="{E6CCE2EB-7B9C-4BA3-A57A-E440F46F18EC}"/>
    <cellStyle name="Huomautus 13 4" xfId="4645" xr:uid="{F8EF7C7E-3EB6-47B1-9B68-95CC57E401E5}"/>
    <cellStyle name="Huomautus 13 4 2" xfId="17702" xr:uid="{B8BDE936-8C66-45C4-8575-31B322063849}"/>
    <cellStyle name="Huomautus 13 5" xfId="4646" xr:uid="{429E214B-A4F1-4A78-9938-D5096FAE3232}"/>
    <cellStyle name="Huomautus 13 5 2" xfId="17703" xr:uid="{9BF687FB-B35B-4628-B085-46FEE61B11A6}"/>
    <cellStyle name="Huomautus 13 6" xfId="4647" xr:uid="{18352EFF-100E-4C68-ACA5-247032F53187}"/>
    <cellStyle name="Huomautus 13 6 2" xfId="17704" xr:uid="{A522E709-D167-454F-9A08-038D88F564B7}"/>
    <cellStyle name="Huomautus 13 7" xfId="17695" xr:uid="{F8BB5357-C3DF-4553-991F-C76797FD5779}"/>
    <cellStyle name="Huomautus 14" xfId="4648" xr:uid="{F06B8D33-B531-4478-86A3-0B033C938C82}"/>
    <cellStyle name="Huomautus 14 2" xfId="4649" xr:uid="{2D86B2A3-03E8-4067-8C7C-BC077B052F69}"/>
    <cellStyle name="Huomautus 14 2 2" xfId="4650" xr:uid="{41045FF2-FDDE-42B5-83CA-D359B3907C63}"/>
    <cellStyle name="Huomautus 14 2 2 2" xfId="17707" xr:uid="{6B970AC2-E79F-4231-BE65-CA69DCE89EDC}"/>
    <cellStyle name="Huomautus 14 2 3" xfId="4651" xr:uid="{9DA43D17-A7FE-455F-9E6A-17FD0BD42E47}"/>
    <cellStyle name="Huomautus 14 2 3 2" xfId="17708" xr:uid="{DFEE1A7B-E482-4372-BDB3-D93E4803776C}"/>
    <cellStyle name="Huomautus 14 2 4" xfId="4652" xr:uid="{68EC1A92-47EC-4DFC-8A94-4C179E065878}"/>
    <cellStyle name="Huomautus 14 2 4 2" xfId="17709" xr:uid="{23594FBA-8987-47B8-999F-A5867D4F0266}"/>
    <cellStyle name="Huomautus 14 2 5" xfId="4653" xr:uid="{52223FF9-CA6E-4C00-BB25-53A39CD486FA}"/>
    <cellStyle name="Huomautus 14 2 5 2" xfId="17710" xr:uid="{674138CA-08FB-411A-8155-B9D15FE18AB4}"/>
    <cellStyle name="Huomautus 14 2 6" xfId="17706" xr:uid="{688C9ABD-95C8-4F44-8E0C-87CBA6DEB2F5}"/>
    <cellStyle name="Huomautus 14 3" xfId="4654" xr:uid="{B4C4686C-C072-4175-A27C-D92F013F0481}"/>
    <cellStyle name="Huomautus 14 3 2" xfId="17711" xr:uid="{753508D9-D34F-4DD1-8EDA-C7D96AB3BCD5}"/>
    <cellStyle name="Huomautus 14 4" xfId="4655" xr:uid="{76F207A0-AD8E-466E-A69D-D1B539A8F6D1}"/>
    <cellStyle name="Huomautus 14 4 2" xfId="17712" xr:uid="{14095BE0-C457-4FD5-ADEF-D6AD1E63FBC0}"/>
    <cellStyle name="Huomautus 14 5" xfId="4656" xr:uid="{A5AA20BA-F6FF-4FCB-B7A3-4854EA5EEF5D}"/>
    <cellStyle name="Huomautus 14 5 2" xfId="17713" xr:uid="{27D34825-9469-469E-9B82-EC86FDD42BF2}"/>
    <cellStyle name="Huomautus 14 6" xfId="4657" xr:uid="{30887674-8AAC-4157-8C32-94882F068983}"/>
    <cellStyle name="Huomautus 14 6 2" xfId="17714" xr:uid="{1273D45A-E615-4FCC-957D-6A9B104B55FE}"/>
    <cellStyle name="Huomautus 14 7" xfId="17705" xr:uid="{22C33048-BC28-438E-B7CC-07985FC1AD63}"/>
    <cellStyle name="Huomautus 15" xfId="4658" xr:uid="{2774A788-C4AF-4E47-8419-D809EBDED4C6}"/>
    <cellStyle name="Huomautus 15 2" xfId="4659" xr:uid="{216D7274-BA3D-4E52-A51A-7021976F53A3}"/>
    <cellStyle name="Huomautus 15 2 2" xfId="4660" xr:uid="{12EDEDC6-BFE0-41D6-8BBA-30F4AD5B2927}"/>
    <cellStyle name="Huomautus 15 2 2 2" xfId="17717" xr:uid="{2629C1D9-5FAB-4996-AA49-D99C0941735D}"/>
    <cellStyle name="Huomautus 15 2 3" xfId="4661" xr:uid="{AE0EBE18-5DF7-40C4-BFD6-11D5C16C5E86}"/>
    <cellStyle name="Huomautus 15 2 3 2" xfId="17718" xr:uid="{92EF5F90-C658-4CC0-A98C-DAB9DCFF7CDC}"/>
    <cellStyle name="Huomautus 15 2 4" xfId="4662" xr:uid="{52FB1756-03E5-4D42-954F-19F00577B05F}"/>
    <cellStyle name="Huomautus 15 2 4 2" xfId="17719" xr:uid="{57531E27-AE6F-49AC-8B39-7203658A065A}"/>
    <cellStyle name="Huomautus 15 2 5" xfId="4663" xr:uid="{E5412554-7AD1-444F-A7EF-F50EC3978F44}"/>
    <cellStyle name="Huomautus 15 2 5 2" xfId="17720" xr:uid="{4A68FCD0-E6F7-4864-9519-9714BB3D133C}"/>
    <cellStyle name="Huomautus 15 2 6" xfId="17716" xr:uid="{3F1015AB-DD28-47E3-AFD4-A57FC593D92E}"/>
    <cellStyle name="Huomautus 15 3" xfId="4664" xr:uid="{FC0932F4-0979-4878-B232-81FE8517E233}"/>
    <cellStyle name="Huomautus 15 3 2" xfId="17721" xr:uid="{4956181F-0A6A-4921-9BD3-8C2DF7A86277}"/>
    <cellStyle name="Huomautus 15 4" xfId="4665" xr:uid="{8C4F2FB4-94C2-4E93-95FC-7CBBFA903FF3}"/>
    <cellStyle name="Huomautus 15 4 2" xfId="17722" xr:uid="{B044848F-BF58-44DF-BB55-CD5EF3F3F145}"/>
    <cellStyle name="Huomautus 15 5" xfId="4666" xr:uid="{5624F813-0BE2-4EF2-AB56-8EC27E4C72A5}"/>
    <cellStyle name="Huomautus 15 5 2" xfId="17723" xr:uid="{2B6F7915-69ED-4748-B38B-AD1C90A2B674}"/>
    <cellStyle name="Huomautus 15 6" xfId="4667" xr:uid="{4014BBE7-04D6-413A-8434-7A0F68FEF645}"/>
    <cellStyle name="Huomautus 15 6 2" xfId="17724" xr:uid="{BB813377-0C64-44C7-97D1-58E5780C5A32}"/>
    <cellStyle name="Huomautus 15 7" xfId="17715" xr:uid="{3488D217-87D8-410E-A076-665C8CF532CB}"/>
    <cellStyle name="Huomautus 16" xfId="4668" xr:uid="{8C2B79FE-8267-4239-8A79-FEA1DE640F5C}"/>
    <cellStyle name="Huomautus 16 2" xfId="4669" xr:uid="{D294D6D8-9C0F-438A-8675-F90E9CE4B4F3}"/>
    <cellStyle name="Huomautus 16 2 2" xfId="4670" xr:uid="{5EFF62AF-7932-4BC3-B7DC-B3B8D30521E0}"/>
    <cellStyle name="Huomautus 16 2 2 2" xfId="17727" xr:uid="{F388EA81-8EFC-4ED1-B324-1B8C4E6E55B9}"/>
    <cellStyle name="Huomautus 16 2 3" xfId="4671" xr:uid="{00621FE7-E2F4-49BA-9E00-AE5D4CFDA32B}"/>
    <cellStyle name="Huomautus 16 2 3 2" xfId="17728" xr:uid="{DA3689C1-2256-4405-9741-92508F1A0A3A}"/>
    <cellStyle name="Huomautus 16 2 4" xfId="4672" xr:uid="{9396CD9B-E35F-4FD6-A1C6-2DAC9AD23285}"/>
    <cellStyle name="Huomautus 16 2 4 2" xfId="17729" xr:uid="{9EE21CD2-3C80-4268-9BE6-C9508023E131}"/>
    <cellStyle name="Huomautus 16 2 5" xfId="4673" xr:uid="{3A43DF68-75D6-4490-BA1F-7D59F409929F}"/>
    <cellStyle name="Huomautus 16 2 5 2" xfId="17730" xr:uid="{EFF0F06E-9443-45E4-95DC-6A3D91EFF15D}"/>
    <cellStyle name="Huomautus 16 2 6" xfId="17726" xr:uid="{F3EFEED9-85F9-4372-B1A9-A99106A9C445}"/>
    <cellStyle name="Huomautus 16 3" xfId="4674" xr:uid="{0665102F-E9C1-465D-ACAF-F6D4B3EA9CEF}"/>
    <cellStyle name="Huomautus 16 3 2" xfId="17731" xr:uid="{6FA0ABA2-2B26-4632-800B-D0F6D19C02B0}"/>
    <cellStyle name="Huomautus 16 4" xfId="4675" xr:uid="{5E162823-96D8-459F-8AE3-FA40F50BB754}"/>
    <cellStyle name="Huomautus 16 4 2" xfId="17732" xr:uid="{70113500-63D0-4A37-AE69-805EA11DDE99}"/>
    <cellStyle name="Huomautus 16 5" xfId="4676" xr:uid="{DFB3AB38-6681-4B8A-A051-189DE2E9B1D4}"/>
    <cellStyle name="Huomautus 16 5 2" xfId="17733" xr:uid="{8B70AA31-5724-41D9-BE2C-60A00CEED272}"/>
    <cellStyle name="Huomautus 16 6" xfId="4677" xr:uid="{64A44A75-B022-4C7B-B974-AF97B13253AE}"/>
    <cellStyle name="Huomautus 16 6 2" xfId="17734" xr:uid="{8E11E915-C007-4158-846E-311E455DC960}"/>
    <cellStyle name="Huomautus 16 7" xfId="17725" xr:uid="{2ACD61B2-1682-4D16-8333-DE830B30A0C5}"/>
    <cellStyle name="Huomautus 17" xfId="4678" xr:uid="{2A756BAC-E7A2-4078-AAB3-9F4AF2184036}"/>
    <cellStyle name="Huomautus 17 2" xfId="4679" xr:uid="{F2F5E731-DDB1-4067-AC80-78A86F22F98C}"/>
    <cellStyle name="Huomautus 17 2 2" xfId="4680" xr:uid="{813B3453-C75A-4259-A149-ED56B96F5112}"/>
    <cellStyle name="Huomautus 17 2 2 2" xfId="17737" xr:uid="{0D146EE3-AACF-4CE1-8C86-3F1C84FC9D5B}"/>
    <cellStyle name="Huomautus 17 2 3" xfId="4681" xr:uid="{7172E6E8-0A0B-410A-B007-B5EFAFF3857D}"/>
    <cellStyle name="Huomautus 17 2 3 2" xfId="17738" xr:uid="{B6F20419-7ECC-4787-B348-98FC36AF4ABE}"/>
    <cellStyle name="Huomautus 17 2 4" xfId="4682" xr:uid="{BCB45A0B-8F5C-4B14-950A-F5FCF36BC45C}"/>
    <cellStyle name="Huomautus 17 2 4 2" xfId="17739" xr:uid="{D79B6D63-01AD-4BE7-9DC2-0A9095A37B37}"/>
    <cellStyle name="Huomautus 17 2 5" xfId="4683" xr:uid="{59C8425B-8BC6-407F-9064-598689B5878B}"/>
    <cellStyle name="Huomautus 17 2 5 2" xfId="17740" xr:uid="{BCA3C68D-8E82-4980-9631-250E9A1C40DC}"/>
    <cellStyle name="Huomautus 17 2 6" xfId="17736" xr:uid="{84097F71-254C-457A-8121-B91B51E22470}"/>
    <cellStyle name="Huomautus 17 3" xfId="4684" xr:uid="{0A40DF46-0BFC-4EA7-A7D1-A0A2A08978A6}"/>
    <cellStyle name="Huomautus 17 3 2" xfId="17741" xr:uid="{00675F86-E7BB-44E4-ABDD-7F073A95F74C}"/>
    <cellStyle name="Huomautus 17 4" xfId="4685" xr:uid="{A2762177-947C-4FA3-8A6E-B2F42D08D4B3}"/>
    <cellStyle name="Huomautus 17 4 2" xfId="17742" xr:uid="{6B68423E-7C13-469A-8288-6A8C07010EB6}"/>
    <cellStyle name="Huomautus 17 5" xfId="4686" xr:uid="{8200ED97-8EB1-4AEB-BF2F-6D221984DEAD}"/>
    <cellStyle name="Huomautus 17 5 2" xfId="17743" xr:uid="{D791E2D9-EAA8-4736-87B0-58597C02367F}"/>
    <cellStyle name="Huomautus 17 6" xfId="4687" xr:uid="{1495941B-2A73-4EBF-A024-BECD7C5F828F}"/>
    <cellStyle name="Huomautus 17 6 2" xfId="17744" xr:uid="{D83BBCF0-728A-4213-A800-1D0C3FE8A438}"/>
    <cellStyle name="Huomautus 17 7" xfId="17735" xr:uid="{F9E73EAF-E24C-475A-BC88-2F4A6AA24AFA}"/>
    <cellStyle name="Huomautus 18" xfId="4688" xr:uid="{AABBB32E-45E3-477B-9501-8752638464E0}"/>
    <cellStyle name="Huomautus 18 2" xfId="4689" xr:uid="{FFC400BE-F7AB-4B17-A3B2-B6DB855D81BA}"/>
    <cellStyle name="Huomautus 18 2 2" xfId="4690" xr:uid="{50DFD372-AEB3-471B-8C72-850A244F907C}"/>
    <cellStyle name="Huomautus 18 2 2 2" xfId="17747" xr:uid="{AF2BDB95-B827-4F79-96DC-A8BFB9940FD6}"/>
    <cellStyle name="Huomautus 18 2 3" xfId="4691" xr:uid="{C06AE322-0230-4803-A4DD-C56AE248387E}"/>
    <cellStyle name="Huomautus 18 2 3 2" xfId="17748" xr:uid="{1FAA431C-A293-4A6F-ABF3-BEF6D2F6D5E3}"/>
    <cellStyle name="Huomautus 18 2 4" xfId="4692" xr:uid="{02C2FFD7-3C2F-4919-BB79-FA0EF148D6A7}"/>
    <cellStyle name="Huomautus 18 2 4 2" xfId="17749" xr:uid="{7C2105DE-05B3-4087-8B77-73125AB06553}"/>
    <cellStyle name="Huomautus 18 2 5" xfId="4693" xr:uid="{979D37CD-6429-4AC1-9738-2590DE54D0F6}"/>
    <cellStyle name="Huomautus 18 2 5 2" xfId="17750" xr:uid="{37846A0A-008C-4358-9931-C47EF3F0AFA9}"/>
    <cellStyle name="Huomautus 18 2 6" xfId="17746" xr:uid="{E1CA3E7E-AF15-4883-989D-816F16D49ED1}"/>
    <cellStyle name="Huomautus 18 3" xfId="4694" xr:uid="{C67D790D-D63E-43A1-87AB-FB69D45157EF}"/>
    <cellStyle name="Huomautus 18 3 2" xfId="17751" xr:uid="{A04BECEC-2516-421E-AEBD-296990D2436A}"/>
    <cellStyle name="Huomautus 18 4" xfId="4695" xr:uid="{22E443D1-350D-415F-B382-F332CCB1A3C8}"/>
    <cellStyle name="Huomautus 18 4 2" xfId="17752" xr:uid="{50404D74-71D0-4B50-ADED-51CD8EF014E1}"/>
    <cellStyle name="Huomautus 18 5" xfId="4696" xr:uid="{D17FB0D0-68A1-400F-BB20-1DA8E17CDFB5}"/>
    <cellStyle name="Huomautus 18 5 2" xfId="17753" xr:uid="{0428CDF9-D528-4376-A4B7-90AE3DEA3BC5}"/>
    <cellStyle name="Huomautus 18 6" xfId="4697" xr:uid="{AE67DD1A-9627-402C-B74A-C99714BDA4F6}"/>
    <cellStyle name="Huomautus 18 6 2" xfId="17754" xr:uid="{8B6159B5-ED7C-443B-9697-EE5C58F71102}"/>
    <cellStyle name="Huomautus 18 7" xfId="17745" xr:uid="{542F30CD-831F-4168-BC4B-9C739A276482}"/>
    <cellStyle name="Huomautus 19" xfId="4698" xr:uid="{A659DF96-E626-4BE1-BECD-725C16632F5E}"/>
    <cellStyle name="Huomautus 19 2" xfId="4699" xr:uid="{6692B2A6-8020-4D90-848C-E92035F703BA}"/>
    <cellStyle name="Huomautus 19 2 2" xfId="17756" xr:uid="{7F276FA7-F986-40BD-85BE-55D623B87845}"/>
    <cellStyle name="Huomautus 19 3" xfId="4700" xr:uid="{A3B9610E-2633-45AF-AC28-5C14216AAFE1}"/>
    <cellStyle name="Huomautus 19 3 2" xfId="17757" xr:uid="{D3866681-D2F2-4060-944D-EA987891057F}"/>
    <cellStyle name="Huomautus 19 4" xfId="4701" xr:uid="{F80C4328-227E-4B49-B3A3-B98F8F5A0CDE}"/>
    <cellStyle name="Huomautus 19 4 2" xfId="17758" xr:uid="{820F99FA-EE5B-45D6-A830-0D8AE8B5B105}"/>
    <cellStyle name="Huomautus 19 5" xfId="4702" xr:uid="{946545AB-7B0D-48D4-96FC-E33FB57FE0B8}"/>
    <cellStyle name="Huomautus 19 5 2" xfId="17759" xr:uid="{D2603251-6ABC-43D9-9353-72CD2CB14D34}"/>
    <cellStyle name="Huomautus 19 6" xfId="17755" xr:uid="{988867C4-977D-4912-B9E3-E2047D06E8C2}"/>
    <cellStyle name="Huomautus 2" xfId="4703" xr:uid="{FFA8CE7D-C8F5-486F-B92C-9A348A0A78B7}"/>
    <cellStyle name="Huomautus 2 2" xfId="4704" xr:uid="{B44BADFF-6F25-410E-B72C-D2C897329BB0}"/>
    <cellStyle name="Huomautus 2 2 2" xfId="4705" xr:uid="{BCCB1EB5-D49F-4F76-84AD-30301AAC6494}"/>
    <cellStyle name="Huomautus 2 2 2 2" xfId="17761" xr:uid="{1D032320-DD25-4929-9A1E-98900B066ACA}"/>
    <cellStyle name="Huomautus 2 2 3" xfId="4706" xr:uid="{CCA7B1BD-F817-473A-9305-AA534A588FBF}"/>
    <cellStyle name="Huomautus 2 2 3 2" xfId="17762" xr:uid="{A419E138-3F10-4D3F-90C2-0DC6CD54103B}"/>
    <cellStyle name="Huomautus 2 2 4" xfId="4707" xr:uid="{2F383B5F-8792-4A2C-882D-5CD248A6B430}"/>
    <cellStyle name="Huomautus 2 2 4 2" xfId="17763" xr:uid="{589C6475-28BF-458A-AC5E-93E6CB727F16}"/>
    <cellStyle name="Huomautus 2 2 5" xfId="4708" xr:uid="{DA09A55C-A04C-439E-8000-37AA3BFF4BDB}"/>
    <cellStyle name="Huomautus 2 2 5 2" xfId="17764" xr:uid="{F571AF68-890B-4A97-A4D5-31C59A25571C}"/>
    <cellStyle name="Huomautus 2 2 6" xfId="17760" xr:uid="{0B504E76-FCAE-4B08-A8CC-A15EC1472A24}"/>
    <cellStyle name="Huomautus 2 3" xfId="4709" xr:uid="{B78A28CF-E4A9-47F9-9F86-BDA25FC15147}"/>
    <cellStyle name="Huomautus 2 3 2" xfId="17765" xr:uid="{A18A3F90-0733-4AF6-ACDA-F97565423D88}"/>
    <cellStyle name="Huomautus 2 4" xfId="4710" xr:uid="{934679DC-2635-4E31-BD6A-F4D49DC4D14A}"/>
    <cellStyle name="Huomautus 2 4 2" xfId="17766" xr:uid="{C9347F59-970C-4681-8962-B4D584C5876A}"/>
    <cellStyle name="Huomautus 2 5" xfId="4711" xr:uid="{1715D1DB-AA30-4E7F-86A8-F2F1DAFE2F2E}"/>
    <cellStyle name="Huomautus 2 5 2" xfId="17767" xr:uid="{6B13B049-8428-4EC8-8B07-3D22577978B7}"/>
    <cellStyle name="Huomautus 2 6" xfId="4712" xr:uid="{6D0D5BD1-8A9A-45EC-82AE-1849B48F6468}"/>
    <cellStyle name="Huomautus 2 6 2" xfId="17768" xr:uid="{E7F70402-6096-4A84-8AC1-D23D9FF0AC44}"/>
    <cellStyle name="Huomautus 2 7" xfId="14971" xr:uid="{CD524FF5-28AB-4001-B24F-CF256E0A27B3}"/>
    <cellStyle name="Huomautus 2_PGM_CHECK" xfId="14840" xr:uid="{71943C72-FFA3-48EA-8044-2138C6C53679}"/>
    <cellStyle name="Huomautus 20" xfId="4713" xr:uid="{0D34066B-261F-463A-A3F2-C04741701C67}"/>
    <cellStyle name="Huomautus 20 2" xfId="17769" xr:uid="{2C892B3F-3896-4077-BE7C-1AE98E3CBEC3}"/>
    <cellStyle name="Huomautus 21" xfId="4714" xr:uid="{AF205B29-4F1E-42EB-B8E5-9AD7A8850309}"/>
    <cellStyle name="Huomautus 21 2" xfId="17770" xr:uid="{CBDAAB22-55E8-40D7-B86B-461D678C2CAE}"/>
    <cellStyle name="Huomautus 22" xfId="4715" xr:uid="{7972EC49-A558-4E47-B891-7384E91AA1DC}"/>
    <cellStyle name="Huomautus 22 2" xfId="17771" xr:uid="{DAF37DE0-FBA7-46EE-904E-1FE93BB36FBE}"/>
    <cellStyle name="Huomautus 23" xfId="4716" xr:uid="{F2422EC2-2ED8-4ACF-86DF-8589C12400E1}"/>
    <cellStyle name="Huomautus 23 2" xfId="17772" xr:uid="{65993DCE-270A-4ABE-BA45-CFFA8058E0CF}"/>
    <cellStyle name="Huomautus 24" xfId="14970" xr:uid="{C46C4965-CA6E-4A7A-BF02-D2F00D82B30B}"/>
    <cellStyle name="Huomautus 3" xfId="4717" xr:uid="{6182288E-FB11-4322-9826-F4A45870E56D}"/>
    <cellStyle name="Huomautus 3 2" xfId="4718" xr:uid="{DB5DDDB3-1277-448D-B292-63A774B58BA2}"/>
    <cellStyle name="Huomautus 3 2 2" xfId="4719" xr:uid="{6216752C-DEEF-40E1-B017-FD8D0E26F809}"/>
    <cellStyle name="Huomautus 3 2 2 2" xfId="17775" xr:uid="{059C13CE-9754-4246-B722-00A7A1EF5ECD}"/>
    <cellStyle name="Huomautus 3 2 3" xfId="4720" xr:uid="{8667B2D3-195F-437A-B0F7-78E535E08BF1}"/>
    <cellStyle name="Huomautus 3 2 3 2" xfId="17776" xr:uid="{29E2D445-6586-4EFC-8DBD-A4CE0ADA2AB1}"/>
    <cellStyle name="Huomautus 3 2 4" xfId="4721" xr:uid="{88C783AB-B6FF-485C-B68E-ABE004C9D42F}"/>
    <cellStyle name="Huomautus 3 2 4 2" xfId="17777" xr:uid="{F95BC8AC-54D2-48B6-96E5-254F32BBBC68}"/>
    <cellStyle name="Huomautus 3 2 5" xfId="4722" xr:uid="{10A72C21-21A0-4770-BBEC-F213633360B9}"/>
    <cellStyle name="Huomautus 3 2 5 2" xfId="17778" xr:uid="{3F2861BD-F6EE-4BDF-AB4D-478D224AEB9B}"/>
    <cellStyle name="Huomautus 3 2 6" xfId="17774" xr:uid="{61E297D7-F82B-4C1D-96EC-3211B8D6046E}"/>
    <cellStyle name="Huomautus 3 3" xfId="4723" xr:uid="{384A5A30-1027-41D6-AACC-4669713BD0C5}"/>
    <cellStyle name="Huomautus 3 3 2" xfId="17779" xr:uid="{94AD7D8E-CC1D-44DA-AD5F-60AE5BB511D2}"/>
    <cellStyle name="Huomautus 3 4" xfId="4724" xr:uid="{1665EC59-996A-477F-BD30-ECC9CF3D0329}"/>
    <cellStyle name="Huomautus 3 4 2" xfId="17780" xr:uid="{FE318143-81D9-4F34-B6D8-E24FD0A1A54A}"/>
    <cellStyle name="Huomautus 3 5" xfId="4725" xr:uid="{EBCA75FC-2CE6-45E0-A257-8E84C9A7F921}"/>
    <cellStyle name="Huomautus 3 5 2" xfId="17781" xr:uid="{9639CB9D-AA0E-4BE4-93E9-AF3C410BA4BD}"/>
    <cellStyle name="Huomautus 3 6" xfId="4726" xr:uid="{B1EFF453-6DE0-47E5-8F31-80ED98E5F7B8}"/>
    <cellStyle name="Huomautus 3 6 2" xfId="17782" xr:uid="{36412A64-E96D-4AE3-86CA-EAB6390094B0}"/>
    <cellStyle name="Huomautus 3 7" xfId="17773" xr:uid="{E83F2CB9-0696-4A40-9630-3ECEC6304015}"/>
    <cellStyle name="Huomautus 4" xfId="4727" xr:uid="{0B065C00-6D8B-4BCA-A2A1-FA7D591ED0AE}"/>
    <cellStyle name="Huomautus 4 2" xfId="4728" xr:uid="{238A761A-7F55-4631-A7D3-1B5A60F45A74}"/>
    <cellStyle name="Huomautus 4 2 2" xfId="4729" xr:uid="{E8A9AB35-EF2B-452E-9FC5-83F4E2DE2E4D}"/>
    <cellStyle name="Huomautus 4 2 2 2" xfId="17785" xr:uid="{2AFB16F9-2AF6-4BC5-AC74-D62D629A2338}"/>
    <cellStyle name="Huomautus 4 2 3" xfId="4730" xr:uid="{FDDB88FB-F2EE-40B0-A837-71C76F3851C3}"/>
    <cellStyle name="Huomautus 4 2 3 2" xfId="17786" xr:uid="{C7E3B2AF-C3A7-42EB-9C5D-7C3E38C7038D}"/>
    <cellStyle name="Huomautus 4 2 4" xfId="4731" xr:uid="{DB67E6E1-4C05-406E-945A-267CD5FC2897}"/>
    <cellStyle name="Huomautus 4 2 4 2" xfId="17787" xr:uid="{7E8FEB14-5C7D-49E2-AE6E-9C0CC2EFA343}"/>
    <cellStyle name="Huomautus 4 2 5" xfId="4732" xr:uid="{7A179864-D6E9-433C-A05E-C8ACE113FD1D}"/>
    <cellStyle name="Huomautus 4 2 5 2" xfId="17788" xr:uid="{55AEB620-9C66-4810-B450-575ED517AE83}"/>
    <cellStyle name="Huomautus 4 2 6" xfId="17784" xr:uid="{80789C18-8E3F-43EF-B384-4528BBF6AD98}"/>
    <cellStyle name="Huomautus 4 3" xfId="4733" xr:uid="{A70B142E-E237-4AD6-82D3-1210FA01BBE0}"/>
    <cellStyle name="Huomautus 4 3 2" xfId="17789" xr:uid="{228C04F2-D2FD-4395-864C-C0564940D88C}"/>
    <cellStyle name="Huomautus 4 4" xfId="4734" xr:uid="{2C58342F-4373-4DEE-9C88-93FB708825E7}"/>
    <cellStyle name="Huomautus 4 4 2" xfId="17790" xr:uid="{E465BE42-7981-44F5-A81D-FFBFF904AD64}"/>
    <cellStyle name="Huomautus 4 5" xfId="4735" xr:uid="{158A5608-1F9F-4B46-9021-00D30745AD7F}"/>
    <cellStyle name="Huomautus 4 5 2" xfId="17791" xr:uid="{E5F4E3BE-2E4C-4958-9E35-EE52774011A2}"/>
    <cellStyle name="Huomautus 4 6" xfId="4736" xr:uid="{2E390837-3ECF-4596-A751-FA2E61377514}"/>
    <cellStyle name="Huomautus 4 6 2" xfId="17792" xr:uid="{9A5486CF-F7BB-4813-8D05-9EF584D1A5F9}"/>
    <cellStyle name="Huomautus 4 7" xfId="17783" xr:uid="{EE223D6A-C910-47EC-B8F5-E62B4C55D4DC}"/>
    <cellStyle name="Huomautus 5" xfId="4737" xr:uid="{C8155252-8982-4DA6-9479-D53D614FB365}"/>
    <cellStyle name="Huomautus 5 2" xfId="4738" xr:uid="{90C8556C-33EF-47EF-9341-436D8E198EE5}"/>
    <cellStyle name="Huomautus 5 2 2" xfId="4739" xr:uid="{45A5CBB1-02F2-4671-B14D-C5E23D1A3DF5}"/>
    <cellStyle name="Huomautus 5 2 2 2" xfId="17795" xr:uid="{300E1F50-8C02-48E7-8B01-2A3F64D855CB}"/>
    <cellStyle name="Huomautus 5 2 3" xfId="4740" xr:uid="{B8C8BC20-A703-4CF1-8967-68C408F8F27A}"/>
    <cellStyle name="Huomautus 5 2 3 2" xfId="17796" xr:uid="{55D068E9-27AA-4770-A3D5-C6A63319C215}"/>
    <cellStyle name="Huomautus 5 2 4" xfId="4741" xr:uid="{8E5A0900-7079-461E-A4F8-B464C48BAA2C}"/>
    <cellStyle name="Huomautus 5 2 4 2" xfId="17797" xr:uid="{6D2EE50D-4253-4BAB-8540-18989E69299B}"/>
    <cellStyle name="Huomautus 5 2 5" xfId="4742" xr:uid="{E6E5DE9C-3935-4B65-A42F-5BC5CB2A4531}"/>
    <cellStyle name="Huomautus 5 2 5 2" xfId="17798" xr:uid="{C4B508A3-2411-4370-8908-FC3576F18E5C}"/>
    <cellStyle name="Huomautus 5 2 6" xfId="17794" xr:uid="{852BE867-E3B2-4208-8CFD-762A6740B788}"/>
    <cellStyle name="Huomautus 5 3" xfId="4743" xr:uid="{7EC55438-EFE5-4E24-A110-875C24AFFB24}"/>
    <cellStyle name="Huomautus 5 3 2" xfId="17799" xr:uid="{C85245B9-15FE-4D55-845D-2CA8B04A0BD0}"/>
    <cellStyle name="Huomautus 5 4" xfId="4744" xr:uid="{4157CFE7-B530-4D2A-A51A-7173F87046E1}"/>
    <cellStyle name="Huomautus 5 4 2" xfId="17800" xr:uid="{F4090C02-BE26-4D6E-8D25-A3A5EDDFDE9F}"/>
    <cellStyle name="Huomautus 5 5" xfId="4745" xr:uid="{4D1239AD-5244-407E-BE94-146644497E0C}"/>
    <cellStyle name="Huomautus 5 5 2" xfId="17801" xr:uid="{D794E1F3-679C-4403-BBDE-D2DA62919E4C}"/>
    <cellStyle name="Huomautus 5 6" xfId="4746" xr:uid="{A5AA230A-2AF8-4CF3-8797-4A12FB09996D}"/>
    <cellStyle name="Huomautus 5 6 2" xfId="17802" xr:uid="{2F294E45-A52D-4367-9F2B-73B7F803D8B2}"/>
    <cellStyle name="Huomautus 5 7" xfId="17793" xr:uid="{DCABD76B-DBB0-4B83-B29B-AECF8CC577C1}"/>
    <cellStyle name="Huomautus 6" xfId="4747" xr:uid="{0064C110-0256-4EA2-982A-35D223B2D3E8}"/>
    <cellStyle name="Huomautus 6 2" xfId="4748" xr:uid="{00F8CD8C-E710-4A5A-8823-FA9C586BA78C}"/>
    <cellStyle name="Huomautus 6 2 2" xfId="4749" xr:uid="{80B2473D-6B90-4859-9C94-60DA0DE5D8B1}"/>
    <cellStyle name="Huomautus 6 2 2 2" xfId="17805" xr:uid="{C56215EA-AEEC-496F-B852-A5079B9FE71E}"/>
    <cellStyle name="Huomautus 6 2 3" xfId="4750" xr:uid="{765E0D1B-C755-4069-B62C-D6141D9AA1F2}"/>
    <cellStyle name="Huomautus 6 2 3 2" xfId="17806" xr:uid="{914AF958-2B8B-4374-9E53-F83B50846D70}"/>
    <cellStyle name="Huomautus 6 2 4" xfId="4751" xr:uid="{ED072B3B-0A66-4644-9212-AD0457469E3A}"/>
    <cellStyle name="Huomautus 6 2 4 2" xfId="17807" xr:uid="{F72A535F-FB9B-4A7D-94F9-7406E3197FE6}"/>
    <cellStyle name="Huomautus 6 2 5" xfId="4752" xr:uid="{9773848B-7693-4F02-96C7-E679685B2F01}"/>
    <cellStyle name="Huomautus 6 2 5 2" xfId="17808" xr:uid="{67ED1D0A-0FD9-4BFA-9DAF-914E82989352}"/>
    <cellStyle name="Huomautus 6 2 6" xfId="17804" xr:uid="{471D72E3-7A57-4C25-812C-FDD1A8CCFE9B}"/>
    <cellStyle name="Huomautus 6 3" xfId="4753" xr:uid="{DC7B539E-3114-41EA-ACEC-D112F5933B2C}"/>
    <cellStyle name="Huomautus 6 3 2" xfId="17809" xr:uid="{7D7CBBBC-7BAE-4BB8-862F-B4CCCBEDE821}"/>
    <cellStyle name="Huomautus 6 4" xfId="4754" xr:uid="{065EE23E-F987-4C19-9587-60ED65EFADAD}"/>
    <cellStyle name="Huomautus 6 4 2" xfId="17810" xr:uid="{6E3EDF08-900B-43B0-910C-F2CBE82BC015}"/>
    <cellStyle name="Huomautus 6 5" xfId="4755" xr:uid="{F3756BDD-A968-4932-AA5B-3A70F23820B8}"/>
    <cellStyle name="Huomautus 6 5 2" xfId="17811" xr:uid="{3BBB1B4F-3658-467E-9CC2-0E5C6B07C2AC}"/>
    <cellStyle name="Huomautus 6 6" xfId="4756" xr:uid="{9B36DF10-2816-480D-9F0F-EC5C22361840}"/>
    <cellStyle name="Huomautus 6 6 2" xfId="17812" xr:uid="{D9730488-CC28-48D1-BFCA-D4E9C810BD7D}"/>
    <cellStyle name="Huomautus 6 7" xfId="17803" xr:uid="{26CDB99D-7412-4BE2-B52D-9B8B26A11CDF}"/>
    <cellStyle name="Huomautus 7" xfId="4757" xr:uid="{A355584A-12D2-4733-A238-43360641E7D8}"/>
    <cellStyle name="Huomautus 7 2" xfId="4758" xr:uid="{F8E83FBD-E53B-4F1B-A5AF-1FA6B3E18CA5}"/>
    <cellStyle name="Huomautus 7 2 2" xfId="4759" xr:uid="{19E0704C-C2BF-4995-9F6F-A5A3EEF8037A}"/>
    <cellStyle name="Huomautus 7 2 2 2" xfId="17815" xr:uid="{C6E31B98-41B2-4B11-8D40-9296DF65CBC4}"/>
    <cellStyle name="Huomautus 7 2 3" xfId="4760" xr:uid="{86369CF9-CE76-4907-BEA0-CFD99ABAA08E}"/>
    <cellStyle name="Huomautus 7 2 3 2" xfId="17816" xr:uid="{2FB1E987-C617-4861-A903-9259825A8A08}"/>
    <cellStyle name="Huomautus 7 2 4" xfId="4761" xr:uid="{EA807D6F-F8DC-4FFC-9855-40BD4E108F54}"/>
    <cellStyle name="Huomautus 7 2 4 2" xfId="17817" xr:uid="{97C58073-4A36-4EFE-A65A-C75A943CFDB4}"/>
    <cellStyle name="Huomautus 7 2 5" xfId="4762" xr:uid="{6492B4A1-EECB-4C58-A37F-FB22B7D4D76E}"/>
    <cellStyle name="Huomautus 7 2 5 2" xfId="17818" xr:uid="{EAD2AECE-1206-4994-B580-23398D25940D}"/>
    <cellStyle name="Huomautus 7 2 6" xfId="17814" xr:uid="{37519759-CE80-4487-808A-D6240637BD14}"/>
    <cellStyle name="Huomautus 7 3" xfId="4763" xr:uid="{22E1999F-D24D-4DE0-963E-9F3A5A6DFAB2}"/>
    <cellStyle name="Huomautus 7 3 2" xfId="17819" xr:uid="{7E03AFBE-6ED5-4FE2-83A9-9371A43B0C15}"/>
    <cellStyle name="Huomautus 7 4" xfId="4764" xr:uid="{7F26998C-417A-4695-A5FB-0A5D6C1B148A}"/>
    <cellStyle name="Huomautus 7 4 2" xfId="17820" xr:uid="{8ECEDF72-62B5-4A30-917E-5CF2C528B39A}"/>
    <cellStyle name="Huomautus 7 5" xfId="4765" xr:uid="{2E9E4884-D7CF-4156-8718-61097D4BCBD6}"/>
    <cellStyle name="Huomautus 7 5 2" xfId="17821" xr:uid="{51B283FA-8284-4468-9177-9DE0BF3E8962}"/>
    <cellStyle name="Huomautus 7 6" xfId="4766" xr:uid="{1ED06352-0302-43F2-806E-21E5C0D79970}"/>
    <cellStyle name="Huomautus 7 6 2" xfId="17822" xr:uid="{E8C06650-4F18-4531-B8E4-3E50A1E38319}"/>
    <cellStyle name="Huomautus 7 7" xfId="17813" xr:uid="{608EADB6-FCE3-43F7-90B6-59CBCCC26122}"/>
    <cellStyle name="Huomautus 8" xfId="4767" xr:uid="{1DA9CED3-0A72-42D2-8FC7-06BC99DDB455}"/>
    <cellStyle name="Huomautus 8 2" xfId="4768" xr:uid="{85186188-2B4E-46C2-B992-829AF5D764B1}"/>
    <cellStyle name="Huomautus 8 2 2" xfId="4769" xr:uid="{7AFCFACE-13ED-4D15-9365-CA0A5AC6EA21}"/>
    <cellStyle name="Huomautus 8 2 2 2" xfId="17825" xr:uid="{F6E60FCC-89B7-422E-B7A2-745E6E5059CE}"/>
    <cellStyle name="Huomautus 8 2 3" xfId="4770" xr:uid="{1CB988B6-1DBA-4AFE-8425-DB75DE6CAC5A}"/>
    <cellStyle name="Huomautus 8 2 3 2" xfId="17826" xr:uid="{18BD8057-CD16-4239-AE21-CE768A909563}"/>
    <cellStyle name="Huomautus 8 2 4" xfId="4771" xr:uid="{C3BFF257-4DA5-441F-9577-69109A4B16D3}"/>
    <cellStyle name="Huomautus 8 2 4 2" xfId="17827" xr:uid="{A9F2AF68-DA3B-4B54-867C-40FDFA22F099}"/>
    <cellStyle name="Huomautus 8 2 5" xfId="4772" xr:uid="{B32AB057-DC6A-4989-B64E-E22F6A31F50D}"/>
    <cellStyle name="Huomautus 8 2 5 2" xfId="17828" xr:uid="{AE84950C-72EA-4FB0-8F25-14DC0BF12C87}"/>
    <cellStyle name="Huomautus 8 2 6" xfId="17824" xr:uid="{5EDE1FB7-B900-4FB4-9C09-344ECB378CAC}"/>
    <cellStyle name="Huomautus 8 3" xfId="4773" xr:uid="{015C321D-4F4D-4173-90A4-DD399D2D1178}"/>
    <cellStyle name="Huomautus 8 3 2" xfId="17829" xr:uid="{3DB3BA76-6A0F-4268-9E40-6A6A0171F7DC}"/>
    <cellStyle name="Huomautus 8 4" xfId="4774" xr:uid="{2A607370-5557-4825-A235-57FBA0874ABB}"/>
    <cellStyle name="Huomautus 8 4 2" xfId="17830" xr:uid="{ADB33D3D-84C8-45B5-B602-ABDD744FCEF8}"/>
    <cellStyle name="Huomautus 8 5" xfId="4775" xr:uid="{AFA6774A-A2DF-4CC0-A036-F8252C4CF6E6}"/>
    <cellStyle name="Huomautus 8 5 2" xfId="17831" xr:uid="{8310CDDA-7625-4F6B-9DA1-6DD51E10829F}"/>
    <cellStyle name="Huomautus 8 6" xfId="4776" xr:uid="{1DE8468E-4E01-4FAD-82B8-8830940A286F}"/>
    <cellStyle name="Huomautus 8 6 2" xfId="17832" xr:uid="{E52698E2-6761-4F37-BB30-E4D0C623DAA3}"/>
    <cellStyle name="Huomautus 8 7" xfId="17823" xr:uid="{3BD4F046-D93E-413E-BFA2-3660AC447C67}"/>
    <cellStyle name="Huomautus 9" xfId="4777" xr:uid="{C8D6838D-56A9-4F47-8C6F-D97AAB90F720}"/>
    <cellStyle name="Huomautus 9 2" xfId="4778" xr:uid="{8BA6345B-C3EF-4F91-8550-000F575CADDB}"/>
    <cellStyle name="Huomautus 9 2 2" xfId="4779" xr:uid="{5EDB1434-FC1B-4490-9F34-B7CAC7E0E277}"/>
    <cellStyle name="Huomautus 9 2 2 2" xfId="17835" xr:uid="{D3B0B62A-60CC-4343-8F87-E47590C70F3D}"/>
    <cellStyle name="Huomautus 9 2 3" xfId="4780" xr:uid="{A5CC666F-4BEA-45AA-B19C-2D05F76A818C}"/>
    <cellStyle name="Huomautus 9 2 3 2" xfId="17836" xr:uid="{FE374656-671F-44A1-B168-16A498633509}"/>
    <cellStyle name="Huomautus 9 2 4" xfId="4781" xr:uid="{52A5DD82-F541-4D27-8A87-B9C984BE26BF}"/>
    <cellStyle name="Huomautus 9 2 4 2" xfId="17837" xr:uid="{18AE13E8-F46D-4668-A62B-B755F988EBD3}"/>
    <cellStyle name="Huomautus 9 2 5" xfId="4782" xr:uid="{E16F646D-EE74-4896-8988-21B837F40B00}"/>
    <cellStyle name="Huomautus 9 2 5 2" xfId="17838" xr:uid="{28BEF89F-7122-4FC5-9207-E1AD432567A6}"/>
    <cellStyle name="Huomautus 9 2 6" xfId="17834" xr:uid="{ABDAB5BF-0C5F-481B-9154-66BF67E50B78}"/>
    <cellStyle name="Huomautus 9 3" xfId="4783" xr:uid="{3956B56E-6883-43FC-B20C-BAE55A589A08}"/>
    <cellStyle name="Huomautus 9 3 2" xfId="17839" xr:uid="{889F38AF-977F-4DED-85BB-41D72BAEF85F}"/>
    <cellStyle name="Huomautus 9 4" xfId="4784" xr:uid="{65A52538-CC62-472C-A2B4-9CEDE3E149AC}"/>
    <cellStyle name="Huomautus 9 4 2" xfId="17840" xr:uid="{042303B7-79F3-4349-8B7C-89E51B90FEEE}"/>
    <cellStyle name="Huomautus 9 5" xfId="4785" xr:uid="{63EA5A41-0659-4B30-99A9-9C130B7699DB}"/>
    <cellStyle name="Huomautus 9 5 2" xfId="17841" xr:uid="{3149C0FF-EFDB-45F1-9018-C14D3F881CC3}"/>
    <cellStyle name="Huomautus 9 6" xfId="4786" xr:uid="{6FEB4EE2-6D47-4421-8A99-1158AF79FBCA}"/>
    <cellStyle name="Huomautus 9 6 2" xfId="17842" xr:uid="{04ADE396-E79C-43EA-8D21-1945A784A7F4}"/>
    <cellStyle name="Huomautus 9 7" xfId="17833" xr:uid="{9BC7624D-7025-4A8D-ACBF-EFA3B0744F9D}"/>
    <cellStyle name="Huomautus_PGM_CHECK" xfId="14899" xr:uid="{2D66ECCD-B5AD-4A95-9AC8-7101F67F4588}"/>
    <cellStyle name="Huono" xfId="4787" xr:uid="{A548F164-885B-486A-ABCF-76FEFB457AD4}"/>
    <cellStyle name="hvb mjhgvhgv" xfId="4788" xr:uid="{6091F059-DE6A-44C2-9DFE-D058D3A90814}"/>
    <cellStyle name="Hyperlink 2" xfId="4789" xr:uid="{6632FDBF-F016-4E55-959F-A174FCF77290}"/>
    <cellStyle name="Hyperlink 3" xfId="4790" xr:uid="{58E9333C-3452-43DC-9EA7-5FF94BCF7168}"/>
    <cellStyle name="Hyvä" xfId="4791" xr:uid="{274755CF-A927-4F3A-9347-F6FE4DCB4DE8}"/>
    <cellStyle name="Incorrecto" xfId="4792" xr:uid="{4EBBD9E6-4632-4289-AC06-2745EE772762}"/>
    <cellStyle name="Indata" xfId="4793" xr:uid="{603CD4A2-D0F7-48CA-9A4B-9A267E592F17}"/>
    <cellStyle name="Indata 10" xfId="4794" xr:uid="{A48BEFF2-B15A-4451-94AA-8C58E5AC4C9C}"/>
    <cellStyle name="Indata 10 2" xfId="4795" xr:uid="{44DF090D-647F-4071-B899-545E7F3855AD}"/>
    <cellStyle name="Indata 10 2 2" xfId="4796" xr:uid="{586D49F6-4E65-4650-A056-DF54AAB4CCDB}"/>
    <cellStyle name="Indata 10 2 2 2" xfId="17845" xr:uid="{AA839DF6-CF54-4B50-B421-BD079DF5C393}"/>
    <cellStyle name="Indata 10 2 3" xfId="4797" xr:uid="{5066731D-8C63-4D71-A404-99EF0D48A92C}"/>
    <cellStyle name="Indata 10 2 3 2" xfId="17846" xr:uid="{30DCA033-113F-4CC8-AD6F-985635AE2C56}"/>
    <cellStyle name="Indata 10 2 4" xfId="4798" xr:uid="{1B2BEF1A-3A0E-4EF0-B735-E52F4A4E8380}"/>
    <cellStyle name="Indata 10 2 4 2" xfId="17847" xr:uid="{35C41D71-22B0-47EF-AF3B-C6B274C83830}"/>
    <cellStyle name="Indata 10 2 5" xfId="4799" xr:uid="{8441881B-59B9-426D-8C16-A093DAC07543}"/>
    <cellStyle name="Indata 10 2 5 2" xfId="17848" xr:uid="{A66CB962-41F4-4B70-A1AD-8778A2A3DA3B}"/>
    <cellStyle name="Indata 10 2 6" xfId="17844" xr:uid="{6A73A6CC-E8F8-4DCE-AFEB-A45E6482E038}"/>
    <cellStyle name="Indata 10 3" xfId="4800" xr:uid="{2F55EF48-843E-48BC-BA5A-513617C87C4C}"/>
    <cellStyle name="Indata 10 3 2" xfId="17849" xr:uid="{724CB2E0-3C05-4BF6-B332-8F89755CCC31}"/>
    <cellStyle name="Indata 10 4" xfId="4801" xr:uid="{96E135F2-7462-46BA-8879-C68B682D13A8}"/>
    <cellStyle name="Indata 10 4 2" xfId="17850" xr:uid="{14A1E727-49F1-4B18-8209-E35DC02A1AD7}"/>
    <cellStyle name="Indata 10 5" xfId="4802" xr:uid="{7DAAF790-83B5-4BB4-9936-6FE5CE368559}"/>
    <cellStyle name="Indata 10 5 2" xfId="17851" xr:uid="{1B412134-AE89-47FD-8B7C-DD366B08C60E}"/>
    <cellStyle name="Indata 10 6" xfId="4803" xr:uid="{1E604536-CD7F-436B-B295-97598D9F98FF}"/>
    <cellStyle name="Indata 10 6 2" xfId="17852" xr:uid="{487053ED-6157-4F3B-BB05-27250397136E}"/>
    <cellStyle name="Indata 10 7" xfId="17843" xr:uid="{AF64DBD3-154E-44FD-9E16-7F3AD6ED49AA}"/>
    <cellStyle name="Indata 11" xfId="4804" xr:uid="{A2D28B5C-FCA6-4BEA-BB37-5C802A8B9300}"/>
    <cellStyle name="Indata 11 2" xfId="4805" xr:uid="{CA289B7D-A767-436E-AC1A-5D6D730034B3}"/>
    <cellStyle name="Indata 11 2 2" xfId="4806" xr:uid="{8E811D23-3605-4A01-BCC1-6040A2D52491}"/>
    <cellStyle name="Indata 11 2 2 2" xfId="17855" xr:uid="{FA6D32F1-71F2-40C9-B231-1A4B9B95224F}"/>
    <cellStyle name="Indata 11 2 3" xfId="4807" xr:uid="{DDC3A8A0-DF3C-41EB-818B-1316B8595FC3}"/>
    <cellStyle name="Indata 11 2 3 2" xfId="17856" xr:uid="{DE67754A-2D61-48B4-8DE6-962699C91029}"/>
    <cellStyle name="Indata 11 2 4" xfId="4808" xr:uid="{184C40E2-B1C3-413E-88E6-82DD518D9721}"/>
    <cellStyle name="Indata 11 2 4 2" xfId="17857" xr:uid="{3B02AB8F-458A-446D-A46A-EAD7E67BE01E}"/>
    <cellStyle name="Indata 11 2 5" xfId="4809" xr:uid="{75306B1B-48C2-4E3F-B29B-606FE790A9E4}"/>
    <cellStyle name="Indata 11 2 5 2" xfId="17858" xr:uid="{F094C8F5-964D-4890-9480-F1DA1EA3DE7E}"/>
    <cellStyle name="Indata 11 2 6" xfId="17854" xr:uid="{7C7B38DA-D0D9-4D36-A6C9-90D458DDD8AE}"/>
    <cellStyle name="Indata 11 3" xfId="4810" xr:uid="{B89539BD-E318-40C9-83CE-23F7CE3DBD70}"/>
    <cellStyle name="Indata 11 3 2" xfId="17859" xr:uid="{C32DB569-418E-45C0-98CB-A15E1CD7BAEA}"/>
    <cellStyle name="Indata 11 4" xfId="4811" xr:uid="{59EC44B8-6BAD-4637-B151-F0723360764F}"/>
    <cellStyle name="Indata 11 4 2" xfId="17860" xr:uid="{B6178DE8-893B-4B99-99A3-DAE7109877C5}"/>
    <cellStyle name="Indata 11 5" xfId="4812" xr:uid="{C4BD6335-ECC6-4C71-BB33-7434502AFF75}"/>
    <cellStyle name="Indata 11 5 2" xfId="17861" xr:uid="{EAADC1E8-83F3-46BE-B59F-0D5AF13E6A66}"/>
    <cellStyle name="Indata 11 6" xfId="4813" xr:uid="{DF68DFE6-6B22-4E96-B6E6-A698AF04C6A5}"/>
    <cellStyle name="Indata 11 6 2" xfId="17862" xr:uid="{0D9D1A01-00DB-4564-A869-B27D11679DA7}"/>
    <cellStyle name="Indata 11 7" xfId="17853" xr:uid="{103E9580-E09C-43A1-A923-CFF0831AEF0D}"/>
    <cellStyle name="Indata 12" xfId="4814" xr:uid="{A5B59B39-79C8-4789-95FD-6909297FB3EC}"/>
    <cellStyle name="Indata 12 2" xfId="4815" xr:uid="{8A286310-E3F5-44C2-B3E0-B97261905B6B}"/>
    <cellStyle name="Indata 12 2 2" xfId="4816" xr:uid="{E5E19C4C-17FF-4F6A-8473-01FBBFD8A77D}"/>
    <cellStyle name="Indata 12 2 2 2" xfId="17865" xr:uid="{05FD5121-EEAC-4B10-8B62-4DCE50AB7F67}"/>
    <cellStyle name="Indata 12 2 3" xfId="4817" xr:uid="{DD0BD671-3835-4195-9ECA-D4D71EABD56B}"/>
    <cellStyle name="Indata 12 2 3 2" xfId="17866" xr:uid="{287BC77F-B228-4612-B5CE-4B0230ED7357}"/>
    <cellStyle name="Indata 12 2 4" xfId="4818" xr:uid="{66D09B2B-C91A-486B-9653-DDF9F3114AC8}"/>
    <cellStyle name="Indata 12 2 4 2" xfId="17867" xr:uid="{FBD08444-B16D-4BFA-8803-3A907BCC249A}"/>
    <cellStyle name="Indata 12 2 5" xfId="4819" xr:uid="{49CEBE6B-5830-4909-B535-20532604870F}"/>
    <cellStyle name="Indata 12 2 5 2" xfId="17868" xr:uid="{D83A0C0D-4792-4375-A352-545BD6CC9291}"/>
    <cellStyle name="Indata 12 2 6" xfId="17864" xr:uid="{8F8F0B0C-89DE-41D2-AEE5-A6BA5E938038}"/>
    <cellStyle name="Indata 12 3" xfId="4820" xr:uid="{C50D622E-7BF4-4C54-B90A-994B9547DF93}"/>
    <cellStyle name="Indata 12 3 2" xfId="17869" xr:uid="{88EB3F43-2A5D-48C3-8B05-C17EFEC559AC}"/>
    <cellStyle name="Indata 12 4" xfId="4821" xr:uid="{035D1CCB-D714-4902-A3D2-0B28E2FFA3A1}"/>
    <cellStyle name="Indata 12 4 2" xfId="17870" xr:uid="{3496FAD9-4B58-4071-9239-9649DE12CBA0}"/>
    <cellStyle name="Indata 12 5" xfId="4822" xr:uid="{C7496269-5845-4A35-A9F2-D5A6D8268B2E}"/>
    <cellStyle name="Indata 12 5 2" xfId="17871" xr:uid="{DEBC7D6F-78DC-4155-85F8-C371E2B04327}"/>
    <cellStyle name="Indata 12 6" xfId="4823" xr:uid="{3DEB3531-076D-40FD-8FCB-2FAF5BB86FE7}"/>
    <cellStyle name="Indata 12 6 2" xfId="17872" xr:uid="{A51E4CB5-38DE-4F88-9875-F699C555C49B}"/>
    <cellStyle name="Indata 12 7" xfId="17863" xr:uid="{E233D4B2-3B46-4740-8B40-A07A093BED0B}"/>
    <cellStyle name="Indata 13" xfId="4824" xr:uid="{47412AB8-B962-434A-9ED4-3F7A3E31F4ED}"/>
    <cellStyle name="Indata 13 2" xfId="4825" xr:uid="{D104B51A-422F-49EB-A4F2-A2040EA0A425}"/>
    <cellStyle name="Indata 13 2 2" xfId="4826" xr:uid="{14A3E689-BC0D-47F9-B1E5-85C55CF35940}"/>
    <cellStyle name="Indata 13 2 2 2" xfId="17875" xr:uid="{0F16574B-9DC8-42AD-AF0E-E580FF84CD99}"/>
    <cellStyle name="Indata 13 2 3" xfId="4827" xr:uid="{D6ECA67B-C03A-43E4-A0BE-E2DADEEF1098}"/>
    <cellStyle name="Indata 13 2 3 2" xfId="17876" xr:uid="{01698547-76A5-4523-8876-08419DBB8F16}"/>
    <cellStyle name="Indata 13 2 4" xfId="4828" xr:uid="{5B838BC3-9D14-4688-98D1-8A0C07A223D3}"/>
    <cellStyle name="Indata 13 2 4 2" xfId="17877" xr:uid="{C22F8D96-2C08-47AD-9465-02A9D366B598}"/>
    <cellStyle name="Indata 13 2 5" xfId="4829" xr:uid="{8F0EC9B4-B146-4CCA-8C49-BC2414770FFC}"/>
    <cellStyle name="Indata 13 2 5 2" xfId="17878" xr:uid="{EB2E8AA3-37F6-4E81-BF16-E8071EEB0FF7}"/>
    <cellStyle name="Indata 13 2 6" xfId="17874" xr:uid="{57D1656C-8E3F-4DCF-8BE3-E37B312BEFC1}"/>
    <cellStyle name="Indata 13 3" xfId="4830" xr:uid="{BCD9B162-7DFC-4DA9-ADCB-51F542080FD8}"/>
    <cellStyle name="Indata 13 3 2" xfId="17879" xr:uid="{F668B9FC-2CDD-4E30-8E39-77EEFEDF744D}"/>
    <cellStyle name="Indata 13 4" xfId="4831" xr:uid="{3D620376-FE51-4CB0-AF0D-A75EAC49E230}"/>
    <cellStyle name="Indata 13 4 2" xfId="17880" xr:uid="{4DC5CBFA-9FB5-48F5-AAE9-9BC3F4051D20}"/>
    <cellStyle name="Indata 13 5" xfId="4832" xr:uid="{1A54CBFE-E99A-4B98-8242-2324AB2E0F5C}"/>
    <cellStyle name="Indata 13 5 2" xfId="17881" xr:uid="{BF2A2152-42F9-4A79-80AB-64BD5DE3ED32}"/>
    <cellStyle name="Indata 13 6" xfId="4833" xr:uid="{F3B10ED5-0735-470C-A6AD-F2B34A82C1CF}"/>
    <cellStyle name="Indata 13 6 2" xfId="17882" xr:uid="{8090A9A4-42D6-4DBA-A6E5-8A57F237724E}"/>
    <cellStyle name="Indata 13 7" xfId="17873" xr:uid="{500A4C1E-BCFA-4651-AC70-EB128B0267BE}"/>
    <cellStyle name="Indata 14" xfId="4834" xr:uid="{C4888F82-3BF3-4674-B853-2095E0B30827}"/>
    <cellStyle name="Indata 14 2" xfId="4835" xr:uid="{201C6771-ECDD-4D0C-AC04-A9112C75CAC9}"/>
    <cellStyle name="Indata 14 2 2" xfId="4836" xr:uid="{A78C061F-9D55-4495-953E-964D9C40ED4C}"/>
    <cellStyle name="Indata 14 2 2 2" xfId="17885" xr:uid="{5F6794C7-76EF-4594-BA7B-88EB76AE7959}"/>
    <cellStyle name="Indata 14 2 3" xfId="4837" xr:uid="{C93A49BA-22B6-4EDD-8898-6AF65A5A9CE5}"/>
    <cellStyle name="Indata 14 2 3 2" xfId="17886" xr:uid="{EAC4A376-7A23-498F-B8AF-CC50827395E5}"/>
    <cellStyle name="Indata 14 2 4" xfId="4838" xr:uid="{C9B5FCD4-913F-4D2A-B297-F7A4E2A84AE6}"/>
    <cellStyle name="Indata 14 2 4 2" xfId="17887" xr:uid="{84B802F5-417F-4B56-8AB6-D09BAD79B717}"/>
    <cellStyle name="Indata 14 2 5" xfId="4839" xr:uid="{BBA4AED5-14C0-4395-91DA-D3A0E9673088}"/>
    <cellStyle name="Indata 14 2 5 2" xfId="17888" xr:uid="{978C8121-7E84-43E9-9BAF-D59DD4E01954}"/>
    <cellStyle name="Indata 14 2 6" xfId="17884" xr:uid="{D8FE3AEC-52E9-4181-8237-50340BF37915}"/>
    <cellStyle name="Indata 14 3" xfId="4840" xr:uid="{1C099E48-7E43-4B7A-B91D-1C8D9093149F}"/>
    <cellStyle name="Indata 14 3 2" xfId="17889" xr:uid="{CFE27E33-2905-49BB-A1D5-8B985C856376}"/>
    <cellStyle name="Indata 14 4" xfId="4841" xr:uid="{E0525694-6149-4360-BDC6-A1BEB1D057EA}"/>
    <cellStyle name="Indata 14 4 2" xfId="17890" xr:uid="{97966BE4-C551-4DD3-921D-968FB5D37E7E}"/>
    <cellStyle name="Indata 14 5" xfId="4842" xr:uid="{EB64508A-B857-4F5E-90EF-E8714C644041}"/>
    <cellStyle name="Indata 14 5 2" xfId="17891" xr:uid="{9386C2C0-D060-4C0B-B3D0-8D037C2D4EF5}"/>
    <cellStyle name="Indata 14 6" xfId="4843" xr:uid="{368294A3-DA7C-44E8-B68F-4B6EF153545B}"/>
    <cellStyle name="Indata 14 6 2" xfId="17892" xr:uid="{91C46201-451F-4E11-9AC0-4AC70EC3B2DD}"/>
    <cellStyle name="Indata 14 7" xfId="17883" xr:uid="{BE543268-703C-410D-88AD-F9E196078AD9}"/>
    <cellStyle name="Indata 15" xfId="4844" xr:uid="{456CF18B-8051-4CA3-8DF2-B6BC6563279B}"/>
    <cellStyle name="Indata 15 2" xfId="4845" xr:uid="{7C5E02F9-A20E-45AA-B0BC-2AC5E772FEC4}"/>
    <cellStyle name="Indata 15 2 2" xfId="4846" xr:uid="{E0EDCF11-BE4D-4CC7-A1A2-73D875B9B851}"/>
    <cellStyle name="Indata 15 2 2 2" xfId="17895" xr:uid="{D53B9901-BF34-4A80-A54C-D0897C3279C4}"/>
    <cellStyle name="Indata 15 2 3" xfId="4847" xr:uid="{A317497C-3445-4053-8B61-CF9810F0D849}"/>
    <cellStyle name="Indata 15 2 3 2" xfId="17896" xr:uid="{52F7804D-5D36-4CB2-8E3A-763EBAE5AF9C}"/>
    <cellStyle name="Indata 15 2 4" xfId="4848" xr:uid="{8A770315-56E2-4515-AF7F-0B08D7AD77D2}"/>
    <cellStyle name="Indata 15 2 4 2" xfId="17897" xr:uid="{161F233A-9B6D-41C2-96A6-CB9AA64156E2}"/>
    <cellStyle name="Indata 15 2 5" xfId="4849" xr:uid="{689D401C-3DA9-4B00-BD26-4846DECB9DE3}"/>
    <cellStyle name="Indata 15 2 5 2" xfId="17898" xr:uid="{FC8E3B70-5A22-4AD8-A386-F05A85B9AA06}"/>
    <cellStyle name="Indata 15 2 6" xfId="17894" xr:uid="{3D827359-48D3-436B-BC90-CD04B56C436B}"/>
    <cellStyle name="Indata 15 3" xfId="4850" xr:uid="{BDFE7612-E32A-4137-907C-ECBEDA2D675A}"/>
    <cellStyle name="Indata 15 3 2" xfId="17899" xr:uid="{B5B1499F-A0C5-4D58-A300-945D8D3821D0}"/>
    <cellStyle name="Indata 15 4" xfId="4851" xr:uid="{905B6675-BEC0-4F73-B1F8-C2011560541C}"/>
    <cellStyle name="Indata 15 4 2" xfId="17900" xr:uid="{9E442B68-6C09-4B13-946C-4936DD46955B}"/>
    <cellStyle name="Indata 15 5" xfId="4852" xr:uid="{460EB94E-F67F-43DF-BA07-1FEF72E418F6}"/>
    <cellStyle name="Indata 15 5 2" xfId="17901" xr:uid="{08B0F0CF-0B34-4FBE-9271-8B4F61BA8BB2}"/>
    <cellStyle name="Indata 15 6" xfId="4853" xr:uid="{F4D6BB76-5E06-4DE7-9605-5044953B972C}"/>
    <cellStyle name="Indata 15 6 2" xfId="17902" xr:uid="{20400961-5EB3-4FA6-8A4F-8CBC56128851}"/>
    <cellStyle name="Indata 15 7" xfId="17893" xr:uid="{E75A7D46-3948-4698-A76E-49782E74406F}"/>
    <cellStyle name="Indata 16" xfId="4854" xr:uid="{E960579B-86FA-4344-BF2D-2C4744856602}"/>
    <cellStyle name="Indata 16 2" xfId="4855" xr:uid="{E933AF31-4DC0-42F5-B979-56A31FAFC053}"/>
    <cellStyle name="Indata 16 2 2" xfId="4856" xr:uid="{7514DFC9-C958-4B61-AB08-718DF0B8437F}"/>
    <cellStyle name="Indata 16 2 2 2" xfId="17905" xr:uid="{6783BBFB-6102-434C-B2CE-7A28CE6BC583}"/>
    <cellStyle name="Indata 16 2 3" xfId="4857" xr:uid="{62858499-4CD0-436F-9479-2B2515E4EB0C}"/>
    <cellStyle name="Indata 16 2 3 2" xfId="17906" xr:uid="{69F0E20C-B004-44E9-ABAE-BC8032AB0E5F}"/>
    <cellStyle name="Indata 16 2 4" xfId="4858" xr:uid="{73835A25-5154-4711-BBC7-D1E8CE945EDD}"/>
    <cellStyle name="Indata 16 2 4 2" xfId="17907" xr:uid="{A5736999-ADD0-413E-AA7C-36FE42E1609A}"/>
    <cellStyle name="Indata 16 2 5" xfId="4859" xr:uid="{10A883A3-6D6B-4AF8-8483-6A9FBDFC5718}"/>
    <cellStyle name="Indata 16 2 5 2" xfId="17908" xr:uid="{D0A3D1EF-8C2F-483D-9A3C-3EEF1C224004}"/>
    <cellStyle name="Indata 16 2 6" xfId="17904" xr:uid="{9D405731-E119-4435-9872-67093AD7F594}"/>
    <cellStyle name="Indata 16 3" xfId="4860" xr:uid="{9DF09E1C-F077-42CD-9BAA-1CAADD060113}"/>
    <cellStyle name="Indata 16 3 2" xfId="17909" xr:uid="{462F61BE-BCB5-41F6-817E-09CB1A970069}"/>
    <cellStyle name="Indata 16 4" xfId="4861" xr:uid="{C86D20F9-E6EB-4A6F-85FB-0789ED7194BF}"/>
    <cellStyle name="Indata 16 4 2" xfId="17910" xr:uid="{C88552AD-EAF4-44F7-BA1A-1C74939A0BC3}"/>
    <cellStyle name="Indata 16 5" xfId="4862" xr:uid="{AB40F0D7-406E-4617-B5C2-2B690439E309}"/>
    <cellStyle name="Indata 16 5 2" xfId="17911" xr:uid="{6198C74D-8550-4A2C-A0E4-17A74C624454}"/>
    <cellStyle name="Indata 16 6" xfId="4863" xr:uid="{5759B0C7-8700-49FE-B9D9-959EA25E3764}"/>
    <cellStyle name="Indata 16 6 2" xfId="17912" xr:uid="{2F062DCE-D858-428D-B0DA-45EE813150E3}"/>
    <cellStyle name="Indata 16 7" xfId="17903" xr:uid="{EE7892A5-B658-48BE-8495-B9C244816A1D}"/>
    <cellStyle name="Indata 17" xfId="4864" xr:uid="{55F37429-7DE2-460A-86CE-ED95A6A53C98}"/>
    <cellStyle name="Indata 17 2" xfId="4865" xr:uid="{1E41B461-E079-496D-A095-81AE419E54D2}"/>
    <cellStyle name="Indata 17 2 2" xfId="4866" xr:uid="{7CC25455-1E3D-4CBE-974F-637790BF758E}"/>
    <cellStyle name="Indata 17 2 2 2" xfId="17915" xr:uid="{E77F0FB5-5E9D-45DD-807E-F3394801DF5B}"/>
    <cellStyle name="Indata 17 2 3" xfId="4867" xr:uid="{BDDA5A18-5BC7-4995-BBC6-068FA0FAC56E}"/>
    <cellStyle name="Indata 17 2 3 2" xfId="17916" xr:uid="{292516E0-1093-4218-A195-BAFB14DC4936}"/>
    <cellStyle name="Indata 17 2 4" xfId="4868" xr:uid="{655021C0-DF23-4289-A9D8-EA27D482D0CD}"/>
    <cellStyle name="Indata 17 2 4 2" xfId="17917" xr:uid="{E0E03EB5-13F2-4651-96FA-9412586DAD77}"/>
    <cellStyle name="Indata 17 2 5" xfId="4869" xr:uid="{EF401FEF-F8FD-4858-B140-5B51E9CBF949}"/>
    <cellStyle name="Indata 17 2 5 2" xfId="17918" xr:uid="{6EB48FE8-E9B6-441F-A870-720B1007AF5C}"/>
    <cellStyle name="Indata 17 2 6" xfId="17914" xr:uid="{15943839-6DF1-41A5-A1FF-EB355EBDA279}"/>
    <cellStyle name="Indata 17 3" xfId="4870" xr:uid="{C52C24BD-4CBB-432B-BCCF-CC2A2CB479CF}"/>
    <cellStyle name="Indata 17 3 2" xfId="17919" xr:uid="{3B7965A5-4CC8-4FA7-82C1-4579EDF9EAFA}"/>
    <cellStyle name="Indata 17 4" xfId="4871" xr:uid="{6044D0F1-76F1-4AF3-9A08-55E93D613DC1}"/>
    <cellStyle name="Indata 17 4 2" xfId="17920" xr:uid="{D56891AF-CC75-48BC-9F30-2A91F9DE1E51}"/>
    <cellStyle name="Indata 17 5" xfId="4872" xr:uid="{29BA5FB2-C484-4C0E-BA82-EBF3670898F1}"/>
    <cellStyle name="Indata 17 5 2" xfId="17921" xr:uid="{E3688E43-10D8-4F0E-B23B-5231572B242F}"/>
    <cellStyle name="Indata 17 6" xfId="4873" xr:uid="{73F34EAE-13C3-412E-884A-D90E6583F0DE}"/>
    <cellStyle name="Indata 17 6 2" xfId="17922" xr:uid="{B9EC6144-7145-4B6A-98BF-7F7A56C607E3}"/>
    <cellStyle name="Indata 17 7" xfId="17913" xr:uid="{41FC97D0-B104-4151-A05F-9D2A6CF4E6D2}"/>
    <cellStyle name="Indata 18" xfId="4874" xr:uid="{22538ED8-5E77-44A0-A543-9AB8CB7F0607}"/>
    <cellStyle name="Indata 18 2" xfId="4875" xr:uid="{2AD7754F-E55B-4D68-9BC1-656A788D7168}"/>
    <cellStyle name="Indata 18 2 2" xfId="4876" xr:uid="{26A8D565-76DB-492E-A662-F2DFBAC23D7B}"/>
    <cellStyle name="Indata 18 2 2 2" xfId="17925" xr:uid="{B6E2795E-3B9E-4A21-BD2F-6455AC1CD999}"/>
    <cellStyle name="Indata 18 2 3" xfId="4877" xr:uid="{F20D5986-68E5-4732-8EFC-C86BACDC1466}"/>
    <cellStyle name="Indata 18 2 3 2" xfId="17926" xr:uid="{891CF4AF-B705-4FD6-9596-4F7380686656}"/>
    <cellStyle name="Indata 18 2 4" xfId="4878" xr:uid="{C33917A2-425A-4753-A639-F8399041B647}"/>
    <cellStyle name="Indata 18 2 4 2" xfId="17927" xr:uid="{5556872A-95BB-45F0-BC3B-FBE8CB38DFD8}"/>
    <cellStyle name="Indata 18 2 5" xfId="4879" xr:uid="{8CEB68CC-9A98-4782-80BB-5C380BB638BA}"/>
    <cellStyle name="Indata 18 2 5 2" xfId="17928" xr:uid="{8E1AC1C8-6001-4511-B0CF-AC938BE4387E}"/>
    <cellStyle name="Indata 18 2 6" xfId="17924" xr:uid="{13D07574-6260-4420-8394-9F86DCF91CA3}"/>
    <cellStyle name="Indata 18 3" xfId="4880" xr:uid="{3A12D6FF-BF66-4F4A-B018-5274D6839842}"/>
    <cellStyle name="Indata 18 3 2" xfId="17929" xr:uid="{EF0B3E67-35E1-4D04-8665-8EE070B2D3DC}"/>
    <cellStyle name="Indata 18 4" xfId="4881" xr:uid="{3BB24E57-2C64-4600-A8F9-41BDE585C7FF}"/>
    <cellStyle name="Indata 18 4 2" xfId="17930" xr:uid="{95774722-BC00-46D0-8444-FA2669B15583}"/>
    <cellStyle name="Indata 18 5" xfId="4882" xr:uid="{8EAB8C39-28D0-4498-814B-1D13E8E38A6A}"/>
    <cellStyle name="Indata 18 5 2" xfId="17931" xr:uid="{02A63FF3-EDE9-4422-A1B3-23D45FE456A3}"/>
    <cellStyle name="Indata 18 6" xfId="4883" xr:uid="{8E9853DD-597D-46BA-B8B2-54F81464E959}"/>
    <cellStyle name="Indata 18 6 2" xfId="17932" xr:uid="{C5E13038-C29A-4F7C-87E2-71300CB927F4}"/>
    <cellStyle name="Indata 18 7" xfId="17923" xr:uid="{3D68CB31-F87F-428E-9378-0694BB69E77D}"/>
    <cellStyle name="Indata 19" xfId="4884" xr:uid="{58E06914-7216-440C-9B5D-109BE6729A79}"/>
    <cellStyle name="Indata 19 2" xfId="4885" xr:uid="{D8D1C492-18F4-47A1-8216-5C72C87254BE}"/>
    <cellStyle name="Indata 19 2 2" xfId="17934" xr:uid="{498C094B-47DB-45A0-85FA-8450F0B718E6}"/>
    <cellStyle name="Indata 19 3" xfId="4886" xr:uid="{C4DCB2CA-04D2-44BF-A3CE-4A6C2DA44A20}"/>
    <cellStyle name="Indata 19 3 2" xfId="17935" xr:uid="{5984C7C3-1305-449B-A8E1-4BB3D1139A80}"/>
    <cellStyle name="Indata 19 4" xfId="4887" xr:uid="{EF2F07C9-4EDB-467D-8B87-4569057DD87D}"/>
    <cellStyle name="Indata 19 4 2" xfId="17936" xr:uid="{430073FC-32F0-45C0-A884-0FE3A054635B}"/>
    <cellStyle name="Indata 19 5" xfId="4888" xr:uid="{99C2438C-5798-4002-B33D-BE051B665968}"/>
    <cellStyle name="Indata 19 5 2" xfId="17937" xr:uid="{2DFF7FD3-5C70-42F1-94FD-C243171FB463}"/>
    <cellStyle name="Indata 19 6" xfId="17933" xr:uid="{7FAC8C95-C609-4E2E-AFC0-808A0A75F0B5}"/>
    <cellStyle name="Indata 2" xfId="4889" xr:uid="{4A0A966E-6529-47F5-996E-2C3137646AE8}"/>
    <cellStyle name="Indata 2 2" xfId="4890" xr:uid="{DEF76AA9-FE4B-4DB8-A4A1-46A5C5BD7A0C}"/>
    <cellStyle name="Indata 2 2 2" xfId="4891" xr:uid="{761D6C16-46FE-44B9-869C-AE336736EEBF}"/>
    <cellStyle name="Indata 2 2 2 2" xfId="17940" xr:uid="{C9B563E4-BDE5-49CC-A524-826D89D13B16}"/>
    <cellStyle name="Indata 2 2 3" xfId="4892" xr:uid="{02E967C4-4235-4511-AE7D-3DBFEE4557A5}"/>
    <cellStyle name="Indata 2 2 3 2" xfId="17941" xr:uid="{D80EE58E-ABAB-4253-B77A-95BD9A0000E1}"/>
    <cellStyle name="Indata 2 2 4" xfId="4893" xr:uid="{FE5E8465-F384-412A-BAA3-FE08A28FFD32}"/>
    <cellStyle name="Indata 2 2 4 2" xfId="17942" xr:uid="{EAFD4364-E9B0-4215-8266-E8F146E6A2CE}"/>
    <cellStyle name="Indata 2 2 5" xfId="4894" xr:uid="{3E027131-6162-4164-85DA-00359D81D3B8}"/>
    <cellStyle name="Indata 2 2 5 2" xfId="17943" xr:uid="{C86ECD56-5767-445C-BAC4-FC6272DA4124}"/>
    <cellStyle name="Indata 2 2 6" xfId="17939" xr:uid="{A42C4EB9-2D65-4204-A104-912A9B0F2CE1}"/>
    <cellStyle name="Indata 2 3" xfId="4895" xr:uid="{12727BD9-E6EA-46C8-8231-91D882055FB5}"/>
    <cellStyle name="Indata 2 3 2" xfId="17944" xr:uid="{588DC06F-71F1-4C92-8283-CC493F4022D9}"/>
    <cellStyle name="Indata 2 4" xfId="4896" xr:uid="{A6BF94F9-EEAE-402E-8A8C-6666F54D88B8}"/>
    <cellStyle name="Indata 2 4 2" xfId="17945" xr:uid="{B9C08823-3859-4C56-8C5D-F413671617BC}"/>
    <cellStyle name="Indata 2 5" xfId="4897" xr:uid="{AFC440CD-C929-4823-ADE9-B8418F190F4F}"/>
    <cellStyle name="Indata 2 5 2" xfId="17946" xr:uid="{C1D402DE-7AD6-4F9B-8FEC-D7C61E148E91}"/>
    <cellStyle name="Indata 2 6" xfId="4898" xr:uid="{8854CB19-EF0E-4F4A-9BC9-419D73CF1E52}"/>
    <cellStyle name="Indata 2 6 2" xfId="17947" xr:uid="{A8C94F23-3841-43E4-9506-16B8A345E69D}"/>
    <cellStyle name="Indata 2 7" xfId="17938" xr:uid="{E91BC345-334B-4F6A-8157-CC729AE349C0}"/>
    <cellStyle name="Indata 20" xfId="4899" xr:uid="{AD9A850D-3D12-46B9-98D3-56FF52F94B18}"/>
    <cellStyle name="Indata 20 2" xfId="17948" xr:uid="{E073E3EA-4168-431A-ABF3-5EE0008A801C}"/>
    <cellStyle name="Indata 21" xfId="4900" xr:uid="{0C3084B3-482E-4C37-9108-120A948AC741}"/>
    <cellStyle name="Indata 21 2" xfId="17949" xr:uid="{9F3C1E23-2AE9-4C7A-B107-A0866438FD51}"/>
    <cellStyle name="Indata 22" xfId="4901" xr:uid="{F11A4289-9E9A-4C2D-9F0B-95057F02B7AC}"/>
    <cellStyle name="Indata 22 2" xfId="17950" xr:uid="{C69DDB94-3A2E-4F0C-AADE-765EF68E30DA}"/>
    <cellStyle name="Indata 23" xfId="4902" xr:uid="{2ED60BC4-7E34-450F-9828-34DA448A1723}"/>
    <cellStyle name="Indata 23 2" xfId="17951" xr:uid="{A971498F-9ACA-492D-B21B-4E92E082925F}"/>
    <cellStyle name="Indata 24" xfId="14972" xr:uid="{DC85A9AC-CC30-4EF5-BA3E-710DBFC1B3B4}"/>
    <cellStyle name="Indata 3" xfId="4903" xr:uid="{C6C68412-256F-4634-8BB8-61789DBFAD68}"/>
    <cellStyle name="Indata 3 2" xfId="4904" xr:uid="{126A161D-7A82-46CC-AACE-0C45921F2A13}"/>
    <cellStyle name="Indata 3 2 2" xfId="4905" xr:uid="{88870164-61AC-4537-BCC2-3F54202A7E34}"/>
    <cellStyle name="Indata 3 2 2 2" xfId="17954" xr:uid="{BD528B43-5F38-4FE5-9C72-6148ECFE7E52}"/>
    <cellStyle name="Indata 3 2 3" xfId="4906" xr:uid="{5B55ED12-2DCA-43FD-855B-50BF82CCB5BD}"/>
    <cellStyle name="Indata 3 2 3 2" xfId="17955" xr:uid="{B3E90162-D701-4788-9625-69BFDD91BBC2}"/>
    <cellStyle name="Indata 3 2 4" xfId="4907" xr:uid="{726BC179-3943-40A1-8061-FBEBD9B7A067}"/>
    <cellStyle name="Indata 3 2 4 2" xfId="17956" xr:uid="{6816FC7C-2B4E-4A9E-AD27-A0F254041412}"/>
    <cellStyle name="Indata 3 2 5" xfId="4908" xr:uid="{81FB7369-D698-4D75-8826-9A20051782DC}"/>
    <cellStyle name="Indata 3 2 5 2" xfId="17957" xr:uid="{F8011F41-6F4A-4F0D-AAEA-D42F4DC88EF4}"/>
    <cellStyle name="Indata 3 2 6" xfId="17953" xr:uid="{525CA6CD-950F-4476-BCA3-5F52E24B52C3}"/>
    <cellStyle name="Indata 3 3" xfId="4909" xr:uid="{4928D0E5-06BB-44D7-BCA6-0B5A65D70DB7}"/>
    <cellStyle name="Indata 3 3 2" xfId="17958" xr:uid="{783ABB81-3F51-4DEC-BC05-D01C7CB5F616}"/>
    <cellStyle name="Indata 3 4" xfId="4910" xr:uid="{3F9EF59A-7E64-4778-8583-8384C4768F2F}"/>
    <cellStyle name="Indata 3 4 2" xfId="17959" xr:uid="{8FE18CB8-5F58-412B-AE2F-B509B223CA54}"/>
    <cellStyle name="Indata 3 5" xfId="4911" xr:uid="{3C6328F6-0E10-46AB-9A2F-4F940ACD8ABB}"/>
    <cellStyle name="Indata 3 5 2" xfId="17960" xr:uid="{18C595F1-62B7-4892-97EE-B0914767C9EE}"/>
    <cellStyle name="Indata 3 6" xfId="4912" xr:uid="{414C5E65-3E02-4A4D-A7EC-33E6B9BF162E}"/>
    <cellStyle name="Indata 3 6 2" xfId="17961" xr:uid="{5020D310-198A-4569-927D-E0502DA18E11}"/>
    <cellStyle name="Indata 3 7" xfId="17952" xr:uid="{521471DB-8614-46DE-987A-A727DD7CB700}"/>
    <cellStyle name="Indata 4" xfId="4913" xr:uid="{0E6F60EF-8CD4-4BBF-B6C6-3E4486011EB1}"/>
    <cellStyle name="Indata 4 2" xfId="4914" xr:uid="{1713BAE0-B6EE-4775-BF3A-99D318607CB9}"/>
    <cellStyle name="Indata 4 2 2" xfId="4915" xr:uid="{8251406A-5222-4F94-9A7E-806466079946}"/>
    <cellStyle name="Indata 4 2 2 2" xfId="17964" xr:uid="{A1E07DCF-47CE-4242-BE1A-9150B8A8F97C}"/>
    <cellStyle name="Indata 4 2 3" xfId="4916" xr:uid="{F0F28882-73EE-441A-AFE2-5D93824982AC}"/>
    <cellStyle name="Indata 4 2 3 2" xfId="17965" xr:uid="{3261E98A-BE38-4016-BD2D-4443AD7860FA}"/>
    <cellStyle name="Indata 4 2 4" xfId="4917" xr:uid="{861BE4D5-372E-486A-89C2-4C2CEC5E93A0}"/>
    <cellStyle name="Indata 4 2 4 2" xfId="17966" xr:uid="{DCC788A5-EB61-42B8-9997-89D278059608}"/>
    <cellStyle name="Indata 4 2 5" xfId="4918" xr:uid="{738A6A82-E2E4-42BE-9C81-D424C4E28984}"/>
    <cellStyle name="Indata 4 2 5 2" xfId="17967" xr:uid="{54E2AB8B-296C-4E2F-84E7-60BA9DA940E0}"/>
    <cellStyle name="Indata 4 2 6" xfId="17963" xr:uid="{3AD80C36-CE4F-4DCE-B209-9FC135ADD5E8}"/>
    <cellStyle name="Indata 4 3" xfId="4919" xr:uid="{8B2DA241-9D83-45A9-926B-0015C1C3C7DF}"/>
    <cellStyle name="Indata 4 3 2" xfId="17968" xr:uid="{1A4241F7-610E-4306-8E63-67C30E8DF901}"/>
    <cellStyle name="Indata 4 4" xfId="4920" xr:uid="{C6931D0E-B8E6-494E-8B9C-11059F97BAC2}"/>
    <cellStyle name="Indata 4 4 2" xfId="17969" xr:uid="{C93C19DC-A87C-4330-84A1-2DE93BBC8F2D}"/>
    <cellStyle name="Indata 4 5" xfId="4921" xr:uid="{810DD3F2-66AB-44CB-B758-6385D8CB22DC}"/>
    <cellStyle name="Indata 4 5 2" xfId="17970" xr:uid="{757C03C1-2910-4880-BA92-3DF8EB67D45C}"/>
    <cellStyle name="Indata 4 6" xfId="4922" xr:uid="{19630CED-D93E-4B91-93E5-11706E217B22}"/>
    <cellStyle name="Indata 4 6 2" xfId="17971" xr:uid="{ED861F85-0900-4B12-A8B6-BAE4019EF92C}"/>
    <cellStyle name="Indata 4 7" xfId="17962" xr:uid="{0B3CA278-A357-4A51-8A2E-A7A90279BA4F}"/>
    <cellStyle name="Indata 5" xfId="4923" xr:uid="{2BAD1B7C-6E86-4326-9809-357A5DE71B82}"/>
    <cellStyle name="Indata 5 2" xfId="4924" xr:uid="{2D427B23-FB18-4110-A681-B5964F4D8882}"/>
    <cellStyle name="Indata 5 2 2" xfId="4925" xr:uid="{2B7845EB-2F0E-494B-90FA-DC5EBC30A003}"/>
    <cellStyle name="Indata 5 2 2 2" xfId="17974" xr:uid="{3C8AA66C-EA5E-4CA5-857F-813A82C5D928}"/>
    <cellStyle name="Indata 5 2 3" xfId="4926" xr:uid="{E81DB90B-AAE0-4229-97B8-3673608C0E07}"/>
    <cellStyle name="Indata 5 2 3 2" xfId="17975" xr:uid="{600D8905-693F-4759-887C-586661F4B1A3}"/>
    <cellStyle name="Indata 5 2 4" xfId="4927" xr:uid="{925F02E9-4214-4455-990A-A6481EB85336}"/>
    <cellStyle name="Indata 5 2 4 2" xfId="17976" xr:uid="{B4987F81-341D-4132-970D-D6EC9878EF5C}"/>
    <cellStyle name="Indata 5 2 5" xfId="4928" xr:uid="{D641049A-A1F7-4A29-A0D5-A0B1277E5F9A}"/>
    <cellStyle name="Indata 5 2 5 2" xfId="17977" xr:uid="{4C78403A-E6DC-4F92-8533-32BC28C204E5}"/>
    <cellStyle name="Indata 5 2 6" xfId="17973" xr:uid="{2285AABC-6543-46C3-B54F-E205CF40FACC}"/>
    <cellStyle name="Indata 5 3" xfId="4929" xr:uid="{2B16BDA5-6C5D-4F5D-8B9E-BB23A61A6E80}"/>
    <cellStyle name="Indata 5 3 2" xfId="17978" xr:uid="{AB6AF8E3-0313-4D34-A335-5A6D2A92F6C2}"/>
    <cellStyle name="Indata 5 4" xfId="4930" xr:uid="{DD1BC5C9-04F4-42C6-964D-6DAAA45352AC}"/>
    <cellStyle name="Indata 5 4 2" xfId="17979" xr:uid="{73DAB104-0469-465F-A42A-605C854E81E3}"/>
    <cellStyle name="Indata 5 5" xfId="4931" xr:uid="{73F34A74-D920-48CC-8B5E-1C029C9F1173}"/>
    <cellStyle name="Indata 5 5 2" xfId="17980" xr:uid="{524ED77B-4BBA-4177-812C-EFF7834EB789}"/>
    <cellStyle name="Indata 5 6" xfId="4932" xr:uid="{FC793823-CAD8-4573-AE4D-61FF75934015}"/>
    <cellStyle name="Indata 5 6 2" xfId="17981" xr:uid="{D090E533-2FE5-402E-80A3-0E44672A9453}"/>
    <cellStyle name="Indata 5 7" xfId="17972" xr:uid="{4DC046BE-35CF-4E29-8798-71D89B748F0C}"/>
    <cellStyle name="Indata 6" xfId="4933" xr:uid="{A3A5FEB5-FEBC-461D-ADD1-47D713332EF4}"/>
    <cellStyle name="Indata 6 2" xfId="4934" xr:uid="{3A2FD8C2-6E67-434B-9A40-39B4C6C6F4D0}"/>
    <cellStyle name="Indata 6 2 2" xfId="4935" xr:uid="{6EA49BA7-99D7-4C60-AB8D-4656B54DEC5D}"/>
    <cellStyle name="Indata 6 2 2 2" xfId="17984" xr:uid="{03152201-5AF2-4562-9A29-9741E90477CF}"/>
    <cellStyle name="Indata 6 2 3" xfId="4936" xr:uid="{D8396219-947F-4E4D-B931-5FE351AF703F}"/>
    <cellStyle name="Indata 6 2 3 2" xfId="17985" xr:uid="{4A097DB1-9E78-412E-9F29-FE9225A47AC1}"/>
    <cellStyle name="Indata 6 2 4" xfId="4937" xr:uid="{F938F3C2-5D8F-4BBA-9FC5-017D46F2D41A}"/>
    <cellStyle name="Indata 6 2 4 2" xfId="17986" xr:uid="{B87C33D3-52F2-4531-95A2-4523D9247F36}"/>
    <cellStyle name="Indata 6 2 5" xfId="4938" xr:uid="{DB02D1D3-8C86-409F-8CA2-EED91C0AFBB0}"/>
    <cellStyle name="Indata 6 2 5 2" xfId="17987" xr:uid="{10090B10-41A4-4514-AF97-25C1C7AA6D88}"/>
    <cellStyle name="Indata 6 2 6" xfId="17983" xr:uid="{5E1D2951-2B3E-42CB-B99F-CAED7879D730}"/>
    <cellStyle name="Indata 6 3" xfId="4939" xr:uid="{BF0C2C0A-131C-4326-8C48-C7CCC7B47FA2}"/>
    <cellStyle name="Indata 6 3 2" xfId="17988" xr:uid="{4140B18F-D3CF-4DF0-8541-E27124C98520}"/>
    <cellStyle name="Indata 6 4" xfId="4940" xr:uid="{9689ED78-5551-4735-B309-050C4DABE721}"/>
    <cellStyle name="Indata 6 4 2" xfId="17989" xr:uid="{E0BD1165-F073-403F-9D98-9ECC6A20312B}"/>
    <cellStyle name="Indata 6 5" xfId="4941" xr:uid="{3AA1C1DD-D064-4790-AE0F-1AC5785FB169}"/>
    <cellStyle name="Indata 6 5 2" xfId="17990" xr:uid="{6ED48ED2-1961-40B7-AD39-88E80C5DBD2A}"/>
    <cellStyle name="Indata 6 6" xfId="4942" xr:uid="{FD34C0D0-568E-4418-B75B-B9F4EADD0291}"/>
    <cellStyle name="Indata 6 6 2" xfId="17991" xr:uid="{82B49670-0C25-4533-A25A-CB6092D7F094}"/>
    <cellStyle name="Indata 6 7" xfId="17982" xr:uid="{2EA52754-A5F3-4AC7-87CD-1916EE8B7851}"/>
    <cellStyle name="Indata 7" xfId="4943" xr:uid="{E27B0C13-7105-43BB-ABE0-7D1F951D8430}"/>
    <cellStyle name="Indata 7 2" xfId="4944" xr:uid="{AD5F6F29-6051-47A8-93BE-754956BC5722}"/>
    <cellStyle name="Indata 7 2 2" xfId="4945" xr:uid="{81508860-5015-4648-9802-209DAB49CE29}"/>
    <cellStyle name="Indata 7 2 2 2" xfId="17994" xr:uid="{E2FDB4F5-5B6B-468A-B611-CB1C177AAD5F}"/>
    <cellStyle name="Indata 7 2 3" xfId="4946" xr:uid="{1B385F0A-0AA2-42D1-8CBD-80D7889F772C}"/>
    <cellStyle name="Indata 7 2 3 2" xfId="17995" xr:uid="{8706283D-1B4F-42CB-9DFC-BCDDF031400B}"/>
    <cellStyle name="Indata 7 2 4" xfId="4947" xr:uid="{22A5FEF1-75EF-4396-A646-98D44A13C27E}"/>
    <cellStyle name="Indata 7 2 4 2" xfId="17996" xr:uid="{F497A643-B0E1-43CD-847B-E6F8F3B53307}"/>
    <cellStyle name="Indata 7 2 5" xfId="4948" xr:uid="{9F9DD948-6F72-4FCB-B6F6-FD9EBAFF82BB}"/>
    <cellStyle name="Indata 7 2 5 2" xfId="17997" xr:uid="{71E5C57E-31F2-4223-88FA-DBE6B9A7A368}"/>
    <cellStyle name="Indata 7 2 6" xfId="17993" xr:uid="{76A76648-F49F-4EA7-AC0E-A981DB9EF369}"/>
    <cellStyle name="Indata 7 3" xfId="4949" xr:uid="{AACDBB85-04F1-44EE-AB17-88F6658254AE}"/>
    <cellStyle name="Indata 7 3 2" xfId="17998" xr:uid="{7810AE41-C859-43A2-B16C-B9B6B02A6805}"/>
    <cellStyle name="Indata 7 4" xfId="4950" xr:uid="{ECFA9206-9771-4678-B3DC-5823ECC25A85}"/>
    <cellStyle name="Indata 7 4 2" xfId="17999" xr:uid="{A694DFA9-FABD-4917-8938-302AD7E27FE1}"/>
    <cellStyle name="Indata 7 5" xfId="4951" xr:uid="{6657A9E6-A050-4BBD-B7F0-25AFEB69CA0D}"/>
    <cellStyle name="Indata 7 5 2" xfId="18000" xr:uid="{E90EF9F4-B849-4FA4-AFED-48FED3F9B444}"/>
    <cellStyle name="Indata 7 6" xfId="4952" xr:uid="{82FED96D-896E-4627-8B90-F7B128B7372D}"/>
    <cellStyle name="Indata 7 6 2" xfId="18001" xr:uid="{4AF6541D-F894-45E2-9D4F-D14BB3362423}"/>
    <cellStyle name="Indata 7 7" xfId="17992" xr:uid="{1D26A4DD-B6EE-4FAE-BF56-243BD0FE4B02}"/>
    <cellStyle name="Indata 8" xfId="4953" xr:uid="{1786F746-0977-4A0B-B92E-F3BE9201855A}"/>
    <cellStyle name="Indata 8 2" xfId="4954" xr:uid="{B546DFEC-70C3-49F2-B907-218ADD9387FB}"/>
    <cellStyle name="Indata 8 2 2" xfId="4955" xr:uid="{1D5506F7-DF35-4D57-B3C5-F2576BFF46FF}"/>
    <cellStyle name="Indata 8 2 2 2" xfId="18004" xr:uid="{E89F14D0-35C0-4D19-969D-1B042A41BF02}"/>
    <cellStyle name="Indata 8 2 3" xfId="4956" xr:uid="{721AC94D-AA0E-4E4C-B2EC-9FCA52D28452}"/>
    <cellStyle name="Indata 8 2 3 2" xfId="18005" xr:uid="{7F819B1B-CE72-4A67-944B-96E69AB3A4B3}"/>
    <cellStyle name="Indata 8 2 4" xfId="4957" xr:uid="{830E3E72-51E2-4D8A-BE12-7D343E7999ED}"/>
    <cellStyle name="Indata 8 2 4 2" xfId="18006" xr:uid="{678F851C-B8B0-4B86-844E-2DEA841C87E4}"/>
    <cellStyle name="Indata 8 2 5" xfId="4958" xr:uid="{BD370463-22B0-49F4-9A07-2A888D273DBE}"/>
    <cellStyle name="Indata 8 2 5 2" xfId="18007" xr:uid="{506E2E71-0A8A-44A4-A62D-654513C49F26}"/>
    <cellStyle name="Indata 8 2 6" xfId="18003" xr:uid="{5EA6A372-0A48-410A-B96E-06AB1580C9CD}"/>
    <cellStyle name="Indata 8 3" xfId="4959" xr:uid="{94BD9AA9-E600-4921-ACE1-96C24BD61460}"/>
    <cellStyle name="Indata 8 3 2" xfId="18008" xr:uid="{DFC02B50-7EFD-422E-9308-2BEC7D4A93C6}"/>
    <cellStyle name="Indata 8 4" xfId="4960" xr:uid="{B257E70B-65AC-458C-B130-B6E750BC42DD}"/>
    <cellStyle name="Indata 8 4 2" xfId="18009" xr:uid="{AB57CD29-A251-4461-AEAE-B643034795FC}"/>
    <cellStyle name="Indata 8 5" xfId="4961" xr:uid="{BF75B122-04D4-40AD-BA69-D2AB24A30E06}"/>
    <cellStyle name="Indata 8 5 2" xfId="18010" xr:uid="{0F8395A2-9F9F-4644-B7AA-81E9FD2A02F2}"/>
    <cellStyle name="Indata 8 6" xfId="4962" xr:uid="{E7E9C6EA-594D-4BCB-8DA5-B70BD074C340}"/>
    <cellStyle name="Indata 8 6 2" xfId="18011" xr:uid="{FE47B03E-B54E-4FBA-8D31-6C54B4187CB4}"/>
    <cellStyle name="Indata 8 7" xfId="18002" xr:uid="{DCA1043E-3938-48B0-89B1-1A76902D7372}"/>
    <cellStyle name="Indata 9" xfId="4963" xr:uid="{4A230B0C-5585-4E9B-8AC0-E7736F73AF2E}"/>
    <cellStyle name="Indata 9 2" xfId="4964" xr:uid="{43C7A5E4-1646-4B5D-A2F7-C34D09C312F8}"/>
    <cellStyle name="Indata 9 2 2" xfId="4965" xr:uid="{ABD30316-060B-4FA4-B78E-2D05A612D106}"/>
    <cellStyle name="Indata 9 2 2 2" xfId="18014" xr:uid="{89C49B7C-02A6-42FC-933A-CBA26003553D}"/>
    <cellStyle name="Indata 9 2 3" xfId="4966" xr:uid="{A2382842-885D-4E76-B4AC-0378067BEA3F}"/>
    <cellStyle name="Indata 9 2 3 2" xfId="18015" xr:uid="{91D3B58F-543D-4A4D-B31A-3FD6C50F9C77}"/>
    <cellStyle name="Indata 9 2 4" xfId="4967" xr:uid="{A4CA1986-1D59-450C-BD4F-85886989D7FF}"/>
    <cellStyle name="Indata 9 2 4 2" xfId="18016" xr:uid="{D284CFAA-8DB3-4FF0-A6A2-9C39EE56B591}"/>
    <cellStyle name="Indata 9 2 5" xfId="4968" xr:uid="{F3C8B92D-A6CD-405B-872C-AB3D1FE6D4F0}"/>
    <cellStyle name="Indata 9 2 5 2" xfId="18017" xr:uid="{B47F4A87-8FF2-45AF-AB64-5ECBF3C48011}"/>
    <cellStyle name="Indata 9 2 6" xfId="18013" xr:uid="{035F8A3F-2B94-49A8-B811-709DD2B18981}"/>
    <cellStyle name="Indata 9 3" xfId="4969" xr:uid="{A94EFE2F-1606-45B9-80A4-B28B4F213345}"/>
    <cellStyle name="Indata 9 3 2" xfId="18018" xr:uid="{0D636CF5-F04C-4428-9FE0-708FFABF8EA7}"/>
    <cellStyle name="Indata 9 4" xfId="4970" xr:uid="{11A5120F-F8D2-4BC6-BE3E-2155ACC60BDE}"/>
    <cellStyle name="Indata 9 4 2" xfId="18019" xr:uid="{10DFBE64-093A-4A55-A213-698371F13164}"/>
    <cellStyle name="Indata 9 5" xfId="4971" xr:uid="{DFA5ED29-9145-463B-B4FF-723E178676CF}"/>
    <cellStyle name="Indata 9 5 2" xfId="18020" xr:uid="{758685DB-A36C-4EE4-99E4-C88E12D9B227}"/>
    <cellStyle name="Indata 9 6" xfId="4972" xr:uid="{A0467CBD-0450-4C4A-8CD4-01EDE29DC743}"/>
    <cellStyle name="Indata 9 6 2" xfId="18021" xr:uid="{2D8F5B62-58AF-409C-A519-500B15EA34E7}"/>
    <cellStyle name="Indata 9 7" xfId="18012" xr:uid="{7A3C4520-1E90-4ABB-8D8D-3FE1747011F4}"/>
    <cellStyle name="Indata_PGM_CHECK" xfId="14877" xr:uid="{41A57FDD-2B8E-4B9B-A0A1-1BDDCC8B6622}"/>
    <cellStyle name="Index FITT" xfId="4973" xr:uid="{41016AE5-6843-4D0D-A32E-8F75B44114E8}"/>
    <cellStyle name="Input (StyleA)" xfId="4975" xr:uid="{8191779E-3AC6-4322-B72F-51920FFCDA8F}"/>
    <cellStyle name="Input [yellow]" xfId="4976" xr:uid="{5A5C44A1-08A7-4A85-9849-18728AF09AB4}"/>
    <cellStyle name="Input 1" xfId="4977" xr:uid="{9FD7B27E-7E81-4F8D-8D53-5758A019CCB7}"/>
    <cellStyle name="Input 10" xfId="4978" xr:uid="{486CC9CD-75A1-4D19-A396-4046A0D277F2}"/>
    <cellStyle name="Input 10 2" xfId="4979" xr:uid="{FB0AE070-6CC6-4DE9-8E72-453A3D884C26}"/>
    <cellStyle name="Input 10 2 2" xfId="4980" xr:uid="{741FA541-AB97-4031-81BD-F54C9728BD1E}"/>
    <cellStyle name="Input 10 2 2 2" xfId="18025" xr:uid="{BFA8F9C6-3818-4EE9-B453-F395DA721A30}"/>
    <cellStyle name="Input 10 2 3" xfId="4981" xr:uid="{6279D456-5D2C-4CA1-A177-33714686DC50}"/>
    <cellStyle name="Input 10 2 3 2" xfId="18026" xr:uid="{7CF2A240-6592-4232-B720-5D581745A4D6}"/>
    <cellStyle name="Input 10 2 4" xfId="4982" xr:uid="{3AEE0133-D2FB-488D-B26A-03FF091FF072}"/>
    <cellStyle name="Input 10 2 4 2" xfId="18027" xr:uid="{2810BC1F-BC62-44B8-B3CA-7FDC9A03C9F9}"/>
    <cellStyle name="Input 10 2 5" xfId="4983" xr:uid="{F832C2FA-8C6E-46CE-98EE-7CDBA2711796}"/>
    <cellStyle name="Input 10 2 5 2" xfId="18028" xr:uid="{7E4BF469-DE4B-4636-AB47-58FE9423E514}"/>
    <cellStyle name="Input 10 2 6" xfId="18024" xr:uid="{237A8FF3-521A-40E9-8DD1-9BFFA2B40086}"/>
    <cellStyle name="Input 10 3" xfId="4984" xr:uid="{E0905B3A-3A99-45A9-92FA-F76BB66599BD}"/>
    <cellStyle name="Input 10 3 2" xfId="18029" xr:uid="{FDA152C2-82E2-408F-83C8-3D5115B38CC2}"/>
    <cellStyle name="Input 10 4" xfId="4985" xr:uid="{880F029A-1EF8-4C1E-B690-2ADEA2699E26}"/>
    <cellStyle name="Input 10 4 2" xfId="18030" xr:uid="{7A47DCF3-6885-42DE-A904-92744EC09EB3}"/>
    <cellStyle name="Input 10 5" xfId="4986" xr:uid="{66E98480-8622-4D58-B064-6CD752529307}"/>
    <cellStyle name="Input 10 5 2" xfId="18031" xr:uid="{45A751BA-81A0-4747-AA83-61C24FA5C855}"/>
    <cellStyle name="Input 10 6" xfId="4987" xr:uid="{80622875-C990-4C3A-8A96-B1C1BBC9A049}"/>
    <cellStyle name="Input 10 6 2" xfId="18032" xr:uid="{E7FDAF16-266F-47B9-A870-72A192FCD595}"/>
    <cellStyle name="Input 10 7" xfId="18023" xr:uid="{94B33AE4-0C20-40EF-8915-F21C5C2BC509}"/>
    <cellStyle name="Input 11" xfId="4988" xr:uid="{AC1DF803-C288-4436-A26F-7723EF88FFEF}"/>
    <cellStyle name="Input 11 2" xfId="4989" xr:uid="{DFB9B5FA-D4E9-438B-AB24-A55A34BAA915}"/>
    <cellStyle name="Input 11 2 2" xfId="4990" xr:uid="{3C6B5ECA-198E-4F72-B535-62FB751AD275}"/>
    <cellStyle name="Input 11 2 2 2" xfId="18035" xr:uid="{1FC4918A-FBA3-448F-B6B5-DB07F78E38A1}"/>
    <cellStyle name="Input 11 2 3" xfId="4991" xr:uid="{5EC53491-85C0-437E-AB5A-58CC0F8C5A85}"/>
    <cellStyle name="Input 11 2 3 2" xfId="18036" xr:uid="{1CC61BA3-1C02-457E-A272-7A6E75B56CCB}"/>
    <cellStyle name="Input 11 2 4" xfId="4992" xr:uid="{26F63D93-BD31-4CD2-8F0F-EAE5A9E49A8A}"/>
    <cellStyle name="Input 11 2 4 2" xfId="18037" xr:uid="{9359D606-E068-4D88-A785-CE5F4EB82A6E}"/>
    <cellStyle name="Input 11 2 5" xfId="4993" xr:uid="{5467B84E-BA05-4937-9AE0-5B5F76E41929}"/>
    <cellStyle name="Input 11 2 5 2" xfId="18038" xr:uid="{E11F70BB-081B-4BE6-9137-455E43228D05}"/>
    <cellStyle name="Input 11 2 6" xfId="18034" xr:uid="{D05AC03F-1151-41A0-B0F0-5BEDC98040DF}"/>
    <cellStyle name="Input 11 3" xfId="4994" xr:uid="{970BDC16-2E70-43D2-86E4-02E932E33A63}"/>
    <cellStyle name="Input 11 3 2" xfId="18039" xr:uid="{3F80E710-4659-4F31-B122-9E7F06B46058}"/>
    <cellStyle name="Input 11 4" xfId="4995" xr:uid="{56747A9C-6A36-4BF5-AA4D-7E8E6C8E41EC}"/>
    <cellStyle name="Input 11 4 2" xfId="18040" xr:uid="{E395EF41-B3C0-421E-8BFB-B6D2D1696D47}"/>
    <cellStyle name="Input 11 5" xfId="4996" xr:uid="{B08A1AFE-1025-412C-B309-D87F94E84D52}"/>
    <cellStyle name="Input 11 5 2" xfId="18041" xr:uid="{ADF52FBE-721B-444C-A403-0D5D35436681}"/>
    <cellStyle name="Input 11 6" xfId="4997" xr:uid="{BC098201-D364-42CD-BDBD-B498AC2E53E7}"/>
    <cellStyle name="Input 11 6 2" xfId="18042" xr:uid="{7747CF0D-7A7C-48F1-86AB-196A71303496}"/>
    <cellStyle name="Input 11 7" xfId="18033" xr:uid="{E51BE5A5-0568-4253-9BA1-C4782F1AF364}"/>
    <cellStyle name="Input 12" xfId="4998" xr:uid="{8A7C7CBF-B95A-4971-ACE9-97C69DCBC4D4}"/>
    <cellStyle name="Input 12 2" xfId="4999" xr:uid="{A036AAB3-91E3-446C-AFE4-62B35D1EB368}"/>
    <cellStyle name="Input 12 2 2" xfId="5000" xr:uid="{77AB38B3-02BA-480F-BBB0-3BE0E75D704B}"/>
    <cellStyle name="Input 12 2 2 2" xfId="18045" xr:uid="{42D65B33-CCD5-4F1A-AAF3-74EAFFFBB7FD}"/>
    <cellStyle name="Input 12 2 3" xfId="5001" xr:uid="{33CE5E8A-53A2-4F64-954E-48860820618C}"/>
    <cellStyle name="Input 12 2 3 2" xfId="18046" xr:uid="{EACD4B37-2E9B-4C02-8411-B347EDC22338}"/>
    <cellStyle name="Input 12 2 4" xfId="5002" xr:uid="{C5878AB1-BECE-4F36-9C01-17977EA31086}"/>
    <cellStyle name="Input 12 2 4 2" xfId="18047" xr:uid="{F2A4DA45-749D-4716-B4BE-1D5124165AE0}"/>
    <cellStyle name="Input 12 2 5" xfId="5003" xr:uid="{F48216E4-8336-4142-8179-3B65EA4056EB}"/>
    <cellStyle name="Input 12 2 5 2" xfId="18048" xr:uid="{1EFEAC60-A145-442D-BBCD-81554CED69B6}"/>
    <cellStyle name="Input 12 2 6" xfId="18044" xr:uid="{3609376F-39D5-4E5C-B879-2502D1CE1C2E}"/>
    <cellStyle name="Input 12 3" xfId="5004" xr:uid="{DE3913BD-510D-4D18-8A85-CFEBEE63B778}"/>
    <cellStyle name="Input 12 3 2" xfId="18049" xr:uid="{0E596DC3-4FA0-4E80-A8D6-54763F0EDCA8}"/>
    <cellStyle name="Input 12 4" xfId="5005" xr:uid="{76F07617-5A56-42DE-8ACB-1190345AD6B0}"/>
    <cellStyle name="Input 12 4 2" xfId="18050" xr:uid="{8B634DD3-F10D-4CF7-A9C7-C2CF4936C13E}"/>
    <cellStyle name="Input 12 5" xfId="5006" xr:uid="{EF78A034-1D19-4D10-90A3-7B76A4A1C3E8}"/>
    <cellStyle name="Input 12 5 2" xfId="18051" xr:uid="{90F45F2C-54BE-46B4-92DA-97BBBF43EC26}"/>
    <cellStyle name="Input 12 6" xfId="5007" xr:uid="{A4B94A5F-2325-4F61-8710-31C00A883090}"/>
    <cellStyle name="Input 12 6 2" xfId="18052" xr:uid="{0232FF85-CAA5-4C5B-A189-E5E80B17878F}"/>
    <cellStyle name="Input 12 7" xfId="18043" xr:uid="{E38C04EA-1415-444C-9DE3-CD8770AA29FF}"/>
    <cellStyle name="Input 13" xfId="5008" xr:uid="{8916DC53-C93C-46B0-8340-5B337E218E42}"/>
    <cellStyle name="Input 13 2" xfId="5009" xr:uid="{09F7ED41-B624-438C-A151-4FEFCBAC8D7A}"/>
    <cellStyle name="Input 13 2 2" xfId="5010" xr:uid="{76F2FB66-068E-4495-9A1F-52505DA832E0}"/>
    <cellStyle name="Input 13 2 2 2" xfId="18055" xr:uid="{84CFC142-D30E-42B4-ADAC-7742A995B4F5}"/>
    <cellStyle name="Input 13 2 3" xfId="5011" xr:uid="{B8F4CBAB-CB85-49C8-8324-AED87D8DE1B3}"/>
    <cellStyle name="Input 13 2 3 2" xfId="18056" xr:uid="{D1E71C18-59EF-4904-A9BC-05F2BA4DA456}"/>
    <cellStyle name="Input 13 2 4" xfId="5012" xr:uid="{230B764C-BCC5-4B46-9A5A-2DA907439C23}"/>
    <cellStyle name="Input 13 2 4 2" xfId="18057" xr:uid="{ACC7ACE2-BC26-4D6A-991F-A07D5FFE6504}"/>
    <cellStyle name="Input 13 2 5" xfId="5013" xr:uid="{61E90727-FB45-4549-B64E-50369A972D89}"/>
    <cellStyle name="Input 13 2 5 2" xfId="18058" xr:uid="{3173BC40-8587-4B4A-AFAB-00C0151A1621}"/>
    <cellStyle name="Input 13 2 6" xfId="18054" xr:uid="{D0879DCC-8E86-4917-94A2-34E458F0D8C5}"/>
    <cellStyle name="Input 13 3" xfId="5014" xr:uid="{B54B233B-2571-45E6-B307-6C1B5E59C976}"/>
    <cellStyle name="Input 13 3 2" xfId="18059" xr:uid="{9AFA920A-9E1A-4A38-8C64-D25F58B37512}"/>
    <cellStyle name="Input 13 4" xfId="5015" xr:uid="{3FC9A4E7-A38D-4FFB-9A59-094C179EDD3D}"/>
    <cellStyle name="Input 13 4 2" xfId="18060" xr:uid="{E120DD52-1FDA-457D-AC5B-03C994F39FA9}"/>
    <cellStyle name="Input 13 5" xfId="5016" xr:uid="{04380948-FEE0-46F6-8DCB-C13FB6BC0467}"/>
    <cellStyle name="Input 13 5 2" xfId="18061" xr:uid="{143448B7-68CD-4581-B098-3B8E635D4190}"/>
    <cellStyle name="Input 13 6" xfId="5017" xr:uid="{5C28F802-ADB6-427F-BBE7-7C810BCAEF23}"/>
    <cellStyle name="Input 13 6 2" xfId="18062" xr:uid="{33B85A95-F8FF-4B15-8750-960A82F69815}"/>
    <cellStyle name="Input 13 7" xfId="18053" xr:uid="{DE003E74-4A5F-49BB-8D4E-D4856322682E}"/>
    <cellStyle name="Input 14" xfId="5018" xr:uid="{DCB2C510-E67F-45E5-B913-D613FB5D7863}"/>
    <cellStyle name="Input 14 2" xfId="5019" xr:uid="{34A6592C-D203-4A65-B64A-119732701012}"/>
    <cellStyle name="Input 14 2 2" xfId="5020" xr:uid="{FC846FA3-2AD9-4CEC-A6DF-A1689B56A4E9}"/>
    <cellStyle name="Input 14 2 2 2" xfId="18065" xr:uid="{F77356C9-47E6-4CEA-81CD-6EB31D0E9568}"/>
    <cellStyle name="Input 14 2 3" xfId="5021" xr:uid="{D515B001-2590-490B-AC0B-957B5151CA4D}"/>
    <cellStyle name="Input 14 2 3 2" xfId="18066" xr:uid="{5E4188B7-AACD-4B6B-BEC6-EED0A2927560}"/>
    <cellStyle name="Input 14 2 4" xfId="5022" xr:uid="{6541EADC-FFB0-407D-B98D-159075F9AD78}"/>
    <cellStyle name="Input 14 2 4 2" xfId="18067" xr:uid="{6049AF22-01EB-4C73-A2F1-98CBEB4799FE}"/>
    <cellStyle name="Input 14 2 5" xfId="5023" xr:uid="{645EA948-7817-44B2-8018-B1065362586C}"/>
    <cellStyle name="Input 14 2 5 2" xfId="18068" xr:uid="{B1095AD0-F730-46B5-BBFD-557DC559D5D8}"/>
    <cellStyle name="Input 14 2 6" xfId="18064" xr:uid="{42614D15-1DA7-48BA-9E38-5B3DB2BF93EC}"/>
    <cellStyle name="Input 14 3" xfId="5024" xr:uid="{74BA3C06-FF3B-420B-844B-B300634F76AC}"/>
    <cellStyle name="Input 14 3 2" xfId="18069" xr:uid="{866DE420-354E-4552-BC15-DF10EB2D4E15}"/>
    <cellStyle name="Input 14 4" xfId="5025" xr:uid="{DB64D730-8692-405F-A408-A32976035BED}"/>
    <cellStyle name="Input 14 4 2" xfId="18070" xr:uid="{2E50C108-F85E-477F-B28D-609DEF5C7ED9}"/>
    <cellStyle name="Input 14 5" xfId="5026" xr:uid="{788005B9-C824-411D-8F13-1373BCECE762}"/>
    <cellStyle name="Input 14 5 2" xfId="18071" xr:uid="{1739C9CC-3C63-462C-B2E2-F7C43FC3F7A2}"/>
    <cellStyle name="Input 14 6" xfId="5027" xr:uid="{479B2F95-F3EF-461F-B7BC-A29082110D80}"/>
    <cellStyle name="Input 14 6 2" xfId="18072" xr:uid="{073C7D2B-9B11-4E9F-8FB0-0B6BA4F61BF7}"/>
    <cellStyle name="Input 14 7" xfId="18063" xr:uid="{AD5182B2-3353-4E84-9E86-76590B70848F}"/>
    <cellStyle name="Input 15" xfId="5028" xr:uid="{6AB66412-FA01-403B-A0E3-068E966DFACB}"/>
    <cellStyle name="Input 15 2" xfId="5029" xr:uid="{449222F0-374F-4A65-A4A4-C655F928EEA8}"/>
    <cellStyle name="Input 15 2 2" xfId="5030" xr:uid="{7581C050-97BB-4AAE-AA74-9560E6DFB6E5}"/>
    <cellStyle name="Input 15 2 2 2" xfId="18075" xr:uid="{537CF08B-0385-40ED-AA93-0C7DE81A2055}"/>
    <cellStyle name="Input 15 2 3" xfId="5031" xr:uid="{E2DC6218-87DC-46A2-AE7F-505D0E0DC158}"/>
    <cellStyle name="Input 15 2 3 2" xfId="18076" xr:uid="{F6758FB6-C86D-4E2E-9BC8-10439C3C66B2}"/>
    <cellStyle name="Input 15 2 4" xfId="5032" xr:uid="{B9A3C14F-45CD-4056-A3E7-2C548F2B2467}"/>
    <cellStyle name="Input 15 2 4 2" xfId="18077" xr:uid="{22D55D7C-256B-4729-A4AB-330671A49DFC}"/>
    <cellStyle name="Input 15 2 5" xfId="5033" xr:uid="{87401530-6DC7-4961-9141-BFD01650A5A9}"/>
    <cellStyle name="Input 15 2 5 2" xfId="18078" xr:uid="{D8785EB6-EECD-4943-8E0B-4EE40E0AF5D3}"/>
    <cellStyle name="Input 15 2 6" xfId="18074" xr:uid="{DAAF1ADA-F17B-4A31-8347-71F2C14A27E9}"/>
    <cellStyle name="Input 15 3" xfId="5034" xr:uid="{C35E3035-C85A-4679-856A-60E7B2539327}"/>
    <cellStyle name="Input 15 3 2" xfId="18079" xr:uid="{C8CE3D65-9458-4085-9A10-B9CBC164DF97}"/>
    <cellStyle name="Input 15 4" xfId="5035" xr:uid="{F7C1B131-9B3E-4070-ACA5-C37BD9AE46ED}"/>
    <cellStyle name="Input 15 4 2" xfId="18080" xr:uid="{CDE89111-DA51-43AF-A77E-EBFF8FBEEC30}"/>
    <cellStyle name="Input 15 5" xfId="5036" xr:uid="{341AC922-29CE-42F8-9E5F-633F38ABA618}"/>
    <cellStyle name="Input 15 5 2" xfId="18081" xr:uid="{D6790BD4-E91A-4B44-A0F3-7F316D154291}"/>
    <cellStyle name="Input 15 6" xfId="5037" xr:uid="{DA6CC9AD-EEA3-4507-96EA-B1DBA8814639}"/>
    <cellStyle name="Input 15 6 2" xfId="18082" xr:uid="{AB4CBA1E-9924-4998-8458-A22ABB1AFC59}"/>
    <cellStyle name="Input 15 7" xfId="18073" xr:uid="{CC536567-D0A7-459E-ACF5-8122BAB8470B}"/>
    <cellStyle name="Input 16" xfId="5038" xr:uid="{7074C4DB-112E-41E0-A001-73920C59A62C}"/>
    <cellStyle name="Input 16 2" xfId="5039" xr:uid="{E4E9DD55-6F2C-4309-942F-720278AB8393}"/>
    <cellStyle name="Input 16 2 2" xfId="5040" xr:uid="{9E7B4EBF-FC52-45AA-8AAE-8860A038F806}"/>
    <cellStyle name="Input 16 2 2 2" xfId="18085" xr:uid="{6D8388A3-4BB4-434B-AACF-987AD8532197}"/>
    <cellStyle name="Input 16 2 3" xfId="5041" xr:uid="{BE39FBBE-84B5-473E-A835-61FDD0BA1A7B}"/>
    <cellStyle name="Input 16 2 3 2" xfId="18086" xr:uid="{7E60E208-DC80-4382-ADF9-ABAC9A5744D8}"/>
    <cellStyle name="Input 16 2 4" xfId="5042" xr:uid="{72CA3D39-77B5-4DCB-9F44-336C531E0313}"/>
    <cellStyle name="Input 16 2 4 2" xfId="18087" xr:uid="{880AFBCE-946B-494B-A73E-9FA53D7C511B}"/>
    <cellStyle name="Input 16 2 5" xfId="5043" xr:uid="{E0C36452-8D26-4658-ADD6-50455D868AB1}"/>
    <cellStyle name="Input 16 2 5 2" xfId="18088" xr:uid="{BB406C92-3152-4924-9712-84C2F4B67918}"/>
    <cellStyle name="Input 16 2 6" xfId="18084" xr:uid="{67E29CF3-7A22-4085-B999-947654E1C6B7}"/>
    <cellStyle name="Input 16 3" xfId="5044" xr:uid="{132B4C85-E656-4AD5-9235-1BF33FC69F4B}"/>
    <cellStyle name="Input 16 3 2" xfId="18089" xr:uid="{0D361A0E-FAE0-45EC-AC26-D6CBC13213F6}"/>
    <cellStyle name="Input 16 4" xfId="5045" xr:uid="{8A1F87A0-08C3-412C-9E20-145C6FC5F445}"/>
    <cellStyle name="Input 16 4 2" xfId="18090" xr:uid="{8591113A-AA20-4621-96C1-89E592A7BE8E}"/>
    <cellStyle name="Input 16 5" xfId="5046" xr:uid="{8E9D4482-303C-4175-9D3F-CA3629D86622}"/>
    <cellStyle name="Input 16 5 2" xfId="18091" xr:uid="{637AECFC-B683-4AE6-997A-9DEDA069FECB}"/>
    <cellStyle name="Input 16 6" xfId="5047" xr:uid="{2367690B-117D-4F18-BD8F-2CDE85200B86}"/>
    <cellStyle name="Input 16 6 2" xfId="18092" xr:uid="{7CC43ECD-7323-4615-AE39-91DA1C4DE0C0}"/>
    <cellStyle name="Input 16 7" xfId="18083" xr:uid="{117067A3-770D-4836-99E6-DC9C20582A41}"/>
    <cellStyle name="Input 17" xfId="5048" xr:uid="{F68E603B-E018-47E6-BD1D-A3C141F52B3D}"/>
    <cellStyle name="Input 17 2" xfId="5049" xr:uid="{CDECDFD2-BC94-406A-BFAB-EE9AA89D3AA8}"/>
    <cellStyle name="Input 17 2 2" xfId="18094" xr:uid="{023DABAA-85A7-4D2A-B59F-FD610CA47D82}"/>
    <cellStyle name="Input 17 3" xfId="5050" xr:uid="{9CCFEEAC-B3A0-4C47-9514-92D98C8E7CC4}"/>
    <cellStyle name="Input 17 3 2" xfId="18095" xr:uid="{1D1DF7E6-36C8-4BB6-A504-85A25466A70B}"/>
    <cellStyle name="Input 17 4" xfId="5051" xr:uid="{E5CBFAC1-77FB-4052-A1EB-B976D982F2A0}"/>
    <cellStyle name="Input 17 4 2" xfId="18096" xr:uid="{614CC710-B265-4D44-8637-6A09ED7B4036}"/>
    <cellStyle name="Input 17 5" xfId="5052" xr:uid="{DDF6DAD4-A061-4FB4-95FD-539C062D3413}"/>
    <cellStyle name="Input 17 5 2" xfId="18097" xr:uid="{334EDAA3-7DF2-493E-9A19-8C9C1726B82F}"/>
    <cellStyle name="Input 17 6" xfId="18093" xr:uid="{71A17B40-C3DA-457B-BCBF-FD3736BB7E18}"/>
    <cellStyle name="Input 18" xfId="5053" xr:uid="{C7C54810-F115-44B2-B906-9B8F14625D8E}"/>
    <cellStyle name="Input 18 2" xfId="5054" xr:uid="{56B4594C-43CA-46CE-B893-A989F5890076}"/>
    <cellStyle name="Input 18 2 2" xfId="18099" xr:uid="{96D3A50A-B4C5-40A2-9AE9-52AD09EFE6E6}"/>
    <cellStyle name="Input 18 3" xfId="5055" xr:uid="{FA672789-4A84-42BD-9BF1-229CE87F6735}"/>
    <cellStyle name="Input 18 3 2" xfId="18100" xr:uid="{AE5858CC-60CA-41D8-BFE0-3911432FC206}"/>
    <cellStyle name="Input 18 4" xfId="5056" xr:uid="{BB71F24D-A85D-4672-A908-707FD7DA9C5D}"/>
    <cellStyle name="Input 18 4 2" xfId="18101" xr:uid="{35024A1F-96FB-4C21-9D76-EA58781D3EC3}"/>
    <cellStyle name="Input 18 5" xfId="5057" xr:uid="{0C5DE6A5-B178-4602-937B-E55C837599E4}"/>
    <cellStyle name="Input 18 5 2" xfId="18102" xr:uid="{CD4F42D2-D3C5-423B-B113-7D9717C00FAE}"/>
    <cellStyle name="Input 18 6" xfId="18098" xr:uid="{05F41293-550C-4A5E-AFEF-A2F3B25A547F}"/>
    <cellStyle name="Input 19" xfId="5058" xr:uid="{F1016AF9-6938-4D7B-82D7-63F7FA80437B}"/>
    <cellStyle name="Input 19 2" xfId="18103" xr:uid="{001B628B-3E87-485C-A230-08BF9FEE9797}"/>
    <cellStyle name="Input 2" xfId="5059" xr:uid="{997F9824-4FDC-4E78-9F9B-A6BA707BA510}"/>
    <cellStyle name="Input 2 2" xfId="5060" xr:uid="{03AB9E96-8B32-4A31-994D-7E2221BD60B5}"/>
    <cellStyle name="Input 2 2 2" xfId="5061" xr:uid="{465CFF16-3EE7-488B-A703-44E37CE4279D}"/>
    <cellStyle name="Input 2 2 2 2" xfId="18105" xr:uid="{629ACF2D-3639-49A3-8B30-4E613ADE0CFF}"/>
    <cellStyle name="Input 2 2 3" xfId="5062" xr:uid="{8EF71774-E608-4A7E-B7F7-1701BE4F2B3F}"/>
    <cellStyle name="Input 2 2 3 2" xfId="18106" xr:uid="{B968B5A4-6020-4CF9-B3A0-4770888CD27C}"/>
    <cellStyle name="Input 2 2 4" xfId="5063" xr:uid="{A30F0458-5C0E-4A85-9929-18EF1F849D56}"/>
    <cellStyle name="Input 2 2 4 2" xfId="18107" xr:uid="{3486B0BC-01CA-4DFF-863C-439842DFFFBC}"/>
    <cellStyle name="Input 2 2 5" xfId="5064" xr:uid="{FF8F7A6E-F33E-4D3F-98C7-58B52BA519D7}"/>
    <cellStyle name="Input 2 2 5 2" xfId="18108" xr:uid="{EAFF56B7-8B76-426C-BC25-2F79DD7F28B7}"/>
    <cellStyle name="Input 2 2 6" xfId="18104" xr:uid="{BFD0CB4F-AB12-4A1F-9FA3-449DAA009DA6}"/>
    <cellStyle name="Input 2 3" xfId="5065" xr:uid="{DDACA1D0-0997-409E-A381-58344816F150}"/>
    <cellStyle name="Input 2_KTR An-Abflug" xfId="14696" xr:uid="{099C8822-9EF0-47E1-9B2C-63D8EA739FA2}"/>
    <cellStyle name="Input 20" xfId="5066" xr:uid="{DB50A64E-8726-43B9-8BED-BC59E1DAD130}"/>
    <cellStyle name="Input 20 2" xfId="18109" xr:uid="{CB26BE2E-3FDD-4A3E-9B79-310A6B00BF7C}"/>
    <cellStyle name="Input 21" xfId="5067" xr:uid="{3BDE98B8-E06D-4846-8855-A7E69F3A7DFA}"/>
    <cellStyle name="Input 21 2" xfId="18110" xr:uid="{E07EF159-978E-48C9-9CDE-4DFA8F09A0CB}"/>
    <cellStyle name="Input 22" xfId="5068" xr:uid="{3BFE43C6-4663-419C-9FAF-77E34AF7E027}"/>
    <cellStyle name="Input 22 2" xfId="18111" xr:uid="{0304AEB9-3C25-4C6F-874A-9276248BAD34}"/>
    <cellStyle name="Input 23" xfId="5069" xr:uid="{13731D76-248E-420E-A045-F00D4B77133A}"/>
    <cellStyle name="Input 23 2" xfId="18112" xr:uid="{4932B77C-6640-416A-BD54-8140C70D6BFC}"/>
    <cellStyle name="Input 24" xfId="5070" xr:uid="{9EC2CE06-ECE1-4202-B35A-7C55AC7F4F38}"/>
    <cellStyle name="Input 24 2" xfId="18113" xr:uid="{84EF841B-A6E3-48F0-8DF4-EF0291886735}"/>
    <cellStyle name="Input 25" xfId="18022" xr:uid="{4EB1EFEA-9FF2-4322-A31A-33A5135D249B}"/>
    <cellStyle name="Input 26" xfId="15434" xr:uid="{3E29C286-EB65-4421-876A-08E2DFD634B0}"/>
    <cellStyle name="Input 27" xfId="4974" xr:uid="{CBA1A9ED-9AC8-437A-91A1-0FC80FE214FC}"/>
    <cellStyle name="Input 28" xfId="25850" xr:uid="{B16C15C3-E82E-41F9-8AE6-3719E19C57EA}"/>
    <cellStyle name="Input 29" xfId="25878" xr:uid="{22FBAEAE-55EF-4AB8-B89C-06C7175EF4F7}"/>
    <cellStyle name="Input 3" xfId="5071" xr:uid="{99905ABA-81EF-4ED9-BEC0-8C7D623C82AD}"/>
    <cellStyle name="Input 3 2" xfId="5072" xr:uid="{FC2CF71A-04D7-45B8-B713-511825C042B6}"/>
    <cellStyle name="Input 3 2 2" xfId="5073" xr:uid="{54D10CD5-6381-4F9E-8FFB-47A6C7729832}"/>
    <cellStyle name="Input 3 2 3" xfId="5074" xr:uid="{ADF28416-F34C-401D-83D1-B081C2BD94FE}"/>
    <cellStyle name="Input 3 2 3 2" xfId="18115" xr:uid="{4D1C5C00-7C5C-449A-A1C8-356986D167FD}"/>
    <cellStyle name="Input 3 2 4" xfId="5075" xr:uid="{45BB4584-FB4B-4FEF-8A35-C9D2EDE43782}"/>
    <cellStyle name="Input 3 2 4 2" xfId="18116" xr:uid="{5253AECB-AD8A-4FAB-9471-305EA358C0D7}"/>
    <cellStyle name="Input 3 2 5" xfId="5076" xr:uid="{51C57169-0BA0-45D9-8F90-ECCEFBB387AE}"/>
    <cellStyle name="Input 3 2 5 2" xfId="18117" xr:uid="{0EE4A2D1-A028-457F-BB8D-A4D5CF8A00CA}"/>
    <cellStyle name="Input 3 2 6" xfId="5077" xr:uid="{C15B9C34-65BC-4016-83EE-B6D14D6F7D20}"/>
    <cellStyle name="Input 3 2 6 2" xfId="18118" xr:uid="{61AC544F-051D-407B-BFB6-0B3A3F016B77}"/>
    <cellStyle name="Input 3 2 7" xfId="18114" xr:uid="{4C6D850A-04B3-4B44-A405-67E0A9B3DB99}"/>
    <cellStyle name="Input 3 3" xfId="5078" xr:uid="{3D1B7579-8280-46B6-B493-1130E200CCEA}"/>
    <cellStyle name="Input 3 3 2" xfId="5079" xr:uid="{57B5F1A2-6918-491F-923B-466C7BE9F4AB}"/>
    <cellStyle name="Input 3 3 2 2" xfId="5080" xr:uid="{38E35EC2-6FE4-442E-8B43-F249E010D451}"/>
    <cellStyle name="Input 3 3 2 2 2" xfId="18120" xr:uid="{90766EF0-741D-48A4-9430-12576B068F65}"/>
    <cellStyle name="Input 3 3 2 3" xfId="5081" xr:uid="{3F184ECB-3F0D-4C2A-BFD5-15344F41EDFE}"/>
    <cellStyle name="Input 3 3 2 3 2" xfId="18121" xr:uid="{1C72D9DC-FF8D-4723-AC95-9C6980AAAADA}"/>
    <cellStyle name="Input 3 3 2 4" xfId="18119" xr:uid="{AA8FF87F-0EE2-4832-9FE6-FF926CCC6DAF}"/>
    <cellStyle name="Input 3_KTR An-Abflug" xfId="14890" xr:uid="{E72A4FF7-380E-4BD7-AB34-D5452C89F0D2}"/>
    <cellStyle name="Input 30" xfId="25860" xr:uid="{8DB55C57-AFA6-4037-BB34-6D7C1D283C85}"/>
    <cellStyle name="Input 4" xfId="5082" xr:uid="{0A496C40-BCDF-4F09-886E-223B2FF69BC9}"/>
    <cellStyle name="Input 4 2" xfId="5083" xr:uid="{B50CA197-E96C-4C0C-9182-60A778D5F9A3}"/>
    <cellStyle name="Input 4 2 2" xfId="5084" xr:uid="{413F1CD6-6F2C-4F2A-A984-C0126A188413}"/>
    <cellStyle name="Input 4 2 3" xfId="5085" xr:uid="{9E0C69EF-F9D4-4791-BAB5-26D29D0BBBBC}"/>
    <cellStyle name="Input 4 2 3 2" xfId="18123" xr:uid="{CFD2D76E-FC5D-438D-BE7D-000AF6D2B68E}"/>
    <cellStyle name="Input 4 2 4" xfId="5086" xr:uid="{40EC9056-95E3-4650-BAC2-DEE3A984BCD4}"/>
    <cellStyle name="Input 4 2 4 2" xfId="18124" xr:uid="{977EB6F8-1C3C-4214-9356-F0C1E7812BB4}"/>
    <cellStyle name="Input 4 2 5" xfId="5087" xr:uid="{EB231F22-4368-4BFF-A8A2-1E86B084D2C9}"/>
    <cellStyle name="Input 4 2 5 2" xfId="18125" xr:uid="{85B537D0-3FEF-4B23-B082-65D85FFA0535}"/>
    <cellStyle name="Input 4 2 6" xfId="5088" xr:uid="{7D95ADB6-3EB2-488C-BE7A-6654B6C82DAC}"/>
    <cellStyle name="Input 4 2 6 2" xfId="18126" xr:uid="{8F955386-4834-4D8E-924D-1820A67898E1}"/>
    <cellStyle name="Input 4 2 7" xfId="18122" xr:uid="{ED0B295A-63C4-4AFD-A5BD-DEEA0D05AFB4}"/>
    <cellStyle name="Input 4 3" xfId="5089" xr:uid="{904D91D3-2EBF-46EE-9EB3-19C704FFD640}"/>
    <cellStyle name="Input 4 3 2" xfId="5090" xr:uid="{5A0B7915-7D7D-4323-AE23-BC0A6A73B462}"/>
    <cellStyle name="Input 4 3 2 2" xfId="5091" xr:uid="{6F418824-433A-4ED7-BBE9-73808009EECB}"/>
    <cellStyle name="Input 4 3 2 2 2" xfId="18128" xr:uid="{F0AD263A-4928-428E-A355-80BCB5089E6C}"/>
    <cellStyle name="Input 4 3 2 3" xfId="5092" xr:uid="{76947604-5CC8-4890-B11D-5C7B8CA3A4DA}"/>
    <cellStyle name="Input 4 3 2 3 2" xfId="18129" xr:uid="{028B40EB-9A8C-4923-AA50-DC860A675EE4}"/>
    <cellStyle name="Input 4 3 2 4" xfId="18127" xr:uid="{BD548CA7-04D8-401D-A08B-B02C6E27F8F9}"/>
    <cellStyle name="Input 4_KTR An-Abflug" xfId="14837" xr:uid="{05D5A556-2E27-4630-AEC9-1578F1F5FBB9}"/>
    <cellStyle name="Input 5" xfId="5093" xr:uid="{4B2BE4C3-A70A-43C3-887B-E23C8BE64160}"/>
    <cellStyle name="Input 5 2" xfId="5094" xr:uid="{D8942CA6-66C1-4A83-8D54-2DEDEEDCA1F6}"/>
    <cellStyle name="Input 5 2 2" xfId="5095" xr:uid="{7D4F1502-B597-477E-A619-9E196856D96E}"/>
    <cellStyle name="Input 5 2 2 2" xfId="18131" xr:uid="{97BF5686-CA7B-406B-8D10-65C8C82EBB8A}"/>
    <cellStyle name="Input 5 2 3" xfId="5096" xr:uid="{6B9C1EE7-0C8A-4725-81CA-E2612FEFCE46}"/>
    <cellStyle name="Input 5 2 3 2" xfId="18132" xr:uid="{E87A663E-F93D-4688-9A86-E6A7AE542605}"/>
    <cellStyle name="Input 5 2 4" xfId="5097" xr:uid="{0E03C238-520A-4DAA-958F-6F0B589840A4}"/>
    <cellStyle name="Input 5 2 4 2" xfId="18133" xr:uid="{A90A780D-3646-43A0-B285-7F632E1B8A2B}"/>
    <cellStyle name="Input 5 2 5" xfId="5098" xr:uid="{E734D49C-A47A-494F-A7EC-93EE8E4978F5}"/>
    <cellStyle name="Input 5 2 5 2" xfId="18134" xr:uid="{F87F27F6-A8B2-448D-885B-D4D8EE2C7CAF}"/>
    <cellStyle name="Input 5 2 6" xfId="18130" xr:uid="{4F6BE198-C971-44DF-B7C3-82BFF7AB950A}"/>
    <cellStyle name="Input 5 3" xfId="5099" xr:uid="{857D05BD-6A93-4499-A7AE-36C78316674C}"/>
    <cellStyle name="Input 5_KTR An-Abflug" xfId="14711" xr:uid="{733F4A3E-62F7-4EBA-914B-71C651D9097C}"/>
    <cellStyle name="Input 6" xfId="5100" xr:uid="{32E415A5-7734-45FC-9C34-CFAB1CFF5DAF}"/>
    <cellStyle name="Input 6 2" xfId="5101" xr:uid="{98F2BFF3-5728-4AAA-BBDD-4ADAD7FCDB62}"/>
    <cellStyle name="Input 6 2 2" xfId="5102" xr:uid="{B9C5EDAA-18FA-4A20-90DD-A040A79837A6}"/>
    <cellStyle name="Input 6 2 2 2" xfId="18136" xr:uid="{6B83891D-96FD-48F9-A348-C769B78D2085}"/>
    <cellStyle name="Input 6 2 3" xfId="5103" xr:uid="{D7C51B55-D219-44C3-A4F5-0212105BFF80}"/>
    <cellStyle name="Input 6 2 3 2" xfId="18137" xr:uid="{D93ECFEB-6820-47F0-9676-EBE7DAEB5FF1}"/>
    <cellStyle name="Input 6 2 4" xfId="5104" xr:uid="{49D1A8FC-50F3-422F-8AE8-08D794235AD5}"/>
    <cellStyle name="Input 6 2 4 2" xfId="18138" xr:uid="{F9247275-ED66-40C5-A4EB-2B722D8E7626}"/>
    <cellStyle name="Input 6 2 5" xfId="5105" xr:uid="{F243AF48-89C4-436B-BC62-E81369325EF1}"/>
    <cellStyle name="Input 6 2 5 2" xfId="18139" xr:uid="{88987729-2521-4A9D-96F3-08735F5C29DC}"/>
    <cellStyle name="Input 6 2 6" xfId="18135" xr:uid="{333D80DF-5466-4384-A003-39ED7D006512}"/>
    <cellStyle name="Input 6 3" xfId="5106" xr:uid="{5CA4387E-56E3-4541-97F0-8A9D485102EB}"/>
    <cellStyle name="Input 6_KTR An-Abflug" xfId="14894" xr:uid="{975A68BE-55C8-4526-997F-52A4B4138160}"/>
    <cellStyle name="Input 7" xfId="5107" xr:uid="{73BFA3E8-503B-46CD-B903-88043335F2D3}"/>
    <cellStyle name="Input 7 2" xfId="5108" xr:uid="{E6AACA4F-4ED3-4A6D-A8CA-830C768587E6}"/>
    <cellStyle name="Input 7 2 2" xfId="5109" xr:uid="{2FFFBEC6-7294-46B0-999F-164EB7FB9991}"/>
    <cellStyle name="Input 7 2 2 2" xfId="18142" xr:uid="{9279EA83-2D42-4677-99F4-378FA5C110F6}"/>
    <cellStyle name="Input 7 2 3" xfId="5110" xr:uid="{1A628DED-CDF3-44E8-B9B4-4EABF5F1DD00}"/>
    <cellStyle name="Input 7 2 3 2" xfId="18143" xr:uid="{2F6C4802-5527-4A0F-8B7E-7E0D13FF798E}"/>
    <cellStyle name="Input 7 2 4" xfId="5111" xr:uid="{8D4A0F3C-57D0-4C53-AA64-5FF821AA5B17}"/>
    <cellStyle name="Input 7 2 4 2" xfId="18144" xr:uid="{1AACA5B7-5C3F-4E2C-AD99-2829B14D86AB}"/>
    <cellStyle name="Input 7 2 5" xfId="5112" xr:uid="{DAE0712D-F3EB-4EB2-B214-C2C1C89C2531}"/>
    <cellStyle name="Input 7 2 5 2" xfId="18145" xr:uid="{9DE0E8AE-8EB8-4419-9F0A-3064EE7D303C}"/>
    <cellStyle name="Input 7 2 6" xfId="18141" xr:uid="{C1026C68-FB90-4450-992B-C1017B535C7E}"/>
    <cellStyle name="Input 7 3" xfId="5113" xr:uid="{5C45A3C2-FAB4-4D0E-B10C-E6A35FFD0940}"/>
    <cellStyle name="Input 7 3 2" xfId="18146" xr:uid="{A30C737E-C7AF-4003-9AB5-65750643D6CE}"/>
    <cellStyle name="Input 7 4" xfId="5114" xr:uid="{0CBC0D2E-ED18-462E-A376-4E9CD64BC2AB}"/>
    <cellStyle name="Input 7 4 2" xfId="18147" xr:uid="{74E11284-1089-4DEF-9CAF-25D5706BE3BB}"/>
    <cellStyle name="Input 7 5" xfId="5115" xr:uid="{D3AFC35D-6070-46AE-A9C8-837B2EBC21CE}"/>
    <cellStyle name="Input 7 5 2" xfId="18148" xr:uid="{586BDB51-6808-4A08-852D-AAE16FDAD991}"/>
    <cellStyle name="Input 7 6" xfId="5116" xr:uid="{3A11AEA3-8A71-4D1C-B998-E54DC797CAEA}"/>
    <cellStyle name="Input 7 6 2" xfId="18149" xr:uid="{34126DF3-EC87-4A8D-B99D-BE4D38A23C9B}"/>
    <cellStyle name="Input 7 7" xfId="18140" xr:uid="{B682CBFE-EDA8-4AE5-A3EA-C56D64F2C763}"/>
    <cellStyle name="Input 8" xfId="5117" xr:uid="{B6F05FC0-B013-41F8-9E36-DCE705FE70D3}"/>
    <cellStyle name="Input 8 2" xfId="5118" xr:uid="{0B0E2212-DFD3-411F-8D32-664D277199B1}"/>
    <cellStyle name="Input 8 2 2" xfId="5119" xr:uid="{7D4F415A-1E92-4BB7-B167-A900E225DFB8}"/>
    <cellStyle name="Input 8 2 2 2" xfId="18152" xr:uid="{73D9125B-34CF-4AC5-9213-EDA74552E7A2}"/>
    <cellStyle name="Input 8 2 3" xfId="5120" xr:uid="{A3077939-CCFA-45C2-A650-6D6F17B8423F}"/>
    <cellStyle name="Input 8 2 3 2" xfId="18153" xr:uid="{90613D16-0661-4442-93B7-0DCB5B5D7957}"/>
    <cellStyle name="Input 8 2 4" xfId="5121" xr:uid="{A3C87203-A11C-4CEF-AC86-742C4B97AA8E}"/>
    <cellStyle name="Input 8 2 4 2" xfId="18154" xr:uid="{9F824F32-E3D3-47BE-8523-740D9926E5D1}"/>
    <cellStyle name="Input 8 2 5" xfId="5122" xr:uid="{A4F4281F-FCFE-4843-8C3F-9ECA2024544C}"/>
    <cellStyle name="Input 8 2 5 2" xfId="18155" xr:uid="{343C1B69-D478-431C-A293-562EBDC7460D}"/>
    <cellStyle name="Input 8 2 6" xfId="18151" xr:uid="{4F805FE3-C515-4385-8F4F-704BBECDE905}"/>
    <cellStyle name="Input 8 3" xfId="5123" xr:uid="{E147C8E9-6EE7-47B3-99CE-420B89604811}"/>
    <cellStyle name="Input 8 3 2" xfId="18156" xr:uid="{E999E3A1-5D15-406B-8A9D-D306398759E1}"/>
    <cellStyle name="Input 8 4" xfId="5124" xr:uid="{F8419332-8B22-4868-8C13-EF6EAFFA45E4}"/>
    <cellStyle name="Input 8 4 2" xfId="18157" xr:uid="{BB42BB7E-BBB3-45DA-A8ED-D3157482B472}"/>
    <cellStyle name="Input 8 5" xfId="5125" xr:uid="{434DFE4A-C7C6-4611-8B51-012F217834B8}"/>
    <cellStyle name="Input 8 5 2" xfId="18158" xr:uid="{AA7D0A73-30CD-48B7-8056-A5ED7EC8E2BE}"/>
    <cellStyle name="Input 8 6" xfId="5126" xr:uid="{3AB7C5FB-89C0-4FF2-8DEF-0487FBDF6924}"/>
    <cellStyle name="Input 8 6 2" xfId="18159" xr:uid="{B784327C-9D76-46FD-9B05-3354E4CB7228}"/>
    <cellStyle name="Input 8 7" xfId="18150" xr:uid="{4D5DC069-1765-4631-A70B-5122F92D88EE}"/>
    <cellStyle name="Input 9" xfId="5127" xr:uid="{6CAA263F-F004-403C-8CF0-FB2570027130}"/>
    <cellStyle name="Input 9 2" xfId="5128" xr:uid="{6D91FA0D-5394-4559-810A-6E5CFC028482}"/>
    <cellStyle name="Input 9 2 2" xfId="5129" xr:uid="{B50FA8C6-8F57-46D4-B385-AC022867F82C}"/>
    <cellStyle name="Input 9 2 2 2" xfId="18162" xr:uid="{8CA36847-CE1C-408B-82B5-9B977DB4723C}"/>
    <cellStyle name="Input 9 2 3" xfId="5130" xr:uid="{262CEED2-63CF-4B99-AE27-0DAAD4A272C4}"/>
    <cellStyle name="Input 9 2 3 2" xfId="18163" xr:uid="{3F6E9AFF-889B-402E-90A9-6BF4C6BAA219}"/>
    <cellStyle name="Input 9 2 4" xfId="5131" xr:uid="{E90F2DCC-690B-4B27-A128-C011ADA2C937}"/>
    <cellStyle name="Input 9 2 4 2" xfId="18164" xr:uid="{79A14691-3B3E-4BF4-A697-1FF5D5604404}"/>
    <cellStyle name="Input 9 2 5" xfId="5132" xr:uid="{D374B108-1E8B-4E20-A4A7-66F9B47F9BF7}"/>
    <cellStyle name="Input 9 2 5 2" xfId="18165" xr:uid="{B266C6C3-5DB5-4BF7-9DC2-703EB214631B}"/>
    <cellStyle name="Input 9 2 6" xfId="18161" xr:uid="{DE3252FB-5849-487C-A90F-E4A363E351A8}"/>
    <cellStyle name="Input 9 3" xfId="5133" xr:uid="{0E033C9D-48A1-4BB3-A7A2-1EF2168896AA}"/>
    <cellStyle name="Input 9 3 2" xfId="18166" xr:uid="{4B593381-1C1E-464A-96FC-918601638A68}"/>
    <cellStyle name="Input 9 4" xfId="5134" xr:uid="{86889606-9685-45CC-B524-DE7D45867A60}"/>
    <cellStyle name="Input 9 4 2" xfId="18167" xr:uid="{0A611D2B-07CF-4C83-BA6C-7867330E5306}"/>
    <cellStyle name="Input 9 5" xfId="5135" xr:uid="{F11EDB12-AD8D-4CB7-AF95-B0AB6A8144DC}"/>
    <cellStyle name="Input 9 5 2" xfId="18168" xr:uid="{21A839B9-7FC4-488A-8CE8-C3740DD63AA5}"/>
    <cellStyle name="Input 9 6" xfId="5136" xr:uid="{2689C437-E6A4-4312-91E9-2AF5679B90BA}"/>
    <cellStyle name="Input 9 6 2" xfId="18169" xr:uid="{973A10D4-488B-41DC-975F-D0F0559DB136}"/>
    <cellStyle name="Input 9 7" xfId="18160" xr:uid="{E6E27A4C-EB50-46A1-846C-1053F9A0B0CB}"/>
    <cellStyle name="Input Cell" xfId="5137" xr:uid="{FE279E0D-756C-4261-B0CC-4BE0B3AADE02}"/>
    <cellStyle name="Input Cell 2" xfId="5138" xr:uid="{58BD7C1A-B867-486B-9258-B13977D1429D}"/>
    <cellStyle name="Input Cell 2 2" xfId="5139" xr:uid="{221595B3-773D-4A16-A389-3BB0A65E1BCC}"/>
    <cellStyle name="Input Cell 2 3" xfId="5140" xr:uid="{6E86CA52-45DF-4868-BA46-6832E8B7511D}"/>
    <cellStyle name="Input Cell 3" xfId="5141" xr:uid="{DB7289E6-B1DF-4714-8F6F-DD32D37F4A8D}"/>
    <cellStyle name="Input Cell 4" xfId="5142" xr:uid="{0070B367-D1EB-48FF-BF73-477EE5B68654}"/>
    <cellStyle name="Input Cell 5" xfId="5143" xr:uid="{E748876F-DE17-4FA0-B875-3EC4B3CF9621}"/>
    <cellStyle name="Input Cell 6" xfId="5144" xr:uid="{C835B47A-4CD9-4C50-B43C-64E38A905A61}"/>
    <cellStyle name="InputBlueFont" xfId="5145" xr:uid="{8DEC8994-A0D4-41BB-B383-EE39A4C0854F}"/>
    <cellStyle name="Insatisfaisant" xfId="14973" xr:uid="{41BE5D8C-7A89-475F-AB8B-267FE7AAA0AE}"/>
    <cellStyle name="Insatisfaisant 2" xfId="34" xr:uid="{E2AB0CBD-94DE-4CD4-9F29-75C288B6B558}"/>
    <cellStyle name="Insatisfaisant 2 2" xfId="5146" xr:uid="{1874BA92-C238-490F-86ED-7F981E24270C}"/>
    <cellStyle name="Insatisfaisant 3" xfId="5147" xr:uid="{B291114A-1AF2-47FF-9F3A-EBC2046FA21A}"/>
    <cellStyle name="Insatisfaisant 3 2" xfId="5148" xr:uid="{3CCF933E-87CB-4D5B-B44B-83626A1B616F}"/>
    <cellStyle name="Insatisfaisant 4" xfId="5149" xr:uid="{2EA5BBFD-EB5C-4CC1-BE1C-195D59521C6C}"/>
    <cellStyle name="Insatisfaisant 4 2" xfId="5150" xr:uid="{95AC1B1E-64F9-4C0B-B44D-BF231342C772}"/>
    <cellStyle name="Insatisfaisant 4 3" xfId="5151" xr:uid="{3D1C3969-AAA2-40BD-8A8F-0D2503B663E0}"/>
    <cellStyle name="Insatisfaisant 5" xfId="5152" xr:uid="{A639224F-E4C7-46FD-A538-7FEBAA79E34D}"/>
    <cellStyle name="Instructions" xfId="5153" xr:uid="{CB6A82A3-F0F3-4B16-8203-CC75291C17E2}"/>
    <cellStyle name="Įspėjimo tekstas" xfId="5154" xr:uid="{C758CB55-3264-4956-85AA-C9E24E66E58E}"/>
    <cellStyle name="Išvestis" xfId="5155" xr:uid="{51371D63-65EC-4BA3-BCFC-FD67B91D881B}"/>
    <cellStyle name="Išvestis 10" xfId="5156" xr:uid="{614B14D9-075B-472A-BB05-CB42D2B12DFD}"/>
    <cellStyle name="Išvestis 10 2" xfId="5157" xr:uid="{F9DD5C40-9BB8-4005-A746-B0D4929FF79B}"/>
    <cellStyle name="Išvestis 10 2 2" xfId="5158" xr:uid="{76197299-BE51-44E4-A79B-652A941128A1}"/>
    <cellStyle name="Išvestis 10 2 2 2" xfId="18172" xr:uid="{165748B0-E299-49AF-B8E7-792EDCD8CD77}"/>
    <cellStyle name="Išvestis 10 2 3" xfId="5159" xr:uid="{FB285293-C4AA-4AA8-9278-7613CFADFFAB}"/>
    <cellStyle name="Išvestis 10 2 3 2" xfId="18173" xr:uid="{72F30B36-1F7F-4B3B-AD3F-25B31E0D9CAD}"/>
    <cellStyle name="Išvestis 10 2 4" xfId="5160" xr:uid="{957C7B82-B77F-4C5E-A211-375C8B99EF4F}"/>
    <cellStyle name="Išvestis 10 2 4 2" xfId="18174" xr:uid="{58F866F5-EA0E-4E03-864E-23D97C32F894}"/>
    <cellStyle name="Išvestis 10 2 5" xfId="5161" xr:uid="{FC0DC71F-DA6A-4EE4-AB57-808B34AEAEC7}"/>
    <cellStyle name="Išvestis 10 2 5 2" xfId="18175" xr:uid="{BD5B0DBB-2C98-4862-8969-F671B1B8EE45}"/>
    <cellStyle name="Išvestis 10 2 6" xfId="18171" xr:uid="{67C42E1D-6FAB-4BD8-A122-43FCE871FD7C}"/>
    <cellStyle name="Išvestis 10 3" xfId="5162" xr:uid="{C6AB46B2-5682-4B04-A45C-3376AC8BED74}"/>
    <cellStyle name="Išvestis 10 3 2" xfId="18176" xr:uid="{8B2C67F3-E4F5-4B22-AF85-0A945CB051E7}"/>
    <cellStyle name="Išvestis 10 4" xfId="5163" xr:uid="{1EFB2E30-3825-4DE6-91E2-BA995562C2D0}"/>
    <cellStyle name="Išvestis 10 4 2" xfId="18177" xr:uid="{98E82665-A822-4731-9D99-AA285CE9A746}"/>
    <cellStyle name="Išvestis 10 5" xfId="5164" xr:uid="{A0282521-909B-48DD-A3C3-512991D2C578}"/>
    <cellStyle name="Išvestis 10 5 2" xfId="18178" xr:uid="{15AA0F6C-FE4F-4FCA-B970-F7C6416A7CAA}"/>
    <cellStyle name="Išvestis 10 6" xfId="5165" xr:uid="{47B346EA-1C62-4567-8BAB-6DF3D961A10F}"/>
    <cellStyle name="Išvestis 10 6 2" xfId="18179" xr:uid="{1047CC32-091C-4D05-93C8-B8ACA9C5A8A5}"/>
    <cellStyle name="Išvestis 10 7" xfId="18170" xr:uid="{BBB97AD2-56BE-4946-9D4C-0A9C68020C3B}"/>
    <cellStyle name="Išvestis 11" xfId="5166" xr:uid="{D39CACE7-458F-4007-BB5F-8FC2CB2545ED}"/>
    <cellStyle name="Išvestis 11 2" xfId="5167" xr:uid="{423133F9-F710-4D74-9E6F-43C2AD518B3C}"/>
    <cellStyle name="Išvestis 11 2 2" xfId="5168" xr:uid="{8495C7E0-FEEE-41D5-8573-257EE39F212A}"/>
    <cellStyle name="Išvestis 11 2 2 2" xfId="18182" xr:uid="{A4E0FECA-6A07-475C-9D05-910724C6EF81}"/>
    <cellStyle name="Išvestis 11 2 3" xfId="5169" xr:uid="{78ABE0B7-1DF9-4D6F-88D5-E4317E83D0B2}"/>
    <cellStyle name="Išvestis 11 2 3 2" xfId="18183" xr:uid="{EF141AE4-E9AE-4ABA-8AB1-CBDD58C4F5E1}"/>
    <cellStyle name="Išvestis 11 2 4" xfId="5170" xr:uid="{CAAB5AF4-E928-4A27-8842-37D71A1AD9AC}"/>
    <cellStyle name="Išvestis 11 2 4 2" xfId="18184" xr:uid="{544A56FD-97BF-4BE3-8A86-D2506E9B5459}"/>
    <cellStyle name="Išvestis 11 2 5" xfId="5171" xr:uid="{3A2DC009-40C3-47B5-A4EF-636E73E7F1C5}"/>
    <cellStyle name="Išvestis 11 2 5 2" xfId="18185" xr:uid="{155AD24B-3408-48D4-A511-6A5EEE76A9CA}"/>
    <cellStyle name="Išvestis 11 2 6" xfId="18181" xr:uid="{6391093B-389A-4603-B8BA-7610FDCBB6DE}"/>
    <cellStyle name="Išvestis 11 3" xfId="5172" xr:uid="{2F5CFCAC-C285-49F8-BC63-E72E0D64EC13}"/>
    <cellStyle name="Išvestis 11 3 2" xfId="18186" xr:uid="{C9341313-56B2-4BBA-86E5-39E9EAD46B6E}"/>
    <cellStyle name="Išvestis 11 4" xfId="5173" xr:uid="{872C26F0-7A9D-4BDD-8AAB-B6C9FE8BBDB9}"/>
    <cellStyle name="Išvestis 11 4 2" xfId="18187" xr:uid="{BA960ADE-9D77-4A5B-8C0F-2795FA4C8741}"/>
    <cellStyle name="Išvestis 11 5" xfId="5174" xr:uid="{0403311E-2C89-441D-ABA6-40CB7584CCD9}"/>
    <cellStyle name="Išvestis 11 5 2" xfId="18188" xr:uid="{A9423AD0-1FD7-462D-831D-D0765878700F}"/>
    <cellStyle name="Išvestis 11 6" xfId="5175" xr:uid="{C8D72F16-AFB6-4AAB-A9EB-BFDE7AFC1608}"/>
    <cellStyle name="Išvestis 11 6 2" xfId="18189" xr:uid="{42E826C4-94AB-4065-9B65-BF750524D146}"/>
    <cellStyle name="Išvestis 11 7" xfId="18180" xr:uid="{F4ED20FB-18A6-41C8-8F3D-B9BE1FEB95B8}"/>
    <cellStyle name="Išvestis 12" xfId="5176" xr:uid="{CF4277BA-323A-4AB4-80EE-F854A8729967}"/>
    <cellStyle name="Išvestis 12 2" xfId="5177" xr:uid="{D42D54A2-DAD0-4B40-A702-5F251B66F119}"/>
    <cellStyle name="Išvestis 12 2 2" xfId="5178" xr:uid="{C41F6105-26EE-4021-B912-ACFF44A17BE0}"/>
    <cellStyle name="Išvestis 12 2 2 2" xfId="18192" xr:uid="{1A51A993-39EF-4965-8695-CEA936D412D3}"/>
    <cellStyle name="Išvestis 12 2 3" xfId="5179" xr:uid="{E24AA968-CC34-49AA-ABAB-005603A95F32}"/>
    <cellStyle name="Išvestis 12 2 3 2" xfId="18193" xr:uid="{67895481-61A7-4BA3-9486-124442A7ABFC}"/>
    <cellStyle name="Išvestis 12 2 4" xfId="5180" xr:uid="{11B18F35-39BF-4635-839D-A820596536DC}"/>
    <cellStyle name="Išvestis 12 2 4 2" xfId="18194" xr:uid="{7CDAB563-FB64-46B6-87F9-72E2C0032087}"/>
    <cellStyle name="Išvestis 12 2 5" xfId="5181" xr:uid="{10F9AB65-B71C-4FB6-A957-13DA842AC7BA}"/>
    <cellStyle name="Išvestis 12 2 5 2" xfId="18195" xr:uid="{ADED6D2B-E601-4AD5-AEB4-D21049107A2C}"/>
    <cellStyle name="Išvestis 12 2 6" xfId="18191" xr:uid="{ADB5AB62-5AAD-47D7-AAFA-C800C2DD6BBB}"/>
    <cellStyle name="Išvestis 12 3" xfId="5182" xr:uid="{2CF840E8-327F-4259-AE79-10D5A873D284}"/>
    <cellStyle name="Išvestis 12 3 2" xfId="18196" xr:uid="{8B5710D5-A104-4B34-BBAB-8A0267955FCA}"/>
    <cellStyle name="Išvestis 12 4" xfId="5183" xr:uid="{7106CD28-308A-4BD6-A9EA-EF4CE050C47F}"/>
    <cellStyle name="Išvestis 12 4 2" xfId="18197" xr:uid="{F1DE0898-56D1-40D0-A919-DC8D16776424}"/>
    <cellStyle name="Išvestis 12 5" xfId="5184" xr:uid="{2E864A40-B053-4C68-9815-447E6A46DBF8}"/>
    <cellStyle name="Išvestis 12 5 2" xfId="18198" xr:uid="{36225A9D-9F60-4550-BB0A-1FE9E175CC82}"/>
    <cellStyle name="Išvestis 12 6" xfId="5185" xr:uid="{111DB375-0370-48D0-A587-C4B67BB31778}"/>
    <cellStyle name="Išvestis 12 6 2" xfId="18199" xr:uid="{4720D227-22F7-4E1D-934F-BFBBB5794EDA}"/>
    <cellStyle name="Išvestis 12 7" xfId="18190" xr:uid="{D4D6D9A9-4C05-4B1A-898D-05E1BA06842F}"/>
    <cellStyle name="Išvestis 13" xfId="5186" xr:uid="{8161F4AB-C113-4427-9C64-00E3E8274BBF}"/>
    <cellStyle name="Išvestis 13 2" xfId="5187" xr:uid="{3FDE511D-4F79-433E-94EA-FC263C5ADA85}"/>
    <cellStyle name="Išvestis 13 2 2" xfId="5188" xr:uid="{F0898A9B-2342-45AA-A47C-7568B1700F04}"/>
    <cellStyle name="Išvestis 13 2 2 2" xfId="18202" xr:uid="{4D1D4683-DCCA-4AD1-AE29-D9F306ED9AA7}"/>
    <cellStyle name="Išvestis 13 2 3" xfId="5189" xr:uid="{00F2015A-495B-4026-9598-00BD144D8345}"/>
    <cellStyle name="Išvestis 13 2 3 2" xfId="18203" xr:uid="{D9EC96B5-8E9C-41AE-82D4-0494AA9B7749}"/>
    <cellStyle name="Išvestis 13 2 4" xfId="5190" xr:uid="{F3B50B4A-1B2A-4EE8-90E3-150111FDC75C}"/>
    <cellStyle name="Išvestis 13 2 4 2" xfId="18204" xr:uid="{2206C1C0-E3FA-4A53-ACD5-D276830CF2CC}"/>
    <cellStyle name="Išvestis 13 2 5" xfId="5191" xr:uid="{17FD1CCC-9FB4-4E3C-A405-71EAB167EFC2}"/>
    <cellStyle name="Išvestis 13 2 5 2" xfId="18205" xr:uid="{26E215FF-AC48-459D-A96F-7227D9072582}"/>
    <cellStyle name="Išvestis 13 2 6" xfId="18201" xr:uid="{CBEED5E2-2672-4418-85EF-C1E92022E9E9}"/>
    <cellStyle name="Išvestis 13 3" xfId="5192" xr:uid="{D28F6CB1-CD9A-48A7-85E2-D4E8A4255708}"/>
    <cellStyle name="Išvestis 13 3 2" xfId="18206" xr:uid="{8EFB4274-828C-4634-BD0E-35B5482FD347}"/>
    <cellStyle name="Išvestis 13 4" xfId="5193" xr:uid="{8CA2132B-75F2-4D1B-8A0A-C918DDCBDF00}"/>
    <cellStyle name="Išvestis 13 4 2" xfId="18207" xr:uid="{741A4C85-C1BD-49B4-A1C7-3B49DD5F8E8A}"/>
    <cellStyle name="Išvestis 13 5" xfId="5194" xr:uid="{61974A04-B679-45B8-BAEB-6E664DA1DB7F}"/>
    <cellStyle name="Išvestis 13 5 2" xfId="18208" xr:uid="{643C4A05-B942-42E4-A91F-BCDFF10F2892}"/>
    <cellStyle name="Išvestis 13 6" xfId="5195" xr:uid="{BE8D3571-F92B-4EEA-B42C-A4FE254F67FF}"/>
    <cellStyle name="Išvestis 13 6 2" xfId="18209" xr:uid="{A9139ABB-0D8D-45EC-A0F7-40EE1C90C526}"/>
    <cellStyle name="Išvestis 13 7" xfId="18200" xr:uid="{B3A5ECB8-A6F7-49E3-8508-FB53B44D3065}"/>
    <cellStyle name="Išvestis 14" xfId="5196" xr:uid="{25CC4603-C780-4EC2-9548-9EE92FCCDC33}"/>
    <cellStyle name="Išvestis 14 2" xfId="5197" xr:uid="{0B067E32-0CB7-4CB3-A16E-DD98244736E8}"/>
    <cellStyle name="Išvestis 14 2 2" xfId="5198" xr:uid="{6D7A9B5D-E851-4BB0-B7C7-FACCE367863D}"/>
    <cellStyle name="Išvestis 14 2 2 2" xfId="18212" xr:uid="{8B9EFD94-1BCE-46AC-AC0A-159CD06EC521}"/>
    <cellStyle name="Išvestis 14 2 3" xfId="5199" xr:uid="{1BA1FCDF-C8D6-4242-9FC4-DB007CCA3974}"/>
    <cellStyle name="Išvestis 14 2 3 2" xfId="18213" xr:uid="{FBEA088F-536B-45F6-8744-94FC3DEA7EC9}"/>
    <cellStyle name="Išvestis 14 2 4" xfId="5200" xr:uid="{AE2FD86A-6AD2-452B-899E-9CEF8BBD4263}"/>
    <cellStyle name="Išvestis 14 2 4 2" xfId="18214" xr:uid="{8C0FC93A-769F-4714-A795-249D7E637117}"/>
    <cellStyle name="Išvestis 14 2 5" xfId="5201" xr:uid="{53BD5C89-B7DC-4495-8615-31E287484AD5}"/>
    <cellStyle name="Išvestis 14 2 5 2" xfId="18215" xr:uid="{4E486194-35CB-4ED7-B58B-95409DAD73C9}"/>
    <cellStyle name="Išvestis 14 2 6" xfId="18211" xr:uid="{4A96E4B4-830A-42B1-8E59-9CF3C264B6B6}"/>
    <cellStyle name="Išvestis 14 3" xfId="5202" xr:uid="{032160F1-128F-4D35-8505-A77C808C2339}"/>
    <cellStyle name="Išvestis 14 3 2" xfId="18216" xr:uid="{748CEAB1-6494-47DB-BB21-0C42AFF13D13}"/>
    <cellStyle name="Išvestis 14 4" xfId="5203" xr:uid="{B1D6B54F-8F60-4BAE-95CF-870C8916681B}"/>
    <cellStyle name="Išvestis 14 4 2" xfId="18217" xr:uid="{8159F255-B5C6-4F79-9DF3-CF3DF6BA772A}"/>
    <cellStyle name="Išvestis 14 5" xfId="5204" xr:uid="{276C9D9C-151F-46FC-AFC0-77AC5CB28360}"/>
    <cellStyle name="Išvestis 14 5 2" xfId="18218" xr:uid="{B0024437-7099-44DB-9E8C-6149A5A37852}"/>
    <cellStyle name="Išvestis 14 6" xfId="5205" xr:uid="{1E289085-1042-4A12-AF91-7F9F4DB43A73}"/>
    <cellStyle name="Išvestis 14 6 2" xfId="18219" xr:uid="{2FD9D0F8-5949-4F55-A44E-0DAD73C66EB3}"/>
    <cellStyle name="Išvestis 14 7" xfId="18210" xr:uid="{BB66B97C-A0C9-4272-9835-E9EE5BD3ABFF}"/>
    <cellStyle name="Išvestis 15" xfId="5206" xr:uid="{4B102D2F-CE61-4403-9480-EE9EE4042CBE}"/>
    <cellStyle name="Išvestis 15 2" xfId="5207" xr:uid="{EF045328-C2A3-4159-8138-C6AC059FBBD1}"/>
    <cellStyle name="Išvestis 15 2 2" xfId="5208" xr:uid="{E25E10F7-00C4-4686-8BEA-1A36FFAE711C}"/>
    <cellStyle name="Išvestis 15 2 2 2" xfId="18222" xr:uid="{D9569705-B311-49F4-B97E-F0B3895E2435}"/>
    <cellStyle name="Išvestis 15 2 3" xfId="5209" xr:uid="{C960553D-3236-4043-BDE1-999D859C8E9B}"/>
    <cellStyle name="Išvestis 15 2 3 2" xfId="18223" xr:uid="{23D62564-1EA1-4AD2-ACEC-42EB86BF4A5F}"/>
    <cellStyle name="Išvestis 15 2 4" xfId="5210" xr:uid="{C57A6C6B-EE85-4AE5-BEFF-46EDC8563DE5}"/>
    <cellStyle name="Išvestis 15 2 4 2" xfId="18224" xr:uid="{2ADB6AB2-60C8-45A5-A2FE-68AE3B95C57D}"/>
    <cellStyle name="Išvestis 15 2 5" xfId="5211" xr:uid="{AFBE5C88-994E-46A3-ACC1-2CE8EC57CBF0}"/>
    <cellStyle name="Išvestis 15 2 5 2" xfId="18225" xr:uid="{30EAE9F8-B2F0-4BEA-90CC-71F7B1152B58}"/>
    <cellStyle name="Išvestis 15 2 6" xfId="18221" xr:uid="{4C9DCE5A-D0FC-41FB-9333-906DA3EB0F05}"/>
    <cellStyle name="Išvestis 15 3" xfId="5212" xr:uid="{F15FD9F2-A09C-47E8-AA97-4DC60E853330}"/>
    <cellStyle name="Išvestis 15 3 2" xfId="18226" xr:uid="{76973F1D-2151-45AF-9AA0-896F27CD2E2E}"/>
    <cellStyle name="Išvestis 15 4" xfId="5213" xr:uid="{B1E5D4F8-1550-4BFE-A151-BA2016584C01}"/>
    <cellStyle name="Išvestis 15 4 2" xfId="18227" xr:uid="{0309802D-5CC5-4B47-AFC0-6AE98D75FFB4}"/>
    <cellStyle name="Išvestis 15 5" xfId="5214" xr:uid="{01780C0D-9D18-4EE9-A1B3-2CDCBBDF6B54}"/>
    <cellStyle name="Išvestis 15 5 2" xfId="18228" xr:uid="{655C27CA-473E-4FAE-A1FF-C9D529A2D2DC}"/>
    <cellStyle name="Išvestis 15 6" xfId="5215" xr:uid="{9002DD3E-455B-45E5-8DF4-95674AB55F31}"/>
    <cellStyle name="Išvestis 15 6 2" xfId="18229" xr:uid="{FD686432-F9E3-4307-8158-A97F3DAF0316}"/>
    <cellStyle name="Išvestis 15 7" xfId="18220" xr:uid="{41B6EB0B-860A-40A0-8CC1-AC396F085A42}"/>
    <cellStyle name="Išvestis 16" xfId="5216" xr:uid="{E0410B40-F761-4E88-A881-4F9C15E0C6A6}"/>
    <cellStyle name="Išvestis 16 2" xfId="18230" xr:uid="{1CC9EC3D-A003-4594-97BA-6EE7D49E7DE5}"/>
    <cellStyle name="Išvestis 17" xfId="5217" xr:uid="{3596B2FA-5A85-438F-992E-CC64ADEEB764}"/>
    <cellStyle name="Išvestis 17 2" xfId="18231" xr:uid="{4A8CE42C-2FFF-4C10-8E0B-E5C8B0FE91A0}"/>
    <cellStyle name="Išvestis 18" xfId="5218" xr:uid="{E88DFCAC-F806-43D3-B7B1-6CAA919931BC}"/>
    <cellStyle name="Išvestis 18 2" xfId="18232" xr:uid="{7F8480D7-29DE-4A1B-BD22-248C7BD39AB3}"/>
    <cellStyle name="Išvestis 19" xfId="5219" xr:uid="{B0F2730A-F1F7-4D37-9C4B-B1648F8E6E9C}"/>
    <cellStyle name="Išvestis 19 2" xfId="18233" xr:uid="{2A03584B-3730-4699-B3A6-A9EC96F5D276}"/>
    <cellStyle name="Išvestis 2" xfId="5220" xr:uid="{4C7F098C-D93B-444C-AD68-F00875BA66A5}"/>
    <cellStyle name="Išvestis 2 2" xfId="5221" xr:uid="{93B0BAE7-CC95-4765-A144-6808EA7CD6A9}"/>
    <cellStyle name="Išvestis 2 2 2" xfId="5222" xr:uid="{2AE12955-6B86-42C8-AA1C-043FA29F731E}"/>
    <cellStyle name="Išvestis 2 2 2 2" xfId="18236" xr:uid="{BD3AD4C0-1836-43B2-B000-13BB7A2A54A1}"/>
    <cellStyle name="Išvestis 2 2 3" xfId="5223" xr:uid="{0A63AFF6-2D25-459F-93B4-545079D37262}"/>
    <cellStyle name="Išvestis 2 2 3 2" xfId="18237" xr:uid="{93988F39-E4A9-4F7B-87CD-24609795BE47}"/>
    <cellStyle name="Išvestis 2 2 4" xfId="5224" xr:uid="{255434BE-5455-4852-AC57-C38202C30BF7}"/>
    <cellStyle name="Išvestis 2 2 4 2" xfId="18238" xr:uid="{A1E8FF0C-7493-40CE-B22A-79CCD510FC9D}"/>
    <cellStyle name="Išvestis 2 2 5" xfId="5225" xr:uid="{859D4675-9E6B-496D-A089-CDAD912FE578}"/>
    <cellStyle name="Išvestis 2 2 5 2" xfId="18239" xr:uid="{5717A2AB-EA1F-44E5-8CE5-E36F618E6535}"/>
    <cellStyle name="Išvestis 2 2 6" xfId="18235" xr:uid="{F5B0F43F-CD64-4335-A87E-C8916A730DB7}"/>
    <cellStyle name="Išvestis 2 3" xfId="5226" xr:uid="{1AAEE591-EE3A-46B6-B5F9-51F4C048AB2F}"/>
    <cellStyle name="Išvestis 2 3 2" xfId="18240" xr:uid="{A4F08AA6-4662-4E9D-A36E-7D09C3990C23}"/>
    <cellStyle name="Išvestis 2 4" xfId="5227" xr:uid="{95D0DAD1-AF82-4763-82F9-F81088CC2477}"/>
    <cellStyle name="Išvestis 2 4 2" xfId="18241" xr:uid="{4C4346B3-8C72-4436-9C58-D6AD4FEDBD63}"/>
    <cellStyle name="Išvestis 2 5" xfId="5228" xr:uid="{195FEDEF-AAE9-467B-A580-C046CDC2D3EC}"/>
    <cellStyle name="Išvestis 2 5 2" xfId="18242" xr:uid="{F9D76D31-1A29-499D-9F77-CB55B738193E}"/>
    <cellStyle name="Išvestis 2 6" xfId="5229" xr:uid="{F6AB73C9-5A55-4D08-81CA-CB6DB03C6CE1}"/>
    <cellStyle name="Išvestis 2 6 2" xfId="18243" xr:uid="{5D598CAE-2B91-4C34-93A8-5650A3F66771}"/>
    <cellStyle name="Išvestis 2 7" xfId="18234" xr:uid="{210006DB-2A9C-45E7-AECA-AFA3A390B372}"/>
    <cellStyle name="Išvestis 20" xfId="14974" xr:uid="{8D8E2160-7B4D-42DE-BC4F-CEA81861E6EA}"/>
    <cellStyle name="Išvestis 3" xfId="5230" xr:uid="{54A3CB2B-CC8C-4BE7-A983-67FB416A99B3}"/>
    <cellStyle name="Išvestis 3 2" xfId="5231" xr:uid="{DE35A594-AE70-42C6-9992-93817FDCA894}"/>
    <cellStyle name="Išvestis 3 2 2" xfId="5232" xr:uid="{CC624AA3-BEA4-4C2B-B482-9C5F8C063408}"/>
    <cellStyle name="Išvestis 3 2 2 2" xfId="18246" xr:uid="{C2E4B65B-2708-433E-8DCE-E0A00301B2FE}"/>
    <cellStyle name="Išvestis 3 2 3" xfId="5233" xr:uid="{6DEB8D2C-664B-40B9-8D74-6914061437C6}"/>
    <cellStyle name="Išvestis 3 2 3 2" xfId="18247" xr:uid="{CBBBD0D5-2DAA-4FAC-890F-4581882A1B8E}"/>
    <cellStyle name="Išvestis 3 2 4" xfId="5234" xr:uid="{BE59B0BF-DAD6-424F-8002-A3FCA72C8E21}"/>
    <cellStyle name="Išvestis 3 2 4 2" xfId="18248" xr:uid="{3A595544-3524-4DEF-BBA5-8B9DA7756E0C}"/>
    <cellStyle name="Išvestis 3 2 5" xfId="5235" xr:uid="{44CCFA14-3CE7-4EA7-8627-F5C771DF926D}"/>
    <cellStyle name="Išvestis 3 2 5 2" xfId="18249" xr:uid="{201792FE-0512-40E3-8B91-CD8DE3FF3914}"/>
    <cellStyle name="Išvestis 3 2 6" xfId="18245" xr:uid="{3EB3299E-9506-47B9-8DE4-0DD44BB7222B}"/>
    <cellStyle name="Išvestis 3 3" xfId="5236" xr:uid="{D3FFE759-48B9-487E-A000-F05E38CE4679}"/>
    <cellStyle name="Išvestis 3 3 2" xfId="18250" xr:uid="{238E6EA9-AE54-4521-9027-22B9A0428D4E}"/>
    <cellStyle name="Išvestis 3 4" xfId="5237" xr:uid="{065B8B1D-60D7-4A73-A8C3-80DCF45D169D}"/>
    <cellStyle name="Išvestis 3 4 2" xfId="18251" xr:uid="{2B34C964-7FB7-4CFE-849C-01D8E1A20B38}"/>
    <cellStyle name="Išvestis 3 5" xfId="5238" xr:uid="{57046BAA-DBD0-4C32-A41D-A96EA2140995}"/>
    <cellStyle name="Išvestis 3 5 2" xfId="18252" xr:uid="{510B4749-A493-427E-8B48-6A36770BD28E}"/>
    <cellStyle name="Išvestis 3 6" xfId="5239" xr:uid="{91399103-AD91-44BF-972E-DCD534A7D86E}"/>
    <cellStyle name="Išvestis 3 6 2" xfId="18253" xr:uid="{95BA2E8E-14CC-4F6C-962E-288C461B432E}"/>
    <cellStyle name="Išvestis 3 7" xfId="18244" xr:uid="{0C198929-5665-484E-B5A1-21FE44D685FA}"/>
    <cellStyle name="Išvestis 4" xfId="5240" xr:uid="{25B031B7-2539-4742-A781-0EA71F6D1691}"/>
    <cellStyle name="Išvestis 4 2" xfId="5241" xr:uid="{40851E44-7B22-44F1-9D35-8BC9BB27E89B}"/>
    <cellStyle name="Išvestis 4 2 2" xfId="5242" xr:uid="{30520ED8-90F0-4944-AE6D-D13099751EE0}"/>
    <cellStyle name="Išvestis 4 2 2 2" xfId="18256" xr:uid="{AA424E22-9149-4F26-B90A-2FFE61A3DFF0}"/>
    <cellStyle name="Išvestis 4 2 3" xfId="5243" xr:uid="{50ED015F-105A-4609-8C8F-2A26E9A555C3}"/>
    <cellStyle name="Išvestis 4 2 3 2" xfId="18257" xr:uid="{7EA217DF-A96E-47F7-A1FC-AD4242B20C96}"/>
    <cellStyle name="Išvestis 4 2 4" xfId="5244" xr:uid="{AA38A7C3-B536-4571-AF60-2A17ACB947F2}"/>
    <cellStyle name="Išvestis 4 2 4 2" xfId="18258" xr:uid="{13627EF4-1AD0-468F-A95D-F8F0B579FBF1}"/>
    <cellStyle name="Išvestis 4 2 5" xfId="5245" xr:uid="{5B026325-18B2-4E85-B5B7-348FA50D55E2}"/>
    <cellStyle name="Išvestis 4 2 5 2" xfId="18259" xr:uid="{9E2BA54A-8972-4779-9701-ED035E1A27AD}"/>
    <cellStyle name="Išvestis 4 2 6" xfId="18255" xr:uid="{DB2B08A7-F23B-4FF8-B5A0-54ED87C83D8A}"/>
    <cellStyle name="Išvestis 4 3" xfId="5246" xr:uid="{6BD4E42E-B35B-4A12-96EB-ABE8F3F0521A}"/>
    <cellStyle name="Išvestis 4 3 2" xfId="18260" xr:uid="{8489558B-4607-46DB-BB17-FE6D1F558A4C}"/>
    <cellStyle name="Išvestis 4 4" xfId="5247" xr:uid="{C6867A72-5038-4240-8AA0-137673D2CE37}"/>
    <cellStyle name="Išvestis 4 4 2" xfId="18261" xr:uid="{DCDA4555-901C-4A00-B5BA-3C055D4E3DAF}"/>
    <cellStyle name="Išvestis 4 5" xfId="5248" xr:uid="{A77BE16F-52C6-4B8E-9082-2330E2F6D78A}"/>
    <cellStyle name="Išvestis 4 5 2" xfId="18262" xr:uid="{25AF8B96-8720-424F-854F-B4FA94E8E3E1}"/>
    <cellStyle name="Išvestis 4 6" xfId="5249" xr:uid="{71AEFB52-9404-4465-AF36-7AED45BC457D}"/>
    <cellStyle name="Išvestis 4 6 2" xfId="18263" xr:uid="{7D562DE0-9F0D-49C4-BA92-94026A2FB1B5}"/>
    <cellStyle name="Išvestis 4 7" xfId="18254" xr:uid="{E751BEDB-28EE-4552-BD13-318915A759D7}"/>
    <cellStyle name="Išvestis 5" xfId="5250" xr:uid="{E6AD7E44-1D4B-4394-8A83-9813C4DEF927}"/>
    <cellStyle name="Išvestis 5 2" xfId="5251" xr:uid="{4CAB5005-104E-44CA-87D5-8EC44FC5F2A9}"/>
    <cellStyle name="Išvestis 5 2 2" xfId="5252" xr:uid="{D213167F-8263-4064-A4D4-65BF8C489989}"/>
    <cellStyle name="Išvestis 5 2 2 2" xfId="18266" xr:uid="{E57E7E6A-41A9-4C2C-8EF1-9C3E13143782}"/>
    <cellStyle name="Išvestis 5 2 3" xfId="5253" xr:uid="{5E69D404-0ED6-4FA8-B7C0-22C7E822E3CF}"/>
    <cellStyle name="Išvestis 5 2 3 2" xfId="18267" xr:uid="{974F7E4C-3206-41B2-9DF2-64D8495DA1ED}"/>
    <cellStyle name="Išvestis 5 2 4" xfId="5254" xr:uid="{7926498E-FB89-4C4F-AB19-8F7E5DAF36C8}"/>
    <cellStyle name="Išvestis 5 2 4 2" xfId="18268" xr:uid="{80250564-185A-42B2-AE6B-A31B32672AC7}"/>
    <cellStyle name="Išvestis 5 2 5" xfId="5255" xr:uid="{9416D4BF-05DC-4DC2-B2F5-2B6DD601689D}"/>
    <cellStyle name="Išvestis 5 2 5 2" xfId="18269" xr:uid="{33FB9711-1B5A-4356-9F2A-12B0DCDDCB9F}"/>
    <cellStyle name="Išvestis 5 2 6" xfId="18265" xr:uid="{919C90DF-9CC9-4A23-9414-2E2B6654CA40}"/>
    <cellStyle name="Išvestis 5 3" xfId="5256" xr:uid="{D618970A-F871-4B26-A779-5BC01B6A59C2}"/>
    <cellStyle name="Išvestis 5 3 2" xfId="18270" xr:uid="{82631C5E-DDE7-4FAD-ACB1-8ED24A5B0CE0}"/>
    <cellStyle name="Išvestis 5 4" xfId="5257" xr:uid="{8AF8C2DF-2F98-43DE-B5E0-BB9506A99C4A}"/>
    <cellStyle name="Išvestis 5 4 2" xfId="18271" xr:uid="{7AE08FBE-3751-4345-9EA6-727C3FF0B5B8}"/>
    <cellStyle name="Išvestis 5 5" xfId="5258" xr:uid="{5B9BCF0D-BCC5-4298-9776-F4E552DD5A8D}"/>
    <cellStyle name="Išvestis 5 5 2" xfId="18272" xr:uid="{733544A6-FB75-4A75-ACCE-B7974C54C3A5}"/>
    <cellStyle name="Išvestis 5 6" xfId="5259" xr:uid="{6CB9D73F-9673-4B42-8DAF-98674090CCF9}"/>
    <cellStyle name="Išvestis 5 6 2" xfId="18273" xr:uid="{1BEA72C5-905D-4217-9389-9F2EF19DD559}"/>
    <cellStyle name="Išvestis 5 7" xfId="18264" xr:uid="{5C18EE0E-FF9E-4942-8400-E19D1759C8B4}"/>
    <cellStyle name="Išvestis 6" xfId="5260" xr:uid="{4B75E493-4507-42BE-848A-C8EC4973963F}"/>
    <cellStyle name="Išvestis 6 2" xfId="5261" xr:uid="{1BAAD201-0A90-4CD1-8538-6D4D999C0EDB}"/>
    <cellStyle name="Išvestis 6 2 2" xfId="5262" xr:uid="{28AC3293-EFAD-4596-AE8C-87122BC09956}"/>
    <cellStyle name="Išvestis 6 2 2 2" xfId="18276" xr:uid="{F6FBD106-30D5-41AF-9CBA-C9C97A17629D}"/>
    <cellStyle name="Išvestis 6 2 3" xfId="5263" xr:uid="{899D5257-D8FB-4B0A-9C48-2CE468014043}"/>
    <cellStyle name="Išvestis 6 2 3 2" xfId="18277" xr:uid="{E854A5D5-1FFB-41AF-BEA4-624AB6F55960}"/>
    <cellStyle name="Išvestis 6 2 4" xfId="5264" xr:uid="{A2DAAA38-94D3-4543-AD31-0BF8D0D2CB5F}"/>
    <cellStyle name="Išvestis 6 2 4 2" xfId="18278" xr:uid="{672658EB-DB42-4535-A646-F1290CB63D5D}"/>
    <cellStyle name="Išvestis 6 2 5" xfId="5265" xr:uid="{DC19EE90-4E2C-4ADE-82E8-A589C58DAC24}"/>
    <cellStyle name="Išvestis 6 2 5 2" xfId="18279" xr:uid="{0901D5D3-E161-4505-8384-C9456D494B3A}"/>
    <cellStyle name="Išvestis 6 2 6" xfId="18275" xr:uid="{C813A1E8-7F47-46FC-9611-2BD2DDC20ECE}"/>
    <cellStyle name="Išvestis 6 3" xfId="5266" xr:uid="{B0E32E3B-979C-4452-BBC1-387E12AA2112}"/>
    <cellStyle name="Išvestis 6 3 2" xfId="18280" xr:uid="{6F374526-4499-49B4-90CF-D3A257A16042}"/>
    <cellStyle name="Išvestis 6 4" xfId="5267" xr:uid="{D795F309-9D2B-4D60-85E4-E9CB54EFF1B6}"/>
    <cellStyle name="Išvestis 6 4 2" xfId="18281" xr:uid="{D1B47EF3-9A9D-453E-949D-C27CA3A75F65}"/>
    <cellStyle name="Išvestis 6 5" xfId="5268" xr:uid="{41FE2020-C9A3-4D6D-A5A0-82215A7463BA}"/>
    <cellStyle name="Išvestis 6 5 2" xfId="18282" xr:uid="{7845F72E-CED1-4325-809F-0FACCE343928}"/>
    <cellStyle name="Išvestis 6 6" xfId="5269" xr:uid="{1E4C9E71-7C18-4651-BC81-4428120C7C71}"/>
    <cellStyle name="Išvestis 6 6 2" xfId="18283" xr:uid="{F7712EE5-62B4-4380-AA6C-778ECD5568DA}"/>
    <cellStyle name="Išvestis 6 7" xfId="18274" xr:uid="{12F94DBB-0DAE-4BE8-8352-714F3CC993DD}"/>
    <cellStyle name="Išvestis 7" xfId="5270" xr:uid="{8E61609B-61B1-46EC-89F1-BC27A6F066AD}"/>
    <cellStyle name="Išvestis 7 2" xfId="5271" xr:uid="{E3DE76A0-CB50-4A69-B9F6-F72D2D02FC21}"/>
    <cellStyle name="Išvestis 7 2 2" xfId="5272" xr:uid="{A390B077-581B-4A4D-BBDE-ADA5127BFA2C}"/>
    <cellStyle name="Išvestis 7 2 2 2" xfId="18286" xr:uid="{BAD89C6F-D36B-45BF-9FE4-964665C16395}"/>
    <cellStyle name="Išvestis 7 2 3" xfId="5273" xr:uid="{372412A3-A5BE-4DFE-A23F-F581DAC5EB89}"/>
    <cellStyle name="Išvestis 7 2 3 2" xfId="18287" xr:uid="{67EB544E-C4E1-4D44-92C6-8CB2C8259A7F}"/>
    <cellStyle name="Išvestis 7 2 4" xfId="5274" xr:uid="{F89C5245-3EA2-41AA-ADE8-073026C6B31B}"/>
    <cellStyle name="Išvestis 7 2 4 2" xfId="18288" xr:uid="{15D68922-56CE-42F0-B7C4-65DEB5770140}"/>
    <cellStyle name="Išvestis 7 2 5" xfId="5275" xr:uid="{30053F46-6221-4F9E-AA78-E62FE394E0C7}"/>
    <cellStyle name="Išvestis 7 2 5 2" xfId="18289" xr:uid="{B0780802-19EE-4CDE-9D6E-44D86476BD65}"/>
    <cellStyle name="Išvestis 7 2 6" xfId="18285" xr:uid="{E8B78D6B-CE85-4046-83BD-6113943DFEA8}"/>
    <cellStyle name="Išvestis 7 3" xfId="5276" xr:uid="{01B53D1C-290B-4914-B90E-7DF4986B6D53}"/>
    <cellStyle name="Išvestis 7 3 2" xfId="18290" xr:uid="{36CCA29D-9C85-4C1B-9874-F8538962D19E}"/>
    <cellStyle name="Išvestis 7 4" xfId="5277" xr:uid="{212BF12B-2FED-4C73-8215-973A649A9C91}"/>
    <cellStyle name="Išvestis 7 4 2" xfId="18291" xr:uid="{68FA7A9B-E470-4F9C-9485-D443507D0ECD}"/>
    <cellStyle name="Išvestis 7 5" xfId="5278" xr:uid="{FFB2CEBB-014E-40C7-AD23-8C802ED05B3C}"/>
    <cellStyle name="Išvestis 7 5 2" xfId="18292" xr:uid="{1C12F8D9-C855-472E-BBF7-F2C99E5B565C}"/>
    <cellStyle name="Išvestis 7 6" xfId="5279" xr:uid="{9AC8D21D-0833-46B1-BB2D-D0DE1EE7DBE3}"/>
    <cellStyle name="Išvestis 7 6 2" xfId="18293" xr:uid="{EFA5813A-1201-4A6B-A2B7-2BE5BB2D0B31}"/>
    <cellStyle name="Išvestis 7 7" xfId="18284" xr:uid="{D68C82BE-6A31-4141-8162-69EF088DFEED}"/>
    <cellStyle name="Išvestis 8" xfId="5280" xr:uid="{F4FDF5B5-C704-4E5F-8929-83A3945C2816}"/>
    <cellStyle name="Išvestis 8 2" xfId="5281" xr:uid="{0F34F989-B3F4-4F76-8CD7-78E33F0DCE51}"/>
    <cellStyle name="Išvestis 8 2 2" xfId="5282" xr:uid="{ED95F97F-4C69-427B-9FC6-6595629DFBEC}"/>
    <cellStyle name="Išvestis 8 2 2 2" xfId="18296" xr:uid="{082A72FF-1C6D-4AA1-9F50-407B61474886}"/>
    <cellStyle name="Išvestis 8 2 3" xfId="5283" xr:uid="{883A7CF2-B82B-4780-A190-682E0EFCE74C}"/>
    <cellStyle name="Išvestis 8 2 3 2" xfId="18297" xr:uid="{46B213FC-68F1-46C8-BDBF-B8F7585859B7}"/>
    <cellStyle name="Išvestis 8 2 4" xfId="5284" xr:uid="{FE958108-24A7-4E24-AD35-2A6B5E114312}"/>
    <cellStyle name="Išvestis 8 2 4 2" xfId="18298" xr:uid="{942B5F53-E923-4028-831E-A166E641BA31}"/>
    <cellStyle name="Išvestis 8 2 5" xfId="5285" xr:uid="{6E65C2FF-430E-499E-9D20-64F6519E9517}"/>
    <cellStyle name="Išvestis 8 2 5 2" xfId="18299" xr:uid="{A362FD10-7701-416A-ABAB-855B1D3C269F}"/>
    <cellStyle name="Išvestis 8 2 6" xfId="18295" xr:uid="{81D3058C-1415-44BC-9D02-63E17EFA8921}"/>
    <cellStyle name="Išvestis 8 3" xfId="5286" xr:uid="{A985410C-CFBF-410B-8B33-8669433543F9}"/>
    <cellStyle name="Išvestis 8 3 2" xfId="18300" xr:uid="{0C4E8953-91D3-443F-99E0-BDFB7E064AE1}"/>
    <cellStyle name="Išvestis 8 4" xfId="5287" xr:uid="{51F6E3C2-D28B-4082-970A-64D308D200DC}"/>
    <cellStyle name="Išvestis 8 4 2" xfId="18301" xr:uid="{838A0738-54A8-4667-9A35-DF7F06E38BBB}"/>
    <cellStyle name="Išvestis 8 5" xfId="5288" xr:uid="{E847E3ED-AB06-4034-9181-B0FF68A31249}"/>
    <cellStyle name="Išvestis 8 5 2" xfId="18302" xr:uid="{4C7CDC18-B894-475D-A148-A297CDD7623D}"/>
    <cellStyle name="Išvestis 8 6" xfId="5289" xr:uid="{3C4D08DD-8383-41E1-AE3D-FE1B92667FAC}"/>
    <cellStyle name="Išvestis 8 6 2" xfId="18303" xr:uid="{960BF150-AE30-4FD0-90FE-15A71E90AFE3}"/>
    <cellStyle name="Išvestis 8 7" xfId="18294" xr:uid="{218E90AD-86B1-4DFA-AD0A-FA1656CEC9B6}"/>
    <cellStyle name="Išvestis 9" xfId="5290" xr:uid="{6D63D65F-0285-4385-8865-FCDDBF9A520E}"/>
    <cellStyle name="Išvestis 9 2" xfId="5291" xr:uid="{44E75FFD-53BD-45D8-A09C-7D70CF2EE439}"/>
    <cellStyle name="Išvestis 9 2 2" xfId="5292" xr:uid="{821464A6-D376-4229-AD84-634E4CB67E6F}"/>
    <cellStyle name="Išvestis 9 2 2 2" xfId="18306" xr:uid="{BEC3A65D-32E3-420C-95FB-7CE26606FF96}"/>
    <cellStyle name="Išvestis 9 2 3" xfId="5293" xr:uid="{4543EBF1-011E-4A41-9C06-D5D8BB5A6243}"/>
    <cellStyle name="Išvestis 9 2 3 2" xfId="18307" xr:uid="{E967D006-B7E6-4CB1-B62E-88F5D96FC003}"/>
    <cellStyle name="Išvestis 9 2 4" xfId="5294" xr:uid="{64F9E931-77E8-43DF-BF48-774483D3BE8F}"/>
    <cellStyle name="Išvestis 9 2 4 2" xfId="18308" xr:uid="{3F3239B4-B7ED-4048-A09F-5F7704417C81}"/>
    <cellStyle name="Išvestis 9 2 5" xfId="5295" xr:uid="{A089B7E7-A0D9-4BC4-BC3D-57AA956053B7}"/>
    <cellStyle name="Išvestis 9 2 5 2" xfId="18309" xr:uid="{1EA1CD82-1E11-4990-9CEB-E16DDD449B13}"/>
    <cellStyle name="Išvestis 9 2 6" xfId="18305" xr:uid="{AE304C66-F3E1-4C4F-80FB-642FFD8E279C}"/>
    <cellStyle name="Išvestis 9 3" xfId="5296" xr:uid="{E9FAA7C6-BCB6-4B82-BD84-466F4D4C7486}"/>
    <cellStyle name="Išvestis 9 3 2" xfId="18310" xr:uid="{B24DAB80-1856-4C24-ADB8-33ACDC24D880}"/>
    <cellStyle name="Išvestis 9 4" xfId="5297" xr:uid="{AE708DEB-8463-466F-88D6-7698871F3F81}"/>
    <cellStyle name="Išvestis 9 4 2" xfId="18311" xr:uid="{5A5026FC-245F-4C72-8018-B96C720FC6B7}"/>
    <cellStyle name="Išvestis 9 5" xfId="5298" xr:uid="{EC2BF9C8-3EDE-4FAF-AB19-051071814ED3}"/>
    <cellStyle name="Išvestis 9 5 2" xfId="18312" xr:uid="{3D646E2E-0AA4-4E6C-9EFC-7C3CB54C80F8}"/>
    <cellStyle name="Išvestis 9 6" xfId="5299" xr:uid="{16EEC908-D3B3-4DDA-9EC5-F1A4F0D6576B}"/>
    <cellStyle name="Išvestis 9 6 2" xfId="18313" xr:uid="{32CBAA12-2B47-42C2-99B1-289A145C8BB4}"/>
    <cellStyle name="Išvestis 9 7" xfId="18304" xr:uid="{F05C9FDC-A303-442C-87E8-4742A43B03D4}"/>
    <cellStyle name="Išvestis_KTR An-Abflug" xfId="14881" xr:uid="{B28E8CE1-0566-421F-B25C-9258F6476BAE}"/>
    <cellStyle name="Įvestis" xfId="5300" xr:uid="{5CD0F46F-A5F4-4C4C-84D3-439A45023647}"/>
    <cellStyle name="Įvestis 10" xfId="5301" xr:uid="{1F0A9EF5-307F-40C9-B8B6-DC7F3C2CF934}"/>
    <cellStyle name="Įvestis 10 2" xfId="5302" xr:uid="{71A6A43D-363C-4B6F-A76F-4BC4F39FF788}"/>
    <cellStyle name="Įvestis 10 2 2" xfId="5303" xr:uid="{91C0704F-6D5F-45C8-A6B0-FBD8C0779544}"/>
    <cellStyle name="Įvestis 10 2 2 2" xfId="18316" xr:uid="{B5BD6F2B-EE61-4443-825C-62A2F77D5A93}"/>
    <cellStyle name="Įvestis 10 2 3" xfId="5304" xr:uid="{70AEE804-8BD2-48FC-9F88-D77E1045C552}"/>
    <cellStyle name="Įvestis 10 2 3 2" xfId="18317" xr:uid="{FB6F2A21-F29A-45A2-9940-A0F003297B34}"/>
    <cellStyle name="Įvestis 10 2 4" xfId="5305" xr:uid="{9CCB99CF-8134-42F1-9DA9-02AE84B70064}"/>
    <cellStyle name="Įvestis 10 2 4 2" xfId="18318" xr:uid="{B14DCD23-D303-4592-BBCB-A42F2232FFC0}"/>
    <cellStyle name="Įvestis 10 2 5" xfId="5306" xr:uid="{F482E809-B478-4C8B-BC93-1A6267D5F96D}"/>
    <cellStyle name="Įvestis 10 2 5 2" xfId="18319" xr:uid="{C0DA7264-5A9F-4E5A-9F03-2C6A67A850C1}"/>
    <cellStyle name="Įvestis 10 2 6" xfId="18315" xr:uid="{845F4D97-2EBA-4F03-BA16-EA28F8F0A374}"/>
    <cellStyle name="Įvestis 10 3" xfId="5307" xr:uid="{62FC90B9-BF3A-45BD-9B94-B5A1149FA748}"/>
    <cellStyle name="Įvestis 10 3 2" xfId="18320" xr:uid="{26F1C939-7197-464A-B7C9-45FAFA94788E}"/>
    <cellStyle name="Įvestis 10 4" xfId="5308" xr:uid="{7AA864D5-7EFD-466B-91A0-DFDEB27A70CB}"/>
    <cellStyle name="Įvestis 10 4 2" xfId="18321" xr:uid="{A15B53F3-B249-44BE-A467-DE7BC71D5775}"/>
    <cellStyle name="Įvestis 10 5" xfId="5309" xr:uid="{CEF2E91E-E144-4539-9D08-5F4A225DAA27}"/>
    <cellStyle name="Įvestis 10 5 2" xfId="18322" xr:uid="{4CD5FD31-C497-493D-82A4-F2BEC8BAE77C}"/>
    <cellStyle name="Įvestis 10 6" xfId="5310" xr:uid="{4F7B38C3-C42A-4B36-BEDB-585D3A51FAF5}"/>
    <cellStyle name="Įvestis 10 6 2" xfId="18323" xr:uid="{1D51A19A-FF27-42CE-8563-37688A2013B0}"/>
    <cellStyle name="Įvestis 10 7" xfId="18314" xr:uid="{C2BC97CD-B2B1-40DC-A6B4-21CDAC17F908}"/>
    <cellStyle name="Įvestis 11" xfId="5311" xr:uid="{1542A2DE-53CB-49E1-A9F9-BF72D58FBD34}"/>
    <cellStyle name="Įvestis 11 2" xfId="5312" xr:uid="{99CD52C0-EE39-4FFB-AA91-57CF59C0ACC0}"/>
    <cellStyle name="Įvestis 11 2 2" xfId="5313" xr:uid="{1C68EDF1-77EB-4D71-A152-997C2DA1EB2D}"/>
    <cellStyle name="Įvestis 11 2 2 2" xfId="18326" xr:uid="{12C99C3A-2BF6-4456-8AA2-5A9AD2F86614}"/>
    <cellStyle name="Įvestis 11 2 3" xfId="5314" xr:uid="{D44C3C2E-C1C5-4D1D-9C1D-92C8B0D630C4}"/>
    <cellStyle name="Įvestis 11 2 3 2" xfId="18327" xr:uid="{06DAEC2C-A0A9-43C8-90AF-E147FB4BD7F8}"/>
    <cellStyle name="Įvestis 11 2 4" xfId="5315" xr:uid="{7F89B177-5A21-4C03-AB2B-B2C454222DB9}"/>
    <cellStyle name="Įvestis 11 2 4 2" xfId="18328" xr:uid="{C42B83FE-9AA9-4FF7-AD30-062640EA64E3}"/>
    <cellStyle name="Įvestis 11 2 5" xfId="5316" xr:uid="{F99FF8D9-ADB1-4A47-9638-4387498A29D8}"/>
    <cellStyle name="Įvestis 11 2 5 2" xfId="18329" xr:uid="{9ACADE6F-01EE-4241-B872-8A7CEA138BF4}"/>
    <cellStyle name="Įvestis 11 2 6" xfId="18325" xr:uid="{F7103052-6214-4EB7-8473-FD9FC21B4C7C}"/>
    <cellStyle name="Įvestis 11 3" xfId="5317" xr:uid="{AFB9BB53-ABC0-475F-9978-B7C85EF17B1C}"/>
    <cellStyle name="Įvestis 11 3 2" xfId="18330" xr:uid="{2FA2938B-4DF4-4575-B1C8-4731BDD3B891}"/>
    <cellStyle name="Įvestis 11 4" xfId="5318" xr:uid="{771BB854-CDF0-4BC5-A455-7031AFE8C77B}"/>
    <cellStyle name="Įvestis 11 4 2" xfId="18331" xr:uid="{80E115F4-F4AC-420C-B62D-574B13A2BEE7}"/>
    <cellStyle name="Įvestis 11 5" xfId="5319" xr:uid="{E790A6EF-57BF-488B-B565-C3586A51CBFD}"/>
    <cellStyle name="Įvestis 11 5 2" xfId="18332" xr:uid="{148C1DA6-6295-4A64-A770-49BA12128FCF}"/>
    <cellStyle name="Įvestis 11 6" xfId="5320" xr:uid="{659AEDA2-1106-4106-9C76-A6D978510FEB}"/>
    <cellStyle name="Įvestis 11 6 2" xfId="18333" xr:uid="{DA1FC8D4-C4E2-422F-A557-A58D9CAA23C4}"/>
    <cellStyle name="Įvestis 11 7" xfId="18324" xr:uid="{28E8E0F9-47EE-43FA-A246-985A6E67277C}"/>
    <cellStyle name="Įvestis 12" xfId="5321" xr:uid="{5540679C-AE4E-4D35-BD89-958B3D083E5E}"/>
    <cellStyle name="Įvestis 12 2" xfId="5322" xr:uid="{BD03F0DC-959E-41CE-9221-703B179E1EA4}"/>
    <cellStyle name="Įvestis 12 2 2" xfId="5323" xr:uid="{DD0AB83B-B58D-4B32-A992-76A224B61C74}"/>
    <cellStyle name="Įvestis 12 2 2 2" xfId="18336" xr:uid="{6642C5DD-8D96-4466-979C-430DDA1CEAED}"/>
    <cellStyle name="Įvestis 12 2 3" xfId="5324" xr:uid="{4462B6CA-EE20-4CD4-8C85-7CAE3C026D11}"/>
    <cellStyle name="Įvestis 12 2 3 2" xfId="18337" xr:uid="{5FCD4A04-89A4-4C2B-9457-F76A0540AF1D}"/>
    <cellStyle name="Įvestis 12 2 4" xfId="5325" xr:uid="{6E989618-3F32-43FE-A6E2-F7B20E22CBA2}"/>
    <cellStyle name="Įvestis 12 2 4 2" xfId="18338" xr:uid="{86898AC9-6628-4BE3-A284-D259DFD7D1AC}"/>
    <cellStyle name="Įvestis 12 2 5" xfId="5326" xr:uid="{F3978DA6-D915-4743-B0A7-2EF1E3ABAC18}"/>
    <cellStyle name="Įvestis 12 2 5 2" xfId="18339" xr:uid="{4CBBC20B-3FF7-4ED2-84BD-C6A8BA58492B}"/>
    <cellStyle name="Įvestis 12 2 6" xfId="18335" xr:uid="{6E47F347-77F0-40E3-ACB1-BE9DDC121944}"/>
    <cellStyle name="Įvestis 12 3" xfId="5327" xr:uid="{1AE5540A-CFE1-4AF4-893C-849BEFB2DCAD}"/>
    <cellStyle name="Įvestis 12 3 2" xfId="18340" xr:uid="{D5E929F9-0817-4585-9302-F4708174F8C2}"/>
    <cellStyle name="Įvestis 12 4" xfId="5328" xr:uid="{8D7FC148-6584-44EE-A649-67182BD145C7}"/>
    <cellStyle name="Įvestis 12 4 2" xfId="18341" xr:uid="{AFA01E84-6913-4E59-B003-4CA223F69EFA}"/>
    <cellStyle name="Įvestis 12 5" xfId="5329" xr:uid="{D7E083E7-2B45-4A0E-A3F8-49E2911E983C}"/>
    <cellStyle name="Įvestis 12 5 2" xfId="18342" xr:uid="{F299A631-AC20-4EFD-A9B5-036DDB191ADC}"/>
    <cellStyle name="Įvestis 12 6" xfId="5330" xr:uid="{6035DA3F-0BCD-48D7-A507-B97A0AD4B82E}"/>
    <cellStyle name="Įvestis 12 6 2" xfId="18343" xr:uid="{C081F123-923C-4414-87FD-61CF14E750B2}"/>
    <cellStyle name="Įvestis 12 7" xfId="18334" xr:uid="{615EA61C-0C98-4483-ACCA-020E381B20B6}"/>
    <cellStyle name="Įvestis 13" xfId="5331" xr:uid="{645FF090-FDD7-4453-8F18-7FDD5C54F585}"/>
    <cellStyle name="Įvestis 13 2" xfId="5332" xr:uid="{943FA23E-21E7-4B2D-9EF7-E5CC28EED7EB}"/>
    <cellStyle name="Įvestis 13 2 2" xfId="5333" xr:uid="{588ECDB7-B8F9-47F1-BE18-EE04D3051068}"/>
    <cellStyle name="Įvestis 13 2 2 2" xfId="18346" xr:uid="{262D8202-A7D8-4840-90A7-3831AFE63446}"/>
    <cellStyle name="Įvestis 13 2 3" xfId="5334" xr:uid="{F182251D-E388-4617-BF52-DCB7CB2B6A76}"/>
    <cellStyle name="Įvestis 13 2 3 2" xfId="18347" xr:uid="{E9A09B3D-7533-43B4-AB73-34D492D75893}"/>
    <cellStyle name="Įvestis 13 2 4" xfId="5335" xr:uid="{0A471A56-AAE5-4B5F-A6D6-5404D986153D}"/>
    <cellStyle name="Įvestis 13 2 4 2" xfId="18348" xr:uid="{CFFDC9E2-D866-4FCD-8D61-B9355B991FEE}"/>
    <cellStyle name="Įvestis 13 2 5" xfId="5336" xr:uid="{6C308987-4B26-4096-A436-64FCDA22AA84}"/>
    <cellStyle name="Įvestis 13 2 5 2" xfId="18349" xr:uid="{CC798BAF-DDE8-4FB0-BD70-4C7DD316A347}"/>
    <cellStyle name="Įvestis 13 2 6" xfId="18345" xr:uid="{CEA2C14B-0C8D-4F1D-A6F0-EB2508C60CEF}"/>
    <cellStyle name="Įvestis 13 3" xfId="5337" xr:uid="{72EEAF61-6996-4928-A76A-A22A3925D9C8}"/>
    <cellStyle name="Įvestis 13 3 2" xfId="18350" xr:uid="{3A9EF77A-671E-48C0-BC08-23C00A313318}"/>
    <cellStyle name="Įvestis 13 4" xfId="5338" xr:uid="{AECDBE9B-781C-4B78-9184-C98629D940BD}"/>
    <cellStyle name="Įvestis 13 4 2" xfId="18351" xr:uid="{10C0FE81-A523-4237-83B1-0A64DED8014C}"/>
    <cellStyle name="Įvestis 13 5" xfId="5339" xr:uid="{3FB09C4F-E3AF-46AE-9285-63910269B7E5}"/>
    <cellStyle name="Įvestis 13 5 2" xfId="18352" xr:uid="{CC6F47A6-440A-443E-8D42-51DC746A0C6C}"/>
    <cellStyle name="Įvestis 13 6" xfId="5340" xr:uid="{FBB18B7B-E52A-4874-8AB0-22F564B433E4}"/>
    <cellStyle name="Įvestis 13 6 2" xfId="18353" xr:uid="{DB4D1313-E8A1-4671-98B9-FE7A14F50B0A}"/>
    <cellStyle name="Įvestis 13 7" xfId="18344" xr:uid="{5880ABC8-F0D8-4768-B5A5-12702E26AA3E}"/>
    <cellStyle name="Įvestis 14" xfId="5341" xr:uid="{04FD1DB6-3BAC-4975-BC9B-113E22DE25CF}"/>
    <cellStyle name="Įvestis 14 2" xfId="5342" xr:uid="{B30705A2-8133-47AE-8BEF-91E2B1A53A1C}"/>
    <cellStyle name="Įvestis 14 2 2" xfId="5343" xr:uid="{6C4BD1AF-992A-4EEE-8766-F5A9C3B120F8}"/>
    <cellStyle name="Įvestis 14 2 2 2" xfId="18356" xr:uid="{37E81EEC-BD3F-4CD0-B58F-676DD96A45AC}"/>
    <cellStyle name="Įvestis 14 2 3" xfId="5344" xr:uid="{D8EB25F1-506F-46BB-9A4C-C8AFB216B1A8}"/>
    <cellStyle name="Įvestis 14 2 3 2" xfId="18357" xr:uid="{17394474-7DBC-4768-8C67-5A59972F4B5D}"/>
    <cellStyle name="Įvestis 14 2 4" xfId="5345" xr:uid="{7D77EAB9-7035-4309-A151-1D90153D8600}"/>
    <cellStyle name="Įvestis 14 2 4 2" xfId="18358" xr:uid="{72CEE5B1-6BC9-464E-B701-9FC1564BE8C2}"/>
    <cellStyle name="Įvestis 14 2 5" xfId="5346" xr:uid="{68E9A144-CDBF-45C6-BD44-7F1F2C43C270}"/>
    <cellStyle name="Įvestis 14 2 5 2" xfId="18359" xr:uid="{85F9BC15-BF22-460D-ACC8-EC58C4E6D247}"/>
    <cellStyle name="Įvestis 14 2 6" xfId="18355" xr:uid="{FF6A36B0-8FCB-4AED-AE34-4561E871B75C}"/>
    <cellStyle name="Įvestis 14 3" xfId="5347" xr:uid="{19B2C985-7D31-4355-8710-ABEDB9C926EB}"/>
    <cellStyle name="Įvestis 14 3 2" xfId="18360" xr:uid="{75F9B9DC-EBC0-442F-A46F-2941DF86EEB3}"/>
    <cellStyle name="Įvestis 14 4" xfId="5348" xr:uid="{F177C27D-4393-47B3-A682-DB71CF88EF5B}"/>
    <cellStyle name="Įvestis 14 4 2" xfId="18361" xr:uid="{55D639A6-B3BF-49EC-989D-74E2BE74AE7E}"/>
    <cellStyle name="Įvestis 14 5" xfId="5349" xr:uid="{1EFD06E7-E8B1-4145-8F2A-242D6EFEAB9F}"/>
    <cellStyle name="Įvestis 14 5 2" xfId="18362" xr:uid="{90BD5BF4-8D47-4D0A-8917-2AD25A5F925A}"/>
    <cellStyle name="Įvestis 14 6" xfId="5350" xr:uid="{09D52053-443C-42B3-AD29-75BCCD6E8ACB}"/>
    <cellStyle name="Įvestis 14 6 2" xfId="18363" xr:uid="{A47B3E54-9F54-422F-9CF8-A71C4EFAEADD}"/>
    <cellStyle name="Įvestis 14 7" xfId="18354" xr:uid="{AFE7AAD3-0D7F-4A62-A7EA-DA28D48DB6ED}"/>
    <cellStyle name="Įvestis 15" xfId="5351" xr:uid="{C170457D-8AF3-41B1-8CEB-54A23C0813B3}"/>
    <cellStyle name="Įvestis 15 2" xfId="5352" xr:uid="{E1F10113-4143-462F-B9BF-DB3488A013AE}"/>
    <cellStyle name="Įvestis 15 2 2" xfId="5353" xr:uid="{93F55D7E-C072-4D4E-9841-A42725E273B6}"/>
    <cellStyle name="Įvestis 15 2 2 2" xfId="18366" xr:uid="{20D89C19-5511-4E4D-B70F-4482F6889FBF}"/>
    <cellStyle name="Įvestis 15 2 3" xfId="5354" xr:uid="{BBFCD40D-0141-4B8C-B3CF-50DC49EBBCB7}"/>
    <cellStyle name="Įvestis 15 2 3 2" xfId="18367" xr:uid="{FA0232D3-2028-4310-B77D-D4D0E8ED096F}"/>
    <cellStyle name="Įvestis 15 2 4" xfId="5355" xr:uid="{248ACF7B-41DC-4C6A-BC97-BBB9701D367E}"/>
    <cellStyle name="Įvestis 15 2 4 2" xfId="18368" xr:uid="{05351B16-FCF4-4AC5-B54B-E295AB17AFB2}"/>
    <cellStyle name="Įvestis 15 2 5" xfId="5356" xr:uid="{626E9D52-B185-4D92-8DCA-E0F9AEA0C622}"/>
    <cellStyle name="Įvestis 15 2 5 2" xfId="18369" xr:uid="{64AFDCDD-302C-48DB-B386-876246F83AEE}"/>
    <cellStyle name="Įvestis 15 2 6" xfId="18365" xr:uid="{614B532C-F220-45EB-AFE0-159F330F6956}"/>
    <cellStyle name="Įvestis 15 3" xfId="5357" xr:uid="{E0F08402-20E4-4297-BEF6-4A1E70CB2230}"/>
    <cellStyle name="Įvestis 15 3 2" xfId="18370" xr:uid="{1D7D875E-7D34-46D2-9EAC-2494D37D827E}"/>
    <cellStyle name="Įvestis 15 4" xfId="5358" xr:uid="{7873A5B3-F606-4B28-9A56-0EC3DF292D7F}"/>
    <cellStyle name="Įvestis 15 4 2" xfId="18371" xr:uid="{FDAC8615-3686-4C14-82E6-DC44AFBD5435}"/>
    <cellStyle name="Įvestis 15 5" xfId="5359" xr:uid="{6313FAA3-73D2-4B65-B6C9-3D762665AA9D}"/>
    <cellStyle name="Įvestis 15 5 2" xfId="18372" xr:uid="{4E08641A-8710-4A49-91A9-830F6AD41D57}"/>
    <cellStyle name="Įvestis 15 6" xfId="5360" xr:uid="{7345B3BB-45A7-4342-8179-A94A803800CE}"/>
    <cellStyle name="Įvestis 15 6 2" xfId="18373" xr:uid="{03A52188-1539-4B48-8F31-4E36BB72567C}"/>
    <cellStyle name="Įvestis 15 7" xfId="18364" xr:uid="{2855C0CC-CB55-4D1C-BFB9-F8FDA6E71BB6}"/>
    <cellStyle name="Įvestis 16" xfId="5361" xr:uid="{74D77B6E-C243-48AC-984F-A7A798F1457E}"/>
    <cellStyle name="Įvestis 16 2" xfId="5362" xr:uid="{9FA6FA8C-BE2A-493C-B04E-1F6B18C9F997}"/>
    <cellStyle name="Įvestis 16 2 2" xfId="5363" xr:uid="{A2EAAAB2-B60B-4DAE-AF62-F61BB95A96F5}"/>
    <cellStyle name="Įvestis 16 2 2 2" xfId="18376" xr:uid="{927B2EF5-0EF7-4474-AB8E-8047E2F5D019}"/>
    <cellStyle name="Įvestis 16 2 3" xfId="5364" xr:uid="{0C4073E4-4862-4F0D-A9B7-D54C358561F6}"/>
    <cellStyle name="Įvestis 16 2 3 2" xfId="18377" xr:uid="{2FC7299C-27B0-4114-8A53-1E2DBCAA39EC}"/>
    <cellStyle name="Įvestis 16 2 4" xfId="5365" xr:uid="{662F4438-4120-414C-85AD-1A76C9F72842}"/>
    <cellStyle name="Įvestis 16 2 4 2" xfId="18378" xr:uid="{E04B49D0-D93E-4490-8AFF-D540D6302BD3}"/>
    <cellStyle name="Įvestis 16 2 5" xfId="5366" xr:uid="{8B93B893-B977-4024-9380-9C990D94952C}"/>
    <cellStyle name="Įvestis 16 2 5 2" xfId="18379" xr:uid="{71DB19CE-1D9C-4519-91CC-2A9D8C655AEB}"/>
    <cellStyle name="Įvestis 16 2 6" xfId="18375" xr:uid="{92BC3D30-1687-4BF8-BBFF-5CCB6C4991CF}"/>
    <cellStyle name="Įvestis 16 3" xfId="5367" xr:uid="{E6EBDE23-64CF-46D1-8863-37E87C5FE1F8}"/>
    <cellStyle name="Įvestis 16 3 2" xfId="18380" xr:uid="{05C586CC-745B-47E4-ACA6-795539BB0AB0}"/>
    <cellStyle name="Įvestis 16 4" xfId="5368" xr:uid="{6144FA3B-E207-4981-9E4E-4426C064F8FB}"/>
    <cellStyle name="Įvestis 16 4 2" xfId="18381" xr:uid="{3F8AF57C-9E81-44F0-9570-03F82682705E}"/>
    <cellStyle name="Įvestis 16 5" xfId="5369" xr:uid="{A5E33F4A-D3FB-4B03-83EF-8C84D59403D5}"/>
    <cellStyle name="Įvestis 16 5 2" xfId="18382" xr:uid="{88E9B6B0-C0ED-4168-8BD2-0B746EF32F7E}"/>
    <cellStyle name="Įvestis 16 6" xfId="5370" xr:uid="{ABA0E90E-D0DB-4864-AB3B-0C651F7384A2}"/>
    <cellStyle name="Įvestis 16 6 2" xfId="18383" xr:uid="{DBC26F01-AE6D-4905-9E48-83206951CDE1}"/>
    <cellStyle name="Įvestis 16 7" xfId="18374" xr:uid="{27FB090C-8A7F-4FC9-99F1-59A053B2D7A5}"/>
    <cellStyle name="Įvestis 17" xfId="5371" xr:uid="{FC6C1254-B3A4-4EAD-8961-23885638F362}"/>
    <cellStyle name="Įvestis 17 2" xfId="5372" xr:uid="{BE416412-A48F-4A99-98B4-B838B7D53BF8}"/>
    <cellStyle name="Įvestis 17 2 2" xfId="5373" xr:uid="{0F112524-D89C-4561-B35D-71B06297B4DC}"/>
    <cellStyle name="Įvestis 17 2 2 2" xfId="18386" xr:uid="{629B5AD3-8BCD-48A2-B5B7-10C67CBCCB35}"/>
    <cellStyle name="Įvestis 17 2 3" xfId="5374" xr:uid="{63DEF190-48E9-4828-B240-323DB2658E4B}"/>
    <cellStyle name="Įvestis 17 2 3 2" xfId="18387" xr:uid="{55ECDBA3-D6A9-4676-91C4-48F9EADC3F32}"/>
    <cellStyle name="Įvestis 17 2 4" xfId="5375" xr:uid="{E15F9CB5-DF45-48BB-8050-1CD302343BBE}"/>
    <cellStyle name="Įvestis 17 2 4 2" xfId="18388" xr:uid="{AFDD4C9C-1D12-4809-8B10-616A242DF3B0}"/>
    <cellStyle name="Įvestis 17 2 5" xfId="5376" xr:uid="{5791EFB9-6DFC-4662-AC02-0A7A9BB51A97}"/>
    <cellStyle name="Įvestis 17 2 5 2" xfId="18389" xr:uid="{8468F1B2-0C6B-4CF7-9F78-7C206CCF1660}"/>
    <cellStyle name="Įvestis 17 2 6" xfId="18385" xr:uid="{D5E49F05-471D-4A3D-BD4B-19D51F90BD81}"/>
    <cellStyle name="Įvestis 17 3" xfId="5377" xr:uid="{C3716DEB-2B7B-4187-8017-A0C957896E77}"/>
    <cellStyle name="Įvestis 17 3 2" xfId="18390" xr:uid="{9725B1A3-7421-4FD7-B1A1-95B64882E86A}"/>
    <cellStyle name="Įvestis 17 4" xfId="5378" xr:uid="{B2FE7C5A-6236-4160-BB5D-65EB1E8E6D8F}"/>
    <cellStyle name="Įvestis 17 4 2" xfId="18391" xr:uid="{11CFB188-4758-45BB-987F-230F2C2E6773}"/>
    <cellStyle name="Įvestis 17 5" xfId="5379" xr:uid="{31769652-6732-463F-BF2C-06501C11C5F1}"/>
    <cellStyle name="Įvestis 17 5 2" xfId="18392" xr:uid="{99922C01-621E-4932-8DF7-4940E42059E6}"/>
    <cellStyle name="Įvestis 17 6" xfId="5380" xr:uid="{5DA6CE53-CAD9-40AA-B2DD-F1FF0D87A773}"/>
    <cellStyle name="Įvestis 17 6 2" xfId="18393" xr:uid="{D41FC381-4DC9-4261-880C-75DBB1E40549}"/>
    <cellStyle name="Įvestis 17 7" xfId="18384" xr:uid="{3AC6DC67-55C4-45F4-9991-9E3ED89987E4}"/>
    <cellStyle name="Įvestis 18" xfId="5381" xr:uid="{E55BC07A-EF40-4EC1-A3FD-9D246E244A9D}"/>
    <cellStyle name="Įvestis 18 2" xfId="5382" xr:uid="{5CCE0C14-E4BA-49C0-87B4-66F65C92B964}"/>
    <cellStyle name="Įvestis 18 2 2" xfId="5383" xr:uid="{916C9BF5-995F-4D08-8E10-1CAD8CFD3F35}"/>
    <cellStyle name="Įvestis 18 2 2 2" xfId="18396" xr:uid="{0222773B-ED27-4BB0-A016-55963DBF215F}"/>
    <cellStyle name="Įvestis 18 2 3" xfId="5384" xr:uid="{F0C3362E-2E7E-4A9B-836B-563B2821B474}"/>
    <cellStyle name="Įvestis 18 2 3 2" xfId="18397" xr:uid="{6BBA47DF-77DD-411B-8624-018DD96973A3}"/>
    <cellStyle name="Įvestis 18 2 4" xfId="5385" xr:uid="{352C965E-66BD-472B-B213-6A287D460519}"/>
    <cellStyle name="Įvestis 18 2 4 2" xfId="18398" xr:uid="{B9DA1ACC-750E-480C-AE4F-72B84167D11B}"/>
    <cellStyle name="Įvestis 18 2 5" xfId="5386" xr:uid="{49BFDD6F-E105-4F8A-A871-E853A353A92E}"/>
    <cellStyle name="Įvestis 18 2 5 2" xfId="18399" xr:uid="{093F53F5-0A2C-49E5-A22C-B969D93BA17F}"/>
    <cellStyle name="Įvestis 18 2 6" xfId="18395" xr:uid="{A0EF664B-6A8E-4BB3-A57B-E6F3F67DD906}"/>
    <cellStyle name="Įvestis 18 3" xfId="5387" xr:uid="{7080ABFC-425F-4970-B079-28CEACFB9A7E}"/>
    <cellStyle name="Įvestis 18 3 2" xfId="18400" xr:uid="{0D9A784B-A7F4-4396-AFD0-4FD20228269E}"/>
    <cellStyle name="Įvestis 18 4" xfId="5388" xr:uid="{98419E72-EB49-4FBB-A63F-360D6A115EB3}"/>
    <cellStyle name="Įvestis 18 4 2" xfId="18401" xr:uid="{DE42523E-2DB8-4ACD-9AA4-B65B3EEAD9C0}"/>
    <cellStyle name="Įvestis 18 5" xfId="5389" xr:uid="{E3B43A6C-2568-4E8F-9521-9B18B5689C78}"/>
    <cellStyle name="Įvestis 18 5 2" xfId="18402" xr:uid="{3E3F2301-A29E-4D1D-ACA6-96EFB9B8CA54}"/>
    <cellStyle name="Įvestis 18 6" xfId="5390" xr:uid="{84F2F0E9-6DE9-46AE-A07C-FFD44C4DE902}"/>
    <cellStyle name="Įvestis 18 6 2" xfId="18403" xr:uid="{E2987CED-C80A-4566-B68F-F87A27B2C1C6}"/>
    <cellStyle name="Įvestis 18 7" xfId="18394" xr:uid="{596BAD32-6329-454F-996F-7A28320560BE}"/>
    <cellStyle name="Įvestis 19" xfId="5391" xr:uid="{96E9AB5E-03CE-484B-A0FC-D893EAFCD408}"/>
    <cellStyle name="Įvestis 19 2" xfId="5392" xr:uid="{3B8E8B59-331D-4BD4-9663-7FFE628F096C}"/>
    <cellStyle name="Įvestis 19 2 2" xfId="18405" xr:uid="{8100BFFA-773C-4735-B634-9E4B4B8B5C2D}"/>
    <cellStyle name="Įvestis 19 3" xfId="5393" xr:uid="{AE08C7C5-A545-46F2-9B89-B63F3D04AA71}"/>
    <cellStyle name="Įvestis 19 3 2" xfId="18406" xr:uid="{AF6AD71B-F385-45F4-924F-1B432476A854}"/>
    <cellStyle name="Įvestis 19 4" xfId="5394" xr:uid="{E4D73ADC-7C74-49E3-9BB3-D58B71F98FC8}"/>
    <cellStyle name="Įvestis 19 4 2" xfId="18407" xr:uid="{C0B5666F-B36D-42C8-838F-715D43FD52BA}"/>
    <cellStyle name="Įvestis 19 5" xfId="5395" xr:uid="{77061F8A-10D9-49D5-9A3B-DB3FAED91DA8}"/>
    <cellStyle name="Įvestis 19 5 2" xfId="18408" xr:uid="{152D8D5A-72D7-46D1-949A-99512F66FFA5}"/>
    <cellStyle name="Įvestis 19 6" xfId="18404" xr:uid="{9A46FA86-BF15-4748-8068-A0B2115F0804}"/>
    <cellStyle name="Įvestis 2" xfId="5396" xr:uid="{EA679F84-D6D6-4AEF-B54B-53DCF5580297}"/>
    <cellStyle name="Įvestis 2 2" xfId="5397" xr:uid="{A7734736-50F4-4A33-9D2F-8A7934D79AE6}"/>
    <cellStyle name="Įvestis 2 2 2" xfId="5398" xr:uid="{975D3862-273D-491C-9E05-1ED670241AC7}"/>
    <cellStyle name="Įvestis 2 2 2 2" xfId="18411" xr:uid="{6AB4439A-B863-4C14-9D48-057F35E4C62F}"/>
    <cellStyle name="Įvestis 2 2 3" xfId="5399" xr:uid="{AE81726B-AC33-4026-A733-345EEE606B8B}"/>
    <cellStyle name="Įvestis 2 2 3 2" xfId="18412" xr:uid="{302DE9B0-C660-4C62-9B68-79E0EBD07945}"/>
    <cellStyle name="Įvestis 2 2 4" xfId="5400" xr:uid="{F523A109-7809-4C12-957C-C59B3B86E244}"/>
    <cellStyle name="Įvestis 2 2 4 2" xfId="18413" xr:uid="{C60CBB79-3C94-42D0-BD9A-AAE8A1DB8EB0}"/>
    <cellStyle name="Įvestis 2 2 5" xfId="5401" xr:uid="{80B0F269-4C26-4D82-B1DE-9AE4A8FF9AFC}"/>
    <cellStyle name="Įvestis 2 2 5 2" xfId="18414" xr:uid="{C9ED6136-97C2-4C19-82A3-07060ED679FA}"/>
    <cellStyle name="Įvestis 2 2 6" xfId="18410" xr:uid="{1491906C-B146-4FDB-8B09-E69B0AFFD890}"/>
    <cellStyle name="Įvestis 2 3" xfId="5402" xr:uid="{C18F0B8B-EE94-4927-98B8-201090E2904F}"/>
    <cellStyle name="Įvestis 2 3 2" xfId="18415" xr:uid="{E4F4F957-DA15-4C29-BFB2-ABE3797182E2}"/>
    <cellStyle name="Įvestis 2 4" xfId="5403" xr:uid="{77A1F1C2-638E-4517-BF76-1E555539E50C}"/>
    <cellStyle name="Įvestis 2 4 2" xfId="18416" xr:uid="{99D0B69D-1CB7-4038-B797-3B0306D74816}"/>
    <cellStyle name="Įvestis 2 5" xfId="5404" xr:uid="{BC7CE646-84A7-448F-8D16-08D1F0349B9D}"/>
    <cellStyle name="Įvestis 2 5 2" xfId="18417" xr:uid="{146664D3-9D43-4645-947D-5B01BB08E46C}"/>
    <cellStyle name="Įvestis 2 6" xfId="5405" xr:uid="{38138ACD-E7B8-4D9E-ADD9-AD8D5E3155D8}"/>
    <cellStyle name="Įvestis 2 6 2" xfId="18418" xr:uid="{1607A300-8B25-40B5-BE70-9EFC089AAC23}"/>
    <cellStyle name="Įvestis 2 7" xfId="18409" xr:uid="{70D33024-E8D3-4320-9033-4C7F7D4AA241}"/>
    <cellStyle name="Įvestis 20" xfId="5406" xr:uid="{3C7DFA83-EC3D-4FF9-BA61-A862C2A03C19}"/>
    <cellStyle name="Įvestis 20 2" xfId="18419" xr:uid="{F01F19C4-9365-4A3F-9AFD-78567203A930}"/>
    <cellStyle name="Įvestis 21" xfId="5407" xr:uid="{CC7BBCCA-EBE9-43BD-BD38-75DEDBA6127A}"/>
    <cellStyle name="Įvestis 21 2" xfId="18420" xr:uid="{BE27C39D-F67E-4FC6-A7FE-8F98499AFEE9}"/>
    <cellStyle name="Įvestis 22" xfId="5408" xr:uid="{F3BA0109-9079-4C43-BEDB-24BF9537E0AA}"/>
    <cellStyle name="Įvestis 22 2" xfId="18421" xr:uid="{609CA146-645A-4134-B2EB-84DC4CD2D7D0}"/>
    <cellStyle name="Įvestis 23" xfId="5409" xr:uid="{0E40E6FA-B496-430D-9DC9-681C19D4C613}"/>
    <cellStyle name="Įvestis 23 2" xfId="18422" xr:uid="{8B7B3FAA-456C-44CA-A34E-CAFC4F27C9D6}"/>
    <cellStyle name="Įvestis 24" xfId="14975" xr:uid="{4F524546-5805-409B-8C9B-CCB86EE1C5D7}"/>
    <cellStyle name="Įvestis 3" xfId="5410" xr:uid="{8F856C6F-8CC1-4AA4-94A0-A513C9879296}"/>
    <cellStyle name="Įvestis 3 2" xfId="5411" xr:uid="{A6EC2672-9D35-4A49-876D-48EF0B081619}"/>
    <cellStyle name="Įvestis 3 2 2" xfId="5412" xr:uid="{4DB4863D-3800-4CE2-B6A4-12183C4FC383}"/>
    <cellStyle name="Įvestis 3 2 2 2" xfId="18425" xr:uid="{C13ECAC5-8E3E-43AF-A6C4-A545EEF62FF7}"/>
    <cellStyle name="Įvestis 3 2 3" xfId="5413" xr:uid="{75B16B54-6558-465E-85E2-7BF71CECB7E6}"/>
    <cellStyle name="Įvestis 3 2 3 2" xfId="18426" xr:uid="{046CCF2F-CA58-4069-A577-3EE85CC6D332}"/>
    <cellStyle name="Įvestis 3 2 4" xfId="5414" xr:uid="{510927C0-1F30-45DA-A64B-340688A5C51F}"/>
    <cellStyle name="Įvestis 3 2 4 2" xfId="18427" xr:uid="{4A2F47AB-0F04-427F-9D72-033B795D97A7}"/>
    <cellStyle name="Įvestis 3 2 5" xfId="5415" xr:uid="{19C1A7DD-B565-4C59-98AD-ADC42B81AD69}"/>
    <cellStyle name="Įvestis 3 2 5 2" xfId="18428" xr:uid="{FB240C80-41A3-4AB3-BF95-EB78EF34BEB4}"/>
    <cellStyle name="Įvestis 3 2 6" xfId="18424" xr:uid="{470EBB57-99A3-4CB9-860C-5B6FADF54C52}"/>
    <cellStyle name="Įvestis 3 3" xfId="5416" xr:uid="{181E5D7F-1121-4909-949A-AC057E1BD33A}"/>
    <cellStyle name="Įvestis 3 3 2" xfId="18429" xr:uid="{49870278-FC26-411A-9C4E-60C0679BEA02}"/>
    <cellStyle name="Įvestis 3 4" xfId="5417" xr:uid="{43B7477A-89EB-4695-BBAA-F2A6E8DD8F3D}"/>
    <cellStyle name="Įvestis 3 4 2" xfId="18430" xr:uid="{EF81BF6A-64C2-46DD-BF89-F3E2F9B8F031}"/>
    <cellStyle name="Įvestis 3 5" xfId="5418" xr:uid="{F297F772-2FEF-4157-9870-EAFC7C8BFE66}"/>
    <cellStyle name="Įvestis 3 5 2" xfId="18431" xr:uid="{C06CF561-DE33-4538-B61B-A3A7164BF213}"/>
    <cellStyle name="Įvestis 3 6" xfId="5419" xr:uid="{D76C401B-74B3-4E09-B07C-437AA01AA6BA}"/>
    <cellStyle name="Įvestis 3 6 2" xfId="18432" xr:uid="{35704352-421E-4981-AAC8-F6D31555805E}"/>
    <cellStyle name="Įvestis 3 7" xfId="18423" xr:uid="{646CEA08-20C9-49C2-AD10-EABE447A2E05}"/>
    <cellStyle name="Įvestis 4" xfId="5420" xr:uid="{7F7B9CED-C0E2-4501-9747-806E50469D00}"/>
    <cellStyle name="Įvestis 4 2" xfId="5421" xr:uid="{090B44F6-C1D7-42BC-8855-9AF27BCF048C}"/>
    <cellStyle name="Įvestis 4 2 2" xfId="5422" xr:uid="{53C299D4-B83E-4B2B-9209-C6209642D991}"/>
    <cellStyle name="Įvestis 4 2 2 2" xfId="18435" xr:uid="{7D7F825F-1D60-486D-ABAD-98C674C8D4D6}"/>
    <cellStyle name="Įvestis 4 2 3" xfId="5423" xr:uid="{B8368A78-A38E-4A33-B05C-EFCCE711C1E8}"/>
    <cellStyle name="Įvestis 4 2 3 2" xfId="18436" xr:uid="{A598C9C3-08E8-4AAB-AE55-A9A6EA2F906D}"/>
    <cellStyle name="Įvestis 4 2 4" xfId="5424" xr:uid="{2001A98C-13D2-4CC0-ACB5-FA66B5B0CAF5}"/>
    <cellStyle name="Įvestis 4 2 4 2" xfId="18437" xr:uid="{A4675504-B82B-4D3F-9A2C-32D6C7B03972}"/>
    <cellStyle name="Įvestis 4 2 5" xfId="5425" xr:uid="{84BC2887-B633-4497-A6F1-4DF56FF8C4CC}"/>
    <cellStyle name="Įvestis 4 2 5 2" xfId="18438" xr:uid="{46E8490B-FB49-48C9-BF48-C1E22CFF8C72}"/>
    <cellStyle name="Įvestis 4 2 6" xfId="18434" xr:uid="{6BF8B2D9-0386-4415-BC76-1B06BBFE2206}"/>
    <cellStyle name="Įvestis 4 3" xfId="5426" xr:uid="{DFBA4FD8-28A3-44A2-ADB5-8E0A728AC7CC}"/>
    <cellStyle name="Įvestis 4 3 2" xfId="18439" xr:uid="{5CA3C8F3-20B8-4826-A6BD-AB14F6BF5B39}"/>
    <cellStyle name="Įvestis 4 4" xfId="5427" xr:uid="{E9AA93CB-B9D3-4FC2-AA19-6279012FB3EA}"/>
    <cellStyle name="Įvestis 4 4 2" xfId="18440" xr:uid="{95EF53A7-AF51-44EE-AAAF-ACB4A1CC8395}"/>
    <cellStyle name="Įvestis 4 5" xfId="5428" xr:uid="{2E87FE22-3AF4-42FA-A229-1EC9F484B601}"/>
    <cellStyle name="Įvestis 4 5 2" xfId="18441" xr:uid="{07BC9D0C-3889-47C1-89DA-67C320FF5987}"/>
    <cellStyle name="Įvestis 4 6" xfId="5429" xr:uid="{1BC0B2D5-3EFC-448D-921C-CD10B126310E}"/>
    <cellStyle name="Įvestis 4 6 2" xfId="18442" xr:uid="{4FE5B65F-711A-4795-A851-23D5EFB73F9E}"/>
    <cellStyle name="Įvestis 4 7" xfId="18433" xr:uid="{3688ACBE-5238-4E89-A5B5-066876FD33C8}"/>
    <cellStyle name="Įvestis 5" xfId="5430" xr:uid="{CA56A6F3-2022-4FF9-8309-C31470C2FDDA}"/>
    <cellStyle name="Įvestis 5 2" xfId="5431" xr:uid="{89E8B10B-A22C-486A-A551-E6895EDE9D81}"/>
    <cellStyle name="Įvestis 5 2 2" xfId="5432" xr:uid="{17079FFF-6D8E-459D-BCC6-24E626AA27A0}"/>
    <cellStyle name="Įvestis 5 2 2 2" xfId="18445" xr:uid="{90157DAC-EC1C-4502-A035-36F85F395506}"/>
    <cellStyle name="Įvestis 5 2 3" xfId="5433" xr:uid="{305DB03E-8147-4897-A618-9A139242BC4F}"/>
    <cellStyle name="Įvestis 5 2 3 2" xfId="18446" xr:uid="{D5AFDDEE-328E-4632-AD81-E41C1C55E264}"/>
    <cellStyle name="Įvestis 5 2 4" xfId="5434" xr:uid="{561DD751-029B-409A-BDA2-FE5B4686E743}"/>
    <cellStyle name="Įvestis 5 2 4 2" xfId="18447" xr:uid="{E8EFD2FB-93B0-439A-961E-8E157A072056}"/>
    <cellStyle name="Įvestis 5 2 5" xfId="5435" xr:uid="{A4C80630-B11C-49D7-8AB1-CC8F71248761}"/>
    <cellStyle name="Įvestis 5 2 5 2" xfId="18448" xr:uid="{38092A15-DA19-4978-B9ED-BFF36A1062A9}"/>
    <cellStyle name="Įvestis 5 2 6" xfId="18444" xr:uid="{76F1F20D-CCD2-445B-96E0-E8B864210AB4}"/>
    <cellStyle name="Įvestis 5 3" xfId="5436" xr:uid="{4696E92F-3FBB-40F5-B976-156BC812CB9F}"/>
    <cellStyle name="Įvestis 5 3 2" xfId="18449" xr:uid="{D3855461-FEE6-432D-9CAE-C2A82089F0CD}"/>
    <cellStyle name="Įvestis 5 4" xfId="5437" xr:uid="{5157CE4B-DB9B-40F8-A18E-4B9E5A9AC85B}"/>
    <cellStyle name="Įvestis 5 4 2" xfId="18450" xr:uid="{F03F8FC9-0D84-4A2E-BB6E-D19CEE4B59BB}"/>
    <cellStyle name="Įvestis 5 5" xfId="5438" xr:uid="{9A4A6D1A-276F-46D3-BAEF-DDAB1AD9B6B0}"/>
    <cellStyle name="Įvestis 5 5 2" xfId="18451" xr:uid="{306C40B6-75AA-41A0-AC59-123E71360997}"/>
    <cellStyle name="Įvestis 5 6" xfId="5439" xr:uid="{7154F9A0-0278-49FF-B659-92DAB224785A}"/>
    <cellStyle name="Įvestis 5 6 2" xfId="18452" xr:uid="{60A3E526-5171-43F9-891C-D84F82124BA1}"/>
    <cellStyle name="Įvestis 5 7" xfId="18443" xr:uid="{80DF1703-DE1E-4616-96BF-7D48181F8BC8}"/>
    <cellStyle name="Įvestis 6" xfId="5440" xr:uid="{04183B3E-CBE3-40EA-9862-A7A9724D98F4}"/>
    <cellStyle name="Įvestis 6 2" xfId="5441" xr:uid="{60354EE5-7D43-4804-A675-DAED25E0FDB2}"/>
    <cellStyle name="Įvestis 6 2 2" xfId="5442" xr:uid="{74105570-FC9D-4182-BA2B-06FEE42F6418}"/>
    <cellStyle name="Įvestis 6 2 2 2" xfId="18455" xr:uid="{4FB54984-036D-4CBF-8EE4-6DDCA645842C}"/>
    <cellStyle name="Įvestis 6 2 3" xfId="5443" xr:uid="{17AE490D-7A18-4960-B046-1382389232BC}"/>
    <cellStyle name="Įvestis 6 2 3 2" xfId="18456" xr:uid="{743EBEC5-9245-47AF-A347-CA2FF0D62BC6}"/>
    <cellStyle name="Įvestis 6 2 4" xfId="5444" xr:uid="{C877A959-444C-449B-9335-23F7D842EA67}"/>
    <cellStyle name="Įvestis 6 2 4 2" xfId="18457" xr:uid="{EDC906A7-4E2D-45FE-AB90-3A83BC841DD0}"/>
    <cellStyle name="Įvestis 6 2 5" xfId="5445" xr:uid="{DA09C388-350D-4DC6-BF16-8DAE4B59AA1C}"/>
    <cellStyle name="Įvestis 6 2 5 2" xfId="18458" xr:uid="{F2145771-4ADB-40A4-882C-59486C48F1BA}"/>
    <cellStyle name="Įvestis 6 2 6" xfId="18454" xr:uid="{081CF083-E6A3-4C51-9805-BF0957B6BDA7}"/>
    <cellStyle name="Įvestis 6 3" xfId="5446" xr:uid="{4F291DAF-278E-43B9-BF0B-5C0F613530A3}"/>
    <cellStyle name="Įvestis 6 3 2" xfId="18459" xr:uid="{1BE11FE6-0911-4B56-918E-A70D42A8DDB9}"/>
    <cellStyle name="Įvestis 6 4" xfId="5447" xr:uid="{D2ABDB60-6036-4FAA-91F0-22BEA5406FB7}"/>
    <cellStyle name="Įvestis 6 4 2" xfId="18460" xr:uid="{65E27940-0932-43EE-B60A-B58367062040}"/>
    <cellStyle name="Įvestis 6 5" xfId="5448" xr:uid="{430DB5E1-361A-46A5-9B5F-F69E2D448606}"/>
    <cellStyle name="Įvestis 6 5 2" xfId="18461" xr:uid="{28BB86E4-B4E1-47C5-B07A-5524AC4D71E8}"/>
    <cellStyle name="Įvestis 6 6" xfId="5449" xr:uid="{1E95E0FE-559D-40B5-8356-DCBA0A616CBB}"/>
    <cellStyle name="Įvestis 6 6 2" xfId="18462" xr:uid="{2C675B8D-12B4-4380-B495-84D34692BEE2}"/>
    <cellStyle name="Įvestis 6 7" xfId="18453" xr:uid="{364C50B2-84C5-464E-A2CE-4E3BA38B31A7}"/>
    <cellStyle name="Įvestis 7" xfId="5450" xr:uid="{46081A66-60FE-4499-A870-FB126715DEB0}"/>
    <cellStyle name="Įvestis 7 2" xfId="5451" xr:uid="{B2BCCD1B-107D-40DA-BF2F-3403D601E778}"/>
    <cellStyle name="Įvestis 7 2 2" xfId="5452" xr:uid="{F74897AF-F800-4B4C-B566-4AAF4C78384E}"/>
    <cellStyle name="Įvestis 7 2 2 2" xfId="18465" xr:uid="{C9F2198E-7661-422B-8067-E5061D9D9B79}"/>
    <cellStyle name="Įvestis 7 2 3" xfId="5453" xr:uid="{352371AE-AB7C-4915-955F-BCB016A69430}"/>
    <cellStyle name="Įvestis 7 2 3 2" xfId="18466" xr:uid="{E07105F7-5988-4795-A4EE-B88B2B93750B}"/>
    <cellStyle name="Įvestis 7 2 4" xfId="5454" xr:uid="{027FB574-EFE2-4CF8-8AD4-4F8BF3342456}"/>
    <cellStyle name="Įvestis 7 2 4 2" xfId="18467" xr:uid="{5F0FC226-2659-464B-AA5E-58362A9D5E64}"/>
    <cellStyle name="Įvestis 7 2 5" xfId="5455" xr:uid="{2222644A-88A3-4214-A3FD-D43F21D699AA}"/>
    <cellStyle name="Įvestis 7 2 5 2" xfId="18468" xr:uid="{F726A0D1-166A-46ED-BAB0-0C2DB085FE7E}"/>
    <cellStyle name="Įvestis 7 2 6" xfId="18464" xr:uid="{950DE1AD-7E43-4435-9DEE-B59404450A03}"/>
    <cellStyle name="Įvestis 7 3" xfId="5456" xr:uid="{247EE75C-CA5D-46C9-B2A1-9CA2D1BB4686}"/>
    <cellStyle name="Įvestis 7 3 2" xfId="18469" xr:uid="{526EF406-7B04-498C-B2C3-86F21E6B2BE5}"/>
    <cellStyle name="Įvestis 7 4" xfId="5457" xr:uid="{CDCE4D57-1DBA-4C29-97FA-7E5C5102CC21}"/>
    <cellStyle name="Įvestis 7 4 2" xfId="18470" xr:uid="{A81ECAEB-ED83-47FA-B35B-A4EF500B6E48}"/>
    <cellStyle name="Įvestis 7 5" xfId="5458" xr:uid="{082F0FFD-BD47-40AD-A135-1F786E639E34}"/>
    <cellStyle name="Įvestis 7 5 2" xfId="18471" xr:uid="{19EF755D-437D-418D-9AF1-0DAC66ACF38E}"/>
    <cellStyle name="Įvestis 7 6" xfId="5459" xr:uid="{FBD0B05D-19AE-4864-8C0D-3033FF8B2327}"/>
    <cellStyle name="Įvestis 7 6 2" xfId="18472" xr:uid="{19395CD1-38C7-47D7-BC74-98E39338DB3F}"/>
    <cellStyle name="Įvestis 7 7" xfId="18463" xr:uid="{4AAFD7D6-56E8-4A92-B1F5-FDB35B8B2952}"/>
    <cellStyle name="Įvestis 8" xfId="5460" xr:uid="{5149C35C-CF89-4A8F-BF49-1F393EB569C6}"/>
    <cellStyle name="Įvestis 8 2" xfId="5461" xr:uid="{3B5BC5FA-CC5E-4F00-9BA3-79548CC17113}"/>
    <cellStyle name="Įvestis 8 2 2" xfId="5462" xr:uid="{7033646F-B8B0-48A8-A84B-2D2763E229AE}"/>
    <cellStyle name="Įvestis 8 2 2 2" xfId="18475" xr:uid="{A12EBCD2-93CF-4449-A64D-BC07C5061EC6}"/>
    <cellStyle name="Įvestis 8 2 3" xfId="5463" xr:uid="{E4AEAE2B-F311-49F0-AC9D-57912E84AF62}"/>
    <cellStyle name="Įvestis 8 2 3 2" xfId="18476" xr:uid="{F1410B30-BBF1-4638-8B2D-60C522A2A4C3}"/>
    <cellStyle name="Įvestis 8 2 4" xfId="5464" xr:uid="{3714553A-0AC9-4AD2-9B05-EB1C81B12E89}"/>
    <cellStyle name="Įvestis 8 2 4 2" xfId="18477" xr:uid="{08C976CC-45AB-40AA-8161-2F4897185B9A}"/>
    <cellStyle name="Įvestis 8 2 5" xfId="5465" xr:uid="{863AF57E-6532-44F7-A6B5-FE063EDDD38F}"/>
    <cellStyle name="Įvestis 8 2 5 2" xfId="18478" xr:uid="{4949D7E1-BDA6-478F-9829-49405EE8265C}"/>
    <cellStyle name="Įvestis 8 2 6" xfId="18474" xr:uid="{B322115B-D605-4D20-9613-31EEAB797240}"/>
    <cellStyle name="Įvestis 8 3" xfId="5466" xr:uid="{FF78C069-573D-4F43-8DAF-B794EEAF2DB2}"/>
    <cellStyle name="Įvestis 8 3 2" xfId="18479" xr:uid="{D08B8AD7-F31E-434F-9A5F-0A693A95B95C}"/>
    <cellStyle name="Įvestis 8 4" xfId="5467" xr:uid="{034C8045-957E-4A1C-8EA3-E6DE829B53E0}"/>
    <cellStyle name="Įvestis 8 4 2" xfId="18480" xr:uid="{4853F6F7-149A-443B-859E-DB9AD7E681F2}"/>
    <cellStyle name="Įvestis 8 5" xfId="5468" xr:uid="{5080D936-A319-44B6-86D6-53E172D90A0B}"/>
    <cellStyle name="Įvestis 8 5 2" xfId="18481" xr:uid="{8DBDDDCB-24B3-4DA6-88A1-025F233FE953}"/>
    <cellStyle name="Įvestis 8 6" xfId="5469" xr:uid="{3044EE0B-53BA-4403-85E0-A49A7E1F0597}"/>
    <cellStyle name="Įvestis 8 6 2" xfId="18482" xr:uid="{929C9B12-397C-4B99-ADE1-57C05B287051}"/>
    <cellStyle name="Įvestis 8 7" xfId="18473" xr:uid="{E101D3F1-4F7B-482F-828B-4B45510BBA89}"/>
    <cellStyle name="Įvestis 9" xfId="5470" xr:uid="{8F11F7B6-EB35-4E4E-90C6-28ED0789FDDA}"/>
    <cellStyle name="Įvestis 9 2" xfId="5471" xr:uid="{822F14EF-E16E-41A7-A7D1-8F1865B6EF56}"/>
    <cellStyle name="Įvestis 9 2 2" xfId="5472" xr:uid="{1606323F-207D-4B37-9AEC-5B61C4DAB3E5}"/>
    <cellStyle name="Įvestis 9 2 2 2" xfId="18485" xr:uid="{025226B3-15ED-4035-A172-DB663041532C}"/>
    <cellStyle name="Įvestis 9 2 3" xfId="5473" xr:uid="{6B3FA341-65AD-4956-BD0A-0B8DA10B5B6D}"/>
    <cellStyle name="Įvestis 9 2 3 2" xfId="18486" xr:uid="{BE3678AE-01FF-462C-BAC5-ACFF006B2F80}"/>
    <cellStyle name="Įvestis 9 2 4" xfId="5474" xr:uid="{D82CF9B1-CEF8-4175-B5BD-237F657026A9}"/>
    <cellStyle name="Įvestis 9 2 4 2" xfId="18487" xr:uid="{8F992477-00B3-4FCB-A941-00E50523123B}"/>
    <cellStyle name="Įvestis 9 2 5" xfId="5475" xr:uid="{54E4E992-DA9D-4BAF-AB5C-0441946D9392}"/>
    <cellStyle name="Įvestis 9 2 5 2" xfId="18488" xr:uid="{7080956C-EDF5-4ED0-937B-5DC50752FEC5}"/>
    <cellStyle name="Įvestis 9 2 6" xfId="18484" xr:uid="{859114FE-BD30-413E-8AC4-2E4607974B26}"/>
    <cellStyle name="Įvestis 9 3" xfId="5476" xr:uid="{4DEB7EFC-A367-4466-9F8A-CEC315D54078}"/>
    <cellStyle name="Įvestis 9 3 2" xfId="18489" xr:uid="{11549393-B396-4836-8566-1EEB9FD23C0D}"/>
    <cellStyle name="Įvestis 9 4" xfId="5477" xr:uid="{0FF91E1D-2D9F-4687-8758-5CC0A89F6F66}"/>
    <cellStyle name="Įvestis 9 4 2" xfId="18490" xr:uid="{2E183339-B996-4D0B-8CFD-78A1D3823B55}"/>
    <cellStyle name="Įvestis 9 5" xfId="5478" xr:uid="{AC1C4AF1-D93A-49E4-A557-774FBC8AD9F3}"/>
    <cellStyle name="Įvestis 9 5 2" xfId="18491" xr:uid="{16FDE851-CFC7-454F-85AD-BEB36C5D02E4}"/>
    <cellStyle name="Įvestis 9 6" xfId="5479" xr:uid="{931B6312-5A90-4C34-900D-8E57EBB47FB8}"/>
    <cellStyle name="Įvestis 9 6 2" xfId="18492" xr:uid="{8287DD8C-6725-4F18-B8B0-F1834038D9E7}"/>
    <cellStyle name="Įvestis 9 7" xfId="18483" xr:uid="{B4387246-7745-4B4F-A1D9-0BDB5A464199}"/>
    <cellStyle name="Įvestis_PGM_CHECK" xfId="14893" xr:uid="{A25F0F9D-4C48-45DB-9565-F8058ECA9E0F}"/>
    <cellStyle name="Jegyzet 2" xfId="5480" xr:uid="{8B407EDC-60E5-48AE-866C-6EB66F2F4B04}"/>
    <cellStyle name="Jegyzet 2 2" xfId="5481" xr:uid="{70F0F4CC-F2DD-4FB3-8879-3D4AC6F4D921}"/>
    <cellStyle name="Jegyzet 2 2 2" xfId="18493" xr:uid="{C65F5F1D-3332-4E46-ACA1-0322397CA671}"/>
    <cellStyle name="Jegyzet 2 3" xfId="5482" xr:uid="{17CECEE8-A0CF-40A5-969F-AD46283C96F8}"/>
    <cellStyle name="Jegyzet 2 3 2" xfId="18494" xr:uid="{3E5D381C-BE9F-44C3-AA1B-B1C9E5403B77}"/>
    <cellStyle name="Jegyzet 2 4" xfId="15369" xr:uid="{630A8BD6-6D58-48DC-A5D8-7FF1C8389D4C}"/>
    <cellStyle name="Jegyzet 2_RP3 PP revised" xfId="15148" xr:uid="{CD90DDD8-4571-486E-9898-DA3E54FF3151}"/>
    <cellStyle name="Jelölőszín (1) 2" xfId="5483" xr:uid="{A3533D46-8BF8-49F3-8448-52B6094B3163}"/>
    <cellStyle name="Jelölőszín (2) 2" xfId="5484" xr:uid="{EE9D4E8B-7E83-406A-9B65-F72C74B5A596}"/>
    <cellStyle name="Jelölőszín (3) 2" xfId="5485" xr:uid="{B0D27503-0536-4185-93BB-BC2A673F348B}"/>
    <cellStyle name="Jelölőszín (4) 2" xfId="5486" xr:uid="{3F56B5C7-2C25-43BB-8D27-7734DA917A2A}"/>
    <cellStyle name="Jelölőszín (5) 2" xfId="5487" xr:uid="{C184973B-2CAF-43FE-8912-C2085A8C2C15}"/>
    <cellStyle name="Jelölőszín (6) 2" xfId="5488" xr:uid="{EF9B1F4A-B0EE-4C89-A914-12BE08BBA0F0}"/>
    <cellStyle name="Jó 2" xfId="5489" xr:uid="{6A43F6AE-875A-4F8F-82F3-83A111A57666}"/>
    <cellStyle name="Kimenet 2" xfId="5490" xr:uid="{A108CF95-CB6F-47A6-A531-D833CF47081E}"/>
    <cellStyle name="Kimenet 2 2" xfId="5491" xr:uid="{8C93794B-E6C8-4958-ADEE-D550632C8839}"/>
    <cellStyle name="Kimenet 2 2 2" xfId="18495" xr:uid="{CE7D8FF1-62B7-4654-B906-77D7120D5F32}"/>
    <cellStyle name="Kimenet 2 3" xfId="5492" xr:uid="{2CE94064-E0F1-4265-9F74-740C5B9FF056}"/>
    <cellStyle name="Kimenet 2 3 2" xfId="18496" xr:uid="{056A3976-AF0D-4449-A110-3EE4659664DB}"/>
    <cellStyle name="Kimenet 2 4" xfId="15370" xr:uid="{FB60049B-0C3B-469C-B710-5FFFA202EC3C}"/>
    <cellStyle name="Kimenet 2_RP3 PP revised" xfId="15147" xr:uid="{D333E4CF-15AA-4566-8118-250518B0916D}"/>
    <cellStyle name="Kokku" xfId="5493" xr:uid="{FA7AAA6E-2C55-4C2B-9B57-5832FA65336E}"/>
    <cellStyle name="Kokku 10" xfId="5494" xr:uid="{4D1CDA62-7D59-4304-82BE-90B68A23F809}"/>
    <cellStyle name="Kokku 10 2" xfId="5495" xr:uid="{8085E7A7-AE07-470C-B247-273F17378541}"/>
    <cellStyle name="Kokku 10 2 2" xfId="5496" xr:uid="{537704D1-8A02-408D-A929-A8C654D396F9}"/>
    <cellStyle name="Kokku 10 2 2 2" xfId="18499" xr:uid="{8D8A6D59-664D-49DC-9A11-3E5735A6D715}"/>
    <cellStyle name="Kokku 10 2 3" xfId="5497" xr:uid="{4B01CA1B-64A3-4DF6-AE0E-4544A69AC27F}"/>
    <cellStyle name="Kokku 10 2 3 2" xfId="18500" xr:uid="{C8C81E53-FFC4-42AB-8A16-AE2F0FA66A5E}"/>
    <cellStyle name="Kokku 10 2 4" xfId="5498" xr:uid="{358F841E-1786-4837-A181-3F5A5EE1A861}"/>
    <cellStyle name="Kokku 10 2 4 2" xfId="18501" xr:uid="{8951C9EE-6282-4EB0-A866-A386F02A76FE}"/>
    <cellStyle name="Kokku 10 2 5" xfId="5499" xr:uid="{BA14AA5A-4AC0-42F8-B8EA-2FEB1568BE66}"/>
    <cellStyle name="Kokku 10 2 5 2" xfId="18502" xr:uid="{86A7CB69-A3D0-42D4-B9CA-7D1DC0D061F3}"/>
    <cellStyle name="Kokku 10 2 6" xfId="18498" xr:uid="{7582197E-EF4E-44EC-8E6D-462DCC287E11}"/>
    <cellStyle name="Kokku 10 3" xfId="5500" xr:uid="{BDEA19D0-AC44-42AC-BDC0-75BBE4579E9D}"/>
    <cellStyle name="Kokku 10 3 2" xfId="18503" xr:uid="{A7F5DB51-0460-4ABF-BA9E-6B8CCEBF4EB8}"/>
    <cellStyle name="Kokku 10 4" xfId="5501" xr:uid="{8A6AAF4C-94D2-4FFE-98EE-BAD443B2F4A5}"/>
    <cellStyle name="Kokku 10 4 2" xfId="18504" xr:uid="{3927B9FE-57CA-43A7-AA7D-7CACA2C19F77}"/>
    <cellStyle name="Kokku 10 5" xfId="5502" xr:uid="{F981AA8D-B594-44E6-B513-DDCDAB2F4AE1}"/>
    <cellStyle name="Kokku 10 5 2" xfId="18505" xr:uid="{888F8629-9260-4122-B191-9E9B478C7A00}"/>
    <cellStyle name="Kokku 10 6" xfId="5503" xr:uid="{1E26EF73-8354-40DF-A088-7B4A79AAE91A}"/>
    <cellStyle name="Kokku 10 6 2" xfId="18506" xr:uid="{395A830D-CEB0-4920-93F2-E87AD9D562C0}"/>
    <cellStyle name="Kokku 10 7" xfId="18497" xr:uid="{2175FE77-17A3-4EC4-B437-EDA186BC96F4}"/>
    <cellStyle name="Kokku 11" xfId="5504" xr:uid="{0272989C-430B-4938-8AFE-42D716FD90DC}"/>
    <cellStyle name="Kokku 11 2" xfId="5505" xr:uid="{27886536-D100-471F-B000-AD49864BF748}"/>
    <cellStyle name="Kokku 11 2 2" xfId="5506" xr:uid="{166BB687-2701-4A2B-9536-D73A8383DA30}"/>
    <cellStyle name="Kokku 11 2 2 2" xfId="18509" xr:uid="{DB33C872-D23D-41FD-B412-57EDA68734AE}"/>
    <cellStyle name="Kokku 11 2 3" xfId="5507" xr:uid="{B29A00FB-598B-4690-9E56-5D47DBAA7440}"/>
    <cellStyle name="Kokku 11 2 3 2" xfId="18510" xr:uid="{939E661C-A65B-4334-8E72-4CA332167C56}"/>
    <cellStyle name="Kokku 11 2 4" xfId="5508" xr:uid="{3DE137F9-AE5A-4425-B1A3-51A4CBA38B87}"/>
    <cellStyle name="Kokku 11 2 4 2" xfId="18511" xr:uid="{617718AE-65EF-41B6-B386-504E98771E92}"/>
    <cellStyle name="Kokku 11 2 5" xfId="5509" xr:uid="{FD6E368D-E687-46DA-97FB-F2CCCF3D8FFF}"/>
    <cellStyle name="Kokku 11 2 5 2" xfId="18512" xr:uid="{4AD54EB8-1997-48F7-9321-ECCDF4F2D05F}"/>
    <cellStyle name="Kokku 11 2 6" xfId="18508" xr:uid="{C2934DFC-E2E8-4233-AED8-1EF9D93773A7}"/>
    <cellStyle name="Kokku 11 3" xfId="5510" xr:uid="{5A086EFC-37EB-4777-8F33-D7D78A43EFCC}"/>
    <cellStyle name="Kokku 11 3 2" xfId="18513" xr:uid="{57BDCBA8-F7A5-4B9E-B64F-386BD865999D}"/>
    <cellStyle name="Kokku 11 4" xfId="5511" xr:uid="{7F6C18A0-0528-43F6-B40D-D6AF13842D6B}"/>
    <cellStyle name="Kokku 11 4 2" xfId="18514" xr:uid="{1B172A59-6FE9-46FE-B531-257FCE1A1C7C}"/>
    <cellStyle name="Kokku 11 5" xfId="5512" xr:uid="{A72CA3EB-0EE8-40BD-848A-539FA010D692}"/>
    <cellStyle name="Kokku 11 5 2" xfId="18515" xr:uid="{ED76E0D0-4A45-484C-8C9C-7BF603E61B86}"/>
    <cellStyle name="Kokku 11 6" xfId="5513" xr:uid="{B8FB1B10-DD00-4CE4-8F17-3A3246C9243F}"/>
    <cellStyle name="Kokku 11 6 2" xfId="18516" xr:uid="{E60093A0-9F3B-48A4-BB2B-2E8DE2374D82}"/>
    <cellStyle name="Kokku 11 7" xfId="18507" xr:uid="{F384F890-B819-4EC8-A9CF-F1978A52B7FA}"/>
    <cellStyle name="Kokku 12" xfId="5514" xr:uid="{9668A77B-E897-4196-9077-816B06308420}"/>
    <cellStyle name="Kokku 12 2" xfId="5515" xr:uid="{C12DA6D9-07D7-478E-96A6-74449A1F5AEF}"/>
    <cellStyle name="Kokku 12 2 2" xfId="5516" xr:uid="{FA7EBF24-8439-4D28-8C2D-4CD246E3CDFA}"/>
    <cellStyle name="Kokku 12 2 2 2" xfId="18519" xr:uid="{C5DAE95F-FE63-44B5-9604-ADC7E41D69E6}"/>
    <cellStyle name="Kokku 12 2 3" xfId="5517" xr:uid="{DBBC33D9-0F1D-42AF-9260-1613AF5EE332}"/>
    <cellStyle name="Kokku 12 2 3 2" xfId="18520" xr:uid="{CFAB0134-92CD-48E0-A900-F713F52B31E9}"/>
    <cellStyle name="Kokku 12 2 4" xfId="5518" xr:uid="{05A7E1EE-714A-4A4F-B90C-5A2FDAF37DF5}"/>
    <cellStyle name="Kokku 12 2 4 2" xfId="18521" xr:uid="{A13CC7E1-D75D-4C50-999D-42ACEBB92FB0}"/>
    <cellStyle name="Kokku 12 2 5" xfId="5519" xr:uid="{FFF16C06-A190-4B48-8950-D224270ADF27}"/>
    <cellStyle name="Kokku 12 2 5 2" xfId="18522" xr:uid="{13B8F7AB-61F6-4EDB-8722-D2344BF56F5A}"/>
    <cellStyle name="Kokku 12 2 6" xfId="18518" xr:uid="{E7D2B4BC-C0E6-42A3-A386-25C7ACC2F182}"/>
    <cellStyle name="Kokku 12 3" xfId="5520" xr:uid="{62545189-FFE4-47A5-B07D-AF3641C85021}"/>
    <cellStyle name="Kokku 12 3 2" xfId="18523" xr:uid="{1AAB35C1-0DC4-4FB1-B377-8CFA7BA7006F}"/>
    <cellStyle name="Kokku 12 4" xfId="5521" xr:uid="{ADC3690E-D11D-4E5E-99E6-C3411C55B59C}"/>
    <cellStyle name="Kokku 12 4 2" xfId="18524" xr:uid="{6124D6AB-2775-4C9F-9986-32A7F5819E1B}"/>
    <cellStyle name="Kokku 12 5" xfId="5522" xr:uid="{6D48EBCE-82BA-499C-999B-C7EBB4C34B2A}"/>
    <cellStyle name="Kokku 12 5 2" xfId="18525" xr:uid="{DACAABCB-2D0E-4D59-9E13-D4B29B84BF62}"/>
    <cellStyle name="Kokku 12 6" xfId="5523" xr:uid="{5840E41A-2B99-4D8A-9627-00FF659E9EF3}"/>
    <cellStyle name="Kokku 12 6 2" xfId="18526" xr:uid="{844F7CFF-D33D-4305-BB6A-29E850B42795}"/>
    <cellStyle name="Kokku 12 7" xfId="18517" xr:uid="{14AACFF2-3061-49FB-BD3C-A21E9ADC2045}"/>
    <cellStyle name="Kokku 13" xfId="5524" xr:uid="{88CA7807-74C7-473A-B5BD-27B56E237544}"/>
    <cellStyle name="Kokku 13 2" xfId="5525" xr:uid="{B303DC64-ACE7-4952-A18E-58AB33E5A0F1}"/>
    <cellStyle name="Kokku 13 2 2" xfId="5526" xr:uid="{175B7F41-BA50-4BB5-9E82-345B7FAAD745}"/>
    <cellStyle name="Kokku 13 2 2 2" xfId="18529" xr:uid="{592D6C58-EB0B-4C86-A073-EAEF94261D9A}"/>
    <cellStyle name="Kokku 13 2 3" xfId="5527" xr:uid="{B305DD91-7227-4E31-A151-3CFE2F28B3AD}"/>
    <cellStyle name="Kokku 13 2 3 2" xfId="18530" xr:uid="{9E3DE1B3-BDF3-4D6F-83BF-19D8919C71C3}"/>
    <cellStyle name="Kokku 13 2 4" xfId="5528" xr:uid="{1D21E830-6E54-4448-9202-A0BC7C7DF3E6}"/>
    <cellStyle name="Kokku 13 2 4 2" xfId="18531" xr:uid="{602F21EB-EB12-4459-8B9D-E53BF666EF1D}"/>
    <cellStyle name="Kokku 13 2 5" xfId="5529" xr:uid="{806BD166-29A3-4D5A-BA99-172E9608CD8A}"/>
    <cellStyle name="Kokku 13 2 5 2" xfId="18532" xr:uid="{B993B2E4-3DE8-4761-9868-12C6C0CCF1BD}"/>
    <cellStyle name="Kokku 13 2 6" xfId="18528" xr:uid="{ADCCFD67-20D6-4EF3-9973-E7B627D03DF7}"/>
    <cellStyle name="Kokku 13 3" xfId="5530" xr:uid="{CA10E846-00F5-4C34-A10D-4D6E06D9368C}"/>
    <cellStyle name="Kokku 13 3 2" xfId="18533" xr:uid="{E3D3CEB4-14B0-4AC0-97B5-3444179603E6}"/>
    <cellStyle name="Kokku 13 4" xfId="5531" xr:uid="{F96C1D9B-C52F-4A9C-A608-6F7F6184A598}"/>
    <cellStyle name="Kokku 13 4 2" xfId="18534" xr:uid="{D7325792-2557-4DB9-8BB2-CFC5E677ABFC}"/>
    <cellStyle name="Kokku 13 5" xfId="5532" xr:uid="{0EF114EC-C991-444D-A97B-0E7375018FE5}"/>
    <cellStyle name="Kokku 13 5 2" xfId="18535" xr:uid="{B9A79E92-BE72-45EA-A9EF-1566ACCE65D2}"/>
    <cellStyle name="Kokku 13 6" xfId="5533" xr:uid="{02946992-0229-48AE-8DC9-5471D294AE14}"/>
    <cellStyle name="Kokku 13 6 2" xfId="18536" xr:uid="{FDE710B0-064A-4DA5-B092-3A77230922C7}"/>
    <cellStyle name="Kokku 13 7" xfId="18527" xr:uid="{CE9EEAE6-749C-45E2-8C5B-0898059FD4DA}"/>
    <cellStyle name="Kokku 14" xfId="5534" xr:uid="{E401B9B7-DD95-48DB-91AB-85ABC4F8758E}"/>
    <cellStyle name="Kokku 14 2" xfId="5535" xr:uid="{F4A3A8A1-620D-4A3C-97A6-56B0D823CFD2}"/>
    <cellStyle name="Kokku 14 2 2" xfId="5536" xr:uid="{A5546D7F-B13B-4AE2-A958-A9A47EF2B19C}"/>
    <cellStyle name="Kokku 14 2 2 2" xfId="18539" xr:uid="{479A32EE-72EC-411C-AEB8-BC1B524D5B51}"/>
    <cellStyle name="Kokku 14 2 3" xfId="5537" xr:uid="{E40E87EA-C442-484D-A381-FB44C15C69B3}"/>
    <cellStyle name="Kokku 14 2 3 2" xfId="18540" xr:uid="{A71DF03F-FEAE-42CE-9BFB-6E36974C40D9}"/>
    <cellStyle name="Kokku 14 2 4" xfId="5538" xr:uid="{660BC3F3-5C6D-406B-9F67-7FC373EA8623}"/>
    <cellStyle name="Kokku 14 2 4 2" xfId="18541" xr:uid="{4E530779-F737-4BAF-8FB0-F363DF03F087}"/>
    <cellStyle name="Kokku 14 2 5" xfId="5539" xr:uid="{2F0E1511-8AE3-4C36-AB60-AF1D9FC9DE56}"/>
    <cellStyle name="Kokku 14 2 5 2" xfId="18542" xr:uid="{D56A6D70-6AE2-45E7-B7B3-9E7742A15096}"/>
    <cellStyle name="Kokku 14 2 6" xfId="18538" xr:uid="{0B137259-E3AD-42D7-BEE3-5065B12743FB}"/>
    <cellStyle name="Kokku 14 3" xfId="5540" xr:uid="{F961039C-87B6-4ED9-9B69-031986291D3B}"/>
    <cellStyle name="Kokku 14 3 2" xfId="18543" xr:uid="{6D009BA2-053E-4C34-8C05-2B800F703D3F}"/>
    <cellStyle name="Kokku 14 4" xfId="5541" xr:uid="{28210EC0-BA4C-406A-907F-B8A0B2AAED50}"/>
    <cellStyle name="Kokku 14 4 2" xfId="18544" xr:uid="{00DBB3AE-A579-4C2B-848F-CA2F880D9D18}"/>
    <cellStyle name="Kokku 14 5" xfId="5542" xr:uid="{F0C46A0A-89B3-4E01-9EB3-28ED7605C39E}"/>
    <cellStyle name="Kokku 14 5 2" xfId="18545" xr:uid="{59AA6A0F-AB75-4BF2-8402-C99A2E8D2376}"/>
    <cellStyle name="Kokku 14 6" xfId="5543" xr:uid="{B697D36C-DEBD-49A4-BB10-F018ED1DC070}"/>
    <cellStyle name="Kokku 14 6 2" xfId="18546" xr:uid="{16E94A55-7D20-4DCC-B4ED-984DE63E8595}"/>
    <cellStyle name="Kokku 14 7" xfId="18537" xr:uid="{71FDC2D2-4C64-4E2E-9E9D-C2A1786C282B}"/>
    <cellStyle name="Kokku 15" xfId="5544" xr:uid="{E7C18B88-6234-4F24-A6C3-564C5DAE067A}"/>
    <cellStyle name="Kokku 15 2" xfId="5545" xr:uid="{C1B7E710-BEEB-4F89-A3CD-AAE0D037D2A0}"/>
    <cellStyle name="Kokku 15 2 2" xfId="5546" xr:uid="{8D71C2AC-8817-4F2C-8183-9B4343B991E5}"/>
    <cellStyle name="Kokku 15 2 2 2" xfId="18549" xr:uid="{1B32FA93-FB18-4CCB-87A4-DAD7698AD553}"/>
    <cellStyle name="Kokku 15 2 3" xfId="5547" xr:uid="{F93B26FB-9CD0-4135-8006-2678844E7927}"/>
    <cellStyle name="Kokku 15 2 3 2" xfId="18550" xr:uid="{AC49B591-32C6-4879-AC54-B6B592916D2F}"/>
    <cellStyle name="Kokku 15 2 4" xfId="5548" xr:uid="{247562FC-F467-46E8-BA48-E271BBC170BE}"/>
    <cellStyle name="Kokku 15 2 4 2" xfId="18551" xr:uid="{5C35E80B-CA16-4C32-BFD0-2C207B72B035}"/>
    <cellStyle name="Kokku 15 2 5" xfId="5549" xr:uid="{83B8770E-C620-40C9-ADE7-E77AA101A5D1}"/>
    <cellStyle name="Kokku 15 2 5 2" xfId="18552" xr:uid="{365E8E55-AC94-45CD-B552-92B1729552D9}"/>
    <cellStyle name="Kokku 15 2 6" xfId="18548" xr:uid="{C2C711C5-83F0-4D6C-AD5E-3772BBB64AD9}"/>
    <cellStyle name="Kokku 15 3" xfId="5550" xr:uid="{695D49E0-0568-4D9C-BB90-8301A4012538}"/>
    <cellStyle name="Kokku 15 3 2" xfId="18553" xr:uid="{32430D6A-DEFF-4574-9D7B-3CB93CD37D09}"/>
    <cellStyle name="Kokku 15 4" xfId="5551" xr:uid="{463E89E4-B029-4261-8628-55728922DF2D}"/>
    <cellStyle name="Kokku 15 4 2" xfId="18554" xr:uid="{8AAB18C2-1EEB-40AB-87F1-2DDD203E8969}"/>
    <cellStyle name="Kokku 15 5" xfId="5552" xr:uid="{50C83D3E-0EA7-4928-9D21-B0E34068EA97}"/>
    <cellStyle name="Kokku 15 5 2" xfId="18555" xr:uid="{5A4586C1-BC10-4E47-B8BB-BB9D9D720B03}"/>
    <cellStyle name="Kokku 15 6" xfId="5553" xr:uid="{0079878B-C1F5-4654-A1EA-E763810C67E3}"/>
    <cellStyle name="Kokku 15 6 2" xfId="18556" xr:uid="{A7DCED53-B78A-4541-A68A-1718E623F79D}"/>
    <cellStyle name="Kokku 15 7" xfId="18547" xr:uid="{87C257AC-8850-4845-94E3-490F1F88A604}"/>
    <cellStyle name="Kokku 16" xfId="5554" xr:uid="{24B4AB62-DC9C-40D2-9AC5-58A343FFA07C}"/>
    <cellStyle name="Kokku 16 2" xfId="5555" xr:uid="{0FF94596-545F-47F8-BE71-BD543E9A8A82}"/>
    <cellStyle name="Kokku 16 2 2" xfId="5556" xr:uid="{F78619AC-7C36-47E9-BF1E-1CF6B3297F96}"/>
    <cellStyle name="Kokku 16 2 2 2" xfId="18559" xr:uid="{A71312F8-BBD8-4A51-AF88-0D8F398CD6AF}"/>
    <cellStyle name="Kokku 16 2 3" xfId="5557" xr:uid="{ED386A0F-B8A0-4FAF-AB72-DBD98F8A3C46}"/>
    <cellStyle name="Kokku 16 2 3 2" xfId="18560" xr:uid="{E127CEEA-4D44-4F16-9B89-6B9204085570}"/>
    <cellStyle name="Kokku 16 2 4" xfId="5558" xr:uid="{22734441-6359-4A49-A69B-724F44BCB0EF}"/>
    <cellStyle name="Kokku 16 2 4 2" xfId="18561" xr:uid="{2136A4C3-CF15-400B-8354-97B56BF4FFA6}"/>
    <cellStyle name="Kokku 16 2 5" xfId="5559" xr:uid="{8A438839-6309-4B98-89FC-DBEC7FF7DF52}"/>
    <cellStyle name="Kokku 16 2 5 2" xfId="18562" xr:uid="{CBB63506-0B00-45A4-B5C0-21FA7DE018CD}"/>
    <cellStyle name="Kokku 16 2 6" xfId="18558" xr:uid="{1F3FBBCC-1625-4FC2-8663-B7F444A83A45}"/>
    <cellStyle name="Kokku 16 3" xfId="5560" xr:uid="{92CAA94F-787C-486B-826F-69565E200591}"/>
    <cellStyle name="Kokku 16 3 2" xfId="18563" xr:uid="{2C5899A0-D1AF-4494-9C0E-AE45C89368AA}"/>
    <cellStyle name="Kokku 16 4" xfId="5561" xr:uid="{D34CB9F6-3965-42D9-9B84-07C94EECC9D3}"/>
    <cellStyle name="Kokku 16 4 2" xfId="18564" xr:uid="{58486A15-03DD-448D-A236-E865E7658B39}"/>
    <cellStyle name="Kokku 16 5" xfId="5562" xr:uid="{2CC8319C-537B-44F7-8791-5D644DA44ACE}"/>
    <cellStyle name="Kokku 16 5 2" xfId="18565" xr:uid="{EF09A461-D03A-4196-AA3E-B833781A188C}"/>
    <cellStyle name="Kokku 16 6" xfId="5563" xr:uid="{9E45A316-1E3D-4065-8A06-B8F8194EBE6A}"/>
    <cellStyle name="Kokku 16 6 2" xfId="18566" xr:uid="{A876864D-C873-4FFD-B26F-DDFB876E1D24}"/>
    <cellStyle name="Kokku 16 7" xfId="18557" xr:uid="{AE147E74-BF4E-4DC2-9A38-C037D923BD85}"/>
    <cellStyle name="Kokku 17" xfId="5564" xr:uid="{1BB20BD3-E9AF-41BF-B5F8-F0BEFF92F001}"/>
    <cellStyle name="Kokku 17 2" xfId="5565" xr:uid="{386840FC-6CB8-45F0-9679-A162DEC24A4E}"/>
    <cellStyle name="Kokku 17 2 2" xfId="5566" xr:uid="{E634E910-C669-41C7-917B-1C8CAE907109}"/>
    <cellStyle name="Kokku 17 2 2 2" xfId="18569" xr:uid="{60D43064-733B-4DC4-9E8E-3A9E31F30EA5}"/>
    <cellStyle name="Kokku 17 2 3" xfId="5567" xr:uid="{7C1E21A7-D71B-4F41-A34B-D74ACE01E2DA}"/>
    <cellStyle name="Kokku 17 2 3 2" xfId="18570" xr:uid="{B481291C-F1E9-4162-8CB6-5A60887DD711}"/>
    <cellStyle name="Kokku 17 2 4" xfId="5568" xr:uid="{591882D4-9A06-4E58-ACF5-0AE7EBB76E03}"/>
    <cellStyle name="Kokku 17 2 4 2" xfId="18571" xr:uid="{6CED9585-DEA7-48E1-914E-3FE2593A51C1}"/>
    <cellStyle name="Kokku 17 2 5" xfId="5569" xr:uid="{AB42F1CA-4086-484A-90CF-2F4E22DC7803}"/>
    <cellStyle name="Kokku 17 2 5 2" xfId="18572" xr:uid="{4619C23D-5A21-464D-A5D0-1725B9AE3346}"/>
    <cellStyle name="Kokku 17 2 6" xfId="18568" xr:uid="{5E5DF3CD-65F8-4ABA-B645-AA3B2792EF8A}"/>
    <cellStyle name="Kokku 17 3" xfId="5570" xr:uid="{5D0ADE66-5370-4B6A-AC1D-6BDDB0F8FFEF}"/>
    <cellStyle name="Kokku 17 3 2" xfId="18573" xr:uid="{EA234384-6AB0-496E-8315-265F6EF96FFC}"/>
    <cellStyle name="Kokku 17 4" xfId="5571" xr:uid="{8A17DEE2-8E67-40FB-880A-D588DA6C1301}"/>
    <cellStyle name="Kokku 17 4 2" xfId="18574" xr:uid="{6EF8521D-8913-4C11-9363-026F8DB5FE79}"/>
    <cellStyle name="Kokku 17 5" xfId="5572" xr:uid="{0E4BBB85-BE5F-4F00-968F-A44AD6DF8C41}"/>
    <cellStyle name="Kokku 17 5 2" xfId="18575" xr:uid="{E70FF781-5E78-48D7-B717-EDF9DA385A31}"/>
    <cellStyle name="Kokku 17 6" xfId="5573" xr:uid="{736A2B16-866D-4734-A804-01C1A401E870}"/>
    <cellStyle name="Kokku 17 6 2" xfId="18576" xr:uid="{1E1AD9DA-0DD9-4530-93B6-A1D66B5D708A}"/>
    <cellStyle name="Kokku 17 7" xfId="18567" xr:uid="{64B3BA1A-43D8-4D22-9CC3-57BA2D408E3C}"/>
    <cellStyle name="Kokku 18" xfId="5574" xr:uid="{AB62352F-974B-4845-836F-8F756A7D173F}"/>
    <cellStyle name="Kokku 18 2" xfId="5575" xr:uid="{F2E31F49-6A1F-4928-9850-1C39B0420651}"/>
    <cellStyle name="Kokku 18 2 2" xfId="18578" xr:uid="{2C36F122-DCE6-48EA-996B-DD92F66D6F43}"/>
    <cellStyle name="Kokku 18 3" xfId="5576" xr:uid="{49145DC8-F527-446E-8BDA-911FCE0B6B1F}"/>
    <cellStyle name="Kokku 18 3 2" xfId="18579" xr:uid="{B4E04F92-3607-42D5-9369-31D9FAE97889}"/>
    <cellStyle name="Kokku 18 4" xfId="5577" xr:uid="{28300DB8-3EC9-46D3-8AEA-B1763D37FA2F}"/>
    <cellStyle name="Kokku 18 4 2" xfId="18580" xr:uid="{AF81C9F8-BF78-4F7E-89A6-FA659CDF4255}"/>
    <cellStyle name="Kokku 18 5" xfId="5578" xr:uid="{E3B9F3A9-96C0-4F97-8D54-BE241AA1191E}"/>
    <cellStyle name="Kokku 18 5 2" xfId="18581" xr:uid="{E7BE7A65-45FA-4B4F-BB9C-79D182515C01}"/>
    <cellStyle name="Kokku 18 6" xfId="18577" xr:uid="{6C699B53-0EEA-4586-8304-97B9B3EF60DC}"/>
    <cellStyle name="Kokku 19" xfId="5579" xr:uid="{5A23D0F4-F63B-4414-8D03-BE4C2C1F7376}"/>
    <cellStyle name="Kokku 19 2" xfId="5580" xr:uid="{A593CC7A-A4E4-4E91-AC7E-DB937FD4A12B}"/>
    <cellStyle name="Kokku 19 2 2" xfId="18583" xr:uid="{A650EAF6-E3BF-4BA3-8E89-3EE382E50A5D}"/>
    <cellStyle name="Kokku 19 3" xfId="5581" xr:uid="{45017A2C-D40E-4F6B-9E52-B9C1BFDDD7B2}"/>
    <cellStyle name="Kokku 19 3 2" xfId="18584" xr:uid="{E6C4FAA1-18DF-4364-8D7F-B8D969D227BE}"/>
    <cellStyle name="Kokku 19 4" xfId="18582" xr:uid="{A7C8D98F-4A1E-4FC1-8512-FDEC3F3FCC20}"/>
    <cellStyle name="Kokku 2" xfId="5582" xr:uid="{32A949C2-AF38-449B-8FDE-82D0C0D4B7C9}"/>
    <cellStyle name="Kokku 2 2" xfId="5583" xr:uid="{2BD56879-8E95-4409-9F24-37E9004A880F}"/>
    <cellStyle name="Kokku 2 2 2" xfId="5584" xr:uid="{4F9FA7A5-12BE-4E28-A344-2C89A3E650C6}"/>
    <cellStyle name="Kokku 2 2 2 2" xfId="18587" xr:uid="{B2B0E6B2-5477-4D48-B9F8-98C317924DE6}"/>
    <cellStyle name="Kokku 2 2 3" xfId="5585" xr:uid="{11A95BA8-8EBD-4796-8438-FA88FD159C4C}"/>
    <cellStyle name="Kokku 2 2 3 2" xfId="18588" xr:uid="{75DACB91-12C3-4554-A951-FAE6F952ED5B}"/>
    <cellStyle name="Kokku 2 2 4" xfId="5586" xr:uid="{F173E2FA-744E-4CD0-9B3E-67EFC6110C15}"/>
    <cellStyle name="Kokku 2 2 4 2" xfId="18589" xr:uid="{8D99BB55-30D1-483C-87BB-4658F6E59866}"/>
    <cellStyle name="Kokku 2 2 5" xfId="5587" xr:uid="{45C6A6C7-53E9-4DD9-9AAF-EC1C4D58FCFF}"/>
    <cellStyle name="Kokku 2 2 5 2" xfId="18590" xr:uid="{A0A2D784-8393-4AA0-A2A6-7559B254CB44}"/>
    <cellStyle name="Kokku 2 2 6" xfId="18586" xr:uid="{D720EC01-1040-4FC6-9AA5-C814006BE05A}"/>
    <cellStyle name="Kokku 2 3" xfId="5588" xr:uid="{C55FCE50-6A0C-43FF-B259-9916B4D79BF6}"/>
    <cellStyle name="Kokku 2 3 2" xfId="5589" xr:uid="{520340CA-EEB6-4382-986D-4C3FA8262B98}"/>
    <cellStyle name="Kokku 2 3 2 2" xfId="18592" xr:uid="{039F0F95-4F0D-4938-8F5A-93C0C8E2D47F}"/>
    <cellStyle name="Kokku 2 3 3" xfId="5590" xr:uid="{A768A45D-2CCA-4152-9849-69612629D181}"/>
    <cellStyle name="Kokku 2 3 3 2" xfId="18593" xr:uid="{03C01009-87A9-4FF0-B0EF-1A45905DDABF}"/>
    <cellStyle name="Kokku 2 3 4" xfId="18591" xr:uid="{78E0B702-725F-4D8C-AB3D-D3AAA705461D}"/>
    <cellStyle name="Kokku 2 4" xfId="5591" xr:uid="{5CB1337A-0342-4005-AC5C-12B209BADBA0}"/>
    <cellStyle name="Kokku 2 4 2" xfId="18594" xr:uid="{A250D59E-9C96-4CCB-A03E-695BAE324829}"/>
    <cellStyle name="Kokku 2 5" xfId="5592" xr:uid="{A9B80A09-D651-42BD-9569-BF4E23D1CA37}"/>
    <cellStyle name="Kokku 2 5 2" xfId="18595" xr:uid="{B83AE9AD-D1AB-4804-A766-A0F77ADAC46D}"/>
    <cellStyle name="Kokku 2 6" xfId="5593" xr:uid="{8D034A88-65C9-45B3-9EB9-F5C31DB31B4D}"/>
    <cellStyle name="Kokku 2 6 2" xfId="18596" xr:uid="{63B7474C-620B-4BA8-BD4F-E5D81593C556}"/>
    <cellStyle name="Kokku 2 7" xfId="5594" xr:uid="{6353E05F-3E6A-4C81-BE1A-EF41749D8DCC}"/>
    <cellStyle name="Kokku 2 7 2" xfId="18597" xr:uid="{F6E1242A-304C-4DFC-9623-14FDE60CC2A3}"/>
    <cellStyle name="Kokku 2 8" xfId="15371" xr:uid="{28E1FB7B-2867-4104-82E4-8B18884539B3}"/>
    <cellStyle name="Kokku 2 9" xfId="18585" xr:uid="{2CC673AA-D133-45A1-A178-0DE28FBF3AAC}"/>
    <cellStyle name="Kokku 2_RP3 PP revised" xfId="15346" xr:uid="{E0997057-8DC5-4D35-9D5D-37814D8DA367}"/>
    <cellStyle name="Kokku 20" xfId="5595" xr:uid="{163282C5-7809-4787-ACB0-41A5CB756390}"/>
    <cellStyle name="Kokku 20 2" xfId="18598" xr:uid="{E1E51400-046D-4739-9F23-41F0BF1850E0}"/>
    <cellStyle name="Kokku 21" xfId="5596" xr:uid="{3396CE47-17CA-47A0-807A-CBC104F42F24}"/>
    <cellStyle name="Kokku 21 2" xfId="18599" xr:uid="{9C60B1D5-F5DB-4CAB-83D0-C94A6BBF972B}"/>
    <cellStyle name="Kokku 22" xfId="5597" xr:uid="{F8316B14-6DDB-431A-BD3B-5A9DF735DD0A}"/>
    <cellStyle name="Kokku 22 2" xfId="18600" xr:uid="{D4BD0C1B-28AE-4691-85B5-17D48B34CBA5}"/>
    <cellStyle name="Kokku 23" xfId="5598" xr:uid="{DE82D841-C2A3-4E31-84EB-F79E1486135F}"/>
    <cellStyle name="Kokku 23 2" xfId="18601" xr:uid="{B7C1BA58-5526-4DE0-9016-8C93290780E1}"/>
    <cellStyle name="Kokku 24" xfId="14976" xr:uid="{4F0C591E-07F5-441A-AA28-235D9E8DB37B}"/>
    <cellStyle name="Kokku 3" xfId="5599" xr:uid="{AF231F94-9735-4F77-B593-84B43483ACF7}"/>
    <cellStyle name="Kokku 3 2" xfId="5600" xr:uid="{64E0CA9F-8A02-4EAC-9281-D411927FDBDB}"/>
    <cellStyle name="Kokku 3 2 2" xfId="5601" xr:uid="{2440B244-B1E1-445A-B19B-FBC50E541DC9}"/>
    <cellStyle name="Kokku 3 2 2 2" xfId="18603" xr:uid="{DF684B41-C12F-4565-BC38-5C5EB272F034}"/>
    <cellStyle name="Kokku 3 2 3" xfId="5602" xr:uid="{D069E140-3CD8-441B-AFEA-32A498CBA818}"/>
    <cellStyle name="Kokku 3 2 3 2" xfId="18604" xr:uid="{151DBF73-F30A-43DA-A96C-FC6A3C04B059}"/>
    <cellStyle name="Kokku 3 2 4" xfId="5603" xr:uid="{37EFAF66-FC6A-4C0A-B231-FA9969B49549}"/>
    <cellStyle name="Kokku 3 2 4 2" xfId="18605" xr:uid="{FE8BFF53-92F2-4A3B-B861-DA0F1543ECC5}"/>
    <cellStyle name="Kokku 3 2 5" xfId="5604" xr:uid="{CF042EFC-98BF-4DAD-AABD-EDBF445CB665}"/>
    <cellStyle name="Kokku 3 2 5 2" xfId="18606" xr:uid="{08BF2F80-1942-476E-ADA6-26466F4FF02C}"/>
    <cellStyle name="Kokku 3 2 6" xfId="18602" xr:uid="{8ECBEBD7-8EA5-4FFD-AB4D-101C86D94A82}"/>
    <cellStyle name="Kokku 3 3" xfId="5605" xr:uid="{812622EE-0A74-44ED-92B6-410697F37C04}"/>
    <cellStyle name="Kokku 3 3 2" xfId="18607" xr:uid="{B0ADE2E1-5864-4807-B038-8687B184FFB8}"/>
    <cellStyle name="Kokku 3 4" xfId="5606" xr:uid="{A72B9CEF-5B77-4310-9F51-AFF5E01CDB52}"/>
    <cellStyle name="Kokku 3 4 2" xfId="18608" xr:uid="{655649BA-D15D-444F-85AB-D523CB910E92}"/>
    <cellStyle name="Kokku 3 5" xfId="5607" xr:uid="{4F6BFE2D-EAC1-46CF-864C-F78D2CB8103E}"/>
    <cellStyle name="Kokku 3 5 2" xfId="18609" xr:uid="{6555C40A-F612-4152-A41F-FD1620E73F81}"/>
    <cellStyle name="Kokku 3 6" xfId="5608" xr:uid="{4817BDB7-B801-40FF-9BED-B778106E088A}"/>
    <cellStyle name="Kokku 3 6 2" xfId="18610" xr:uid="{04B690D5-2EF4-4CC5-B8E9-DEDA9AAC5386}"/>
    <cellStyle name="Kokku 3 7" xfId="15372" xr:uid="{F75FFBC5-8C56-4560-BEAB-24293E6D552B}"/>
    <cellStyle name="Kokku 3_RP3 PP revised" xfId="15146" xr:uid="{CCC85258-5483-48CD-95C6-1021FDD5FA80}"/>
    <cellStyle name="Kokku 4" xfId="5609" xr:uid="{59258E0D-5951-4E1B-8405-6CDEBA2911F6}"/>
    <cellStyle name="Kokku 4 2" xfId="5610" xr:uid="{1CA44D5C-A081-4D23-8A10-D979891DE3F1}"/>
    <cellStyle name="Kokku 4 2 2" xfId="5611" xr:uid="{41FDA3AB-8ADC-40E9-8474-C3EF70D40E17}"/>
    <cellStyle name="Kokku 4 2 2 2" xfId="18613" xr:uid="{81131C47-ADCF-4673-B91C-71E42EAD6847}"/>
    <cellStyle name="Kokku 4 2 3" xfId="5612" xr:uid="{F9A22F14-3144-419B-A471-30C43EC8EE90}"/>
    <cellStyle name="Kokku 4 2 3 2" xfId="18614" xr:uid="{DA20055F-D372-4002-A680-C12C40FA4F43}"/>
    <cellStyle name="Kokku 4 2 4" xfId="5613" xr:uid="{7828BE37-319C-4B75-B596-35997FEF0FA8}"/>
    <cellStyle name="Kokku 4 2 4 2" xfId="18615" xr:uid="{829697B1-6279-485D-BCC9-8EA0AEC6B271}"/>
    <cellStyle name="Kokku 4 2 5" xfId="5614" xr:uid="{257068F2-F24F-4AA2-91D3-A804310CB0B7}"/>
    <cellStyle name="Kokku 4 2 5 2" xfId="18616" xr:uid="{F5C28B2F-BC69-44AB-8420-CCFCE0B44FB9}"/>
    <cellStyle name="Kokku 4 2 6" xfId="18612" xr:uid="{C95E0103-39D9-4F76-9A78-5158FD6BC22B}"/>
    <cellStyle name="Kokku 4 3" xfId="5615" xr:uid="{8233AD8B-65D1-47D2-92F6-7E5AAC6644EF}"/>
    <cellStyle name="Kokku 4 3 2" xfId="18617" xr:uid="{63F723EB-360A-4B0A-968B-63D32461548B}"/>
    <cellStyle name="Kokku 4 4" xfId="5616" xr:uid="{F25A7E8B-5F57-43F2-A8D0-EE77789F9A72}"/>
    <cellStyle name="Kokku 4 4 2" xfId="18618" xr:uid="{7BCA0608-C5BA-4DB4-A7E0-2F32762254D5}"/>
    <cellStyle name="Kokku 4 5" xfId="5617" xr:uid="{B987CF71-2BB7-49D7-A795-89663BA2A25E}"/>
    <cellStyle name="Kokku 4 5 2" xfId="18619" xr:uid="{75BE9F66-2150-4B63-BAF1-DF467661B846}"/>
    <cellStyle name="Kokku 4 6" xfId="5618" xr:uid="{EF85D55B-3496-4570-8C84-042B9B75AB7B}"/>
    <cellStyle name="Kokku 4 6 2" xfId="18620" xr:uid="{978AC065-1C54-49D1-96DD-F4BB828D07EA}"/>
    <cellStyle name="Kokku 4 7" xfId="18611" xr:uid="{4B82FF3D-A190-4E3A-B31E-23356AB56D72}"/>
    <cellStyle name="Kokku 5" xfId="5619" xr:uid="{D55D034A-1399-4C81-9A9C-31270236FF52}"/>
    <cellStyle name="Kokku 5 2" xfId="5620" xr:uid="{6DC3E438-68B5-411C-BEB7-0F3FE95E5E75}"/>
    <cellStyle name="Kokku 5 2 2" xfId="5621" xr:uid="{E3DEDAEB-FD5A-49A2-AC20-6BAA94B69380}"/>
    <cellStyle name="Kokku 5 2 2 2" xfId="18623" xr:uid="{275311D2-5A9E-4619-AFB8-E93A58CB3316}"/>
    <cellStyle name="Kokku 5 2 3" xfId="5622" xr:uid="{91ACDD03-1BA3-418D-B377-2E97F7F5EB2F}"/>
    <cellStyle name="Kokku 5 2 3 2" xfId="18624" xr:uid="{CC421738-449B-432E-81EA-CD27350FDDB1}"/>
    <cellStyle name="Kokku 5 2 4" xfId="5623" xr:uid="{CE1E553A-00B6-4A7F-9126-0462C68EBFF6}"/>
    <cellStyle name="Kokku 5 2 4 2" xfId="18625" xr:uid="{195B2CE4-3CCA-4A57-83F4-70CEA2906344}"/>
    <cellStyle name="Kokku 5 2 5" xfId="5624" xr:uid="{DD453EE3-758B-46C8-A510-2931A5CFA589}"/>
    <cellStyle name="Kokku 5 2 5 2" xfId="18626" xr:uid="{E6024699-0091-4C2D-80FD-0F574DD2B6FE}"/>
    <cellStyle name="Kokku 5 2 6" xfId="18622" xr:uid="{069F873A-ABEC-41AA-8592-6FB3C2F29F94}"/>
    <cellStyle name="Kokku 5 3" xfId="5625" xr:uid="{E120AA81-AD30-46BF-81D9-1DB8F3704C02}"/>
    <cellStyle name="Kokku 5 3 2" xfId="18627" xr:uid="{0BAC8E44-3778-4DBA-926A-8FAE6BEE962D}"/>
    <cellStyle name="Kokku 5 4" xfId="5626" xr:uid="{48B0E2E9-B313-4526-8547-695FC42DA65E}"/>
    <cellStyle name="Kokku 5 4 2" xfId="18628" xr:uid="{327EE86A-9E0B-4E64-8681-A50EB454C89E}"/>
    <cellStyle name="Kokku 5 5" xfId="5627" xr:uid="{8407282E-1320-4192-AFE9-3DBD4BA84CC8}"/>
    <cellStyle name="Kokku 5 5 2" xfId="18629" xr:uid="{68A89649-5F8D-44C1-9D98-CAD7DC97A263}"/>
    <cellStyle name="Kokku 5 6" xfId="5628" xr:uid="{271BC4B2-6C85-4AE0-9F86-3DDE21A4CBD5}"/>
    <cellStyle name="Kokku 5 6 2" xfId="18630" xr:uid="{520B8BE5-F8B5-431D-B272-CBDEFF93C77F}"/>
    <cellStyle name="Kokku 5 7" xfId="18621" xr:uid="{6BFBF00E-6032-4E4D-9B69-5F294850169F}"/>
    <cellStyle name="Kokku 6" xfId="5629" xr:uid="{99CAD5A9-AA39-4325-BA16-7B31931153C7}"/>
    <cellStyle name="Kokku 6 2" xfId="5630" xr:uid="{B4F9875B-0684-4B6F-84E2-EC9055A908D2}"/>
    <cellStyle name="Kokku 6 2 2" xfId="5631" xr:uid="{339439B4-D6A9-4BB6-84F9-4C6C18A682D6}"/>
    <cellStyle name="Kokku 6 2 2 2" xfId="18633" xr:uid="{C1229179-DB52-4B7F-A8E8-9975F61870A3}"/>
    <cellStyle name="Kokku 6 2 3" xfId="5632" xr:uid="{349144C1-6AEF-4CC6-BE09-1A0D0F139418}"/>
    <cellStyle name="Kokku 6 2 3 2" xfId="18634" xr:uid="{A404B3CA-F987-4554-B1CC-386FD2575635}"/>
    <cellStyle name="Kokku 6 2 4" xfId="5633" xr:uid="{7690D846-1A89-45FC-837D-E4E66200581A}"/>
    <cellStyle name="Kokku 6 2 4 2" xfId="18635" xr:uid="{6A122F27-BBB7-4DDD-9B27-355427142C58}"/>
    <cellStyle name="Kokku 6 2 5" xfId="5634" xr:uid="{E93B034C-DE7E-4D27-8930-C29E0BBFD43F}"/>
    <cellStyle name="Kokku 6 2 5 2" xfId="18636" xr:uid="{ACED63F4-8BAB-4AAF-B883-F47A7731D965}"/>
    <cellStyle name="Kokku 6 2 6" xfId="18632" xr:uid="{EE9B1231-8F3E-47B9-827F-4FE4CCC7A555}"/>
    <cellStyle name="Kokku 6 3" xfId="5635" xr:uid="{23B31E47-0DCB-4010-9253-F8718198E9ED}"/>
    <cellStyle name="Kokku 6 3 2" xfId="18637" xr:uid="{20E2424E-31C4-4CC1-A8C2-E1E8E242C2CC}"/>
    <cellStyle name="Kokku 6 4" xfId="5636" xr:uid="{C684AD09-46F3-4B79-B701-85F7493DEDF6}"/>
    <cellStyle name="Kokku 6 4 2" xfId="18638" xr:uid="{7F02EC3E-8054-4E19-B1AC-D8A06D1319CD}"/>
    <cellStyle name="Kokku 6 5" xfId="5637" xr:uid="{964A8985-3240-472E-BC86-8BE67A2A8AA1}"/>
    <cellStyle name="Kokku 6 5 2" xfId="18639" xr:uid="{6C5A2408-8B07-4216-963D-AB64F641968E}"/>
    <cellStyle name="Kokku 6 6" xfId="5638" xr:uid="{02E5066D-8DB9-4F22-BD54-9D17D340C6AA}"/>
    <cellStyle name="Kokku 6 6 2" xfId="18640" xr:uid="{4D170357-39E8-493B-9EC2-76F8BECB2E24}"/>
    <cellStyle name="Kokku 6 7" xfId="18631" xr:uid="{0B235117-24A1-4CF9-836B-80AA84EF06EA}"/>
    <cellStyle name="Kokku 7" xfId="5639" xr:uid="{876BED5A-B070-443E-8646-F16EC9632608}"/>
    <cellStyle name="Kokku 7 2" xfId="5640" xr:uid="{661D8741-1E7B-410B-8F82-FF4E88D23163}"/>
    <cellStyle name="Kokku 7 2 2" xfId="5641" xr:uid="{1C5FBD0A-D7A5-4DB2-952F-14156E983B13}"/>
    <cellStyle name="Kokku 7 2 2 2" xfId="18643" xr:uid="{699FEE1D-4A7B-443C-BE34-748B579991AC}"/>
    <cellStyle name="Kokku 7 2 3" xfId="5642" xr:uid="{F6A5AAF4-4958-4074-9069-2299AE744C19}"/>
    <cellStyle name="Kokku 7 2 3 2" xfId="18644" xr:uid="{CD769CDC-739C-40BE-9720-5CB114794C48}"/>
    <cellStyle name="Kokku 7 2 4" xfId="5643" xr:uid="{C4CC7597-264F-4140-B7BE-FA98DD7E54D4}"/>
    <cellStyle name="Kokku 7 2 4 2" xfId="18645" xr:uid="{7F68823E-18DC-4D14-A6FA-3481E2BDCC52}"/>
    <cellStyle name="Kokku 7 2 5" xfId="5644" xr:uid="{474C8198-7933-4B57-9242-FB0B14383548}"/>
    <cellStyle name="Kokku 7 2 5 2" xfId="18646" xr:uid="{F2092F18-3BB8-4BD2-BDCF-526ABF1E47E3}"/>
    <cellStyle name="Kokku 7 2 6" xfId="18642" xr:uid="{1E8A83F4-EA1B-4007-9082-EFDDFD105432}"/>
    <cellStyle name="Kokku 7 3" xfId="5645" xr:uid="{00C2928B-A048-46DE-A98E-3AE737B1DF8E}"/>
    <cellStyle name="Kokku 7 3 2" xfId="18647" xr:uid="{1C526170-52F9-4899-9086-6ABBCE93C915}"/>
    <cellStyle name="Kokku 7 4" xfId="5646" xr:uid="{6AA859EB-4638-44ED-9576-3DD45BBEC34D}"/>
    <cellStyle name="Kokku 7 4 2" xfId="18648" xr:uid="{E38DE070-5A3A-4D93-843B-E02E8DE34AE2}"/>
    <cellStyle name="Kokku 7 5" xfId="5647" xr:uid="{3EDB637B-E785-4CE4-B8E3-B8486E9AD003}"/>
    <cellStyle name="Kokku 7 5 2" xfId="18649" xr:uid="{B37FC7CE-6F0F-4D77-8162-E7673925CEAA}"/>
    <cellStyle name="Kokku 7 6" xfId="5648" xr:uid="{9495AC37-940D-4BD3-A065-29EEF546FE3E}"/>
    <cellStyle name="Kokku 7 6 2" xfId="18650" xr:uid="{2076EDA9-3313-4E90-87DE-9497F67383AE}"/>
    <cellStyle name="Kokku 7 7" xfId="18641" xr:uid="{DBC8309A-86A0-4249-9670-5C1CEB72C9F6}"/>
    <cellStyle name="Kokku 8" xfId="5649" xr:uid="{9CF07AAE-3C11-465E-A86D-19B0B1CE6559}"/>
    <cellStyle name="Kokku 8 2" xfId="5650" xr:uid="{3BAC1EA2-4821-4E2F-8C83-9CFB56CBD2BB}"/>
    <cellStyle name="Kokku 8 2 2" xfId="5651" xr:uid="{FA7DBA2B-6A90-48F2-A580-011346576121}"/>
    <cellStyle name="Kokku 8 2 2 2" xfId="18653" xr:uid="{0B7ADCBB-D801-4951-BF81-4F048004194C}"/>
    <cellStyle name="Kokku 8 2 3" xfId="5652" xr:uid="{633D6C7B-1E7D-4802-9D8B-987A3857BEE8}"/>
    <cellStyle name="Kokku 8 2 3 2" xfId="18654" xr:uid="{445D567E-8215-4382-9999-47D6BC595271}"/>
    <cellStyle name="Kokku 8 2 4" xfId="5653" xr:uid="{0F005B87-BBEF-425D-9015-43681A561DAA}"/>
    <cellStyle name="Kokku 8 2 4 2" xfId="18655" xr:uid="{FE4C7B82-9517-46B3-BA3A-055D51F38A7D}"/>
    <cellStyle name="Kokku 8 2 5" xfId="5654" xr:uid="{502270BF-1B00-4CB1-ADD6-34E13E3E9441}"/>
    <cellStyle name="Kokku 8 2 5 2" xfId="18656" xr:uid="{824BB40A-9F34-414C-9808-567FAB7B4859}"/>
    <cellStyle name="Kokku 8 2 6" xfId="18652" xr:uid="{6804B830-5F7B-4023-9855-3E963A0069B4}"/>
    <cellStyle name="Kokku 8 3" xfId="5655" xr:uid="{BDC42D34-A625-42DC-A796-F9753862ADF2}"/>
    <cellStyle name="Kokku 8 3 2" xfId="18657" xr:uid="{D378BDFF-22B5-428C-B28F-9F71B5F2E10E}"/>
    <cellStyle name="Kokku 8 4" xfId="5656" xr:uid="{E71A313C-0F8A-40DA-8AEE-B2E1090C98D8}"/>
    <cellStyle name="Kokku 8 4 2" xfId="18658" xr:uid="{0AEC1119-7CB2-4CA0-AB67-A55DAFCBB5D7}"/>
    <cellStyle name="Kokku 8 5" xfId="5657" xr:uid="{FF16C6E1-61ED-4D9F-A891-034BD6B0D958}"/>
    <cellStyle name="Kokku 8 5 2" xfId="18659" xr:uid="{2F75C073-96EA-478B-8563-5EE2817936E8}"/>
    <cellStyle name="Kokku 8 6" xfId="5658" xr:uid="{BFC13125-1DC8-4DFB-9E6D-FD895731A5E1}"/>
    <cellStyle name="Kokku 8 6 2" xfId="18660" xr:uid="{A09AC6BA-314B-48D1-90F8-022100E6808D}"/>
    <cellStyle name="Kokku 8 7" xfId="18651" xr:uid="{8E799A87-603D-4E4B-8AD8-6EAB850733DF}"/>
    <cellStyle name="Kokku 9" xfId="5659" xr:uid="{8B36A74C-8B3B-46C7-B148-6B6A54B1FC41}"/>
    <cellStyle name="Kokku 9 2" xfId="5660" xr:uid="{5F4E86D2-6F24-4677-BDF7-E63560554609}"/>
    <cellStyle name="Kokku 9 2 2" xfId="5661" xr:uid="{CD99F353-4A32-4E8B-AA0F-FD2C5DCAC35C}"/>
    <cellStyle name="Kokku 9 2 2 2" xfId="18663" xr:uid="{39AF8F1F-1487-488E-8383-DF9CD86D6E53}"/>
    <cellStyle name="Kokku 9 2 3" xfId="5662" xr:uid="{7C0A8932-D286-4C74-A0ED-51148B9DCF46}"/>
    <cellStyle name="Kokku 9 2 3 2" xfId="18664" xr:uid="{803EE97C-EC90-4337-B3AC-49A128ECC351}"/>
    <cellStyle name="Kokku 9 2 4" xfId="5663" xr:uid="{74CC86AD-315F-4BBA-89E0-C81F3A708FF3}"/>
    <cellStyle name="Kokku 9 2 4 2" xfId="18665" xr:uid="{66086B3B-A37C-448A-833C-7F7CA1701547}"/>
    <cellStyle name="Kokku 9 2 5" xfId="5664" xr:uid="{19D19321-FAC2-4CCC-BFAA-A85EA514898E}"/>
    <cellStyle name="Kokku 9 2 5 2" xfId="18666" xr:uid="{3826A094-26F8-4AC0-8E78-5BC2A86D5E53}"/>
    <cellStyle name="Kokku 9 2 6" xfId="18662" xr:uid="{639E0B25-08EA-44E0-A7E5-34780ABC6B64}"/>
    <cellStyle name="Kokku 9 3" xfId="5665" xr:uid="{EDCC5146-1170-4C32-87CE-61464E5BE518}"/>
    <cellStyle name="Kokku 9 3 2" xfId="18667" xr:uid="{D893BF6D-DAA7-43AC-B836-3ACD9A09DEDB}"/>
    <cellStyle name="Kokku 9 4" xfId="5666" xr:uid="{16E8F1DE-C59D-462F-9194-AD4B33B75724}"/>
    <cellStyle name="Kokku 9 4 2" xfId="18668" xr:uid="{1A094EE1-2AFA-4E79-99C5-1B429A8DEB15}"/>
    <cellStyle name="Kokku 9 5" xfId="5667" xr:uid="{3C217B77-B582-49CD-BF31-490061B01A08}"/>
    <cellStyle name="Kokku 9 5 2" xfId="18669" xr:uid="{B70639BF-D078-4157-9267-6D8D50F35CBD}"/>
    <cellStyle name="Kokku 9 6" xfId="5668" xr:uid="{A178E595-1089-461B-A3D1-554AC15EC37D}"/>
    <cellStyle name="Kokku 9 6 2" xfId="18670" xr:uid="{6C3B586C-EB17-40D4-BAEB-39FF336941EE}"/>
    <cellStyle name="Kokku 9 7" xfId="18661" xr:uid="{7AD30030-3EDC-4152-9C24-CA3A831809AC}"/>
    <cellStyle name="Kokku_KTR An-Abflug" xfId="14892" xr:uid="{4801B0A7-CE36-482F-97C3-0BE22580CCE6}"/>
    <cellStyle name="Komma 2" xfId="5669" xr:uid="{7E242CB4-FC0A-4EF7-AADD-EB710D92CD01}"/>
    <cellStyle name="Komma 2 2" xfId="5670" xr:uid="{EC4E5A02-1FE1-4181-9C04-3AED4A030CD0}"/>
    <cellStyle name="Komma 2 2 2" xfId="14813" xr:uid="{25B948E9-6B57-4913-A6C8-F07A259683C2}"/>
    <cellStyle name="Komma 2 2 3" xfId="15270" xr:uid="{E667F3CF-6767-4432-883A-4F39FE4EA14D}"/>
    <cellStyle name="Komma 2 2 3 2" xfId="25779" xr:uid="{1A8D5433-8FDB-4947-B51C-D79519D5D364}"/>
    <cellStyle name="Komma 2 2 4" xfId="18672" xr:uid="{47F199B7-160B-4036-95F2-3F6A3EF7BB8A}"/>
    <cellStyle name="Komma 2 3" xfId="5671" xr:uid="{2C42CD28-8802-4295-895D-35A64DCCC1A9}"/>
    <cellStyle name="Komma 2 3 2" xfId="18673" xr:uid="{041714DD-84F8-4323-B200-442F9DDB5B2A}"/>
    <cellStyle name="Komma 2 4" xfId="14977" xr:uid="{6F43A4C9-2C71-4509-8B88-141F206C8DF3}"/>
    <cellStyle name="Komma 2 5" xfId="18671" xr:uid="{E462D351-4342-467C-B71F-9B42020B7A65}"/>
    <cellStyle name="Komma 2_RP3 PP revised" xfId="15145" xr:uid="{149D50B2-ED02-435E-A58E-D10AB781AE3D}"/>
    <cellStyle name="Komma 3" xfId="5672" xr:uid="{8B38B378-2C3E-458A-A132-164957195227}"/>
    <cellStyle name="Komma 3 2" xfId="5673" xr:uid="{3A6F2EAD-9C0C-49FA-A64E-892F14CEDB7C}"/>
    <cellStyle name="Komma 3 2 2" xfId="5674" xr:uid="{BDA96411-A73E-48F9-88E5-C5848F110DDF}"/>
    <cellStyle name="Komma 3 2 2 2" xfId="18676" xr:uid="{98F9FD45-C5D8-4D7B-B370-AC31EB63F9B4}"/>
    <cellStyle name="Komma 3 2 3" xfId="15271" xr:uid="{2841D706-5843-4BDA-B629-A2A0CD724D43}"/>
    <cellStyle name="Komma 3 2 3 2" xfId="25780" xr:uid="{9FF9461B-7BBB-462A-B637-94361727C5A7}"/>
    <cellStyle name="Komma 3 2 4" xfId="18675" xr:uid="{C09AA74F-A4BF-4596-917E-4D6E898C5BDD}"/>
    <cellStyle name="Komma 3 3" xfId="5675" xr:uid="{F8389CFC-4554-4E86-8E48-89328310757A}"/>
    <cellStyle name="Komma 3 3 2" xfId="18677" xr:uid="{0AF080B9-EE72-47AF-B3B8-B1D38248F7A3}"/>
    <cellStyle name="Komma 3 4" xfId="14978" xr:uid="{9B408F68-759F-478E-8213-9F127FA19120}"/>
    <cellStyle name="Komma 3 5" xfId="18674" xr:uid="{51538A78-D01F-448E-A7D2-27BD284B7309}"/>
    <cellStyle name="Komma 3_RP3 PP revised" xfId="15403" xr:uid="{894CBB04-4161-42CD-996E-31223872C745}"/>
    <cellStyle name="Komma 4" xfId="5676" xr:uid="{D52D91E0-0C37-4FB4-A751-4446823E86A5}"/>
    <cellStyle name="Komma 4 2" xfId="5677" xr:uid="{5283128F-7C6E-46E7-A73B-7E04B3BEAC20}"/>
    <cellStyle name="Komma 4 2 2" xfId="14814" xr:uid="{B9D0EC42-194A-498E-9035-20C83CC2C3BB}"/>
    <cellStyle name="Komma 4 2 3" xfId="15272" xr:uid="{7E8DCA3F-33AC-4A21-82E9-A5B050E8E91F}"/>
    <cellStyle name="Komma 4 2 3 2" xfId="25781" xr:uid="{2E2C059E-7A24-40B4-AA65-20DCE7A73F0E}"/>
    <cellStyle name="Komma 4 2 4" xfId="18679" xr:uid="{F4011FDF-20BA-49F6-BCFE-85631B491AC8}"/>
    <cellStyle name="Komma 4 3" xfId="5678" xr:uid="{B47117BC-54B9-4EF6-8A22-172BBC4A8301}"/>
    <cellStyle name="Komma 4 3 2" xfId="18680" xr:uid="{953594EA-B1EF-4A77-926C-1B88EDDBB9A6}"/>
    <cellStyle name="Komma 4 4" xfId="14979" xr:uid="{122B2942-E2EC-4416-AFAA-6B700F162170}"/>
    <cellStyle name="Komma 4 5" xfId="18678" xr:uid="{6772B14B-4E19-4DB3-8B9E-71FFF1635EB7}"/>
    <cellStyle name="Komma 4_RP3 PP revised" xfId="15144" xr:uid="{CF26577D-FA03-44FC-A2F6-0DE65C3F5E46}"/>
    <cellStyle name="Komma 5" xfId="5679" xr:uid="{F582DAEF-B897-4E8A-A5F6-DA0B857FB03B}"/>
    <cellStyle name="Komma 5 2" xfId="18681" xr:uid="{FF456312-BA45-4547-9783-19CA965172B7}"/>
    <cellStyle name="Komórka połączona" xfId="5680" xr:uid="{17E647AB-4012-48B4-9407-5E65909721FA}"/>
    <cellStyle name="Komórka połączona 2" xfId="5681" xr:uid="{9CD79F1E-402F-46F7-A8E3-330F21274C41}"/>
    <cellStyle name="Komórka zaznaczona" xfId="5682" xr:uid="{6D58739B-23AD-4BF5-BC74-A0579600CB2C}"/>
    <cellStyle name="Komórka zaznaczona 2" xfId="5683" xr:uid="{614F8DBC-DAF9-413C-A5C5-3AFACA23579B}"/>
    <cellStyle name="Kontrollcell" xfId="5684" xr:uid="{AE459E07-2EEB-4825-961A-3DBF46026A78}"/>
    <cellStyle name="Kontroller celle" xfId="5685" xr:uid="{B7D67387-8B32-4447-9898-7351FC3E0F5C}"/>
    <cellStyle name="Kontrolli lahtrit" xfId="5686" xr:uid="{39023112-A6AC-4A62-99C3-7763FF529761}"/>
    <cellStyle name="Kontrolli lahtrit 2" xfId="5687" xr:uid="{11E2DE1B-5B0A-4AEB-BC3A-3233C7455A5E}"/>
    <cellStyle name="Kontrolli lahtrit 3" xfId="5688" xr:uid="{4910EACA-6B14-4330-B210-7EA3B7282FB6}"/>
    <cellStyle name="Kontrolní buňka" xfId="5689" xr:uid="{F3324DF0-8E11-4458-8CAF-17BC92BB17BA}"/>
    <cellStyle name="KPMG Heading 1" xfId="5690" xr:uid="{18FDF80F-9BB2-4237-B4A0-94181CABD9F6}"/>
    <cellStyle name="KPMG Heading 2" xfId="5691" xr:uid="{CE21E865-6BCF-4F0B-9FEB-10F24C7D3E30}"/>
    <cellStyle name="KPMG Heading 3" xfId="5692" xr:uid="{B973091D-1AB7-474B-9CAF-904A4B0A6A58}"/>
    <cellStyle name="KPMG Heading 4" xfId="5693" xr:uid="{3560CA78-041B-4BDC-AE99-BF441A3060EF}"/>
    <cellStyle name="KPMG Normal" xfId="5694" xr:uid="{625E0430-6AAD-43D1-AB89-0800BB76F384}"/>
    <cellStyle name="KPMG Normal Text" xfId="5695" xr:uid="{FEAC3FF5-919B-4DB1-9C89-9B67AB8EB19D}"/>
    <cellStyle name="Label" xfId="5696" xr:uid="{2D33411E-5CB7-4A22-A705-46CB85CB20D5}"/>
    <cellStyle name="Lable_1" xfId="5697" xr:uid="{0B36DA35-3F91-4A3D-9C45-0CFF953D9AFF}"/>
    <cellStyle name="Länkad cell" xfId="5698" xr:uid="{EC5752C0-6923-4D0A-B91E-48CEFCCBA190}"/>
    <cellStyle name="Large" xfId="5699" xr:uid="{D6302685-FAF7-4A6E-9E59-3B6A230A08CF}"/>
    <cellStyle name="Laskenta" xfId="5700" xr:uid="{A212C98D-A7CC-403B-AA1D-B5A19C1433CD}"/>
    <cellStyle name="Laskenta 10" xfId="5701" xr:uid="{0204BE06-D81C-40AC-8EAA-820811D0462C}"/>
    <cellStyle name="Laskenta 10 2" xfId="5702" xr:uid="{16EB00DC-A461-4A3E-84D7-E71BE8341985}"/>
    <cellStyle name="Laskenta 10 2 2" xfId="5703" xr:uid="{9879A7F4-7BDE-41C5-9448-2C9D44828993}"/>
    <cellStyle name="Laskenta 10 2 2 2" xfId="18684" xr:uid="{AF79C77A-C304-4B9D-9677-8D478FF514D3}"/>
    <cellStyle name="Laskenta 10 2 3" xfId="5704" xr:uid="{4E7F342A-8B09-46AF-ACDB-CA8C5FE043E1}"/>
    <cellStyle name="Laskenta 10 2 3 2" xfId="18685" xr:uid="{57940BAA-9E25-464A-A7E6-30BBED0F8957}"/>
    <cellStyle name="Laskenta 10 2 4" xfId="5705" xr:uid="{9BE6B17A-8395-40C9-BE43-5DD0CA4845FC}"/>
    <cellStyle name="Laskenta 10 2 4 2" xfId="18686" xr:uid="{B4582087-B0C5-498C-81FA-7E63FE7ACDC5}"/>
    <cellStyle name="Laskenta 10 2 5" xfId="5706" xr:uid="{CB686371-4CA0-4270-AEE8-EF9DF456F824}"/>
    <cellStyle name="Laskenta 10 2 5 2" xfId="18687" xr:uid="{A51BA6B3-206A-40A2-A0FD-87C3EB710FE7}"/>
    <cellStyle name="Laskenta 10 2 6" xfId="18683" xr:uid="{2CA22F6D-8746-4A8B-8393-5F53D8976127}"/>
    <cellStyle name="Laskenta 10 3" xfId="5707" xr:uid="{8ACF6BED-3C24-4850-95D9-40BCA4E66CA7}"/>
    <cellStyle name="Laskenta 10 3 2" xfId="18688" xr:uid="{E43EACA1-B3F4-480C-98CA-7F8511F1B667}"/>
    <cellStyle name="Laskenta 10 4" xfId="5708" xr:uid="{46180598-404A-4CA5-A7C6-F88739C40978}"/>
    <cellStyle name="Laskenta 10 4 2" xfId="18689" xr:uid="{8A7B10C0-56E4-4CA1-A737-C4D62652A30D}"/>
    <cellStyle name="Laskenta 10 5" xfId="5709" xr:uid="{7508D2A4-6674-452F-9482-EF60455FD037}"/>
    <cellStyle name="Laskenta 10 5 2" xfId="18690" xr:uid="{CDC258E3-DAB5-4B3C-9639-48B91CC537EC}"/>
    <cellStyle name="Laskenta 10 6" xfId="5710" xr:uid="{E2DB15A0-F47E-4AB1-A539-7FD7F5CF1A91}"/>
    <cellStyle name="Laskenta 10 6 2" xfId="18691" xr:uid="{6FD817A3-7E7F-4A0F-8AFE-647D99AEB2D4}"/>
    <cellStyle name="Laskenta 10 7" xfId="18682" xr:uid="{E9B465A3-78A4-448B-A895-E69493EF0F88}"/>
    <cellStyle name="Laskenta 11" xfId="5711" xr:uid="{66552506-BB42-44EB-B86F-3BD91C761333}"/>
    <cellStyle name="Laskenta 11 2" xfId="5712" xr:uid="{4D05C9C3-B4FA-460C-8B16-CD1526FDDD7F}"/>
    <cellStyle name="Laskenta 11 2 2" xfId="5713" xr:uid="{BFFDEA5F-602D-4C59-A0DC-566CF338FF2E}"/>
    <cellStyle name="Laskenta 11 2 2 2" xfId="18694" xr:uid="{1F368091-0EB6-420D-AB0F-6A6E2BEC4F41}"/>
    <cellStyle name="Laskenta 11 2 3" xfId="5714" xr:uid="{339E04B5-6CB5-4844-825C-A8FF3B9BD859}"/>
    <cellStyle name="Laskenta 11 2 3 2" xfId="18695" xr:uid="{62907A4C-813F-409B-BFC2-67C87E2E6D02}"/>
    <cellStyle name="Laskenta 11 2 4" xfId="5715" xr:uid="{911690E7-E020-42E4-A456-B5F5BD8C898B}"/>
    <cellStyle name="Laskenta 11 2 4 2" xfId="18696" xr:uid="{8478D415-EE0C-47D4-B5DC-379B61CEE759}"/>
    <cellStyle name="Laskenta 11 2 5" xfId="5716" xr:uid="{24EE6975-A276-4377-890E-D76CF1AE287B}"/>
    <cellStyle name="Laskenta 11 2 5 2" xfId="18697" xr:uid="{5B759B16-C961-4459-9593-F2DA2D55707E}"/>
    <cellStyle name="Laskenta 11 2 6" xfId="18693" xr:uid="{566E2D0E-1D75-4C6B-AC20-CC7F790BCC1B}"/>
    <cellStyle name="Laskenta 11 3" xfId="5717" xr:uid="{93564CA6-E260-415F-9E64-E270BD784C65}"/>
    <cellStyle name="Laskenta 11 3 2" xfId="18698" xr:uid="{503DEC33-06DC-491F-B394-F4D682D7AFEF}"/>
    <cellStyle name="Laskenta 11 4" xfId="5718" xr:uid="{A223F86F-C650-4EEB-AC51-BA3ACC784A46}"/>
    <cellStyle name="Laskenta 11 4 2" xfId="18699" xr:uid="{E8893E2D-FA76-4B43-82C1-FB8FB7AAE0F2}"/>
    <cellStyle name="Laskenta 11 5" xfId="5719" xr:uid="{C149C5D3-316C-49B8-8EF5-1F948849639D}"/>
    <cellStyle name="Laskenta 11 5 2" xfId="18700" xr:uid="{F3978DC4-0A2A-4827-8BAA-571C00EB5968}"/>
    <cellStyle name="Laskenta 11 6" xfId="5720" xr:uid="{5B5F1BB5-E46F-4D49-848A-D7ACB70C9E25}"/>
    <cellStyle name="Laskenta 11 6 2" xfId="18701" xr:uid="{D858383A-1EF3-452B-BDA1-04B832CE6C63}"/>
    <cellStyle name="Laskenta 11 7" xfId="18692" xr:uid="{37BE27D6-E7F8-4A98-9B03-18CC5EBEB6EF}"/>
    <cellStyle name="Laskenta 12" xfId="5721" xr:uid="{046D1C70-4830-4732-B327-337298A69D17}"/>
    <cellStyle name="Laskenta 12 2" xfId="5722" xr:uid="{C0F07F8C-403C-4CCF-BD80-36AEDDDDC95C}"/>
    <cellStyle name="Laskenta 12 2 2" xfId="5723" xr:uid="{8E64E09B-A78D-4D78-B532-F11FB74E6D3A}"/>
    <cellStyle name="Laskenta 12 2 2 2" xfId="18704" xr:uid="{C493AF5D-D8CC-4F5D-A0A6-C9E73CFB0793}"/>
    <cellStyle name="Laskenta 12 2 3" xfId="5724" xr:uid="{4B1D8650-3DD6-4E7E-B5E3-D5ED5E69B2FB}"/>
    <cellStyle name="Laskenta 12 2 3 2" xfId="18705" xr:uid="{8972B23D-7F51-4F89-8626-545A9E9E8157}"/>
    <cellStyle name="Laskenta 12 2 4" xfId="5725" xr:uid="{3348C0FF-8C08-4326-A771-C5ABFF9A8F6E}"/>
    <cellStyle name="Laskenta 12 2 4 2" xfId="18706" xr:uid="{0AFC7756-0447-49C6-8E48-E8F10D874481}"/>
    <cellStyle name="Laskenta 12 2 5" xfId="5726" xr:uid="{7C9DB261-ED98-4609-950D-E0631F934E5A}"/>
    <cellStyle name="Laskenta 12 2 5 2" xfId="18707" xr:uid="{8E470491-5512-4CB7-A597-B5CFB1E1AE5D}"/>
    <cellStyle name="Laskenta 12 2 6" xfId="18703" xr:uid="{8F291B2D-04B6-4552-A816-3CD0D1F2EBC9}"/>
    <cellStyle name="Laskenta 12 3" xfId="5727" xr:uid="{76E6A215-A13E-440D-9370-A595CE54B6B5}"/>
    <cellStyle name="Laskenta 12 3 2" xfId="18708" xr:uid="{D2FD11C5-1F7D-4972-ADED-6203C9C102B8}"/>
    <cellStyle name="Laskenta 12 4" xfId="5728" xr:uid="{9963C852-F8B9-4F4F-874D-0F63CA3AECAC}"/>
    <cellStyle name="Laskenta 12 4 2" xfId="18709" xr:uid="{7909719B-7F41-4D0B-9FB5-217E6A342053}"/>
    <cellStyle name="Laskenta 12 5" xfId="5729" xr:uid="{42E3AC4E-54C3-42D1-9E45-0773CD888B51}"/>
    <cellStyle name="Laskenta 12 5 2" xfId="18710" xr:uid="{50509BF6-2266-44CA-A892-BBE0A025544D}"/>
    <cellStyle name="Laskenta 12 6" xfId="5730" xr:uid="{707624BD-7E0F-418F-8AEB-1CBFBB0287B4}"/>
    <cellStyle name="Laskenta 12 6 2" xfId="18711" xr:uid="{B8AA627C-6860-4ECA-A96B-08344ACE7010}"/>
    <cellStyle name="Laskenta 12 7" xfId="18702" xr:uid="{51684EC6-138C-49C1-A2E0-A46F56DE09A0}"/>
    <cellStyle name="Laskenta 13" xfId="5731" xr:uid="{5A55B477-E7BA-4863-8C83-766B35205297}"/>
    <cellStyle name="Laskenta 13 2" xfId="5732" xr:uid="{F6903660-2A72-44C3-8503-E952DC224700}"/>
    <cellStyle name="Laskenta 13 2 2" xfId="5733" xr:uid="{42D4689B-3B94-49FC-9176-4EBB1288433A}"/>
    <cellStyle name="Laskenta 13 2 2 2" xfId="18714" xr:uid="{378E86BF-CB1B-495D-9FD1-18EE12597D02}"/>
    <cellStyle name="Laskenta 13 2 3" xfId="5734" xr:uid="{DD07FC97-2FA6-43F8-BECA-AD9C019CB394}"/>
    <cellStyle name="Laskenta 13 2 3 2" xfId="18715" xr:uid="{0C811A6D-BF71-42B7-8B58-A4F738879B5A}"/>
    <cellStyle name="Laskenta 13 2 4" xfId="5735" xr:uid="{B16A5346-A576-48AC-ADA1-5F7F13AF2892}"/>
    <cellStyle name="Laskenta 13 2 4 2" xfId="18716" xr:uid="{A920D222-BE84-4ABF-82C6-A66D260D2797}"/>
    <cellStyle name="Laskenta 13 2 5" xfId="5736" xr:uid="{29230CEA-08D6-4980-AE9F-D3A93E74375F}"/>
    <cellStyle name="Laskenta 13 2 5 2" xfId="18717" xr:uid="{6E3A3E94-F31F-420C-8318-48C2B6937C3F}"/>
    <cellStyle name="Laskenta 13 2 6" xfId="18713" xr:uid="{710F2EBC-3B6D-4A24-9EE7-1BF6C31E0CDF}"/>
    <cellStyle name="Laskenta 13 3" xfId="5737" xr:uid="{EF40E02C-A6F7-4A16-ACB0-E9D9BEE2CE4E}"/>
    <cellStyle name="Laskenta 13 3 2" xfId="18718" xr:uid="{98CAC4A1-2DF8-44C9-ABB0-09252F93A455}"/>
    <cellStyle name="Laskenta 13 4" xfId="5738" xr:uid="{51D04E4B-A02F-4805-86FA-210FEE467257}"/>
    <cellStyle name="Laskenta 13 4 2" xfId="18719" xr:uid="{1FC2B778-9F5F-4816-9797-94B092C1CC4B}"/>
    <cellStyle name="Laskenta 13 5" xfId="5739" xr:uid="{450E8A6E-6383-42E3-9ACE-35160DD7E654}"/>
    <cellStyle name="Laskenta 13 5 2" xfId="18720" xr:uid="{9402A67E-B486-49B8-9E3A-983EB5CED50D}"/>
    <cellStyle name="Laskenta 13 6" xfId="5740" xr:uid="{49CBC0CD-CF2A-49CB-B055-C4A0567BA597}"/>
    <cellStyle name="Laskenta 13 6 2" xfId="18721" xr:uid="{8573A936-8C0D-4A02-90BD-9748CFFB2938}"/>
    <cellStyle name="Laskenta 13 7" xfId="18712" xr:uid="{EBF2B0D5-B921-4A6C-9BA5-84AD9FF5AECE}"/>
    <cellStyle name="Laskenta 14" xfId="5741" xr:uid="{8EC696CC-8AA1-40CD-846C-A9C7DB64347B}"/>
    <cellStyle name="Laskenta 14 2" xfId="5742" xr:uid="{5E16F367-271E-401F-8891-56E9BDB9B5DD}"/>
    <cellStyle name="Laskenta 14 2 2" xfId="5743" xr:uid="{BEA04365-A0EB-43A5-A9D9-9CB2665B2B0C}"/>
    <cellStyle name="Laskenta 14 2 2 2" xfId="18724" xr:uid="{94364234-FC6F-4D34-ADE7-E73D81738BF6}"/>
    <cellStyle name="Laskenta 14 2 3" xfId="5744" xr:uid="{1A5393EB-4CCB-456E-AF36-B011FAE79005}"/>
    <cellStyle name="Laskenta 14 2 3 2" xfId="18725" xr:uid="{DF80DA99-2DBB-4E47-9C33-842DCD192179}"/>
    <cellStyle name="Laskenta 14 2 4" xfId="5745" xr:uid="{9FB4823B-4600-4D71-9FF5-0270F361C7F6}"/>
    <cellStyle name="Laskenta 14 2 4 2" xfId="18726" xr:uid="{37C5D956-D775-4753-B68D-64C38F3B4579}"/>
    <cellStyle name="Laskenta 14 2 5" xfId="5746" xr:uid="{308113A5-51F2-4883-9BD8-D2906F8022AE}"/>
    <cellStyle name="Laskenta 14 2 5 2" xfId="18727" xr:uid="{61C38D1A-8EAE-4946-B35F-BB09EFE864D8}"/>
    <cellStyle name="Laskenta 14 2 6" xfId="18723" xr:uid="{653579A4-6822-47F1-BF72-5985E30BEEC5}"/>
    <cellStyle name="Laskenta 14 3" xfId="5747" xr:uid="{1DE3F98F-F8B4-4883-81CD-DD97891AE539}"/>
    <cellStyle name="Laskenta 14 3 2" xfId="18728" xr:uid="{6E1A8DA1-779E-4433-B7AE-19FCF0F66D7A}"/>
    <cellStyle name="Laskenta 14 4" xfId="5748" xr:uid="{BC951286-E29B-4FBC-A0D5-538D6D498719}"/>
    <cellStyle name="Laskenta 14 4 2" xfId="18729" xr:uid="{AF764C21-99BE-4712-9EBB-20C0FAC4946B}"/>
    <cellStyle name="Laskenta 14 5" xfId="5749" xr:uid="{94164C51-5AD6-4DB3-842D-0BC735444E45}"/>
    <cellStyle name="Laskenta 14 5 2" xfId="18730" xr:uid="{E8CC9365-5D1E-4894-B6C4-3FFB43561578}"/>
    <cellStyle name="Laskenta 14 6" xfId="5750" xr:uid="{B968ED66-5BE3-4658-A86F-684476522DCA}"/>
    <cellStyle name="Laskenta 14 6 2" xfId="18731" xr:uid="{0F56C627-9F22-43B1-995D-26BCE947C4B7}"/>
    <cellStyle name="Laskenta 14 7" xfId="18722" xr:uid="{4EC5C43F-274C-48D7-8D61-D62D531DE372}"/>
    <cellStyle name="Laskenta 15" xfId="5751" xr:uid="{92CF61FB-951A-4651-A4EF-C27B3F1D8204}"/>
    <cellStyle name="Laskenta 15 2" xfId="5752" xr:uid="{2C61F706-F1E9-4994-BF84-B8C474C756D7}"/>
    <cellStyle name="Laskenta 15 2 2" xfId="5753" xr:uid="{65E25196-F047-40DD-8A22-F03A3CAB546D}"/>
    <cellStyle name="Laskenta 15 2 2 2" xfId="18734" xr:uid="{5243E319-1387-4E1D-B265-5E0DDCC3CA85}"/>
    <cellStyle name="Laskenta 15 2 3" xfId="5754" xr:uid="{454B2A14-606B-424E-BB01-9EE23E1A2224}"/>
    <cellStyle name="Laskenta 15 2 3 2" xfId="18735" xr:uid="{7C5D2113-835B-44A3-99F5-54144552C181}"/>
    <cellStyle name="Laskenta 15 2 4" xfId="5755" xr:uid="{BCBC6087-A240-4436-B262-6D4F6EEFBB2E}"/>
    <cellStyle name="Laskenta 15 2 4 2" xfId="18736" xr:uid="{A7690CBD-3AD6-48B8-8A92-3F51EB78A84D}"/>
    <cellStyle name="Laskenta 15 2 5" xfId="5756" xr:uid="{A8EDF130-F2F9-46C5-9B37-9256A10EF3E6}"/>
    <cellStyle name="Laskenta 15 2 5 2" xfId="18737" xr:uid="{2D4F0DD6-F0D7-4B33-8EF4-8466C3C3343B}"/>
    <cellStyle name="Laskenta 15 2 6" xfId="18733" xr:uid="{13F327F5-451C-4062-9C91-BFAF6B0BC4C8}"/>
    <cellStyle name="Laskenta 15 3" xfId="5757" xr:uid="{9E65CBE3-9BD8-4478-AF1A-C17D2DE79A3F}"/>
    <cellStyle name="Laskenta 15 3 2" xfId="18738" xr:uid="{1DE6F56E-FED6-47FB-9462-336E155D4D09}"/>
    <cellStyle name="Laskenta 15 4" xfId="5758" xr:uid="{47F73413-2409-49BA-990F-B6D878260970}"/>
    <cellStyle name="Laskenta 15 4 2" xfId="18739" xr:uid="{42301EBB-19CC-4624-BA73-0F5162F622E7}"/>
    <cellStyle name="Laskenta 15 5" xfId="5759" xr:uid="{087722CE-0254-4F73-B91B-CA95110C9DEB}"/>
    <cellStyle name="Laskenta 15 5 2" xfId="18740" xr:uid="{C866BF5C-CBCC-4341-9B1E-00775BFB5D2E}"/>
    <cellStyle name="Laskenta 15 6" xfId="5760" xr:uid="{69B00802-523B-4BE1-B0F3-0E627040CC65}"/>
    <cellStyle name="Laskenta 15 6 2" xfId="18741" xr:uid="{4DF015D3-1559-4DA7-A13E-4E90D632B918}"/>
    <cellStyle name="Laskenta 15 7" xfId="18732" xr:uid="{995F602B-8C83-4172-BB89-969997D60EA9}"/>
    <cellStyle name="Laskenta 16" xfId="5761" xr:uid="{7FF8BC98-AFAE-4032-A2FD-0D8F338B994B}"/>
    <cellStyle name="Laskenta 16 2" xfId="5762" xr:uid="{267AABF8-9492-4A3A-9829-39E9B5158ACE}"/>
    <cellStyle name="Laskenta 16 2 2" xfId="5763" xr:uid="{5F8282BE-2064-44A4-9447-BE29048E6685}"/>
    <cellStyle name="Laskenta 16 2 2 2" xfId="18744" xr:uid="{8B3953DA-35F7-4D9C-83DB-034DD3485669}"/>
    <cellStyle name="Laskenta 16 2 3" xfId="5764" xr:uid="{4E284AA2-E40C-404E-A1EE-207B8B123C0E}"/>
    <cellStyle name="Laskenta 16 2 3 2" xfId="18745" xr:uid="{DDC3B236-EC9C-4B5B-8F4A-D654CFF194BB}"/>
    <cellStyle name="Laskenta 16 2 4" xfId="5765" xr:uid="{FE97D5B1-12A8-453D-A3DC-7706585B8253}"/>
    <cellStyle name="Laskenta 16 2 4 2" xfId="18746" xr:uid="{831C9A59-0662-435E-9FB5-EF950701D1B5}"/>
    <cellStyle name="Laskenta 16 2 5" xfId="5766" xr:uid="{E9D68A23-73F1-4C05-AA42-3399CFE648CB}"/>
    <cellStyle name="Laskenta 16 2 5 2" xfId="18747" xr:uid="{DBE878D9-5ABD-4DF9-957C-2FF39B885F37}"/>
    <cellStyle name="Laskenta 16 2 6" xfId="18743" xr:uid="{2B2403B8-AC7D-4529-87C6-DA6F09FEEEA7}"/>
    <cellStyle name="Laskenta 16 3" xfId="5767" xr:uid="{5A22C9B2-6320-4F35-9AE0-80266218717C}"/>
    <cellStyle name="Laskenta 16 3 2" xfId="18748" xr:uid="{A19F0DE5-8023-4DAE-9426-3ADCBC9A02E8}"/>
    <cellStyle name="Laskenta 16 4" xfId="5768" xr:uid="{FF5422EA-2AAE-419C-9223-7163EC5F61EF}"/>
    <cellStyle name="Laskenta 16 4 2" xfId="18749" xr:uid="{B00517AB-4608-4AB7-84E8-19F5689272E3}"/>
    <cellStyle name="Laskenta 16 5" xfId="5769" xr:uid="{3BFB4959-DD57-4C8F-BEDB-33CF0C6B0D0F}"/>
    <cellStyle name="Laskenta 16 5 2" xfId="18750" xr:uid="{003B187C-D046-4950-8CD2-4B1232C3FF89}"/>
    <cellStyle name="Laskenta 16 6" xfId="5770" xr:uid="{6784907A-B51F-432C-941A-3BE93C297A7E}"/>
    <cellStyle name="Laskenta 16 6 2" xfId="18751" xr:uid="{E19D48A1-3FF4-4F43-84AE-3201BC5F290B}"/>
    <cellStyle name="Laskenta 16 7" xfId="18742" xr:uid="{89716511-CEF2-4B37-B1E4-F4F5FA737362}"/>
    <cellStyle name="Laskenta 17" xfId="5771" xr:uid="{EC672772-AE75-47DE-A29A-7FC098F5676C}"/>
    <cellStyle name="Laskenta 17 2" xfId="5772" xr:uid="{26CAD10B-1342-4488-9AF8-6FADE276C636}"/>
    <cellStyle name="Laskenta 17 2 2" xfId="5773" xr:uid="{47B395AC-16B6-4E14-AB89-EA5BBE8B1C9C}"/>
    <cellStyle name="Laskenta 17 2 2 2" xfId="18754" xr:uid="{AA8CBF93-B846-4889-B52D-79EAC457B2C1}"/>
    <cellStyle name="Laskenta 17 2 3" xfId="5774" xr:uid="{D4D8E56B-5A8A-44DC-ADFC-880443901CC6}"/>
    <cellStyle name="Laskenta 17 2 3 2" xfId="18755" xr:uid="{705947B9-B2C6-4CFF-8CAB-622FA311614B}"/>
    <cellStyle name="Laskenta 17 2 4" xfId="5775" xr:uid="{A0B498B1-6749-4A94-894F-F3F6C177E62A}"/>
    <cellStyle name="Laskenta 17 2 4 2" xfId="18756" xr:uid="{9E3D25BD-EB8D-4940-8D94-CF2BC2F5E6B5}"/>
    <cellStyle name="Laskenta 17 2 5" xfId="5776" xr:uid="{6A422FAC-D227-4937-8CEA-A1B493D5BD22}"/>
    <cellStyle name="Laskenta 17 2 5 2" xfId="18757" xr:uid="{A415C0A6-3EF8-4D90-9ABD-D982DDB464DB}"/>
    <cellStyle name="Laskenta 17 2 6" xfId="18753" xr:uid="{E9E84F5A-6D41-49EE-B7B5-E041AE238146}"/>
    <cellStyle name="Laskenta 17 3" xfId="5777" xr:uid="{8867EBA3-69AE-4293-BFEB-A7FCBC1BCF90}"/>
    <cellStyle name="Laskenta 17 3 2" xfId="18758" xr:uid="{FFF39331-DE9B-4088-BF02-C5385A1BE88F}"/>
    <cellStyle name="Laskenta 17 4" xfId="5778" xr:uid="{C825CAFB-7DFB-4324-8A58-1333B0519E1D}"/>
    <cellStyle name="Laskenta 17 4 2" xfId="18759" xr:uid="{09A1AFC1-DCF5-4D1F-BD82-E919BE849DBC}"/>
    <cellStyle name="Laskenta 17 5" xfId="5779" xr:uid="{B475450F-F82F-4CF9-8820-DE4F688E6E4A}"/>
    <cellStyle name="Laskenta 17 5 2" xfId="18760" xr:uid="{BEF547E4-9AE6-4C54-ADAC-296259C991FD}"/>
    <cellStyle name="Laskenta 17 6" xfId="5780" xr:uid="{9915D552-EE65-4497-ABEB-B631499DB41C}"/>
    <cellStyle name="Laskenta 17 6 2" xfId="18761" xr:uid="{590A6579-0F3A-42F7-9BF3-C4B6D6201125}"/>
    <cellStyle name="Laskenta 17 7" xfId="18752" xr:uid="{DF7E81DA-A4EE-454F-AD32-140747A90F27}"/>
    <cellStyle name="Laskenta 18" xfId="5781" xr:uid="{39228804-8F3E-406F-960E-5F307DFB2849}"/>
    <cellStyle name="Laskenta 18 2" xfId="5782" xr:uid="{E356E0D8-038C-41F1-96E0-8C857761F808}"/>
    <cellStyle name="Laskenta 18 2 2" xfId="5783" xr:uid="{0584CDBC-B35B-44BC-B133-C29E23499923}"/>
    <cellStyle name="Laskenta 18 2 2 2" xfId="18764" xr:uid="{1BE357F6-030A-44F3-82AB-270BF33A927D}"/>
    <cellStyle name="Laskenta 18 2 3" xfId="5784" xr:uid="{CFE343F2-C1B9-41FA-8728-A714EFF78416}"/>
    <cellStyle name="Laskenta 18 2 3 2" xfId="18765" xr:uid="{8CDE8487-A869-4544-975C-D61078B0DF83}"/>
    <cellStyle name="Laskenta 18 2 4" xfId="5785" xr:uid="{9987D862-45C1-4336-9EA7-D76DBB939F3E}"/>
    <cellStyle name="Laskenta 18 2 4 2" xfId="18766" xr:uid="{32C02913-C7A7-4D8A-B12C-EAC5452CEE22}"/>
    <cellStyle name="Laskenta 18 2 5" xfId="5786" xr:uid="{1E3ABA20-F4BD-45F3-AEA9-72B6A61F3283}"/>
    <cellStyle name="Laskenta 18 2 5 2" xfId="18767" xr:uid="{A2786952-91DF-46D2-9B56-284F5A94A923}"/>
    <cellStyle name="Laskenta 18 2 6" xfId="18763" xr:uid="{0B029922-E7BA-460B-8064-0556191D0D23}"/>
    <cellStyle name="Laskenta 18 3" xfId="5787" xr:uid="{8460CBF3-CA09-43AC-8FFF-1137463636CC}"/>
    <cellStyle name="Laskenta 18 3 2" xfId="18768" xr:uid="{B9F6E22C-EB28-40DF-8F1D-3027D48A0DEE}"/>
    <cellStyle name="Laskenta 18 4" xfId="5788" xr:uid="{1AA196CE-2632-4208-831F-F30CACD5F90F}"/>
    <cellStyle name="Laskenta 18 4 2" xfId="18769" xr:uid="{F3BFF3A2-01AE-4D85-92F7-4A2A5CA9787F}"/>
    <cellStyle name="Laskenta 18 5" xfId="5789" xr:uid="{8A2CF503-A9F7-438B-907C-42A601E816B0}"/>
    <cellStyle name="Laskenta 18 5 2" xfId="18770" xr:uid="{072C4242-DA0A-453B-8DA7-4D8DB91DA626}"/>
    <cellStyle name="Laskenta 18 6" xfId="5790" xr:uid="{934427A7-C76E-4EC1-8944-D20030149791}"/>
    <cellStyle name="Laskenta 18 6 2" xfId="18771" xr:uid="{4FC5BC04-C7D1-4F50-A51C-52E7B449BF09}"/>
    <cellStyle name="Laskenta 18 7" xfId="18762" xr:uid="{7778D9D3-6680-458B-B2C8-6DCAE208A88E}"/>
    <cellStyle name="Laskenta 19" xfId="5791" xr:uid="{614D07E9-7651-40C2-BB5B-F4FB13FE199C}"/>
    <cellStyle name="Laskenta 19 2" xfId="5792" xr:uid="{2066AEDC-C331-4A81-962D-EB6CF6381C87}"/>
    <cellStyle name="Laskenta 19 2 2" xfId="18773" xr:uid="{BA987A08-5EED-40ED-8794-DEC4B2C69015}"/>
    <cellStyle name="Laskenta 19 3" xfId="5793" xr:uid="{FEE689EB-31B8-4840-9E8B-043B8BF31F95}"/>
    <cellStyle name="Laskenta 19 3 2" xfId="18774" xr:uid="{B0AFCAFD-EFB6-48D8-94D1-9127180E8079}"/>
    <cellStyle name="Laskenta 19 4" xfId="5794" xr:uid="{87794D92-2C2A-4A89-9E43-C4AE2E2DEABA}"/>
    <cellStyle name="Laskenta 19 4 2" xfId="18775" xr:uid="{8FDE47B1-77DE-426D-8FC3-75B3C0AFCB54}"/>
    <cellStyle name="Laskenta 19 5" xfId="5795" xr:uid="{85C8405A-2922-4966-8DF9-CD11F0DAB8CF}"/>
    <cellStyle name="Laskenta 19 5 2" xfId="18776" xr:uid="{D838A46E-437D-4E5F-B8D5-560AC9F2C392}"/>
    <cellStyle name="Laskenta 19 6" xfId="18772" xr:uid="{D2BB4D17-9ACC-4B59-94DC-5849284C547F}"/>
    <cellStyle name="Laskenta 2" xfId="5796" xr:uid="{AC89D38D-75D1-461B-AB42-ED95973135EB}"/>
    <cellStyle name="Laskenta 2 2" xfId="5797" xr:uid="{75D56C0E-0A67-4033-971F-CA7B86CAECEB}"/>
    <cellStyle name="Laskenta 2 2 2" xfId="5798" xr:uid="{115090B3-B860-47E0-AC4A-36BB7ED0E3D0}"/>
    <cellStyle name="Laskenta 2 2 2 2" xfId="18779" xr:uid="{89AD1FD9-BE38-4302-B744-CDC30D11F13F}"/>
    <cellStyle name="Laskenta 2 2 3" xfId="5799" xr:uid="{DD3F5161-0371-4C67-B24E-6EFB527D278A}"/>
    <cellStyle name="Laskenta 2 2 3 2" xfId="18780" xr:uid="{39A0188F-96AD-4F05-A34C-3624BC9642A6}"/>
    <cellStyle name="Laskenta 2 2 4" xfId="5800" xr:uid="{5BAAF078-CF5B-43E7-B822-46F2F5B6CFBB}"/>
    <cellStyle name="Laskenta 2 2 4 2" xfId="18781" xr:uid="{1DC64053-5AEA-4659-86D0-912E2A565035}"/>
    <cellStyle name="Laskenta 2 2 5" xfId="5801" xr:uid="{506FC598-403C-43BB-BD97-DFF7A8E3F42D}"/>
    <cellStyle name="Laskenta 2 2 5 2" xfId="18782" xr:uid="{4CEC5242-3CAD-46B2-BF15-3E0AC3E307A8}"/>
    <cellStyle name="Laskenta 2 2 6" xfId="18778" xr:uid="{6099F2C5-5CFC-4BDA-8517-3E1AF8F9FD02}"/>
    <cellStyle name="Laskenta 2 3" xfId="5802" xr:uid="{7F194E3D-327A-47A6-9836-955710659DBB}"/>
    <cellStyle name="Laskenta 2 3 2" xfId="18783" xr:uid="{9BC590A1-21E6-4482-804C-99E7CCF63D98}"/>
    <cellStyle name="Laskenta 2 4" xfId="5803" xr:uid="{B0715F2C-D166-4A91-A7CB-CD9C6799EAC9}"/>
    <cellStyle name="Laskenta 2 4 2" xfId="18784" xr:uid="{4D11ACC4-8DB3-462E-A90F-8C6AF92CD83E}"/>
    <cellStyle name="Laskenta 2 5" xfId="5804" xr:uid="{733C061C-F6ED-478E-AA46-9EB18734BDA2}"/>
    <cellStyle name="Laskenta 2 5 2" xfId="18785" xr:uid="{F68E7344-649A-4104-88A3-47D0C0536F47}"/>
    <cellStyle name="Laskenta 2 6" xfId="5805" xr:uid="{409C0CFE-A754-4FC0-9366-E4839C0AB232}"/>
    <cellStyle name="Laskenta 2 6 2" xfId="18786" xr:uid="{D0EBFAB0-8490-4F76-9998-C21E295D8726}"/>
    <cellStyle name="Laskenta 2 7" xfId="18777" xr:uid="{F830E550-975C-4E90-AFC0-3907DBDC115A}"/>
    <cellStyle name="Laskenta 20" xfId="5806" xr:uid="{670F98CD-3611-431A-829C-723A43BEE4FB}"/>
    <cellStyle name="Laskenta 20 2" xfId="18787" xr:uid="{D0746663-825A-4E57-A9CA-79776CCA8B76}"/>
    <cellStyle name="Laskenta 21" xfId="5807" xr:uid="{BA1784EB-1354-4CE1-AE43-139514C424F3}"/>
    <cellStyle name="Laskenta 21 2" xfId="18788" xr:uid="{B339BE70-61DE-4D6F-A1AB-DEE2B18C3658}"/>
    <cellStyle name="Laskenta 22" xfId="5808" xr:uid="{89861DB9-A339-403A-9F48-6B54E4AB5A78}"/>
    <cellStyle name="Laskenta 22 2" xfId="18789" xr:uid="{0C988F78-FB39-4247-9652-EFEFDCDC97EA}"/>
    <cellStyle name="Laskenta 23" xfId="5809" xr:uid="{1F475B50-1FAD-4804-8410-59517B891CC2}"/>
    <cellStyle name="Laskenta 23 2" xfId="18790" xr:uid="{A70C70FA-0322-4735-88F3-409B259BF5DA}"/>
    <cellStyle name="Laskenta 24" xfId="14980" xr:uid="{22392AE0-F259-461A-9190-08B2285B700F}"/>
    <cellStyle name="Laskenta 3" xfId="5810" xr:uid="{7EB9F4CB-A8F6-4DC7-9B5B-D0823F6CFC23}"/>
    <cellStyle name="Laskenta 3 2" xfId="5811" xr:uid="{5EBDE147-C60B-4ED9-8A13-F85E1F8C3CA9}"/>
    <cellStyle name="Laskenta 3 2 2" xfId="5812" xr:uid="{36F587A0-BC8A-4BB3-8AA6-42A91C43E9B1}"/>
    <cellStyle name="Laskenta 3 2 2 2" xfId="18793" xr:uid="{43FEB18F-90D0-4CA4-9E7F-111176A87308}"/>
    <cellStyle name="Laskenta 3 2 3" xfId="5813" xr:uid="{18E00AEE-32E2-43CE-A7C0-5E796B8A6E45}"/>
    <cellStyle name="Laskenta 3 2 3 2" xfId="18794" xr:uid="{6DD977B2-3FBA-4BEC-BAB4-F9A639B74DBB}"/>
    <cellStyle name="Laskenta 3 2 4" xfId="5814" xr:uid="{73CD1DC3-923E-4382-AEF7-DF9F1123D0C6}"/>
    <cellStyle name="Laskenta 3 2 4 2" xfId="18795" xr:uid="{DEA0F1D7-EF6F-4336-A260-37C2F24F6497}"/>
    <cellStyle name="Laskenta 3 2 5" xfId="5815" xr:uid="{482FED3C-7568-4781-9B79-FB169B0F419C}"/>
    <cellStyle name="Laskenta 3 2 5 2" xfId="18796" xr:uid="{35BAE2C2-88AC-4419-9506-1C2AD50D1DA3}"/>
    <cellStyle name="Laskenta 3 2 6" xfId="18792" xr:uid="{FFE8F1F3-06C4-4FBF-8F33-9BDADF5045A1}"/>
    <cellStyle name="Laskenta 3 3" xfId="5816" xr:uid="{2C519BA3-E61C-4C74-869F-434DE86F8AD0}"/>
    <cellStyle name="Laskenta 3 3 2" xfId="18797" xr:uid="{95F6088C-ED09-44EA-BBE9-967CDE4D2B9D}"/>
    <cellStyle name="Laskenta 3 4" xfId="5817" xr:uid="{3A8810EC-20E7-4EC4-9D95-F35EEDDD4462}"/>
    <cellStyle name="Laskenta 3 4 2" xfId="18798" xr:uid="{1AB8BD80-C843-4C9A-80A1-01640780B142}"/>
    <cellStyle name="Laskenta 3 5" xfId="5818" xr:uid="{ECD62D7A-907C-4FFC-B98F-0EB588DAE998}"/>
    <cellStyle name="Laskenta 3 5 2" xfId="18799" xr:uid="{8B6FE28E-9668-45A3-9939-14BA65554A1F}"/>
    <cellStyle name="Laskenta 3 6" xfId="5819" xr:uid="{2C081338-E5A6-4103-BDCB-DC02EDBFCB50}"/>
    <cellStyle name="Laskenta 3 6 2" xfId="18800" xr:uid="{B2C1935A-C905-49AE-A5CF-841BF2E381D9}"/>
    <cellStyle name="Laskenta 3 7" xfId="18791" xr:uid="{B094528C-85B3-475D-8B17-2763DBB5D4DA}"/>
    <cellStyle name="Laskenta 4" xfId="5820" xr:uid="{5E70D36C-1AB9-4055-8749-AF2289F5F3B9}"/>
    <cellStyle name="Laskenta 4 2" xfId="5821" xr:uid="{2A5FD26D-7C8B-4915-A1BD-A4A4696EB098}"/>
    <cellStyle name="Laskenta 4 2 2" xfId="5822" xr:uid="{3E3343A5-62E1-4FE2-B1C6-5D33B4929E93}"/>
    <cellStyle name="Laskenta 4 2 2 2" xfId="18803" xr:uid="{E7351FD7-8FC1-4DA3-8850-8EDCB700D596}"/>
    <cellStyle name="Laskenta 4 2 3" xfId="5823" xr:uid="{DDF53984-2DB1-4638-827C-C25AAA42AB42}"/>
    <cellStyle name="Laskenta 4 2 3 2" xfId="18804" xr:uid="{D14B10D2-4F2B-4ABD-BF39-4CA620DBCA5B}"/>
    <cellStyle name="Laskenta 4 2 4" xfId="5824" xr:uid="{D10971A3-FDB5-46B2-951D-1585988AEA15}"/>
    <cellStyle name="Laskenta 4 2 4 2" xfId="18805" xr:uid="{C971CED4-D36E-4F26-8EBC-432C9953C09D}"/>
    <cellStyle name="Laskenta 4 2 5" xfId="5825" xr:uid="{C23AF849-4F88-4A96-8FDE-8D52DB34B120}"/>
    <cellStyle name="Laskenta 4 2 5 2" xfId="18806" xr:uid="{FC9C178A-77DA-4F51-919B-D8B274FB6E80}"/>
    <cellStyle name="Laskenta 4 2 6" xfId="18802" xr:uid="{79E92943-DDE8-4F57-95F0-95C398D8C52C}"/>
    <cellStyle name="Laskenta 4 3" xfId="5826" xr:uid="{3F796762-04A1-4F20-9C80-8D05A983CB70}"/>
    <cellStyle name="Laskenta 4 3 2" xfId="18807" xr:uid="{B21B4AAD-3303-4D17-AE8C-FCA740297CDA}"/>
    <cellStyle name="Laskenta 4 4" xfId="5827" xr:uid="{FE71E49C-8EC4-4924-AD3D-6FBABC48DCCF}"/>
    <cellStyle name="Laskenta 4 4 2" xfId="18808" xr:uid="{C5240F5F-5610-4F58-A27C-819918BE33E3}"/>
    <cellStyle name="Laskenta 4 5" xfId="5828" xr:uid="{D0B047C4-C9ED-467F-83D0-F60F84BEDE29}"/>
    <cellStyle name="Laskenta 4 5 2" xfId="18809" xr:uid="{714D3EFF-2C4A-4472-8683-0755739591C5}"/>
    <cellStyle name="Laskenta 4 6" xfId="5829" xr:uid="{FF63BC8D-395B-444A-B1AC-A582C77E14F3}"/>
    <cellStyle name="Laskenta 4 6 2" xfId="18810" xr:uid="{F4F57B4F-625D-4206-A6AF-24461EC936F3}"/>
    <cellStyle name="Laskenta 4 7" xfId="18801" xr:uid="{AD8EFA56-6244-4CE5-B2FA-63A0B64474E4}"/>
    <cellStyle name="Laskenta 5" xfId="5830" xr:uid="{449498F5-557F-4C4E-9C52-A3DC5E6D9A5C}"/>
    <cellStyle name="Laskenta 5 2" xfId="5831" xr:uid="{A18478F2-E3FA-4728-8145-AE793B82E859}"/>
    <cellStyle name="Laskenta 5 2 2" xfId="5832" xr:uid="{935A527D-0A17-4BDE-8A37-021327F5F411}"/>
    <cellStyle name="Laskenta 5 2 2 2" xfId="18813" xr:uid="{813EDC24-2930-4E5C-BE7E-01A042BF9899}"/>
    <cellStyle name="Laskenta 5 2 3" xfId="5833" xr:uid="{5F023908-D48D-495B-8474-CA01DA7BDBAF}"/>
    <cellStyle name="Laskenta 5 2 3 2" xfId="18814" xr:uid="{B07520C3-4C45-42F8-AC32-F621E1A5AB27}"/>
    <cellStyle name="Laskenta 5 2 4" xfId="5834" xr:uid="{11BE9867-68C2-43AD-BABC-0D45776CE8D2}"/>
    <cellStyle name="Laskenta 5 2 4 2" xfId="18815" xr:uid="{5ED768DE-6F70-4110-8B50-D718AAB6D694}"/>
    <cellStyle name="Laskenta 5 2 5" xfId="5835" xr:uid="{98C9D4E1-3FAD-4B00-BEB9-2EA859B30716}"/>
    <cellStyle name="Laskenta 5 2 5 2" xfId="18816" xr:uid="{AA253D29-8B1F-4C36-AA65-15B4DB64D17C}"/>
    <cellStyle name="Laskenta 5 2 6" xfId="18812" xr:uid="{16102F9D-B485-4923-A029-6E899E5439A6}"/>
    <cellStyle name="Laskenta 5 3" xfId="5836" xr:uid="{D988D2C4-D212-4472-86EC-12F7D403724D}"/>
    <cellStyle name="Laskenta 5 3 2" xfId="18817" xr:uid="{DA824E28-CC8B-403D-86A6-CBD55AD1E85B}"/>
    <cellStyle name="Laskenta 5 4" xfId="5837" xr:uid="{D6426AE7-53E0-443B-8D17-04A434A9FBBC}"/>
    <cellStyle name="Laskenta 5 4 2" xfId="18818" xr:uid="{37239B74-98AD-4B04-8489-6394E2B416E5}"/>
    <cellStyle name="Laskenta 5 5" xfId="5838" xr:uid="{3908E39A-7712-4F67-B3C0-326A4B0DA623}"/>
    <cellStyle name="Laskenta 5 5 2" xfId="18819" xr:uid="{4B4BFA8D-C2CC-4A86-91E8-4D827AEC7B9E}"/>
    <cellStyle name="Laskenta 5 6" xfId="5839" xr:uid="{C9E9212E-460A-4CEF-9399-64CC07885EC8}"/>
    <cellStyle name="Laskenta 5 6 2" xfId="18820" xr:uid="{297C6BDC-3261-49BA-8E1E-1470FEFA48D0}"/>
    <cellStyle name="Laskenta 5 7" xfId="18811" xr:uid="{923D1564-D6A9-4046-8DE9-E60255165DD3}"/>
    <cellStyle name="Laskenta 6" xfId="5840" xr:uid="{0A80B9E2-5457-4F53-8054-501911C48591}"/>
    <cellStyle name="Laskenta 6 2" xfId="5841" xr:uid="{AEC93EDE-287A-4FFE-BD66-0BCB22EC4C0C}"/>
    <cellStyle name="Laskenta 6 2 2" xfId="5842" xr:uid="{0F1898F7-F1DB-4381-9CD4-CA39A3E87122}"/>
    <cellStyle name="Laskenta 6 2 2 2" xfId="18823" xr:uid="{482A9ED0-5F26-457F-BFB8-52E03DC66449}"/>
    <cellStyle name="Laskenta 6 2 3" xfId="5843" xr:uid="{782D5752-3827-48C1-8CE1-AB41AB8B9BC0}"/>
    <cellStyle name="Laskenta 6 2 3 2" xfId="18824" xr:uid="{5F331ED9-03B0-4DA7-BDE7-F604717A565B}"/>
    <cellStyle name="Laskenta 6 2 4" xfId="5844" xr:uid="{A653C42C-B819-4100-9FEC-FDD2AFE8063C}"/>
    <cellStyle name="Laskenta 6 2 4 2" xfId="18825" xr:uid="{9DA4849C-339D-4155-9600-5A4C1CAE5236}"/>
    <cellStyle name="Laskenta 6 2 5" xfId="5845" xr:uid="{E911AC9D-B4B4-49DA-80AB-447CFF0F9ADD}"/>
    <cellStyle name="Laskenta 6 2 5 2" xfId="18826" xr:uid="{E50ECD56-5E92-477A-9C7F-C131762DBCBD}"/>
    <cellStyle name="Laskenta 6 2 6" xfId="18822" xr:uid="{15768166-CDDC-4214-9033-3008FD8CD679}"/>
    <cellStyle name="Laskenta 6 3" xfId="5846" xr:uid="{780E3E4B-6915-4DEF-817C-D093691F0EB5}"/>
    <cellStyle name="Laskenta 6 3 2" xfId="18827" xr:uid="{78620082-FE15-4AE4-8BCD-1009EAEDC136}"/>
    <cellStyle name="Laskenta 6 4" xfId="5847" xr:uid="{9CCAD3C1-6662-4EC5-AA80-A2BC06E1B088}"/>
    <cellStyle name="Laskenta 6 4 2" xfId="18828" xr:uid="{3BC74D02-C286-4D76-A5D8-E1828DF95249}"/>
    <cellStyle name="Laskenta 6 5" xfId="5848" xr:uid="{3D6CEFEC-3EA3-4804-85F6-10E1960C88D4}"/>
    <cellStyle name="Laskenta 6 5 2" xfId="18829" xr:uid="{5D03F57F-4D78-4BC3-9E7D-98CCAFBCA609}"/>
    <cellStyle name="Laskenta 6 6" xfId="5849" xr:uid="{5280EEF5-F14E-44B4-A7D7-12B93DC90DD7}"/>
    <cellStyle name="Laskenta 6 6 2" xfId="18830" xr:uid="{9EAF3AA0-D535-47DF-8F09-F2AE0051BE80}"/>
    <cellStyle name="Laskenta 6 7" xfId="18821" xr:uid="{6E427DC7-8797-4A34-9827-389443CB34B0}"/>
    <cellStyle name="Laskenta 7" xfId="5850" xr:uid="{A8087268-2669-4DDF-817F-9880DB7DCAD4}"/>
    <cellStyle name="Laskenta 7 2" xfId="5851" xr:uid="{305EE16A-11C4-429D-A59E-0303B6FFC149}"/>
    <cellStyle name="Laskenta 7 2 2" xfId="5852" xr:uid="{48234B24-D48F-4BCD-AE67-1B946A71827F}"/>
    <cellStyle name="Laskenta 7 2 2 2" xfId="18833" xr:uid="{67D1268D-07A1-4F56-A829-F6A9792CC1A8}"/>
    <cellStyle name="Laskenta 7 2 3" xfId="5853" xr:uid="{FDCFAF87-B8AB-48D5-8475-0B6246BC8C4C}"/>
    <cellStyle name="Laskenta 7 2 3 2" xfId="18834" xr:uid="{ACFE9D7F-F743-4604-BD0D-4121F99E69CA}"/>
    <cellStyle name="Laskenta 7 2 4" xfId="5854" xr:uid="{54F147A5-4F49-4849-87B2-A5464D334717}"/>
    <cellStyle name="Laskenta 7 2 4 2" xfId="18835" xr:uid="{37543E4F-A51C-4373-A914-42411025053A}"/>
    <cellStyle name="Laskenta 7 2 5" xfId="5855" xr:uid="{7656BF54-5C16-4328-9865-D589F7D6910B}"/>
    <cellStyle name="Laskenta 7 2 5 2" xfId="18836" xr:uid="{510FBA46-B322-428C-ACB8-B946C505DC3E}"/>
    <cellStyle name="Laskenta 7 2 6" xfId="18832" xr:uid="{9114C3C9-FAEA-4327-B6B1-C37D3453D07B}"/>
    <cellStyle name="Laskenta 7 3" xfId="5856" xr:uid="{3D376102-F58E-43CA-9B2E-04C3255F13C9}"/>
    <cellStyle name="Laskenta 7 3 2" xfId="18837" xr:uid="{97924CB9-7AE2-43D1-920E-B8961F764233}"/>
    <cellStyle name="Laskenta 7 4" xfId="5857" xr:uid="{023A4ED4-D994-4EA9-9A1C-0420E5F157A4}"/>
    <cellStyle name="Laskenta 7 4 2" xfId="18838" xr:uid="{18F037E7-9CDC-45F5-B984-9075447B28E9}"/>
    <cellStyle name="Laskenta 7 5" xfId="5858" xr:uid="{589ABE9D-7976-4335-BF4B-305FE48E2ACE}"/>
    <cellStyle name="Laskenta 7 5 2" xfId="18839" xr:uid="{D9A78B89-859D-492F-AC6B-FBC48E962AD4}"/>
    <cellStyle name="Laskenta 7 6" xfId="5859" xr:uid="{F9E4618E-F8DF-46D0-8B1E-C961A4C0625A}"/>
    <cellStyle name="Laskenta 7 6 2" xfId="18840" xr:uid="{A2CE8E79-AF16-43CB-BDEE-5B0A3951FB77}"/>
    <cellStyle name="Laskenta 7 7" xfId="18831" xr:uid="{0BEE0EFF-2654-4EB6-A763-5BE8217F8C4D}"/>
    <cellStyle name="Laskenta 8" xfId="5860" xr:uid="{D930F534-4EDB-4920-8126-3A4DB86C6C9F}"/>
    <cellStyle name="Laskenta 8 2" xfId="5861" xr:uid="{8BE11FBC-8AA4-487D-9A05-D5019F46C73C}"/>
    <cellStyle name="Laskenta 8 2 2" xfId="5862" xr:uid="{5655AC24-417D-4A43-A9CE-AC97DBFBDE16}"/>
    <cellStyle name="Laskenta 8 2 2 2" xfId="18843" xr:uid="{71E9F590-5EA8-4413-BCBE-0922AAF74956}"/>
    <cellStyle name="Laskenta 8 2 3" xfId="5863" xr:uid="{35B68238-C1E2-47EA-9E94-4A0667D522E2}"/>
    <cellStyle name="Laskenta 8 2 3 2" xfId="18844" xr:uid="{2475F959-4EA5-4F99-B255-D414B8996DF9}"/>
    <cellStyle name="Laskenta 8 2 4" xfId="5864" xr:uid="{B4C57E68-A96F-41A5-B8C6-09C6079FBBF5}"/>
    <cellStyle name="Laskenta 8 2 4 2" xfId="18845" xr:uid="{B4950A45-D435-49CD-BBBF-7E5BB1924CDB}"/>
    <cellStyle name="Laskenta 8 2 5" xfId="5865" xr:uid="{0AAA1684-64E3-46FF-A7A1-803AE29DF4A6}"/>
    <cellStyle name="Laskenta 8 2 5 2" xfId="18846" xr:uid="{8DEB059E-6A15-4164-8FAD-05CB0C1F317B}"/>
    <cellStyle name="Laskenta 8 2 6" xfId="18842" xr:uid="{1BC9D495-8CC7-40B8-96A8-67156298B89C}"/>
    <cellStyle name="Laskenta 8 3" xfId="5866" xr:uid="{1EA94AE3-0BC0-4E02-B867-41C6E387F8FB}"/>
    <cellStyle name="Laskenta 8 3 2" xfId="18847" xr:uid="{DB8AA059-B922-4759-A374-FFB29C38FD05}"/>
    <cellStyle name="Laskenta 8 4" xfId="5867" xr:uid="{2A2AC4AA-C545-44C1-95BA-8D45580046EE}"/>
    <cellStyle name="Laskenta 8 4 2" xfId="18848" xr:uid="{0AFDA5A8-FBA1-42E5-9B0F-42BD02758D53}"/>
    <cellStyle name="Laskenta 8 5" xfId="5868" xr:uid="{89F9BFA4-2FBE-4465-AC4F-D13FD3B506BF}"/>
    <cellStyle name="Laskenta 8 5 2" xfId="18849" xr:uid="{7D2F959A-4B29-4E86-A718-11C58AAC2409}"/>
    <cellStyle name="Laskenta 8 6" xfId="5869" xr:uid="{4DEA9868-0EC6-43DB-BAF0-5BB1924BF7F7}"/>
    <cellStyle name="Laskenta 8 6 2" xfId="18850" xr:uid="{14A39D0D-061A-4410-BD75-BFB6BD5AE5A0}"/>
    <cellStyle name="Laskenta 8 7" xfId="18841" xr:uid="{851276F5-84A3-4DB6-B3F0-21EA647E89D1}"/>
    <cellStyle name="Laskenta 9" xfId="5870" xr:uid="{514486F6-33E4-41B2-87AF-632B1CE48557}"/>
    <cellStyle name="Laskenta 9 2" xfId="5871" xr:uid="{2DFBDD4B-4B63-4B7B-8F72-DDD8AB6ACF9F}"/>
    <cellStyle name="Laskenta 9 2 2" xfId="5872" xr:uid="{D28EEA7D-9B50-49FD-A292-58D3132F650A}"/>
    <cellStyle name="Laskenta 9 2 2 2" xfId="18853" xr:uid="{1A88EDF6-D3D6-4C10-B4EF-D44CE92237B5}"/>
    <cellStyle name="Laskenta 9 2 3" xfId="5873" xr:uid="{F681AF41-3BCD-498D-B442-934F2670EF88}"/>
    <cellStyle name="Laskenta 9 2 3 2" xfId="18854" xr:uid="{FF23E019-56DC-489F-834C-495B2C52742C}"/>
    <cellStyle name="Laskenta 9 2 4" xfId="5874" xr:uid="{2A0223C1-1BEF-434D-BBF5-862EB7EBFDCB}"/>
    <cellStyle name="Laskenta 9 2 4 2" xfId="18855" xr:uid="{2BD36E19-6163-4C96-ABEB-3BEEB1081CD5}"/>
    <cellStyle name="Laskenta 9 2 5" xfId="5875" xr:uid="{9FED5B3A-12AC-4FD4-B74E-B7230742499C}"/>
    <cellStyle name="Laskenta 9 2 5 2" xfId="18856" xr:uid="{CA4C3455-5926-4B75-9156-0F1FFD6C6C1B}"/>
    <cellStyle name="Laskenta 9 2 6" xfId="18852" xr:uid="{0B2DA402-7A00-4F5C-9536-B3D46C07884E}"/>
    <cellStyle name="Laskenta 9 3" xfId="5876" xr:uid="{258CD32F-61EC-462E-AA79-D1A3ABD5562B}"/>
    <cellStyle name="Laskenta 9 3 2" xfId="18857" xr:uid="{C9DE2625-E392-4A8C-BA3D-3203A8E4F87B}"/>
    <cellStyle name="Laskenta 9 4" xfId="5877" xr:uid="{C2458208-C067-426B-BECD-BCB571F4CF9B}"/>
    <cellStyle name="Laskenta 9 4 2" xfId="18858" xr:uid="{352699A1-903C-4A3D-B240-941DA622EA0A}"/>
    <cellStyle name="Laskenta 9 5" xfId="5878" xr:uid="{E22CA210-8411-4387-879F-6EB65E12C985}"/>
    <cellStyle name="Laskenta 9 5 2" xfId="18859" xr:uid="{0A12C8B4-B79F-4170-8EEB-57AAA4E6BFCB}"/>
    <cellStyle name="Laskenta 9 6" xfId="5879" xr:uid="{07D39D56-54F5-42DB-A055-B80F7B116372}"/>
    <cellStyle name="Laskenta 9 6 2" xfId="18860" xr:uid="{7D3668C3-6B67-4BAC-BFD9-EDAE1981522F}"/>
    <cellStyle name="Laskenta 9 7" xfId="18851" xr:uid="{B5CC5D64-165B-42C2-B97E-31E77768F9C7}"/>
    <cellStyle name="Laskenta_PGM_CHECK" xfId="14898" xr:uid="{D5F43E6B-0B34-4421-A83E-33A507CB5FBD}"/>
    <cellStyle name="Liaison Externe" xfId="5880" xr:uid="{80B13F97-2E2B-4C99-BFD3-1C4CB0B2DA43}"/>
    <cellStyle name="Lien hypertexte 2" xfId="5881" xr:uid="{C7709BCC-2D7B-4CB2-868D-CD98F12676FC}"/>
    <cellStyle name="Lien hypertexte 3" xfId="5882" xr:uid="{F0ADFE09-6B2A-49ED-8BC7-0FD3E80BDECB}"/>
    <cellStyle name="Lingitud lahter" xfId="5883" xr:uid="{36A8E35C-9E1A-42B8-B2BF-A1D637697FB0}"/>
    <cellStyle name="Lingitud lahter 2" xfId="5884" xr:uid="{34729921-42BF-4CB9-8272-C991B284D6C7}"/>
    <cellStyle name="Lingitud lahter 3" xfId="5885" xr:uid="{316F0DA4-D0E3-4C4F-8FF2-BE714F677506}"/>
    <cellStyle name="Link_addon" xfId="5886" xr:uid="{3D317D48-CDB4-4C09-84C5-DCB877094F46}"/>
    <cellStyle name="Linked Cell 2" xfId="5888" xr:uid="{C0109AA4-FC08-414A-879E-3F8F49E58028}"/>
    <cellStyle name="Linked Cell 3" xfId="5887" xr:uid="{041BD179-89DB-44F2-9144-EF97416139B1}"/>
    <cellStyle name="Linkitetty solu" xfId="5889" xr:uid="{38C356B3-235A-4A65-B309-FF6E507942AF}"/>
    <cellStyle name="Lookup References" xfId="5890" xr:uid="{F87FA45E-7F24-4345-AE53-6B5FC8A623EC}"/>
    <cellStyle name="Magyarázó szöveg 2" xfId="5891" xr:uid="{38B67DE9-AC2E-499D-ADC8-CF646190ADB3}"/>
    <cellStyle name="Major heading" xfId="5892" xr:uid="{A71B3A44-CDB2-4661-9679-0172D8AD47AF}"/>
    <cellStyle name="Markeringsfarve1" xfId="5893" xr:uid="{4E56EAC6-B44D-4BBD-A26A-F3603051A537}"/>
    <cellStyle name="Markeringsfarve2" xfId="5894" xr:uid="{506C0EB4-080B-4AC9-BBCA-3BF95367CF35}"/>
    <cellStyle name="Markeringsfarve3" xfId="5895" xr:uid="{F0C98760-D7E6-428B-96ED-3E90208E5975}"/>
    <cellStyle name="Markeringsfarve4" xfId="5896" xr:uid="{D29A713D-C925-4237-B544-B9743DAC7D20}"/>
    <cellStyle name="Markeringsfarve5" xfId="5897" xr:uid="{EA4D7BBF-98CB-4082-BD8E-DF2257327B0D}"/>
    <cellStyle name="Markeringsfarve6" xfId="5898" xr:uid="{DA074C30-7992-4B3C-AF1F-2F0F95981348}"/>
    <cellStyle name="Märkus" xfId="5899" xr:uid="{CCCDE23E-AF49-4DFE-8216-24F400DE2DC6}"/>
    <cellStyle name="Märkus 10" xfId="5900" xr:uid="{1B502913-A08C-42AF-90B9-CCDBAB2FEB5F}"/>
    <cellStyle name="Märkus 10 2" xfId="5901" xr:uid="{BEB719B5-111D-41A7-AC11-DBDF0559F830}"/>
    <cellStyle name="Märkus 10 2 2" xfId="5902" xr:uid="{117494EB-8CBE-4CB7-8067-C495FB64BE95}"/>
    <cellStyle name="Märkus 10 2 2 2" xfId="18863" xr:uid="{6ECFB523-57A8-443C-96A3-114AC37985A8}"/>
    <cellStyle name="Märkus 10 2 3" xfId="5903" xr:uid="{D7520B44-0DCE-44D1-B33C-B322A4FD651A}"/>
    <cellStyle name="Märkus 10 2 3 2" xfId="18864" xr:uid="{7875AC40-9787-46A9-A34B-6809888502AF}"/>
    <cellStyle name="Märkus 10 2 4" xfId="5904" xr:uid="{7F67187A-EA00-4330-851D-4E40D38B033F}"/>
    <cellStyle name="Märkus 10 2 4 2" xfId="18865" xr:uid="{0ED2EE40-EACC-4F40-AE98-160AB9315B90}"/>
    <cellStyle name="Märkus 10 2 5" xfId="5905" xr:uid="{EE23C02E-A0D1-4681-9CF3-3084F06143DD}"/>
    <cellStyle name="Märkus 10 2 5 2" xfId="18866" xr:uid="{8F52BBEA-0097-48CA-BB57-446941AD7075}"/>
    <cellStyle name="Märkus 10 2 6" xfId="18862" xr:uid="{6E9BB528-2660-43DA-BD48-E7D8A9040C61}"/>
    <cellStyle name="Märkus 10 3" xfId="5906" xr:uid="{D2C69DA1-9784-4125-B259-1AC9F55A11D2}"/>
    <cellStyle name="Märkus 10 3 2" xfId="18867" xr:uid="{10C36E62-B141-40B1-8C0A-FB0449002A51}"/>
    <cellStyle name="Märkus 10 4" xfId="5907" xr:uid="{6BD30BEB-736D-4EE4-8E0F-E6B64A24F208}"/>
    <cellStyle name="Märkus 10 4 2" xfId="18868" xr:uid="{D0A47014-3167-44B1-BA16-2DDFC0ECAA47}"/>
    <cellStyle name="Märkus 10 5" xfId="5908" xr:uid="{C7712F12-D783-47FC-BACE-EB2B0EE0AE3D}"/>
    <cellStyle name="Märkus 10 5 2" xfId="18869" xr:uid="{74A90815-07CA-47A8-ABEF-24BCCA42219F}"/>
    <cellStyle name="Märkus 10 6" xfId="5909" xr:uid="{C353B2AD-D9A1-456A-890A-443F88144923}"/>
    <cellStyle name="Märkus 10 6 2" xfId="18870" xr:uid="{2741522A-40BB-4501-9B5D-BA72B88B1AC6}"/>
    <cellStyle name="Märkus 10 7" xfId="18861" xr:uid="{068166D8-5799-4EFC-AE79-9E413F65607F}"/>
    <cellStyle name="Märkus 11" xfId="5910" xr:uid="{3DD3F010-AD32-4FDD-AFC8-32CBF1079C07}"/>
    <cellStyle name="Märkus 11 2" xfId="5911" xr:uid="{79E13B67-7735-447B-BEC8-C3046B50713D}"/>
    <cellStyle name="Märkus 11 2 2" xfId="5912" xr:uid="{F52D02F3-FB50-4F13-8B33-9E0EF991D9B7}"/>
    <cellStyle name="Märkus 11 2 2 2" xfId="18873" xr:uid="{DA3EB8E9-9B62-41A8-B154-2C309B7EDF11}"/>
    <cellStyle name="Märkus 11 2 3" xfId="5913" xr:uid="{4AD177C5-982B-4A17-A2DE-16B857447AA9}"/>
    <cellStyle name="Märkus 11 2 3 2" xfId="18874" xr:uid="{7F53F922-D8C7-42AD-9808-657E62F7527F}"/>
    <cellStyle name="Märkus 11 2 4" xfId="5914" xr:uid="{53FC6C61-F37F-4846-9C5A-62E50DF876AA}"/>
    <cellStyle name="Märkus 11 2 4 2" xfId="18875" xr:uid="{3BA75198-3189-4F3C-9642-6941A005EC26}"/>
    <cellStyle name="Märkus 11 2 5" xfId="5915" xr:uid="{28576DC8-0E80-42A4-B8B4-8DB197F13982}"/>
    <cellStyle name="Märkus 11 2 5 2" xfId="18876" xr:uid="{F2A5A347-DFC6-43A4-8175-306E9E3EB210}"/>
    <cellStyle name="Märkus 11 2 6" xfId="18872" xr:uid="{CC4A3258-0B38-467E-971D-5288F4FBFD6A}"/>
    <cellStyle name="Märkus 11 3" xfId="5916" xr:uid="{3AAD8A09-BF7E-4AEE-9FD7-8412477A5999}"/>
    <cellStyle name="Märkus 11 3 2" xfId="18877" xr:uid="{C3326B97-31D7-461D-A9D5-A18178C3D5A7}"/>
    <cellStyle name="Märkus 11 4" xfId="5917" xr:uid="{378AEB33-A42D-457B-BB2A-3175E96FC10B}"/>
    <cellStyle name="Märkus 11 4 2" xfId="18878" xr:uid="{5F157F3D-C308-4866-9620-9520817EC486}"/>
    <cellStyle name="Märkus 11 5" xfId="5918" xr:uid="{0DB8D555-C3B1-4537-AD11-82D9A48C3845}"/>
    <cellStyle name="Märkus 11 5 2" xfId="18879" xr:uid="{D5727380-9973-4BBC-850F-824D374306DC}"/>
    <cellStyle name="Märkus 11 6" xfId="5919" xr:uid="{BCE40DC7-868C-477F-A2C1-77B1FA5B2AC4}"/>
    <cellStyle name="Märkus 11 6 2" xfId="18880" xr:uid="{7F3CAE6A-9404-400B-9263-C776A67DEA76}"/>
    <cellStyle name="Märkus 11 7" xfId="18871" xr:uid="{E17B0A9D-BDC9-4CA7-9CAD-96265840842D}"/>
    <cellStyle name="Märkus 12" xfId="5920" xr:uid="{1E24D3D7-9AFA-423C-9E5A-38064381763F}"/>
    <cellStyle name="Märkus 12 2" xfId="5921" xr:uid="{93E8524C-C181-4DD8-9274-11DEA123E985}"/>
    <cellStyle name="Märkus 12 2 2" xfId="5922" xr:uid="{DF437958-19C2-41F1-A183-1BC9F375E4A7}"/>
    <cellStyle name="Märkus 12 2 2 2" xfId="18883" xr:uid="{8B96324F-E89F-485D-8C35-A940A2C37630}"/>
    <cellStyle name="Märkus 12 2 3" xfId="5923" xr:uid="{BD7BCA11-B1C4-4F15-BF0B-BE85CC2A88A6}"/>
    <cellStyle name="Märkus 12 2 3 2" xfId="18884" xr:uid="{8F7954A6-FF4D-47FD-B8CA-271A48DB63DE}"/>
    <cellStyle name="Märkus 12 2 4" xfId="5924" xr:uid="{2F3AA651-872D-4704-808C-AA8D00BFCEF5}"/>
    <cellStyle name="Märkus 12 2 4 2" xfId="18885" xr:uid="{A7E8721B-5611-4ECE-89E4-36F4AC17A0F6}"/>
    <cellStyle name="Märkus 12 2 5" xfId="5925" xr:uid="{6F1A72AD-0A89-4EB5-927B-1CD3526121E1}"/>
    <cellStyle name="Märkus 12 2 5 2" xfId="18886" xr:uid="{D50C598D-B3F5-4C30-BF1D-2BFA93E019EC}"/>
    <cellStyle name="Märkus 12 2 6" xfId="18882" xr:uid="{33DFA599-EDFE-4B5F-8B14-BDD811D2784A}"/>
    <cellStyle name="Märkus 12 3" xfId="5926" xr:uid="{2650FC05-A740-4012-A75A-1283128B536E}"/>
    <cellStyle name="Märkus 12 3 2" xfId="18887" xr:uid="{6F4818A5-A4EC-4170-95B0-F0653FCDAA34}"/>
    <cellStyle name="Märkus 12 4" xfId="5927" xr:uid="{5C13A50D-503F-4ECA-ABB2-E76E7301D68F}"/>
    <cellStyle name="Märkus 12 4 2" xfId="18888" xr:uid="{81A43A6E-D417-43EF-9330-3F2660FB2300}"/>
    <cellStyle name="Märkus 12 5" xfId="5928" xr:uid="{BC3BC3A6-6B6C-49F5-9E80-5F689FD14EFC}"/>
    <cellStyle name="Märkus 12 5 2" xfId="18889" xr:uid="{E15561EB-D1B9-4FAC-A26E-060E04AC04A7}"/>
    <cellStyle name="Märkus 12 6" xfId="5929" xr:uid="{BA472C0D-5B4C-402E-98EA-867D11B048E7}"/>
    <cellStyle name="Märkus 12 6 2" xfId="18890" xr:uid="{8D976C5B-A9B7-40D9-9DA9-C9AAABB42482}"/>
    <cellStyle name="Märkus 12 7" xfId="18881" xr:uid="{3B424716-F432-4168-9B98-1B71BC0A32E1}"/>
    <cellStyle name="Märkus 13" xfId="5930" xr:uid="{22E937A7-9615-4FC8-840C-E79E38B2B484}"/>
    <cellStyle name="Märkus 13 2" xfId="5931" xr:uid="{FA5AF983-412A-4FAC-9FE9-C88D3704B85E}"/>
    <cellStyle name="Märkus 13 2 2" xfId="5932" xr:uid="{DDEB738F-F91A-4991-B299-FE2B33CD552C}"/>
    <cellStyle name="Märkus 13 2 2 2" xfId="18893" xr:uid="{63463016-984D-4A3E-8C46-816CA7CD6763}"/>
    <cellStyle name="Märkus 13 2 3" xfId="5933" xr:uid="{36A8E8BA-4652-4575-B155-C48D045B8344}"/>
    <cellStyle name="Märkus 13 2 3 2" xfId="18894" xr:uid="{3A7D8C9E-5817-4128-B54E-EE497DDC812B}"/>
    <cellStyle name="Märkus 13 2 4" xfId="5934" xr:uid="{A13F476D-1AC7-48B9-BBC4-125FC9B196F2}"/>
    <cellStyle name="Märkus 13 2 4 2" xfId="18895" xr:uid="{40D26BFD-02D3-41B7-AFF6-A966D078CB90}"/>
    <cellStyle name="Märkus 13 2 5" xfId="5935" xr:uid="{D83393A0-A7E5-42A4-B212-8746F1851023}"/>
    <cellStyle name="Märkus 13 2 5 2" xfId="18896" xr:uid="{3F5DFB88-355B-42B9-8209-54C0D036E1C7}"/>
    <cellStyle name="Märkus 13 2 6" xfId="18892" xr:uid="{726B79A7-9F67-4A05-BD1D-D9BFD170FEA9}"/>
    <cellStyle name="Märkus 13 3" xfId="5936" xr:uid="{7B134E3D-4A77-448D-A2EC-E6FFA12664EE}"/>
    <cellStyle name="Märkus 13 3 2" xfId="18897" xr:uid="{0B54C929-133B-44C6-A494-1380B48507D1}"/>
    <cellStyle name="Märkus 13 4" xfId="5937" xr:uid="{5C960CB2-357F-4473-BFA2-88767FE4A3CB}"/>
    <cellStyle name="Märkus 13 4 2" xfId="18898" xr:uid="{284BF6FF-1443-4DC3-A854-F07586CE177A}"/>
    <cellStyle name="Märkus 13 5" xfId="5938" xr:uid="{4B904C91-F34B-4B7C-9D68-A968B9E54D7B}"/>
    <cellStyle name="Märkus 13 5 2" xfId="18899" xr:uid="{7B79DFF3-7A71-46A0-AE9D-9657DE7542E8}"/>
    <cellStyle name="Märkus 13 6" xfId="5939" xr:uid="{5AE77D15-2880-484F-8C39-69EF17FF0537}"/>
    <cellStyle name="Märkus 13 6 2" xfId="18900" xr:uid="{0D206328-63FE-412B-BD0B-C8EBD947F009}"/>
    <cellStyle name="Märkus 13 7" xfId="18891" xr:uid="{53F13801-AD9C-4730-8D70-3E01769912E3}"/>
    <cellStyle name="Märkus 14" xfId="5940" xr:uid="{94E9DF14-70B3-44BB-9845-275A64D0188D}"/>
    <cellStyle name="Märkus 14 2" xfId="5941" xr:uid="{80691575-BA39-47AF-B33E-262E465A46B1}"/>
    <cellStyle name="Märkus 14 2 2" xfId="5942" xr:uid="{F1E860D9-D7B9-43EA-84B7-88E064172EFE}"/>
    <cellStyle name="Märkus 14 2 2 2" xfId="18903" xr:uid="{60D1C1EF-2ED3-41B4-BED3-D2053D7D0CFF}"/>
    <cellStyle name="Märkus 14 2 3" xfId="5943" xr:uid="{625D62FD-E0BB-4FD6-8402-CBEF80D0C7C1}"/>
    <cellStyle name="Märkus 14 2 3 2" xfId="18904" xr:uid="{5F137115-EDBD-4E6B-877A-11B3E5F38F36}"/>
    <cellStyle name="Märkus 14 2 4" xfId="5944" xr:uid="{391986E4-5E89-4581-B5A2-9B1A6C14FB29}"/>
    <cellStyle name="Märkus 14 2 4 2" xfId="18905" xr:uid="{97CB4C5A-21FB-4104-A628-8AE26D084022}"/>
    <cellStyle name="Märkus 14 2 5" xfId="5945" xr:uid="{0A98B557-1C68-4507-A5F7-4E936EC6C910}"/>
    <cellStyle name="Märkus 14 2 5 2" xfId="18906" xr:uid="{712FD504-BAA1-4BB0-8C57-30FCE65F98A3}"/>
    <cellStyle name="Märkus 14 2 6" xfId="18902" xr:uid="{E19F8346-BC73-484E-9831-F55CACBAD42E}"/>
    <cellStyle name="Märkus 14 3" xfId="5946" xr:uid="{9DB49939-6296-4449-981D-EB8EE53C757B}"/>
    <cellStyle name="Märkus 14 3 2" xfId="18907" xr:uid="{D4C4D231-3D39-4315-8E3A-187C7EC1CAF8}"/>
    <cellStyle name="Märkus 14 4" xfId="5947" xr:uid="{C5C88982-1F52-4982-8867-5D5C9328B377}"/>
    <cellStyle name="Märkus 14 4 2" xfId="18908" xr:uid="{83364446-528E-4398-AA17-647CDCC09403}"/>
    <cellStyle name="Märkus 14 5" xfId="5948" xr:uid="{6DB6721F-9EBE-43CB-8042-E330A098E499}"/>
    <cellStyle name="Märkus 14 5 2" xfId="18909" xr:uid="{6B73B7A4-984C-4F69-B457-EA4349AFF0DC}"/>
    <cellStyle name="Märkus 14 6" xfId="5949" xr:uid="{DE7D1485-21DE-4DE6-960F-5C61926FFEBA}"/>
    <cellStyle name="Märkus 14 6 2" xfId="18910" xr:uid="{1A16BDA7-8AEA-47C1-8464-E6CC380AE684}"/>
    <cellStyle name="Märkus 14 7" xfId="18901" xr:uid="{0C412F9F-B2FB-41A8-B676-AD815578F2B1}"/>
    <cellStyle name="Märkus 15" xfId="5950" xr:uid="{9B16C069-7760-46D8-94D4-358B4FFC2BD9}"/>
    <cellStyle name="Märkus 15 2" xfId="5951" xr:uid="{7D9F79AC-2319-4B80-9811-16418F1C1BB4}"/>
    <cellStyle name="Märkus 15 2 2" xfId="5952" xr:uid="{514F69BF-0D8E-46EE-8574-7B2F8B3A309B}"/>
    <cellStyle name="Märkus 15 2 2 2" xfId="18913" xr:uid="{8C13012F-4C71-4C7E-B717-CDF0B4DB51B3}"/>
    <cellStyle name="Märkus 15 2 3" xfId="5953" xr:uid="{4A5F9052-1BB0-447D-ADAF-9B5B1CE27896}"/>
    <cellStyle name="Märkus 15 2 3 2" xfId="18914" xr:uid="{F624E8DC-A995-4269-A6F2-8BEE3A899BD3}"/>
    <cellStyle name="Märkus 15 2 4" xfId="5954" xr:uid="{8CC1B7C0-5195-49E7-8A5E-DB77B801CE50}"/>
    <cellStyle name="Märkus 15 2 4 2" xfId="18915" xr:uid="{1091B285-776F-4569-94D6-89D6DF5FE6C1}"/>
    <cellStyle name="Märkus 15 2 5" xfId="5955" xr:uid="{D345FF7F-F47A-4072-B800-ABFDBF2BD70C}"/>
    <cellStyle name="Märkus 15 2 5 2" xfId="18916" xr:uid="{7109578F-4D8D-4B9D-B917-04675289A72D}"/>
    <cellStyle name="Märkus 15 2 6" xfId="18912" xr:uid="{C9D2AABB-204C-4A8C-86A1-B5FC83246849}"/>
    <cellStyle name="Märkus 15 3" xfId="5956" xr:uid="{576DD0AD-9CB1-4C9D-A0C5-96F2BA3507C5}"/>
    <cellStyle name="Märkus 15 3 2" xfId="18917" xr:uid="{1B29713A-22A7-4E00-98C4-4D7A0B1F50B8}"/>
    <cellStyle name="Märkus 15 4" xfId="5957" xr:uid="{F19B8299-D29F-4A53-B916-2999F19BC1E6}"/>
    <cellStyle name="Märkus 15 4 2" xfId="18918" xr:uid="{EB53E7A4-A3D7-410B-A118-28DD3757DF01}"/>
    <cellStyle name="Märkus 15 5" xfId="5958" xr:uid="{CB8D8354-B2D6-48A9-976C-8563B0A4D7EA}"/>
    <cellStyle name="Märkus 15 5 2" xfId="18919" xr:uid="{ABA0391C-EA50-491E-9B5A-E1BF2C5E165A}"/>
    <cellStyle name="Märkus 15 6" xfId="5959" xr:uid="{BDF8BED6-436D-4CA1-9F11-225FF672FC5E}"/>
    <cellStyle name="Märkus 15 6 2" xfId="18920" xr:uid="{32ECD164-D4D7-402C-A6A2-6B5CEF2E2275}"/>
    <cellStyle name="Märkus 15 7" xfId="18911" xr:uid="{B59F3D07-72CB-48BA-860D-DBC2B916F9DA}"/>
    <cellStyle name="Märkus 16" xfId="5960" xr:uid="{AA06BA02-A052-43E2-A1A7-0C266B6C1FC1}"/>
    <cellStyle name="Märkus 16 2" xfId="5961" xr:uid="{2C9805E6-1158-40D4-8B51-26666D572777}"/>
    <cellStyle name="Märkus 16 2 2" xfId="5962" xr:uid="{19002912-12B0-4DD2-B988-9683F2E86391}"/>
    <cellStyle name="Märkus 16 2 2 2" xfId="18923" xr:uid="{6E9E836B-0588-4C6B-9DBC-B15D74672654}"/>
    <cellStyle name="Märkus 16 2 3" xfId="5963" xr:uid="{52DC453F-A719-4146-851D-FC0538C06B49}"/>
    <cellStyle name="Märkus 16 2 3 2" xfId="18924" xr:uid="{A9C29AF8-1460-45B5-B9A9-62DA43C743D7}"/>
    <cellStyle name="Märkus 16 2 4" xfId="5964" xr:uid="{BB04142E-2489-40C7-86CB-33F98A8979BA}"/>
    <cellStyle name="Märkus 16 2 4 2" xfId="18925" xr:uid="{494A4123-676A-43AE-94A6-5303D7B2226D}"/>
    <cellStyle name="Märkus 16 2 5" xfId="5965" xr:uid="{03E9C7D1-1FA1-40AC-B53C-E315A1A6A58E}"/>
    <cellStyle name="Märkus 16 2 5 2" xfId="18926" xr:uid="{AD8921A6-7397-4EE0-A13E-B72C522A9C95}"/>
    <cellStyle name="Märkus 16 2 6" xfId="18922" xr:uid="{D7F72E9B-83F0-49FD-9198-4D30C1B18143}"/>
    <cellStyle name="Märkus 16 3" xfId="5966" xr:uid="{F09AD130-4687-438F-A4C9-F5C460FC6AAF}"/>
    <cellStyle name="Märkus 16 3 2" xfId="18927" xr:uid="{CD8A778D-8203-4E29-8E73-1EDD7613D9A3}"/>
    <cellStyle name="Märkus 16 4" xfId="5967" xr:uid="{E33A5B18-07A4-45CE-A910-A956B15A700C}"/>
    <cellStyle name="Märkus 16 4 2" xfId="18928" xr:uid="{6BF75A8D-620A-4AF6-819F-629F8178CCE1}"/>
    <cellStyle name="Märkus 16 5" xfId="5968" xr:uid="{BC4022A7-F982-4CA5-B936-70D45D8F18EC}"/>
    <cellStyle name="Märkus 16 5 2" xfId="18929" xr:uid="{66565D8E-2360-45B6-8E65-4CA49EFD9B31}"/>
    <cellStyle name="Märkus 16 6" xfId="5969" xr:uid="{A8EA1063-5E9E-4310-BA66-B27E4C157054}"/>
    <cellStyle name="Märkus 16 6 2" xfId="18930" xr:uid="{FA3D8D53-5BE5-48D6-8995-C23E130CF94C}"/>
    <cellStyle name="Märkus 16 7" xfId="18921" xr:uid="{85DA0916-143B-45F0-AFBE-C10709656BC1}"/>
    <cellStyle name="Märkus 17" xfId="5970" xr:uid="{0BDCBB38-6347-4369-BA83-99FD86E9E4AD}"/>
    <cellStyle name="Märkus 17 2" xfId="5971" xr:uid="{CA396817-5D28-4531-8F52-A0862BA94619}"/>
    <cellStyle name="Märkus 17 2 2" xfId="5972" xr:uid="{35C60672-66F0-46D7-95F4-CA61B194FAF5}"/>
    <cellStyle name="Märkus 17 2 2 2" xfId="18933" xr:uid="{19522438-124C-452D-9667-6D7A5664C207}"/>
    <cellStyle name="Märkus 17 2 3" xfId="5973" xr:uid="{5C02520F-C24C-444A-B03A-1D8ED4C82637}"/>
    <cellStyle name="Märkus 17 2 3 2" xfId="18934" xr:uid="{CAE5BD17-C2D0-42AC-81CF-7508D9FA50CA}"/>
    <cellStyle name="Märkus 17 2 4" xfId="5974" xr:uid="{C8C706E2-1E43-431D-BA31-8245C95D0575}"/>
    <cellStyle name="Märkus 17 2 4 2" xfId="18935" xr:uid="{E2470A6A-47BE-442C-99A1-378EDD995ECE}"/>
    <cellStyle name="Märkus 17 2 5" xfId="5975" xr:uid="{4C448F45-DF73-4296-83B3-3DBF6C21BE3D}"/>
    <cellStyle name="Märkus 17 2 5 2" xfId="18936" xr:uid="{347BAFD2-DE74-4ADA-AB8D-00403F19C410}"/>
    <cellStyle name="Märkus 17 2 6" xfId="18932" xr:uid="{18B0ABB8-8FDD-4BDA-8345-7390FB0A65B6}"/>
    <cellStyle name="Märkus 17 3" xfId="5976" xr:uid="{561AA7EC-07E8-40C2-9602-BE1A495984BE}"/>
    <cellStyle name="Märkus 17 3 2" xfId="18937" xr:uid="{AA0D8CCD-A9C7-486C-9723-3F7A498B1A8C}"/>
    <cellStyle name="Märkus 17 4" xfId="5977" xr:uid="{4CBDFCC3-FFCF-47D8-8B39-C122D0138B28}"/>
    <cellStyle name="Märkus 17 4 2" xfId="18938" xr:uid="{DB2C3520-E702-4CA7-BB7E-A97729C025FF}"/>
    <cellStyle name="Märkus 17 5" xfId="5978" xr:uid="{D7D7BC3B-3607-4177-B777-2ABF7DAB2260}"/>
    <cellStyle name="Märkus 17 5 2" xfId="18939" xr:uid="{8111024C-3639-4110-95BB-9C5AF87E35C2}"/>
    <cellStyle name="Märkus 17 6" xfId="5979" xr:uid="{21E0A73E-3D27-4602-8FBA-7CB0835D06AA}"/>
    <cellStyle name="Märkus 17 6 2" xfId="18940" xr:uid="{60AAEB31-C9D7-4242-B9FC-094042BAFE76}"/>
    <cellStyle name="Märkus 17 7" xfId="18931" xr:uid="{EF8AFC34-C483-4784-B065-F8289CE1AF9B}"/>
    <cellStyle name="Märkus 18" xfId="5980" xr:uid="{7BF7C44B-917C-45CA-B049-7F103DD80533}"/>
    <cellStyle name="Märkus 18 2" xfId="5981" xr:uid="{E1E511E6-812D-4275-9C89-09E8DA9FA28D}"/>
    <cellStyle name="Märkus 18 2 2" xfId="5982" xr:uid="{0F52C183-D6EC-45B3-A06A-18DA1AA5D676}"/>
    <cellStyle name="Märkus 18 2 2 2" xfId="18943" xr:uid="{6E17108E-1B7F-44F6-BC2E-C3CA3A2AD4DE}"/>
    <cellStyle name="Märkus 18 2 3" xfId="5983" xr:uid="{31F08691-BF58-48F3-99FE-0D14020C81A9}"/>
    <cellStyle name="Märkus 18 2 3 2" xfId="18944" xr:uid="{FA0BC5A3-D86C-49CE-9CBB-814438B905A8}"/>
    <cellStyle name="Märkus 18 2 4" xfId="5984" xr:uid="{42A0EE2A-3EA5-41BC-BB91-FF3DE112D8E3}"/>
    <cellStyle name="Märkus 18 2 4 2" xfId="18945" xr:uid="{E9775A1E-3C5E-48B9-BE13-5F99A3E5DEB2}"/>
    <cellStyle name="Märkus 18 2 5" xfId="5985" xr:uid="{75DBC064-D1C3-4A57-A0DE-8B64539570E2}"/>
    <cellStyle name="Märkus 18 2 5 2" xfId="18946" xr:uid="{00383EFD-E74F-4270-A6A8-AE17EC00A7D6}"/>
    <cellStyle name="Märkus 18 2 6" xfId="18942" xr:uid="{8338334B-D073-47C1-83E4-8EFA06800071}"/>
    <cellStyle name="Märkus 18 3" xfId="5986" xr:uid="{FE31ABB9-17B5-402B-8BA8-8CCA493A45BB}"/>
    <cellStyle name="Märkus 18 3 2" xfId="18947" xr:uid="{36B6B920-B5A3-456E-BE6B-843E9C56638D}"/>
    <cellStyle name="Märkus 18 4" xfId="5987" xr:uid="{FBC55360-43F9-483E-9B0A-CC3E0BDF8CF9}"/>
    <cellStyle name="Märkus 18 4 2" xfId="18948" xr:uid="{183B7F18-3B69-4CBC-BACC-4960484D1078}"/>
    <cellStyle name="Märkus 18 5" xfId="5988" xr:uid="{9C5BF5A5-B862-4CBC-988D-F4D303158AB8}"/>
    <cellStyle name="Märkus 18 5 2" xfId="18949" xr:uid="{66A8D2A9-F215-44EF-BC7C-2BB663A277E4}"/>
    <cellStyle name="Märkus 18 6" xfId="5989" xr:uid="{E3D45404-C799-454C-8C5B-E9C3299F5900}"/>
    <cellStyle name="Märkus 18 6 2" xfId="18950" xr:uid="{EB57EB6B-50B5-474E-BCEE-591A28F28B60}"/>
    <cellStyle name="Märkus 18 7" xfId="18941" xr:uid="{502CCB96-9A35-4DAB-9267-26503B762F36}"/>
    <cellStyle name="Märkus 19" xfId="5990" xr:uid="{D54BE173-CE75-4738-A634-D048C29DC9E2}"/>
    <cellStyle name="Märkus 19 2" xfId="5991" xr:uid="{526F72EE-DEE3-45FC-BF6F-3540248E1622}"/>
    <cellStyle name="Märkus 19 2 2" xfId="18952" xr:uid="{4D80770E-149A-406A-970B-F240F4F0BFBC}"/>
    <cellStyle name="Märkus 19 3" xfId="5992" xr:uid="{7B15C583-C634-4167-BDE4-F6A8FF4DC513}"/>
    <cellStyle name="Märkus 19 3 2" xfId="18953" xr:uid="{75E1E93B-D227-4DEF-98CF-19CA49D7009D}"/>
    <cellStyle name="Märkus 19 4" xfId="5993" xr:uid="{EB7A2D35-FB46-42E0-861D-CAD2C7F0FD93}"/>
    <cellStyle name="Märkus 19 4 2" xfId="18954" xr:uid="{5B948DB5-54EC-48E9-A445-A2CCF14AB9AB}"/>
    <cellStyle name="Märkus 19 5" xfId="5994" xr:uid="{388E67D0-53A1-4619-A73B-0AFDC63A99B1}"/>
    <cellStyle name="Märkus 19 5 2" xfId="18955" xr:uid="{72D58A4E-F09D-4DB1-824A-A60A42018E70}"/>
    <cellStyle name="Märkus 19 6" xfId="18951" xr:uid="{89C5830A-3477-4764-BE7D-656F739F0CBF}"/>
    <cellStyle name="Märkus 2" xfId="5995" xr:uid="{680E3CF9-0A20-47CD-AA9E-4E2B76C2B404}"/>
    <cellStyle name="Märkus 2 2" xfId="5996" xr:uid="{7D841896-F87E-411F-B4BA-ABAC6660F1F6}"/>
    <cellStyle name="Märkus 2 2 2" xfId="5997" xr:uid="{5F0D0DAD-478E-4732-A10B-2947382B59A4}"/>
    <cellStyle name="Märkus 2 2 2 2" xfId="18958" xr:uid="{B21A7A55-E7FE-4DE6-B3E2-4CA306D63129}"/>
    <cellStyle name="Märkus 2 2 3" xfId="5998" xr:uid="{F451890C-FBD8-448D-8CCD-846D14085F35}"/>
    <cellStyle name="Märkus 2 2 3 2" xfId="18959" xr:uid="{42BF4DCA-6B68-41C5-9880-60E5101F64D9}"/>
    <cellStyle name="Märkus 2 2 4" xfId="5999" xr:uid="{C80D45C1-E497-45C7-83D8-BBD124CCE3AD}"/>
    <cellStyle name="Märkus 2 2 4 2" xfId="18960" xr:uid="{5D3066CE-4EAC-43DD-A260-707E15393180}"/>
    <cellStyle name="Märkus 2 2 5" xfId="6000" xr:uid="{30594D9C-7036-49CF-8F2F-2517C2A6FEBB}"/>
    <cellStyle name="Märkus 2 2 5 2" xfId="18961" xr:uid="{B6944ACA-22D6-4017-9FB7-3ABEF311FCE8}"/>
    <cellStyle name="Märkus 2 2 6" xfId="18957" xr:uid="{9A1F5550-D5EF-4AE3-A06A-C12059C872C7}"/>
    <cellStyle name="Märkus 2 3" xfId="6001" xr:uid="{FAE4AB63-D26F-4385-AE8E-1F768328D858}"/>
    <cellStyle name="Märkus 2 3 2" xfId="6002" xr:uid="{8B8B6B75-34BA-4673-A886-684269EC2BAE}"/>
    <cellStyle name="Märkus 2 3 2 2" xfId="18963" xr:uid="{62FD5C41-A2A2-4CD3-A041-ED38A82E0100}"/>
    <cellStyle name="Märkus 2 3 3" xfId="6003" xr:uid="{255E51FC-07EA-432C-91D7-96E3C7752778}"/>
    <cellStyle name="Märkus 2 3 3 2" xfId="18964" xr:uid="{13EECA8D-422E-483C-990B-97CC60EC8465}"/>
    <cellStyle name="Märkus 2 3 4" xfId="18962" xr:uid="{6B9ADF9F-5223-48A3-B23F-099AE1C2013C}"/>
    <cellStyle name="Märkus 2 4" xfId="6004" xr:uid="{4DB936CD-5815-446F-89E3-68323112D303}"/>
    <cellStyle name="Märkus 2 4 2" xfId="18965" xr:uid="{230A4CDA-14CA-463F-A9AD-68C79D55307E}"/>
    <cellStyle name="Märkus 2 5" xfId="6005" xr:uid="{73BFBA49-BD2B-4B46-801B-B5334E821CA1}"/>
    <cellStyle name="Märkus 2 5 2" xfId="18966" xr:uid="{857F8703-F0F4-4666-AD07-DFAF67625253}"/>
    <cellStyle name="Märkus 2 6" xfId="6006" xr:uid="{8E727DDE-B9C0-4D39-AC93-E30D1A3CD805}"/>
    <cellStyle name="Märkus 2 6 2" xfId="18967" xr:uid="{16ACF41F-8329-4E05-8AC1-201AABCB1299}"/>
    <cellStyle name="Märkus 2 7" xfId="6007" xr:uid="{65BBBDB6-0B3C-4936-8BC5-73EEC1CDD2CF}"/>
    <cellStyle name="Märkus 2 7 2" xfId="18968" xr:uid="{4235B07A-A243-4F37-B1B5-B8734F462A0D}"/>
    <cellStyle name="Märkus 2 8" xfId="15373" xr:uid="{17630D5D-2B64-4D93-B009-1C4346222F42}"/>
    <cellStyle name="Märkus 2 9" xfId="18956" xr:uid="{2EDD14CB-4823-4437-9747-2C6286710707}"/>
    <cellStyle name="Märkus 2_RP3 PP revised" xfId="15345" xr:uid="{7310065B-F86E-47F6-AD54-3BF9EC7FCD64}"/>
    <cellStyle name="Märkus 20" xfId="6008" xr:uid="{FDD55688-E8FA-4F43-9B86-67632C408951}"/>
    <cellStyle name="Märkus 20 2" xfId="6009" xr:uid="{D6E64342-73BC-4E1D-8694-BC67E9346D73}"/>
    <cellStyle name="Märkus 20 2 2" xfId="18970" xr:uid="{3E793AF1-8991-4D90-8DFE-56199C901D80}"/>
    <cellStyle name="Märkus 20 3" xfId="6010" xr:uid="{F013E27E-634C-42B7-AE1C-ECC44AB75D36}"/>
    <cellStyle name="Märkus 20 3 2" xfId="18971" xr:uid="{E38A4AAF-9B90-413E-8970-6CA12FA28E14}"/>
    <cellStyle name="Märkus 20 4" xfId="18969" xr:uid="{42342D64-53A1-4961-BAD4-99E6B12A4177}"/>
    <cellStyle name="Märkus 21" xfId="6011" xr:uid="{953EB419-74AF-407F-B25B-1D6503F4E3CE}"/>
    <cellStyle name="Märkus 21 2" xfId="18972" xr:uid="{E3134E0B-9D66-4512-B20E-664763575AD5}"/>
    <cellStyle name="Märkus 22" xfId="6012" xr:uid="{FEC62E3D-5DC9-4650-99A6-11A56A084A67}"/>
    <cellStyle name="Märkus 22 2" xfId="18973" xr:uid="{0393DDB3-C7CE-4941-8FD8-BF59D6F18FEB}"/>
    <cellStyle name="Märkus 23" xfId="6013" xr:uid="{072276F2-88ED-4952-BB90-895F32D33601}"/>
    <cellStyle name="Märkus 23 2" xfId="18974" xr:uid="{2E51D8B3-303F-4828-97D8-182E0BAAD20F}"/>
    <cellStyle name="Märkus 24" xfId="6014" xr:uid="{040C47F7-DB22-4E25-B21B-F4FD82EA0D7F}"/>
    <cellStyle name="Märkus 24 2" xfId="18975" xr:uid="{3DABFF83-A31E-4EAA-9ABA-775FB328D3EC}"/>
    <cellStyle name="Märkus 25" xfId="14981" xr:uid="{D3FDE48B-E929-4F79-8FF4-613FB021E979}"/>
    <cellStyle name="Märkus 3" xfId="6015" xr:uid="{7BB85881-EB0E-4A69-981B-062297809326}"/>
    <cellStyle name="Märkus 3 2" xfId="6016" xr:uid="{8BFFF762-A95D-4942-A1C0-7C997BC4E606}"/>
    <cellStyle name="Märkus 3 2 2" xfId="6017" xr:uid="{5D208D55-E77F-4E22-9FE9-1F8C91902EF9}"/>
    <cellStyle name="Märkus 3 2 2 2" xfId="18977" xr:uid="{829276C5-DE8A-48AC-AF5D-51FD1AC3FB06}"/>
    <cellStyle name="Märkus 3 2 3" xfId="6018" xr:uid="{7D3CF1A9-C133-4E71-A208-3EBA12FB7764}"/>
    <cellStyle name="Märkus 3 2 3 2" xfId="18978" xr:uid="{9E65DDD9-72FA-444B-B80E-1B000D2D3D23}"/>
    <cellStyle name="Märkus 3 2 4" xfId="6019" xr:uid="{22FE9DBE-EF5D-417F-85AF-8EE348308A10}"/>
    <cellStyle name="Märkus 3 2 4 2" xfId="18979" xr:uid="{E411AABD-F29A-47A3-9CEA-0230CD780DD9}"/>
    <cellStyle name="Märkus 3 2 5" xfId="6020" xr:uid="{2B37F567-237A-45C8-BD47-D5080D8FECDE}"/>
    <cellStyle name="Märkus 3 2 5 2" xfId="18980" xr:uid="{4F5B9B07-1CF6-4F95-A39C-3918E0FB7CAB}"/>
    <cellStyle name="Märkus 3 2 6" xfId="18976" xr:uid="{46270804-CBAD-4356-BE71-94AA5B402368}"/>
    <cellStyle name="Märkus 3 3" xfId="6021" xr:uid="{941E5A5D-00A1-4146-9361-9315A563B68D}"/>
    <cellStyle name="Märkus 3 3 2" xfId="18981" xr:uid="{9EBC6A28-0010-447B-8F8B-36C5E241F0FA}"/>
    <cellStyle name="Märkus 3 4" xfId="6022" xr:uid="{19C36C72-C1A4-45F8-A74D-3078A4E16D3E}"/>
    <cellStyle name="Märkus 3 4 2" xfId="18982" xr:uid="{F4F9DDF5-3291-4F68-A505-D3D5111B3D10}"/>
    <cellStyle name="Märkus 3 5" xfId="6023" xr:uid="{1198554F-225B-470F-8048-3FB6BFA7825A}"/>
    <cellStyle name="Märkus 3 5 2" xfId="18983" xr:uid="{338057C0-0B4A-4605-BDB1-660EFD45BD83}"/>
    <cellStyle name="Märkus 3 6" xfId="6024" xr:uid="{C4A8D560-3826-47B6-93E5-44397C201F23}"/>
    <cellStyle name="Märkus 3 6 2" xfId="18984" xr:uid="{1228EA82-595F-4D61-AEFE-2389FE72F464}"/>
    <cellStyle name="Märkus 3 7" xfId="15374" xr:uid="{4601EDEB-3DBC-44BD-9551-219AF226AA3A}"/>
    <cellStyle name="Märkus 3_RP3 PP revised" xfId="15142" xr:uid="{6EB67412-2174-44CD-91BE-DC6B3E5B1BEB}"/>
    <cellStyle name="Märkus 4" xfId="6025" xr:uid="{AEA0E69D-9128-46DB-AFE2-F3BCB4E713BB}"/>
    <cellStyle name="Märkus 4 2" xfId="6026" xr:uid="{7C6435C4-2D57-4915-B413-04735BAF3ABF}"/>
    <cellStyle name="Märkus 4 2 2" xfId="6027" xr:uid="{629A781E-AE84-44A2-A091-4A5D502D7230}"/>
    <cellStyle name="Märkus 4 2 2 2" xfId="18987" xr:uid="{6969FD05-0770-46B9-88E0-DC95FFAA625C}"/>
    <cellStyle name="Märkus 4 2 3" xfId="6028" xr:uid="{691E83FE-4B3E-4C67-951A-8D53E9B04290}"/>
    <cellStyle name="Märkus 4 2 3 2" xfId="18988" xr:uid="{17EE7FF0-7B43-450F-B093-415AC188041A}"/>
    <cellStyle name="Märkus 4 2 4" xfId="6029" xr:uid="{C684ADB9-6C75-4D91-992D-4DB1F7C1A1D7}"/>
    <cellStyle name="Märkus 4 2 4 2" xfId="18989" xr:uid="{A949F386-3170-4E26-8678-8AEEB5BF1CEA}"/>
    <cellStyle name="Märkus 4 2 5" xfId="6030" xr:uid="{4AB865D6-C3FE-4A12-A7F2-90A90D320E08}"/>
    <cellStyle name="Märkus 4 2 5 2" xfId="18990" xr:uid="{EA7D54D2-563F-4D30-A30E-3FBE26237D79}"/>
    <cellStyle name="Märkus 4 2 6" xfId="18986" xr:uid="{9AD131FB-0149-490C-9D21-7081CD7A7AA2}"/>
    <cellStyle name="Märkus 4 3" xfId="6031" xr:uid="{E29067AA-0986-4C01-800C-716341009EFE}"/>
    <cellStyle name="Märkus 4 3 2" xfId="18991" xr:uid="{EAF40E84-2B28-4DB8-8509-6177E94E9C8A}"/>
    <cellStyle name="Märkus 4 4" xfId="6032" xr:uid="{A15ADC40-812D-478E-A5CF-7D125A9F0BD4}"/>
    <cellStyle name="Märkus 4 4 2" xfId="18992" xr:uid="{B89349AD-A580-45D4-99D9-D65DCF424F1D}"/>
    <cellStyle name="Märkus 4 5" xfId="6033" xr:uid="{38981FE2-EAD4-4333-BED8-4CF646CD72B8}"/>
    <cellStyle name="Märkus 4 5 2" xfId="18993" xr:uid="{DE3B3021-CDE4-43E9-9633-0C746E6C0C38}"/>
    <cellStyle name="Märkus 4 6" xfId="6034" xr:uid="{E3C67F0F-4FF9-4C0D-9366-3E605F8F4376}"/>
    <cellStyle name="Märkus 4 6 2" xfId="18994" xr:uid="{62B6FF45-34D8-4DD6-A1C9-E03E3D72754C}"/>
    <cellStyle name="Märkus 4 7" xfId="18985" xr:uid="{D327A01B-75D6-4549-B767-A8DFE0E414A6}"/>
    <cellStyle name="Märkus 5" xfId="6035" xr:uid="{DC6ED42B-3206-4308-8F39-1F5F53ECFD25}"/>
    <cellStyle name="Märkus 5 2" xfId="6036" xr:uid="{6294D6C2-11F6-4DFE-9A53-5EB49F2431E2}"/>
    <cellStyle name="Märkus 5 2 2" xfId="6037" xr:uid="{53B72F7C-958C-4429-B35B-BE36A9EFEE95}"/>
    <cellStyle name="Märkus 5 2 2 2" xfId="18997" xr:uid="{626B6E4F-BCA4-4CB9-BAC8-9F8F37A13335}"/>
    <cellStyle name="Märkus 5 2 3" xfId="6038" xr:uid="{F8F143B9-B9BD-47ED-B5CF-DAD5273A766A}"/>
    <cellStyle name="Märkus 5 2 3 2" xfId="18998" xr:uid="{376CA3E4-9EF0-495E-BDF3-59A2C73176FF}"/>
    <cellStyle name="Märkus 5 2 4" xfId="6039" xr:uid="{E100D96F-2D23-4B7A-8A8F-F815B63F66D2}"/>
    <cellStyle name="Märkus 5 2 4 2" xfId="18999" xr:uid="{FEBB45EE-9A7E-46E3-B385-63B271088427}"/>
    <cellStyle name="Märkus 5 2 5" xfId="6040" xr:uid="{E088B30C-3262-4A7B-9B6F-FCC24361A198}"/>
    <cellStyle name="Märkus 5 2 5 2" xfId="19000" xr:uid="{0B23F210-1FB4-44F6-A1CE-0DFD42438ACF}"/>
    <cellStyle name="Märkus 5 2 6" xfId="18996" xr:uid="{73D844F3-2AA4-4378-835A-7B1163107830}"/>
    <cellStyle name="Märkus 5 3" xfId="6041" xr:uid="{019048D7-9E2B-4E58-AEAC-E48C8D06AFD9}"/>
    <cellStyle name="Märkus 5 3 2" xfId="19001" xr:uid="{D740BF4D-7322-40F7-BDE5-5CCCD85C440A}"/>
    <cellStyle name="Märkus 5 4" xfId="6042" xr:uid="{EF2A237A-3991-400E-ADDE-8A946B022B51}"/>
    <cellStyle name="Märkus 5 4 2" xfId="19002" xr:uid="{D86DDAAB-5998-4277-B8B0-2E48033DFF47}"/>
    <cellStyle name="Märkus 5 5" xfId="6043" xr:uid="{3B50CB94-5303-4A10-A1DF-DD45554A38A1}"/>
    <cellStyle name="Märkus 5 5 2" xfId="19003" xr:uid="{F784ED74-24D4-41A5-9411-0131750A6F99}"/>
    <cellStyle name="Märkus 5 6" xfId="6044" xr:uid="{97502B2D-30FD-4AD6-A493-693CA9286C80}"/>
    <cellStyle name="Märkus 5 6 2" xfId="19004" xr:uid="{419244A6-AFE6-4339-8916-26D2B4934C5B}"/>
    <cellStyle name="Märkus 5 7" xfId="18995" xr:uid="{F702F713-4E4F-4AB7-987E-DA5159024BE6}"/>
    <cellStyle name="Märkus 6" xfId="6045" xr:uid="{6471FD6A-1499-45EE-AFD4-8CEF0B173C29}"/>
    <cellStyle name="Märkus 6 2" xfId="6046" xr:uid="{42E878E1-5966-4A00-AB88-7CD77DD1A10C}"/>
    <cellStyle name="Märkus 6 2 2" xfId="6047" xr:uid="{3776BA51-F3AB-4736-B60B-98AA7D7A4C56}"/>
    <cellStyle name="Märkus 6 2 2 2" xfId="19007" xr:uid="{48B08A7F-248D-49AD-87B5-BC3EB72BE968}"/>
    <cellStyle name="Märkus 6 2 3" xfId="6048" xr:uid="{14D32A9B-A28A-4D3B-AF74-A62D13EB9FFF}"/>
    <cellStyle name="Märkus 6 2 3 2" xfId="19008" xr:uid="{F55710C1-2CD3-43DC-B094-9CD87A85CD3F}"/>
    <cellStyle name="Märkus 6 2 4" xfId="6049" xr:uid="{44CA2C5E-4A34-4D2A-97E8-A74DDDD07A2F}"/>
    <cellStyle name="Märkus 6 2 4 2" xfId="19009" xr:uid="{1A2B2F5B-19D3-45B8-8394-E2A2B1372ABB}"/>
    <cellStyle name="Märkus 6 2 5" xfId="6050" xr:uid="{C492D270-20CD-40E2-82B2-C7B1AF916752}"/>
    <cellStyle name="Märkus 6 2 5 2" xfId="19010" xr:uid="{313ED46C-0FCE-4D2F-9053-326A8F61A168}"/>
    <cellStyle name="Märkus 6 2 6" xfId="19006" xr:uid="{AB80F478-EADD-43AE-B75C-C524E99E71DF}"/>
    <cellStyle name="Märkus 6 3" xfId="6051" xr:uid="{76A9B86D-33D2-4485-A9E1-1C959520499B}"/>
    <cellStyle name="Märkus 6 3 2" xfId="19011" xr:uid="{484C7783-A277-4D40-B550-C983AB119B13}"/>
    <cellStyle name="Märkus 6 4" xfId="6052" xr:uid="{0968D11C-694C-4812-B6A4-19CF0776E963}"/>
    <cellStyle name="Märkus 6 4 2" xfId="19012" xr:uid="{6CA3C16A-5213-45D8-B383-BF2A3D9DF12E}"/>
    <cellStyle name="Märkus 6 5" xfId="6053" xr:uid="{2540910C-F353-4E2D-87D5-2277C0EE8546}"/>
    <cellStyle name="Märkus 6 5 2" xfId="19013" xr:uid="{31914E86-B19B-4F1B-A2A3-E92750227CF6}"/>
    <cellStyle name="Märkus 6 6" xfId="6054" xr:uid="{B3E7C420-67D4-4316-889C-3A93A3417829}"/>
    <cellStyle name="Märkus 6 6 2" xfId="19014" xr:uid="{E85C8C0E-FFE5-4077-8448-BA9FAF6E6C2D}"/>
    <cellStyle name="Märkus 6 7" xfId="19005" xr:uid="{08A5B8C3-609F-4353-A223-F20C70BAC523}"/>
    <cellStyle name="Märkus 7" xfId="6055" xr:uid="{7AA6F6B1-7E0B-4C1E-9D46-9B81AC8F6845}"/>
    <cellStyle name="Märkus 7 2" xfId="6056" xr:uid="{EEB49143-58E4-4849-BC13-41341245918A}"/>
    <cellStyle name="Märkus 7 2 2" xfId="6057" xr:uid="{EF5EF9CD-C22A-4A3F-B4A4-4C7C5C6EF175}"/>
    <cellStyle name="Märkus 7 2 2 2" xfId="19017" xr:uid="{69C19832-7FBD-4E8F-A674-2E67344DDEDB}"/>
    <cellStyle name="Märkus 7 2 3" xfId="6058" xr:uid="{16BEC660-8B0A-498A-875D-7B30D5864CED}"/>
    <cellStyle name="Märkus 7 2 3 2" xfId="19018" xr:uid="{67E358E3-CBFE-458C-A863-FD703083AEB2}"/>
    <cellStyle name="Märkus 7 2 4" xfId="6059" xr:uid="{BA8E950B-D778-4E2A-B43A-A573674F140A}"/>
    <cellStyle name="Märkus 7 2 4 2" xfId="19019" xr:uid="{F7626E17-234A-43E9-BECB-1A28D0BE1DC1}"/>
    <cellStyle name="Märkus 7 2 5" xfId="6060" xr:uid="{ED44AE8E-2629-4945-AF52-D8DEBEF9F22B}"/>
    <cellStyle name="Märkus 7 2 5 2" xfId="19020" xr:uid="{AC36A2F0-7D3E-482C-AADF-79C7665D7627}"/>
    <cellStyle name="Märkus 7 2 6" xfId="19016" xr:uid="{146E98EF-F326-4EBF-AB44-0609CE48AF83}"/>
    <cellStyle name="Märkus 7 3" xfId="6061" xr:uid="{18975890-1332-401E-867B-E845653062FD}"/>
    <cellStyle name="Märkus 7 3 2" xfId="19021" xr:uid="{DAE5ED06-8E8A-43EF-9620-91AE069B7720}"/>
    <cellStyle name="Märkus 7 4" xfId="6062" xr:uid="{A1EFD1D7-E0D5-45E5-A3D2-E76B4FB93487}"/>
    <cellStyle name="Märkus 7 4 2" xfId="19022" xr:uid="{B37BB68F-D5E3-4533-8468-AE2FE07D53CD}"/>
    <cellStyle name="Märkus 7 5" xfId="6063" xr:uid="{BFADB652-6542-451C-BFBB-11F7E164B581}"/>
    <cellStyle name="Märkus 7 5 2" xfId="19023" xr:uid="{8E14DA02-9F7B-44BC-92F8-CAFA2A6EE2C0}"/>
    <cellStyle name="Märkus 7 6" xfId="6064" xr:uid="{F7581D6B-06F6-4EFE-BABF-DEB0D01DFE6C}"/>
    <cellStyle name="Märkus 7 6 2" xfId="19024" xr:uid="{729E249D-D366-4255-8145-61ED4BD145F3}"/>
    <cellStyle name="Märkus 7 7" xfId="19015" xr:uid="{211C7A69-6EE1-4228-88E7-5F7C923AA9A4}"/>
    <cellStyle name="Märkus 8" xfId="6065" xr:uid="{B090E493-5EA6-4D60-8BDF-EFBE843F4366}"/>
    <cellStyle name="Märkus 8 2" xfId="6066" xr:uid="{9A644C29-FD83-4C37-A7BA-C8E4CE173B15}"/>
    <cellStyle name="Märkus 8 2 2" xfId="6067" xr:uid="{1E278DA2-6BA9-476F-8625-18BA54FF4475}"/>
    <cellStyle name="Märkus 8 2 2 2" xfId="19027" xr:uid="{D06AEC1D-AAE9-484D-B9E8-429D1C379116}"/>
    <cellStyle name="Märkus 8 2 3" xfId="6068" xr:uid="{0B87DC57-B56B-4987-9483-F9E98AA32DDE}"/>
    <cellStyle name="Märkus 8 2 3 2" xfId="19028" xr:uid="{2EC7D9AD-E995-40C3-99FF-44512FF634B3}"/>
    <cellStyle name="Märkus 8 2 4" xfId="6069" xr:uid="{317F8DD2-D057-45D5-B621-FCFFCF5DD4B3}"/>
    <cellStyle name="Märkus 8 2 4 2" xfId="19029" xr:uid="{3D71C4BA-6667-406D-88F7-BC4EF84487CE}"/>
    <cellStyle name="Märkus 8 2 5" xfId="6070" xr:uid="{B815826F-6C69-4E19-BABF-DC50F13DD170}"/>
    <cellStyle name="Märkus 8 2 5 2" xfId="19030" xr:uid="{FB63A8D4-ADDD-47FD-BF23-57EE420DA7EF}"/>
    <cellStyle name="Märkus 8 2 6" xfId="19026" xr:uid="{033CE4D5-4F33-44CA-AA51-52103B901DD7}"/>
    <cellStyle name="Märkus 8 3" xfId="6071" xr:uid="{FFA3FDB2-58C8-457B-9521-C87378D6767F}"/>
    <cellStyle name="Märkus 8 3 2" xfId="19031" xr:uid="{3BAEB03D-29B1-4186-9E6C-A88F18986C31}"/>
    <cellStyle name="Märkus 8 4" xfId="6072" xr:uid="{9D55BBCF-F64E-4F45-8156-035C68928679}"/>
    <cellStyle name="Märkus 8 4 2" xfId="19032" xr:uid="{95152375-8960-48C5-AFC2-F09D53C8F412}"/>
    <cellStyle name="Märkus 8 5" xfId="6073" xr:uid="{58252928-25B3-4078-9C70-9146F8FA64D8}"/>
    <cellStyle name="Märkus 8 5 2" xfId="19033" xr:uid="{B837EAB8-CD72-4B41-BBE7-BCB1C743211E}"/>
    <cellStyle name="Märkus 8 6" xfId="6074" xr:uid="{91517078-DE08-4813-A272-CE0305CE8053}"/>
    <cellStyle name="Märkus 8 6 2" xfId="19034" xr:uid="{E05521B7-E01C-4B17-BDCB-78F102B75C0D}"/>
    <cellStyle name="Märkus 8 7" xfId="19025" xr:uid="{B5DEEAC8-4947-446B-A5A7-0296A85F8996}"/>
    <cellStyle name="Märkus 9" xfId="6075" xr:uid="{FA34FFF0-3796-4B41-AF52-F0D9045AC1F3}"/>
    <cellStyle name="Märkus 9 2" xfId="6076" xr:uid="{85BA32D4-3D9A-40AB-94ED-FE268290DABE}"/>
    <cellStyle name="Märkus 9 2 2" xfId="6077" xr:uid="{B99E2882-3597-47B1-8F35-B1DA93493716}"/>
    <cellStyle name="Märkus 9 2 2 2" xfId="19037" xr:uid="{34B3963F-DE16-4081-AAFD-709793ACC92A}"/>
    <cellStyle name="Märkus 9 2 3" xfId="6078" xr:uid="{744148ED-C5D4-4D1F-8121-E991BEB12002}"/>
    <cellStyle name="Märkus 9 2 3 2" xfId="19038" xr:uid="{FF0ACEC1-D595-4560-85AB-501BFD57AA37}"/>
    <cellStyle name="Märkus 9 2 4" xfId="6079" xr:uid="{7331C2BC-C346-4961-9D12-D3F6BB64CB33}"/>
    <cellStyle name="Märkus 9 2 4 2" xfId="19039" xr:uid="{99994A2D-9E1D-4831-9184-DB670C819B5B}"/>
    <cellStyle name="Märkus 9 2 5" xfId="6080" xr:uid="{656F681A-A7E6-4185-A192-E9413D04EB9C}"/>
    <cellStyle name="Märkus 9 2 5 2" xfId="19040" xr:uid="{80659377-3B3A-4F24-A742-00637B38BA94}"/>
    <cellStyle name="Märkus 9 2 6" xfId="19036" xr:uid="{584621A6-022C-4964-A8BB-17DED8E39A0F}"/>
    <cellStyle name="Märkus 9 3" xfId="6081" xr:uid="{CD794E72-36DD-4DE5-B941-1D41172A603F}"/>
    <cellStyle name="Märkus 9 3 2" xfId="19041" xr:uid="{6521CF99-E9CA-4F60-A862-B66D6DE39F78}"/>
    <cellStyle name="Märkus 9 4" xfId="6082" xr:uid="{90B88797-CEDE-4428-8E4F-5BACD4E88C19}"/>
    <cellStyle name="Märkus 9 4 2" xfId="19042" xr:uid="{FFB15F56-D7C9-490E-9AFE-767FCEB6FD83}"/>
    <cellStyle name="Märkus 9 5" xfId="6083" xr:uid="{0D21D88D-D905-4029-99CB-B03EB133AE20}"/>
    <cellStyle name="Märkus 9 5 2" xfId="19043" xr:uid="{FD7A5633-D7EA-494F-8BD3-CD4EF29B6781}"/>
    <cellStyle name="Märkus 9 6" xfId="6084" xr:uid="{C1CE3F95-7E0E-47C7-A4C2-5AB6E5A07375}"/>
    <cellStyle name="Märkus 9 6 2" xfId="19044" xr:uid="{551E8EE8-8A5F-4FF0-8B1A-180B088D25DE}"/>
    <cellStyle name="Märkus 9 7" xfId="19035" xr:uid="{4DF7B32F-85B9-4CCE-B252-E3BFE71F38C3}"/>
    <cellStyle name="Märkus_RP3 PP revised" xfId="15143" xr:uid="{D93F4D82-59C5-420A-A07E-1F036E12A967}"/>
    <cellStyle name="Mary 1" xfId="6085" xr:uid="{49F48A45-3E06-498F-906A-7FF7720B809E}"/>
    <cellStyle name="Medium" xfId="6086" xr:uid="{9952CDAB-0F4E-444D-9E99-F75DCB73AB0E}"/>
    <cellStyle name="Message" xfId="6087" xr:uid="{65D41259-32EA-4FA0-ADA8-778511D4FB38}"/>
    <cellStyle name="Migliaia (0)_Brazil" xfId="6088" xr:uid="{E73CC0AF-1DAB-4D48-9726-195E6DF8524C}"/>
    <cellStyle name="Migliaia [0] 10" xfId="6089" xr:uid="{BE2143E3-948B-43F1-917A-8F83BE8C0A7D}"/>
    <cellStyle name="Migliaia [0] 10 2" xfId="6090" xr:uid="{42FFE707-2052-4FD9-9FE9-3725D8A2FE0B}"/>
    <cellStyle name="Migliaia [0] 10 2 2" xfId="19046" xr:uid="{BA0EC3E9-7DAA-45C2-9E9D-E3BEF87EBD7C}"/>
    <cellStyle name="Migliaia [0] 10 3" xfId="19045" xr:uid="{91A11FAA-4D87-490F-AC0B-D7EA1DB5F7C7}"/>
    <cellStyle name="Migliaia [0] 2" xfId="6091" xr:uid="{52DF9DD9-BDC3-43AC-A162-B1920ECF754A}"/>
    <cellStyle name="Migliaia [0] 2 2" xfId="6092" xr:uid="{48838204-A89C-4B46-B2F9-6F9E7564C76A}"/>
    <cellStyle name="Migliaia [0] 2 2 2" xfId="6093" xr:uid="{3339046C-9100-4974-AA9E-C1A3D2A0FCAB}"/>
    <cellStyle name="Migliaia [0] 2 2 2 2" xfId="6094" xr:uid="{E4CCEDD5-7CB1-4AF9-9625-E84E9679B289}"/>
    <cellStyle name="Migliaia [0] 2 2 2 2 2" xfId="19050" xr:uid="{6F4216D1-D08C-442A-97AB-46D74E70D2FE}"/>
    <cellStyle name="Migliaia [0] 2 2 2 3" xfId="15274" xr:uid="{384B023C-F7DF-4B59-92AD-598CF0AE28EC}"/>
    <cellStyle name="Migliaia [0] 2 2 2 3 2" xfId="25783" xr:uid="{6261CE43-7D49-4B40-A059-90BE21487625}"/>
    <cellStyle name="Migliaia [0] 2 2 2 4" xfId="19049" xr:uid="{4DA533CF-AFA6-45DF-9645-1349E2FB6612}"/>
    <cellStyle name="Migliaia [0] 2 2 3" xfId="6095" xr:uid="{BE91CEA1-22CB-48B0-B6A3-8A98ADDDC667}"/>
    <cellStyle name="Migliaia [0] 2 2 3 2" xfId="19051" xr:uid="{E873A7E8-9019-4537-93AA-3E6CBF1B5188}"/>
    <cellStyle name="Migliaia [0] 2 2 4" xfId="14983" xr:uid="{9CC8CFFD-20ED-4DCD-B051-18AEBE4EB7ED}"/>
    <cellStyle name="Migliaia [0] 2 2 5" xfId="19048" xr:uid="{51D03A72-5BED-431C-89B4-45246B8FF605}"/>
    <cellStyle name="Migliaia [0] 2 2_RP3 PP revised" xfId="15401" xr:uid="{1C5CC0D4-EC8F-4256-A5C2-68D42178BE2B}"/>
    <cellStyle name="Migliaia [0] 2 3" xfId="6096" xr:uid="{B8FF9896-D93F-42A5-9B84-20A818F443D8}"/>
    <cellStyle name="Migliaia [0] 2 3 2" xfId="6097" xr:uid="{749094A8-D4ED-4B69-A5C0-C9CF85203A8B}"/>
    <cellStyle name="Migliaia [0] 2 3 2 2" xfId="19053" xr:uid="{84B650F1-DAE9-46A0-840F-408B79DC90A7}"/>
    <cellStyle name="Migliaia [0] 2 3 3" xfId="15273" xr:uid="{9B59A72D-8185-4F6F-816B-72636D04BCAE}"/>
    <cellStyle name="Migliaia [0] 2 3 3 2" xfId="25782" xr:uid="{605C5F7C-C982-425D-AFE1-C8BA651ACAFB}"/>
    <cellStyle name="Migliaia [0] 2 3 4" xfId="19052" xr:uid="{5B0DFACD-1A4F-4745-8358-EA795CF1840D}"/>
    <cellStyle name="Migliaia [0] 2 4" xfId="6098" xr:uid="{F6698532-51B8-47C5-A7D8-392868B40386}"/>
    <cellStyle name="Migliaia [0] 2 4 2" xfId="19054" xr:uid="{68AC2B05-5550-447C-AA44-FC7005A7BA23}"/>
    <cellStyle name="Migliaia [0] 2 5" xfId="14982" xr:uid="{FE46D11A-4AFE-42B0-8884-5CBEE4D14291}"/>
    <cellStyle name="Migliaia [0] 2 6" xfId="19047" xr:uid="{EF1AC262-7D74-4980-B10F-4733AC275276}"/>
    <cellStyle name="Migliaia [0] 2 7" xfId="25830" xr:uid="{4C8F8835-0FF6-45C6-9CBF-AB0B4DC5B4F6}"/>
    <cellStyle name="Migliaia [0] 2_RP3 PP revised" xfId="15402" xr:uid="{C0AED465-997E-485C-B1A5-CAF727B81300}"/>
    <cellStyle name="Migliaia [0] 3" xfId="6099" xr:uid="{425936B1-9DE0-41E3-9356-029523C7CF19}"/>
    <cellStyle name="Migliaia [0] 3 2" xfId="6100" xr:uid="{282F9F60-E2DF-4139-A81B-7BD40F857565}"/>
    <cellStyle name="Migliaia [0] 3 2 2" xfId="6101" xr:uid="{F66B4F21-FCA8-4013-A015-0EBC03EC4ECC}"/>
    <cellStyle name="Migliaia [0] 3 2 2 2" xfId="6102" xr:uid="{383F448B-A89B-45E4-AC87-C153ED9C993F}"/>
    <cellStyle name="Migliaia [0] 3 2 2 2 2" xfId="19058" xr:uid="{00EF4D80-EAE7-495A-ABC0-18B09AF3819D}"/>
    <cellStyle name="Migliaia [0] 3 2 2 3" xfId="15276" xr:uid="{A55C4253-7F08-4654-AF2B-440261CA6039}"/>
    <cellStyle name="Migliaia [0] 3 2 2 3 2" xfId="25785" xr:uid="{7720302D-4710-4E7F-8D5D-6B24F6C78220}"/>
    <cellStyle name="Migliaia [0] 3 2 2 4" xfId="19057" xr:uid="{DD90B0EB-E15A-4437-9984-E9A8EE4C75FB}"/>
    <cellStyle name="Migliaia [0] 3 2 3" xfId="6103" xr:uid="{6579E626-72D9-4875-819F-582C741054AC}"/>
    <cellStyle name="Migliaia [0] 3 2 3 2" xfId="19059" xr:uid="{E0ED6B58-2A39-45FD-8DE2-A2933DF0126A}"/>
    <cellStyle name="Migliaia [0] 3 2 4" xfId="14985" xr:uid="{19797C97-BB7B-416D-9671-080CDAC29515}"/>
    <cellStyle name="Migliaia [0] 3 2 5" xfId="19056" xr:uid="{7F9FA9F8-A1FC-4AA8-B1DF-4D4D18140651}"/>
    <cellStyle name="Migliaia [0] 3 2_RP3 PP revised" xfId="15139" xr:uid="{9D94C060-7E72-4ED3-8056-250B6B36DFD2}"/>
    <cellStyle name="Migliaia [0] 3 3" xfId="6104" xr:uid="{3180C35E-29E3-4614-9D58-6052F0BA0BAE}"/>
    <cellStyle name="Migliaia [0] 3 3 2" xfId="6105" xr:uid="{C12FE1CB-2C35-47DB-9F77-4555A069F765}"/>
    <cellStyle name="Migliaia [0] 3 3 2 2" xfId="19061" xr:uid="{D731D1A7-A4F9-4A10-A36E-9ECFC58DB9D2}"/>
    <cellStyle name="Migliaia [0] 3 3 3" xfId="15275" xr:uid="{1D7E064B-7230-4DA4-9641-61AFE88D3746}"/>
    <cellStyle name="Migliaia [0] 3 3 3 2" xfId="25784" xr:uid="{DF439D68-31DD-4FE5-BFD7-591B01922434}"/>
    <cellStyle name="Migliaia [0] 3 3 4" xfId="19060" xr:uid="{8CAD3811-EE14-4619-88BA-36221BE9D1A4}"/>
    <cellStyle name="Migliaia [0] 3 4" xfId="6106" xr:uid="{DA683715-C743-4881-9BA4-6135B7495C1A}"/>
    <cellStyle name="Migliaia [0] 3 4 2" xfId="19062" xr:uid="{E584F542-EC4F-4046-B016-B9D1DC9C8AAC}"/>
    <cellStyle name="Migliaia [0] 3 5" xfId="14984" xr:uid="{EB4A5114-2A3D-4A11-A965-119C22DA8AF7}"/>
    <cellStyle name="Migliaia [0] 3 6" xfId="19055" xr:uid="{1BAB7A1E-DC30-4490-948E-2B4C7B089165}"/>
    <cellStyle name="Migliaia [0] 3_RP3 PP revised" xfId="15140" xr:uid="{3D215F85-F19B-4423-8E54-C8483FC33685}"/>
    <cellStyle name="Migliaia [0] 4" xfId="6107" xr:uid="{DE2AAE4A-206C-4D78-A0B9-7E6B94E790CE}"/>
    <cellStyle name="Migliaia [0] 4 2" xfId="6108" xr:uid="{9EF447B9-9BFE-4051-9785-D0458D283140}"/>
    <cellStyle name="Migliaia [0] 4 2 2" xfId="6109" xr:uid="{B46D426D-3442-42EC-A1A2-48B42E39186D}"/>
    <cellStyle name="Migliaia [0] 4 2 2 2" xfId="6110" xr:uid="{84EF4809-0ED8-4127-938F-855995FAF970}"/>
    <cellStyle name="Migliaia [0] 4 2 2 2 2" xfId="19066" xr:uid="{7FBB4920-30B7-42F5-828E-568107F389C6}"/>
    <cellStyle name="Migliaia [0] 4 2 2 3" xfId="15278" xr:uid="{034B49D7-D131-4D4C-ACC9-64474E25E898}"/>
    <cellStyle name="Migliaia [0] 4 2 2 3 2" xfId="25787" xr:uid="{D92BDB98-0385-4B3D-A087-8C9C3A2F238E}"/>
    <cellStyle name="Migliaia [0] 4 2 2 4" xfId="19065" xr:uid="{0A14E9FE-D4C3-4847-BBA1-90202735377E}"/>
    <cellStyle name="Migliaia [0] 4 2 3" xfId="6111" xr:uid="{9A63F5A9-151A-449D-B1A6-6AE4AE266656}"/>
    <cellStyle name="Migliaia [0] 4 2 3 2" xfId="19067" xr:uid="{D5FAF14E-FACB-4EB2-9A5A-B2B5CF3644EA}"/>
    <cellStyle name="Migliaia [0] 4 2 4" xfId="14987" xr:uid="{89FC8BF9-6111-4DF1-B231-90AE49348658}"/>
    <cellStyle name="Migliaia [0] 4 2 5" xfId="19064" xr:uid="{FCC1FD0B-E2AB-458E-9037-C8D011EFD335}"/>
    <cellStyle name="Migliaia [0] 4 2_RP3 PP revised" xfId="15136" xr:uid="{87171131-14B0-48EC-8187-8CA74E42199B}"/>
    <cellStyle name="Migliaia [0] 4 3" xfId="6112" xr:uid="{1F31241B-F570-4D82-8AF5-987E5BE0C14E}"/>
    <cellStyle name="Migliaia [0] 4 3 2" xfId="6113" xr:uid="{301A3644-BBB0-4DF8-916E-83AF64D7AABF}"/>
    <cellStyle name="Migliaia [0] 4 3 2 2" xfId="19069" xr:uid="{D7FE371F-01E4-4ABA-9B90-630D03168F3F}"/>
    <cellStyle name="Migliaia [0] 4 3 3" xfId="15277" xr:uid="{114A00CD-E9E6-49CB-A143-E6BEA0823064}"/>
    <cellStyle name="Migliaia [0] 4 3 3 2" xfId="25786" xr:uid="{2D217F17-5267-4A9B-A6EB-0A452A3CF062}"/>
    <cellStyle name="Migliaia [0] 4 3 4" xfId="19068" xr:uid="{8385A7B0-01F4-438A-8D2B-F9257636F41F}"/>
    <cellStyle name="Migliaia [0] 4 4" xfId="6114" xr:uid="{09A79FF8-A477-454E-9D1E-195F7BF59C5A}"/>
    <cellStyle name="Migliaia [0] 4 4 2" xfId="19070" xr:uid="{1CAB9B29-AAB3-46E6-8D4E-C10C9098A007}"/>
    <cellStyle name="Migliaia [0] 4 5" xfId="14986" xr:uid="{75F51065-C638-4D10-A767-DE78F0DCF3F7}"/>
    <cellStyle name="Migliaia [0] 4 6" xfId="19063" xr:uid="{96AD8F42-5BF6-4A47-959A-73B21232F989}"/>
    <cellStyle name="Migliaia [0] 4_RP3 PP revised" xfId="15138" xr:uid="{5D890CC6-74A3-4975-9EC4-A569587E891D}"/>
    <cellStyle name="Migliaia [0] 5" xfId="6115" xr:uid="{7916BB88-393B-48FD-B32A-A7D1C29AF231}"/>
    <cellStyle name="Migliaia [0] 5 2" xfId="6116" xr:uid="{9235F004-B960-4DC8-A698-94A3377E469B}"/>
    <cellStyle name="Migliaia [0] 5 2 2" xfId="6117" xr:uid="{4DFD78FE-47BE-4828-A366-8F4C476E7FFD}"/>
    <cellStyle name="Migliaia [0] 5 2 2 2" xfId="6118" xr:uid="{9910D4CB-75E0-4584-AA5F-469B66134F05}"/>
    <cellStyle name="Migliaia [0] 5 2 2 2 2" xfId="19074" xr:uid="{AB9364C7-5644-4434-82CD-86F21152E8CF}"/>
    <cellStyle name="Migliaia [0] 5 2 2 3" xfId="15280" xr:uid="{1CA361A7-BE88-417D-9DB0-00735087D504}"/>
    <cellStyle name="Migliaia [0] 5 2 2 3 2" xfId="25789" xr:uid="{05EF84EF-A94F-4F5D-AF3A-427CD247E785}"/>
    <cellStyle name="Migliaia [0] 5 2 2 4" xfId="19073" xr:uid="{FF1895D2-7AF9-4262-B41A-4A27EE86F17D}"/>
    <cellStyle name="Migliaia [0] 5 2 3" xfId="6119" xr:uid="{8B136A83-DD99-4376-A549-59D6287E9BA0}"/>
    <cellStyle name="Migliaia [0] 5 2 3 2" xfId="19075" xr:uid="{BE429670-C4AB-429B-8755-E78CD130915B}"/>
    <cellStyle name="Migliaia [0] 5 2 4" xfId="14989" xr:uid="{782254FA-3676-4FF6-941A-D549535B3279}"/>
    <cellStyle name="Migliaia [0] 5 2 5" xfId="19072" xr:uid="{3B9CA3AB-D0DD-40D3-8246-BA0B31EA5130}"/>
    <cellStyle name="Migliaia [0] 5 2_RP3 PP revised" xfId="15134" xr:uid="{8CCD86EE-F973-4BE4-87FE-E7EA503C44F5}"/>
    <cellStyle name="Migliaia [0] 5 3" xfId="6120" xr:uid="{E85721F8-DAF5-4C2E-B9C7-E0D0F8044FC6}"/>
    <cellStyle name="Migliaia [0] 5 3 2" xfId="6121" xr:uid="{645C1DE5-B124-40AD-9A90-F8C05DE9DF9E}"/>
    <cellStyle name="Migliaia [0] 5 3 2 2" xfId="19077" xr:uid="{7B103BAE-4304-43D8-A2F2-D44F80496D78}"/>
    <cellStyle name="Migliaia [0] 5 3 3" xfId="15279" xr:uid="{84DCDFCD-3C5B-4777-9D19-F598C810BAAD}"/>
    <cellStyle name="Migliaia [0] 5 3 3 2" xfId="25788" xr:uid="{76EE8D69-83B7-44FF-B08A-993D182B29A5}"/>
    <cellStyle name="Migliaia [0] 5 3 4" xfId="19076" xr:uid="{9A339BA0-6D0C-4FD0-AD01-E174D5567AEE}"/>
    <cellStyle name="Migliaia [0] 5 4" xfId="6122" xr:uid="{4E2D8F32-CF11-4EC3-B5F3-4C39FABBD479}"/>
    <cellStyle name="Migliaia [0] 5 4 2" xfId="19078" xr:uid="{268CD1A0-0466-402E-9890-0D3AA0FB3668}"/>
    <cellStyle name="Migliaia [0] 5 5" xfId="6123" xr:uid="{E10627EB-B09B-4189-8F75-DFEE19B99C10}"/>
    <cellStyle name="Migliaia [0] 5 5 2" xfId="19079" xr:uid="{81A9D858-FE8C-47A7-A95A-4A2633B259BC}"/>
    <cellStyle name="Migliaia [0] 5 6" xfId="14988" xr:uid="{A9805873-17AE-4332-B2B5-501F8EC76C26}"/>
    <cellStyle name="Migliaia [0] 5 7" xfId="19071" xr:uid="{6DE32571-F366-4E81-9A0A-FE4A1927E9C2}"/>
    <cellStyle name="Migliaia [0] 5 8" xfId="25831" xr:uid="{9742E3A2-7694-41F7-AFB6-B5CD4B1076AE}"/>
    <cellStyle name="Migliaia [0] 5_RP3 PP revised" xfId="15135" xr:uid="{3F681062-5D12-44B3-A692-CA2BA670797D}"/>
    <cellStyle name="Migliaia [0] 6" xfId="6124" xr:uid="{BE2A88D1-2D3F-4F77-A12B-340CA968784B}"/>
    <cellStyle name="Migliaia [0] 6 2" xfId="6125" xr:uid="{5750D7B9-70EC-4546-9224-BF18554D4EBD}"/>
    <cellStyle name="Migliaia [0] 6 2 2" xfId="6126" xr:uid="{0BC4AD70-2863-4E6E-A131-533E6C5EC1C1}"/>
    <cellStyle name="Migliaia [0] 6 2 2 2" xfId="6127" xr:uid="{7B1A7B67-B29C-4CF4-81DB-54E197F304D2}"/>
    <cellStyle name="Migliaia [0] 6 2 2 2 2" xfId="19083" xr:uid="{33BBD76A-8E08-4557-A256-3AEFF2071D1C}"/>
    <cellStyle name="Migliaia [0] 6 2 2 3" xfId="19082" xr:uid="{76D3A25B-AD0F-4067-813E-6556AAF0687A}"/>
    <cellStyle name="Migliaia [0] 6 2 3" xfId="6128" xr:uid="{1EDF7BFD-68B9-4E4F-83DA-DE433CC21814}"/>
    <cellStyle name="Migliaia [0] 6 2 3 2" xfId="19084" xr:uid="{2327359F-1E55-4B05-ABE8-2430A26DCB1F}"/>
    <cellStyle name="Migliaia [0] 6 2 4" xfId="15281" xr:uid="{90655D4C-EF23-43D9-AF6B-1E274180F626}"/>
    <cellStyle name="Migliaia [0] 6 2 4 2" xfId="25790" xr:uid="{A2CB6FE1-79C7-4A32-97AD-ECE124DCBF1F}"/>
    <cellStyle name="Migliaia [0] 6 2 5" xfId="19081" xr:uid="{8A80271B-5711-4916-BB0C-4152D83346D4}"/>
    <cellStyle name="Migliaia [0] 6 3" xfId="6129" xr:uid="{24EB93D1-514D-4854-9E0D-F9F87EE13AC2}"/>
    <cellStyle name="Migliaia [0] 6 3 2" xfId="6130" xr:uid="{08FC1716-86C1-46F0-980E-D633C2960719}"/>
    <cellStyle name="Migliaia [0] 6 3 2 2" xfId="19086" xr:uid="{CD3638F4-68ED-4B19-84C5-1171D6837974}"/>
    <cellStyle name="Migliaia [0] 6 3 3" xfId="19085" xr:uid="{96CF147A-0AE3-47F5-8874-54627F2F9CA7}"/>
    <cellStyle name="Migliaia [0] 6 4" xfId="6131" xr:uid="{F9CEEC72-ED0F-47E1-B7A6-2B36689FDFF0}"/>
    <cellStyle name="Migliaia [0] 6 4 2" xfId="19087" xr:uid="{E7B14BD5-77DB-4ADD-8713-EB41A6339EFB}"/>
    <cellStyle name="Migliaia [0] 6 5" xfId="6132" xr:uid="{EC68EF27-0E24-4B22-BEA1-A7C3162FD600}"/>
    <cellStyle name="Migliaia [0] 6 5 2" xfId="19088" xr:uid="{A5989C7A-D676-4A9B-A5DE-5ADD6E08F0F3}"/>
    <cellStyle name="Migliaia [0] 6 6" xfId="14990" xr:uid="{CA34510A-88C1-4F92-950E-D90D79C9C513}"/>
    <cellStyle name="Migliaia [0] 6 7" xfId="19080" xr:uid="{8F1C813F-467F-460F-ACEB-85CB33539C28}"/>
    <cellStyle name="Migliaia [0] 6_RP3 PP revised" xfId="15342" xr:uid="{93FD1450-9706-43FE-A363-782BD783F343}"/>
    <cellStyle name="Migliaia [0] 7" xfId="6133" xr:uid="{E3F67C5B-0710-4264-976C-B741E593F2FB}"/>
    <cellStyle name="Migliaia [0] 7 2" xfId="6134" xr:uid="{8E713B7B-1D85-4CF3-B94E-60FF0C0434FF}"/>
    <cellStyle name="Migliaia [0] 7 2 2" xfId="6135" xr:uid="{2862DB9A-118B-43CA-9E9E-1F97A85EFF99}"/>
    <cellStyle name="Migliaia [0] 7 2 2 2" xfId="19091" xr:uid="{EA16EC70-4D2F-4A03-A8BF-6C0BA8B2D4BC}"/>
    <cellStyle name="Migliaia [0] 7 2 3" xfId="15282" xr:uid="{F5A82F46-6B03-4A94-80BA-84DDE28D6A26}"/>
    <cellStyle name="Migliaia [0] 7 2 3 2" xfId="25791" xr:uid="{0A56E236-64C2-4C52-9C36-DF0C3D92C03C}"/>
    <cellStyle name="Migliaia [0] 7 2 4" xfId="19090" xr:uid="{4846C6A1-011A-4CBA-8445-4D79FADDF904}"/>
    <cellStyle name="Migliaia [0] 7 3" xfId="6136" xr:uid="{875FBA29-B400-4DE5-ABE0-ADD084895186}"/>
    <cellStyle name="Migliaia [0] 7 3 2" xfId="19092" xr:uid="{CD1EF395-06F8-4F2F-9377-A40600511D78}"/>
    <cellStyle name="Migliaia [0] 7 4" xfId="6137" xr:uid="{6846779D-A121-4DC8-8EA3-BBF03BF97CA1}"/>
    <cellStyle name="Migliaia [0] 7 4 2" xfId="19093" xr:uid="{BF037925-8D75-4F38-9311-8D4EE19F123E}"/>
    <cellStyle name="Migliaia [0] 7 5" xfId="14991" xr:uid="{D95460EB-B85D-469F-AAFB-7E4EE8893A45}"/>
    <cellStyle name="Migliaia [0] 7 6" xfId="19089" xr:uid="{DFC4C90D-2AC8-4392-AD01-C227C8C6383D}"/>
    <cellStyle name="Migliaia [0] 7_RP3 PP revised" xfId="15133" xr:uid="{A6900FA0-1821-4ACC-983F-CD4EAEF1AFF4}"/>
    <cellStyle name="Migliaia [0] 8" xfId="6138" xr:uid="{E280233E-B2C1-49AC-8BCB-396B7E2AAE01}"/>
    <cellStyle name="Migliaia [0] 8 2" xfId="6139" xr:uid="{ABD08A13-4F97-4573-8A80-C7AACD89A6C8}"/>
    <cellStyle name="Migliaia [0] 8 2 2" xfId="19095" xr:uid="{E0A1E282-EB63-4E1D-8D5F-D763538C7018}"/>
    <cellStyle name="Migliaia [0] 8 3" xfId="19094" xr:uid="{289AA6BF-FAFF-4012-AB10-FAA2E0A4D74C}"/>
    <cellStyle name="Migliaia [0] 9" xfId="6140" xr:uid="{C8DC8D7C-6CB1-4890-A457-6F1B4CCB31D4}"/>
    <cellStyle name="Migliaia [0] 9 2" xfId="6141" xr:uid="{9048E970-87A5-46DB-BFD8-D75C28A6FC1C}"/>
    <cellStyle name="Migliaia [0] 9 2 2" xfId="19097" xr:uid="{6D3AD8F0-97AF-48BC-940F-9961E8270EF9}"/>
    <cellStyle name="Migliaia [0] 9 3" xfId="19096" xr:uid="{D6E718AB-6DBE-42D2-A2FF-322253AA9244}"/>
    <cellStyle name="Migliaia 10" xfId="6142" xr:uid="{BD88F6F0-2AC2-42A2-8E18-845A05008123}"/>
    <cellStyle name="Migliaia 10 2" xfId="6143" xr:uid="{F0F7B52C-8141-4D1D-A888-D7E5A6569ADA}"/>
    <cellStyle name="Migliaia 10 2 2" xfId="6144" xr:uid="{BB995166-F0F3-4936-989E-2932A601482C}"/>
    <cellStyle name="Migliaia 10 2 2 2" xfId="19100" xr:uid="{FE0FE965-53C5-44F0-8385-8A1C722616CD}"/>
    <cellStyle name="Migliaia 10 2 3" xfId="15283" xr:uid="{EC775A6D-FC87-4B5E-A5C0-071654BA6F3A}"/>
    <cellStyle name="Migliaia 10 2 3 2" xfId="25792" xr:uid="{BA52379A-714A-4726-9773-705300EBE9DE}"/>
    <cellStyle name="Migliaia 10 2 4" xfId="19099" xr:uid="{B6BECCA0-3C48-4282-B69B-39634B6D17A8}"/>
    <cellStyle name="Migliaia 10 3" xfId="6145" xr:uid="{65242839-665F-4244-A31D-CE3D03C3C410}"/>
    <cellStyle name="Migliaia 10 3 2" xfId="19101" xr:uid="{2A699124-35A8-4176-85DE-3537079D1822}"/>
    <cellStyle name="Migliaia 10 4" xfId="14992" xr:uid="{DE72605C-0C04-4E9B-AE0A-105731124F0A}"/>
    <cellStyle name="Migliaia 10 5" xfId="19098" xr:uid="{9A8BC34F-8D8A-4408-893C-674FCE8820F6}"/>
    <cellStyle name="Migliaia 10_RP3 PP revised" xfId="15341" xr:uid="{2CFAAD4D-EBF8-4E53-AD1D-78B43109FEF7}"/>
    <cellStyle name="Migliaia 11" xfId="6146" xr:uid="{1CC942BC-8F2B-4BB3-9881-E5D4876FA050}"/>
    <cellStyle name="Migliaia 11 2" xfId="6147" xr:uid="{B7F886FE-5D40-45EB-9D42-14C6F64AE0F2}"/>
    <cellStyle name="Migliaia 11 2 2" xfId="6148" xr:uid="{49016275-7D83-4C21-B5CC-62225DBB87C2}"/>
    <cellStyle name="Migliaia 11 2 2 2" xfId="19104" xr:uid="{55C179D2-C627-4B47-992E-230C505F06A0}"/>
    <cellStyle name="Migliaia 11 2 3" xfId="15284" xr:uid="{9784DB37-4D07-4E56-ACF3-3BB6CFB20197}"/>
    <cellStyle name="Migliaia 11 2 3 2" xfId="25793" xr:uid="{88C12E2D-9A39-4060-8786-3712759BFE14}"/>
    <cellStyle name="Migliaia 11 2 4" xfId="19103" xr:uid="{9C5DA2AE-889D-421C-9304-9DE233CA4BDC}"/>
    <cellStyle name="Migliaia 11 3" xfId="6149" xr:uid="{84BAE36B-4F1E-46B4-A2FC-3015A2D7420A}"/>
    <cellStyle name="Migliaia 11 3 2" xfId="19105" xr:uid="{496C91C5-16FF-4B86-A61C-92E99CAEB690}"/>
    <cellStyle name="Migliaia 11 4" xfId="14993" xr:uid="{FD91F5A1-5AF2-4597-92C3-EE67199959FE}"/>
    <cellStyle name="Migliaia 11 5" xfId="19102" xr:uid="{DD9F77D2-9219-4424-BA0C-E8FE5F0242F0}"/>
    <cellStyle name="Migliaia 11_RP3 PP revised" xfId="15132" xr:uid="{2C505744-4686-40A6-A76E-26581CEDEA42}"/>
    <cellStyle name="Migliaia 12" xfId="6150" xr:uid="{B5144196-952E-487C-AC2D-9241D19439FE}"/>
    <cellStyle name="Migliaia 12 2" xfId="6151" xr:uid="{A72E2344-7FFC-4C8B-A079-4751F0E97518}"/>
    <cellStyle name="Migliaia 12 2 2" xfId="6152" xr:uid="{66FAB59B-4381-4B5C-AB88-49837D4FC0C8}"/>
    <cellStyle name="Migliaia 12 2 2 2" xfId="19108" xr:uid="{2C345C3B-DDD2-4EFE-8D9C-DED1181C1792}"/>
    <cellStyle name="Migliaia 12 2 3" xfId="15285" xr:uid="{4BA360C1-ACE6-403A-B3B1-7212CE9DCC0A}"/>
    <cellStyle name="Migliaia 12 2 3 2" xfId="25794" xr:uid="{F40D9F7C-439B-4D91-BB13-72FA8F7E2C70}"/>
    <cellStyle name="Migliaia 12 2 4" xfId="19107" xr:uid="{ADAA5D14-1A61-4F97-91CA-F465B2879AC1}"/>
    <cellStyle name="Migliaia 12 3" xfId="6153" xr:uid="{18582A38-41F4-4AC9-A2EB-059A571FA92A}"/>
    <cellStyle name="Migliaia 12 3 2" xfId="19109" xr:uid="{2E424FEE-8450-4A68-A274-29774BED56B0}"/>
    <cellStyle name="Migliaia 12 4" xfId="14994" xr:uid="{629D08A2-8A4C-477D-92FD-0B22781AF171}"/>
    <cellStyle name="Migliaia 12 5" xfId="19106" xr:uid="{C8B16F28-3DC7-45FD-84B3-D8C3A05E35BC}"/>
    <cellStyle name="Migliaia 12_RP3 PP revised" xfId="15131" xr:uid="{FF259ED1-882F-4932-AC4D-06C00203A9CA}"/>
    <cellStyle name="Migliaia 13" xfId="6154" xr:uid="{38BF401D-C262-4F23-AD16-8739D229D380}"/>
    <cellStyle name="Migliaia 13 2" xfId="6155" xr:uid="{10EE9D7C-F8B9-472C-A3E5-69439A7C0706}"/>
    <cellStyle name="Migliaia 13 2 2" xfId="6156" xr:uid="{168D1EAD-AF99-453E-8D96-8EFE158020CE}"/>
    <cellStyle name="Migliaia 13 2 2 2" xfId="19112" xr:uid="{38670FBC-6E8B-4393-8289-959EE0381D39}"/>
    <cellStyle name="Migliaia 13 2 3" xfId="15286" xr:uid="{886ED456-A8CD-4B0A-91B4-957E0A4602FB}"/>
    <cellStyle name="Migliaia 13 2 3 2" xfId="25795" xr:uid="{900476B7-5CFB-4B05-8BF1-0274C5DBAFD7}"/>
    <cellStyle name="Migliaia 13 2 4" xfId="19111" xr:uid="{637FE147-8200-45BD-9A3E-F3915F489C9F}"/>
    <cellStyle name="Migliaia 13 3" xfId="6157" xr:uid="{B124FE09-0CEC-48BA-B0A0-327EDCE32FCC}"/>
    <cellStyle name="Migliaia 13 3 2" xfId="19113" xr:uid="{10D4159C-ABB1-44FF-9D20-DE6CEEE8F571}"/>
    <cellStyle name="Migliaia 13 4" xfId="14995" xr:uid="{A4A0FC5A-825E-4DC2-84AB-57847AD351B1}"/>
    <cellStyle name="Migliaia 13 5" xfId="19110" xr:uid="{E0F44444-56E4-491D-8212-F327017817F9}"/>
    <cellStyle name="Migliaia 13_RP3 PP revised" xfId="15130" xr:uid="{85522D87-B741-48EB-8F79-77C60AE004B9}"/>
    <cellStyle name="Migliaia 14" xfId="6158" xr:uid="{B580F045-E5C2-42A5-BD19-9BB141D66C26}"/>
    <cellStyle name="Migliaia 14 2" xfId="6159" xr:uid="{6E6AD0D2-C9F1-4EA0-964D-44D5D1727390}"/>
    <cellStyle name="Migliaia 14 2 2" xfId="6160" xr:uid="{CB6C2E3C-3600-4D03-81D9-FC45C23643B8}"/>
    <cellStyle name="Migliaia 14 2 2 2" xfId="19116" xr:uid="{0D3B9B84-9FAE-4B89-BEA8-F8D37C3FF72B}"/>
    <cellStyle name="Migliaia 14 2 3" xfId="15287" xr:uid="{D2947D64-23DE-4D62-9277-A6A6C3650E7C}"/>
    <cellStyle name="Migliaia 14 2 3 2" xfId="25796" xr:uid="{6DC4390D-A786-45E9-B642-579F76BCEF92}"/>
    <cellStyle name="Migliaia 14 2 4" xfId="19115" xr:uid="{31C43916-0DA0-4B92-B50B-B40EBEC3BBB6}"/>
    <cellStyle name="Migliaia 14 3" xfId="6161" xr:uid="{46BF8DD8-13A5-46C4-8093-0D83CED47874}"/>
    <cellStyle name="Migliaia 14 3 2" xfId="19117" xr:uid="{D91F681D-818E-4ECB-A66C-25F0F62FF85B}"/>
    <cellStyle name="Migliaia 14 4" xfId="14996" xr:uid="{F2BB9F03-2F5B-4149-AB28-EAAB0F38DAC6}"/>
    <cellStyle name="Migliaia 14 5" xfId="19114" xr:uid="{1A34F0B2-3738-4EB8-87B0-8D28070E1A12}"/>
    <cellStyle name="Migliaia 14_RP3 PP revised" xfId="15129" xr:uid="{37A8FA67-71B6-424B-BC4B-A39D492DBE2C}"/>
    <cellStyle name="Migliaia 15" xfId="6162" xr:uid="{3127C498-8555-4A65-852F-F2D282EE9988}"/>
    <cellStyle name="Migliaia 15 2" xfId="6163" xr:uid="{25B9C6EB-FCF0-4B14-9759-20B939634DC1}"/>
    <cellStyle name="Migliaia 15 2 2" xfId="6164" xr:uid="{9A5B5F12-8332-4BB3-B943-AD4007B06CC7}"/>
    <cellStyle name="Migliaia 15 2 2 2" xfId="19120" xr:uid="{668C8423-AA64-410B-A4BD-F29218AB322C}"/>
    <cellStyle name="Migliaia 15 2 3" xfId="15288" xr:uid="{B6D229B8-77D2-44B3-A530-B0F955B1EE59}"/>
    <cellStyle name="Migliaia 15 2 3 2" xfId="25797" xr:uid="{4DF56233-8E3F-4952-AB93-C582BEC04F3A}"/>
    <cellStyle name="Migliaia 15 2 4" xfId="19119" xr:uid="{FFF73251-E54D-4C73-8683-DD0312CAF479}"/>
    <cellStyle name="Migliaia 15 3" xfId="6165" xr:uid="{B6EE2138-AF10-455B-8E65-C8459DEAF08F}"/>
    <cellStyle name="Migliaia 15 3 2" xfId="19121" xr:uid="{41FAE5EA-FE20-45B4-828E-94E498E7F49B}"/>
    <cellStyle name="Migliaia 15 4" xfId="14997" xr:uid="{7F526F12-2AD1-42E2-BB8A-D71C9B30D7E6}"/>
    <cellStyle name="Migliaia 15 5" xfId="19118" xr:uid="{4EA94836-6262-45AA-8EA1-D2147E86DCBA}"/>
    <cellStyle name="Migliaia 15_RP3 PP revised" xfId="15128" xr:uid="{5C83875F-1024-437C-A8AA-21002F30A9DC}"/>
    <cellStyle name="Migliaia 16" xfId="6166" xr:uid="{36820D66-EE10-4A3B-8B54-3AE5170C5331}"/>
    <cellStyle name="Migliaia 16 2" xfId="6167" xr:uid="{78A72184-E409-482A-AFD2-0A8BB2C926D5}"/>
    <cellStyle name="Migliaia 16 2 2" xfId="6168" xr:uid="{360B957B-779E-49C5-9CAF-AE5458BCEB8B}"/>
    <cellStyle name="Migliaia 16 2 2 2" xfId="19124" xr:uid="{08454905-5D54-413C-BA0E-70A4A6D7DC93}"/>
    <cellStyle name="Migliaia 16 2 3" xfId="15289" xr:uid="{8BD453CA-27F5-4D12-AF97-5AEE1CEB5B7C}"/>
    <cellStyle name="Migliaia 16 2 3 2" xfId="25798" xr:uid="{4208DC56-DD69-4937-B738-EA9DE688C3C6}"/>
    <cellStyle name="Migliaia 16 2 4" xfId="19123" xr:uid="{8E4F722F-6964-4284-B7A7-1A0911C888EB}"/>
    <cellStyle name="Migliaia 16 3" xfId="6169" xr:uid="{B417A10C-7741-4FAE-8D7C-B9E3EB22D3B7}"/>
    <cellStyle name="Migliaia 16 3 2" xfId="19125" xr:uid="{E04A1909-CF28-4637-A949-C65C0B0EE8CF}"/>
    <cellStyle name="Migliaia 16 4" xfId="14998" xr:uid="{B6B52999-C497-4CAB-91D6-6B52974BAB23}"/>
    <cellStyle name="Migliaia 16 5" xfId="19122" xr:uid="{0993F502-4954-4514-B540-92D213254235}"/>
    <cellStyle name="Migliaia 16_RP3 PP revised" xfId="15127" xr:uid="{74F0F98B-97F5-4A2D-970E-2D4537F7D3F6}"/>
    <cellStyle name="Migliaia 17" xfId="6170" xr:uid="{538A1C90-CFB4-4ADD-BCD2-42C183CF2125}"/>
    <cellStyle name="Migliaia 17 2" xfId="6171" xr:uid="{4970A99E-7B4A-4B50-A871-66850461E167}"/>
    <cellStyle name="Migliaia 17 2 2" xfId="6172" xr:uid="{94935CC0-40D8-4BB6-9730-3B4696C047AD}"/>
    <cellStyle name="Migliaia 17 2 2 2" xfId="19128" xr:uid="{C594AB65-C15F-4DEB-86A4-3EF8AB44ACD7}"/>
    <cellStyle name="Migliaia 17 2 3" xfId="15290" xr:uid="{6546BCA1-9DCD-4705-BD24-177F566388A3}"/>
    <cellStyle name="Migliaia 17 2 3 2" xfId="25799" xr:uid="{8E83BDEF-DE76-4888-8F77-A64371682CE6}"/>
    <cellStyle name="Migliaia 17 2 4" xfId="19127" xr:uid="{56990AD2-535C-4C4C-B4E7-84F588D37905}"/>
    <cellStyle name="Migliaia 17 3" xfId="6173" xr:uid="{8A5503F1-920D-4141-A19D-81C33B2624A7}"/>
    <cellStyle name="Migliaia 17 3 2" xfId="19129" xr:uid="{636F5E39-0137-4743-8DDE-1759DD701FD0}"/>
    <cellStyle name="Migliaia 17 4" xfId="14999" xr:uid="{C34216DA-E142-4AB9-B9F5-25F6665692FB}"/>
    <cellStyle name="Migliaia 17 5" xfId="19126" xr:uid="{2A17BDFC-D9D1-4D1D-9346-C731DD309048}"/>
    <cellStyle name="Migliaia 17_RP3 PP revised" xfId="15340" xr:uid="{F8AE3158-F534-451D-8C56-073A42949354}"/>
    <cellStyle name="Migliaia 18" xfId="6174" xr:uid="{1DD8F4C6-51C1-41BD-A454-BDAD5F1FC06A}"/>
    <cellStyle name="Migliaia 18 2" xfId="6175" xr:uid="{939559A4-F461-4832-A92A-B60CCC031FA6}"/>
    <cellStyle name="Migliaia 18 2 2" xfId="6176" xr:uid="{AC9148FE-CEF0-4995-9056-C6C13D64B68C}"/>
    <cellStyle name="Migliaia 18 2 2 2" xfId="19132" xr:uid="{F59B71D2-1267-4792-AA14-DFD3858167B7}"/>
    <cellStyle name="Migliaia 18 2 3" xfId="15291" xr:uid="{E252DCCD-6FE5-4E93-82E2-053E62A545D6}"/>
    <cellStyle name="Migliaia 18 2 3 2" xfId="25800" xr:uid="{865AE7DC-EFDF-47D2-AF18-E043B82A1CAE}"/>
    <cellStyle name="Migliaia 18 2 4" xfId="19131" xr:uid="{1E15ABEB-A234-4089-8432-458B813B1563}"/>
    <cellStyle name="Migliaia 18 3" xfId="6177" xr:uid="{9D2C7F56-A450-4F15-9197-6BA181001F5F}"/>
    <cellStyle name="Migliaia 18 3 2" xfId="19133" xr:uid="{12500C5A-BA3D-47DB-91B3-E8B84B74A86F}"/>
    <cellStyle name="Migliaia 18 4" xfId="15000" xr:uid="{FC982262-27B2-47C0-8916-D8C033A59AE8}"/>
    <cellStyle name="Migliaia 18 5" xfId="19130" xr:uid="{850F9D2B-CC89-4C96-A560-1E491413D752}"/>
    <cellStyle name="Migliaia 18_RP3 PP revised" xfId="15126" xr:uid="{429BDA6A-7592-4EAF-AE60-69CCF4CFFD66}"/>
    <cellStyle name="Migliaia 19" xfId="6178" xr:uid="{A79354BC-0452-4F30-9A19-A039CF028775}"/>
    <cellStyle name="Migliaia 19 2" xfId="6179" xr:uid="{E4AFFF86-916B-4FA2-AA6E-5084799EEB2D}"/>
    <cellStyle name="Migliaia 19 2 2" xfId="6180" xr:uid="{A5ABB5D2-1AA6-4C18-A5C7-B76A540FADC1}"/>
    <cellStyle name="Migliaia 19 2 2 2" xfId="19136" xr:uid="{ED8501A0-A2F2-4180-BFEE-87CC3B112ED7}"/>
    <cellStyle name="Migliaia 19 2 3" xfId="15292" xr:uid="{7177C00B-6288-4418-BF68-68ADDCF576ED}"/>
    <cellStyle name="Migliaia 19 2 3 2" xfId="25801" xr:uid="{F072642E-3128-4097-87EF-C6B391AFF4CB}"/>
    <cellStyle name="Migliaia 19 2 4" xfId="19135" xr:uid="{41D9E4B5-9CAA-4CE0-81FF-1F65761FE077}"/>
    <cellStyle name="Migliaia 19 3" xfId="6181" xr:uid="{D8454251-3389-442E-B23A-1499F176C14E}"/>
    <cellStyle name="Migliaia 19 3 2" xfId="19137" xr:uid="{E5776437-7410-4AD6-A667-1EB196E5924C}"/>
    <cellStyle name="Migliaia 19 4" xfId="15001" xr:uid="{2B3976EA-787F-4DA3-9B10-45CE183D087E}"/>
    <cellStyle name="Migliaia 19 5" xfId="19134" xr:uid="{6BCB85FF-AF25-421B-9B34-C206A24195D0}"/>
    <cellStyle name="Migliaia 19_RP3 PP revised" xfId="15339" xr:uid="{20981B77-32F1-4247-A505-8025C5A6091B}"/>
    <cellStyle name="Migliaia 2" xfId="6182" xr:uid="{7AF0898D-051F-4118-A0CD-B54EF94B944B}"/>
    <cellStyle name="Migliaia 2 2" xfId="6183" xr:uid="{0F52BAFF-F4DB-48A5-B15F-6FB624C1932D}"/>
    <cellStyle name="Migliaia 2 2 2" xfId="6184" xr:uid="{0374DBA3-D0BD-4636-98DB-D3F13215570E}"/>
    <cellStyle name="Migliaia 2 2 2 2" xfId="6185" xr:uid="{337FDD54-7816-402D-B604-1AE1E806F9F5}"/>
    <cellStyle name="Migliaia 2 2 2 2 2" xfId="19141" xr:uid="{B98BE45B-FD50-4BB6-8A45-D8C2EE47E38E}"/>
    <cellStyle name="Migliaia 2 2 2 3" xfId="15294" xr:uid="{0368169F-FD4A-4144-8B6D-799C3F3BB9A1}"/>
    <cellStyle name="Migliaia 2 2 2 3 2" xfId="25803" xr:uid="{DB8B09CC-9F59-43F6-8567-4F3680A8E08C}"/>
    <cellStyle name="Migliaia 2 2 2 4" xfId="19140" xr:uid="{8829FB45-2AD9-4957-AB6B-BA4434EAA9AA}"/>
    <cellStyle name="Migliaia 2 2 3" xfId="6186" xr:uid="{E9E96942-C84B-46DB-8141-FB3F882E3801}"/>
    <cellStyle name="Migliaia 2 2 3 2" xfId="19142" xr:uid="{4FCB5C21-0EFC-4071-BB1F-D0A6150B70CF}"/>
    <cellStyle name="Migliaia 2 2 4" xfId="15003" xr:uid="{5AAFBCD0-05A5-43D3-94D6-797E83BA09A5}"/>
    <cellStyle name="Migliaia 2 2 5" xfId="19139" xr:uid="{9920BEC4-1680-49FE-9024-3FF0566A2A68}"/>
    <cellStyle name="Migliaia 2 2_RP3 PP revised" xfId="15338" xr:uid="{51DC2F70-903D-4ABF-8DD7-DEF0B4D663AE}"/>
    <cellStyle name="Migliaia 2 3" xfId="6187" xr:uid="{9A14E8F6-66C9-4A1E-A2AA-9C197D9046A5}"/>
    <cellStyle name="Migliaia 2 3 2" xfId="6188" xr:uid="{2ACBF00B-F70A-4B94-BA64-7CB3C99DC519}"/>
    <cellStyle name="Migliaia 2 3 2 2" xfId="19144" xr:uid="{3150AC67-C65F-4322-80EC-3C9DEAD7EB77}"/>
    <cellStyle name="Migliaia 2 3 3" xfId="15293" xr:uid="{EC61975E-8EA0-4858-8FCE-EFD54595BCB0}"/>
    <cellStyle name="Migliaia 2 3 3 2" xfId="25802" xr:uid="{80226336-95E9-4426-B812-761806AE681D}"/>
    <cellStyle name="Migliaia 2 3 4" xfId="19143" xr:uid="{CCE74D46-6B84-4B8C-B1B4-C9C92B39F24F}"/>
    <cellStyle name="Migliaia 2 4" xfId="6189" xr:uid="{A0271440-A34E-4D59-B1BD-5360A9496495}"/>
    <cellStyle name="Migliaia 2 4 2" xfId="19145" xr:uid="{B2A99254-E7D1-4ECE-89CC-83AA66319A50}"/>
    <cellStyle name="Migliaia 2 5" xfId="15002" xr:uid="{1D97F131-768E-460A-8B40-8833E3D4E0BD}"/>
    <cellStyle name="Migliaia 2 6" xfId="19138" xr:uid="{3DA2AD60-B0D4-43F1-B8A9-E0C8B192C203}"/>
    <cellStyle name="Migliaia 2 7" xfId="25832" xr:uid="{B10528F7-A2AB-47AA-B26D-A130278909C7}"/>
    <cellStyle name="Migliaia 2_RP3 PP revised" xfId="15125" xr:uid="{42250D11-7F30-4B95-A096-585419EF6D32}"/>
    <cellStyle name="Migliaia 20" xfId="6190" xr:uid="{D8F61CC5-9443-4904-889F-97F9F0D79CAB}"/>
    <cellStyle name="Migliaia 20 2" xfId="6191" xr:uid="{347B4240-B8F6-434A-866E-F4DD1C617A4E}"/>
    <cellStyle name="Migliaia 20 2 2" xfId="6192" xr:uid="{49C73DD2-5F7B-40BB-BEA4-AAB96EC89828}"/>
    <cellStyle name="Migliaia 20 2 2 2" xfId="19148" xr:uid="{AA80E6C5-72ED-4A43-8808-AAEA9424CA94}"/>
    <cellStyle name="Migliaia 20 2 3" xfId="15295" xr:uid="{639DF1EC-870E-403B-9B4A-319AD0B197B0}"/>
    <cellStyle name="Migliaia 20 2 3 2" xfId="25804" xr:uid="{FA7A7FC4-F1AF-4633-8103-53105773EB5A}"/>
    <cellStyle name="Migliaia 20 2 4" xfId="19147" xr:uid="{02298116-E9F5-4F98-BB18-D372E00BB5E2}"/>
    <cellStyle name="Migliaia 20 3" xfId="6193" xr:uid="{B2A99F52-3D61-4349-A3E9-19C63FC8BCFD}"/>
    <cellStyle name="Migliaia 20 3 2" xfId="19149" xr:uid="{88C8F475-6BBB-4D67-B32A-F77024A11DFE}"/>
    <cellStyle name="Migliaia 20 4" xfId="15004" xr:uid="{8E9A6A31-B4AC-436F-8EFF-114B5CDBEF57}"/>
    <cellStyle name="Migliaia 20 5" xfId="19146" xr:uid="{00CBD682-FA4B-4492-84FE-866EF50C0FC9}"/>
    <cellStyle name="Migliaia 20_RP3 PP revised" xfId="15124" xr:uid="{96A13259-F3D8-4210-815C-84628AFBD500}"/>
    <cellStyle name="Migliaia 21" xfId="6194" xr:uid="{F9DD75CF-03CF-4248-A37A-828BF83A05FA}"/>
    <cellStyle name="Migliaia 21 2" xfId="6195" xr:uid="{62BD2951-0B2E-45A3-B49F-876D514465AA}"/>
    <cellStyle name="Migliaia 21 2 2" xfId="6196" xr:uid="{65C9DD1A-4597-4CBE-AC66-D437A5BF0774}"/>
    <cellStyle name="Migliaia 21 2 2 2" xfId="19152" xr:uid="{3A5FB36F-FBD6-47F2-A1ED-06AABF9AC56D}"/>
    <cellStyle name="Migliaia 21 2 3" xfId="15296" xr:uid="{B3466DAE-2215-4F51-A101-229A4FC5FF6B}"/>
    <cellStyle name="Migliaia 21 2 3 2" xfId="25805" xr:uid="{CB578BAB-CB4C-4407-95BC-E326E142426B}"/>
    <cellStyle name="Migliaia 21 2 4" xfId="19151" xr:uid="{F951F015-547B-4674-B006-9BEC01D7DA97}"/>
    <cellStyle name="Migliaia 21 3" xfId="6197" xr:uid="{B5AA30F9-A70A-456D-AF47-16A39123C6F6}"/>
    <cellStyle name="Migliaia 21 3 2" xfId="19153" xr:uid="{82E8D91E-2A6A-4F4F-9FB1-A13879702986}"/>
    <cellStyle name="Migliaia 21 4" xfId="15005" xr:uid="{580E5BE6-D6A4-45D7-87D1-BCBF888CAE4C}"/>
    <cellStyle name="Migliaia 21 5" xfId="19150" xr:uid="{EBB0AC45-F91A-4176-9367-B2024C1AEAA7}"/>
    <cellStyle name="Migliaia 21_RP3 PP revised" xfId="15337" xr:uid="{F5F6247C-8145-4BBA-80F2-880C20F0FA3B}"/>
    <cellStyle name="Migliaia 22" xfId="6198" xr:uid="{DE1D1D5A-144D-4D09-A077-DE681E7E99E1}"/>
    <cellStyle name="Migliaia 22 2" xfId="6199" xr:uid="{CF2673A1-08EE-44FA-ACA8-6BE61A10CB9F}"/>
    <cellStyle name="Migliaia 22 2 2" xfId="6200" xr:uid="{A8453DA0-83EF-46AA-9522-164D38309270}"/>
    <cellStyle name="Migliaia 22 2 2 2" xfId="19156" xr:uid="{FD39B051-34D4-4D77-93B5-C92DB2D56169}"/>
    <cellStyle name="Migliaia 22 2 3" xfId="15297" xr:uid="{CC94A388-6AE8-4A80-9728-C8E5D34E78F4}"/>
    <cellStyle name="Migliaia 22 2 3 2" xfId="25806" xr:uid="{2A7F5FD6-5675-4F7D-AC3F-EB64DB8723C7}"/>
    <cellStyle name="Migliaia 22 2 4" xfId="19155" xr:uid="{3C03433A-6DB3-4CB6-A9F1-A56928ABA276}"/>
    <cellStyle name="Migliaia 22 3" xfId="6201" xr:uid="{06157DFA-82F8-4073-89AC-FE176E16FC82}"/>
    <cellStyle name="Migliaia 22 3 2" xfId="19157" xr:uid="{870DCDBC-F761-44CB-951D-50F8651ABE75}"/>
    <cellStyle name="Migliaia 22 4" xfId="15006" xr:uid="{65F8C4C9-3D7A-48DF-B537-AB9770E82BC9}"/>
    <cellStyle name="Migliaia 22 5" xfId="19154" xr:uid="{32DA925E-3C37-499A-A6E1-4DB87298131F}"/>
    <cellStyle name="Migliaia 22_RP3 PP revised" xfId="15123" xr:uid="{FB5CE9DB-7227-4D86-ACB0-0774A20B9589}"/>
    <cellStyle name="Migliaia 23" xfId="6202" xr:uid="{0A3E2587-FCCC-4CE1-8092-8F2B0BAECBD1}"/>
    <cellStyle name="Migliaia 23 2" xfId="6203" xr:uid="{A4605269-D0DE-42CB-A1A2-603DE28CEC68}"/>
    <cellStyle name="Migliaia 23 2 2" xfId="6204" xr:uid="{2AC694FC-4E21-4F3F-B35B-6CAB0E3B8C06}"/>
    <cellStyle name="Migliaia 23 2 2 2" xfId="19160" xr:uid="{F170A274-6D41-48A7-8B38-64B310B1DA9D}"/>
    <cellStyle name="Migliaia 23 2 3" xfId="15298" xr:uid="{30529F48-AE22-4425-8CAB-9FD4B1B8F691}"/>
    <cellStyle name="Migliaia 23 2 3 2" xfId="25807" xr:uid="{EB6B5447-71C0-470B-9011-9408444946C8}"/>
    <cellStyle name="Migliaia 23 2 4" xfId="19159" xr:uid="{CE6BDD3A-3809-4564-8450-D8F9759675D3}"/>
    <cellStyle name="Migliaia 23 3" xfId="6205" xr:uid="{7B75867A-3712-4310-9A2C-9DBA759B8AF4}"/>
    <cellStyle name="Migliaia 23 3 2" xfId="19161" xr:uid="{D1403394-0A11-416C-A2A7-150EA01047A0}"/>
    <cellStyle name="Migliaia 23 4" xfId="15007" xr:uid="{658F4552-193C-404C-9AB5-A3F78E820C67}"/>
    <cellStyle name="Migliaia 23 5" xfId="19158" xr:uid="{ADB16540-65D5-4824-BA07-F8F767F2F0E0}"/>
    <cellStyle name="Migliaia 23_RP3 PP revised" xfId="15336" xr:uid="{2DED54EF-2355-40D2-9613-DE0B61363ECF}"/>
    <cellStyle name="Migliaia 24" xfId="6206" xr:uid="{D3DA638A-7F32-4FFF-9131-050DBCCB5227}"/>
    <cellStyle name="Migliaia 24 2" xfId="6207" xr:uid="{E8E23577-D8B5-4F89-920B-C70DC2158C97}"/>
    <cellStyle name="Migliaia 24 2 2" xfId="6208" xr:uid="{DD504F7C-D544-44C6-8AA0-3451928E3BFB}"/>
    <cellStyle name="Migliaia 24 2 2 2" xfId="19164" xr:uid="{5ED0F219-CF1B-44B6-BF1E-FCF014C4A79A}"/>
    <cellStyle name="Migliaia 24 2 3" xfId="15299" xr:uid="{4631EAE5-EEAD-4AD1-9DFD-2944C086E689}"/>
    <cellStyle name="Migliaia 24 2 3 2" xfId="25808" xr:uid="{94F4F2B4-0C11-4645-9FE6-619C8C149B93}"/>
    <cellStyle name="Migliaia 24 2 4" xfId="19163" xr:uid="{5CC757AB-797D-4071-9425-412FFB2AF947}"/>
    <cellStyle name="Migliaia 24 3" xfId="6209" xr:uid="{FFD468D3-5728-49F2-A8DD-C4FCB37D3A86}"/>
    <cellStyle name="Migliaia 24 3 2" xfId="19165" xr:uid="{5952B282-57A7-46BD-8E0B-AD99C4957F3A}"/>
    <cellStyle name="Migliaia 24 4" xfId="15008" xr:uid="{F8E30451-0280-4870-9138-227396EA58B4}"/>
    <cellStyle name="Migliaia 24 5" xfId="19162" xr:uid="{FCECB1C2-1866-44C5-9C0F-FE79F7E187BA}"/>
    <cellStyle name="Migliaia 24_RP3 PP revised" xfId="15122" xr:uid="{06164747-C6D3-4046-9B35-F0CC09B2AEBA}"/>
    <cellStyle name="Migliaia 25" xfId="6210" xr:uid="{9234AD48-A7DD-4DD1-81CF-12F9B4CA7247}"/>
    <cellStyle name="Migliaia 25 2" xfId="6211" xr:uid="{F4A2DDA9-388D-428F-A2C7-1DD02CE36558}"/>
    <cellStyle name="Migliaia 25 2 2" xfId="6212" xr:uid="{BA28A82C-398E-4FD6-A0EA-8E9C2947FD85}"/>
    <cellStyle name="Migliaia 25 2 2 2" xfId="19168" xr:uid="{2F1CBBB2-98C0-410A-89DF-52877F35D5EC}"/>
    <cellStyle name="Migliaia 25 2 3" xfId="15300" xr:uid="{DF91BC39-18F3-4D06-B4E5-68560A7A622F}"/>
    <cellStyle name="Migliaia 25 2 3 2" xfId="25809" xr:uid="{C8C34B76-AEFB-426F-AD7E-0943D2814FC9}"/>
    <cellStyle name="Migliaia 25 2 4" xfId="19167" xr:uid="{7ACA2EE3-B931-40CD-9497-FE3F68F2791E}"/>
    <cellStyle name="Migliaia 25 3" xfId="6213" xr:uid="{42DABBFE-92EF-4A6F-8BB2-A96DB3FF1C5F}"/>
    <cellStyle name="Migliaia 25 3 2" xfId="19169" xr:uid="{EB29A07D-0759-40C6-94B7-C8D5E5BE8E11}"/>
    <cellStyle name="Migliaia 25 4" xfId="15009" xr:uid="{54185CB2-7988-415E-82C5-701F6E515235}"/>
    <cellStyle name="Migliaia 25 5" xfId="19166" xr:uid="{36F58355-76FF-4E0C-81E3-4B25E16AF7D4}"/>
    <cellStyle name="Migliaia 25_RP3 PP revised" xfId="15335" xr:uid="{4D8223BD-D1E4-458C-9002-3B523FF09C44}"/>
    <cellStyle name="Migliaia 26" xfId="6214" xr:uid="{168FB65C-2A03-4B6A-B47D-3C4C380B1037}"/>
    <cellStyle name="Migliaia 26 2" xfId="6215" xr:uid="{69D4459C-9934-46FE-83A5-3F75BEB04B89}"/>
    <cellStyle name="Migliaia 26 2 2" xfId="6216" xr:uid="{2FB48A96-34FC-4D54-9294-4128C66BC0DE}"/>
    <cellStyle name="Migliaia 26 2 2 2" xfId="19172" xr:uid="{086C5BC2-132E-43E7-A156-796AA0A24791}"/>
    <cellStyle name="Migliaia 26 2 3" xfId="15301" xr:uid="{6BFF3404-39DA-4A53-8A10-441A1CABDDDE}"/>
    <cellStyle name="Migliaia 26 2 3 2" xfId="25810" xr:uid="{4EBE4C4B-68E3-45B9-82FF-28F9F5316B1A}"/>
    <cellStyle name="Migliaia 26 2 4" xfId="19171" xr:uid="{E8E148A1-1A37-48A7-AD1B-5D411D021C6B}"/>
    <cellStyle name="Migliaia 26 3" xfId="6217" xr:uid="{01EC83AA-E340-4DBD-AC58-59139A2E2761}"/>
    <cellStyle name="Migliaia 26 3 2" xfId="19173" xr:uid="{1FEB1FD3-CB56-4C1E-B733-7C07CEE46448}"/>
    <cellStyle name="Migliaia 26 4" xfId="15010" xr:uid="{5940FB90-6A5B-44BB-9619-CBC3D74341C9}"/>
    <cellStyle name="Migliaia 26 5" xfId="19170" xr:uid="{1433C643-7154-4CF8-A8D4-84E56309318A}"/>
    <cellStyle name="Migliaia 26_RP3 PP revised" xfId="15121" xr:uid="{B1255BF8-7458-4588-B151-D061309B8F3E}"/>
    <cellStyle name="Migliaia 27" xfId="6218" xr:uid="{27563AC3-F016-4905-B972-7DF21A65E196}"/>
    <cellStyle name="Migliaia 27 2" xfId="6219" xr:uid="{DC01AAC7-9D47-4DE5-9E1D-4313736AD6E4}"/>
    <cellStyle name="Migliaia 27 2 2" xfId="6220" xr:uid="{B003107C-26A6-458F-8530-8A6F6D23320A}"/>
    <cellStyle name="Migliaia 27 2 2 2" xfId="19176" xr:uid="{EF52DE76-3EE8-4427-ABF1-5AEBB019BB75}"/>
    <cellStyle name="Migliaia 27 2 3" xfId="15302" xr:uid="{342CF9CD-8D06-4488-B3A2-A41D21C2F619}"/>
    <cellStyle name="Migliaia 27 2 3 2" xfId="25811" xr:uid="{DD393775-1894-428B-8496-5537B5AF67F7}"/>
    <cellStyle name="Migliaia 27 2 4" xfId="19175" xr:uid="{BA3CBB4F-62CD-47A9-8035-4486247558DF}"/>
    <cellStyle name="Migliaia 27 3" xfId="6221" xr:uid="{0A9781F9-DD83-4615-A029-1186453BCAE5}"/>
    <cellStyle name="Migliaia 27 3 2" xfId="19177" xr:uid="{CA335CEA-0AF5-4613-B81F-A67D4974EEC0}"/>
    <cellStyle name="Migliaia 27 4" xfId="15011" xr:uid="{E4C1DC51-2D3D-434B-BBAE-F8A90F0093AC}"/>
    <cellStyle name="Migliaia 27 5" xfId="19174" xr:uid="{C4259B7D-C0CA-43EB-A5F3-ACE71A1B5C0C}"/>
    <cellStyle name="Migliaia 27_RP3 PP revised" xfId="15334" xr:uid="{44C26313-4497-4F14-AF52-CACD125FE17E}"/>
    <cellStyle name="Migliaia 28" xfId="6222" xr:uid="{E7B03F66-4A4B-4001-9686-2633034F1D82}"/>
    <cellStyle name="Migliaia 28 2" xfId="6223" xr:uid="{22F0B552-73F3-4379-A605-950E5AD21DC4}"/>
    <cellStyle name="Migliaia 28 2 2" xfId="6224" xr:uid="{B8998A39-CA07-4458-A2B0-C75EFF4107EE}"/>
    <cellStyle name="Migliaia 28 2 2 2" xfId="19180" xr:uid="{975B4178-EF1D-415C-BA35-098C06BDA90B}"/>
    <cellStyle name="Migliaia 28 2 3" xfId="15303" xr:uid="{6B4DED0D-EADF-4FFE-B41C-BEF157E3119A}"/>
    <cellStyle name="Migliaia 28 2 3 2" xfId="25812" xr:uid="{8FEB907E-1FDF-44A6-A78E-4CA6DD9E7983}"/>
    <cellStyle name="Migliaia 28 2 4" xfId="19179" xr:uid="{D526A448-C4FE-4014-A817-05D742FEE4CB}"/>
    <cellStyle name="Migliaia 28 3" xfId="6225" xr:uid="{9D62EE35-6F1D-4EAC-AF39-9FFF8573BDB8}"/>
    <cellStyle name="Migliaia 28 3 2" xfId="19181" xr:uid="{4DEA351E-CCD5-4458-A12A-4467A5A652B1}"/>
    <cellStyle name="Migliaia 28 4" xfId="15012" xr:uid="{50891FC1-FD34-4270-BC60-57D512209DD0}"/>
    <cellStyle name="Migliaia 28 5" xfId="19178" xr:uid="{E52ABEF2-D123-4D34-BB86-2F15451F9438}"/>
    <cellStyle name="Migliaia 28_RP3 PP revised" xfId="15120" xr:uid="{C6BA0D0C-E2AA-43BB-9258-67958904ACFC}"/>
    <cellStyle name="Migliaia 29" xfId="6226" xr:uid="{0B932A3E-2B2C-4FAB-A2B4-8F7E5B617988}"/>
    <cellStyle name="Migliaia 29 2" xfId="6227" xr:uid="{967DB0B9-06EC-4F35-8A4B-35FB7C0C967D}"/>
    <cellStyle name="Migliaia 29 2 2" xfId="15304" xr:uid="{42B5EA43-B487-42F7-AD04-9398BFE7429F}"/>
    <cellStyle name="Migliaia 29 2 2 2" xfId="25813" xr:uid="{F51611C3-BB03-4E3C-B28C-04AE4642A08C}"/>
    <cellStyle name="Migliaia 29 2_RP3 PP revised" xfId="15119" xr:uid="{56995355-25E1-446E-8375-AE49085AB02F}"/>
    <cellStyle name="Migliaia 29 3" xfId="14815" xr:uid="{C82AAB61-31A1-4FCB-AB0C-64934EEB5BC5}"/>
    <cellStyle name="Migliaia 29 4" xfId="15013" xr:uid="{D084EE4C-670D-493A-92FD-B14338968B19}"/>
    <cellStyle name="Migliaia 29 4 2" xfId="25764" xr:uid="{43AD048D-09C5-4AFC-BFCA-3BE539540A68}"/>
    <cellStyle name="Migliaia 29_RP3 PP revised" xfId="15333" xr:uid="{66F6492F-1CC3-4E83-BD9A-ADFDED287CCC}"/>
    <cellStyle name="Migliaia 3" xfId="6228" xr:uid="{85BD0A73-03DB-47B6-BEEB-0A5AA08D2C72}"/>
    <cellStyle name="Migliaia 3 2" xfId="6229" xr:uid="{714F461E-7963-4674-9A6C-F0575B5A58B0}"/>
    <cellStyle name="Migliaia 3 2 2" xfId="6230" xr:uid="{429FDAD9-2DA3-4578-90F7-A5F00F37C30A}"/>
    <cellStyle name="Migliaia 3 2 2 2" xfId="6231" xr:uid="{2EDC9BDE-5F19-477F-806B-0CB6E511F6DD}"/>
    <cellStyle name="Migliaia 3 2 2 2 2" xfId="19185" xr:uid="{AC0F6715-7361-45BD-BD70-C99BA151605F}"/>
    <cellStyle name="Migliaia 3 2 2 3" xfId="15306" xr:uid="{99F66637-875A-41B8-BD7C-7FF955D363DA}"/>
    <cellStyle name="Migliaia 3 2 2 3 2" xfId="25815" xr:uid="{CE1CD6F0-99FC-4A09-A9CB-B26859543554}"/>
    <cellStyle name="Migliaia 3 2 2 4" xfId="19184" xr:uid="{83AA7F0A-DD16-4BD0-A954-8FF170F1C0BE}"/>
    <cellStyle name="Migliaia 3 2 3" xfId="6232" xr:uid="{1D9B1338-EA47-48D0-830E-7C028439D993}"/>
    <cellStyle name="Migliaia 3 2 3 2" xfId="19186" xr:uid="{54890FF2-F5B5-4A8C-9F8F-811E083F33B6}"/>
    <cellStyle name="Migliaia 3 2 4" xfId="15015" xr:uid="{9A2CA004-3B15-461C-9F42-592AADE52097}"/>
    <cellStyle name="Migliaia 3 2 5" xfId="19183" xr:uid="{06AD3D32-22B7-4163-9134-9193B097AC6A}"/>
    <cellStyle name="Migliaia 3 2_RP3 PP revised" xfId="14915" xr:uid="{D7413F49-17BA-4A1F-A45F-2E1112FEB2F5}"/>
    <cellStyle name="Migliaia 3 3" xfId="6233" xr:uid="{C8D19EAC-DD5E-4624-8C6C-622357DC4C6C}"/>
    <cellStyle name="Migliaia 3 3 2" xfId="6234" xr:uid="{16C32C29-72CA-4290-B148-AF39D4A98E14}"/>
    <cellStyle name="Migliaia 3 3 2 2" xfId="19188" xr:uid="{0FD7A063-907B-4611-BBDB-29F26B3948ED}"/>
    <cellStyle name="Migliaia 3 3 3" xfId="15305" xr:uid="{AA95B637-B3E5-48B3-8B20-3569CB76E34D}"/>
    <cellStyle name="Migliaia 3 3 3 2" xfId="25814" xr:uid="{E6D386D8-FA51-4EA0-8A59-CEDF069E70FD}"/>
    <cellStyle name="Migliaia 3 3 4" xfId="19187" xr:uid="{3C028CB9-D2F0-4A84-82D1-299B4AE99DFE}"/>
    <cellStyle name="Migliaia 3 4" xfId="6235" xr:uid="{8DA8B61C-53F2-4370-B99B-939B92C17862}"/>
    <cellStyle name="Migliaia 3 4 2" xfId="19189" xr:uid="{C02106B2-E6B1-40C5-9F58-169A6753DE05}"/>
    <cellStyle name="Migliaia 3 5" xfId="15014" xr:uid="{03D921F4-5871-4438-961A-75154AC77406}"/>
    <cellStyle name="Migliaia 3 6" xfId="19182" xr:uid="{3B7F0315-34D2-47E3-B9F5-A74567A23342}"/>
    <cellStyle name="Migliaia 3_RP3 PP revised" xfId="15351" xr:uid="{35144A51-D205-465C-8D6F-3C8A001DF927}"/>
    <cellStyle name="Migliaia 30" xfId="6236" xr:uid="{3987CCEE-E389-4B63-BDEB-4947A4FCE52E}"/>
    <cellStyle name="Migliaia 30 2" xfId="6237" xr:uid="{3D7A1BC9-DAA4-4ADE-B756-077BE56E6457}"/>
    <cellStyle name="Migliaia 30 2 2" xfId="15307" xr:uid="{0F1716EF-4147-4E04-9629-7AE0A2E448D2}"/>
    <cellStyle name="Migliaia 30 2 2 2" xfId="25816" xr:uid="{DD7DD3A4-F5DA-49FE-AFF3-13B23DFC2069}"/>
    <cellStyle name="Migliaia 30 2_RP3 PP revised" xfId="15400" xr:uid="{94702F8E-043F-4E17-A772-B943119DB989}"/>
    <cellStyle name="Migliaia 30 3" xfId="14816" xr:uid="{A955FB38-27B7-4891-A454-2F89205C84EC}"/>
    <cellStyle name="Migliaia 30 4" xfId="15016" xr:uid="{0E056300-9D9E-4130-BC75-C8E247473720}"/>
    <cellStyle name="Migliaia 30 4 2" xfId="25765" xr:uid="{978AE208-E6DC-4AEC-8DD0-8C73E066CD13}"/>
    <cellStyle name="Migliaia 30_RP3 PP revised" xfId="14917" xr:uid="{B5665294-B0A9-4147-9DDF-2B1BBE1D2CB4}"/>
    <cellStyle name="Migliaia 31" xfId="6238" xr:uid="{81A0F6D0-827B-4250-B544-6EBFC3A910BE}"/>
    <cellStyle name="Migliaia 31 2" xfId="6239" xr:uid="{58BE5C47-883F-4EDC-BDA6-2836AFBD8BF8}"/>
    <cellStyle name="Migliaia 31 2 2" xfId="6240" xr:uid="{22CEF8F5-87A4-4C56-A9B4-A444A386D112}"/>
    <cellStyle name="Migliaia 31 2 2 2" xfId="6241" xr:uid="{2E9A2692-8FD0-4A1D-835D-7F44428DAB74}"/>
    <cellStyle name="Migliaia 31 2 2 2 2" xfId="19193" xr:uid="{4114D669-9012-4953-B3AC-37FFD47FE44E}"/>
    <cellStyle name="Migliaia 31 2 2 3" xfId="19192" xr:uid="{ECE51452-4923-49E6-861E-5C914519BC0D}"/>
    <cellStyle name="Migliaia 31 2 3" xfId="6242" xr:uid="{B4B6A625-9D6D-408B-9695-1A2C2853FF36}"/>
    <cellStyle name="Migliaia 31 2 3 2" xfId="19194" xr:uid="{E70D0138-0638-4A97-B97E-5E4FA5D402D2}"/>
    <cellStyle name="Migliaia 31 2 4" xfId="15308" xr:uid="{8D44C195-2233-4132-B7AB-6F3382D36266}"/>
    <cellStyle name="Migliaia 31 2 4 2" xfId="25817" xr:uid="{48AE5748-81D3-49E0-8211-13429C80CD5B}"/>
    <cellStyle name="Migliaia 31 2 5" xfId="19191" xr:uid="{25421601-D8E3-4F11-85E2-E926A2009DA7}"/>
    <cellStyle name="Migliaia 31 3" xfId="6243" xr:uid="{A78C66C1-E3F9-40E7-B147-74DD49CFBD3D}"/>
    <cellStyle name="Migliaia 31 3 2" xfId="6244" xr:uid="{9A170032-7FBA-45F5-8C2C-2D00FC8FE52E}"/>
    <cellStyle name="Migliaia 31 3 2 2" xfId="19196" xr:uid="{C7756DB7-91E3-4EC0-9713-B86AFD8620D0}"/>
    <cellStyle name="Migliaia 31 3 3" xfId="19195" xr:uid="{B30A33CB-7D30-441F-B4CF-CFD367DB8044}"/>
    <cellStyle name="Migliaia 31 4" xfId="6245" xr:uid="{C8D814FE-EC91-4A84-B3EA-83B310DF90A5}"/>
    <cellStyle name="Migliaia 31 4 2" xfId="19197" xr:uid="{F8EE57DB-57BD-4823-88B0-F76D9EE8E45C}"/>
    <cellStyle name="Migliaia 31 5" xfId="6246" xr:uid="{0AB663CF-A8FC-4CD1-BBE5-8E7C88EFECCE}"/>
    <cellStyle name="Migliaia 31 5 2" xfId="19198" xr:uid="{90C3C26F-8389-49FB-9478-7095142D263F}"/>
    <cellStyle name="Migliaia 31 6" xfId="15017" xr:uid="{FC1D21F7-4827-43D8-A725-6ECA89E22EA5}"/>
    <cellStyle name="Migliaia 31 7" xfId="19190" xr:uid="{DDFD7CD1-033C-4173-B8D6-4106F7F65011}"/>
    <cellStyle name="Migliaia 31_RP3 PP revised" xfId="15118" xr:uid="{2D2B2B6F-4396-40F2-9929-D23C4EDA1493}"/>
    <cellStyle name="Migliaia 32" xfId="6247" xr:uid="{C96872DC-BD5B-4853-9DBB-789FF258E8F3}"/>
    <cellStyle name="Migliaia 32 2" xfId="6248" xr:uid="{0C4E36E5-8867-49D8-B479-302601DEB83C}"/>
    <cellStyle name="Migliaia 32 2 2" xfId="6249" xr:uid="{B439100E-6A97-421B-BC0D-EEE018FBA6B5}"/>
    <cellStyle name="Migliaia 32 2 2 2" xfId="19201" xr:uid="{0A9EE025-F4A0-4EE1-BB89-295638ED054F}"/>
    <cellStyle name="Migliaia 32 2 3" xfId="15309" xr:uid="{7D2EF1E1-4B13-4BD1-8997-AD2B6371787D}"/>
    <cellStyle name="Migliaia 32 2 3 2" xfId="25818" xr:uid="{2E97147E-86B7-4733-BD84-A3E55003F76E}"/>
    <cellStyle name="Migliaia 32 2 4" xfId="19200" xr:uid="{70752966-4ED9-4127-BC8D-9ECC40C62CDA}"/>
    <cellStyle name="Migliaia 32 3" xfId="6250" xr:uid="{12DFB8CC-A750-429D-8AE1-C4BACBEFC171}"/>
    <cellStyle name="Migliaia 32 3 2" xfId="19202" xr:uid="{CE4AB9AD-6344-4A2F-8B4A-C38BA80E28DD}"/>
    <cellStyle name="Migliaia 32 4" xfId="6251" xr:uid="{093CBB68-7D06-4A07-9A55-81F3C0B62B0F}"/>
    <cellStyle name="Migliaia 32 4 2" xfId="19203" xr:uid="{76BFC51A-4164-439A-B131-904EB87C0755}"/>
    <cellStyle name="Migliaia 32 5" xfId="15018" xr:uid="{01D61768-951B-4DD7-A482-B449D5348B76}"/>
    <cellStyle name="Migliaia 32 6" xfId="19199" xr:uid="{6BB81BFA-DB91-427E-BC90-1F27B3253CB6}"/>
    <cellStyle name="Migliaia 32_RP3 PP revised" xfId="15117" xr:uid="{EA55DCFE-2847-4563-A6ED-36A8AACB2ABB}"/>
    <cellStyle name="Migliaia 33" xfId="6252" xr:uid="{BE477943-51A4-4AD3-83A7-31DE91CD1D53}"/>
    <cellStyle name="Migliaia 33 2" xfId="6253" xr:uid="{0766B940-C276-42A6-8593-3C2EA42ADB0A}"/>
    <cellStyle name="Migliaia 33 2 2" xfId="6254" xr:uid="{18728692-00F4-4277-A6AE-CDF1811BA9E3}"/>
    <cellStyle name="Migliaia 33 2 2 2" xfId="19206" xr:uid="{7A66932F-D3AC-4B79-B400-5BB69FD5E9B1}"/>
    <cellStyle name="Migliaia 33 2 3" xfId="15310" xr:uid="{EC4999D1-296A-4809-9817-9E9C4F36473D}"/>
    <cellStyle name="Migliaia 33 2 3 2" xfId="25819" xr:uid="{8C7CE993-B850-4A98-8782-CDC5B9CA12FD}"/>
    <cellStyle name="Migliaia 33 2 4" xfId="19205" xr:uid="{58840F77-5DE6-4E97-8C84-D8BB90C45A77}"/>
    <cellStyle name="Migliaia 33 3" xfId="6255" xr:uid="{040EC51D-949C-44AD-ABE0-B1BFD15559DF}"/>
    <cellStyle name="Migliaia 33 3 2" xfId="19207" xr:uid="{5A60D3C5-9B8D-45EC-A6FB-04284F1FFE92}"/>
    <cellStyle name="Migliaia 33 4" xfId="6256" xr:uid="{1927330B-69A6-4C7D-B77B-DDE0CE3CDA7C}"/>
    <cellStyle name="Migliaia 33 4 2" xfId="19208" xr:uid="{59204E54-1BBE-4554-83FB-56E1FD882C99}"/>
    <cellStyle name="Migliaia 33 5" xfId="15019" xr:uid="{BABC6541-E207-4588-8B8B-B70E8B06AD88}"/>
    <cellStyle name="Migliaia 33 6" xfId="19204" xr:uid="{154D0FBF-4F0F-431C-8D99-F85B5E70B97C}"/>
    <cellStyle name="Migliaia 33_RP3 PP revised" xfId="15399" xr:uid="{077D7F57-25EA-490D-8AD9-2C96F546CD3A}"/>
    <cellStyle name="Migliaia 34" xfId="6257" xr:uid="{E38238DC-23F1-4E43-9CF8-F41443D60630}"/>
    <cellStyle name="Migliaia 34 2" xfId="6258" xr:uid="{522CE43F-C09C-4B37-9806-F65B36DEC23B}"/>
    <cellStyle name="Migliaia 34 2 2" xfId="19210" xr:uid="{62F25FD3-DE5E-4EDF-A4C7-A2F6F16D05BA}"/>
    <cellStyle name="Migliaia 34 3" xfId="19209" xr:uid="{042A2484-A710-4A04-AEE6-EBA4F123C35B}"/>
    <cellStyle name="Migliaia 35" xfId="6259" xr:uid="{7D215962-2BB8-48C5-8763-5B98B85AD724}"/>
    <cellStyle name="Migliaia 35 2" xfId="6260" xr:uid="{F904EAED-687B-4644-BF7E-492D8D024116}"/>
    <cellStyle name="Migliaia 35 2 2" xfId="19212" xr:uid="{E5467DAB-B6AD-4393-B90F-14F183680355}"/>
    <cellStyle name="Migliaia 35 3" xfId="19211" xr:uid="{08C96A1D-7F90-40CF-A7EC-65BEA45CE60E}"/>
    <cellStyle name="Migliaia 36" xfId="6261" xr:uid="{C9401E9C-4A96-43EA-A7A1-BFE1AE4C8721}"/>
    <cellStyle name="Migliaia 36 2" xfId="6262" xr:uid="{69299D9B-C61C-4B22-94B6-5B08AFA98FF9}"/>
    <cellStyle name="Migliaia 36 2 2" xfId="19214" xr:uid="{2A13FE11-4F61-4C90-85C1-0F523D187D34}"/>
    <cellStyle name="Migliaia 36 3" xfId="19213" xr:uid="{37B0C559-9FC1-4AC3-9D45-59FDC1D4EF51}"/>
    <cellStyle name="Migliaia 37" xfId="6263" xr:uid="{ABB33C3C-3FB4-44A2-931E-D2D9815B05CF}"/>
    <cellStyle name="Migliaia 37 2" xfId="6264" xr:uid="{27646D48-EB33-47C1-ACC2-AF71105867D6}"/>
    <cellStyle name="Migliaia 37 2 2" xfId="19216" xr:uid="{8F983944-8A73-477A-856C-4C70550A0D66}"/>
    <cellStyle name="Migliaia 37 3" xfId="19215" xr:uid="{2D0EC574-2A1E-4918-AE97-1DE833FAE63F}"/>
    <cellStyle name="Migliaia 38" xfId="6265" xr:uid="{FEEA9EC1-CA43-4E97-BDBC-AA8243894F00}"/>
    <cellStyle name="Migliaia 38 2" xfId="6266" xr:uid="{4E5261FE-7129-465F-923E-55277B025480}"/>
    <cellStyle name="Migliaia 38 2 2" xfId="19218" xr:uid="{6B309EB2-7956-4A0F-91B3-1BB03DE00EC3}"/>
    <cellStyle name="Migliaia 38 3" xfId="19217" xr:uid="{DC4584FF-D44B-4AEF-86CD-D8AC8FB055BF}"/>
    <cellStyle name="Migliaia 39" xfId="6267" xr:uid="{4D5E6F66-83FE-49BB-A68A-A53AACEC2445}"/>
    <cellStyle name="Migliaia 39 2" xfId="6268" xr:uid="{7F1721C3-F5A4-4E66-AAC2-DD5CEE92615A}"/>
    <cellStyle name="Migliaia 39 2 2" xfId="19220" xr:uid="{0E06A143-EF1C-4C62-BBAA-CEBC9A7C92DD}"/>
    <cellStyle name="Migliaia 39 3" xfId="19219" xr:uid="{15AAB301-9C33-46E1-AEA2-F9025CE2DDBF}"/>
    <cellStyle name="Migliaia 4" xfId="6269" xr:uid="{F5F253FB-B470-41A9-9661-02FFF480AC5D}"/>
    <cellStyle name="Migliaia 4 2" xfId="6270" xr:uid="{A83EC2B5-195F-461F-B718-0D6F6A6FD030}"/>
    <cellStyle name="Migliaia 4 2 2" xfId="6271" xr:uid="{BA6902B3-53B4-400A-B050-66A158E22D72}"/>
    <cellStyle name="Migliaia 4 2 2 2" xfId="19223" xr:uid="{C91B5F10-2DD9-430F-BE09-982CA2331177}"/>
    <cellStyle name="Migliaia 4 2 3" xfId="15311" xr:uid="{85CB6674-7D35-4C20-9BDB-586BB7D895F7}"/>
    <cellStyle name="Migliaia 4 2 3 2" xfId="25820" xr:uid="{C05354C9-9275-4866-BC3F-E27F6A7EC8F8}"/>
    <cellStyle name="Migliaia 4 2 4" xfId="19222" xr:uid="{A9D2F662-25ED-4D4A-932C-4F1FBF805CC0}"/>
    <cellStyle name="Migliaia 4 3" xfId="6272" xr:uid="{7F79C138-F015-4C7E-9737-DD893FEC750D}"/>
    <cellStyle name="Migliaia 4 3 2" xfId="19224" xr:uid="{EAA5DC01-16E5-40FD-B227-4DA2DBA2A2AD}"/>
    <cellStyle name="Migliaia 4 4" xfId="15020" xr:uid="{9ACE3FC8-902C-4686-8178-7CBA22A15043}"/>
    <cellStyle name="Migliaia 4 5" xfId="19221" xr:uid="{3948D776-F905-464C-BCE9-68E3C029D4EC}"/>
    <cellStyle name="Migliaia 4_RP3 PP revised" xfId="15352" xr:uid="{3E5D124A-06D0-40F5-94F6-E2FF1880BA3D}"/>
    <cellStyle name="Migliaia 40" xfId="6273" xr:uid="{26845F4A-8C17-4D89-B0EC-5CA7DFE1DBAF}"/>
    <cellStyle name="Migliaia 40 2" xfId="6274" xr:uid="{40D21A7A-014D-40D9-A7D9-6E46617377D1}"/>
    <cellStyle name="Migliaia 40 2 2" xfId="19226" xr:uid="{DA0AFDCB-6BCA-4BEF-B216-A0ED09272EC9}"/>
    <cellStyle name="Migliaia 40 3" xfId="19225" xr:uid="{E52C066A-A51C-47BA-92AD-A0377255ADBC}"/>
    <cellStyle name="Migliaia 41" xfId="6275" xr:uid="{FCAC0247-D30F-465C-B929-E5700E7C2A5D}"/>
    <cellStyle name="Migliaia 41 2" xfId="6276" xr:uid="{C32CE690-37F1-4780-8580-466E36237E5C}"/>
    <cellStyle name="Migliaia 41 2 2" xfId="19228" xr:uid="{8220C01D-DB0B-4B25-B850-57253300A31B}"/>
    <cellStyle name="Migliaia 41 3" xfId="19227" xr:uid="{A0729C43-45DA-4471-9AA8-21332129B746}"/>
    <cellStyle name="Migliaia 42" xfId="6277" xr:uid="{106A0062-2CF3-4C6D-94EC-52D8C51D25F0}"/>
    <cellStyle name="Migliaia 42 2" xfId="6278" xr:uid="{DA63D8C2-F13D-4ED5-8BA7-D54FD027E6D7}"/>
    <cellStyle name="Migliaia 42 2 2" xfId="19230" xr:uid="{13DA1760-5F00-4926-8673-3E2C1A236F84}"/>
    <cellStyle name="Migliaia 42 3" xfId="19229" xr:uid="{AD09BBF4-4645-44D5-9ABC-BB738315F12B}"/>
    <cellStyle name="Migliaia 43" xfId="6279" xr:uid="{298C951A-D0A0-4C60-B9FF-EDA899A750DD}"/>
    <cellStyle name="Migliaia 43 2" xfId="6280" xr:uid="{BE68B2D4-3CEA-4EAA-A3FB-0885E4054FBA}"/>
    <cellStyle name="Migliaia 43 2 2" xfId="19232" xr:uid="{B3D3E968-26BD-410E-ADBA-7BA03D9F134B}"/>
    <cellStyle name="Migliaia 43 3" xfId="19231" xr:uid="{FA555639-7536-4FAC-8E58-3C46ADBD9381}"/>
    <cellStyle name="Migliaia 44" xfId="6281" xr:uid="{CF1033F1-CE1D-468B-878C-8AB3D2360411}"/>
    <cellStyle name="Migliaia 44 2" xfId="6282" xr:uid="{6E3B354F-9F1F-46F4-887C-8AF3925A7507}"/>
    <cellStyle name="Migliaia 44 2 2" xfId="19234" xr:uid="{FA946C4E-0822-47BC-BFD6-9DAAFA22B7A3}"/>
    <cellStyle name="Migliaia 44 3" xfId="19233" xr:uid="{45D97D51-AEE3-4699-BF2B-3252181FFF7B}"/>
    <cellStyle name="Migliaia 45" xfId="6283" xr:uid="{5E7FE9BB-1A34-4EEB-8F58-2DEE03D49512}"/>
    <cellStyle name="Migliaia 45 2" xfId="6284" xr:uid="{DB79BA46-FA1C-43A4-929B-66AF5386D400}"/>
    <cellStyle name="Migliaia 45 2 2" xfId="19236" xr:uid="{810AA2E2-01F8-496F-9B84-38E189D18E48}"/>
    <cellStyle name="Migliaia 45 3" xfId="19235" xr:uid="{BE295079-D828-459A-8A63-E9D36AD64F5E}"/>
    <cellStyle name="Migliaia 46" xfId="6285" xr:uid="{A7881428-280E-44A9-A277-36C5FA278D7C}"/>
    <cellStyle name="Migliaia 46 2" xfId="6286" xr:uid="{073CD2E2-AED5-4AF5-972E-7F4D6E8B0BB5}"/>
    <cellStyle name="Migliaia 46 2 2" xfId="19238" xr:uid="{2F67D312-7CA9-49B2-AE6C-4FC391AE23D9}"/>
    <cellStyle name="Migliaia 46 3" xfId="19237" xr:uid="{75ADB9E0-91F6-404D-869E-3F46133F1A67}"/>
    <cellStyle name="Migliaia 47" xfId="6287" xr:uid="{85096169-EBE7-49A0-9CA6-DF2F98FB2572}"/>
    <cellStyle name="Migliaia 47 2" xfId="6288" xr:uid="{CC8AC4EA-FF3A-43E8-8C9D-3E5967EF8451}"/>
    <cellStyle name="Migliaia 47 2 2" xfId="19240" xr:uid="{9FF821DC-7390-43F7-B0C8-D5E8DB382E7B}"/>
    <cellStyle name="Migliaia 47 3" xfId="19239" xr:uid="{E7A51DDD-484A-4C4F-A410-16B8AB3CAE08}"/>
    <cellStyle name="Migliaia 48" xfId="6289" xr:uid="{6E02331D-7114-4F63-98C4-FA37D4994BD7}"/>
    <cellStyle name="Migliaia 48 2" xfId="6290" xr:uid="{1EC91F38-3D27-401C-A163-9B818CCEE260}"/>
    <cellStyle name="Migliaia 48 2 2" xfId="19242" xr:uid="{D2BAC9D2-254A-42AF-BBF2-1FF686D8612E}"/>
    <cellStyle name="Migliaia 48 3" xfId="19241" xr:uid="{BAF13BE3-4330-46E2-BFE6-A3F64367CFD9}"/>
    <cellStyle name="Migliaia 49" xfId="6291" xr:uid="{84E5A4FD-17A0-4202-B790-3585BF29CBE6}"/>
    <cellStyle name="Migliaia 49 2" xfId="6292" xr:uid="{B67E9510-3763-45F1-BFEE-F46490E55D17}"/>
    <cellStyle name="Migliaia 49 2 2" xfId="19244" xr:uid="{EAA872AD-8B7B-418E-975F-2F0DBDC2ABCA}"/>
    <cellStyle name="Migliaia 49 3" xfId="19243" xr:uid="{3EBC944F-795F-46E9-AAC3-6ED254EAFBB3}"/>
    <cellStyle name="Migliaia 5" xfId="6293" xr:uid="{E04451B0-CACB-48B1-A281-6F3B1B98978F}"/>
    <cellStyle name="Migliaia 5 2" xfId="6294" xr:uid="{56B9D9A6-5943-4045-AD0F-A2B58AA1C6F1}"/>
    <cellStyle name="Migliaia 5 2 2" xfId="6295" xr:uid="{36C04F91-5E63-4364-B695-46F5AF3F3ECD}"/>
    <cellStyle name="Migliaia 5 2 2 2" xfId="19247" xr:uid="{5F4830E4-76C0-409B-9F05-7F7A05E28260}"/>
    <cellStyle name="Migliaia 5 2 3" xfId="15312" xr:uid="{5DD0C9AB-3D11-474E-A2CA-E6BEE36D2A5C}"/>
    <cellStyle name="Migliaia 5 2 3 2" xfId="25821" xr:uid="{A853CF31-F4D3-4821-8186-B2BE4BB3AE73}"/>
    <cellStyle name="Migliaia 5 2 4" xfId="19246" xr:uid="{D447B897-AAA5-4925-B159-A1BF22BCF2A6}"/>
    <cellStyle name="Migliaia 5 3" xfId="6296" xr:uid="{35041215-153D-406A-9B0E-8318A1AF02D9}"/>
    <cellStyle name="Migliaia 5 3 2" xfId="19248" xr:uid="{4F5A3D14-1AEC-45D3-AF03-616BCCBF7150}"/>
    <cellStyle name="Migliaia 5 4" xfId="6297" xr:uid="{E4EE20CA-B968-43CE-BA5E-E985A9A12488}"/>
    <cellStyle name="Migliaia 5 4 2" xfId="19249" xr:uid="{B94420C6-7C9C-4548-A151-69C2A36CA3F2}"/>
    <cellStyle name="Migliaia 5 5" xfId="15021" xr:uid="{B7768EA5-F4E9-48D3-A7B5-64FAF30CAD1C}"/>
    <cellStyle name="Migliaia 5 6" xfId="19245" xr:uid="{A7888DF4-105C-4702-8B5E-EE1C9488F649}"/>
    <cellStyle name="Migliaia 5_RP3 PP revised" xfId="15116" xr:uid="{5A4CBCC2-28D8-45C0-B4FE-007A2BCC3496}"/>
    <cellStyle name="Migliaia 50" xfId="6298" xr:uid="{8081E18E-8368-4319-84E8-329E45B641F0}"/>
    <cellStyle name="Migliaia 50 2" xfId="6299" xr:uid="{7EA667AD-7356-46B3-B489-F17F509E15E7}"/>
    <cellStyle name="Migliaia 50 2 2" xfId="19251" xr:uid="{12BA86DC-2AF1-499B-83F9-20085E83F5F0}"/>
    <cellStyle name="Migliaia 50 3" xfId="19250" xr:uid="{8AD7AD23-98FE-48F4-900D-CD813FE48737}"/>
    <cellStyle name="Migliaia 51" xfId="6300" xr:uid="{B107CA8D-2415-4054-91CD-427E4611ED15}"/>
    <cellStyle name="Migliaia 51 2" xfId="6301" xr:uid="{00B9A74E-7DB9-4047-B9B8-0E05303FC614}"/>
    <cellStyle name="Migliaia 51 2 2" xfId="19253" xr:uid="{77A0AB43-2536-4A10-AE12-824C8679B2BD}"/>
    <cellStyle name="Migliaia 51 3" xfId="19252" xr:uid="{FE8BCEF9-51DE-48FD-B0E8-632A2D3CCC28}"/>
    <cellStyle name="Migliaia 52" xfId="6302" xr:uid="{9FFE0B5F-8B3B-438F-ACCF-DEA5BA7E3FB6}"/>
    <cellStyle name="Migliaia 52 2" xfId="6303" xr:uid="{70970928-FF37-47B2-8B18-06C6F3BF9B38}"/>
    <cellStyle name="Migliaia 52 2 2" xfId="19255" xr:uid="{C597B414-94B3-4395-8768-8DB0626BC3F6}"/>
    <cellStyle name="Migliaia 52 3" xfId="19254" xr:uid="{01FAD2FE-8054-4656-A604-50B7B45DBC7D}"/>
    <cellStyle name="Migliaia 53" xfId="6304" xr:uid="{91C5201C-F8DD-4C8A-A2F5-742C62953008}"/>
    <cellStyle name="Migliaia 53 2" xfId="6305" xr:uid="{8E4D6668-81A2-4094-9962-D96C2424AF71}"/>
    <cellStyle name="Migliaia 53 2 2" xfId="19257" xr:uid="{569DD7F0-3323-4D12-A02F-B0E95C5F7720}"/>
    <cellStyle name="Migliaia 53 3" xfId="19256" xr:uid="{6C69A10B-11DF-48A1-9E46-5BC62AC178BD}"/>
    <cellStyle name="Migliaia 54" xfId="6306" xr:uid="{C43B0304-2ECE-4EC7-B6B3-C96D47AA0C15}"/>
    <cellStyle name="Migliaia 54 2" xfId="6307" xr:uid="{A1B2BB7D-41B5-4AEB-BB4E-6C877E2B632F}"/>
    <cellStyle name="Migliaia 54 2 2" xfId="19259" xr:uid="{786BE80F-34B4-44C2-81DA-9931B9532C70}"/>
    <cellStyle name="Migliaia 54 3" xfId="19258" xr:uid="{80857169-974B-4638-990A-99B996123F69}"/>
    <cellStyle name="Migliaia 55" xfId="6308" xr:uid="{A387271E-61C0-44D4-991E-0411AA8FFBCC}"/>
    <cellStyle name="Migliaia 55 2" xfId="6309" xr:uid="{8A61A814-9475-4EBD-8A97-31690D449AA8}"/>
    <cellStyle name="Migliaia 55 2 2" xfId="19261" xr:uid="{9860F93F-27D2-4FE3-B459-593C8EFB3906}"/>
    <cellStyle name="Migliaia 55 3" xfId="19260" xr:uid="{720D6E9C-4F1D-4D31-82B9-2842F21E0A35}"/>
    <cellStyle name="Migliaia 56" xfId="6310" xr:uid="{EF917FC5-EF23-4B2F-B84E-B022B91B039C}"/>
    <cellStyle name="Migliaia 56 2" xfId="6311" xr:uid="{48178B18-911A-422F-AC17-C22F518DEB85}"/>
    <cellStyle name="Migliaia 56 2 2" xfId="19263" xr:uid="{9FB1C1FD-9820-40C3-A708-EA56BEC67213}"/>
    <cellStyle name="Migliaia 56 3" xfId="19262" xr:uid="{9AFD014F-0D2A-4296-B417-C4387ADA4B23}"/>
    <cellStyle name="Migliaia 57" xfId="6312" xr:uid="{9153E9E1-FD8F-4912-B0E0-685AD25D2C5B}"/>
    <cellStyle name="Migliaia 57 2" xfId="6313" xr:uid="{65EA789F-7241-4385-8E78-BC2F7C71B411}"/>
    <cellStyle name="Migliaia 57 2 2" xfId="19265" xr:uid="{E40CD0AD-A418-40F2-B063-E68C99BA5043}"/>
    <cellStyle name="Migliaia 57 3" xfId="19264" xr:uid="{F3A69E1D-6E57-45F7-A48A-9D1A9975614C}"/>
    <cellStyle name="Migliaia 58" xfId="6314" xr:uid="{06DB97A3-E9C0-4977-A002-DE77DB85C465}"/>
    <cellStyle name="Migliaia 58 2" xfId="6315" xr:uid="{589024E6-5F62-4597-9C1F-CA189DF8AFE6}"/>
    <cellStyle name="Migliaia 58 2 2" xfId="19267" xr:uid="{6B7AC518-69DC-4103-9A03-80083DA2EA06}"/>
    <cellStyle name="Migliaia 58 3" xfId="19266" xr:uid="{3DF245DE-5AE1-4A21-BB24-F21C343634DE}"/>
    <cellStyle name="Migliaia 59" xfId="6316" xr:uid="{08DA68DD-B2E0-4463-B731-A70EF6CBB1D8}"/>
    <cellStyle name="Migliaia 59 2" xfId="6317" xr:uid="{2404BC18-B10A-4E04-AFD3-35FEA5EB2E7E}"/>
    <cellStyle name="Migliaia 59 2 2" xfId="19269" xr:uid="{3F4F8573-E293-4A5A-8AA9-9FC866542E71}"/>
    <cellStyle name="Migliaia 59 3" xfId="19268" xr:uid="{E11236FE-41E5-42C1-8A62-6B0308B1BF91}"/>
    <cellStyle name="Migliaia 6" xfId="6318" xr:uid="{64C6BD17-A677-49E9-A28B-B0AC99862F20}"/>
    <cellStyle name="Migliaia 6 2" xfId="6319" xr:uid="{2FC5D5EE-9AAC-4578-BFCA-7DE61ED178D9}"/>
    <cellStyle name="Migliaia 6 2 2" xfId="6320" xr:uid="{BCC56FA1-8CE7-4D91-B07C-5601A419101E}"/>
    <cellStyle name="Migliaia 6 2 2 2" xfId="19272" xr:uid="{41C556D3-784A-4911-8F65-7E4F5E0CE705}"/>
    <cellStyle name="Migliaia 6 2 3" xfId="15313" xr:uid="{8CA773F2-2C4B-4E2B-9E66-AA74507BEEA1}"/>
    <cellStyle name="Migliaia 6 2 3 2" xfId="25822" xr:uid="{804D467B-5353-4BA0-8D2D-957B9FA955A9}"/>
    <cellStyle name="Migliaia 6 2 4" xfId="19271" xr:uid="{A4779784-42DE-4531-AA20-839BB672566E}"/>
    <cellStyle name="Migliaia 6 3" xfId="6321" xr:uid="{844B6774-3288-4E81-B8A7-3993611987DB}"/>
    <cellStyle name="Migliaia 6 3 2" xfId="15375" xr:uid="{9E641DEC-6194-40AA-9C86-51FA274709C0}"/>
    <cellStyle name="Migliaia 6 3 3" xfId="19273" xr:uid="{1E3F06F6-C8FA-44A0-A4E3-149EA2C34D6C}"/>
    <cellStyle name="Migliaia 6 3_RP3 PP revised" xfId="15114" xr:uid="{56576E2A-5DDD-4BA3-9A1C-32480046C5CA}"/>
    <cellStyle name="Migliaia 6 4" xfId="15022" xr:uid="{C7B26154-294E-4604-83B5-AD6E048A845C}"/>
    <cellStyle name="Migliaia 6 5" xfId="19270" xr:uid="{FFF74B4C-DA5A-4E44-83D1-AEDEF7F3B0F4}"/>
    <cellStyle name="Migliaia 6_RP3 PP revised" xfId="15115" xr:uid="{F180277F-2EA0-4819-8C89-48F9590EBB8E}"/>
    <cellStyle name="Migliaia 60" xfId="6322" xr:uid="{88DCD25F-0003-4C11-9462-6181E61272BC}"/>
    <cellStyle name="Migliaia 60 2" xfId="6323" xr:uid="{E3BDB318-0C33-41FD-853C-5F9B87262D5E}"/>
    <cellStyle name="Migliaia 60 2 2" xfId="19275" xr:uid="{D68D13E2-351E-4356-A634-CD4F915EF4AF}"/>
    <cellStyle name="Migliaia 60 3" xfId="19274" xr:uid="{BF4E679C-2685-4E04-9849-ED1CFECB92B3}"/>
    <cellStyle name="Migliaia 7" xfId="6324" xr:uid="{8E96A04C-088C-41AD-96A6-A2F361610F62}"/>
    <cellStyle name="Migliaia 7 2" xfId="6325" xr:uid="{73293CDA-73D1-4A0D-95A7-C6D9D52A1A7A}"/>
    <cellStyle name="Migliaia 7 2 2" xfId="6326" xr:uid="{15EE477B-91E1-4CB5-A7A5-6618C50A67BF}"/>
    <cellStyle name="Migliaia 7 2 2 2" xfId="19278" xr:uid="{3106AAC4-A26D-4F46-B0A5-CAEBFFBCC222}"/>
    <cellStyle name="Migliaia 7 2 3" xfId="15314" xr:uid="{C4E27974-BA9D-407E-959D-19EE230033AD}"/>
    <cellStyle name="Migliaia 7 2 3 2" xfId="25823" xr:uid="{F78373BB-54D0-42E4-8604-54EAE2D7B028}"/>
    <cellStyle name="Migliaia 7 2 4" xfId="19277" xr:uid="{AA205521-524C-4088-9008-FBE426384451}"/>
    <cellStyle name="Migliaia 7 3" xfId="6327" xr:uid="{2841F29C-31E3-47C9-909D-5DD12FA85D8F}"/>
    <cellStyle name="Migliaia 7 3 2" xfId="19279" xr:uid="{109FFA47-EEDE-4587-B654-22FF8D40576E}"/>
    <cellStyle name="Migliaia 7 4" xfId="15023" xr:uid="{14E43363-B175-4D2F-BF0D-A975A70F666F}"/>
    <cellStyle name="Migliaia 7 5" xfId="19276" xr:uid="{B3A0EDD4-1BDE-4BAD-8DD5-3D3F012F2A75}"/>
    <cellStyle name="Migliaia 7_RP3 PP revised" xfId="15331" xr:uid="{47DB9168-ECA3-4717-AB60-0127C440817C}"/>
    <cellStyle name="Migliaia 8" xfId="6328" xr:uid="{EAF8E962-748F-4052-8AAF-E1231F29168C}"/>
    <cellStyle name="Migliaia 8 2" xfId="6329" xr:uid="{95741995-D47C-4922-9609-197EB1839B1E}"/>
    <cellStyle name="Migliaia 8 2 2" xfId="6330" xr:uid="{30A7BD03-A36B-44C0-AFB6-B41875119A76}"/>
    <cellStyle name="Migliaia 8 2 2 2" xfId="19282" xr:uid="{D82E0084-DF61-4448-A933-1390EBB7F896}"/>
    <cellStyle name="Migliaia 8 2 3" xfId="15315" xr:uid="{A17029F4-8344-457E-AF3C-30A0456FBE79}"/>
    <cellStyle name="Migliaia 8 2 3 2" xfId="25824" xr:uid="{A801880C-060C-425D-8A56-60F5D57971E8}"/>
    <cellStyle name="Migliaia 8 2 4" xfId="19281" xr:uid="{AECB36CF-EAEF-4F46-88CE-22E730103864}"/>
    <cellStyle name="Migliaia 8 3" xfId="6331" xr:uid="{E34C80B4-7931-4EF7-8C4B-FC8FC577CA59}"/>
    <cellStyle name="Migliaia 8 3 2" xfId="19283" xr:uid="{52287CE5-DA5B-4B8D-8E5A-B4774C97907A}"/>
    <cellStyle name="Migliaia 8 4" xfId="15024" xr:uid="{B7167DA3-EA11-40F9-9DA9-F4BDCED2F285}"/>
    <cellStyle name="Migliaia 8 5" xfId="19280" xr:uid="{F01A0C95-B58D-4192-8B76-A52E4571B9EA}"/>
    <cellStyle name="Migliaia 8_RP3 PP revised" xfId="14916" xr:uid="{517813B8-8237-48E6-B452-4907DCAC6948}"/>
    <cellStyle name="Migliaia 9" xfId="6332" xr:uid="{3E060A6F-B0AA-46B9-906A-4099447F6340}"/>
    <cellStyle name="Migliaia 9 2" xfId="6333" xr:uid="{58CB38A8-000B-449D-BDDC-E7CE443C3F94}"/>
    <cellStyle name="Migliaia 9 2 2" xfId="6334" xr:uid="{B282ED9F-DD92-43FF-AD28-479F1F8F407B}"/>
    <cellStyle name="Migliaia 9 2 2 2" xfId="19286" xr:uid="{A9DA8D7B-DCD1-4FE4-A866-189833C19C2A}"/>
    <cellStyle name="Migliaia 9 2 3" xfId="15316" xr:uid="{98AA1B61-7912-44FA-9B16-005934374E9A}"/>
    <cellStyle name="Migliaia 9 2 3 2" xfId="25825" xr:uid="{D85748BC-1E07-443B-AF53-31468E3F270D}"/>
    <cellStyle name="Migliaia 9 2 4" xfId="19285" xr:uid="{E81566E5-F737-4393-A5BB-E20EC6ACF4B1}"/>
    <cellStyle name="Migliaia 9 3" xfId="6335" xr:uid="{D6422D91-2D3C-47BD-9846-9BC4D4A916EA}"/>
    <cellStyle name="Migliaia 9 3 2" xfId="19287" xr:uid="{D42D9E61-88FB-4480-862A-06E4F1713E0A}"/>
    <cellStyle name="Migliaia 9 4" xfId="15025" xr:uid="{B9B0A429-0DD5-40E2-8224-119FEF2020D6}"/>
    <cellStyle name="Migliaia 9 5" xfId="19284" xr:uid="{18B33A37-1146-4868-BF4C-4C500AFE3F93}"/>
    <cellStyle name="Migliaia 9_RP3 PP revised" xfId="15113" xr:uid="{CD3024B2-5085-46E6-9CAB-622FE6DE8D9D}"/>
    <cellStyle name="Milliers [0]_FNMA tasse2" xfId="15026" xr:uid="{D32A206A-1790-4DFE-8159-6E4B2924A38C}"/>
    <cellStyle name="Milliers 10" xfId="6336" xr:uid="{84C51537-3725-48A3-9314-1767BB556286}"/>
    <cellStyle name="Milliers 10 2" xfId="6337" xr:uid="{F398F15B-D9DE-4823-B794-5A680CE2F4C1}"/>
    <cellStyle name="Milliers 11" xfId="6338" xr:uid="{DC56F02F-6EBA-4E9D-A0D7-E80054DD2362}"/>
    <cellStyle name="Milliers 12" xfId="35" xr:uid="{975C8CCC-A811-4E21-BA47-7B8883519117}"/>
    <cellStyle name="Milliers 12 2" xfId="15432" xr:uid="{7CFE69C7-6915-4D2B-8C4A-F1C3C0F09A04}"/>
    <cellStyle name="Milliers 2" xfId="37" xr:uid="{F7D62A52-1751-4EBF-9BC9-71D99697F913}"/>
    <cellStyle name="Milliers 2 2" xfId="6339" xr:uid="{3D6548E0-310A-4F9D-B3BE-720B93F44C3E}"/>
    <cellStyle name="Milliers 2 2 2" xfId="6340" xr:uid="{49838CF2-A40E-4DB2-A15B-0FDFA1741929}"/>
    <cellStyle name="Milliers 2 2 2 2" xfId="6341" xr:uid="{3C495098-1232-41A6-A107-FB4A6186E6C5}"/>
    <cellStyle name="Milliers 2 2 3" xfId="6342" xr:uid="{75D92B6E-F32B-41C0-9967-8216E5B3ABDC}"/>
    <cellStyle name="Milliers 2 2 3 2" xfId="19289" xr:uid="{3AF60408-AF12-44EF-8159-6FC5B3EE790B}"/>
    <cellStyle name="Milliers 2 2 4" xfId="6343" xr:uid="{5BBABACF-A845-4FF2-BBED-50ED2C4D52DB}"/>
    <cellStyle name="Milliers 2 2 4 2" xfId="19290" xr:uid="{7CF62CFD-5F17-406E-BEBF-C2EFD77EFC3F}"/>
    <cellStyle name="Milliers 2 2 5" xfId="6344" xr:uid="{108DC3E7-D79C-4D2A-B726-CE33074BC310}"/>
    <cellStyle name="Milliers 2 2 6" xfId="19288" xr:uid="{30A0B10E-8E30-4E1E-91E9-44863C621351}"/>
    <cellStyle name="Milliers 2 3" xfId="6345" xr:uid="{5815D27A-BE88-4A50-BD08-A8A0A8722425}"/>
    <cellStyle name="Milliers 2 3 2" xfId="19291" xr:uid="{CCF13178-AD03-432F-BE6E-3702CF519CCC}"/>
    <cellStyle name="Milliers 2 4" xfId="6346" xr:uid="{4DF834A5-4A07-4FF0-B7D6-73A5A628768C}"/>
    <cellStyle name="Milliers 2 4 2" xfId="6347" xr:uid="{8CC15158-DD79-4C66-BE21-7FEC7529C515}"/>
    <cellStyle name="Milliers 2 5" xfId="6348" xr:uid="{0BE29F45-E5DA-40AE-8F1E-2AFCFF042797}"/>
    <cellStyle name="Milliers 2 6" xfId="15433" xr:uid="{220F31BC-2F69-4AE7-A5E1-4CA53D3C2422}"/>
    <cellStyle name="Milliers 2_RP3 PP revised" xfId="15112" xr:uid="{256CEE9E-BECE-4453-A38F-D8A21E86C0FB}"/>
    <cellStyle name="Milliers 3" xfId="6349" xr:uid="{8D2F6B1C-84E1-455A-81EF-4FAB40AC9B58}"/>
    <cellStyle name="Milliers 3 2" xfId="6350" xr:uid="{894AA12C-DFFA-4AAC-A6B1-8CA78F96089B}"/>
    <cellStyle name="Milliers 3 2 2" xfId="6351" xr:uid="{837A184A-74AC-4B7C-9D43-2B65CE46C66C}"/>
    <cellStyle name="Milliers 3 3" xfId="19292" xr:uid="{9449388C-5333-4BFA-8A14-B55AF2418D83}"/>
    <cellStyle name="Milliers 4" xfId="6352" xr:uid="{85AD6EC6-4DBE-4605-9A9E-0025D744EFB1}"/>
    <cellStyle name="Milliers 4 2" xfId="6353" xr:uid="{5A779B7D-9859-4694-A684-708EA48D9207}"/>
    <cellStyle name="Milliers 4 2 2" xfId="19294" xr:uid="{34CCBC9B-43C3-474A-92D8-BBAD14EDD4D2}"/>
    <cellStyle name="Milliers 4 3" xfId="6354" xr:uid="{B755708B-7F8D-4F6B-91DE-964719CA95FF}"/>
    <cellStyle name="Milliers 4 4" xfId="6355" xr:uid="{96EB12EA-5382-428C-9DF6-BD15753E95D6}"/>
    <cellStyle name="Milliers 4 5" xfId="19293" xr:uid="{AB467E4B-1E4F-4BFB-92F4-1629F4EE2D73}"/>
    <cellStyle name="Milliers 5" xfId="6356" xr:uid="{866DC333-3D1A-40DE-9B33-DBF9314659D0}"/>
    <cellStyle name="Milliers 5 2" xfId="6357" xr:uid="{88389A0F-3C29-4633-98B1-22888A6FB05E}"/>
    <cellStyle name="Milliers 5 3" xfId="6358" xr:uid="{FC13A2EB-BD9E-4DB6-97C0-644CB76A797C}"/>
    <cellStyle name="Milliers 5 4" xfId="6359" xr:uid="{7969EC20-41D7-40FA-867E-ABD4E85764A5}"/>
    <cellStyle name="Milliers 5 5" xfId="19295" xr:uid="{193AF4B8-5864-4A28-8B46-AE4F008FB126}"/>
    <cellStyle name="Milliers 6" xfId="6360" xr:uid="{85C76796-8E5F-413F-9253-225073CE25DA}"/>
    <cellStyle name="Milliers 6 2" xfId="6361" xr:uid="{30154EE7-15B6-4F76-A79A-1AB5CDCEDFE3}"/>
    <cellStyle name="Milliers 6 2 2" xfId="19297" xr:uid="{C5897012-1413-4EBF-BA5B-D9ACDBD6F974}"/>
    <cellStyle name="Milliers 6 3" xfId="6362" xr:uid="{5AB965BE-164C-4045-AB52-C1A85F10E13E}"/>
    <cellStyle name="Milliers 6 4" xfId="6363" xr:uid="{F3A099CB-0C0B-489C-946F-BFBB718075B6}"/>
    <cellStyle name="Milliers 6 5" xfId="19296" xr:uid="{FC9D7E1B-0109-4665-AE21-317856668AC8}"/>
    <cellStyle name="Milliers 7" xfId="6364" xr:uid="{8B4E33F4-6201-4444-B750-8B635DCCB976}"/>
    <cellStyle name="Milliers 7 2" xfId="6365" xr:uid="{6D46F9DF-B5E1-4771-A86B-B02B545E3B33}"/>
    <cellStyle name="Milliers 7 2 2" xfId="19299" xr:uid="{AC885DAC-E9D3-4561-B4C3-4DEEC7653668}"/>
    <cellStyle name="Milliers 7 3" xfId="6366" xr:uid="{F94FF15F-872C-4412-AD10-838A87B2A19C}"/>
    <cellStyle name="Milliers 7 4" xfId="19298" xr:uid="{56D1CC90-0968-4ADD-AEA8-01D1CADCF457}"/>
    <cellStyle name="Milliers 8" xfId="6367" xr:uid="{57EB7D07-B978-44E3-92E2-44FF7ABA20A3}"/>
    <cellStyle name="Milliers 8 2" xfId="6368" xr:uid="{6E465637-CA20-4D1B-9D8A-A19B27607E50}"/>
    <cellStyle name="Milliers 8 3" xfId="19300" xr:uid="{7B4941A2-69B1-400E-9025-03834152A514}"/>
    <cellStyle name="Milliers 9" xfId="6369" xr:uid="{0367DEA9-9C44-480A-BDFF-F861257C878E}"/>
    <cellStyle name="Milliers 9 2" xfId="6370" xr:uid="{62A562AB-EA87-479E-ACDA-E566791E01A5}"/>
    <cellStyle name="Milliers(0)" xfId="6371" xr:uid="{C5AC6101-F365-466A-A8D8-205F43900A30}"/>
    <cellStyle name="Milliers(1)" xfId="6372" xr:uid="{F437225B-228F-4B99-91D9-D7E099537154}"/>
    <cellStyle name="Milliers(2)" xfId="6373" xr:uid="{60A080F1-B4AF-465B-8F8F-6734C1554606}"/>
    <cellStyle name="Milliers_FNMA tasse2" xfId="15027" xr:uid="{04C831EF-3F28-4FDA-938A-A574F25CA8D3}"/>
    <cellStyle name="Milliers0" xfId="6374" xr:uid="{D1FA7561-DB44-40EB-8D66-746B090809C9}"/>
    <cellStyle name="Milliers0 2" xfId="6375" xr:uid="{33F6A831-F338-4927-99DC-911ED91A0131}"/>
    <cellStyle name="Milliers0 3" xfId="6376" xr:uid="{D522257B-6029-4E1D-82BD-C2D8712781BB}"/>
    <cellStyle name="million" xfId="6377" xr:uid="{D3581BB7-CA09-461A-9C2B-4696D062802D}"/>
    <cellStyle name="Millions" xfId="6378" xr:uid="{145459B8-D71F-4172-B1B2-BF0CF3C34EEA}"/>
    <cellStyle name="Millions [1]" xfId="6379" xr:uid="{466AF285-524F-4508-B85A-547D9367B291}"/>
    <cellStyle name="Millions 2" xfId="14692" xr:uid="{61B8E421-968D-4E8D-9303-EFE5D50FFACC}"/>
    <cellStyle name="Millions 3" xfId="14706" xr:uid="{DC71A753-4EB8-4483-A959-84888B52C0F9}"/>
    <cellStyle name="Millions 4" xfId="14702" xr:uid="{89FDEBA7-BDB6-4086-8BD1-7F3965BE372D}"/>
    <cellStyle name="Millions 5" xfId="19301" xr:uid="{08B9A65D-3041-4B8E-9C8C-830E19105888}"/>
    <cellStyle name="Millions 6" xfId="25833" xr:uid="{83082AEE-AFEE-4886-93D5-E826B2E382EB}"/>
    <cellStyle name="Minor heading" xfId="6380" xr:uid="{6A76FDDD-3C5E-49EE-8BA3-EA2F5FF83AA2}"/>
    <cellStyle name="Modelling References" xfId="6381" xr:uid="{2AC97AED-196A-4316-BA03-46CB41C9A02E}"/>
    <cellStyle name="Monétaire [0]_FNMA tasse2" xfId="15028" xr:uid="{68AB3127-CEA3-4BB8-A56D-08DD99C4590C}"/>
    <cellStyle name="Monétaire 2" xfId="6382" xr:uid="{150E3518-72D9-4591-9E50-8A6E260FA898}"/>
    <cellStyle name="Monétaire 2 2" xfId="6383" xr:uid="{F49232AD-5788-412D-8DF4-A972D00694B2}"/>
    <cellStyle name="Monétaire 2 3" xfId="6384" xr:uid="{1574E19A-E532-4744-8BEF-CE580CE0B5B4}"/>
    <cellStyle name="Monétaire 2 4" xfId="19302" xr:uid="{0836A6E4-9AF6-4F95-A137-68854BF8FB26}"/>
    <cellStyle name="Monétaire 3" xfId="6385" xr:uid="{716E61F3-76DC-4457-8BF7-121C671F6CC2}"/>
    <cellStyle name="Monétaire 3 2" xfId="19303" xr:uid="{AE42401C-A1E8-4687-BFFE-1269E9B06931}"/>
    <cellStyle name="Monétaire 4" xfId="6386" xr:uid="{893ADD37-D00B-4720-82A8-30BEB75FA8A1}"/>
    <cellStyle name="Monétaire_FNMA tasse2" xfId="15029" xr:uid="{E0DFB7CF-83C0-4BF9-8BAE-002DCDA94ED1}"/>
    <cellStyle name="Month" xfId="6387" xr:uid="{475B6208-204E-4F45-9B1F-0880EEAAB2D8}"/>
    <cellStyle name="Monthly rate" xfId="6388" xr:uid="{9F389E51-7517-4868-8F23-030460986096}"/>
    <cellStyle name="Motif" xfId="6389" xr:uid="{8FB8DD01-DDB2-46A4-9507-9384C2D63E20}"/>
    <cellStyle name="motif1" xfId="6390" xr:uid="{8466C407-9DC9-448F-A740-D3B2B64950E4}"/>
    <cellStyle name="Multiple" xfId="6391" xr:uid="{28D6744A-2E87-41C9-81B6-94F7E92FF847}"/>
    <cellStyle name="Nadpis 1" xfId="6392" xr:uid="{61DC356B-C03C-4451-B2CA-007126E21E6D}"/>
    <cellStyle name="Nadpis 2" xfId="6393" xr:uid="{C2EF0E63-DF49-4637-B3D8-319B725115F2}"/>
    <cellStyle name="Nadpis 3" xfId="6394" xr:uid="{5400A4AD-C151-4BA5-BE48-8FD9999F8530}"/>
    <cellStyle name="Nadpis 4" xfId="6395" xr:uid="{9E95B17E-6CAD-4292-B7DC-294D0D179384}"/>
    <cellStyle name="Nagłówek 1" xfId="6396" xr:uid="{B80F87A8-0D9B-45D7-A974-F43783635AC8}"/>
    <cellStyle name="Nagłówek 1 2" xfId="6397" xr:uid="{2B294AB7-DCB8-41C1-8779-2704A3EFFF01}"/>
    <cellStyle name="Nagłówek 2" xfId="6398" xr:uid="{13693A1F-A952-4549-B664-9779DA44AB77}"/>
    <cellStyle name="Nagłówek 2 2" xfId="6399" xr:uid="{5F0030EC-25DC-4FCB-B46E-99C615516B9C}"/>
    <cellStyle name="Nagłówek 3" xfId="6400" xr:uid="{90C24316-44CF-482D-9236-155DE6168CB0}"/>
    <cellStyle name="Nagłówek 3 2" xfId="6401" xr:uid="{3960022B-4D7D-41A2-982A-80C8F5918CFE}"/>
    <cellStyle name="Nagłówek 4" xfId="6402" xr:uid="{9FDAD8F8-7449-437E-B3EF-1A00ECAB76FC}"/>
    <cellStyle name="Nagłówek 4 2" xfId="6403" xr:uid="{2CD61936-7AED-4D42-9121-42EBC94A412F}"/>
    <cellStyle name="Named Range" xfId="6404" xr:uid="{9C20B156-0BB6-4D4E-A7B2-B1A241608891}"/>
    <cellStyle name="Named Range Tag" xfId="6405" xr:uid="{64B7F390-E06A-4E7D-AD51-DC7B7A503557}"/>
    <cellStyle name="Named Range_Book2" xfId="6406" xr:uid="{C803C898-E088-4FAE-8670-31678BFAE92D}"/>
    <cellStyle name="Navadno_List1" xfId="6407" xr:uid="{07EA0FA6-B48F-4EA9-9F50-7746BBDCE435}"/>
    <cellStyle name="Název" xfId="6408" xr:uid="{47565016-19B2-455C-983E-0479B7B67377}"/>
    <cellStyle name="NEGATIF" xfId="6409" xr:uid="{93EC7307-C053-4159-B2EF-F82EC7FDCD79}"/>
    <cellStyle name="Neutraali" xfId="6410" xr:uid="{31F227CC-6E41-4FDC-9E19-A6C88D9ECB94}"/>
    <cellStyle name="Neutraalne" xfId="6411" xr:uid="{D86325F3-1F84-4F84-8884-FC4C5C66331A}"/>
    <cellStyle name="Neutraalne 2" xfId="6412" xr:uid="{F2A42E82-1F23-4B34-903D-37BD909B2AAD}"/>
    <cellStyle name="Neutraalne 3" xfId="6413" xr:uid="{94D57389-1EB3-427B-8955-BA0F87046CFB}"/>
    <cellStyle name="Neutral 2" xfId="6414" xr:uid="{1E91288D-1290-4505-A1C1-13B80B7DDF66}"/>
    <cellStyle name="Neutral 3" xfId="33" xr:uid="{6464A0F0-597C-44FD-AE41-83DCB3CBED38}"/>
    <cellStyle name="Neutral 4" xfId="14674" xr:uid="{C6BF51BD-836E-4F81-B46F-FA749E00C2D8}"/>
    <cellStyle name="Neutrale 2" xfId="6415" xr:uid="{D2FD5E86-5A95-4EEB-B978-1136E2C9C996}"/>
    <cellStyle name="Neutrale 3" xfId="6416" xr:uid="{0E45AC47-43D4-47D5-AD18-42A8BAD3D936}"/>
    <cellStyle name="Neutralne" xfId="6417" xr:uid="{6EA7113C-74D1-4712-87DC-98B10FD3417A}"/>
    <cellStyle name="Neutralne 2" xfId="6418" xr:uid="{1ED29DAD-780A-46FB-A11E-CD9BB882714C}"/>
    <cellStyle name="Neutrální" xfId="6419" xr:uid="{D797882B-4D05-4E6C-BDAE-99DCDED90BD8}"/>
    <cellStyle name="Neutralus" xfId="6420" xr:uid="{787F083B-8D89-4329-AAB3-C870B2B18903}"/>
    <cellStyle name="Neutre" xfId="15030" xr:uid="{1FB6BE0C-2A93-43DE-80DC-7080C34B3CEC}"/>
    <cellStyle name="Neutre 2" xfId="6421" xr:uid="{B04B16B7-733F-45BF-9FA7-CD59A716CDBE}"/>
    <cellStyle name="Neutre 2 2" xfId="6422" xr:uid="{E826A0EA-8895-4807-B925-C83AD00941F7}"/>
    <cellStyle name="Neutre 3" xfId="6423" xr:uid="{403764C6-1D21-4486-8E81-ED1AAD84D493}"/>
    <cellStyle name="Neutre 3 2" xfId="6424" xr:uid="{C22B8956-BD5F-4BE2-892A-ADE8C2292A46}"/>
    <cellStyle name="Neutre 4" xfId="6425" xr:uid="{AA77B2FC-3546-4744-9715-EAB62CD6F00A}"/>
    <cellStyle name="Neutre 4 2" xfId="6426" xr:uid="{A590C93E-9EEC-459B-BDCF-E1A7731C665D}"/>
    <cellStyle name="Neutre 5" xfId="6427" xr:uid="{7BFA5906-F7C2-43E1-8D3C-D5E45706B03D}"/>
    <cellStyle name="Normaali 2" xfId="6428" xr:uid="{1F698662-25E3-48D6-9D4E-B5DD4FEE654F}"/>
    <cellStyle name="Normaali 2 2" xfId="6429" xr:uid="{8B37832A-8AF2-4775-88CD-07F174830626}"/>
    <cellStyle name="Normaali 2 2 2" xfId="6430" xr:uid="{31898F20-AC4F-4932-8FA4-E6F5F677FFF3}"/>
    <cellStyle name="Normaali 2 3" xfId="6431" xr:uid="{DA0215D7-95BE-4BE4-A2D1-72D6FE48DB13}"/>
    <cellStyle name="Normaali_Layo9704" xfId="6432" xr:uid="{17B6736E-7886-431C-B26A-02A034A00205}"/>
    <cellStyle name="Normal" xfId="0" builtinId="0"/>
    <cellStyle name="Normal - Style1" xfId="6433" xr:uid="{53065313-1DF0-4553-A6A8-5BDE8161CCD9}"/>
    <cellStyle name="Normal 1" xfId="6434" xr:uid="{810DE83B-D387-4E2F-AC22-5462DBEA86D5}"/>
    <cellStyle name="Normal 10" xfId="6435" xr:uid="{84A532F7-AD00-423A-A257-22F4DA994CF4}"/>
    <cellStyle name="Normal 10 2" xfId="6436" xr:uid="{9F92679B-E4F7-40FF-ABAA-85925FED5367}"/>
    <cellStyle name="Normal 10 2 2" xfId="6437" xr:uid="{5ACE36EF-4E38-46E5-B860-DB5AF3A0442D}"/>
    <cellStyle name="Normal 10 2 3" xfId="36" xr:uid="{B44FD6BF-3BDB-453E-902A-D0AD5C7F0765}"/>
    <cellStyle name="Normal 10 2_RP3 PP revised" xfId="15111" xr:uid="{997F076F-34DB-4CFA-84AB-497B22848642}"/>
    <cellStyle name="Normal 10 3" xfId="6438" xr:uid="{6560C3FB-3F59-42B2-BE3B-CA1D7B8D012F}"/>
    <cellStyle name="Normal 10 4" xfId="6439" xr:uid="{727777A3-A76A-438D-B267-112CBC5D0C74}"/>
    <cellStyle name="Normal 10 5" xfId="6440" xr:uid="{280F616B-2C47-438E-BDDF-19EFBBBC9B9B}"/>
    <cellStyle name="Normal 10 6" xfId="6441" xr:uid="{763B5E9C-7E00-45C5-A1B1-25158648F613}"/>
    <cellStyle name="Normal 10_RP3 PP revised" xfId="14919" xr:uid="{28757070-E5D6-4065-9E45-82964997056C}"/>
    <cellStyle name="Normal 100" xfId="6442" xr:uid="{3A01F644-77B3-4898-9A88-3913C562DA8A}"/>
    <cellStyle name="Normal 101" xfId="6443" xr:uid="{34080B33-3F77-4403-867E-338321641922}"/>
    <cellStyle name="Normal 102" xfId="6444" xr:uid="{8EFC3A40-9334-4F6E-A8CB-EA182075164E}"/>
    <cellStyle name="Normal 103" xfId="6445" xr:uid="{02B2C109-29CA-4BE7-83E6-A4C7CB8ED8F5}"/>
    <cellStyle name="Normal 104" xfId="6446" xr:uid="{C39B8B72-73FC-4EC3-97C8-F28588F73F39}"/>
    <cellStyle name="Normal 105" xfId="6447" xr:uid="{6D60D82C-A969-4F8B-87F0-0D2F95309583}"/>
    <cellStyle name="Normal 106" xfId="6448" xr:uid="{BAB841AB-42FF-44BF-8863-A31F064DBB74}"/>
    <cellStyle name="Normal 107" xfId="6449" xr:uid="{E9FB47E9-422F-4531-8716-4B4005859305}"/>
    <cellStyle name="Normal 108" xfId="14678" xr:uid="{305817B6-C473-42A5-B18F-28AE4E784B8A}"/>
    <cellStyle name="Normal 108 2" xfId="25753" xr:uid="{E5C7AD12-769E-41AA-BC30-F2FDE317440B}"/>
    <cellStyle name="Normal 109" xfId="14722" xr:uid="{7574FADA-C4F2-47BE-B07A-46992B94F273}"/>
    <cellStyle name="Normal 109 2" xfId="25759" xr:uid="{8A1562F0-F596-4BEC-BD35-5542EAE878EA}"/>
    <cellStyle name="Normal 11" xfId="6450" xr:uid="{1B8EFA2B-40BA-47E3-AA7D-4CB48A09D9DD}"/>
    <cellStyle name="Normal 11 2" xfId="6451" xr:uid="{83B14190-27A7-4316-9872-804FFFB12A91}"/>
    <cellStyle name="Normal 11 2 2" xfId="6452" xr:uid="{79609407-A8F9-452C-AC48-473B0FA3F364}"/>
    <cellStyle name="Normal 11 2 3" xfId="6453" xr:uid="{364E2F5B-F71C-46C6-A966-C39FC14D4328}"/>
    <cellStyle name="Normal 11 2_RP3 PP revised" xfId="15109" xr:uid="{4B11B6D4-D455-4197-8D45-BC37FD97B3F1}"/>
    <cellStyle name="Normal 11 3" xfId="6454" xr:uid="{66ABFCEE-C3CC-4CB9-9FFE-240AE79057EE}"/>
    <cellStyle name="Normal 11 4" xfId="6455" xr:uid="{63460D04-2759-4E49-BCCB-20B1E4887FF8}"/>
    <cellStyle name="Normal 11 4 2" xfId="6456" xr:uid="{F928699B-5097-497C-9721-D8B9EEB619D5}"/>
    <cellStyle name="Normal 11 4 3" xfId="6457" xr:uid="{6A1E2446-DE3D-42C5-8990-9DF240093D44}"/>
    <cellStyle name="Normal 11 4 4" xfId="6458" xr:uid="{90059EBD-376D-4B7F-8C7D-C3A6A2074F95}"/>
    <cellStyle name="Normal 11_RP3 PP revised" xfId="15110" xr:uid="{A619000E-ED8B-492F-9599-F972AE96ED64}"/>
    <cellStyle name="Normal 110" xfId="14680" xr:uid="{A9D977E6-5377-4718-970E-5CC2D5A84DB4}"/>
    <cellStyle name="Normal 110 2" xfId="25754" xr:uid="{D921BCCA-470E-44F2-850A-3E1681AF96DC}"/>
    <cellStyle name="Normal 111" xfId="25907" xr:uid="{41BF97E0-69A2-4925-96E1-2C1CA3613002}"/>
    <cellStyle name="Normal 12" xfId="6459" xr:uid="{E09CA99D-7732-404F-8632-737ED373BE0F}"/>
    <cellStyle name="Normal 12 2" xfId="6460" xr:uid="{A619DED3-D3A0-46E8-968E-5BE9321F0442}"/>
    <cellStyle name="Normal 12 3" xfId="6461" xr:uid="{A6F63522-8FD0-4A10-840A-C57D5F6D0B81}"/>
    <cellStyle name="Normal 12 4" xfId="6462" xr:uid="{8C7FEA4D-92D2-4535-8312-8AFB0B19F8D1}"/>
    <cellStyle name="Normal 13" xfId="6463" xr:uid="{72D10A4D-83FA-4672-B7BD-EDB39E86C318}"/>
    <cellStyle name="Normal 13 2" xfId="6464" xr:uid="{44CD12CF-5434-476D-8864-F926BFA20135}"/>
    <cellStyle name="Normal 13 3" xfId="6465" xr:uid="{490C4B34-324C-4E8C-BD1B-DD7DC1DE726D}"/>
    <cellStyle name="Normal 14" xfId="6466" xr:uid="{F8DD2260-68BE-42F6-9EE3-EE92F108AD1D}"/>
    <cellStyle name="Normal 14 2" xfId="6467" xr:uid="{B69EE4B2-DA5F-48FA-ACE4-CABAAD0C8054}"/>
    <cellStyle name="Normal 14 2 2" xfId="15317" xr:uid="{907D8A44-DE1F-44C8-AB06-B2A0BF147220}"/>
    <cellStyle name="Normal 14 2_RP3 PP revised" xfId="15396" xr:uid="{02B3DE31-37C4-4AA3-A842-5E97F1A581FE}"/>
    <cellStyle name="Normal 14 3" xfId="6468" xr:uid="{EE912C6E-600B-4266-B41C-F05575CC9B58}"/>
    <cellStyle name="Normal 14 3 2" xfId="6469" xr:uid="{785DBAB2-B54F-47CB-8376-DAD06E31156E}"/>
    <cellStyle name="Normal 14 3 2 2" xfId="6470" xr:uid="{D85131F8-C639-4AFF-B036-C25AD07C1625}"/>
    <cellStyle name="Normal 14 3 2 2 2" xfId="6471" xr:uid="{8E835230-14E3-4FA8-8A15-4F71CC77A9AC}"/>
    <cellStyle name="Normal 14 3 2 3" xfId="6472" xr:uid="{B6FADC13-1BDC-4DFC-8CE7-BE69A44A3B2A}"/>
    <cellStyle name="Normal 14 3 3" xfId="6473" xr:uid="{A03D78D3-A8B0-4BC1-9157-8A0BBD274928}"/>
    <cellStyle name="Normal 14 3 3 2" xfId="6474" xr:uid="{B1D57B85-3BA6-47C0-93F1-4614D0E2E913}"/>
    <cellStyle name="Normal 14 3 4" xfId="6475" xr:uid="{C9D7568E-DF95-4077-BAB4-7EA2EAAC7098}"/>
    <cellStyle name="Normal 14 4" xfId="6476" xr:uid="{EAD19774-CE52-40E0-9C92-EFB7335ACF24}"/>
    <cellStyle name="Normal 14 4 2" xfId="6477" xr:uid="{359DB23B-3F57-4D01-9E06-6CCA16D0F9A3}"/>
    <cellStyle name="Normal 14 4 2 2" xfId="6478" xr:uid="{061F0444-AAE2-4E1C-97AF-C236F8AE297C}"/>
    <cellStyle name="Normal 14 4 3" xfId="6479" xr:uid="{173A4625-3848-4638-B4E8-7F13D489623E}"/>
    <cellStyle name="Normal 14 5" xfId="6480" xr:uid="{B90DEC86-B63A-4511-BA7E-5E412BEB414C}"/>
    <cellStyle name="Normal 14 5 2" xfId="6481" xr:uid="{C6F297C7-1161-4272-AAEB-72C378167B59}"/>
    <cellStyle name="Normal 14 6" xfId="6482" xr:uid="{A334B4CC-9902-4936-9929-D8308439074D}"/>
    <cellStyle name="Normal 14 6 2" xfId="14766" xr:uid="{1B8B9F87-3AE7-467C-8881-391B9D1593FE}"/>
    <cellStyle name="Normal 14_RP3 PP revised" xfId="15397" xr:uid="{0379DCEE-BEF5-452D-BD22-6FD63787732A}"/>
    <cellStyle name="Normal 15" xfId="6483" xr:uid="{786010AD-4EC7-4E75-A5B5-2CF3CFD83897}"/>
    <cellStyle name="Normal 15 2" xfId="6484" xr:uid="{23356837-0435-47F2-937B-E54AE981F08F}"/>
    <cellStyle name="Normal 15 3" xfId="6485" xr:uid="{8020B690-EAEE-46CE-BF17-D808A3AC623F}"/>
    <cellStyle name="Normal 15 4" xfId="6486" xr:uid="{8F916681-B7CB-4F1A-BFD8-8C52767BC136}"/>
    <cellStyle name="Normal 15 5" xfId="6487" xr:uid="{701A191D-E077-4D8B-ADDF-5AFB183F4A86}"/>
    <cellStyle name="Normal 16" xfId="19" xr:uid="{B19154D3-95C0-4F6E-8C62-082D49621268}"/>
    <cellStyle name="Normal 16 2" xfId="6488" xr:uid="{0FEF66A9-29FF-45AF-A680-D7BB4DFAA9E8}"/>
    <cellStyle name="Normal 16 3" xfId="6489" xr:uid="{4A5F76F8-40BC-406D-8BC1-B0497E67E9B0}"/>
    <cellStyle name="Normal 17" xfId="6490" xr:uid="{57DFFE08-EFD7-4936-9B5E-36602B0E58D6}"/>
    <cellStyle name="Normal 17 2" xfId="6491" xr:uid="{6436AF3B-29A5-4138-811D-47FEF84E762A}"/>
    <cellStyle name="Normal 17 2 2" xfId="6492" xr:uid="{CD136EA5-BD1A-456E-82C0-7BF7F99B4A82}"/>
    <cellStyle name="Normal 17 3" xfId="6493" xr:uid="{366A010C-F9C3-4B84-8004-A5C0CC39F7C2}"/>
    <cellStyle name="Normal 17 4" xfId="6494" xr:uid="{DB2D781E-5F9F-45F5-A4A1-68A10FEEA0F9}"/>
    <cellStyle name="Normal 18" xfId="32" xr:uid="{CC0B60AA-80B3-4A6C-A751-828508039B69}"/>
    <cellStyle name="Normal 18 2" xfId="6495" xr:uid="{21421292-DF0C-4394-B67D-969F027CF57D}"/>
    <cellStyle name="Normal 18 2 2" xfId="6496" xr:uid="{A48A9029-8EB6-41A2-B694-3180681F9826}"/>
    <cellStyle name="Normal 18 3" xfId="6497" xr:uid="{5161AEE2-49E2-41BF-89D1-702A101BA0DA}"/>
    <cellStyle name="Normal 19" xfId="6498" xr:uid="{FA700FEE-8AF4-4C8C-BBF8-53B5F315E5C3}"/>
    <cellStyle name="Normal 19 2" xfId="6499" xr:uid="{C4BA9941-495D-4469-9BA0-A739DC63ACAA}"/>
    <cellStyle name="Normal 19 2 2" xfId="6500" xr:uid="{E955F511-C141-417D-ABB5-AE675B9010B2}"/>
    <cellStyle name="Normal 19 2_RP3 PP revised" xfId="15330" xr:uid="{1E93BC99-0952-4FEF-B7C7-B257FF582C0F}"/>
    <cellStyle name="Normal 19 3" xfId="6501" xr:uid="{F8DC3939-7DED-44A8-94CD-551AECBA6387}"/>
    <cellStyle name="Normal 19 4" xfId="15256" xr:uid="{A9627C45-8E2B-4191-A97C-57D5928EF79C}"/>
    <cellStyle name="Normal 19_RP3 PP revised" xfId="15395" xr:uid="{1CC704BF-72DA-421F-9753-927487EE7D6A}"/>
    <cellStyle name="Normal 2" xfId="5" xr:uid="{18935F9D-0F95-4EB4-A4B6-51BD52A5F3D7}"/>
    <cellStyle name="Normál 2" xfId="6503" xr:uid="{FF418EE1-2CFF-47BD-BB07-74A42AFA4AFD}"/>
    <cellStyle name="Normal 2 10" xfId="6504" xr:uid="{5407A0A5-FEB9-4A69-8A7B-53CF889AF78B}"/>
    <cellStyle name="Normal 2 10 2" xfId="6505" xr:uid="{EF53B7EE-1C9F-43FE-BEE4-E4D5FD64D078}"/>
    <cellStyle name="Normal 2 11" xfId="6506" xr:uid="{5A092A12-1B5E-45B4-971F-C519B123D8AF}"/>
    <cellStyle name="Normal 2 11 2" xfId="14817" xr:uid="{C0D74BBE-2BF8-4EE9-8483-C41D5F90EA15}"/>
    <cellStyle name="Normal 2 12" xfId="6507" xr:uid="{5C885CB2-99A7-4174-996F-A202CFC2A37F}"/>
    <cellStyle name="Normal 2 12 2" xfId="14818" xr:uid="{94B59175-1B80-4E1A-B66C-F3F1C59CE769}"/>
    <cellStyle name="Normal 2 13" xfId="6508" xr:uid="{2B7E0134-31EA-453F-AAA3-CB1B15268F9C}"/>
    <cellStyle name="Normal 2 13 2" xfId="14819" xr:uid="{657B94BE-A103-4B22-9DBC-34441C4C739A}"/>
    <cellStyle name="Normal 2 14" xfId="6509" xr:uid="{B37AF4E8-D2C5-4E0E-A8E4-705C5928AF7F}"/>
    <cellStyle name="Normal 2 14 2" xfId="14820" xr:uid="{D69D2610-764D-495A-AB8B-58C8F6BE7405}"/>
    <cellStyle name="Normal 2 15" xfId="6510" xr:uid="{C2B96320-2A00-48FD-9FC6-56F948975EA2}"/>
    <cellStyle name="Normal 2 16" xfId="6511" xr:uid="{F374372D-8364-4EDF-BD23-167BE5FC9AB9}"/>
    <cellStyle name="Normal 2 17" xfId="6512" xr:uid="{48051ECB-3535-4576-AC41-D89019818821}"/>
    <cellStyle name="Normal 2 18" xfId="6513" xr:uid="{8D8D80C3-B11B-481B-A16B-1C85C7B224A3}"/>
    <cellStyle name="Normal 2 19" xfId="6514" xr:uid="{3228A11E-68BC-434C-9472-5DAA745E7B89}"/>
    <cellStyle name="Normal 2 2" xfId="6515" xr:uid="{A90DC7F5-8428-47E4-83CF-CD6426BF8275}"/>
    <cellStyle name="Normal 2 2 2" xfId="6516" xr:uid="{598B86A9-B059-4C17-BC2C-09913E926238}"/>
    <cellStyle name="Normal 2 2 2 2" xfId="6517" xr:uid="{AE8ADFA0-566A-41AB-8765-7FF1645605B9}"/>
    <cellStyle name="Normal 2 2 2 3" xfId="6518" xr:uid="{F24C199A-D587-4BCF-AFE2-874EE3045927}"/>
    <cellStyle name="Normal 2 2 2_RP3 PP revised" xfId="14918" xr:uid="{807AC670-76C3-4E50-B3F7-D9B31D4E4EC4}"/>
    <cellStyle name="Normal 2 2 3" xfId="6519" xr:uid="{3FE6702E-55D6-4329-9A83-34BEE224BA39}"/>
    <cellStyle name="Normal 2 2 3 2" xfId="6520" xr:uid="{C5F9F38E-147B-4E94-BDAD-2CCA29A0F877}"/>
    <cellStyle name="Normal 2 2 4" xfId="6521" xr:uid="{C3BE9657-B45A-4D0C-B254-95C0229210FA}"/>
    <cellStyle name="Normal 2 2 5" xfId="6522" xr:uid="{55E893AB-893B-4347-8804-20C892096897}"/>
    <cellStyle name="Normal 2 2_RP3 PP revised" xfId="15254" xr:uid="{39C68BB2-05D5-4D7A-934A-E9C8BF214046}"/>
    <cellStyle name="Normal 2 20" xfId="6523" xr:uid="{5B8E5BEC-78A1-4E23-BAB9-C517E7F05ED7}"/>
    <cellStyle name="Normal 2 21" xfId="6524" xr:uid="{1B882401-6550-4073-9274-39126EA814E2}"/>
    <cellStyle name="Normal 2 22" xfId="6525" xr:uid="{0DE3DEE5-1799-45F5-9A4E-1CB6E2436F25}"/>
    <cellStyle name="Normal 2 23" xfId="6526" xr:uid="{B020D370-7C9B-40C7-9E24-7BA862BF1843}"/>
    <cellStyle name="Normal 2 24" xfId="6527" xr:uid="{42C046AB-4F93-4DD4-8D51-0EC8AC841CDE}"/>
    <cellStyle name="Normal 2 25" xfId="6528" xr:uid="{DF9A9281-CC13-498C-B93D-553861327863}"/>
    <cellStyle name="Normal 2 26" xfId="15031" xr:uid="{7FB5B54B-7096-4EB3-9D1C-6972798145BA}"/>
    <cellStyle name="Normal 2 27" xfId="6502" xr:uid="{B12A0E01-89C7-4B0E-93C6-71C4F103F756}"/>
    <cellStyle name="Normal 2 28" xfId="25856" xr:uid="{03EB3A8E-556A-468F-8F55-E309B2E5E20B}"/>
    <cellStyle name="Normal 2 29" xfId="25877" xr:uid="{A54285FE-1289-4DB9-9D34-50852C12C1EF}"/>
    <cellStyle name="Normal 2 3" xfId="6529" xr:uid="{143C078C-C7B4-47F6-BB7E-8FAFDDA987D4}"/>
    <cellStyle name="Normal 2 3 2" xfId="6530" xr:uid="{57873677-6AEA-476A-B424-895C93E1B850}"/>
    <cellStyle name="Normal 2 3 2 2" xfId="6531" xr:uid="{1D7E2600-ADC4-444C-B3E6-1666BDB23160}"/>
    <cellStyle name="Normal 2 3 2 2 2" xfId="6532" xr:uid="{D7BBCF8C-B9DC-4FFC-8169-6BA931F809CA}"/>
    <cellStyle name="Normal 2 3 2 2 3" xfId="6533" xr:uid="{35B88C44-935A-4720-8B82-76793A307C98}"/>
    <cellStyle name="Normal 2 3 2 3" xfId="38" xr:uid="{6F1EDC83-3B57-462C-8BD1-C9581E9BE62C}"/>
    <cellStyle name="Normal 2 3 2 3 2" xfId="6534" xr:uid="{D9BEC52D-AFDB-4ABC-AB43-6BB09802CDE8}"/>
    <cellStyle name="Normal 2 3 2 4" xfId="6535" xr:uid="{150E6F9A-F283-4843-8B30-101109B0AE3C}"/>
    <cellStyle name="Normal 2 3 2 4 2" xfId="14821" xr:uid="{D7CC12F8-BDF6-40B1-A026-A6E6955ED571}"/>
    <cellStyle name="Normal 2 3 2_RP3 PP revised" xfId="15107" xr:uid="{C6A14561-2E01-4716-AE3C-24C69BB1E0A3}"/>
    <cellStyle name="Normal 2 3 3" xfId="6536" xr:uid="{077EBD59-B8A3-4063-AC15-725379544C40}"/>
    <cellStyle name="Normal 2 3 3 2" xfId="6537" xr:uid="{BCC52168-130E-4C14-82AB-925083C9CD1C}"/>
    <cellStyle name="Normal 2 3 3 2 2" xfId="15318" xr:uid="{935D4FDD-CD58-40C4-BBB9-7C1D7D87C1CA}"/>
    <cellStyle name="Normal 2 3 3 2_RP3 PP revised" xfId="15328" xr:uid="{969680CA-398B-4FB6-9691-B90CD1CDBAA0}"/>
    <cellStyle name="Normal 2 3 4" xfId="6538" xr:uid="{6B79F34A-D68D-4426-8120-A5F01E9A1C4E}"/>
    <cellStyle name="Normal 2 3 5" xfId="6539" xr:uid="{946C278B-CDC6-4E27-9F65-644B4A2313E3}"/>
    <cellStyle name="Normal 2 3_RP3 PP revised" xfId="15329" xr:uid="{4B0027E9-6910-4676-8C17-2EA4CCF56BBB}"/>
    <cellStyle name="Normal 2 30" xfId="25861" xr:uid="{E27920B9-CEB3-4B15-8C02-D5361D808A63}"/>
    <cellStyle name="Normal 2 4" xfId="6540" xr:uid="{407B8CBA-4DA1-48DC-B13E-B6788B7F1843}"/>
    <cellStyle name="Normal 2 4 2" xfId="6541" xr:uid="{96780A80-1441-4052-AD0C-22F49A5AE2B6}"/>
    <cellStyle name="Normal 2 4 2 2" xfId="6542" xr:uid="{70AE4088-9068-4E2A-A0C8-BF1B378C1462}"/>
    <cellStyle name="Normal 2 4 2 2 2" xfId="6543" xr:uid="{979B68A5-6F78-46A6-AA0D-5CB46C948AF6}"/>
    <cellStyle name="Normal 2 4 2 3" xfId="6544" xr:uid="{C7DB2A86-A6A0-41C2-816F-5DA848724938}"/>
    <cellStyle name="Normal 2 4 3" xfId="6545" xr:uid="{6E79834B-3CDB-49AD-B256-BAB7824F45D5}"/>
    <cellStyle name="Normal 2 4 3 2" xfId="6546" xr:uid="{C1EB51DD-113E-428E-A5CF-951855D59314}"/>
    <cellStyle name="Normal 2 4 3 2 2" xfId="6547" xr:uid="{E2FE3385-ECAC-481B-84ED-08CB5FB1A194}"/>
    <cellStyle name="Normal 2 4 3 3" xfId="6548" xr:uid="{B4D70FB8-B48E-4090-B267-0C0BFBD017B9}"/>
    <cellStyle name="Normal 2 4 4" xfId="6549" xr:uid="{E988657B-CAEC-476D-A95C-5476F718A6F4}"/>
    <cellStyle name="Normal 2 4 4 2" xfId="6550" xr:uid="{32C2A109-A88A-4457-9748-4ACEFF1CA964}"/>
    <cellStyle name="Normal 2 4 5" xfId="6551" xr:uid="{E8B787DA-F8EF-4E85-B4B5-E5A082B5A9B7}"/>
    <cellStyle name="Normal 2 4 6" xfId="6552" xr:uid="{A8269E8A-6372-448E-8783-7A2BBF9D14D5}"/>
    <cellStyle name="Normal 2 4_RP3 PP revised" xfId="15106" xr:uid="{83290FED-7567-423A-8881-13F180C38EF4}"/>
    <cellStyle name="Normal 2 5" xfId="6553" xr:uid="{D709F33F-F1E7-48F6-847A-D4D863C90CEA}"/>
    <cellStyle name="Normal 2 5 2" xfId="6554" xr:uid="{C12E07B2-F069-4821-9954-22CAA1B1D831}"/>
    <cellStyle name="Normal 2 6" xfId="6555" xr:uid="{56CA7BDB-F9D4-43A3-9F7B-7DAFFC0E6EA8}"/>
    <cellStyle name="Normal 2 6 2" xfId="6556" xr:uid="{56BBECFB-EB45-4680-AB1E-9E669248027C}"/>
    <cellStyle name="Normal 2 6 3" xfId="6557" xr:uid="{543FEF6F-CAC2-4DBC-8401-D34F10666731}"/>
    <cellStyle name="Normal 2 7" xfId="6558" xr:uid="{5B6BC31A-2B16-442A-982E-7E22323B6427}"/>
    <cellStyle name="Normal 2 7 2" xfId="6559" xr:uid="{82ADC31D-7CE8-47FB-9102-AC22FA3889A9}"/>
    <cellStyle name="Normal 2 8" xfId="6560" xr:uid="{D82D2CAA-4B98-4AF3-B6CC-E9924AD96653}"/>
    <cellStyle name="Normal 2 9" xfId="6561" xr:uid="{5664EB64-9B68-49CD-8F48-CCBC71C10466}"/>
    <cellStyle name="Normal 2_Additional information tables" xfId="6562" xr:uid="{4F9700EC-9E51-4FA9-B237-AF9D4AE7C405}"/>
    <cellStyle name="Normal 20" xfId="6563" xr:uid="{D8EC9D22-0212-430D-8B44-24BAFF555CEE}"/>
    <cellStyle name="Normal 20 2" xfId="6564" xr:uid="{9CA4C470-76B7-40BA-96A7-75816AB67ED9}"/>
    <cellStyle name="Normal 20 2 2" xfId="6565" xr:uid="{1452541A-EDC4-4740-9F0D-960FC59E7849}"/>
    <cellStyle name="Normal 20 3" xfId="6566" xr:uid="{8F06B790-F477-46D7-93CB-114B88BB2AC9}"/>
    <cellStyle name="Normal 20 4" xfId="15376" xr:uid="{D34E16CD-673E-4CE3-BCE6-8D474A3B2BDC}"/>
    <cellStyle name="Normal 20_RP3 PP revised" xfId="15255" xr:uid="{EA997400-6A28-47A2-843C-4C117031B616}"/>
    <cellStyle name="Normal 21" xfId="6567" xr:uid="{A14074EC-4CFA-44E3-983B-3B38B28628C0}"/>
    <cellStyle name="Normal 21 2" xfId="6568" xr:uid="{D972A74D-8254-49F4-B7C4-855B4A35F312}"/>
    <cellStyle name="Normal 21 2 2" xfId="6569" xr:uid="{A7BA4ACA-DE2E-41B5-9735-3DAD658F7ADE}"/>
    <cellStyle name="Normal 21 3" xfId="6570" xr:uid="{950E319A-9DC5-41B0-ACDE-8570C8B99637}"/>
    <cellStyle name="Normal 22" xfId="6571" xr:uid="{0D6C96FC-6CC5-4556-AD1C-E4BEC831765A}"/>
    <cellStyle name="Normal 22 2" xfId="6572" xr:uid="{0ED0DB0C-5472-408D-A7E9-B2C831F3F1A7}"/>
    <cellStyle name="Normal 22 2 2" xfId="6573" xr:uid="{059F5161-EB27-4480-99BC-EBFF26895453}"/>
    <cellStyle name="Normal 22 3" xfId="6574" xr:uid="{D6113137-66CD-4082-AD6F-5F1D809B156F}"/>
    <cellStyle name="Normal 23" xfId="6575" xr:uid="{EB66A721-EE79-4CE0-A3FA-B2261F166FBE}"/>
    <cellStyle name="Normal 23 2" xfId="6576" xr:uid="{34CCA0E6-0758-454F-898D-D80587610D79}"/>
    <cellStyle name="Normal 23 2 2" xfId="6577" xr:uid="{87AD64FF-5018-4594-9C83-D4698D58F9AA}"/>
    <cellStyle name="Normal 23 3" xfId="6578" xr:uid="{1ADD8A00-CB3D-4BD6-817D-003AEC7663AB}"/>
    <cellStyle name="Normal 24" xfId="6579" xr:uid="{63D182AC-DBB3-4F74-B79C-9CB203B86B55}"/>
    <cellStyle name="Normal 24 2" xfId="6580" xr:uid="{D7F95604-623A-4551-BB4D-17E35926D96C}"/>
    <cellStyle name="Normal 24 2 2" xfId="6581" xr:uid="{9A6D82B9-C479-4EE0-987D-939069ADBBE7}"/>
    <cellStyle name="Normal 24 3" xfId="6582" xr:uid="{32D92FB1-BC59-408B-B0E2-1392C785A26D}"/>
    <cellStyle name="Normal 25" xfId="6583" xr:uid="{CC107F6C-CC60-4513-BE0E-D20EAA87EC8A}"/>
    <cellStyle name="Normal 25 2" xfId="6584" xr:uid="{1BC55B1E-052A-4886-90FB-29C1C348AC75}"/>
    <cellStyle name="Normal 25 3" xfId="15377" xr:uid="{8BDF53A3-F098-4454-98FD-6800789FA343}"/>
    <cellStyle name="Normal 25_RP3 PP revised" xfId="15105" xr:uid="{B86EC352-4DE4-4CB3-A604-3095780D65BF}"/>
    <cellStyle name="Normal 26" xfId="6585" xr:uid="{98C39633-F322-48D5-A7BC-14F4350400AF}"/>
    <cellStyle name="Normal 26 2" xfId="6586" xr:uid="{BE03B53A-BB4C-467C-9AD1-ECA15FD76BF7}"/>
    <cellStyle name="Normal 26 3" xfId="15378" xr:uid="{A3E7188F-2D19-4E6A-8447-807C802631F7}"/>
    <cellStyle name="Normal 26_RP3 PP revised" xfId="15104" xr:uid="{D415CC4E-7ADF-427A-B755-CA96069ED51D}"/>
    <cellStyle name="Normal 27" xfId="6587" xr:uid="{98E6FC7B-6127-4CF7-8086-1AFC3C9EC248}"/>
    <cellStyle name="Normal 27 2" xfId="6588" xr:uid="{6153C0D6-F2F1-4596-9A0E-399502CDE93F}"/>
    <cellStyle name="Normal 27 2 2" xfId="6589" xr:uid="{D801F099-9D9B-4C4A-8F9D-2F0C71AF6AA7}"/>
    <cellStyle name="Normal 27 3" xfId="6590" xr:uid="{F582BF6E-9DC2-4444-BC18-27EE5D918601}"/>
    <cellStyle name="Normal 27 3 2" xfId="14786" xr:uid="{1A3601A3-2737-42AB-A652-5706E024B36B}"/>
    <cellStyle name="Normal 27 4" xfId="15379" xr:uid="{0C8E7750-A02E-441F-8F8C-A1A26899483C}"/>
    <cellStyle name="Normal 27_RP3 PP revised" xfId="15103" xr:uid="{7428DDC1-74F2-4683-8260-803FFEE6F24F}"/>
    <cellStyle name="Normal 28" xfId="6591" xr:uid="{FD6B9720-950C-4805-AAFF-36BB2D62A83F}"/>
    <cellStyle name="Normal 28 2" xfId="6592" xr:uid="{0F304F84-0574-487B-BCBB-B9F546DC27D6}"/>
    <cellStyle name="Normal 28 2 2" xfId="6593" xr:uid="{15B58E01-FBEA-4BEA-B142-CFFF4EADD4DA}"/>
    <cellStyle name="Normal 28 3" xfId="6594" xr:uid="{26F5253E-3590-43BF-A2F0-568439D45169}"/>
    <cellStyle name="Normal 28 3 2" xfId="14789" xr:uid="{0FEB2C8A-46EC-47D0-B36E-F69504E22F31}"/>
    <cellStyle name="Normal 28 4" xfId="15380" xr:uid="{2A00DDF6-CB57-476C-A925-DD461E41B98C}"/>
    <cellStyle name="Normal 28_RP3 PP revised" xfId="14920" xr:uid="{94AB7D89-E72A-43C1-854C-9273FCC781F3}"/>
    <cellStyle name="Normal 29" xfId="6595" xr:uid="{788CC724-20B7-4D63-B443-5BEC9F72D030}"/>
    <cellStyle name="Normal 29 2" xfId="6596" xr:uid="{E0AB40A6-A2F8-47BE-BA05-C0A1C4ACD1C2}"/>
    <cellStyle name="Normal 29 2 2" xfId="6597" xr:uid="{23BB2548-8DE1-4AFA-9356-E9D5A7314B37}"/>
    <cellStyle name="Normal 29 3" xfId="6598" xr:uid="{6AFA6DCC-F9AE-421B-8836-71E3D553A84F}"/>
    <cellStyle name="Normal 29 3 2" xfId="14806" xr:uid="{82A93D2F-6EF1-47ED-887A-A17B3AE76D7A}"/>
    <cellStyle name="Normal 29 4" xfId="15381" xr:uid="{5BDEB871-C108-42B0-B5AA-D3E9100EA07B}"/>
    <cellStyle name="Normal 29_RP3 PP revised" xfId="15102" xr:uid="{F1ED5900-B7B9-47EF-92A3-DA0B73D9FAEE}"/>
    <cellStyle name="Normal 3" xfId="12" xr:uid="{ABB8E734-BC01-4B41-8096-C652A4E1F401}"/>
    <cellStyle name="Normál 3" xfId="6600" xr:uid="{FFB27E73-E900-4B36-B137-62B76A96C88A}"/>
    <cellStyle name="Normal 3 10" xfId="6601" xr:uid="{0C80F4E0-09F0-4FC2-AC4D-D944D75884B5}"/>
    <cellStyle name="Normal 3 10 2" xfId="14822" xr:uid="{3A500CDC-649E-4E8D-9098-ACB3CB0B4275}"/>
    <cellStyle name="Normal 3 11" xfId="6602" xr:uid="{7F1CB828-FCDB-498B-BB9D-69C56162B333}"/>
    <cellStyle name="Normal 3 12" xfId="6603" xr:uid="{94C53B7C-9212-467C-8C86-F1E18EA665F8}"/>
    <cellStyle name="Normal 3 13" xfId="6604" xr:uid="{155F4638-485E-4040-900C-CBA52EB32824}"/>
    <cellStyle name="Normal 3 14" xfId="6605" xr:uid="{E8585FA3-9658-4008-83FB-D3FB3F16F095}"/>
    <cellStyle name="Normal 3 15" xfId="6606" xr:uid="{CF51487D-4CB1-4F1A-8696-6F71FB319616}"/>
    <cellStyle name="Normal 3 16" xfId="6607" xr:uid="{0201CA0F-1E16-4691-8EFC-6919817339DC}"/>
    <cellStyle name="Normal 3 17" xfId="6608" xr:uid="{8CD0DE39-7655-4BC3-B455-3AD9DDEF09E5}"/>
    <cellStyle name="Normal 3 18" xfId="6609" xr:uid="{C458D20D-F75B-47A4-892B-17A37EA6FD02}"/>
    <cellStyle name="Normal 3 19" xfId="6610" xr:uid="{934A9FDC-D14C-4B9D-ABE7-A7B160AEC329}"/>
    <cellStyle name="Normal 3 2" xfId="6611" xr:uid="{2353A17F-79A2-4905-9A5D-E2A3F4ED8620}"/>
    <cellStyle name="Normál 3 2" xfId="14823" xr:uid="{66121785-D8FC-4E1C-8B4C-7F6857C947AE}"/>
    <cellStyle name="Normal 3 2 2" xfId="6612" xr:uid="{76C15105-97D5-42E9-BABB-DEEEC6202D05}"/>
    <cellStyle name="Normal 3 2 2 2" xfId="6613" xr:uid="{571E0E9A-29B2-4189-A0A9-31D12F21C14B}"/>
    <cellStyle name="Normal 3 2 2 3" xfId="6614" xr:uid="{45D7E019-A1F3-42CC-9212-250BA8CE2B6A}"/>
    <cellStyle name="Normal 3 2 2 4" xfId="6615" xr:uid="{5B67B258-444E-4706-9528-DD28693BA54F}"/>
    <cellStyle name="Normal 3 2 3" xfId="6616" xr:uid="{96A7D691-4289-4315-9BC2-A0374EF90985}"/>
    <cellStyle name="Normal 3 2 4" xfId="6617" xr:uid="{7B755767-9DCB-4330-A803-A5DAD0E2CEA1}"/>
    <cellStyle name="Normal 3 2 5" xfId="14719" xr:uid="{E17592D2-504F-4287-ACCE-48E085B92E6A}"/>
    <cellStyle name="Normal 3 2 6" xfId="14698" xr:uid="{C2CAEB0E-7281-4273-AC5B-1BD36435477F}"/>
    <cellStyle name="Normal 3 2 7" xfId="15033" xr:uid="{CD97A9EB-7496-4B9E-AD64-258CBF4EB50C}"/>
    <cellStyle name="Normal 3 2_RP3 PP revised" xfId="15394" xr:uid="{C59E7569-9256-4736-887B-E54D3A7484B5}"/>
    <cellStyle name="Normal 3 20" xfId="6618" xr:uid="{1875A6D9-1F13-4E56-8B53-6A5C694146F5}"/>
    <cellStyle name="Normal 3 21" xfId="6619" xr:uid="{D7096D5B-A4BD-4A7F-B3F4-CF30F5EA85D8}"/>
    <cellStyle name="Normal 3 22" xfId="6620" xr:uid="{8442E85C-3361-4428-9E68-21AB2C08168A}"/>
    <cellStyle name="Normal 3 23" xfId="15032" xr:uid="{2E96AFC5-419B-4572-9DE0-09892267387A}"/>
    <cellStyle name="Normal 3 24" xfId="6599" xr:uid="{4CB461C4-9464-44F3-AE30-99B8E4E0C10A}"/>
    <cellStyle name="Normal 3 25" xfId="25857" xr:uid="{247DE935-B0EA-4B60-832B-65025170032B}"/>
    <cellStyle name="Normal 3 26" xfId="25864" xr:uid="{4E8B4B27-DCFC-4492-B8D5-1576C8D2D99B}"/>
    <cellStyle name="Normal 3 27" xfId="25862" xr:uid="{88AFDA58-A599-48AB-B485-3351414668E4}"/>
    <cellStyle name="Normal 3 3" xfId="6621" xr:uid="{2337C43C-5EC6-4ACF-B839-E5092A553D1C}"/>
    <cellStyle name="Normál 3 3" xfId="14824" xr:uid="{6AC4E12F-12AD-4A6D-BC50-757122BCA802}"/>
    <cellStyle name="Normal 3 3 2" xfId="6622" xr:uid="{CD4A35FF-0180-413F-B31F-034ACCA0B387}"/>
    <cellStyle name="Normal 3 3 3" xfId="6623" xr:uid="{8FD26210-4B86-4E1F-B125-4517E23EB0B4}"/>
    <cellStyle name="Normal 3 3 3 2" xfId="6624" xr:uid="{BB6B22FF-73AA-4DD3-88F7-F64BD882D058}"/>
    <cellStyle name="Normal 3 3 4" xfId="14718" xr:uid="{A067435D-6433-4253-9F40-2285C6284288}"/>
    <cellStyle name="Normal 3 3 5" xfId="14699" xr:uid="{8BA2F533-ECC8-44C8-94ED-DDDC04F336F9}"/>
    <cellStyle name="Normal 3 3 6" xfId="15034" xr:uid="{81999843-3305-4B2A-B4A2-041614D6716B}"/>
    <cellStyle name="Normal 3 3_RP3 PP revised" xfId="15393" xr:uid="{BD5384C1-7F15-4529-81B5-974B14449674}"/>
    <cellStyle name="Normal 3 4" xfId="6625" xr:uid="{DE418998-24F4-4B15-9431-FE69C2E92510}"/>
    <cellStyle name="Normal 3 4 2" xfId="14825" xr:uid="{54D7ED15-82DA-497C-A119-D0F4B03B10E4}"/>
    <cellStyle name="Normal 3 4 3" xfId="15382" xr:uid="{51173628-3575-41CD-91C3-27FFE2C7B871}"/>
    <cellStyle name="Normal 3 4_RP3 PP revised" xfId="15392" xr:uid="{3B4D3B74-866F-4266-AA6A-F7E10D4FE9D5}"/>
    <cellStyle name="Normal 3 5" xfId="6626" xr:uid="{89F411EF-F903-48EF-A4B5-F813DEAF1744}"/>
    <cellStyle name="Normal 3 6" xfId="6627" xr:uid="{0327D755-6F47-4347-9713-F0A5A6B11D6C}"/>
    <cellStyle name="Normal 3 7" xfId="6628" xr:uid="{98757183-7915-4808-8400-2FAFF81283E4}"/>
    <cellStyle name="Normal 3 7 2" xfId="14826" xr:uid="{31D817CC-FA3B-40AF-8A20-7355C79B5917}"/>
    <cellStyle name="Normal 3 8" xfId="6629" xr:uid="{5B64249D-A314-41F3-86E4-2339A04285CE}"/>
    <cellStyle name="Normal 3 8 2" xfId="14827" xr:uid="{88A64867-0102-4A82-88CA-95E35D631109}"/>
    <cellStyle name="Normal 3 9" xfId="6630" xr:uid="{6AE859BD-87B9-4C48-9DC6-721BF85B059C}"/>
    <cellStyle name="Normal 3 9 2" xfId="14828" xr:uid="{119DAF71-705B-4CF9-AE37-5B06E256DE92}"/>
    <cellStyle name="Normal 3_RP1-FI-V0" xfId="6631" xr:uid="{742671CB-FD0C-4E69-9052-946B41BD1FD6}"/>
    <cellStyle name="Normal 30" xfId="6632" xr:uid="{F3A5D553-AB1E-4D83-841B-5318329FE144}"/>
    <cellStyle name="Normal 30 2" xfId="6633" xr:uid="{E3A74EE4-1EEA-405D-B82B-A161E145B113}"/>
    <cellStyle name="Normal 30 2 2" xfId="6634" xr:uid="{C01847E1-B57F-40B0-B3C4-9F299AF28E1B}"/>
    <cellStyle name="Normal 30 3" xfId="6635" xr:uid="{820C364E-5438-4D28-968B-9DABE96601B6}"/>
    <cellStyle name="Normal 30 3 2" xfId="14792" xr:uid="{53A17260-6E4C-443B-B7D6-088F9F20E41B}"/>
    <cellStyle name="Normal 30 4" xfId="15429" xr:uid="{0CCB87BA-D9E2-48CA-A4C0-D9F011B4D6B0}"/>
    <cellStyle name="Normal 30_RP3 PP revised" xfId="15101" xr:uid="{F308F408-0C52-4E97-85F8-F4D467E8A8A1}"/>
    <cellStyle name="Normal 31" xfId="6636" xr:uid="{B82AEF1E-BC32-4B75-92F7-CAFA68182B36}"/>
    <cellStyle name="Normal 31 2" xfId="6637" xr:uid="{79F26ED8-B66E-4F74-BF24-2BA1E997BEEC}"/>
    <cellStyle name="Normal 31 3" xfId="14912" xr:uid="{BCF2290F-E1D7-45E2-8724-F9C04E69FB41}"/>
    <cellStyle name="Normal 31_RP3 PP revised" xfId="15391" xr:uid="{D447ACD2-79E6-450C-B680-68875EE32E5E}"/>
    <cellStyle name="Normal 32" xfId="6638" xr:uid="{D4B11FF4-57FE-4435-9C99-91EB6B3027C2}"/>
    <cellStyle name="Normal 32 2" xfId="6639" xr:uid="{A925D1D4-0CD3-4355-87A9-59384E9411C4}"/>
    <cellStyle name="Normal 32 2 2" xfId="6640" xr:uid="{12C0042A-93E6-49F9-9064-22AADCE8B518}"/>
    <cellStyle name="Normal 32 3" xfId="6641" xr:uid="{98C6FB7C-CDFB-47E8-BA4E-2551007F6656}"/>
    <cellStyle name="Normal 32 3 2" xfId="14795" xr:uid="{76F00909-1FB7-495A-8063-6DD66630D97E}"/>
    <cellStyle name="Normal 33" xfId="6642" xr:uid="{8EE02126-1338-4B9E-8CFE-649B11484EFF}"/>
    <cellStyle name="Normal 33 2" xfId="6643" xr:uid="{2C6A5E89-8469-4AF8-9A9D-88E4D4700FFA}"/>
    <cellStyle name="Normal 33 2 2" xfId="6644" xr:uid="{0C288E0E-AE3A-4264-BDF3-3352FCF4DD64}"/>
    <cellStyle name="Normal 33 3" xfId="6645" xr:uid="{8BDE4712-7DE8-4452-A18E-86EFBAB649ED}"/>
    <cellStyle name="Normal 33 3 2" xfId="14803" xr:uid="{BC7536EF-45D8-49BE-839B-436B8FAF5DDB}"/>
    <cellStyle name="Normal 34" xfId="6646" xr:uid="{C9E208DC-BBAE-4157-B602-1B3E2B842B5C}"/>
    <cellStyle name="Normal 34 2" xfId="6647" xr:uid="{97FC6B01-8F1C-4151-B50B-288C77F94E56}"/>
    <cellStyle name="Normal 34 2 2" xfId="6648" xr:uid="{8631C777-8C71-4BF2-A015-17719072A3C7}"/>
    <cellStyle name="Normal 34 3" xfId="6649" xr:uid="{8EAD019E-A9F5-4974-BF89-A037C95B8E4C}"/>
    <cellStyle name="Normal 34 3 2" xfId="14798" xr:uid="{FF6DFF8C-E5DA-44C8-8255-B6C3C61227F0}"/>
    <cellStyle name="Normal 35" xfId="6650" xr:uid="{AAD2A76A-37CE-4B60-9EEC-A24D1CF68857}"/>
    <cellStyle name="Normal 35 2" xfId="6651" xr:uid="{680359D3-59DC-429E-A01E-A3E34BCBA53F}"/>
    <cellStyle name="Normal 36" xfId="6652" xr:uid="{2681688F-3577-4C0E-86B9-080F9E943962}"/>
    <cellStyle name="Normal 36 2" xfId="6653" xr:uid="{15802BC9-303E-4566-9CBB-188C10219198}"/>
    <cellStyle name="Normal 37" xfId="6654" xr:uid="{DAD488B4-F8A3-4DF7-BE44-DC4FE05E0989}"/>
    <cellStyle name="Normal 37 2" xfId="6655" xr:uid="{7DB6A258-7341-402D-9BCC-B4F6D3B2ECCB}"/>
    <cellStyle name="Normal 38" xfId="6656" xr:uid="{DA26929F-FB57-4F7D-B774-FDD5715D19D1}"/>
    <cellStyle name="Normal 38 2" xfId="6657" xr:uid="{96173E3F-C97D-4FF5-934D-DA812B4DECA7}"/>
    <cellStyle name="Normal 39" xfId="6658" xr:uid="{F3E37B51-DD21-4AF1-8C19-1B67BB29005A}"/>
    <cellStyle name="Normal 39 2" xfId="6659" xr:uid="{06F3618E-3D9F-4F2D-8338-4DB582DEC9B9}"/>
    <cellStyle name="Normal 4" xfId="6660" xr:uid="{6BB37AB9-0B9F-4CF4-B883-D08303DEF9AE}"/>
    <cellStyle name="Normál 4" xfId="6661" xr:uid="{7FC9BE6A-7385-4B17-BCC1-A77DC720DA52}"/>
    <cellStyle name="Normal 4 2" xfId="6662" xr:uid="{6041CDC7-6A13-4F99-B3EB-C78CE4D08D9D}"/>
    <cellStyle name="Normal 4 2 2" xfId="6663" xr:uid="{B78BB95B-BB81-40BC-BE00-433DE4A7D831}"/>
    <cellStyle name="Normal 4 2 2 2" xfId="6664" xr:uid="{8936013B-9FEB-40F5-85B6-BE83B4AFFB00}"/>
    <cellStyle name="Normal 4 2 2 3" xfId="6665" xr:uid="{79EED5A1-4B91-40DA-8A45-BE83E4E1AE85}"/>
    <cellStyle name="Normal 4 2 2 4" xfId="6666" xr:uid="{159239FD-7100-4016-9F6F-3FFD9ECD3660}"/>
    <cellStyle name="Normal 4 2_RP3 PP revised" xfId="15100" xr:uid="{64346788-801B-4608-AB36-44DE669523A8}"/>
    <cellStyle name="Normal 4 3" xfId="6667" xr:uid="{641ED5CE-429F-4BE8-A235-F4342570ADCC}"/>
    <cellStyle name="Normal 4 3 2" xfId="15383" xr:uid="{31B9628B-BAA8-496A-8B34-83BA9B6CFC74}"/>
    <cellStyle name="Normal 4 3_RP3 PP revised" xfId="15390" xr:uid="{0CFA3B34-5DE7-4994-B677-465B02F2952D}"/>
    <cellStyle name="Normal 4 4" xfId="6668" xr:uid="{F38D4D24-FCC0-4EE5-B4E1-9183A3D0E307}"/>
    <cellStyle name="Normal 4 5" xfId="6669" xr:uid="{83776F8E-6EEF-461A-90E5-2A676484BD2C}"/>
    <cellStyle name="Normal 4 6" xfId="15035" xr:uid="{74DE7A57-E40C-4350-9ABB-EC43EE9D83EF}"/>
    <cellStyle name="Normal 4_RP1-FI-V4" xfId="6670" xr:uid="{429B6C13-5A2A-4264-86E2-7C7AF7FA1573}"/>
    <cellStyle name="Normal 40" xfId="6671" xr:uid="{5006FF2C-1E5B-41D3-9B73-9C7585D2F958}"/>
    <cellStyle name="Normal 40 2" xfId="6672" xr:uid="{1A38F879-FC04-430A-9131-6827A07BF5DF}"/>
    <cellStyle name="Normal 40 2 2" xfId="6673" xr:uid="{B9D44F73-C1F8-4DC8-903E-813065703007}"/>
    <cellStyle name="Normal 40 2 2 2" xfId="6674" xr:uid="{70F8F174-651D-465D-8C04-ECC4730CE665}"/>
    <cellStyle name="Normal 40 2 3" xfId="6675" xr:uid="{DB51D818-3D9D-4405-8777-458558CAD913}"/>
    <cellStyle name="Normal 40 3" xfId="6676" xr:uid="{363F8B64-87B3-431B-ACD4-AF63980CCC10}"/>
    <cellStyle name="Normal 40 3 2" xfId="6677" xr:uid="{D54EB47E-1402-48E5-8380-83DB6A48A6E7}"/>
    <cellStyle name="Normal 40 3 3" xfId="6678" xr:uid="{229DD828-0292-47E3-8EAF-5FD9B2F92DF8}"/>
    <cellStyle name="Normal 40 4" xfId="6679" xr:uid="{01659FA6-787E-4F1F-AB76-05A098C483E9}"/>
    <cellStyle name="Normal 41" xfId="6680" xr:uid="{8710612B-D8B1-4F8E-BF3E-947200A3ADE3}"/>
    <cellStyle name="Normal 41 2" xfId="6681" xr:uid="{34E06BE0-43D6-452A-A291-547788DFA3A0}"/>
    <cellStyle name="Normal 42" xfId="6682" xr:uid="{B24E3E86-F8EE-453F-B151-E370B849BFF8}"/>
    <cellStyle name="Normal 42 2" xfId="6683" xr:uid="{8D3B7948-BCB7-4073-AA41-AE30EA5B428D}"/>
    <cellStyle name="Normal 43" xfId="6684" xr:uid="{A05ACCFD-680D-476A-9593-44701CFB1220}"/>
    <cellStyle name="Normal 43 2" xfId="6685" xr:uid="{B81EBD03-821F-4487-8FAF-B4D4C702ED91}"/>
    <cellStyle name="Normal 44" xfId="6686" xr:uid="{300FBBC3-4960-4DCB-AB62-9A3129E032B6}"/>
    <cellStyle name="Normal 44 2" xfId="6687" xr:uid="{3E777D43-C472-4BA2-BD0E-8CA5589B657B}"/>
    <cellStyle name="Normal 45" xfId="6688" xr:uid="{26503DC1-F43F-4F7F-9C99-FB3449DB186A}"/>
    <cellStyle name="Normal 45 2" xfId="6689" xr:uid="{7D5622D9-266C-499A-8EB6-6BBC7251482C}"/>
    <cellStyle name="Normal 46" xfId="6690" xr:uid="{D810EE84-0CCE-4BAB-9B79-348871051577}"/>
    <cellStyle name="Normal 46 2" xfId="6691" xr:uid="{0C5C302C-EA1A-4E49-AB46-44D73C21CBAB}"/>
    <cellStyle name="Normal 47" xfId="6692" xr:uid="{CE7FAD9A-1AF8-4233-9B0E-788C7E3A0BBE}"/>
    <cellStyle name="Normal 47 2" xfId="6693" xr:uid="{31334E58-7622-497D-A6AF-6990A9445ECC}"/>
    <cellStyle name="Normal 48" xfId="6694" xr:uid="{DF4B50EE-49AB-4A82-AA7D-E362D045A295}"/>
    <cellStyle name="Normal 48 2" xfId="6695" xr:uid="{718F8CF2-9894-4661-BE6A-87B9867469B8}"/>
    <cellStyle name="Normal 49" xfId="6696" xr:uid="{786A9267-666B-490D-B4CB-F218BB8D584D}"/>
    <cellStyle name="Normal 49 2" xfId="6697" xr:uid="{78DC60F6-76A8-4CE8-ADCE-6AA01C6EF33D}"/>
    <cellStyle name="Normal 49 2 2" xfId="6698" xr:uid="{28B21D6A-C12E-4CAC-B98C-8ADA8DCB8266}"/>
    <cellStyle name="Normal 49 2 3" xfId="6699" xr:uid="{3CE70B82-C713-483B-952A-D6966F327808}"/>
    <cellStyle name="Normal 49 3" xfId="6700" xr:uid="{19B54CA2-EB5D-4C30-8712-02419DFA105C}"/>
    <cellStyle name="Normal 49 3 2" xfId="6701" xr:uid="{235ABF62-8A62-4C76-90DE-FA06F54D53A6}"/>
    <cellStyle name="Normal 49 3 2 2" xfId="6702" xr:uid="{AFE9BECA-6A52-406C-AA6A-26C56AB11645}"/>
    <cellStyle name="Normal 49 3 3" xfId="6703" xr:uid="{0835B7FE-F8BA-42E3-BB42-B2CA67B19BB1}"/>
    <cellStyle name="Normal 49 4" xfId="6704" xr:uid="{59949063-7A62-4CA9-8FBA-4B3EC7AB0C1C}"/>
    <cellStyle name="Normal 49 4 2" xfId="6705" xr:uid="{CF2D9BF7-ADB4-45A9-BB1B-999C77D43792}"/>
    <cellStyle name="Normal 49 4 2 2" xfId="6706" xr:uid="{45166996-F333-434E-A767-EF32E506C0AB}"/>
    <cellStyle name="Normal 49 4 3" xfId="6707" xr:uid="{989DA43A-EE0F-4036-8BEA-B5FC04D433A6}"/>
    <cellStyle name="Normal 49 5" xfId="6708" xr:uid="{515555DC-8E6F-401D-862D-09A8300FD09F}"/>
    <cellStyle name="Normal 5" xfId="6709" xr:uid="{39FBA361-7CED-4C36-81C8-A320F31037FA}"/>
    <cellStyle name="Normál 5" xfId="6710" xr:uid="{33281A53-C9DB-42E0-B469-DE94430E8DDC}"/>
    <cellStyle name="Normal 5 2" xfId="6711" xr:uid="{A18B568F-2A79-44F4-A906-5B71D4D03DF0}"/>
    <cellStyle name="Normal 5 2 2" xfId="6712" xr:uid="{9917D367-0DE9-4958-8718-650176602DA6}"/>
    <cellStyle name="Normal 5 2 3" xfId="6713" xr:uid="{ABB730A8-D35A-46DD-BA9D-67DBD88545F8}"/>
    <cellStyle name="Normal 5 2 4" xfId="15319" xr:uid="{34C88473-C607-40FC-90E1-9A7F8E107F99}"/>
    <cellStyle name="Normal 5 2_RP3 PP revised" xfId="15099" xr:uid="{9087DF8C-4AAA-4AD7-9E75-301DC4786593}"/>
    <cellStyle name="Normal 5 3" xfId="6714" xr:uid="{F9E08380-1005-4304-B73A-A3FCD3CB67C1}"/>
    <cellStyle name="Normal 5 3 2" xfId="6715" xr:uid="{E2911844-E746-45DE-9736-5CEF368F08D3}"/>
    <cellStyle name="Normal 5 3 3" xfId="6716" xr:uid="{D02F149F-766C-491D-97E2-1257B4D682FB}"/>
    <cellStyle name="Normal 5 4" xfId="6717" xr:uid="{560A6AE5-261E-4D20-93A5-0C79BE293F9C}"/>
    <cellStyle name="Normal 5 4 2" xfId="6718" xr:uid="{0C0C6548-1319-4CF4-9519-A249D64A3E46}"/>
    <cellStyle name="Normal 5 5" xfId="6719" xr:uid="{593F578C-2DFC-42BD-AE73-59E15CD6C4E4}"/>
    <cellStyle name="Normal 5 6" xfId="14687" xr:uid="{D356F8D8-508A-4398-9CB2-8B15D467E7FD}"/>
    <cellStyle name="Normal 5 7" xfId="14717" xr:uid="{D7120C38-CFEE-4260-8556-1F4EA0601FD5}"/>
    <cellStyle name="Normal 5 8" xfId="14700" xr:uid="{344C1F1F-21D2-42C6-9128-572A16CAE120}"/>
    <cellStyle name="Normal 5 9" xfId="15036" xr:uid="{17CE123E-0DBF-4C89-A7A9-4385BB9393F0}"/>
    <cellStyle name="Normal 5_Copie de 130905 DSNA 2011 Dossier de révision initial KG _ Autre Prod vendue" xfId="6720" xr:uid="{BA306763-7607-4424-8CFF-C34F816AA875}"/>
    <cellStyle name="Normal 50" xfId="6721" xr:uid="{76EE7ACA-B4F7-478A-9C1F-2AF6B8D5FDA3}"/>
    <cellStyle name="Normal 50 2" xfId="6722" xr:uid="{99125866-82FD-4443-8AFC-808F7AE9F322}"/>
    <cellStyle name="Normal 50 3" xfId="6723" xr:uid="{C5840BB5-182C-4CA3-A540-18A3945EBDA1}"/>
    <cellStyle name="Normal 51" xfId="6724" xr:uid="{8D6C324F-B98A-4C3A-B42D-A0DAC41E8649}"/>
    <cellStyle name="Normal 51 2" xfId="6725" xr:uid="{5E1008B7-4F5E-432F-9DF1-7AB4B3AC076F}"/>
    <cellStyle name="Normal 51 3" xfId="6726" xr:uid="{52CB76AC-30AD-42CF-B96B-15407CF66DAF}"/>
    <cellStyle name="Normal 52" xfId="6727" xr:uid="{AF6BE800-5F88-4B24-ACEA-5F3B4AFE80F5}"/>
    <cellStyle name="Normal 52 2" xfId="6728" xr:uid="{8957A35C-DF81-469B-AAC9-CE64900DF1E9}"/>
    <cellStyle name="Normal 52 3" xfId="6729" xr:uid="{B2519888-8BFC-4A5F-B95E-ADFB4A8C24BC}"/>
    <cellStyle name="Normal 53" xfId="6730" xr:uid="{961265AB-39B0-4A17-8B17-1F6C5031A4CB}"/>
    <cellStyle name="Normal 53 2" xfId="6731" xr:uid="{DD6EEE9D-8DBB-4A55-80B4-C7E2304CE7B4}"/>
    <cellStyle name="Normal 53 3" xfId="6732" xr:uid="{FFCC6D87-6AEA-43A1-B5AA-93092B7DFB50}"/>
    <cellStyle name="Normal 54" xfId="6733" xr:uid="{87121284-B835-491D-B6BA-82E1E1986C62}"/>
    <cellStyle name="Normal 54 2" xfId="6734" xr:uid="{0AC16AE2-24F9-456E-9D76-C72BC4F600F3}"/>
    <cellStyle name="Normal 54 3" xfId="6735" xr:uid="{CCF385E5-DC64-4AD0-BA5C-C786A684C888}"/>
    <cellStyle name="Normal 55" xfId="6736" xr:uid="{40D97567-7210-47E5-B46A-148D363EA407}"/>
    <cellStyle name="Normal 55 2" xfId="6737" xr:uid="{6BF6BF9B-EE87-4F0F-83DB-5B416C673B54}"/>
    <cellStyle name="Normal 55 3" xfId="6738" xr:uid="{3400AB40-B807-4B3D-A73C-F18FCA8DD723}"/>
    <cellStyle name="Normal 56" xfId="6739" xr:uid="{DABFB8BE-D8B3-4029-A560-7B9F1ADF2653}"/>
    <cellStyle name="Normal 56 2" xfId="6740" xr:uid="{E62FA2BB-A762-4FBE-BA9A-86D930B1AE88}"/>
    <cellStyle name="Normal 56 3" xfId="6741" xr:uid="{F4CE260A-798B-41C2-82C2-FA615AE220A3}"/>
    <cellStyle name="Normal 57" xfId="6742" xr:uid="{7B7E42B4-622A-43F6-8431-12626D314E4C}"/>
    <cellStyle name="Normal 57 2" xfId="6743" xr:uid="{EE3BDE3C-1557-4234-A6E4-069F64BD5713}"/>
    <cellStyle name="Normal 58" xfId="6744" xr:uid="{D76581E0-CBF9-43D2-A272-C1006008A657}"/>
    <cellStyle name="Normal 58 2" xfId="6745" xr:uid="{6B15A984-D1E1-4FFA-94D5-234DD7DDBEF7}"/>
    <cellStyle name="Normal 58 3" xfId="6746" xr:uid="{8E570565-8DDD-4889-AD6B-689D26EF891E}"/>
    <cellStyle name="Normal 59" xfId="6747" xr:uid="{E38066DB-937C-4F0C-8EA3-1671D1C299A7}"/>
    <cellStyle name="Normal 59 2" xfId="6748" xr:uid="{B04C3904-449D-4852-9B99-FF150B21DF23}"/>
    <cellStyle name="Normal 59 3" xfId="6749" xr:uid="{BDA833A2-5271-45C6-A457-229D9BE60B74}"/>
    <cellStyle name="Normal 6" xfId="6750" xr:uid="{10A55469-2552-4731-B315-815CE8DDFC3D}"/>
    <cellStyle name="Normál 6" xfId="6751" xr:uid="{C02DFEF5-B9FB-477A-BBF0-1DEE336A5877}"/>
    <cellStyle name="Normal 6 2" xfId="6752" xr:uid="{C04F4E03-6446-495F-8D4C-DD6F0CD48E60}"/>
    <cellStyle name="Normal 6 2 2" xfId="6753" xr:uid="{ECD0733C-3556-4CA6-A4E4-3C57CE5BE2C5}"/>
    <cellStyle name="Normal 6 2 2 2" xfId="6754" xr:uid="{B162FEFB-3973-4345-BB32-83C58B6E8381}"/>
    <cellStyle name="Normal 6 2 3" xfId="6755" xr:uid="{5BE3DE64-05D6-4C3B-9964-7A0516B76362}"/>
    <cellStyle name="Normal 6 2 4" xfId="15320" xr:uid="{1D54C805-891D-424D-89BE-F4D92DA4CFD9}"/>
    <cellStyle name="Normal 6 2_RP3 PP revised" xfId="15388" xr:uid="{5827648A-46BE-4D6E-BCB2-44C9F7FC57C0}"/>
    <cellStyle name="Normal 6 3" xfId="6756" xr:uid="{FB191473-10B3-4365-8466-EC0AD086FA6C}"/>
    <cellStyle name="Normal 6 4" xfId="6757" xr:uid="{E7A697BE-C0AA-4FC0-992F-8D0407AED2AB}"/>
    <cellStyle name="Normal 6 4 2" xfId="6758" xr:uid="{422D2783-AF38-40A8-BA5F-F952B6FE639A}"/>
    <cellStyle name="Normal 6 4 3" xfId="6759" xr:uid="{F5B8396D-920E-41F4-8DA6-C8643CA7351F}"/>
    <cellStyle name="Normal 6 4 4" xfId="6760" xr:uid="{85EE2D98-4804-4377-9E1C-204A3D2A2C2B}"/>
    <cellStyle name="Normal 6 5" xfId="6761" xr:uid="{F8CD52E5-A102-44E5-BEA2-E0CE55B5037F}"/>
    <cellStyle name="Normal 6 6" xfId="14688" xr:uid="{5D8EC628-BD33-4F6A-9D53-C991FDAE1886}"/>
    <cellStyle name="Normal 6 7" xfId="14716" xr:uid="{437EAD48-7503-4DF0-95D3-DCDD79138009}"/>
    <cellStyle name="Normal 6 8" xfId="14701" xr:uid="{573CEC56-64CC-461C-92A2-A49E4FFEA73F}"/>
    <cellStyle name="Normal 6 9" xfId="15037" xr:uid="{585701E1-9830-40C5-9F93-F7291C1B5A3F}"/>
    <cellStyle name="Normal 6_RP3 PP revised" xfId="15389" xr:uid="{A4F144E9-E31D-4650-ACBA-CAB9643A9F29}"/>
    <cellStyle name="Normal 60" xfId="6762" xr:uid="{09BCA105-3042-4862-AFE4-4B14F64EFCEA}"/>
    <cellStyle name="Normal 60 2" xfId="6763" xr:uid="{69355845-CF9D-4C1A-8996-31ECBD4E2B84}"/>
    <cellStyle name="Normal 60 3" xfId="6764" xr:uid="{5476F204-A608-4212-B31A-B7073B81B662}"/>
    <cellStyle name="Normal 61" xfId="6765" xr:uid="{1F433649-8A50-43C7-B821-1EEA89F7E68D}"/>
    <cellStyle name="Normal 61 2" xfId="6766" xr:uid="{9277D6D1-17D0-49B3-9185-0721F4A3E44F}"/>
    <cellStyle name="Normal 62" xfId="6767" xr:uid="{08A6EA06-27F6-4318-9DE7-06AAFB73639F}"/>
    <cellStyle name="Normal 62 2" xfId="6768" xr:uid="{376C1390-EEDF-478F-9A2A-03F9EF3F6F6A}"/>
    <cellStyle name="Normal 63" xfId="6769" xr:uid="{C40A1C37-D06C-435F-A0BA-BAEAA4A2DE33}"/>
    <cellStyle name="Normal 63 2" xfId="6770" xr:uid="{8958A726-FF58-4936-B6E6-F1BB6395F9EC}"/>
    <cellStyle name="Normal 64" xfId="6771" xr:uid="{EC02EC8D-F452-4C4B-9A59-F5AD9C8AED30}"/>
    <cellStyle name="Normal 64 2" xfId="6772" xr:uid="{4D83E953-3722-4C65-A300-3AFC90ABD3B6}"/>
    <cellStyle name="Normal 65" xfId="6773" xr:uid="{8F3C319C-DC15-4B9D-B48E-53367DD7BE32}"/>
    <cellStyle name="Normal 65 2" xfId="6774" xr:uid="{E1907DF9-6FD4-4F78-860B-8E280B44BD43}"/>
    <cellStyle name="Normal 66" xfId="6775" xr:uid="{C14BDB3F-39B3-4204-B136-74728243E135}"/>
    <cellStyle name="Normal 66 2" xfId="6776" xr:uid="{E68CC947-469E-44F2-88CA-6F32487D167D}"/>
    <cellStyle name="Normal 67" xfId="6777" xr:uid="{5A70F73E-C608-4111-A49A-B3469BFAF412}"/>
    <cellStyle name="Normal 67 2" xfId="6778" xr:uid="{C7E43F4A-B07A-4069-B613-D8C4CB4683D4}"/>
    <cellStyle name="Normal 68" xfId="6779" xr:uid="{48EF95AD-8B44-4614-AF0A-BE18DA1D5E80}"/>
    <cellStyle name="Normal 68 2" xfId="6780" xr:uid="{6CF662A9-6E3C-4C3B-8923-1EA45589067D}"/>
    <cellStyle name="Normal 69" xfId="6781" xr:uid="{DBD5B515-08FA-45C5-B5B9-B72F27CAAAF8}"/>
    <cellStyle name="Normal 69 2" xfId="6782" xr:uid="{698EF054-0DE2-4C66-B6B1-DF8DCA1BE748}"/>
    <cellStyle name="Normal 7" xfId="6783" xr:uid="{6664B2FD-904E-471F-B654-2B5C55E143B5}"/>
    <cellStyle name="Normál 7" xfId="6784" xr:uid="{7AA89DBC-DC8C-4D78-BB2E-1C4136CB795D}"/>
    <cellStyle name="Normal 7 2" xfId="6785" xr:uid="{484A2182-29D3-472A-83E3-3949BE3D1AEA}"/>
    <cellStyle name="Normal 7 2 2" xfId="6786" xr:uid="{0085717E-5C23-4052-9784-735D2FEA86B9}"/>
    <cellStyle name="Normal 7 2 2 2" xfId="6787" xr:uid="{5BD42EDD-71A3-494F-9ADD-408A9F37AB42}"/>
    <cellStyle name="Normal 7 2 3" xfId="6788" xr:uid="{81BADA20-6C79-438A-B89F-586EEA9D5352}"/>
    <cellStyle name="Normal 7 3" xfId="6789" xr:uid="{583563D5-D22A-4D29-83D5-605B70B476E0}"/>
    <cellStyle name="Normal 7 3 2" xfId="6790" xr:uid="{B86A452C-3618-40F1-B098-4CAEFBC61F7F}"/>
    <cellStyle name="Normal 7 3 2 2" xfId="6791" xr:uid="{40A3A527-A68E-4EB0-B0AD-284173F9828C}"/>
    <cellStyle name="Normal 7 3 3" xfId="6792" xr:uid="{90A6BFA6-9312-48E6-AFFC-9B31E554348E}"/>
    <cellStyle name="Normal 7 4" xfId="6793" xr:uid="{E85D0103-D4CD-4093-AB2C-198A63FEA841}"/>
    <cellStyle name="Normal 7 4 2" xfId="6794" xr:uid="{A18C0D20-1C80-4480-9EF5-39D957A38487}"/>
    <cellStyle name="Normal 7 5" xfId="6795" xr:uid="{A3D75C31-CE22-4051-82C8-5CCA8E93D606}"/>
    <cellStyle name="Normal 7 5 2" xfId="14748" xr:uid="{C6D755F8-4634-4D58-984A-84A3B78AF913}"/>
    <cellStyle name="Normal 7 6" xfId="6796" xr:uid="{8192BFAC-2C59-41EE-A7D4-F15F42431D72}"/>
    <cellStyle name="Normal 7 6 2" xfId="14767" xr:uid="{17C33158-0B1A-438C-AEC9-95DC99290AD2}"/>
    <cellStyle name="Normal 7 7" xfId="6797" xr:uid="{91098920-EFAB-40DF-9D9D-3C6CE2F450C1}"/>
    <cellStyle name="Normal 7 8" xfId="6798" xr:uid="{03CFED0A-9628-4819-97F6-F90293B1B277}"/>
    <cellStyle name="Normal 7 9" xfId="15038" xr:uid="{8B17C4FB-63CB-4771-9CD2-C21F291F65DD}"/>
    <cellStyle name="Normal 7_RP3 PP revised" xfId="15098" xr:uid="{84356761-FC7F-4E35-9B47-1887ED47E6D3}"/>
    <cellStyle name="Normal 70" xfId="6799" xr:uid="{8F2C749E-9CB9-4312-A77B-EED1ADEF1F01}"/>
    <cellStyle name="Normal 70 2" xfId="6800" xr:uid="{1BA2DDC1-C5F6-4E59-9501-A63743D3CE90}"/>
    <cellStyle name="Normal 71" xfId="6801" xr:uid="{8F1DC8A0-A9A9-4A1D-A177-FBC13D397918}"/>
    <cellStyle name="Normal 71 2" xfId="6802" xr:uid="{7A010264-F49B-424A-AB25-595EEE16EB9F}"/>
    <cellStyle name="Normal 72" xfId="6803" xr:uid="{E3E29AD7-85E7-4D41-AC71-AE2CA076492B}"/>
    <cellStyle name="Normal 72 2" xfId="6804" xr:uid="{C9D0D484-7EB3-4E2E-BACD-377BBF8B730B}"/>
    <cellStyle name="Normal 73" xfId="6805" xr:uid="{29442665-1FB8-4271-A719-223AF7BCC988}"/>
    <cellStyle name="Normal 73 2" xfId="6806" xr:uid="{4F9A4548-EB0C-45E4-A57A-9CA3561F5639}"/>
    <cellStyle name="Normal 74" xfId="6807" xr:uid="{8A39DECB-D993-46FA-AD45-F32578417140}"/>
    <cellStyle name="Normal 74 2" xfId="6808" xr:uid="{A8BDEDE4-36C5-46AB-A5D4-821CC4D0A0CD}"/>
    <cellStyle name="Normal 75" xfId="6809" xr:uid="{2B96D776-35F7-4867-979F-E1E7F42E6DB3}"/>
    <cellStyle name="Normal 75 2" xfId="6810" xr:uid="{7C8E797A-FDE8-4855-B1D9-BAEA0C93CCC0}"/>
    <cellStyle name="Normal 76" xfId="6811" xr:uid="{B5C5F290-8EA1-4AE6-90FF-CDF6A839D8E6}"/>
    <cellStyle name="Normal 76 2" xfId="6812" xr:uid="{1EEF9334-1A2E-4630-BD2A-18219556DDC5}"/>
    <cellStyle name="Normal 77" xfId="6813" xr:uid="{6D9573BE-4A63-4AAB-BDC5-85F4CAED3BC1}"/>
    <cellStyle name="Normal 77 2" xfId="6814" xr:uid="{0A321693-94A3-4B35-B164-3C509EE20114}"/>
    <cellStyle name="Normal 78" xfId="6815" xr:uid="{10996FA5-427A-4267-8CA1-7431A15AB97C}"/>
    <cellStyle name="Normal 78 2" xfId="14807" xr:uid="{9113052D-7F42-44EF-A9C3-EB8A7C80D854}"/>
    <cellStyle name="Normal 79" xfId="6816" xr:uid="{B23C3C62-388B-49A0-B800-DAC68EDE4072}"/>
    <cellStyle name="Normal 79 2" xfId="14808" xr:uid="{C178D6D4-B00C-4EF3-887E-AC957BBFD0E3}"/>
    <cellStyle name="Normal 8" xfId="6817" xr:uid="{162C4DA3-9A1E-48A9-B433-83529274DCF6}"/>
    <cellStyle name="Normal 8 2" xfId="6818" xr:uid="{F3FE48B1-E946-4E4F-8F2E-9A6692A7EDE8}"/>
    <cellStyle name="Normal 8 2 2" xfId="6819" xr:uid="{61D723C3-143A-4321-B15E-5F7033F09B81}"/>
    <cellStyle name="Normal 8 2 2 2" xfId="6820" xr:uid="{6DC11009-8CAA-4170-A9DB-D93EABFB997B}"/>
    <cellStyle name="Normal 8 2 3" xfId="6821" xr:uid="{1EE17D74-C3BB-482C-9850-8693D1954CC8}"/>
    <cellStyle name="Normal 8 2_RP3 PP revised" xfId="15096" xr:uid="{EB499517-F5CD-4B4F-ABEE-A5FA0D36A2B7}"/>
    <cellStyle name="Normal 8 3" xfId="6822" xr:uid="{A8879DB0-BF4B-49D8-BDC7-E06F34E67B3D}"/>
    <cellStyle name="Normal 8 4" xfId="6823" xr:uid="{D3227578-C7E0-461C-A004-3884BA4B2A62}"/>
    <cellStyle name="Normal 8 5" xfId="6824" xr:uid="{1AA258B9-7383-4F88-BDCF-0F15ED68AD41}"/>
    <cellStyle name="Normal 8_RP3 PP revised" xfId="15097" xr:uid="{2F37C617-CCCA-4368-ACA1-4D23CE700F77}"/>
    <cellStyle name="Normal 80" xfId="6825" xr:uid="{E8332281-F3E2-48AB-96CF-4C4C7A1243E8}"/>
    <cellStyle name="Normal 80 2" xfId="6826" xr:uid="{6447D6B6-3B6F-4B5A-A09A-53912C202ABE}"/>
    <cellStyle name="Normal 81" xfId="6827" xr:uid="{43996EF1-DFF7-43FA-B4DE-C52D702ADA67}"/>
    <cellStyle name="Normal 81 2" xfId="6828" xr:uid="{3FD57E95-F870-47A2-93E4-6C90D33CFC09}"/>
    <cellStyle name="Normal 82" xfId="6829" xr:uid="{745B831A-BCD9-40A5-846E-E5A85333C052}"/>
    <cellStyle name="Normal 82 2" xfId="6830" xr:uid="{667AA53B-B056-4B9A-9CBE-E1025F86818E}"/>
    <cellStyle name="Normal 83" xfId="6831" xr:uid="{7FEAD0DA-4C17-4E95-8328-9FCB9BF1654C}"/>
    <cellStyle name="Normal 83 2" xfId="6832" xr:uid="{BE072A8A-4F43-4EA8-92F3-5521EA44543C}"/>
    <cellStyle name="Normal 84" xfId="6833" xr:uid="{C116BA3A-0C66-4783-9F53-FA8AE19F66F2}"/>
    <cellStyle name="Normal 85" xfId="6834" xr:uid="{E9738511-D6EA-46A7-AA40-AD02B16F90EF}"/>
    <cellStyle name="Normal 85 2" xfId="6835" xr:uid="{763F708F-E5DF-4E08-98B5-A1523488D60C}"/>
    <cellStyle name="Normal 86" xfId="6836" xr:uid="{577CA7C9-8AE6-4E06-81D9-F780F0E85D04}"/>
    <cellStyle name="Normal 87" xfId="6837" xr:uid="{2A728562-93BD-4B22-A7F5-E84BBCB8F6FA}"/>
    <cellStyle name="Normal 88" xfId="6838" xr:uid="{5F3992D3-A098-45FB-BA9D-C8B8D2256C55}"/>
    <cellStyle name="Normal 89" xfId="6839" xr:uid="{86B62425-6EDE-439E-9317-B0BA14823C9F}"/>
    <cellStyle name="Normal 9" xfId="6840" xr:uid="{262BB242-87B0-4EE6-A011-20B7239F037D}"/>
    <cellStyle name="Normal 9 2" xfId="6841" xr:uid="{BE85F342-0690-42C9-AF1A-15E2CBF0FEA3}"/>
    <cellStyle name="Normal 9 2 2" xfId="6842" xr:uid="{D5832706-8470-485D-9AEB-7CFA2921615E}"/>
    <cellStyle name="Normal 9 2 2 2" xfId="6843" xr:uid="{2A7DF34B-8D51-4696-9598-344750537E61}"/>
    <cellStyle name="Normal 9 2 3" xfId="6844" xr:uid="{D13DA036-FA7D-4D24-BD4E-98D95C079FF3}"/>
    <cellStyle name="Normal 9 3" xfId="6845" xr:uid="{568A7E09-D540-4198-8F45-3E3E80CE480E}"/>
    <cellStyle name="Normal 9 3 2" xfId="6846" xr:uid="{6A14C1E5-F8DD-4BE3-876B-774826DC5D41}"/>
    <cellStyle name="Normal 9 3 2 2" xfId="6847" xr:uid="{A2FD7256-F3CF-462D-90D5-002A27E30414}"/>
    <cellStyle name="Normal 9 3 3" xfId="6848" xr:uid="{11BC0467-9902-4B98-A5AE-E2AB5B926509}"/>
    <cellStyle name="Normal 9 3 4" xfId="15384" xr:uid="{74446C11-1CE7-4E9E-A433-F8BE36C769CC}"/>
    <cellStyle name="Normal 9 3_RP3 PP revised" xfId="15093" xr:uid="{EE8E8D5D-26B6-4481-A051-C108C681E3E4}"/>
    <cellStyle name="Normal 9 4" xfId="6849" xr:uid="{D36C874E-1396-474D-B224-9A4A8F634201}"/>
    <cellStyle name="Normal 9 4 2" xfId="6850" xr:uid="{08CE0D99-8E99-452D-9EE8-33DBAF0497B5}"/>
    <cellStyle name="Normal 9 5" xfId="6851" xr:uid="{7DB217EA-703A-4D23-97F0-8AB83C023D1E}"/>
    <cellStyle name="Normal 9 5 2" xfId="6852" xr:uid="{10501CAC-DDC7-4DF3-BBCC-DB81B77525B8}"/>
    <cellStyle name="Normal 9 6" xfId="6853" xr:uid="{DB8D475D-51BD-4753-8023-5ABB4BE3A671}"/>
    <cellStyle name="Normal 9_RP3 PP revised" xfId="15094" xr:uid="{1021E4B2-8F1B-43FE-82AB-16B52E0CD515}"/>
    <cellStyle name="Normal 90" xfId="6854" xr:uid="{B192805A-61BE-435E-AA1C-FBE3512BE57B}"/>
    <cellStyle name="Normal 91" xfId="6855" xr:uid="{44707141-7521-43DB-81BE-96293F663B51}"/>
    <cellStyle name="Normal 92" xfId="6856" xr:uid="{3CD56C0C-5F76-4EAF-9E67-EF05F01FE031}"/>
    <cellStyle name="Normal 93" xfId="6857" xr:uid="{360A626E-DBDA-4244-A813-42DD6BA2F5BF}"/>
    <cellStyle name="Normal 94" xfId="6858" xr:uid="{FAAC9372-9359-406D-9125-A1C92A724D9F}"/>
    <cellStyle name="Normal 95" xfId="6859" xr:uid="{4D325541-E21C-4E3F-B7A7-619F463B4312}"/>
    <cellStyle name="Normal 96" xfId="6860" xr:uid="{A45C7FBB-B281-4DD0-B6E6-49DDB076BEBF}"/>
    <cellStyle name="Normal 97" xfId="6861" xr:uid="{1D74AEA6-1BBE-4035-B039-AD92727C335E}"/>
    <cellStyle name="Normal 98" xfId="6862" xr:uid="{76724637-4568-4B34-812D-A1D89F1A6B80}"/>
    <cellStyle name="Normal 99" xfId="6863" xr:uid="{0C595976-7981-4970-8545-5624BBF79D1D}"/>
    <cellStyle name="Normal_fromFrance01" xfId="7" xr:uid="{D9050165-42F6-4BAB-91FF-50A8F231A6B7}"/>
    <cellStyle name="Normal_fromFrance01 3" xfId="10" xr:uid="{AC327C36-B04D-4F99-8AD5-C1E9C31429D5}"/>
    <cellStyle name="Normal_fromFrance01 3 2" xfId="24" xr:uid="{6D092CD2-3735-4BCC-AF6B-1ABD02665C1D}"/>
    <cellStyle name="Normál_Munka1" xfId="6864" xr:uid="{BBF3CE8A-6C05-4C5D-B644-5D01A9E5CF47}"/>
    <cellStyle name="Normal_Workshop - Sample-Final- Determined Costs Mt 2" xfId="14" xr:uid="{56D0C6DF-6082-4D81-B3D2-241F51FC8BC0}"/>
    <cellStyle name="Normale" xfId="6865" xr:uid="{0E5107EA-0053-4666-B12C-7778BE82D031}"/>
    <cellStyle name="Normale 10" xfId="6866" xr:uid="{3E48B782-44D5-4133-B132-0ACBD5440DDD}"/>
    <cellStyle name="Normale 10 2" xfId="6867" xr:uid="{3363D54A-B751-4B46-B373-3BEEA5F032B1}"/>
    <cellStyle name="Normale 10 2 2" xfId="6868" xr:uid="{14AF071D-8D8C-4B5E-A1DD-B572AE9AB0CE}"/>
    <cellStyle name="Normale 10 3" xfId="6869" xr:uid="{9160C244-68BD-49A3-B2C2-AE050528121C}"/>
    <cellStyle name="Normale 10 3 2" xfId="6870" xr:uid="{41973894-361A-41A5-9B8E-53A75239B552}"/>
    <cellStyle name="Normale 10 4" xfId="6871" xr:uid="{84B78C6F-A384-4652-9E1D-99719B5542B6}"/>
    <cellStyle name="Normale 10 4 2" xfId="15321" xr:uid="{F28E8005-91AD-400D-8726-3173448116A6}"/>
    <cellStyle name="Normale 10 4_RP3 PP revised" xfId="15092" xr:uid="{CCD62F01-4084-4025-A3E7-E2367CBD6D5F}"/>
    <cellStyle name="Normale 10 5" xfId="14829" xr:uid="{10A3308A-8BF9-4D88-8D00-13EB71FABB28}"/>
    <cellStyle name="Normale 11" xfId="6872" xr:uid="{435DAD2F-4F54-44E1-BA2E-B89BD55EF0AA}"/>
    <cellStyle name="Normale 11 2" xfId="6873" xr:uid="{D81844A0-9F9C-4BDC-B922-C8EF9EB601F9}"/>
    <cellStyle name="Normale 11 2 2" xfId="6874" xr:uid="{D43124D7-BD12-41E0-BC15-51CEA1887571}"/>
    <cellStyle name="Normale 11 3" xfId="6875" xr:uid="{EBBDEB3E-2BD3-464F-804C-6FD7B00DCFED}"/>
    <cellStyle name="Normale 11 3 2" xfId="6876" xr:uid="{EC8A09A4-9FFB-4652-BDC7-7B219F2A309D}"/>
    <cellStyle name="Normale 11 4" xfId="6877" xr:uid="{86C61DE3-DB6B-46D7-AE5C-97FCE80E323F}"/>
    <cellStyle name="Normale 12" xfId="6878" xr:uid="{199D368B-05BF-4A35-BC40-FC27CCE3BE51}"/>
    <cellStyle name="Normale 12 2" xfId="6879" xr:uid="{944F171E-F72E-4865-B471-F8DB086CDA6D}"/>
    <cellStyle name="Normale 12 2 2" xfId="6880" xr:uid="{9862B1BF-C534-4DB4-9C84-F9ECD011CF5D}"/>
    <cellStyle name="Normale 12 3" xfId="6881" xr:uid="{6FA7FE0D-6E34-4FD7-B35A-2C326D3F5214}"/>
    <cellStyle name="Normale 12 3 2" xfId="6882" xr:uid="{D7BDF325-4395-4E3B-8762-212B682CBF67}"/>
    <cellStyle name="Normale 12 4" xfId="6883" xr:uid="{FCCD2B21-DFA1-4AC3-A14C-4DD21A858E94}"/>
    <cellStyle name="Normale 13" xfId="6884" xr:uid="{85C8ADA9-841C-4DC8-8EB3-CEFB56B57513}"/>
    <cellStyle name="Normale 13 2" xfId="6885" xr:uid="{F35EFEAE-DD1B-4082-93D6-D025CD5A2EA6}"/>
    <cellStyle name="Normale 13 2 2" xfId="6886" xr:uid="{1CF3EE13-C3AF-4EE8-9F47-163569FB2BCC}"/>
    <cellStyle name="Normale 13 3" xfId="6887" xr:uid="{C1821D28-49DB-4F9E-BF5D-DDC9B7A65203}"/>
    <cellStyle name="Normale 13 3 2" xfId="6888" xr:uid="{843D6BAC-48C7-496C-B1CD-29AC48A66AEC}"/>
    <cellStyle name="Normale 13 4" xfId="6889" xr:uid="{207551CF-1114-4FA4-9D39-5AF6FFD4C53E}"/>
    <cellStyle name="Normale 14" xfId="6890" xr:uid="{1F5FBF18-2770-4D74-80DC-007983EF50EF}"/>
    <cellStyle name="Normale 14 2" xfId="6891" xr:uid="{FDE56584-8068-4388-973B-C44998ECE414}"/>
    <cellStyle name="Normale 14 2 2" xfId="6892" xr:uid="{8CC6484D-93C0-4ED2-ADD3-267F635B37F6}"/>
    <cellStyle name="Normale 14 3" xfId="6893" xr:uid="{F4A0B213-84DB-48A8-8AE5-C043FEEAFE97}"/>
    <cellStyle name="Normale 14 3 2" xfId="6894" xr:uid="{C83F915E-B7D6-4342-9C2A-A00AFF56E90D}"/>
    <cellStyle name="Normale 14 4" xfId="6895" xr:uid="{4D4B805F-DB22-4E46-AC47-45EA94256985}"/>
    <cellStyle name="Normale 15" xfId="6896" xr:uid="{14998BC0-A7DD-4C28-BB45-E6BEF205F96F}"/>
    <cellStyle name="Normale 15 2" xfId="6897" xr:uid="{09B213E1-F25E-487E-B471-24FA542E51F0}"/>
    <cellStyle name="Normale 15 2 2" xfId="6898" xr:uid="{F9D9B37A-7542-4D6B-9709-9D30928D5270}"/>
    <cellStyle name="Normale 15 3" xfId="6899" xr:uid="{E621FFFE-5F74-48B0-A0CB-3EF20A09CA35}"/>
    <cellStyle name="Normale 15 3 2" xfId="6900" xr:uid="{1D14DCC0-4385-447F-98A6-A6398C47373B}"/>
    <cellStyle name="Normale 15 4" xfId="6901" xr:uid="{3C969007-6EDD-4F69-B51D-D6447F06BC59}"/>
    <cellStyle name="Normale 16" xfId="6902" xr:uid="{E3A3486D-3086-4F72-9621-41932DDCC7C2}"/>
    <cellStyle name="Normale 16 2" xfId="6903" xr:uid="{C53EDEA3-790C-4A03-ACE1-9CAB16EFA199}"/>
    <cellStyle name="Normale 16 2 2" xfId="6904" xr:uid="{1C97F3C0-A9BD-4641-B686-4FC9C9EFD0A1}"/>
    <cellStyle name="Normale 16 3" xfId="6905" xr:uid="{0706D571-782D-46A7-9C4A-6A532CBEF8E8}"/>
    <cellStyle name="Normale 16 3 2" xfId="6906" xr:uid="{41410469-1A47-47EE-8AF0-D136D1D0CA34}"/>
    <cellStyle name="Normale 16 4" xfId="6907" xr:uid="{C58EF199-338B-4EF5-81E8-3A79743C7146}"/>
    <cellStyle name="Normale 17" xfId="6908" xr:uid="{68E943A9-4FD0-48FE-AE00-DC1F76AF28A5}"/>
    <cellStyle name="Normale 17 2" xfId="6909" xr:uid="{D497F7DA-0F68-4F0F-8365-5FA8205D7204}"/>
    <cellStyle name="Normale 17 2 2" xfId="6910" xr:uid="{09DC0F6E-4903-4A68-A970-B55F093A7A7D}"/>
    <cellStyle name="Normale 17 3" xfId="6911" xr:uid="{E12CB2B3-E476-4073-B159-4115B0136AC6}"/>
    <cellStyle name="Normale 17 3 2" xfId="6912" xr:uid="{711A0882-4617-4EDF-A08E-B37DB6381911}"/>
    <cellStyle name="Normale 17 4" xfId="6913" xr:uid="{12B2DA84-842C-4C18-9A54-CFC7A484E5BC}"/>
    <cellStyle name="Normale 18" xfId="6914" xr:uid="{BCEE4D61-32D8-42AB-A5BD-FE11150046AD}"/>
    <cellStyle name="Normale 18 2" xfId="6915" xr:uid="{13A729D0-4F82-4DB6-8032-653DDE1AEF3B}"/>
    <cellStyle name="Normale 18 2 2" xfId="6916" xr:uid="{B8F2AEA7-AF97-4DC9-82E7-0D79A1E81FED}"/>
    <cellStyle name="Normale 18 3" xfId="6917" xr:uid="{0C5BE551-FA28-4D0E-ABF5-24EE7C05E959}"/>
    <cellStyle name="Normale 18 3 2" xfId="6918" xr:uid="{0505DEEC-5381-4952-8A92-E33C17255218}"/>
    <cellStyle name="Normale 18 4" xfId="6919" xr:uid="{9DA31A57-220E-4594-BBF7-7EAB07984AB1}"/>
    <cellStyle name="Normale 19" xfId="6920" xr:uid="{7C6E8CA5-E616-43FF-8097-5744E0B9FA67}"/>
    <cellStyle name="Normale 19 2" xfId="6921" xr:uid="{0C7BC129-CC8B-48A6-826F-DDDD406F2471}"/>
    <cellStyle name="Normale 19 2 2" xfId="6922" xr:uid="{A79EFB3C-51B4-46E0-95F8-1AF164B7F590}"/>
    <cellStyle name="Normale 19 3" xfId="6923" xr:uid="{51D42501-E54E-4957-AC7E-3B9E7071DCDC}"/>
    <cellStyle name="Normale 19 3 2" xfId="6924" xr:uid="{C61AE14E-82E8-4735-B0A0-EA29575DE1E1}"/>
    <cellStyle name="Normale 19 4" xfId="6925" xr:uid="{B391B589-D880-48C0-B43A-55FDF5E2FF3B}"/>
    <cellStyle name="Normale 2" xfId="6926" xr:uid="{87DF802A-34C8-413C-9EDC-5440AA1354B5}"/>
    <cellStyle name="Normale 2 10" xfId="6927" xr:uid="{3CBB1E05-B279-40D5-87CB-BB938C526A24}"/>
    <cellStyle name="Normale 2 11" xfId="6928" xr:uid="{FAD75953-DC64-44A0-A156-60D315C3C4C2}"/>
    <cellStyle name="Normale 2 2" xfId="6929" xr:uid="{0A287E75-511A-4292-8011-CA793B164E91}"/>
    <cellStyle name="Normale 2 2 10" xfId="6930" xr:uid="{02A3671A-21A1-485D-8FCA-4EAF2E6E4D44}"/>
    <cellStyle name="Normale 2 2 10 2" xfId="6931" xr:uid="{5DBD31F7-C9B2-449E-8D04-4B348CD97C2B}"/>
    <cellStyle name="Normale 2 2 11" xfId="14728" xr:uid="{CA5D0F00-38DE-4E22-96C0-AD66342119D9}"/>
    <cellStyle name="Normale 2 2 2" xfId="6932" xr:uid="{2D4A65DF-8ADB-456C-8DA2-CD0010A41D34}"/>
    <cellStyle name="Normale 2 2 2 2" xfId="6933" xr:uid="{89C64CF2-88E6-487F-A048-95CB42D154B3}"/>
    <cellStyle name="Normale 2 2 3" xfId="6934" xr:uid="{344B8224-9C16-4A00-8833-2A322EC90713}"/>
    <cellStyle name="Normale 2 2 3 2" xfId="6935" xr:uid="{3B3DAEDF-2048-401B-8088-258F204D6CBC}"/>
    <cellStyle name="Normale 2 2 3 2 2" xfId="6936" xr:uid="{F9C8A8A9-3B56-4E76-BE6C-46827A5D8731}"/>
    <cellStyle name="Normale 2 2 3 2 2 2" xfId="6937" xr:uid="{C375A866-9693-4A91-A25B-76762CCAAAA2}"/>
    <cellStyle name="Normale 2 2 3 2 2 2 2" xfId="6938" xr:uid="{8E822295-41F9-4DD8-BF36-1163EFC2317C}"/>
    <cellStyle name="Normale 2 2 3 2 2 3" xfId="6939" xr:uid="{D61CCDB0-94D7-4C85-9C8B-44F4E117E159}"/>
    <cellStyle name="Normale 2 2 3 2_RP3 PP revised" xfId="15091" xr:uid="{55F0F6A0-3ED3-4567-8009-ABAFA848F4BF}"/>
    <cellStyle name="Normale 2 2 3 3" xfId="6940" xr:uid="{3509D955-EA0A-4CB3-A395-925D7BF1970C}"/>
    <cellStyle name="Normale 2 2 3 4" xfId="6941" xr:uid="{AA57C124-1C55-4538-B132-936A8098730A}"/>
    <cellStyle name="Normale 2 2 3 4 2" xfId="6942" xr:uid="{62DE47C4-04DF-4266-BA65-B2BED1FC90A7}"/>
    <cellStyle name="Normale 2 2 3 4 2 2" xfId="6943" xr:uid="{EC3AC651-5081-4F31-BA01-4CFD24B129DA}"/>
    <cellStyle name="Normale 2 2 3 4 3" xfId="6944" xr:uid="{ADCAA1DA-0216-42FC-9DD9-9B920294F071}"/>
    <cellStyle name="Normale 2 2 3 5" xfId="6945" xr:uid="{DF0ACEF0-8A9D-45BD-B47E-3977F6C974C3}"/>
    <cellStyle name="Normale 2 2 3 5 2" xfId="6946" xr:uid="{D30A9FBC-D410-44B2-A7B4-2DD53772F9B4}"/>
    <cellStyle name="Normale 2 2 3 6" xfId="6947" xr:uid="{F2D09E92-0615-41BD-9F6D-04E4C1B79116}"/>
    <cellStyle name="Normale 2 2 3 6 2" xfId="14749" xr:uid="{81225365-A48C-471E-AEFD-9DFCEAB760AD}"/>
    <cellStyle name="Normale 2 2 3 7" xfId="6948" xr:uid="{0E74DAFC-5D8A-494E-BDDC-B1879DEFA97E}"/>
    <cellStyle name="Normale 2 2 3 7 2" xfId="14768" xr:uid="{4D76C202-73C3-4BC0-902B-775775C9BDEF}"/>
    <cellStyle name="Normale 2 2 3 8" xfId="14729" xr:uid="{08EDDB69-511B-450F-B507-C094BA07D747}"/>
    <cellStyle name="Normale 2 2 3_Italy RT - TNC 2012_JUN_V01_C_31052012_check" xfId="6949" xr:uid="{71D4F588-2E84-4D71-BD59-A487ED0C02DE}"/>
    <cellStyle name="Normale 2 2 4" xfId="6950" xr:uid="{9D7566AD-1FA6-4A6D-A2BC-F663AEFB241F}"/>
    <cellStyle name="Normale 2 2 4 2" xfId="6951" xr:uid="{6AEB493E-D4B9-4C2B-8979-670DCEBBFBD9}"/>
    <cellStyle name="Normale 2 2 4 2 2" xfId="6952" xr:uid="{62898ACD-DE09-40F9-9FDE-AF670F87CF46}"/>
    <cellStyle name="Normale 2 2 4 2 2 2" xfId="6953" xr:uid="{FB05C245-82E6-41B8-A34B-2819FCA9E613}"/>
    <cellStyle name="Normale 2 2 4 2 3" xfId="6954" xr:uid="{9E3F1802-7E57-45A4-9551-68C44B1169AB}"/>
    <cellStyle name="Normale 2 2 4_RP3 PP revised" xfId="15090" xr:uid="{3D30018D-46CD-4258-9851-3D2AD97381E7}"/>
    <cellStyle name="Normale 2 2 5" xfId="6955" xr:uid="{4B220978-20B1-42B0-8BB6-F3A8A47FA85C}"/>
    <cellStyle name="Normale 2 2 6" xfId="6956" xr:uid="{63906079-FFD6-4DAA-8CE4-634143716029}"/>
    <cellStyle name="Normale 2 2 7" xfId="6957" xr:uid="{A6F37949-B91B-4963-B033-83C643073EF8}"/>
    <cellStyle name="Normale 2 2 7 2" xfId="6958" xr:uid="{715E1FA8-83A1-46D3-A83B-72539C91C12C}"/>
    <cellStyle name="Normale 2 2 7 2 2" xfId="6959" xr:uid="{81A8789C-6E4E-43CA-9BF5-569EAA983ED3}"/>
    <cellStyle name="Normale 2 2 7 3" xfId="6960" xr:uid="{BDFD1349-E263-44FA-B23D-F12AA770304F}"/>
    <cellStyle name="Normale 2 2 8" xfId="6961" xr:uid="{9495043C-E0F3-4A7F-9F07-6FAE845ACC9A}"/>
    <cellStyle name="Normale 2 2 8 2" xfId="6962" xr:uid="{42582A7A-0E7D-4865-8E7F-B25D776FA639}"/>
    <cellStyle name="Normale 2 2 9" xfId="6963" xr:uid="{7B8BF2E8-6D17-443E-A29C-426865ABCF7C}"/>
    <cellStyle name="Normale 2 2 9 2" xfId="6964" xr:uid="{6026EB13-5B58-4CAF-A142-90214ABEEF84}"/>
    <cellStyle name="Normale 2 2 9 3" xfId="6965" xr:uid="{C4C88B86-30E9-48F0-BE3C-22B994EEE484}"/>
    <cellStyle name="Normale 2 2 9 4" xfId="6966" xr:uid="{EE207CC7-EF21-44B1-B911-0023B071B4CB}"/>
    <cellStyle name="Normale 2 2_Additional information tables" xfId="6967" xr:uid="{6A3B9575-9046-4C48-860F-7D16E88075BB}"/>
    <cellStyle name="Normale 2 3" xfId="6968" xr:uid="{1C7BA4E7-5506-4E1D-B9AA-77D4827B9C40}"/>
    <cellStyle name="Normale 2 3 2" xfId="6969" xr:uid="{50ED9336-EDD1-4FE3-8C69-2305A049F9D4}"/>
    <cellStyle name="Normale 2 4" xfId="6970" xr:uid="{5151B922-9367-41BE-80B4-3314F7641CAC}"/>
    <cellStyle name="Normale 2 4 2" xfId="6971" xr:uid="{C39212A6-2ECA-4357-AB74-CCED2C33D801}"/>
    <cellStyle name="Normale 2 4 2 2" xfId="6972" xr:uid="{616E21DD-D58D-4CC8-AFE4-6E81A5AB9034}"/>
    <cellStyle name="Normale 2 4 2 2 2" xfId="6973" xr:uid="{AF5A16EA-45CB-4D00-8B42-6B4F7229968C}"/>
    <cellStyle name="Normale 2 4 2 2 2 2" xfId="6974" xr:uid="{86BE5B4A-6595-4895-AE93-32A22FD0949B}"/>
    <cellStyle name="Normale 2 4 2 2 3" xfId="6975" xr:uid="{D0E901F2-862E-431F-8FCF-D4BF5BD0D4CB}"/>
    <cellStyle name="Normale 2 4 2 3" xfId="6976" xr:uid="{7233E7CD-075E-4700-A8D3-F8D1AC86C6B8}"/>
    <cellStyle name="Normale 2 4 2 3 2" xfId="6977" xr:uid="{692C75A7-684E-40D6-A3A4-DF4774B28BEC}"/>
    <cellStyle name="Normale 2 4 2 4" xfId="6978" xr:uid="{8E681827-477F-4FF4-9E0C-610D77D64481}"/>
    <cellStyle name="Normale 2 4 3" xfId="6979" xr:uid="{4D125E8A-0C49-40AB-AE4B-ED85396E232A}"/>
    <cellStyle name="Normale 2 4 4" xfId="6980" xr:uid="{EF1B8701-5389-45CC-B74A-D49748C6A8F8}"/>
    <cellStyle name="Normale 2 4 4 2" xfId="6981" xr:uid="{935BB648-BB9B-45AB-9C44-B7C5CADC66FD}"/>
    <cellStyle name="Normale 2 4 4 2 2" xfId="6982" xr:uid="{F78995B5-C55D-4116-9B6A-FD6845B876A2}"/>
    <cellStyle name="Normale 2 4 4 3" xfId="6983" xr:uid="{B4D9C495-4817-4B5B-A04E-7CB43DBC94DE}"/>
    <cellStyle name="Normale 2 4 5" xfId="6984" xr:uid="{ABCE2E15-0190-4B02-8CA0-D75FED5B5221}"/>
    <cellStyle name="Normale 2 4 5 2" xfId="6985" xr:uid="{820E3263-A686-4E0F-9044-095AFD4BC3B3}"/>
    <cellStyle name="Normale 2 4 6" xfId="6986" xr:uid="{F52D2842-6E2E-48F8-BAE9-D21D7B0F4A40}"/>
    <cellStyle name="Normale 2 4 6 2" xfId="14750" xr:uid="{1A984107-E6E1-42BB-BED8-2DDFC07F8098}"/>
    <cellStyle name="Normale 2 4 7" xfId="6987" xr:uid="{0432C562-30EC-44A2-86F5-B808F8A07D08}"/>
    <cellStyle name="Normale 2 4 7 2" xfId="14769" xr:uid="{585DFE2F-28E4-4A34-A1EB-8741F7B8EA01}"/>
    <cellStyle name="Normale 2 4 8" xfId="14730" xr:uid="{172C8D2D-691C-45F5-933B-3C7D9422A48E}"/>
    <cellStyle name="Normale 2 4_RP3 PP revised" xfId="15089" xr:uid="{77181C1F-0ED2-4174-9745-DBD7EF307351}"/>
    <cellStyle name="Normale 2 5" xfId="6988" xr:uid="{B461A749-9FBE-40F6-9382-80D7C709C1A5}"/>
    <cellStyle name="Normale 2 6" xfId="6989" xr:uid="{84975B12-D249-4F6D-9D95-D9BC3EDD2159}"/>
    <cellStyle name="Normale 2 7" xfId="6990" xr:uid="{7ED9E97D-A714-4BCD-8854-3B30508B4F51}"/>
    <cellStyle name="Normale 2 8" xfId="6991" xr:uid="{DDEF3827-71C6-4F01-9CCA-BC7E300B072A}"/>
    <cellStyle name="Normale 2 9" xfId="6992" xr:uid="{1DEBA597-A29B-4689-85A7-E5D3AB33CA66}"/>
    <cellStyle name="Normale 20" xfId="6993" xr:uid="{59CC0EF2-AD8A-4C26-9662-D05FC0E48652}"/>
    <cellStyle name="Normale 20 2" xfId="6994" xr:uid="{0BF2E272-8545-4040-BA4D-086CAA0C0935}"/>
    <cellStyle name="Normale 20 2 2" xfId="6995" xr:uid="{E0F60E1B-C635-46EF-A5C7-BBC6B8E63FE6}"/>
    <cellStyle name="Normale 20 3" xfId="6996" xr:uid="{9C84FF46-C481-430B-9B57-CE46AD47955D}"/>
    <cellStyle name="Normale 20 3 2" xfId="6997" xr:uid="{FD8CA58F-0188-400A-A3B2-FB0E70674D32}"/>
    <cellStyle name="Normale 20 4" xfId="6998" xr:uid="{DC528718-E80B-41DE-B444-18AE2441AC75}"/>
    <cellStyle name="Normale 21" xfId="6999" xr:uid="{07BE40FB-C4BD-4573-9FE7-5D4383B1CC46}"/>
    <cellStyle name="Normale 21 2" xfId="7000" xr:uid="{777ECCAF-1FCD-454E-9E67-8EFA4E820A40}"/>
    <cellStyle name="Normale 21 2 2" xfId="7001" xr:uid="{C8A812BE-B901-416F-BA65-EF7F5386A384}"/>
    <cellStyle name="Normale 21 3" xfId="7002" xr:uid="{2BF76F55-C8BE-44B9-B24A-A0F0598125E8}"/>
    <cellStyle name="Normale 21 3 2" xfId="7003" xr:uid="{756533A7-BD29-4822-B2CD-200D5E1FDFDD}"/>
    <cellStyle name="Normale 21 4" xfId="7004" xr:uid="{A4392A38-3FAE-4A40-8FE4-DDE34DABAA85}"/>
    <cellStyle name="Normale 22" xfId="7005" xr:uid="{5FB1D396-0343-4F70-85BA-4BFBE006F74C}"/>
    <cellStyle name="Normale 22 2" xfId="7006" xr:uid="{9CB277FC-A940-4153-9B30-832AFA4A98CD}"/>
    <cellStyle name="Normale 22 2 2" xfId="7007" xr:uid="{5FBD1A8F-1BD4-409B-8B6C-1698918DEE82}"/>
    <cellStyle name="Normale 22 3" xfId="7008" xr:uid="{4E8FD623-0A97-47FE-8D9B-AF37386E53AF}"/>
    <cellStyle name="Normale 22 3 2" xfId="7009" xr:uid="{D36394D4-C00A-4FA8-8415-819F357BDE66}"/>
    <cellStyle name="Normale 22 4" xfId="7010" xr:uid="{05350961-1929-4827-A7C7-1EC9D06A497B}"/>
    <cellStyle name="Normale 23" xfId="7011" xr:uid="{CF46A893-8D4B-495F-B4F7-C62D46F82653}"/>
    <cellStyle name="Normale 23 2" xfId="7012" xr:uid="{5F0A6818-7C25-474A-9B68-5E9B10A48CB1}"/>
    <cellStyle name="Normale 23 2 2" xfId="7013" xr:uid="{5C153E91-B86F-42EA-970C-1CF1DC196C84}"/>
    <cellStyle name="Normale 23 3" xfId="7014" xr:uid="{F1689A7E-E803-41D2-A591-354C8421E3F2}"/>
    <cellStyle name="Normale 23 3 2" xfId="7015" xr:uid="{59DE54FA-3D67-4AD3-AFAD-9F7E6E310EC5}"/>
    <cellStyle name="Normale 23 4" xfId="7016" xr:uid="{FD18C9CD-E1B6-4DF2-BD4A-6854890F4B70}"/>
    <cellStyle name="Normale 24" xfId="7017" xr:uid="{D3030857-49C8-40C2-BC94-4091812C3BB8}"/>
    <cellStyle name="Normale 24 2" xfId="7018" xr:uid="{E068321C-72FB-4E96-8E7E-0CF9A92075E4}"/>
    <cellStyle name="Normale 24 2 2" xfId="7019" xr:uid="{4612A02F-B878-48C7-93BC-F624F15AD580}"/>
    <cellStyle name="Normale 24 3" xfId="7020" xr:uid="{C47C162C-A86F-4038-946B-52419915C1AF}"/>
    <cellStyle name="Normale 24 3 2" xfId="7021" xr:uid="{44492477-F03C-42CB-805A-1AA0E315C6D2}"/>
    <cellStyle name="Normale 24 4" xfId="7022" xr:uid="{82919C9E-FB89-480C-9235-D75F9C651297}"/>
    <cellStyle name="Normale 25" xfId="7023" xr:uid="{F5AA9EA1-EA2C-4737-BD18-C446349131A0}"/>
    <cellStyle name="Normale 25 2" xfId="7024" xr:uid="{DABA9312-5AF6-4E76-956B-D96035F75C34}"/>
    <cellStyle name="Normale 25 2 2" xfId="7025" xr:uid="{B2F3C813-4113-4D58-9226-D25D478C5107}"/>
    <cellStyle name="Normale 25 3" xfId="7026" xr:uid="{E08AE4AA-F241-45E6-A0AC-50F1BE80DD05}"/>
    <cellStyle name="Normale 25 3 2" xfId="7027" xr:uid="{A84C50AA-52B4-4286-B475-8A2E69F373F0}"/>
    <cellStyle name="Normale 25 4" xfId="7028" xr:uid="{88C63851-E3CB-48C2-BB45-DE19556D6031}"/>
    <cellStyle name="Normale 26" xfId="7029" xr:uid="{C1C8EAB7-37A7-46F1-A16B-DBB219F1C4C0}"/>
    <cellStyle name="Normale 26 2" xfId="7030" xr:uid="{FF09F87F-15B0-4B01-97F0-FBAABD9A576C}"/>
    <cellStyle name="Normale 26 2 2" xfId="7031" xr:uid="{C352F48A-89E3-48B5-A092-799937B87B6D}"/>
    <cellStyle name="Normale 26 3" xfId="7032" xr:uid="{1AEB10CC-1043-435F-8B7C-5E7D4D32A291}"/>
    <cellStyle name="Normale 26 3 2" xfId="7033" xr:uid="{F2D8D98E-3266-49E7-A68D-7749E6EE04DB}"/>
    <cellStyle name="Normale 26 4" xfId="7034" xr:uid="{716FD1DD-77E5-41C5-BE22-FA76317A305D}"/>
    <cellStyle name="Normale 27" xfId="7035" xr:uid="{3CA99C2C-1953-4890-B88E-AAFD507E29FE}"/>
    <cellStyle name="Normale 27 2" xfId="7036" xr:uid="{05703F24-59B6-4ED8-B7A1-D8BFA838C11E}"/>
    <cellStyle name="Normale 27 2 2" xfId="7037" xr:uid="{70B19EB8-114C-40FE-A288-3E391B68A8CE}"/>
    <cellStyle name="Normale 27 2 2 2" xfId="7038" xr:uid="{F02C1DFA-D7A7-4F57-B93A-4EC7D8640FCC}"/>
    <cellStyle name="Normale 27 2 2 2 2" xfId="7039" xr:uid="{5EE3015E-7EE8-4CDB-B402-9A80B03E8863}"/>
    <cellStyle name="Normale 27 2 2 3" xfId="7040" xr:uid="{13E516A0-A1E6-4AEE-8F40-E169A6A1BF36}"/>
    <cellStyle name="Normale 27 2 3" xfId="7041" xr:uid="{984433CA-E5E4-4F3E-9F74-57E730D63515}"/>
    <cellStyle name="Normale 27 2 3 2" xfId="7042" xr:uid="{DF669906-97DE-4E4F-94B9-5FDCBFE4833F}"/>
    <cellStyle name="Normale 27 2 4" xfId="7043" xr:uid="{B96D56E1-77BF-437B-8A5D-8041B4A8CC53}"/>
    <cellStyle name="Normale 27 3" xfId="7044" xr:uid="{470EDCCC-A7A4-47BF-AB5D-BEF0676AC947}"/>
    <cellStyle name="Normale 27 4" xfId="7045" xr:uid="{863CDFD0-1B8A-409E-9F59-1B251B854526}"/>
    <cellStyle name="Normale 27 4 2" xfId="7046" xr:uid="{3F75CF60-100B-44C5-B1AE-930F03917E11}"/>
    <cellStyle name="Normale 27 4 2 2" xfId="7047" xr:uid="{72ACA207-212A-4FD8-B0E8-11CBF7D3B41D}"/>
    <cellStyle name="Normale 27 4 3" xfId="7048" xr:uid="{1773A9D2-DE42-461D-A79E-8057FAD4DDC2}"/>
    <cellStyle name="Normale 27 5" xfId="7049" xr:uid="{DC9313D4-8E76-4382-8DFD-83800C711E30}"/>
    <cellStyle name="Normale 27 5 2" xfId="7050" xr:uid="{FFA6E3FF-8F74-4A64-8F32-985CF474C74B}"/>
    <cellStyle name="Normale 27 6" xfId="7051" xr:uid="{081FF887-9F91-43B7-9B61-37040601E58D}"/>
    <cellStyle name="Normale 27 6 2" xfId="14751" xr:uid="{5FF80A02-529E-4B8F-8CB6-46E7ACCAF45F}"/>
    <cellStyle name="Normale 27 7" xfId="7052" xr:uid="{1FE01C49-FC3B-4888-973A-0948BBE8F416}"/>
    <cellStyle name="Normale 27 7 2" xfId="14770" xr:uid="{C02C2E8E-F291-465E-B54F-B86AA7FBFF8D}"/>
    <cellStyle name="Normale 27 8" xfId="14731" xr:uid="{D477E1EE-6811-423B-8041-084D6EBDFA6D}"/>
    <cellStyle name="Normale 27_RP3 PP revised" xfId="15088" xr:uid="{D87B1DBB-88C5-4F51-B07B-F410F1256FF8}"/>
    <cellStyle name="Normale 28" xfId="7053" xr:uid="{581EBDE8-BA2A-4828-83C2-5F43705B5325}"/>
    <cellStyle name="Normale 29" xfId="7054" xr:uid="{321567E0-FC5B-4F35-838D-BCB9DA967B8F}"/>
    <cellStyle name="Normale 29 2" xfId="7055" xr:uid="{014F3B77-FD0C-47F4-92C5-AFECDC910354}"/>
    <cellStyle name="Normale 29 2 2" xfId="7056" xr:uid="{82C467EE-906F-4835-8DA6-9EB54F5AFA8F}"/>
    <cellStyle name="Normale 29 3" xfId="7057" xr:uid="{3D53BE06-116F-461E-A355-4D897FA7EEA5}"/>
    <cellStyle name="Normale 29 3 2" xfId="7058" xr:uid="{04C96C2D-C918-45D1-B110-3E095090888B}"/>
    <cellStyle name="Normale 29 3 3" xfId="7059" xr:uid="{6CC4956E-E578-49F4-AA35-2C8A86117C0F}"/>
    <cellStyle name="Normale 29 3_Italy RT - TNC 2012_JUN_V01_C_31052012_check" xfId="7060" xr:uid="{508A6E9F-4AF2-4953-B90B-EFC88F62F0C4}"/>
    <cellStyle name="Normale 29_Italy RT - TNC 2012_JUN_V01_C_31052012_check" xfId="7061" xr:uid="{FF159C1C-09CF-4496-B1D5-4E5FB12D79D5}"/>
    <cellStyle name="Normale 3" xfId="7062" xr:uid="{452883F5-0067-4439-A6FA-F04EBF6921F7}"/>
    <cellStyle name="Normale 3 2" xfId="7063" xr:uid="{E1FBD4E2-E7F7-4A97-97C0-30AC84B10F0A}"/>
    <cellStyle name="Normale 3 2 2" xfId="7064" xr:uid="{15FA92C3-9D79-42E7-808F-662BB10E7B14}"/>
    <cellStyle name="Normale 3 3" xfId="7065" xr:uid="{A72A233D-BC05-4067-BB73-EC7F8BA897F9}"/>
    <cellStyle name="Normale 3 3 2" xfId="7066" xr:uid="{1CF8363C-2197-4262-9E88-F31C3C543D3E}"/>
    <cellStyle name="Normale 3 3 2 2" xfId="7067" xr:uid="{3CB7D3AF-0CD4-4470-A591-F5E6E1D56B4C}"/>
    <cellStyle name="Normale 3 3 2 2 2" xfId="7068" xr:uid="{3C284403-C6C4-4608-9CFF-C5064AEA5984}"/>
    <cellStyle name="Normale 3 3 2 2 2 2" xfId="7069" xr:uid="{6B502C52-104A-4F76-99DE-1B872C2F7973}"/>
    <cellStyle name="Normale 3 3 2 2 3" xfId="7070" xr:uid="{0E46859D-7DDB-4651-968A-60C5BD181191}"/>
    <cellStyle name="Normale 3 3 2 3" xfId="7071" xr:uid="{769873B0-18DC-4B18-B0A6-38C7493E76BA}"/>
    <cellStyle name="Normale 3 3 2 3 2" xfId="7072" xr:uid="{0A586D1B-61C5-46D9-929D-1CE0CBA56047}"/>
    <cellStyle name="Normale 3 3 2 4" xfId="7073" xr:uid="{6D201CDE-C7E1-4978-A3AA-8EF3C92B9BB3}"/>
    <cellStyle name="Normale 3 3 3" xfId="7074" xr:uid="{5B9781F4-3651-474C-8355-4BC7AB2FDDD4}"/>
    <cellStyle name="Normale 3 3 4" xfId="7075" xr:uid="{278D6428-BC5A-4535-A847-126B42A60082}"/>
    <cellStyle name="Normale 3 3 4 2" xfId="7076" xr:uid="{6A74741D-92F3-42A0-8698-6F5B3F07B2B3}"/>
    <cellStyle name="Normale 3 3 4 2 2" xfId="7077" xr:uid="{790F1D57-6E98-4D64-A590-B2EDAD34B6BA}"/>
    <cellStyle name="Normale 3 3 4 3" xfId="7078" xr:uid="{B24A4093-64DD-4E8C-AC6A-1FF2340BD298}"/>
    <cellStyle name="Normale 3 3 5" xfId="7079" xr:uid="{C23E9E42-526F-4116-8F4C-5D9A2E9EE6FF}"/>
    <cellStyle name="Normale 3 3 5 2" xfId="7080" xr:uid="{20DCDFF2-1B59-4253-9904-848D218246A2}"/>
    <cellStyle name="Normale 3 3 6" xfId="7081" xr:uid="{1E31A95E-60C1-4A91-9286-E67A2A8B68FB}"/>
    <cellStyle name="Normale 3 3 6 2" xfId="14752" xr:uid="{61500266-77FB-4BF8-A292-B99328309FAD}"/>
    <cellStyle name="Normale 3 3 7" xfId="7082" xr:uid="{F3644CA6-71D3-43B6-83B7-5BA967FE3720}"/>
    <cellStyle name="Normale 3 3 7 2" xfId="14771" xr:uid="{EA81B6E0-CC85-44C8-8D3E-AFDF8DE7E292}"/>
    <cellStyle name="Normale 3 3 8" xfId="14732" xr:uid="{A7E45EAE-4A10-4765-ABC4-E9CA442B5B4B}"/>
    <cellStyle name="Normale 3 3_RP3 PP revised" xfId="15086" xr:uid="{FF8CD4B9-BE4E-491E-9419-53926FA2FD15}"/>
    <cellStyle name="Normale 3 4" xfId="7083" xr:uid="{E65B3CAC-E8C6-4D36-8518-C20F756E572C}"/>
    <cellStyle name="Normale 3 5" xfId="7084" xr:uid="{69C2E370-D2A7-4E20-A73A-69AADDEB6AFC}"/>
    <cellStyle name="Normale 30" xfId="7085" xr:uid="{EBFFC461-2008-4159-87B3-39EB80E9825E}"/>
    <cellStyle name="Normale 30 2" xfId="7086" xr:uid="{247B597E-EB33-4429-A951-3737A2BB8612}"/>
    <cellStyle name="Normale 30 2 2" xfId="7087" xr:uid="{FBB625AB-717E-445D-972A-199F9769E3D8}"/>
    <cellStyle name="Normale 30 2 2 2" xfId="7088" xr:uid="{3B5707B4-9668-48B1-AB08-47DEBEA60A35}"/>
    <cellStyle name="Normale 30 2 2 2 2" xfId="7089" xr:uid="{E7AA4716-8B48-4104-8C35-3E0892EE7943}"/>
    <cellStyle name="Normale 30 2 2 3" xfId="7090" xr:uid="{730C8057-7736-4AFF-A0F8-EA0CF1B41EA7}"/>
    <cellStyle name="Normale 30 2 3" xfId="7091" xr:uid="{BA9C6BCC-13D3-4432-9A39-0E7C1587EBB9}"/>
    <cellStyle name="Normale 30 2 3 2" xfId="7092" xr:uid="{3AD7B29A-6826-41A5-88EC-06B7CAEACD9B}"/>
    <cellStyle name="Normale 30 2 4" xfId="7093" xr:uid="{2592E392-1067-47DF-B60A-B4C81C1A3E33}"/>
    <cellStyle name="Normale 30 3" xfId="7094" xr:uid="{8B4C5113-D952-4F41-A240-53EAB4D6A403}"/>
    <cellStyle name="Normale 30 4" xfId="7095" xr:uid="{C2CBB651-91FE-493E-8FB0-F960200EEA70}"/>
    <cellStyle name="Normale 30 4 2" xfId="7096" xr:uid="{7DF43519-F8B1-4E99-96AC-450AD5401F7A}"/>
    <cellStyle name="Normale 30 4 2 2" xfId="7097" xr:uid="{48A30DEF-E8D3-4DF6-84F8-90F690BA25FC}"/>
    <cellStyle name="Normale 30 4 3" xfId="7098" xr:uid="{373005C9-B7B0-4CE4-B66B-7CCB51A375D9}"/>
    <cellStyle name="Normale 30 5" xfId="7099" xr:uid="{66956C50-369F-4CBD-B46A-56CC7EB15140}"/>
    <cellStyle name="Normale 30 5 2" xfId="7100" xr:uid="{4EA7330A-D9CB-494C-A22A-F1D373B77026}"/>
    <cellStyle name="Normale 30 6" xfId="7101" xr:uid="{2193A83C-A5AB-4D6F-95B1-1A1DA62E6139}"/>
    <cellStyle name="Normale 30 6 2" xfId="14753" xr:uid="{C030B0EB-885C-439F-A7A2-188F950454B1}"/>
    <cellStyle name="Normale 30 7" xfId="7102" xr:uid="{22D8645E-A2A7-4BD3-B3DE-C3287BECDABE}"/>
    <cellStyle name="Normale 30 7 2" xfId="14772" xr:uid="{54058040-972E-4FDE-8F71-7482487914DC}"/>
    <cellStyle name="Normale 30 8" xfId="14733" xr:uid="{252EC88D-21AB-43A9-8CAA-C1AB14378B19}"/>
    <cellStyle name="Normale 30_RP3 PP revised" xfId="15085" xr:uid="{41D77E30-EC50-4D30-A633-9246613AACC2}"/>
    <cellStyle name="Normale 31" xfId="7103" xr:uid="{D8B14B43-8400-4E19-AC88-782C6DC19CB5}"/>
    <cellStyle name="Normale 31 2" xfId="7104" xr:uid="{57154C19-76F0-49D8-8D76-0FB4B37F89CD}"/>
    <cellStyle name="Normale 31 2 2" xfId="7105" xr:uid="{31C730C0-CD8D-49B8-9433-DBD636E15395}"/>
    <cellStyle name="Normale 31 2 2 2" xfId="7106" xr:uid="{C83C44C2-99E1-4BAB-9C7D-002FE1623F34}"/>
    <cellStyle name="Normale 31 2 2 2 2" xfId="7107" xr:uid="{FA1BF915-ACD3-429D-BDDF-8B3C050BFA63}"/>
    <cellStyle name="Normale 31 2 2 3" xfId="7108" xr:uid="{581EA220-5F99-4A55-9815-B6C353BF1FE1}"/>
    <cellStyle name="Normale 31 2 3" xfId="7109" xr:uid="{7E1FF421-CF9A-4DC2-B44D-A33F1D5315E7}"/>
    <cellStyle name="Normale 31 2 3 2" xfId="7110" xr:uid="{9ED5ADDA-BBC4-4F68-BD80-6D9D9C554D40}"/>
    <cellStyle name="Normale 31 2 4" xfId="7111" xr:uid="{9A4BB2A1-5F01-4F6A-A0F5-5415A444AC39}"/>
    <cellStyle name="Normale 31 3" xfId="7112" xr:uid="{6EA62B24-BD2F-467A-BC26-5BBB2A1786A1}"/>
    <cellStyle name="Normale 31 4" xfId="7113" xr:uid="{F311E4A6-1520-4DA2-96E6-B3F5DDDA715B}"/>
    <cellStyle name="Normale 31 4 2" xfId="7114" xr:uid="{7ADF81E0-FAB5-4007-90A3-B868925D82C6}"/>
    <cellStyle name="Normale 31 4 2 2" xfId="7115" xr:uid="{65AE1E74-6218-4626-8776-30A15E7EE1B0}"/>
    <cellStyle name="Normale 31 4 3" xfId="7116" xr:uid="{56252D77-0624-4802-8B9E-3023B00A3806}"/>
    <cellStyle name="Normale 31 5" xfId="7117" xr:uid="{6C293FBE-4687-4D4A-9297-01DBE54F4A36}"/>
    <cellStyle name="Normale 31 5 2" xfId="7118" xr:uid="{BF15BDE5-AE65-4595-B470-24C824419AD0}"/>
    <cellStyle name="Normale 31 6" xfId="7119" xr:uid="{8FF9062A-6544-46C0-BB6B-00259A529105}"/>
    <cellStyle name="Normale 31 6 2" xfId="14754" xr:uid="{F40AEB2C-58E3-49BD-A082-72A0C401713E}"/>
    <cellStyle name="Normale 31 7" xfId="7120" xr:uid="{7DC3B12E-4AB5-4980-AA32-D83A01D27FE7}"/>
    <cellStyle name="Normale 31 7 2" xfId="14773" xr:uid="{1F60FB73-377C-4F9F-8C88-A2863AFDC729}"/>
    <cellStyle name="Normale 31 8" xfId="14734" xr:uid="{9EB48BF2-5B8D-4A26-89A0-1CA456A4EC28}"/>
    <cellStyle name="Normale 31_RP3 PP revised" xfId="15084" xr:uid="{717BB524-8DC0-4134-A4B1-9062C13034D1}"/>
    <cellStyle name="Normale 32" xfId="7121" xr:uid="{D915EC7C-B51B-473E-A5E6-868212569F41}"/>
    <cellStyle name="Normale 32 2" xfId="7122" xr:uid="{CF856582-2638-499E-B6B9-2036D7A3BBB9}"/>
    <cellStyle name="Normale 32 2 2" xfId="7123" xr:uid="{FB797360-2D88-4B2F-9913-D4D4587FA77B}"/>
    <cellStyle name="Normale 32 2 2 2" xfId="7124" xr:uid="{D40C0266-D7E9-4089-9B42-8881AB179615}"/>
    <cellStyle name="Normale 32 2 2 2 2" xfId="7125" xr:uid="{EC37E45F-256A-47B8-9321-F14E1FDA42A9}"/>
    <cellStyle name="Normale 32 2 2 3" xfId="7126" xr:uid="{2862262B-D745-4F27-8376-1287E98FA840}"/>
    <cellStyle name="Normale 32 2_RP3 PP revised" xfId="15083" xr:uid="{10283F48-22B5-4B5F-8771-9449AACC6B18}"/>
    <cellStyle name="Normale 32 3" xfId="7127" xr:uid="{F872B697-5179-4C0F-B1A7-AED7F3B2634F}"/>
    <cellStyle name="Normale 32 4" xfId="7128" xr:uid="{56F67701-54F3-41D2-94E7-22940C465472}"/>
    <cellStyle name="Normale 32 4 2" xfId="7129" xr:uid="{31CA29E4-EE0A-4B19-901E-E87992DE8532}"/>
    <cellStyle name="Normale 32 4 2 2" xfId="7130" xr:uid="{AEBB7997-AF40-40BB-8A06-38146BC7FE68}"/>
    <cellStyle name="Normale 32 4 3" xfId="7131" xr:uid="{0F5A6628-EB3F-4BF3-80E0-203D4926827B}"/>
    <cellStyle name="Normale 32 5" xfId="7132" xr:uid="{3E394774-E717-4983-95DE-6291FC47969F}"/>
    <cellStyle name="Normale 32 5 2" xfId="7133" xr:uid="{097E03D7-1448-47D7-A0F1-FFF8AE549FCE}"/>
    <cellStyle name="Normale 32 6" xfId="7134" xr:uid="{E2F80641-2517-4074-A500-ED47844C31AA}"/>
    <cellStyle name="Normale 32 6 2" xfId="14755" xr:uid="{087DDC4F-0000-4886-9C8B-2BACEA607076}"/>
    <cellStyle name="Normale 32 7" xfId="7135" xr:uid="{65E63418-C71B-4F52-B0EC-C6A1472AD3AC}"/>
    <cellStyle name="Normale 32 7 2" xfId="14774" xr:uid="{244CCA49-1FE8-42C6-83FD-0B9DA23F2747}"/>
    <cellStyle name="Normale 32 8" xfId="14735" xr:uid="{DCC6A68D-DD31-45FF-BFE5-8DF38AABC4FD}"/>
    <cellStyle name="Normale 32_Italy RT - TNC 2012_JUN_V01_C_31052012_check" xfId="7136" xr:uid="{AB0A693B-B17A-4018-A59E-99F491F39501}"/>
    <cellStyle name="Normale 33" xfId="7137" xr:uid="{284606B9-762F-4B2E-9BA4-78163CE44982}"/>
    <cellStyle name="Normale 33 2" xfId="7138" xr:uid="{42994C90-9C41-407E-A774-575262F514DD}"/>
    <cellStyle name="Normale 33 2 2" xfId="7139" xr:uid="{82053C02-5D3E-46A2-9C71-F765F81F4A8F}"/>
    <cellStyle name="Normale 33 2 2 2" xfId="7140" xr:uid="{56C26FD5-849E-4ABB-B1CA-854CC2E9E334}"/>
    <cellStyle name="Normale 33 2 2 2 2" xfId="7141" xr:uid="{A72449A8-F0F8-4496-9C0A-CA4857B70BBE}"/>
    <cellStyle name="Normale 33 2 2 3" xfId="7142" xr:uid="{55C15829-40C4-4316-B14F-178B7B2A8464}"/>
    <cellStyle name="Normale 33 2 3" xfId="7143" xr:uid="{F9BA35FD-99A3-4CFA-B447-E6E21230C1EA}"/>
    <cellStyle name="Normale 33 2 3 2" xfId="7144" xr:uid="{1479BD96-DC66-4603-B72C-7ECF3BF18F09}"/>
    <cellStyle name="Normale 33 2 4" xfId="7145" xr:uid="{59B4D11D-6EFA-4F8E-8D9C-07B576C5F74D}"/>
    <cellStyle name="Normale 33 3" xfId="7146" xr:uid="{934EF67C-BFB7-4A14-9FCF-863EC8486898}"/>
    <cellStyle name="Normale 33 4" xfId="7147" xr:uid="{8D7FDF2E-30BA-46A9-8474-E27EF7014619}"/>
    <cellStyle name="Normale 33 4 2" xfId="7148" xr:uid="{DAD57AC3-5C71-4CE1-ABF2-8A1D079E804B}"/>
    <cellStyle name="Normale 33 4 2 2" xfId="7149" xr:uid="{5231317F-D181-400E-8D45-5F0DE924EA31}"/>
    <cellStyle name="Normale 33 4 3" xfId="7150" xr:uid="{9FF8CB31-4D17-4A89-874F-6998EE2A2BDC}"/>
    <cellStyle name="Normale 33 5" xfId="7151" xr:uid="{B18DFC33-2A2E-4969-8C0B-B94F20636D5C}"/>
    <cellStyle name="Normale 33 5 2" xfId="7152" xr:uid="{9DB0890E-3A16-4B07-89E5-9BFEF9428F0A}"/>
    <cellStyle name="Normale 33 6" xfId="7153" xr:uid="{89680458-F9D1-4D1B-A484-A20805F185FC}"/>
    <cellStyle name="Normale 33 6 2" xfId="14756" xr:uid="{E21E28CF-0FE4-4CE8-9C37-98D4C9C27AA2}"/>
    <cellStyle name="Normale 33 7" xfId="7154" xr:uid="{0BBBF8D4-52B7-42C9-8DF4-5B9BAD8A4C66}"/>
    <cellStyle name="Normale 33 7 2" xfId="14775" xr:uid="{D60DA3F1-CE4C-4E0C-A0D0-792394B6A5D0}"/>
    <cellStyle name="Normale 33 8" xfId="14736" xr:uid="{D7296DC1-227D-4521-A94E-D6F87CADD6B7}"/>
    <cellStyle name="Normale 33_RP3 PP revised" xfId="15082" xr:uid="{023FDCA6-EFBC-486F-836B-B4B5C4CCE1AA}"/>
    <cellStyle name="Normale 34" xfId="7155" xr:uid="{50D3D8A9-4F24-47E6-A6BD-CF74FF604EBE}"/>
    <cellStyle name="Normale 34 2" xfId="7156" xr:uid="{9F7CEA88-AF24-474D-9E55-63BB046A83D9}"/>
    <cellStyle name="Normale 34 2 2" xfId="7157" xr:uid="{5105FF2A-2BBE-4AD8-BB84-D9DD3BEAA08B}"/>
    <cellStyle name="Normale 34 2 2 2" xfId="7158" xr:uid="{125C9649-DAC2-46CE-994A-0865D54DDB67}"/>
    <cellStyle name="Normale 34 2 2 2 2" xfId="7159" xr:uid="{F948E36C-4472-4A04-B287-54AB9F83765E}"/>
    <cellStyle name="Normale 34 2 2 3" xfId="7160" xr:uid="{2BB0DF1A-A43B-41A9-905B-C824ABE7194E}"/>
    <cellStyle name="Normale 34 2 3" xfId="7161" xr:uid="{BBBA30B5-2BE8-493A-9D42-B574275BDE46}"/>
    <cellStyle name="Normale 34 2 3 2" xfId="7162" xr:uid="{B15D2239-067A-439A-ADFA-AD035FFC6A0A}"/>
    <cellStyle name="Normale 34 2 4" xfId="7163" xr:uid="{01930F03-4274-4968-8497-1429B3304FB2}"/>
    <cellStyle name="Normale 34 3" xfId="7164" xr:uid="{F74FF174-B390-4FA6-9E2B-F24769DAC9D0}"/>
    <cellStyle name="Normale 34 4" xfId="7165" xr:uid="{C93B9C3D-D6A5-4B67-B29B-01C5A19C18B0}"/>
    <cellStyle name="Normale 34 4 2" xfId="7166" xr:uid="{3661D50D-C899-42C6-9E22-70DE1BFDAF40}"/>
    <cellStyle name="Normale 34 4 2 2" xfId="7167" xr:uid="{B18326C4-0AB2-4621-B695-94D9669AED81}"/>
    <cellStyle name="Normale 34 4 3" xfId="7168" xr:uid="{BE90C610-82BE-4DDF-A758-02C2BBA7D0A9}"/>
    <cellStyle name="Normale 34 5" xfId="7169" xr:uid="{AA5D902F-7543-4C4B-9F8B-E10E198895C8}"/>
    <cellStyle name="Normale 34 5 2" xfId="7170" xr:uid="{FC1498FB-4A26-4B46-ABF9-DB71AFBE0BFA}"/>
    <cellStyle name="Normale 34 6" xfId="7171" xr:uid="{ABB80CBC-877E-4DAD-B12C-A58F2F85D5B2}"/>
    <cellStyle name="Normale 34 6 2" xfId="14757" xr:uid="{A724EBCA-4016-4C1C-95E7-612DEACC1692}"/>
    <cellStyle name="Normale 34 7" xfId="7172" xr:uid="{B99C53B9-BAE2-493C-8A53-9F04F7BC4C88}"/>
    <cellStyle name="Normale 34 7 2" xfId="14776" xr:uid="{4E9E91C0-31E1-4B56-9505-F131BDC873CF}"/>
    <cellStyle name="Normale 34 8" xfId="14737" xr:uid="{83FC0602-25B1-455F-9AE7-F287500D978D}"/>
    <cellStyle name="Normale 34_RP3 PP revised" xfId="15081" xr:uid="{FDF3E6C4-DD1B-4F3A-BF1E-ACACBAE0CB4A}"/>
    <cellStyle name="Normale 35" xfId="7173" xr:uid="{A4626566-ECE0-4E71-A50C-8F18C9293F6E}"/>
    <cellStyle name="Normale 35 2" xfId="7174" xr:uid="{76E4BC3F-C280-4807-842A-0BC7350E1530}"/>
    <cellStyle name="Normale 36" xfId="7175" xr:uid="{F0113A76-0CD8-4BB8-A3DF-4D8CEA06C652}"/>
    <cellStyle name="Normale 36 2" xfId="7176" xr:uid="{5EF6D80C-C957-4E37-A010-438584AB217F}"/>
    <cellStyle name="Normale 36 2 2" xfId="7177" xr:uid="{C3609300-B376-48CC-AAEC-A50778E2B4A3}"/>
    <cellStyle name="Normale 36 2_Italy RT - TNC 2012_JUN_V01_C_31052012_check" xfId="7178" xr:uid="{C871D9D1-A73F-417B-B7B5-FF7F1E61567C}"/>
    <cellStyle name="Normale 36_Italy RT - TNC 2012_JUN_V01_C_31052012_check" xfId="7179" xr:uid="{6F93D46E-AB93-4F37-86DC-A9C776A1940A}"/>
    <cellStyle name="Normale 37" xfId="7180" xr:uid="{10BBC64F-78B8-4F20-BFB9-F13C281278B6}"/>
    <cellStyle name="Normale 38" xfId="7181" xr:uid="{BE5E9C07-01B3-4A55-B485-6B7BC4FF8B2A}"/>
    <cellStyle name="Normale 39" xfId="7182" xr:uid="{97F3AC28-A61C-4594-9FF9-96A41C66989A}"/>
    <cellStyle name="Normale 4" xfId="7183" xr:uid="{26537E3F-3C38-4CBB-BB19-0168D3BD4ECE}"/>
    <cellStyle name="Normale 4 10" xfId="7184" xr:uid="{8B1A8BD5-0E05-4BCC-A163-837045045142}"/>
    <cellStyle name="Normale 4 10 2" xfId="14758" xr:uid="{8602F1F4-2061-411D-8B5E-DED3C27D4F8A}"/>
    <cellStyle name="Normale 4 11" xfId="7185" xr:uid="{CD6A65FC-CE54-4342-AE52-6139F5D769F9}"/>
    <cellStyle name="Normale 4 11 2" xfId="14777" xr:uid="{0458ED56-2B90-4F39-8C26-B7401D8ECED8}"/>
    <cellStyle name="Normale 4 12" xfId="14738" xr:uid="{38B12AAE-7D47-466B-877D-6B890DE09BE7}"/>
    <cellStyle name="Normale 4 2" xfId="7186" xr:uid="{DD53C030-4EEE-4B05-B38D-FEACBB67A529}"/>
    <cellStyle name="Normale 4 2 2" xfId="7187" xr:uid="{B0484B6B-73DA-4FC4-B587-D82007BA843C}"/>
    <cellStyle name="Normale 4 2 2 2" xfId="7188" xr:uid="{74867857-B3A2-4539-B1CD-5687FFB54644}"/>
    <cellStyle name="Normale 4 2 2 2 2" xfId="7189" xr:uid="{1AB99E10-B17C-4CB4-AAC5-0FE54E8F8C8D}"/>
    <cellStyle name="Normale 4 2 2 2 2 2" xfId="7190" xr:uid="{F74C68B5-CFED-44E8-92AB-9014A88DB823}"/>
    <cellStyle name="Normale 4 2 2 2 2 2 2" xfId="7191" xr:uid="{46A244B7-BBD5-4040-83EB-7CAFC002F20B}"/>
    <cellStyle name="Normale 4 2 2 2 2 3" xfId="7192" xr:uid="{855FC0CB-19E5-447E-BC42-FD4112123D39}"/>
    <cellStyle name="Normale 4 2 2 2_RP3 PP revised" xfId="15080" xr:uid="{EBCE71B9-3514-446E-ACA1-1270C80786B2}"/>
    <cellStyle name="Normale 4 2 2 3" xfId="7193" xr:uid="{8122A8D9-76EB-4D98-A32A-B3BBE7703A73}"/>
    <cellStyle name="Normale 4 2 2 4" xfId="7194" xr:uid="{7483587F-5939-47B4-BC35-37BC34EBF9C1}"/>
    <cellStyle name="Normale 4 2 2 5" xfId="7195" xr:uid="{9D4739F0-079D-4C6B-97AE-93548AE1C653}"/>
    <cellStyle name="Normale 4 2 2 5 2" xfId="7196" xr:uid="{EC839E44-5F42-4112-9F36-CB1CC38A0A68}"/>
    <cellStyle name="Normale 4 2 2 5 2 2" xfId="7197" xr:uid="{B989E9BA-4DFA-4E79-84F5-E767E2A2C7D0}"/>
    <cellStyle name="Normale 4 2 2 5 3" xfId="7198" xr:uid="{34840B48-8214-49B3-A4B9-187E8D05C4C8}"/>
    <cellStyle name="Normale 4 2 2 6" xfId="7199" xr:uid="{46BB780D-F4CB-439E-B22A-FC25C756AE7F}"/>
    <cellStyle name="Normale 4 2 2 6 2" xfId="7200" xr:uid="{234716EB-C589-484E-B0C6-82FB1F74D76A}"/>
    <cellStyle name="Normale 4 2 2 7" xfId="7201" xr:uid="{D51ADB7E-E893-4468-B975-4F2503FF4D7B}"/>
    <cellStyle name="Normale 4 2 2 7 2" xfId="14760" xr:uid="{6844A840-7B2D-4435-9776-D7A75882173C}"/>
    <cellStyle name="Normale 4 2 2 8" xfId="7202" xr:uid="{4FCA0B79-59D9-48F4-B22D-87A13A8EC9D9}"/>
    <cellStyle name="Normale 4 2 2 8 2" xfId="14779" xr:uid="{680ADACE-136D-44B8-A436-58C05E55DB25}"/>
    <cellStyle name="Normale 4 2 2 9" xfId="14740" xr:uid="{AA8BB7B2-4FC0-4C42-8309-15E89CCB20FA}"/>
    <cellStyle name="Normale 4 2 2_Italy RT - TNC 2012_JUN_V01_C_31052012_check" xfId="7203" xr:uid="{90E4B8C5-E4EB-40BF-B51E-365428C5A706}"/>
    <cellStyle name="Normale 4 2 3" xfId="7204" xr:uid="{F5516316-1A5B-4462-B860-254982EED144}"/>
    <cellStyle name="Normale 4 2 3 2" xfId="7205" xr:uid="{CFD7AD09-F176-4243-A361-9FB9E368353B}"/>
    <cellStyle name="Normale 4 2 3 3" xfId="7206" xr:uid="{7B7A7179-8DF2-4214-8338-BFD0739EC401}"/>
    <cellStyle name="Normale 4 2 3 3 2" xfId="7207" xr:uid="{1A9A2231-8CC9-4E66-9F52-1745E43060B4}"/>
    <cellStyle name="Normale 4 2 3 3 2 2" xfId="7208" xr:uid="{3D78E57E-2B48-4154-85BB-E4CD3A693930}"/>
    <cellStyle name="Normale 4 2 3 3 3" xfId="7209" xr:uid="{F079D0BB-6DCA-4F15-B828-C593432DE7CB}"/>
    <cellStyle name="Normale 4 2 3_Italy RT - TNC 2012_JUN_V01_C_31052012_check" xfId="7210" xr:uid="{2BEBC650-B9E7-4904-B3FB-3D1C042FFA78}"/>
    <cellStyle name="Normale 4 2 4" xfId="7211" xr:uid="{1F0BC94C-021B-4057-9738-6B3770507EF0}"/>
    <cellStyle name="Normale 4 2 4 2" xfId="7212" xr:uid="{7A7EC710-B062-4EAD-9492-8A9302A09329}"/>
    <cellStyle name="Normale 4 2 4_Italy RT - TNC 2012_JUN_V01_C_31052012_check" xfId="7213" xr:uid="{7431EBBF-847D-43CC-8B89-A7E2ABB3D8C0}"/>
    <cellStyle name="Normale 4 2 5" xfId="7214" xr:uid="{FCC42104-1A49-4B20-8F47-A4EF4411D5BF}"/>
    <cellStyle name="Normale 4 2 5 2" xfId="7215" xr:uid="{23D48D7F-2578-49DB-A444-C3FDA168046D}"/>
    <cellStyle name="Normale 4 2 5 2 2" xfId="7216" xr:uid="{E4CB1A71-8862-44E7-AC6E-61BA1BB906B3}"/>
    <cellStyle name="Normale 4 2 5 3" xfId="7217" xr:uid="{EDC627BA-2888-4DED-8D79-2BC27560463E}"/>
    <cellStyle name="Normale 4 2 6" xfId="7218" xr:uid="{EB1F8316-18E3-437E-9D0F-8BA533FF358D}"/>
    <cellStyle name="Normale 4 2 6 2" xfId="7219" xr:uid="{5C9142CF-9C38-4F85-8A8E-43CC1F67B744}"/>
    <cellStyle name="Normale 4 2 7" xfId="7220" xr:uid="{EE4C2139-7F4E-4EAB-9B86-5E64E4D62DA0}"/>
    <cellStyle name="Normale 4 2 7 2" xfId="14759" xr:uid="{E2FA4DB8-0497-4CFE-A2D2-7B73847B78AB}"/>
    <cellStyle name="Normale 4 2 8" xfId="7221" xr:uid="{56AB3479-D253-4D34-AB22-E62A88AB5AEC}"/>
    <cellStyle name="Normale 4 2 8 2" xfId="14778" xr:uid="{EC267BA1-FB58-44EA-B953-5C86048AF60D}"/>
    <cellStyle name="Normale 4 2 9" xfId="14739" xr:uid="{0BDF6E66-3094-40DC-9081-4B3484B46811}"/>
    <cellStyle name="Normale 4 2_Additional information tables" xfId="7222" xr:uid="{7292B564-6F8B-4F5F-8141-962D86E3EDDF}"/>
    <cellStyle name="Normale 4 3" xfId="7223" xr:uid="{5B043F23-8D93-4B38-A558-3F01F74D35D6}"/>
    <cellStyle name="Normale 4 3 2" xfId="7224" xr:uid="{193D2F6F-BDDB-4936-9288-2EEEB0EC04C4}"/>
    <cellStyle name="Normale 4 3 2 2" xfId="7225" xr:uid="{A35CF7E3-8BEA-4503-B553-6D44F8E1534E}"/>
    <cellStyle name="Normale 4 3 2 2 2" xfId="7226" xr:uid="{86219C8D-F7CA-45F4-B2C8-1D01F2B109AB}"/>
    <cellStyle name="Normale 4 3 2 2 2 2" xfId="7227" xr:uid="{8D7CBF7D-F8B6-4116-BF76-2E443536DDC0}"/>
    <cellStyle name="Normale 4 3 2 2 3" xfId="7228" xr:uid="{09F64724-BADE-4498-A1F8-4343729287AE}"/>
    <cellStyle name="Normale 4 3 2 3" xfId="7229" xr:uid="{62965BEF-DB69-4591-9857-6EB68FA70779}"/>
    <cellStyle name="Normale 4 3 2 3 2" xfId="7230" xr:uid="{749E7235-7269-4CFB-9FEA-10012EC361F7}"/>
    <cellStyle name="Normale 4 3 2 4" xfId="7231" xr:uid="{4461922E-B1F1-4BB2-B2F1-A2FC99A2D0FB}"/>
    <cellStyle name="Normale 4 3 3" xfId="7232" xr:uid="{F92B1F46-481E-4B0A-9D5F-9AD74DF620C2}"/>
    <cellStyle name="Normale 4 3 4" xfId="7233" xr:uid="{BDD961E3-26F6-4C51-9312-4AEACB6C1731}"/>
    <cellStyle name="Normale 4 3 4 2" xfId="7234" xr:uid="{C303DE9D-4054-438B-BEC4-AA277E393F46}"/>
    <cellStyle name="Normale 4 3 4 2 2" xfId="7235" xr:uid="{EBBCFF1F-5AE3-48EF-B32B-C7D723D15869}"/>
    <cellStyle name="Normale 4 3 4 3" xfId="7236" xr:uid="{4512D2EB-C870-45C1-A437-8C5994AF60AA}"/>
    <cellStyle name="Normale 4 3 5" xfId="7237" xr:uid="{91CD6CC1-EF97-418E-9CB5-73FF059532E8}"/>
    <cellStyle name="Normale 4 3 5 2" xfId="7238" xr:uid="{1917E580-4DFB-4517-8409-1490D5F4CA99}"/>
    <cellStyle name="Normale 4 3 6" xfId="7239" xr:uid="{C6B3ECC3-2B4D-4F34-998F-D328A4E501D9}"/>
    <cellStyle name="Normale 4 3 6 2" xfId="14761" xr:uid="{94E24AF1-A15D-4889-97C7-685B14977020}"/>
    <cellStyle name="Normale 4 3 7" xfId="7240" xr:uid="{4B0DE075-4B30-4C60-A0D5-1757CC4ED5C7}"/>
    <cellStyle name="Normale 4 3 7 2" xfId="14780" xr:uid="{5AF3D0C1-E8CF-487C-A7CB-D06CD8B823FF}"/>
    <cellStyle name="Normale 4 3 8" xfId="14741" xr:uid="{12707809-526F-4163-96D5-EC55373DBB74}"/>
    <cellStyle name="Normale 4 3_RP3 PP revised" xfId="15078" xr:uid="{769A4C1C-6A6B-40E4-9D20-BDA29ED1520D}"/>
    <cellStyle name="Normale 4 4" xfId="7241" xr:uid="{9C11162A-B063-4F6C-954B-844507601E64}"/>
    <cellStyle name="Normale 4 4 2" xfId="7242" xr:uid="{BB971ED5-B21E-4B04-9C78-EABDDB4CF3F3}"/>
    <cellStyle name="Normale 4 4 2 2" xfId="7243" xr:uid="{F3A60263-B9E7-4014-9BC7-C065EC12E7B9}"/>
    <cellStyle name="Normale 4 4 2 2 2" xfId="7244" xr:uid="{EBF54D66-EE01-4DBA-A5BF-513A09E3A3A8}"/>
    <cellStyle name="Normale 4 4 2 2 2 2" xfId="7245" xr:uid="{DAD53367-809E-40E2-A7D1-340CB9B662BB}"/>
    <cellStyle name="Normale 4 4 2 2 3" xfId="7246" xr:uid="{89B13AA3-75AF-4FDB-87FE-4E486C292927}"/>
    <cellStyle name="Normale 4 4 2 3" xfId="7247" xr:uid="{4EB4526A-E972-476D-8F43-4386BA8E9819}"/>
    <cellStyle name="Normale 4 4 2 3 2" xfId="7248" xr:uid="{771DD427-DA30-4DCE-B986-F0094B5391F4}"/>
    <cellStyle name="Normale 4 4 2 4" xfId="7249" xr:uid="{F5C3C0CA-AA7D-4932-9025-CDD5422E230F}"/>
    <cellStyle name="Normale 4 4 3" xfId="7250" xr:uid="{C73C8F60-0875-4D01-920F-E7A222490EA3}"/>
    <cellStyle name="Normale 4 4 4" xfId="7251" xr:uid="{7AE8591B-2C6B-48E2-BD1D-53FBBA26E8B4}"/>
    <cellStyle name="Normale 4 4 4 2" xfId="7252" xr:uid="{B4896DDC-1AB0-4469-A036-84767B738DCC}"/>
    <cellStyle name="Normale 4 4 4 2 2" xfId="7253" xr:uid="{1A188BF4-D549-4FC8-8648-1923899C1724}"/>
    <cellStyle name="Normale 4 4 4 3" xfId="7254" xr:uid="{F9506509-B926-4876-A3AA-6B8C5C9E9B9F}"/>
    <cellStyle name="Normale 4 4 5" xfId="7255" xr:uid="{B28A6CB1-3CAF-456D-93E5-F3FF17C405E1}"/>
    <cellStyle name="Normale 4 4 5 2" xfId="7256" xr:uid="{42B86F7B-3CD3-46CE-8CB7-33AE4EE82A23}"/>
    <cellStyle name="Normale 4 4 6" xfId="7257" xr:uid="{5548E231-4FD2-4336-8D07-B417FC45CD54}"/>
    <cellStyle name="Normale 4 4 6 2" xfId="14762" xr:uid="{049092FB-4C3D-4243-B5B8-D63EEA20784E}"/>
    <cellStyle name="Normale 4 4 7" xfId="7258" xr:uid="{10A5E3B5-A6BF-4C00-80A0-42FBDA05648C}"/>
    <cellStyle name="Normale 4 4 7 2" xfId="14781" xr:uid="{B1E7D423-AAEE-4F9B-9B07-FEEF00742596}"/>
    <cellStyle name="Normale 4 4 8" xfId="14742" xr:uid="{1E046BD0-AEE2-4BAB-AAC7-C93136736CDA}"/>
    <cellStyle name="Normale 4 4_RP3 PP revised" xfId="15075" xr:uid="{76295820-976A-47D5-B99B-1D58FF5C84CC}"/>
    <cellStyle name="Normale 4 5" xfId="7259" xr:uid="{A2B8F959-0A76-43C3-AC12-1CED4AEB32AA}"/>
    <cellStyle name="Normale 4 5 2" xfId="7260" xr:uid="{4E0D6778-0228-4176-BA3B-AC478E2768CE}"/>
    <cellStyle name="Normale 4 5 2 2" xfId="7261" xr:uid="{E29BB921-0620-43B2-B818-F73E375A7BE1}"/>
    <cellStyle name="Normale 4 5 2 2 2" xfId="7262" xr:uid="{A9990E73-56B0-4DA0-944F-26A1DC9FD094}"/>
    <cellStyle name="Normale 4 5 2 2 2 2" xfId="7263" xr:uid="{2C30D1FF-CE9B-47A7-8B0A-A3CF8F41082E}"/>
    <cellStyle name="Normale 4 5 2 2 3" xfId="7264" xr:uid="{6001CCB1-393A-406B-A8DC-B23F3718CDD2}"/>
    <cellStyle name="Normale 4 5 2 3" xfId="7265" xr:uid="{2FE428D6-C753-4EB9-8A14-8A3A3655EA56}"/>
    <cellStyle name="Normale 4 5 2 3 2" xfId="7266" xr:uid="{FDD45BEA-6D66-40EA-8E23-6BA28B5D64EE}"/>
    <cellStyle name="Normale 4 5 2 4" xfId="7267" xr:uid="{5A4C226C-4C38-42BA-8129-E398188515F7}"/>
    <cellStyle name="Normale 4 5 3" xfId="7268" xr:uid="{4C3487FA-0A81-4704-83F2-037FB1775D6F}"/>
    <cellStyle name="Normale 4 5 4" xfId="7269" xr:uid="{012F9BA8-4B3E-431E-897A-33C515B4B9EF}"/>
    <cellStyle name="Normale 4 5 4 2" xfId="7270" xr:uid="{4C5C031B-AB18-4F53-A872-73DB9DA74FBE}"/>
    <cellStyle name="Normale 4 5 4 2 2" xfId="7271" xr:uid="{7ABBDF0B-5043-4A0E-9134-E935ADBD9A31}"/>
    <cellStyle name="Normale 4 5 4 3" xfId="7272" xr:uid="{751C4DE4-A791-41FF-874C-9ED3621EFB0D}"/>
    <cellStyle name="Normale 4 5 5" xfId="7273" xr:uid="{74A2A729-C337-4A91-8D63-490E441A1DFE}"/>
    <cellStyle name="Normale 4 5 5 2" xfId="7274" xr:uid="{D374AC1E-61FC-4138-AA96-72A0ECCC6043}"/>
    <cellStyle name="Normale 4 5 6" xfId="7275" xr:uid="{2E59C9B1-A561-411A-8583-88031F602878}"/>
    <cellStyle name="Normale 4 5 6 2" xfId="14763" xr:uid="{A67EDC6C-7265-42B3-94F0-C06BCF8235F5}"/>
    <cellStyle name="Normale 4 5 7" xfId="7276" xr:uid="{DA406FEE-D84E-4543-9ADD-577462FF9BA1}"/>
    <cellStyle name="Normale 4 5 7 2" xfId="14782" xr:uid="{20FDF502-B84E-44E0-9DBF-91943515FD8A}"/>
    <cellStyle name="Normale 4 5 8" xfId="14743" xr:uid="{512B4A33-D07D-4262-8663-0838F0510B2F}"/>
    <cellStyle name="Normale 4 5_RP3 PP revised" xfId="15074" xr:uid="{15F060F9-A50C-4EE8-AAB1-E85B104ACF1E}"/>
    <cellStyle name="Normale 4 6" xfId="7277" xr:uid="{C206DE95-E28B-4117-A0CC-D6154652AC7E}"/>
    <cellStyle name="Normale 4 6 2" xfId="7278" xr:uid="{5F0F09A1-4F4D-44DF-94DF-28BAF08D683B}"/>
    <cellStyle name="Normale 4 6 2 2" xfId="7279" xr:uid="{3F5C1CB4-F07F-48DC-BB84-E7B4378DD30F}"/>
    <cellStyle name="Normale 4 6 2 2 2" xfId="7280" xr:uid="{AF60CA83-12EA-4E62-9489-C6F17B69B00F}"/>
    <cellStyle name="Normale 4 6 2 3" xfId="7281" xr:uid="{F34616AE-48FB-434C-8144-14627D79AEE6}"/>
    <cellStyle name="Normale 4 6_RP3 PP revised" xfId="15073" xr:uid="{7039ADBB-FF49-4ADF-8F87-3D94DB683EE8}"/>
    <cellStyle name="Normale 4 7" xfId="7282" xr:uid="{4EB77845-2C59-4097-8872-6058D35E3A9A}"/>
    <cellStyle name="Normale 4 8" xfId="7283" xr:uid="{B7BEAE8B-1E47-4335-B42F-A2C3C9E70831}"/>
    <cellStyle name="Normale 4 8 2" xfId="7284" xr:uid="{DFDC00E7-67BE-484B-BFC3-36D245F81B10}"/>
    <cellStyle name="Normale 4 8 2 2" xfId="7285" xr:uid="{F75CE764-A326-4203-A4E9-2998539C74D0}"/>
    <cellStyle name="Normale 4 8 3" xfId="7286" xr:uid="{8151B8B9-5B11-4443-BC6C-DF340D43F15B}"/>
    <cellStyle name="Normale 4 9" xfId="7287" xr:uid="{92CEC372-6E9A-4EF4-89F1-80C2045D3F60}"/>
    <cellStyle name="Normale 4 9 2" xfId="7288" xr:uid="{BA1A1BAC-6E15-4F70-B6B8-8981D6380043}"/>
    <cellStyle name="Normale 4_Additional information tables" xfId="7289" xr:uid="{1C13E745-7CE9-44A1-94E8-5F939CDA48CB}"/>
    <cellStyle name="Normale 40" xfId="7290" xr:uid="{1B6521DA-8079-421F-8ADE-2A29A5707232}"/>
    <cellStyle name="Normale 41" xfId="7291" xr:uid="{9F0EB456-6FA5-464D-A07B-36C5231BC571}"/>
    <cellStyle name="Normale 42" xfId="7292" xr:uid="{04ACA14F-EDE7-4451-B07C-7156CE611166}"/>
    <cellStyle name="Normale 43" xfId="7293" xr:uid="{5F45162D-0E62-42EB-B320-31C430C099AE}"/>
    <cellStyle name="Normale 44" xfId="7294" xr:uid="{1BD48EAC-3C23-4946-9042-2C09632A400D}"/>
    <cellStyle name="Normale 5" xfId="7295" xr:uid="{4C9734CB-C6A1-4F0A-A98B-6221B2068C2E}"/>
    <cellStyle name="Normale 5 2" xfId="7296" xr:uid="{4BCE330D-D44C-4AB6-A131-53442FB0F6F7}"/>
    <cellStyle name="Normale 5 2 2" xfId="7297" xr:uid="{B921728C-5A03-4347-8FB4-128172304E3C}"/>
    <cellStyle name="Normale 5 2 2 2" xfId="7298" xr:uid="{387AFC7C-35EB-4711-8D49-6DD87DC6A8F7}"/>
    <cellStyle name="Normale 5 2 2 2 2" xfId="7299" xr:uid="{18A76906-980D-49F6-BC13-273573738AA5}"/>
    <cellStyle name="Normale 5 2 2 3" xfId="7300" xr:uid="{485628F0-47C5-4F61-9DCE-DCD7E934BF39}"/>
    <cellStyle name="Normale 5 2 3" xfId="7301" xr:uid="{9AB7B1F3-6E48-4A79-901C-CEDB1284EC13}"/>
    <cellStyle name="Normale 5 2 3 2" xfId="7302" xr:uid="{BEEF0534-D6C2-444C-9181-1FA0D3973AD1}"/>
    <cellStyle name="Normale 5 2 4" xfId="7303" xr:uid="{AAFA5033-930E-45EB-98B5-9363C6462EDB}"/>
    <cellStyle name="Normale 5 3" xfId="7304" xr:uid="{F00B1C13-9FAF-4DE3-96A2-F507F2C909C8}"/>
    <cellStyle name="Normale 5 4" xfId="7305" xr:uid="{C1C4439B-E057-438C-A989-91CFC56CB58C}"/>
    <cellStyle name="Normale 5 4 2" xfId="7306" xr:uid="{D8840A0C-A1CB-4A22-B6A0-5B0BB191D77F}"/>
    <cellStyle name="Normale 5 4 2 2" xfId="7307" xr:uid="{18112078-DCB8-4B42-918C-B0DDB165182B}"/>
    <cellStyle name="Normale 5 4 3" xfId="7308" xr:uid="{01FF6FC8-F096-47D9-A622-B261755B5839}"/>
    <cellStyle name="Normale 5 5" xfId="7309" xr:uid="{7C47D73B-FF13-45DE-A350-7CB4E6FB7589}"/>
    <cellStyle name="Normale 5 5 2" xfId="7310" xr:uid="{D8D89E63-EED6-4D26-97A2-CD756E04ABD6}"/>
    <cellStyle name="Normale 5 6" xfId="7311" xr:uid="{13823A03-58ED-475C-96D0-E654FD58D9C6}"/>
    <cellStyle name="Normale 5 6 2" xfId="14764" xr:uid="{70E9F931-32F7-45CD-893C-EA0AEE8792E9}"/>
    <cellStyle name="Normale 5 7" xfId="7312" xr:uid="{0FE23CC5-AFFC-490C-AD3F-ACD00D1E8250}"/>
    <cellStyle name="Normale 5 7 2" xfId="14783" xr:uid="{8A8DBEA8-9B66-4048-9EFB-267A14F84EAA}"/>
    <cellStyle name="Normale 5 8" xfId="14744" xr:uid="{1862EC3A-3E84-4AE3-BD03-D8DCCCE20AAA}"/>
    <cellStyle name="Normale 5_RP3 PP revised" xfId="15072" xr:uid="{7C0F47F1-FC05-4257-8610-2DEAA58946F2}"/>
    <cellStyle name="Normale 6" xfId="7313" xr:uid="{55E30603-921A-44A9-AEF0-95D8552FE4D8}"/>
    <cellStyle name="Normale 6 2" xfId="7314" xr:uid="{D6E5026B-DC63-4410-B924-087CF55C372C}"/>
    <cellStyle name="Normale 6 2 2" xfId="7315" xr:uid="{DFFE23AC-7ED8-40FB-9A12-EC33C87F555C}"/>
    <cellStyle name="Normale 6 3" xfId="7316" xr:uid="{F06BE671-975C-47ED-AE3A-18B4F7759261}"/>
    <cellStyle name="Normale 6 3 2" xfId="7317" xr:uid="{65E4B121-51D9-460E-BC48-DCA22BE97221}"/>
    <cellStyle name="Normale 6 3 2 2" xfId="7318" xr:uid="{CEE7BF15-DB5F-4C3A-93BA-D87F56E89684}"/>
    <cellStyle name="Normale 6 3 2 2 2" xfId="7319" xr:uid="{8F81D2F3-32FF-4766-80F9-14C1F00FC487}"/>
    <cellStyle name="Normale 6 3 2 3" xfId="7320" xr:uid="{59273B9B-A300-4310-8332-A20AFB526039}"/>
    <cellStyle name="Normale 6 3 3" xfId="7321" xr:uid="{E50EF2A9-17C7-4701-8147-73C0BE31E65D}"/>
    <cellStyle name="Normale 6 3 3 2" xfId="7322" xr:uid="{3A53E291-3848-42DC-9CFD-33677C5B77DC}"/>
    <cellStyle name="Normale 6 3 4" xfId="7323" xr:uid="{4796AA4F-1159-402D-BDEB-DE6719538B47}"/>
    <cellStyle name="Normale 6 4" xfId="7324" xr:uid="{FDD18BE2-5BD9-440C-8D5B-BE5424C79B88}"/>
    <cellStyle name="Normale 6 5" xfId="7325" xr:uid="{D0F55E29-9BC5-453D-9DF3-C6C2D0B2D762}"/>
    <cellStyle name="Normale 6 5 2" xfId="7326" xr:uid="{DBA983C6-240A-46F5-97CB-4B7C3BC770C1}"/>
    <cellStyle name="Normale 6 5 2 2" xfId="7327" xr:uid="{642B008B-7278-4614-9667-DC35C902479C}"/>
    <cellStyle name="Normale 6 5 3" xfId="7328" xr:uid="{295B39D8-892B-47FF-AA36-73B83154EF67}"/>
    <cellStyle name="Normale 6 6" xfId="7329" xr:uid="{8C927F6C-BB76-4D0F-9C12-E69934BC0F32}"/>
    <cellStyle name="Normale 6 6 2" xfId="7330" xr:uid="{4F023804-92FF-4731-9E29-DCBD3E4CE3C5}"/>
    <cellStyle name="Normale 6 7" xfId="7331" xr:uid="{B9517BC9-4644-4F9D-921C-9E5EF0C09FF0}"/>
    <cellStyle name="Normale 6 7 2" xfId="14765" xr:uid="{41DD6108-8279-4774-B3DF-FFD5085CA010}"/>
    <cellStyle name="Normale 6 8" xfId="7332" xr:uid="{83E72530-1EE9-41CE-85CC-09528AB5F03F}"/>
    <cellStyle name="Normale 6 8 2" xfId="14784" xr:uid="{89032178-9F4F-4BF2-B481-7808EEB9BFB9}"/>
    <cellStyle name="Normale 6 9" xfId="14745" xr:uid="{A158B6EE-B64E-4052-862A-916D506E5E68}"/>
    <cellStyle name="Normale 6_Additional information tables" xfId="7333" xr:uid="{EE119E24-C334-401A-B385-26E1954654AF}"/>
    <cellStyle name="Normale 7" xfId="7334" xr:uid="{4491F2F7-BED3-477C-A6DE-D1E0AECC8899}"/>
    <cellStyle name="Normale 7 2" xfId="7335" xr:uid="{EAEB6655-68DF-4C13-A8DE-397D65C06B09}"/>
    <cellStyle name="Normale 8" xfId="7336" xr:uid="{FD089D94-D0DB-42BB-94F2-61F7313071E1}"/>
    <cellStyle name="Normale 8 2" xfId="7337" xr:uid="{8A26D89F-E5B5-4DFE-8380-46FCFD8BFC76}"/>
    <cellStyle name="Normale 8 2 2" xfId="7338" xr:uid="{4476BFF5-0D15-46D1-B1E1-69032F2E335A}"/>
    <cellStyle name="Normale 8 3" xfId="7339" xr:uid="{6B8E521B-9D5B-4B83-838B-DAAD84728DB5}"/>
    <cellStyle name="Normale 8 3 2" xfId="7340" xr:uid="{12E98A99-7184-4F27-BE89-7A4D564A54E7}"/>
    <cellStyle name="Normale 8 4" xfId="7341" xr:uid="{85B83ABC-D94F-40D3-85B3-58D3E9DFDD32}"/>
    <cellStyle name="Normale 9" xfId="7342" xr:uid="{9BB56136-15AA-49A9-8BF8-23763D6285B8}"/>
    <cellStyle name="Normale 9 2" xfId="7343" xr:uid="{E29FDFD2-0BC5-450F-9AFD-B22AB7974B79}"/>
    <cellStyle name="Normale 9 2 2" xfId="7344" xr:uid="{A976DF88-924A-4880-8E94-96B73BC51B33}"/>
    <cellStyle name="Normale 9 3" xfId="7345" xr:uid="{7E07FFFE-523F-4335-A1E9-9427F19AC459}"/>
    <cellStyle name="Normale 9 3 2" xfId="7346" xr:uid="{DE4BCBCE-8EB1-4603-978B-E22C1A25AAAC}"/>
    <cellStyle name="Normale 9 4" xfId="7347" xr:uid="{F7FBA67D-DB57-4B4A-B363-A18627B65FA8}"/>
    <cellStyle name="Normale_Calcolo Tariffa_2006_4T_v01" xfId="7348" xr:uid="{04541CAA-A174-44D5-9D88-0A599421641B}"/>
    <cellStyle name="NormalExtra" xfId="7349" xr:uid="{EAF1A079-7CE9-4C11-806B-876EB1DC5AEA}"/>
    <cellStyle name="Normálna 2" xfId="7350" xr:uid="{98EF8F9B-6F23-4646-8986-900F394682F1}"/>
    <cellStyle name="Normálna 3" xfId="7351" xr:uid="{CA56D735-A4AA-4A91-AFDE-6ED8498434C8}"/>
    <cellStyle name="Normalny 10" xfId="7352" xr:uid="{447FC8B7-C3BC-4578-B143-2EBDE3B89E2E}"/>
    <cellStyle name="Normalny 2" xfId="7353" xr:uid="{7532D005-FEAB-4C20-B32E-A1B7E23F418B}"/>
    <cellStyle name="Normalny 2 2" xfId="7354" xr:uid="{C3A69405-39F7-49BC-A8FD-CDC7DBF2267E}"/>
    <cellStyle name="Normalny 2_MET Table 1" xfId="7355" xr:uid="{D424E8F1-56AE-41AE-ACE6-D3D90CFB4560}"/>
    <cellStyle name="Normalny 3" xfId="7356" xr:uid="{56D52517-C25C-4CB8-9D80-4D0EB212827E}"/>
    <cellStyle name="Normalny 4" xfId="7357" xr:uid="{2030DA0E-D7A0-4BDF-BD9A-1ABCE26EAF67}"/>
    <cellStyle name="Normalny 4 2" xfId="7358" xr:uid="{5613AB80-2DE0-4DBA-98F0-4DB0A7974ECC}"/>
    <cellStyle name="Normalny 5" xfId="7359" xr:uid="{ECF7A336-17B4-461E-9208-976852451E2D}"/>
    <cellStyle name="Normalny 6" xfId="7360" xr:uid="{91DBE727-6E71-4F46-8E86-5336BD450906}"/>
    <cellStyle name="Normalny 7" xfId="7361" xr:uid="{7C3128AE-007C-42E5-9212-B7D24486D05E}"/>
    <cellStyle name="Normalny 8" xfId="7362" xr:uid="{0B6E8AD7-7D47-4FCE-A97A-7BAB4C2F4822}"/>
    <cellStyle name="Normalny 9" xfId="7363" xr:uid="{E1924796-EDA1-4D4C-BED6-2D3097BF9C20}"/>
    <cellStyle name="NorTms8" xfId="7364" xr:uid="{C88E9325-939D-4C34-BCA7-B70DCB0CB10E}"/>
    <cellStyle name="Nota 10" xfId="7365" xr:uid="{0637EF96-B195-43F4-A72B-730D4D05851A}"/>
    <cellStyle name="Nota 10 2" xfId="7366" xr:uid="{13CB1460-9CE2-4130-888B-3CBD148F4B1A}"/>
    <cellStyle name="Nota 10 2 2" xfId="7367" xr:uid="{2791B341-A5CB-4DD7-A9C3-C62BB911026A}"/>
    <cellStyle name="Nota 10 2 2 2" xfId="19306" xr:uid="{A284B7DB-A6CA-488E-B76F-31F54BBE44E1}"/>
    <cellStyle name="Nota 10 2 3" xfId="7368" xr:uid="{CFA7393F-43D7-4B1E-8CD1-2FB3B0F12277}"/>
    <cellStyle name="Nota 10 2 3 2" xfId="19307" xr:uid="{B143C49F-F452-4CA4-9630-871F2ECB1D3C}"/>
    <cellStyle name="Nota 10 2 4" xfId="7369" xr:uid="{224C4C91-99B6-46C7-B2EC-7ECF6A6268FC}"/>
    <cellStyle name="Nota 10 2 4 2" xfId="19308" xr:uid="{3EC7E286-FBED-45AD-BF8C-0B307C607185}"/>
    <cellStyle name="Nota 10 2 5" xfId="7370" xr:uid="{81260773-54E3-4119-95D1-94807518ED39}"/>
    <cellStyle name="Nota 10 2 5 2" xfId="19309" xr:uid="{5380E9A5-18CE-4A7F-98E4-DB2078DDF46E}"/>
    <cellStyle name="Nota 10 2 6" xfId="19305" xr:uid="{8969EF25-BE61-4720-933A-B40BCD82F9F8}"/>
    <cellStyle name="Nota 10 3" xfId="7371" xr:uid="{A81F25FA-F558-4018-B0A8-4B679EC013A8}"/>
    <cellStyle name="Nota 10 3 2" xfId="19310" xr:uid="{4B116495-3E33-4132-B0A6-3959553BE415}"/>
    <cellStyle name="Nota 10 4" xfId="7372" xr:uid="{DC311F0A-2580-44C8-9170-E9B3DB65ED29}"/>
    <cellStyle name="Nota 10 4 2" xfId="19311" xr:uid="{8553DFE6-2E09-46CC-9B1A-A2229997B729}"/>
    <cellStyle name="Nota 10 5" xfId="7373" xr:uid="{9E099665-86E3-4447-8878-6CC11FD7DAE1}"/>
    <cellStyle name="Nota 10 5 2" xfId="19312" xr:uid="{36509936-5761-4975-A127-1056C48168BC}"/>
    <cellStyle name="Nota 10 6" xfId="7374" xr:uid="{88014D33-231F-4DC6-BAA3-AA0C8FA8C222}"/>
    <cellStyle name="Nota 10 6 2" xfId="19313" xr:uid="{D4C3C242-0801-412F-85E8-492A76D8BFCC}"/>
    <cellStyle name="Nota 10 7" xfId="19304" xr:uid="{739D6108-328A-42E6-A386-47C59E620960}"/>
    <cellStyle name="Nota 11" xfId="7375" xr:uid="{86AC284C-BA73-43D5-8A61-755543720643}"/>
    <cellStyle name="Nota 11 2" xfId="7376" xr:uid="{F75FD75F-6AC8-4193-8815-570E185D9221}"/>
    <cellStyle name="Nota 11 2 2" xfId="7377" xr:uid="{1AC294BD-672D-4A7E-8A30-227B6BACB11D}"/>
    <cellStyle name="Nota 11 2 2 2" xfId="19316" xr:uid="{6E5CEDD1-C24F-41E0-98CD-64DCBD1C6B5B}"/>
    <cellStyle name="Nota 11 2 3" xfId="7378" xr:uid="{10ADF8E7-E328-436D-9EB0-0297602BD033}"/>
    <cellStyle name="Nota 11 2 3 2" xfId="19317" xr:uid="{AA732378-2842-4F77-9878-2C1526C1DD8A}"/>
    <cellStyle name="Nota 11 2 4" xfId="7379" xr:uid="{A3093EC4-828E-4219-89DA-4D9B2924E4C8}"/>
    <cellStyle name="Nota 11 2 4 2" xfId="19318" xr:uid="{98589D4F-8908-42C1-BD52-B1081B7BE414}"/>
    <cellStyle name="Nota 11 2 5" xfId="7380" xr:uid="{A508EDA9-5030-4EE2-83E7-E27459336623}"/>
    <cellStyle name="Nota 11 2 5 2" xfId="19319" xr:uid="{6CDC180C-20D1-46C3-A5F3-E4D199D0FFDE}"/>
    <cellStyle name="Nota 11 2 6" xfId="19315" xr:uid="{4526CC17-B649-4D04-9560-E49174D52DE7}"/>
    <cellStyle name="Nota 11 3" xfId="7381" xr:uid="{F3277872-5111-429B-94A7-E072BC3AE5F9}"/>
    <cellStyle name="Nota 11 3 2" xfId="19320" xr:uid="{B17B81FD-68DA-4A1E-89E7-52D83EAEDD15}"/>
    <cellStyle name="Nota 11 4" xfId="7382" xr:uid="{A92608A2-854A-4724-81D1-43AC6760E9BA}"/>
    <cellStyle name="Nota 11 4 2" xfId="19321" xr:uid="{C2D8ACD0-813E-4D92-9507-CBDB12EED050}"/>
    <cellStyle name="Nota 11 5" xfId="7383" xr:uid="{5002F8BA-1827-4559-BBC8-12894E196E4D}"/>
    <cellStyle name="Nota 11 5 2" xfId="19322" xr:uid="{10399E40-174B-4104-9447-4F7DB4920664}"/>
    <cellStyle name="Nota 11 6" xfId="7384" xr:uid="{B5FD486D-864F-4418-A4A0-12340D52CAEF}"/>
    <cellStyle name="Nota 11 6 2" xfId="19323" xr:uid="{1F4893CA-6820-4CD5-AA30-075D5EE10B7F}"/>
    <cellStyle name="Nota 11 7" xfId="19314" xr:uid="{0A2A2B3B-F449-4306-A456-1A9EB28DF503}"/>
    <cellStyle name="Nota 12" xfId="7385" xr:uid="{16DE33D3-3574-47B5-8666-227186D4D20F}"/>
    <cellStyle name="Nota 12 2" xfId="7386" xr:uid="{E4310015-26BC-4029-9743-DE640BA5A637}"/>
    <cellStyle name="Nota 12 2 2" xfId="7387" xr:uid="{6C2030DB-986D-4239-91C1-416619DC91F3}"/>
    <cellStyle name="Nota 12 2 2 2" xfId="19326" xr:uid="{EE989D4A-40C1-46D6-A3A5-0752FFBC3DE3}"/>
    <cellStyle name="Nota 12 2 3" xfId="7388" xr:uid="{FA1FAD92-CC2E-4FBC-AA54-684CA7EA5D1F}"/>
    <cellStyle name="Nota 12 2 3 2" xfId="19327" xr:uid="{9CAB541A-5D1F-4117-8CD6-2765DF35952F}"/>
    <cellStyle name="Nota 12 2 4" xfId="7389" xr:uid="{BD46E21E-DFF5-4DB2-9D69-B945AB94416E}"/>
    <cellStyle name="Nota 12 2 4 2" xfId="19328" xr:uid="{9B8CF745-BBF1-47A2-803B-A0EF3E4F4F05}"/>
    <cellStyle name="Nota 12 2 5" xfId="7390" xr:uid="{0BB7C621-3D15-4A57-B779-7B05E82F8009}"/>
    <cellStyle name="Nota 12 2 5 2" xfId="19329" xr:uid="{A5AD7E7D-7531-4B44-8B16-CB1740C9FCE1}"/>
    <cellStyle name="Nota 12 2 6" xfId="19325" xr:uid="{1C88077C-93C0-453E-A575-7C0E02900AEE}"/>
    <cellStyle name="Nota 12 3" xfId="7391" xr:uid="{0EE75832-B890-4E53-B40A-3C3946B4D47A}"/>
    <cellStyle name="Nota 12 3 2" xfId="19330" xr:uid="{6604C9FA-3EA9-42E3-95D9-A251AEA0A8D2}"/>
    <cellStyle name="Nota 12 4" xfId="7392" xr:uid="{A8710628-883C-4FC3-9D03-B6D4D6E96D54}"/>
    <cellStyle name="Nota 12 4 2" xfId="19331" xr:uid="{64F503BF-9319-4D0B-B169-9C77C368A433}"/>
    <cellStyle name="Nota 12 5" xfId="7393" xr:uid="{3DACDCBB-A23E-4219-8CD3-F6E05C074C9C}"/>
    <cellStyle name="Nota 12 5 2" xfId="19332" xr:uid="{7367A6B9-ADFC-49B1-8605-EAFF6FFD0131}"/>
    <cellStyle name="Nota 12 6" xfId="7394" xr:uid="{78243058-2641-4F7E-999E-4DCFEC6F627D}"/>
    <cellStyle name="Nota 12 6 2" xfId="19333" xr:uid="{AF264380-CB93-485A-BEFC-A813219F96C1}"/>
    <cellStyle name="Nota 12 7" xfId="19324" xr:uid="{5DD23DE0-433E-473D-9121-DD5285096258}"/>
    <cellStyle name="Nota 13" xfId="7395" xr:uid="{18EBC4C8-E464-4227-BB9D-8C467434FE4A}"/>
    <cellStyle name="Nota 13 2" xfId="7396" xr:uid="{02DCB726-2460-46B3-B9E5-FAEF1E8190DA}"/>
    <cellStyle name="Nota 13 2 2" xfId="7397" xr:uid="{BDA42EE1-9521-4116-9622-14B93AABC4F9}"/>
    <cellStyle name="Nota 13 2 2 2" xfId="19336" xr:uid="{4D571ABE-6EBB-4FA1-AE58-015F3301452D}"/>
    <cellStyle name="Nota 13 2 3" xfId="7398" xr:uid="{5DDDE860-CB96-45C4-AD6B-4D45AF813629}"/>
    <cellStyle name="Nota 13 2 3 2" xfId="19337" xr:uid="{1783B63F-195C-43B5-BE19-D5DB43724226}"/>
    <cellStyle name="Nota 13 2 4" xfId="7399" xr:uid="{E4F2AACD-B7A0-4204-A292-5EEA1AFA890D}"/>
    <cellStyle name="Nota 13 2 4 2" xfId="19338" xr:uid="{D09C757C-A051-4670-96A0-DBC8329AB5BD}"/>
    <cellStyle name="Nota 13 2 5" xfId="7400" xr:uid="{8A4B68C3-494D-488C-BBBC-C755903AC1C2}"/>
    <cellStyle name="Nota 13 2 5 2" xfId="19339" xr:uid="{FDB33136-8F37-48AD-B9A3-981353EB8ED2}"/>
    <cellStyle name="Nota 13 2 6" xfId="19335" xr:uid="{DFF04CE7-1037-4ADB-B99A-182730C7E12C}"/>
    <cellStyle name="Nota 13 3" xfId="7401" xr:uid="{A5B05891-8DA4-4BB1-AFF7-474070AF5263}"/>
    <cellStyle name="Nota 13 3 2" xfId="19340" xr:uid="{FBB0DFEE-FB70-4F2E-B18C-D74FF297AF4E}"/>
    <cellStyle name="Nota 13 4" xfId="7402" xr:uid="{BCFA24CA-B07D-4FC2-B2C4-D9012293D04F}"/>
    <cellStyle name="Nota 13 4 2" xfId="19341" xr:uid="{973FF154-03C9-4C13-854C-4F1D3ACF2EA0}"/>
    <cellStyle name="Nota 13 5" xfId="7403" xr:uid="{7930C37C-3173-4531-8E5D-3E8AC8FCCA88}"/>
    <cellStyle name="Nota 13 5 2" xfId="19342" xr:uid="{CF7EEBDC-C1DD-4A37-8E6F-239AF2FC4470}"/>
    <cellStyle name="Nota 13 6" xfId="7404" xr:uid="{1E9ECE6C-26DE-4704-8AD9-F8E70A814064}"/>
    <cellStyle name="Nota 13 6 2" xfId="19343" xr:uid="{B032E798-BC81-446D-BD34-70B8C6B7582B}"/>
    <cellStyle name="Nota 13 7" xfId="19334" xr:uid="{2129A972-6657-4ED5-B20B-F0F36E068E56}"/>
    <cellStyle name="Nota 14" xfId="7405" xr:uid="{794AA9BE-161A-4670-86EC-72150F6EB679}"/>
    <cellStyle name="Nota 14 2" xfId="7406" xr:uid="{5A58ED25-3B87-4FEC-B9AE-C225B2F8DCE1}"/>
    <cellStyle name="Nota 14 2 2" xfId="7407" xr:uid="{402A680A-4722-4B7A-9747-9ABC2E71B4C0}"/>
    <cellStyle name="Nota 14 2 2 2" xfId="19346" xr:uid="{3BF12DFE-27E7-4916-94D9-E9B123D65E4B}"/>
    <cellStyle name="Nota 14 2 3" xfId="7408" xr:uid="{2BF9EDEF-7C79-455C-BED6-DDB14B9F471F}"/>
    <cellStyle name="Nota 14 2 3 2" xfId="19347" xr:uid="{C6CACE0B-7EDE-4AD6-BE43-BA997FC4D26D}"/>
    <cellStyle name="Nota 14 2 4" xfId="7409" xr:uid="{23310BAD-831D-4894-BCEF-5C01367C82CA}"/>
    <cellStyle name="Nota 14 2 4 2" xfId="19348" xr:uid="{ACFB1DE3-0754-4F37-ADBF-7C4B46853E47}"/>
    <cellStyle name="Nota 14 2 5" xfId="7410" xr:uid="{79A07663-3D4D-4E2E-AEA8-196DF30518E9}"/>
    <cellStyle name="Nota 14 2 5 2" xfId="19349" xr:uid="{46520208-BB2F-4E90-9344-F8E61421DA5A}"/>
    <cellStyle name="Nota 14 2 6" xfId="19345" xr:uid="{35641D66-B458-47D3-A1AD-E66C0E74D8AD}"/>
    <cellStyle name="Nota 14 3" xfId="7411" xr:uid="{558F415A-C2E3-4064-A29C-215BBD2156B0}"/>
    <cellStyle name="Nota 14 3 2" xfId="19350" xr:uid="{3C5B6EAB-357E-4D61-A268-E64D0DD3CF4D}"/>
    <cellStyle name="Nota 14 4" xfId="7412" xr:uid="{2B70E579-39F3-4C3C-AF5F-EE82C30628AC}"/>
    <cellStyle name="Nota 14 4 2" xfId="19351" xr:uid="{2C15ACE6-39B2-4804-AAAB-1CDC6A32D3B0}"/>
    <cellStyle name="Nota 14 5" xfId="7413" xr:uid="{CEB77A31-C5C3-4246-85CC-E311B7C7B2D4}"/>
    <cellStyle name="Nota 14 5 2" xfId="19352" xr:uid="{35CE6B6D-7522-4442-876E-0B80136DC562}"/>
    <cellStyle name="Nota 14 6" xfId="7414" xr:uid="{7BECC631-8F5B-4B55-B148-CCC269A0FE07}"/>
    <cellStyle name="Nota 14 6 2" xfId="19353" xr:uid="{D4AC7FD7-75A2-4060-9262-FAB326BA964F}"/>
    <cellStyle name="Nota 14 7" xfId="19344" xr:uid="{ECE3118F-DAD5-4115-A409-F7E94F949303}"/>
    <cellStyle name="Nota 15" xfId="7415" xr:uid="{EB5F6287-D8D4-4D9B-B15D-5D6E49A176B2}"/>
    <cellStyle name="Nota 15 2" xfId="7416" xr:uid="{45EDEE2A-EF55-43CE-8C81-9189546BA3C9}"/>
    <cellStyle name="Nota 15 2 2" xfId="7417" xr:uid="{2E25CB83-BE72-49AB-B65D-9F5779BCC0B5}"/>
    <cellStyle name="Nota 15 2 2 2" xfId="19356" xr:uid="{CADB760B-996C-4611-BF21-E13293AED457}"/>
    <cellStyle name="Nota 15 2 3" xfId="7418" xr:uid="{76575782-8C47-4F5A-99DD-16B8A9095B2B}"/>
    <cellStyle name="Nota 15 2 3 2" xfId="19357" xr:uid="{655EC8BE-F323-4C69-B7AC-7185AE12269F}"/>
    <cellStyle name="Nota 15 2 4" xfId="7419" xr:uid="{CDF2FE00-A87F-4C22-AF90-926930DEA9F6}"/>
    <cellStyle name="Nota 15 2 4 2" xfId="19358" xr:uid="{23E3E15A-5E70-4524-B805-5AC277CB4E37}"/>
    <cellStyle name="Nota 15 2 5" xfId="7420" xr:uid="{1095520D-DD0F-46AD-9022-E13893737343}"/>
    <cellStyle name="Nota 15 2 5 2" xfId="19359" xr:uid="{0B44C1ED-A3E5-4DE7-B638-21FC2AD5512F}"/>
    <cellStyle name="Nota 15 2 6" xfId="19355" xr:uid="{74E93D02-BD10-4DE4-BC3B-5095878AE16F}"/>
    <cellStyle name="Nota 15 3" xfId="7421" xr:uid="{00CC89D7-CE08-4741-99B0-252FF12493E9}"/>
    <cellStyle name="Nota 15 3 2" xfId="19360" xr:uid="{EE5B3F35-3971-4D82-A5FC-7E8D3C2A7879}"/>
    <cellStyle name="Nota 15 4" xfId="7422" xr:uid="{9E7E8DD7-3200-4DDE-9C1E-8B2A4243AD24}"/>
    <cellStyle name="Nota 15 4 2" xfId="19361" xr:uid="{47F58797-245E-496D-83CE-009DC3CE52D8}"/>
    <cellStyle name="Nota 15 5" xfId="7423" xr:uid="{ABD59FBB-D218-4347-AF26-6852B1D4DE58}"/>
    <cellStyle name="Nota 15 5 2" xfId="19362" xr:uid="{24B1A6A5-1CA9-4A1D-A6C5-59F1C50B6450}"/>
    <cellStyle name="Nota 15 6" xfId="7424" xr:uid="{3B4EE448-7FA2-4712-8ED6-B6B07895B976}"/>
    <cellStyle name="Nota 15 6 2" xfId="19363" xr:uid="{7C346EEB-BB47-4C42-A70B-BBFE13CFF2BC}"/>
    <cellStyle name="Nota 15 7" xfId="19354" xr:uid="{AD521D9D-4C0B-4D78-A026-D021BF056110}"/>
    <cellStyle name="Nota 16" xfId="7425" xr:uid="{3F3919E9-F097-41A0-B43D-14A9DE7F60FB}"/>
    <cellStyle name="Nota 16 2" xfId="7426" xr:uid="{E70FA234-DF88-4452-8C1F-3BFC43D6673D}"/>
    <cellStyle name="Nota 16 2 2" xfId="7427" xr:uid="{14AA19AB-7C67-49C0-BFFD-28F1407C44D0}"/>
    <cellStyle name="Nota 16 2 2 2" xfId="19366" xr:uid="{FAD51D2E-0752-428B-842C-611545F4935A}"/>
    <cellStyle name="Nota 16 2 3" xfId="7428" xr:uid="{22D82034-56AE-47F2-9261-126055F9023D}"/>
    <cellStyle name="Nota 16 2 3 2" xfId="19367" xr:uid="{A8A472A1-618F-4CFB-BDB7-6A2329BC59BE}"/>
    <cellStyle name="Nota 16 2 4" xfId="7429" xr:uid="{03D0322E-1A29-4244-B703-67AB052E0E98}"/>
    <cellStyle name="Nota 16 2 4 2" xfId="19368" xr:uid="{BC266245-9ADB-466F-8026-682BC2FED9CF}"/>
    <cellStyle name="Nota 16 2 5" xfId="7430" xr:uid="{7D115584-B7B0-4ED1-846D-5FF2995D67E5}"/>
    <cellStyle name="Nota 16 2 5 2" xfId="19369" xr:uid="{B4C61BBE-B26F-4447-8351-5B8C07951B7B}"/>
    <cellStyle name="Nota 16 2 6" xfId="19365" xr:uid="{96B818DC-936F-4B4A-84AB-C9392079D122}"/>
    <cellStyle name="Nota 16 3" xfId="7431" xr:uid="{85AFAEAE-3A34-45B7-AF2A-18558714840A}"/>
    <cellStyle name="Nota 16 3 2" xfId="19370" xr:uid="{C495CE49-B990-4F62-9EF5-C51D2698721D}"/>
    <cellStyle name="Nota 16 4" xfId="7432" xr:uid="{FB360D34-80B9-4A9B-864F-93B3C38AD12F}"/>
    <cellStyle name="Nota 16 4 2" xfId="19371" xr:uid="{860114BA-BE00-4231-87EB-A59AFFA3C346}"/>
    <cellStyle name="Nota 16 5" xfId="7433" xr:uid="{C1E0E2FA-CC00-428E-8B8A-13C16F51EE05}"/>
    <cellStyle name="Nota 16 5 2" xfId="19372" xr:uid="{80E8276F-208D-4B60-AB16-65EC800B8D46}"/>
    <cellStyle name="Nota 16 6" xfId="7434" xr:uid="{29EAD364-75B3-4567-96A6-07F85D9D0DDF}"/>
    <cellStyle name="Nota 16 6 2" xfId="19373" xr:uid="{19D09B74-B9F2-414A-A0AC-5A27CEA9A77C}"/>
    <cellStyle name="Nota 16 7" xfId="19364" xr:uid="{53A731A4-5359-48EE-AA79-B2FB20F1F6A2}"/>
    <cellStyle name="Nota 17" xfId="7435" xr:uid="{9B97C224-91D1-47A3-9DF4-84AB4E7B94E3}"/>
    <cellStyle name="Nota 17 2" xfId="7436" xr:uid="{22050C77-B387-4950-840B-B47B6F7DB267}"/>
    <cellStyle name="Nota 17 2 2" xfId="19375" xr:uid="{7F997143-4BE1-415C-BD85-D85468BC1C62}"/>
    <cellStyle name="Nota 17 3" xfId="7437" xr:uid="{2C36AFA3-5FA1-4817-89F7-7E0A4FB4F729}"/>
    <cellStyle name="Nota 17 3 2" xfId="19376" xr:uid="{C7873BDF-4AAF-4245-96F2-0678B0E5F8F3}"/>
    <cellStyle name="Nota 17 4" xfId="7438" xr:uid="{940AC2EF-34B2-44F5-8B3B-3D5630F92836}"/>
    <cellStyle name="Nota 17 4 2" xfId="19377" xr:uid="{16E3C48F-9075-4613-8A5E-51963FCB9B13}"/>
    <cellStyle name="Nota 17 5" xfId="7439" xr:uid="{0C270B89-40CB-465C-BDD0-419770904BA3}"/>
    <cellStyle name="Nota 17 5 2" xfId="19378" xr:uid="{99DCE68C-8B3A-4447-A3CF-CE4C8366117A}"/>
    <cellStyle name="Nota 17 6" xfId="19374" xr:uid="{4240E942-EDB7-4A42-ADB6-530493067A0B}"/>
    <cellStyle name="Nota 18" xfId="7440" xr:uid="{4FE1409B-D988-403D-8A54-8148F463D340}"/>
    <cellStyle name="Nota 18 2" xfId="7441" xr:uid="{58FCFC52-608E-4102-8916-DE747FC750B7}"/>
    <cellStyle name="Nota 18 2 2" xfId="19380" xr:uid="{75C2EAC8-4723-4BCC-BE06-7A76650BC630}"/>
    <cellStyle name="Nota 18 3" xfId="7442" xr:uid="{E7F06715-9BEC-4AB1-A9F6-D351DD7BA4EA}"/>
    <cellStyle name="Nota 18 3 2" xfId="19381" xr:uid="{3729EA00-0DD3-4AC0-A457-9505DDC60C0D}"/>
    <cellStyle name="Nota 18 4" xfId="7443" xr:uid="{04958443-E9C7-4CA5-82EB-54B458D155D6}"/>
    <cellStyle name="Nota 18 4 2" xfId="19382" xr:uid="{FF6A26E7-59F3-4ED4-A326-4A5412D91BF4}"/>
    <cellStyle name="Nota 18 5" xfId="7444" xr:uid="{D138CB2C-AA04-4EE8-86AA-9EDC6BDCD904}"/>
    <cellStyle name="Nota 18 5 2" xfId="19383" xr:uid="{35DD3D19-99D3-49B6-870A-331169572DA0}"/>
    <cellStyle name="Nota 18 6" xfId="19379" xr:uid="{64909A5A-E90F-49FC-A5C7-E3DB5A05A417}"/>
    <cellStyle name="Nota 2" xfId="7445" xr:uid="{F55426D7-0BE5-48B6-8D49-E9FE8303BB99}"/>
    <cellStyle name="Nota 2 2" xfId="7446" xr:uid="{AE55497C-8BAF-438A-97E7-4AD4BBDB4DE0}"/>
    <cellStyle name="Nota 2 2 2" xfId="7447" xr:uid="{0D0EAF23-9A8C-448E-899B-1D09E1EE39AE}"/>
    <cellStyle name="Nota 2 2 2 2" xfId="19386" xr:uid="{34BE5CB8-B556-458B-B3BF-77AFB0320BB9}"/>
    <cellStyle name="Nota 2 2 3" xfId="7448" xr:uid="{FE6DAC55-ECF4-4466-9E52-62A27953EE2C}"/>
    <cellStyle name="Nota 2 2 3 2" xfId="19387" xr:uid="{9815647D-5DD9-4119-996D-575EBF38077D}"/>
    <cellStyle name="Nota 2 2 4" xfId="7449" xr:uid="{119DF8A6-9F5A-4B24-9490-2B7F4E2EDDE7}"/>
    <cellStyle name="Nota 2 2 4 2" xfId="19388" xr:uid="{1C616770-969C-49D2-85BA-C2F9DCFF692E}"/>
    <cellStyle name="Nota 2 2 5" xfId="7450" xr:uid="{20628428-E91D-4017-84B6-4CA0A56222C7}"/>
    <cellStyle name="Nota 2 2 5 2" xfId="19389" xr:uid="{D320C3E6-5BCF-407B-979D-B51A29F32D14}"/>
    <cellStyle name="Nota 2 2 6" xfId="19385" xr:uid="{AD9E5DFE-6D69-41CE-ACA7-C3A50CD26720}"/>
    <cellStyle name="Nota 2 3" xfId="7451" xr:uid="{2EAA64F0-F899-46ED-9F8E-7E93ADAF29CD}"/>
    <cellStyle name="Nota 2 3 2" xfId="19390" xr:uid="{5A1D486B-80B3-4093-832D-D26AA71505E3}"/>
    <cellStyle name="Nota 2 4" xfId="7452" xr:uid="{D2013A2D-8CCC-4E6D-B7B7-C6CB70A95E93}"/>
    <cellStyle name="Nota 2 4 2" xfId="19391" xr:uid="{DCE07F24-1F33-4770-AF11-1304AD8B4FDD}"/>
    <cellStyle name="Nota 2 5" xfId="7453" xr:uid="{9942EFFD-93DD-4FE9-9BE7-B7F50B34F2C0}"/>
    <cellStyle name="Nota 2 5 2" xfId="19392" xr:uid="{053DBFB4-5EAB-4F70-91E3-C05D7FEF7C3E}"/>
    <cellStyle name="Nota 2 6" xfId="7454" xr:uid="{B433DD46-88AE-45F4-A55D-C8BFD2A8C653}"/>
    <cellStyle name="Nota 2 6 2" xfId="19393" xr:uid="{F23949A3-DAD8-46C0-B0D6-0A2BD3CB7C54}"/>
    <cellStyle name="Nota 2 7" xfId="19384" xr:uid="{4E1A9411-3EBF-43B9-A0A5-B02A4A2F797C}"/>
    <cellStyle name="Nota 3" xfId="7455" xr:uid="{3D64E3B0-A2D1-4C2F-8F34-6A308AF3DDC6}"/>
    <cellStyle name="Nota 3 2" xfId="7456" xr:uid="{B4899A22-7FF7-4201-97F3-BBC1F6B89585}"/>
    <cellStyle name="Nota 3 2 2" xfId="7457" xr:uid="{E0C13469-7912-430B-98D3-2322955F8A0F}"/>
    <cellStyle name="Nota 3 2 2 2" xfId="19396" xr:uid="{BD2FEAC4-AA1B-4377-BFB1-3113B8932924}"/>
    <cellStyle name="Nota 3 2 3" xfId="7458" xr:uid="{F6F95AAA-6B66-4251-B0DB-C7832D94883D}"/>
    <cellStyle name="Nota 3 2 3 2" xfId="19397" xr:uid="{8533E8B5-651B-4269-98CA-699C7096E069}"/>
    <cellStyle name="Nota 3 2 4" xfId="7459" xr:uid="{4A96F56A-33BB-40D7-A41E-A4922451BE56}"/>
    <cellStyle name="Nota 3 2 4 2" xfId="19398" xr:uid="{30782AF1-3347-4CEA-B030-2244FA3BF5CA}"/>
    <cellStyle name="Nota 3 2 5" xfId="7460" xr:uid="{071EC19F-9C09-4293-9335-93C089DA52B2}"/>
    <cellStyle name="Nota 3 2 5 2" xfId="19399" xr:uid="{A3A6285E-0702-4B9D-BA8E-DED4B3EAFA18}"/>
    <cellStyle name="Nota 3 2 6" xfId="19395" xr:uid="{225CAA17-1DE9-4740-A73D-53A9B296C64D}"/>
    <cellStyle name="Nota 3 3" xfId="7461" xr:uid="{443A3089-568D-408D-AC0A-82BFDAF7A92E}"/>
    <cellStyle name="Nota 3 3 2" xfId="19400" xr:uid="{A348EC2B-33F7-4E59-A544-62B26CF4C4A7}"/>
    <cellStyle name="Nota 3 4" xfId="7462" xr:uid="{D17FD810-21A3-46E8-BF72-E97AE21F98E9}"/>
    <cellStyle name="Nota 3 4 2" xfId="19401" xr:uid="{8F180123-8935-46CB-BCA8-F639AC8C6E2E}"/>
    <cellStyle name="Nota 3 5" xfId="7463" xr:uid="{ED7F42AF-428E-448F-A2ED-B9BC585F8DB0}"/>
    <cellStyle name="Nota 3 5 2" xfId="19402" xr:uid="{FE33FA53-FEC3-45D3-A2E1-2705A571179E}"/>
    <cellStyle name="Nota 3 6" xfId="7464" xr:uid="{B2C27A0F-B716-45DA-A9C4-815BB6989C7C}"/>
    <cellStyle name="Nota 3 6 2" xfId="19403" xr:uid="{C583CE3C-272C-41BD-81FE-976BDA1823D4}"/>
    <cellStyle name="Nota 3 7" xfId="19394" xr:uid="{42C0DC72-3175-4D51-8CDA-2BE382BBCCA8}"/>
    <cellStyle name="Nota 4" xfId="7465" xr:uid="{759CAB4B-F766-4324-B316-E96511377424}"/>
    <cellStyle name="Nota 4 2" xfId="7466" xr:uid="{9609FF4D-FB25-4A1E-BDE1-A85DCA264723}"/>
    <cellStyle name="Nota 4 2 2" xfId="7467" xr:uid="{4559F8FF-FBF5-4C9E-9D17-83B43D4B3C92}"/>
    <cellStyle name="Nota 4 2 2 2" xfId="19406" xr:uid="{FE5DBB62-4175-47F2-962B-12DC04016DAA}"/>
    <cellStyle name="Nota 4 2 3" xfId="7468" xr:uid="{A792953B-7468-4B60-A039-00C007883806}"/>
    <cellStyle name="Nota 4 2 3 2" xfId="19407" xr:uid="{257AC190-ED5D-4C86-B390-EF9D68C2EC4A}"/>
    <cellStyle name="Nota 4 2 4" xfId="7469" xr:uid="{EAC07F88-D987-48D8-A138-478E4A595C0C}"/>
    <cellStyle name="Nota 4 2 4 2" xfId="19408" xr:uid="{2D263484-1F2F-468D-9AC6-341535A5397C}"/>
    <cellStyle name="Nota 4 2 5" xfId="7470" xr:uid="{2726FC47-9FA1-4042-87C4-E72A8D7E2CED}"/>
    <cellStyle name="Nota 4 2 5 2" xfId="19409" xr:uid="{C2CA5C06-07BF-490B-8EB0-77A37534711D}"/>
    <cellStyle name="Nota 4 2 6" xfId="19405" xr:uid="{45B1F0CD-0D19-49F4-B572-16C5B14F4B33}"/>
    <cellStyle name="Nota 4 3" xfId="7471" xr:uid="{D60B5902-F504-4460-86FC-C78E25A6007E}"/>
    <cellStyle name="Nota 4 3 2" xfId="19410" xr:uid="{CD0BE860-6595-4C6E-82C7-BA80B18B7D67}"/>
    <cellStyle name="Nota 4 4" xfId="7472" xr:uid="{ED4E469D-D878-43E9-9C83-3CA633C33631}"/>
    <cellStyle name="Nota 4 4 2" xfId="19411" xr:uid="{148B24E5-EF20-4138-B4E3-AA772D7D1A20}"/>
    <cellStyle name="Nota 4 5" xfId="7473" xr:uid="{33478906-8A68-40AA-9103-D7CB0A914ACE}"/>
    <cellStyle name="Nota 4 5 2" xfId="19412" xr:uid="{EA7118AF-A420-4229-B0C5-257DFC653957}"/>
    <cellStyle name="Nota 4 6" xfId="7474" xr:uid="{7B8CF51D-307D-4D5A-8807-C4DA666F91BF}"/>
    <cellStyle name="Nota 4 6 2" xfId="19413" xr:uid="{61066BFA-D65D-4B45-812E-76B5113FC05D}"/>
    <cellStyle name="Nota 4 7" xfId="19404" xr:uid="{AC5100D1-D6F0-42B9-80D2-5CA75B01CC76}"/>
    <cellStyle name="Nota 5" xfId="7475" xr:uid="{8D540347-8D38-4C01-BF67-B1D14379AC1A}"/>
    <cellStyle name="Nota 5 2" xfId="7476" xr:uid="{AFC4A993-9261-4468-8AA3-5A1F0ADA29B1}"/>
    <cellStyle name="Nota 5 2 2" xfId="7477" xr:uid="{098535AD-48C4-4E55-97E6-145A834562E0}"/>
    <cellStyle name="Nota 5 2 2 2" xfId="19416" xr:uid="{986F55E9-F0C6-4EB6-8E47-3D7AC4511A7A}"/>
    <cellStyle name="Nota 5 2 3" xfId="7478" xr:uid="{5B12082E-8E8B-4EE9-BCC1-E21C7D18B193}"/>
    <cellStyle name="Nota 5 2 3 2" xfId="19417" xr:uid="{636E1CE9-7CF0-459D-82BD-39141653AE74}"/>
    <cellStyle name="Nota 5 2 4" xfId="7479" xr:uid="{D40407FA-971E-437C-BD9E-C4C89C807FF7}"/>
    <cellStyle name="Nota 5 2 4 2" xfId="19418" xr:uid="{1254E390-F528-4F5F-90BC-1DD51AEC7F5F}"/>
    <cellStyle name="Nota 5 2 5" xfId="7480" xr:uid="{39215482-CB05-4876-9B4B-F18256D93B4D}"/>
    <cellStyle name="Nota 5 2 5 2" xfId="19419" xr:uid="{6DA5C480-18B0-484F-A6BD-06A15156E85F}"/>
    <cellStyle name="Nota 5 2 6" xfId="19415" xr:uid="{0419B1EF-E718-4D71-BD02-CC8684312D9A}"/>
    <cellStyle name="Nota 5 3" xfId="7481" xr:uid="{6A922B06-E2D3-4659-8882-C23309CE54E1}"/>
    <cellStyle name="Nota 5 3 2" xfId="19420" xr:uid="{E7D1CA63-2E43-41D9-88AF-6398F4A13CE3}"/>
    <cellStyle name="Nota 5 4" xfId="7482" xr:uid="{2EFF6131-C364-4568-85F7-491636222D86}"/>
    <cellStyle name="Nota 5 4 2" xfId="19421" xr:uid="{AED2FA08-E414-4130-A32C-8A109433AC76}"/>
    <cellStyle name="Nota 5 5" xfId="7483" xr:uid="{21F9118A-F12E-4EF9-8A6E-4856FDD538B1}"/>
    <cellStyle name="Nota 5 5 2" xfId="19422" xr:uid="{DC67DC09-45E4-4EFC-A0E0-FAA29436391E}"/>
    <cellStyle name="Nota 5 6" xfId="7484" xr:uid="{0635643A-69E5-4FF6-B5E5-EF117C1D836A}"/>
    <cellStyle name="Nota 5 6 2" xfId="19423" xr:uid="{856D3B37-A58D-424A-A78E-44DE2EFE8079}"/>
    <cellStyle name="Nota 5 7" xfId="19414" xr:uid="{59396E5F-C1F6-4E3B-AD12-B3D49661C3D5}"/>
    <cellStyle name="Nota 6" xfId="7485" xr:uid="{FAE3AD19-DB78-44DB-9BDE-C72719DEED23}"/>
    <cellStyle name="Nota 6 2" xfId="7486" xr:uid="{19683913-664E-41B2-9AFC-E172B2DA281B}"/>
    <cellStyle name="Nota 6 2 2" xfId="7487" xr:uid="{8AE05399-0A49-4D0D-B3D8-BE74D3785E92}"/>
    <cellStyle name="Nota 6 2 2 2" xfId="19426" xr:uid="{E1DC3DF8-60D9-462F-8E4C-D8F1FB8F4EBC}"/>
    <cellStyle name="Nota 6 2 3" xfId="7488" xr:uid="{44C01CA6-65BA-4318-806B-3AF9F7BECBE8}"/>
    <cellStyle name="Nota 6 2 3 2" xfId="19427" xr:uid="{241D9BBE-913B-4E5C-90BB-3BB40A8DE7CC}"/>
    <cellStyle name="Nota 6 2 4" xfId="7489" xr:uid="{23D475A3-7FBA-4AD4-AB33-E37205C7E0F5}"/>
    <cellStyle name="Nota 6 2 4 2" xfId="19428" xr:uid="{21103795-DA80-4D1D-AE36-253AD13939B6}"/>
    <cellStyle name="Nota 6 2 5" xfId="7490" xr:uid="{D6FEAD25-DABB-4D50-A6F1-1ED85014C2B0}"/>
    <cellStyle name="Nota 6 2 5 2" xfId="19429" xr:uid="{23C17F0B-DC78-4DFE-88A1-A6E9D1EB14D9}"/>
    <cellStyle name="Nota 6 2 6" xfId="19425" xr:uid="{9ED1C108-40E6-4663-AB66-36E157A8F55F}"/>
    <cellStyle name="Nota 6 3" xfId="7491" xr:uid="{3C004762-3CC8-4B5F-8C76-5DC9BDB1EBA0}"/>
    <cellStyle name="Nota 6 3 2" xfId="19430" xr:uid="{432C1855-76DD-474F-9F32-56EEA0909162}"/>
    <cellStyle name="Nota 6 4" xfId="7492" xr:uid="{0AD7EDEB-FCCB-49B5-9378-A481E0E3E0E2}"/>
    <cellStyle name="Nota 6 4 2" xfId="19431" xr:uid="{F969E904-3D35-4D9B-88C2-E817E0BE4056}"/>
    <cellStyle name="Nota 6 5" xfId="7493" xr:uid="{ADDA78F3-682B-4957-9488-4C2F6B5D1D55}"/>
    <cellStyle name="Nota 6 5 2" xfId="19432" xr:uid="{F5014CD6-2585-4980-BD0B-0639DFD0CF53}"/>
    <cellStyle name="Nota 6 6" xfId="7494" xr:uid="{18AB3D0E-DD43-4D6C-B491-CA07641BCE98}"/>
    <cellStyle name="Nota 6 6 2" xfId="19433" xr:uid="{C9918CE1-6842-4D43-A9B0-88D5E3E425A1}"/>
    <cellStyle name="Nota 6 7" xfId="19424" xr:uid="{B8517825-C5A5-45FE-B399-5BF06401F320}"/>
    <cellStyle name="Nota 7" xfId="7495" xr:uid="{88FAAEAC-01AA-4CA2-8C58-71A26B0484B2}"/>
    <cellStyle name="Nota 7 2" xfId="7496" xr:uid="{3E22FDCA-6E97-400E-9687-C8F3004E6C1F}"/>
    <cellStyle name="Nota 7 2 2" xfId="7497" xr:uid="{111E535E-71E6-4CAD-8D5F-B9F3014D4F78}"/>
    <cellStyle name="Nota 7 2 2 2" xfId="19436" xr:uid="{A1AFC658-1607-4303-A10C-31DFC3CEEF6B}"/>
    <cellStyle name="Nota 7 2 3" xfId="7498" xr:uid="{48F14A7A-1324-46E4-99AC-AE03FA7CD4C6}"/>
    <cellStyle name="Nota 7 2 3 2" xfId="19437" xr:uid="{A8167DB8-9800-42A8-B078-A64B000F3E4D}"/>
    <cellStyle name="Nota 7 2 4" xfId="7499" xr:uid="{424E1B1D-9B98-41B4-A343-3D9F7062F748}"/>
    <cellStyle name="Nota 7 2 4 2" xfId="19438" xr:uid="{E748C63C-531A-4A3D-BCE7-97F36BE9473D}"/>
    <cellStyle name="Nota 7 2 5" xfId="7500" xr:uid="{57EFB9AA-1ED5-40FB-8D77-B65635CD2EDF}"/>
    <cellStyle name="Nota 7 2 5 2" xfId="19439" xr:uid="{491CF760-0531-4612-BA39-CF9DE2F34174}"/>
    <cellStyle name="Nota 7 2 6" xfId="19435" xr:uid="{ED340F9D-E76E-4DD6-9FF7-8ABE9579C691}"/>
    <cellStyle name="Nota 7 3" xfId="7501" xr:uid="{DF8F8368-CF98-4BA2-B588-1B2BC2778DF4}"/>
    <cellStyle name="Nota 7 3 2" xfId="19440" xr:uid="{38AC4A59-4742-416B-8FF1-B987CAF20B62}"/>
    <cellStyle name="Nota 7 4" xfId="7502" xr:uid="{FBDFE3FC-4081-46F9-A9D4-6F648DCEE971}"/>
    <cellStyle name="Nota 7 4 2" xfId="19441" xr:uid="{A6E10F08-F7B6-4F55-AEB2-9E3437B970BB}"/>
    <cellStyle name="Nota 7 5" xfId="7503" xr:uid="{4FCF9001-C9C2-4DE2-952C-0A51F2086CC1}"/>
    <cellStyle name="Nota 7 5 2" xfId="19442" xr:uid="{ED039E9C-A4C7-437A-B0C3-89E37C27BDF1}"/>
    <cellStyle name="Nota 7 6" xfId="7504" xr:uid="{1FCC1DDA-D746-4FB1-B459-E7E3316F96DB}"/>
    <cellStyle name="Nota 7 6 2" xfId="19443" xr:uid="{05DB54CF-2062-459E-8973-49DF5E238C08}"/>
    <cellStyle name="Nota 7 7" xfId="19434" xr:uid="{07C58906-B42C-4374-AF08-B4996E0AE581}"/>
    <cellStyle name="Nota 8" xfId="7505" xr:uid="{59BC8FEB-D0A6-4B8C-AA94-6FB76FAEBF3A}"/>
    <cellStyle name="Nota 8 2" xfId="7506" xr:uid="{6983CE30-2A52-4B55-A0E8-3D8E43AA50F3}"/>
    <cellStyle name="Nota 8 2 2" xfId="7507" xr:uid="{8D026951-6D05-4F5A-A35C-63584F88DBEA}"/>
    <cellStyle name="Nota 8 2 2 2" xfId="19446" xr:uid="{F1DF4E0A-37B4-4A7C-B99E-CB28C959BCBF}"/>
    <cellStyle name="Nota 8 2 3" xfId="7508" xr:uid="{2E6B0682-6B10-4156-9C1C-7850BCACFEBD}"/>
    <cellStyle name="Nota 8 2 3 2" xfId="19447" xr:uid="{29B06635-F262-4D79-A08D-90827B802792}"/>
    <cellStyle name="Nota 8 2 4" xfId="7509" xr:uid="{BE4AB693-6C43-44D9-9DC2-8588B12E0C65}"/>
    <cellStyle name="Nota 8 2 4 2" xfId="19448" xr:uid="{0A65092C-DACB-4E94-89C7-EE6277B51CB2}"/>
    <cellStyle name="Nota 8 2 5" xfId="7510" xr:uid="{37A77A28-BDBF-46F9-A0DF-12092E52B5F1}"/>
    <cellStyle name="Nota 8 2 5 2" xfId="19449" xr:uid="{6E6F8BB0-F435-4D04-9B86-C5E8DD7185D1}"/>
    <cellStyle name="Nota 8 2 6" xfId="19445" xr:uid="{6FDD3278-C78E-43E5-8D47-975E8AFDD312}"/>
    <cellStyle name="Nota 8 3" xfId="7511" xr:uid="{6962305F-0E81-4507-86EF-FBB2ACD7A7F7}"/>
    <cellStyle name="Nota 8 3 2" xfId="19450" xr:uid="{C1E114CB-A388-445E-8341-C582FFDFB4C6}"/>
    <cellStyle name="Nota 8 4" xfId="7512" xr:uid="{0FEBB2B2-3C2D-402C-BFDE-CEE3904CC8F5}"/>
    <cellStyle name="Nota 8 4 2" xfId="19451" xr:uid="{869A0FCB-C18F-4F46-92C1-52909B08C796}"/>
    <cellStyle name="Nota 8 5" xfId="7513" xr:uid="{FF24D466-365B-4E84-8EAC-9B1C03E26367}"/>
    <cellStyle name="Nota 8 5 2" xfId="19452" xr:uid="{54E6DC0C-74F7-4651-89CB-2F5B48A5B10D}"/>
    <cellStyle name="Nota 8 6" xfId="7514" xr:uid="{03320E9D-B77C-45F3-A5DE-6AEAB1CD1369}"/>
    <cellStyle name="Nota 8 6 2" xfId="19453" xr:uid="{F9B22B58-33AA-44D7-B8DD-CC5EA356B8AB}"/>
    <cellStyle name="Nota 8 7" xfId="19444" xr:uid="{F6394077-0CBA-4E37-B73C-F10904BC4C93}"/>
    <cellStyle name="Nota 9" xfId="7515" xr:uid="{F16367B4-71F7-42BA-AE21-CEFB40CEFB26}"/>
    <cellStyle name="Nota 9 2" xfId="7516" xr:uid="{DB689267-A1CA-4215-98D8-BDEFD1872C01}"/>
    <cellStyle name="Nota 9 2 2" xfId="7517" xr:uid="{C90A110A-EBCD-4328-8094-30EC2A0CBB52}"/>
    <cellStyle name="Nota 9 2 2 2" xfId="19456" xr:uid="{3BAFC313-0C66-4634-ADBF-F866AA4CACC4}"/>
    <cellStyle name="Nota 9 2 3" xfId="7518" xr:uid="{09541F96-1E4A-40E1-A8C3-9028CEFF5B4A}"/>
    <cellStyle name="Nota 9 2 3 2" xfId="19457" xr:uid="{B08C5E38-2A3C-4AC0-A81F-0DB74C7B93FE}"/>
    <cellStyle name="Nota 9 2 4" xfId="7519" xr:uid="{8DD38F06-3116-4965-A21C-7D42CA02235F}"/>
    <cellStyle name="Nota 9 2 4 2" xfId="19458" xr:uid="{7FB3E1EB-724F-4B28-B66F-7985FFD3649D}"/>
    <cellStyle name="Nota 9 2 5" xfId="7520" xr:uid="{86EA9C8D-6030-4442-8EBF-005CEBEEFE17}"/>
    <cellStyle name="Nota 9 2 5 2" xfId="19459" xr:uid="{5A59CA2D-5D0B-434C-A07B-A8DA78BCED79}"/>
    <cellStyle name="Nota 9 2 6" xfId="19455" xr:uid="{34BD6A0B-AF80-40D9-968B-3F3266B47FF0}"/>
    <cellStyle name="Nota 9 3" xfId="7521" xr:uid="{1F83A708-B623-4C29-954B-E9CB7BC8A72F}"/>
    <cellStyle name="Nota 9 3 2" xfId="19460" xr:uid="{57AB62B5-A53D-4583-857C-3B1EA0543621}"/>
    <cellStyle name="Nota 9 4" xfId="7522" xr:uid="{CF979A0F-0D44-435B-B9B1-0474520EF7DE}"/>
    <cellStyle name="Nota 9 4 2" xfId="19461" xr:uid="{E6054D17-0345-48A6-A9E5-801D2F6C47E5}"/>
    <cellStyle name="Nota 9 5" xfId="7523" xr:uid="{ECF0DBE3-E74C-4C48-8C69-4C3B87BDE70B}"/>
    <cellStyle name="Nota 9 5 2" xfId="19462" xr:uid="{D90BE18B-E7BD-4EBF-95CE-E4712E9FE6D9}"/>
    <cellStyle name="Nota 9 6" xfId="7524" xr:uid="{2DA1E9CD-3C14-4413-B7AA-C7974BAD160B}"/>
    <cellStyle name="Nota 9 6 2" xfId="19463" xr:uid="{A1A8380B-9F62-48B3-91FE-462B142D54BF}"/>
    <cellStyle name="Nota 9 7" xfId="19454" xr:uid="{8BA02F9F-E9CE-446C-AD37-64687FFE1959}"/>
    <cellStyle name="Notas" xfId="7525" xr:uid="{712FC188-A789-4403-A2FF-4A7EE367CC1A}"/>
    <cellStyle name="Notas 10" xfId="7526" xr:uid="{C2EB1C7B-254B-4AE3-89C2-AC25CA130FDD}"/>
    <cellStyle name="Notas 10 2" xfId="7527" xr:uid="{75404D0E-6919-4821-8ECF-463F5E157F67}"/>
    <cellStyle name="Notas 10 2 2" xfId="7528" xr:uid="{BC3438A0-9FDE-4A32-A846-965B37AFC4BD}"/>
    <cellStyle name="Notas 10 2 2 2" xfId="19466" xr:uid="{8B80AEC9-7E6E-470D-8F81-91B43F22503E}"/>
    <cellStyle name="Notas 10 2 3" xfId="7529" xr:uid="{059CD27A-B229-4256-99E0-F119F6227EEA}"/>
    <cellStyle name="Notas 10 2 3 2" xfId="19467" xr:uid="{5F7532A6-21FA-465A-9DD7-BB5E319AEBDB}"/>
    <cellStyle name="Notas 10 2 4" xfId="7530" xr:uid="{76709769-6064-462D-912F-A0F62082F289}"/>
    <cellStyle name="Notas 10 2 4 2" xfId="19468" xr:uid="{06FA314D-FCAF-4E50-8F11-62732C283795}"/>
    <cellStyle name="Notas 10 2 5" xfId="7531" xr:uid="{004F2AD2-1776-4604-A035-EBBC0C5E5A0D}"/>
    <cellStyle name="Notas 10 2 5 2" xfId="19469" xr:uid="{45D5C34D-5104-47BC-882E-A885A7A5F613}"/>
    <cellStyle name="Notas 10 2 6" xfId="19465" xr:uid="{9834EA17-4E4F-4006-B2C7-3975453B46DC}"/>
    <cellStyle name="Notas 10 3" xfId="7532" xr:uid="{5C268252-EF6A-42AF-89C3-31535591F6CD}"/>
    <cellStyle name="Notas 10 3 2" xfId="19470" xr:uid="{23FD599A-2BFC-44C1-B728-2FE12100456A}"/>
    <cellStyle name="Notas 10 4" xfId="7533" xr:uid="{B2795A65-D8AB-49EB-B067-64299BC3684C}"/>
    <cellStyle name="Notas 10 4 2" xfId="19471" xr:uid="{CDD32B49-0EB2-45D8-8CF5-B92725131199}"/>
    <cellStyle name="Notas 10 5" xfId="7534" xr:uid="{D1CF8464-90EE-425B-A790-F11195D4C82F}"/>
    <cellStyle name="Notas 10 5 2" xfId="19472" xr:uid="{EA99EDA1-6F19-4BA2-99F1-03F253A4E305}"/>
    <cellStyle name="Notas 10 6" xfId="7535" xr:uid="{02ED83F2-F289-4B37-B1A1-F22229A332A1}"/>
    <cellStyle name="Notas 10 6 2" xfId="19473" xr:uid="{22AB17F2-1775-48A4-B846-8B32AE301043}"/>
    <cellStyle name="Notas 10 7" xfId="19464" xr:uid="{22AD8299-A48E-40B6-948B-60B1AEB4A70D}"/>
    <cellStyle name="Notas 11" xfId="7536" xr:uid="{1513B456-0CA6-490D-B6A3-0BBB75EA9D33}"/>
    <cellStyle name="Notas 11 2" xfId="7537" xr:uid="{FAACC8E8-8EB2-49F3-B8CB-48EB8AAA4E49}"/>
    <cellStyle name="Notas 11 2 2" xfId="7538" xr:uid="{775288FE-FF4B-4F01-90CF-2E77F6C42C8F}"/>
    <cellStyle name="Notas 11 2 2 2" xfId="19476" xr:uid="{9FF0593D-900E-40CD-889F-3A421104357C}"/>
    <cellStyle name="Notas 11 2 3" xfId="7539" xr:uid="{C03B5490-7298-4ED3-B8FA-CB9FD017A609}"/>
    <cellStyle name="Notas 11 2 3 2" xfId="19477" xr:uid="{1A1195BD-E408-4DEC-8B5A-351ED3D03359}"/>
    <cellStyle name="Notas 11 2 4" xfId="7540" xr:uid="{45DA3080-D6D5-42C6-8FD5-A20A24BD197A}"/>
    <cellStyle name="Notas 11 2 4 2" xfId="19478" xr:uid="{598E78DD-BB9B-4659-9421-84CF3740B3E3}"/>
    <cellStyle name="Notas 11 2 5" xfId="7541" xr:uid="{A6F67163-DE82-46DE-99EA-4FA85FB47C69}"/>
    <cellStyle name="Notas 11 2 5 2" xfId="19479" xr:uid="{91F3F4ED-16D7-4E71-A2A4-3C3FC060F190}"/>
    <cellStyle name="Notas 11 2 6" xfId="19475" xr:uid="{8BB394A7-FA9D-428E-AC76-4905CC5F83E2}"/>
    <cellStyle name="Notas 11 3" xfId="7542" xr:uid="{56C8D389-BC42-4811-9D50-BF8BDAB69CDB}"/>
    <cellStyle name="Notas 11 3 2" xfId="19480" xr:uid="{8339CD2F-B428-4066-A376-B0E1FAAEF742}"/>
    <cellStyle name="Notas 11 4" xfId="7543" xr:uid="{8D1190AD-6F44-4FD0-9269-C312A7E692F6}"/>
    <cellStyle name="Notas 11 4 2" xfId="19481" xr:uid="{8837F123-25E5-40AA-A140-581681A8FDFE}"/>
    <cellStyle name="Notas 11 5" xfId="7544" xr:uid="{2297AB30-027B-4E38-B642-20C6A0E5727C}"/>
    <cellStyle name="Notas 11 5 2" xfId="19482" xr:uid="{E7867B33-41B5-4818-B0A9-43AC8A80E96C}"/>
    <cellStyle name="Notas 11 6" xfId="7545" xr:uid="{F55502D4-C097-41C1-9215-3989D1B14950}"/>
    <cellStyle name="Notas 11 6 2" xfId="19483" xr:uid="{470A6EDB-39FE-47F9-A17A-530B9EF42FC3}"/>
    <cellStyle name="Notas 11 7" xfId="19474" xr:uid="{E62AD733-73BC-40BA-B496-5083D9E4E491}"/>
    <cellStyle name="Notas 12" xfId="7546" xr:uid="{A27F8ADC-7D11-4159-8E38-CA4F4B9FC508}"/>
    <cellStyle name="Notas 12 2" xfId="7547" xr:uid="{06DC8EFE-3498-4A68-974F-4847C2B36700}"/>
    <cellStyle name="Notas 12 2 2" xfId="7548" xr:uid="{639FF35D-714D-4926-9569-013CF52689A9}"/>
    <cellStyle name="Notas 12 2 2 2" xfId="19486" xr:uid="{73BA0BB3-D248-4D0F-A70A-DC048B12CB77}"/>
    <cellStyle name="Notas 12 2 3" xfId="7549" xr:uid="{7E8F1CBB-9FD2-4013-8145-33A41459C271}"/>
    <cellStyle name="Notas 12 2 3 2" xfId="19487" xr:uid="{CCF397A6-11DF-4B1D-862E-2773920CAA73}"/>
    <cellStyle name="Notas 12 2 4" xfId="7550" xr:uid="{18EF9A3A-9CB6-4230-81DF-24D30E0964FB}"/>
    <cellStyle name="Notas 12 2 4 2" xfId="19488" xr:uid="{ED8976D8-E944-4C29-841D-34D0D4B74181}"/>
    <cellStyle name="Notas 12 2 5" xfId="7551" xr:uid="{24830EE5-573F-4AC1-A115-76ED6CD77681}"/>
    <cellStyle name="Notas 12 2 5 2" xfId="19489" xr:uid="{EBB6C90E-11D0-4B96-8BFF-4E90341C6DE0}"/>
    <cellStyle name="Notas 12 2 6" xfId="19485" xr:uid="{FC03D922-6377-4D5E-8590-94A0F8308D47}"/>
    <cellStyle name="Notas 12 3" xfId="7552" xr:uid="{CE2FBD08-3480-4ED3-8B1F-2BD45837F678}"/>
    <cellStyle name="Notas 12 3 2" xfId="19490" xr:uid="{E4F29584-918A-4D02-A999-96F2AF804378}"/>
    <cellStyle name="Notas 12 4" xfId="7553" xr:uid="{EE900771-06C2-480C-B644-D0C31B36ACCE}"/>
    <cellStyle name="Notas 12 4 2" xfId="19491" xr:uid="{E46315C2-D9CC-4B0C-82D9-0B71E4DC185C}"/>
    <cellStyle name="Notas 12 5" xfId="7554" xr:uid="{16EE8C9D-A5AE-4159-8431-C21C019189CB}"/>
    <cellStyle name="Notas 12 5 2" xfId="19492" xr:uid="{D6B109E8-6FF9-499D-8294-DC8001A88E62}"/>
    <cellStyle name="Notas 12 6" xfId="7555" xr:uid="{AEBC48F6-D0B9-4A77-9216-6483D66458DF}"/>
    <cellStyle name="Notas 12 6 2" xfId="19493" xr:uid="{CB2EB0FD-86B4-4CD2-AF4D-46CC7BA2AA12}"/>
    <cellStyle name="Notas 12 7" xfId="19484" xr:uid="{4A0501C7-1907-4CAB-9FF3-1BE7DCCB1027}"/>
    <cellStyle name="Notas 13" xfId="7556" xr:uid="{D6AE0543-9E17-42FD-9645-F0757CB9460C}"/>
    <cellStyle name="Notas 13 2" xfId="7557" xr:uid="{EBE558FF-1524-4B8B-ADA6-C3A7AAA7C30B}"/>
    <cellStyle name="Notas 13 2 2" xfId="7558" xr:uid="{0C5F399B-7A72-4087-A925-2DE752F8721F}"/>
    <cellStyle name="Notas 13 2 2 2" xfId="19496" xr:uid="{65F098B4-2819-4E89-A376-F21E77123D9B}"/>
    <cellStyle name="Notas 13 2 3" xfId="7559" xr:uid="{D2818346-D226-460D-A94A-0210E9EF01D8}"/>
    <cellStyle name="Notas 13 2 3 2" xfId="19497" xr:uid="{3A0613AE-8B84-4DCC-97A7-BBEB456780A8}"/>
    <cellStyle name="Notas 13 2 4" xfId="7560" xr:uid="{73E0080D-E697-4BA4-84BA-EEA9637B668D}"/>
    <cellStyle name="Notas 13 2 4 2" xfId="19498" xr:uid="{B3C9ACC7-31BB-4723-B0B9-18CF33A4449F}"/>
    <cellStyle name="Notas 13 2 5" xfId="7561" xr:uid="{9D4B5D6C-A1C6-493F-8C95-2B11C068BB2F}"/>
    <cellStyle name="Notas 13 2 5 2" xfId="19499" xr:uid="{FE03144E-39D9-44A7-B048-BECEDCCEFE20}"/>
    <cellStyle name="Notas 13 2 6" xfId="19495" xr:uid="{5A3C60CA-F38A-47D0-BC5B-F86B4051CB50}"/>
    <cellStyle name="Notas 13 3" xfId="7562" xr:uid="{9D65C908-B9EE-4513-918A-EA4A3A4AEB84}"/>
    <cellStyle name="Notas 13 3 2" xfId="19500" xr:uid="{BBB8DA7F-E04A-4093-B0E3-DCF360F59999}"/>
    <cellStyle name="Notas 13 4" xfId="7563" xr:uid="{3B69C6A6-5E1F-4A56-98A1-3CD88F0BBCCA}"/>
    <cellStyle name="Notas 13 4 2" xfId="19501" xr:uid="{61CEB0F5-2FD9-46BC-B4E2-A2575B82E48C}"/>
    <cellStyle name="Notas 13 5" xfId="7564" xr:uid="{837A0B46-4112-4D96-B24A-0326767EBEFB}"/>
    <cellStyle name="Notas 13 5 2" xfId="19502" xr:uid="{430307C0-1BA8-47ED-8B04-26294BBCE1C6}"/>
    <cellStyle name="Notas 13 6" xfId="7565" xr:uid="{0EAD07AE-4BDD-404C-86E2-69261DF2EA4A}"/>
    <cellStyle name="Notas 13 6 2" xfId="19503" xr:uid="{5F3DE7B3-CF59-4731-8F6D-96B83C5BBCEA}"/>
    <cellStyle name="Notas 13 7" xfId="19494" xr:uid="{A1700815-FAB2-4D7F-8D68-D42DF213107F}"/>
    <cellStyle name="Notas 14" xfId="7566" xr:uid="{3C7D0C47-0516-47CD-AEAA-84EB22F9D848}"/>
    <cellStyle name="Notas 14 2" xfId="7567" xr:uid="{F980A02A-2CB4-4109-A5BF-EADC766A55ED}"/>
    <cellStyle name="Notas 14 2 2" xfId="7568" xr:uid="{8E2DBD94-DC5C-41EA-AA29-67091149DF0A}"/>
    <cellStyle name="Notas 14 2 2 2" xfId="19506" xr:uid="{923E3D64-60BF-49ED-9A94-A79C32915208}"/>
    <cellStyle name="Notas 14 2 3" xfId="7569" xr:uid="{5A679039-6C3B-4559-B4FF-90FB4B015A6E}"/>
    <cellStyle name="Notas 14 2 3 2" xfId="19507" xr:uid="{880126D2-41DD-4C37-B3FD-AE87684AD9D7}"/>
    <cellStyle name="Notas 14 2 4" xfId="7570" xr:uid="{1CAE3139-4325-4B74-9E7A-E7DB6FFC2911}"/>
    <cellStyle name="Notas 14 2 4 2" xfId="19508" xr:uid="{BDF7B93E-85D3-4675-8429-F5110BB7434D}"/>
    <cellStyle name="Notas 14 2 5" xfId="7571" xr:uid="{F5AE5B3B-7DB6-4067-B717-01AD851E7640}"/>
    <cellStyle name="Notas 14 2 5 2" xfId="19509" xr:uid="{852C8291-46E7-48F7-8550-2D497B8B6DBA}"/>
    <cellStyle name="Notas 14 2 6" xfId="19505" xr:uid="{ADEDDC9C-3284-4FDF-978D-F5C223B94A63}"/>
    <cellStyle name="Notas 14 3" xfId="7572" xr:uid="{89D9E481-E5C9-47F6-A833-4DB10E00A3EB}"/>
    <cellStyle name="Notas 14 3 2" xfId="19510" xr:uid="{0C8FA3EF-DB49-4440-8E55-3F41499A85E1}"/>
    <cellStyle name="Notas 14 4" xfId="7573" xr:uid="{9EF188FF-5DDA-401C-8741-F3DD6BBC2BC0}"/>
    <cellStyle name="Notas 14 4 2" xfId="19511" xr:uid="{3C81257F-98A5-49A1-B532-5E8672548E8A}"/>
    <cellStyle name="Notas 14 5" xfId="7574" xr:uid="{8656A953-B7E9-44D4-A8EE-058518E22649}"/>
    <cellStyle name="Notas 14 5 2" xfId="19512" xr:uid="{27EB8D53-A964-4DB7-B836-34FB28ED8A92}"/>
    <cellStyle name="Notas 14 6" xfId="7575" xr:uid="{BC3090C7-1E18-46FE-810B-9C82E8EDCAF5}"/>
    <cellStyle name="Notas 14 6 2" xfId="19513" xr:uid="{DA3B042D-A474-4D87-A206-DDE72447CD3F}"/>
    <cellStyle name="Notas 14 7" xfId="19504" xr:uid="{0B919C6F-C5AE-4AC0-949E-BCB1496240F0}"/>
    <cellStyle name="Notas 15" xfId="7576" xr:uid="{B3852DFD-722E-41B4-874A-64E13B873288}"/>
    <cellStyle name="Notas 15 2" xfId="7577" xr:uid="{39023479-5BE7-45C9-BDC6-2886ECBF13B9}"/>
    <cellStyle name="Notas 15 2 2" xfId="7578" xr:uid="{F9F34B9A-53A1-4732-946D-106A57A4C3A1}"/>
    <cellStyle name="Notas 15 2 2 2" xfId="19516" xr:uid="{A2CDF34B-C716-48C4-85E9-1D054AE1A370}"/>
    <cellStyle name="Notas 15 2 3" xfId="7579" xr:uid="{336BEB91-2C50-4655-BF75-AE2FBA59A638}"/>
    <cellStyle name="Notas 15 2 3 2" xfId="19517" xr:uid="{3C0C0CA2-820E-457A-A73E-2B464DCBE8AE}"/>
    <cellStyle name="Notas 15 2 4" xfId="7580" xr:uid="{FE6BC616-6A78-4162-9B78-90DE3D03AE7E}"/>
    <cellStyle name="Notas 15 2 4 2" xfId="19518" xr:uid="{205FBDF3-7E87-47A5-B744-19F42819EBD5}"/>
    <cellStyle name="Notas 15 2 5" xfId="7581" xr:uid="{A136CEB3-DBE2-40D5-A1DC-598A878ED053}"/>
    <cellStyle name="Notas 15 2 5 2" xfId="19519" xr:uid="{6C34732D-B738-4752-BCCE-75422C0AA900}"/>
    <cellStyle name="Notas 15 2 6" xfId="19515" xr:uid="{CE966DB2-0C92-4302-8757-CC525353E091}"/>
    <cellStyle name="Notas 15 3" xfId="7582" xr:uid="{FA5B5B8B-5F15-4E1B-944A-9698BD181DF2}"/>
    <cellStyle name="Notas 15 3 2" xfId="19520" xr:uid="{7699DB94-04C7-4EA3-9130-AE428E46DDF9}"/>
    <cellStyle name="Notas 15 4" xfId="7583" xr:uid="{71C9389A-3B86-433A-AE2E-88D11FFE0A6A}"/>
    <cellStyle name="Notas 15 4 2" xfId="19521" xr:uid="{09092E22-F1D5-4896-8C2C-83D3E5BF7593}"/>
    <cellStyle name="Notas 15 5" xfId="7584" xr:uid="{D338034C-D140-4340-A0D6-C3BC7A4BBC52}"/>
    <cellStyle name="Notas 15 5 2" xfId="19522" xr:uid="{176CEFAD-51A4-447E-ABBD-75AC3519EA7F}"/>
    <cellStyle name="Notas 15 6" xfId="7585" xr:uid="{98266529-7C6F-4F5E-9D43-E6ECD4B44E3A}"/>
    <cellStyle name="Notas 15 6 2" xfId="19523" xr:uid="{AC906516-3B1D-4381-95D4-7CCE6C766ED0}"/>
    <cellStyle name="Notas 15 7" xfId="19514" xr:uid="{374D5004-502B-48B4-BA00-B6C090B2129E}"/>
    <cellStyle name="Notas 16" xfId="7586" xr:uid="{1C258C21-E6C9-49EB-95F0-01E06565B423}"/>
    <cellStyle name="Notas 16 2" xfId="7587" xr:uid="{C51889BB-819F-4A21-A336-BA576DF10639}"/>
    <cellStyle name="Notas 16 2 2" xfId="7588" xr:uid="{BA43C42C-4DB3-4292-9926-26E9F515D106}"/>
    <cellStyle name="Notas 16 2 2 2" xfId="19526" xr:uid="{EF6CCBB2-1EA7-45B2-9E4F-D49D4AB90B52}"/>
    <cellStyle name="Notas 16 2 3" xfId="7589" xr:uid="{8483FEAD-2F0C-4A05-A70B-CD5D89CDF4BE}"/>
    <cellStyle name="Notas 16 2 3 2" xfId="19527" xr:uid="{517C6D9F-4C54-4D45-8367-BB1C62A23753}"/>
    <cellStyle name="Notas 16 2 4" xfId="7590" xr:uid="{A831373A-DC33-43BE-8FB6-CC2E05CED562}"/>
    <cellStyle name="Notas 16 2 4 2" xfId="19528" xr:uid="{80430B31-BF1A-405F-A1BA-E8222366F02D}"/>
    <cellStyle name="Notas 16 2 5" xfId="7591" xr:uid="{11676A0A-D1C3-4C1A-B5C9-954F4803AE2C}"/>
    <cellStyle name="Notas 16 2 5 2" xfId="19529" xr:uid="{D5F6EC8D-0356-4E0D-B905-5DA9E7658B23}"/>
    <cellStyle name="Notas 16 2 6" xfId="19525" xr:uid="{3168410A-E63A-42C8-B739-7C3DE0FC3DC9}"/>
    <cellStyle name="Notas 16 3" xfId="7592" xr:uid="{E7250E38-9BCB-4712-AB7B-B025982ADC47}"/>
    <cellStyle name="Notas 16 3 2" xfId="19530" xr:uid="{1A5192F5-19FF-4D44-8A90-F74B39D30F16}"/>
    <cellStyle name="Notas 16 4" xfId="7593" xr:uid="{F89F1177-494B-4D99-A064-10564A5C44E2}"/>
    <cellStyle name="Notas 16 4 2" xfId="19531" xr:uid="{60F82343-DFE4-46F3-BC96-03F40ECCB17B}"/>
    <cellStyle name="Notas 16 5" xfId="7594" xr:uid="{265831E0-E09A-4230-9ADF-AACF5277B641}"/>
    <cellStyle name="Notas 16 5 2" xfId="19532" xr:uid="{02C47941-D0C4-4BE4-8A47-0AB585E345E6}"/>
    <cellStyle name="Notas 16 6" xfId="7595" xr:uid="{6109E473-C6E2-41D2-BDD3-393BC7F51CE9}"/>
    <cellStyle name="Notas 16 6 2" xfId="19533" xr:uid="{89CD48DB-1489-421C-9131-A4C1A4F7C7E6}"/>
    <cellStyle name="Notas 16 7" xfId="19524" xr:uid="{068A4724-772C-4BDB-B20D-F741098EDA79}"/>
    <cellStyle name="Notas 17" xfId="7596" xr:uid="{7EF781C3-490D-40CD-9F5D-5B02D83912AB}"/>
    <cellStyle name="Notas 17 2" xfId="7597" xr:uid="{A8D5E680-E1F7-4B3D-B737-C40BD472A62B}"/>
    <cellStyle name="Notas 17 2 2" xfId="7598" xr:uid="{47881EA4-CF3B-4809-A600-10A35DCA96A9}"/>
    <cellStyle name="Notas 17 2 2 2" xfId="19536" xr:uid="{9519B2DB-BDAC-443F-8DDD-3F088E1CC086}"/>
    <cellStyle name="Notas 17 2 3" xfId="7599" xr:uid="{2E1BD14D-9DFA-481E-89C7-0083950E7F22}"/>
    <cellStyle name="Notas 17 2 3 2" xfId="19537" xr:uid="{85239660-100D-4C2A-BE47-201428D81D64}"/>
    <cellStyle name="Notas 17 2 4" xfId="7600" xr:uid="{20FA5559-6F6F-49C3-80CE-382F0A353A6B}"/>
    <cellStyle name="Notas 17 2 4 2" xfId="19538" xr:uid="{55B7A1B6-60BF-41E3-ADA5-8D7316050A8D}"/>
    <cellStyle name="Notas 17 2 5" xfId="7601" xr:uid="{F66383D3-679C-4541-BB64-C2329840397F}"/>
    <cellStyle name="Notas 17 2 5 2" xfId="19539" xr:uid="{E2D4FF81-77FD-4180-A7B4-51B249CFB7D1}"/>
    <cellStyle name="Notas 17 2 6" xfId="19535" xr:uid="{908527E4-5AD9-4E31-A0A0-5C811EF81A75}"/>
    <cellStyle name="Notas 17 3" xfId="7602" xr:uid="{EF0CE071-9B48-4BAA-BEF5-7A25BCD2A598}"/>
    <cellStyle name="Notas 17 3 2" xfId="19540" xr:uid="{B4F01957-B3F4-4DFE-9A59-9121563C7880}"/>
    <cellStyle name="Notas 17 4" xfId="7603" xr:uid="{214CE8AB-6D9C-4A0D-94B8-E9852D93BF6E}"/>
    <cellStyle name="Notas 17 4 2" xfId="19541" xr:uid="{2DA12000-5D74-4D06-8B98-12A0D37D0BA9}"/>
    <cellStyle name="Notas 17 5" xfId="7604" xr:uid="{B16AA0E5-29C1-4478-B06E-E5489C18BCCD}"/>
    <cellStyle name="Notas 17 5 2" xfId="19542" xr:uid="{69E0007B-C48F-4B5A-B908-A41145BC0FBB}"/>
    <cellStyle name="Notas 17 6" xfId="7605" xr:uid="{360463EC-8594-457F-A66C-69E5C0B23BB9}"/>
    <cellStyle name="Notas 17 6 2" xfId="19543" xr:uid="{24DF7172-7FA1-4D0B-95FC-6F3B20FCC4CC}"/>
    <cellStyle name="Notas 17 7" xfId="19534" xr:uid="{28E45C12-7D33-434E-B87C-277E4D4765E7}"/>
    <cellStyle name="Notas 18" xfId="7606" xr:uid="{5AF876E4-FBEF-466B-8B69-A15CDC184852}"/>
    <cellStyle name="Notas 18 2" xfId="7607" xr:uid="{A8684038-B564-4159-AD9E-35529AF2D5D1}"/>
    <cellStyle name="Notas 18 2 2" xfId="7608" xr:uid="{DF564A5C-0A07-4EE4-9DAA-6E43212FB0F0}"/>
    <cellStyle name="Notas 18 2 2 2" xfId="19546" xr:uid="{A875814B-938C-4D4E-9EB9-359251A874A3}"/>
    <cellStyle name="Notas 18 2 3" xfId="7609" xr:uid="{55BD0A85-B75A-4E0A-95C2-F9E950D6694F}"/>
    <cellStyle name="Notas 18 2 3 2" xfId="19547" xr:uid="{600453C7-C044-4E13-8152-5803F969AF67}"/>
    <cellStyle name="Notas 18 2 4" xfId="7610" xr:uid="{27C7E892-7A70-4910-BBB7-3C770FB8786F}"/>
    <cellStyle name="Notas 18 2 4 2" xfId="19548" xr:uid="{18D199CC-E5D1-4C7C-A12D-8F1A384472AC}"/>
    <cellStyle name="Notas 18 2 5" xfId="7611" xr:uid="{2EB0E17F-4847-418E-AFB5-C7396C2D4C92}"/>
    <cellStyle name="Notas 18 2 5 2" xfId="19549" xr:uid="{297911BF-FE5E-416C-8A66-D1C067C47D88}"/>
    <cellStyle name="Notas 18 2 6" xfId="19545" xr:uid="{E023C9BD-BEB8-4485-9FCF-434FBC4A71A1}"/>
    <cellStyle name="Notas 18 3" xfId="7612" xr:uid="{AC4309A1-B83D-46DF-87B5-1B5C7532554F}"/>
    <cellStyle name="Notas 18 3 2" xfId="19550" xr:uid="{BB623B7F-E227-4DF2-86F3-C0097E4422E8}"/>
    <cellStyle name="Notas 18 4" xfId="7613" xr:uid="{B1512FEB-0DD7-44AA-86DF-995A882FAA48}"/>
    <cellStyle name="Notas 18 4 2" xfId="19551" xr:uid="{9FEED3DB-C4B1-43BE-A98F-53A0F66B8308}"/>
    <cellStyle name="Notas 18 5" xfId="7614" xr:uid="{58310651-BDDF-481D-B574-B54B39939708}"/>
    <cellStyle name="Notas 18 5 2" xfId="19552" xr:uid="{9BF80C61-458D-4FFD-93E2-6789CE6A37A6}"/>
    <cellStyle name="Notas 18 6" xfId="7615" xr:uid="{595202D4-61CE-44A0-A138-6B31A2A2351E}"/>
    <cellStyle name="Notas 18 6 2" xfId="19553" xr:uid="{9C9F508B-F9E1-4CBE-B8FF-6064C202AA3C}"/>
    <cellStyle name="Notas 18 7" xfId="19544" xr:uid="{1E8F1532-320D-4443-A386-44C650F0D8F6}"/>
    <cellStyle name="Notas 19" xfId="7616" xr:uid="{475D187E-A6EF-4171-8182-769784701888}"/>
    <cellStyle name="Notas 19 2" xfId="7617" xr:uid="{44CEA63D-9D31-4949-B6E9-51EA63EB3445}"/>
    <cellStyle name="Notas 19 2 2" xfId="19555" xr:uid="{CD9D3FDD-BA2F-4BEF-AC58-668D1FF81FE1}"/>
    <cellStyle name="Notas 19 3" xfId="7618" xr:uid="{54A1AC54-C84C-47DB-91A1-B39F51FBDDE4}"/>
    <cellStyle name="Notas 19 3 2" xfId="19556" xr:uid="{9F241707-5DAC-4BDD-B43C-BCC6429BD3F3}"/>
    <cellStyle name="Notas 19 4" xfId="7619" xr:uid="{005D30EE-AEC0-48A2-971B-D7BFC16581A4}"/>
    <cellStyle name="Notas 19 4 2" xfId="19557" xr:uid="{77078688-06BA-4179-9EB1-7D5C47102424}"/>
    <cellStyle name="Notas 19 5" xfId="7620" xr:uid="{80E5297D-51FE-4C3A-B764-E1CB1C68FA3E}"/>
    <cellStyle name="Notas 19 5 2" xfId="19558" xr:uid="{5E5EDF34-D116-4132-AEC0-DD1D09FEC698}"/>
    <cellStyle name="Notas 19 6" xfId="19554" xr:uid="{D52B2AD5-C257-490E-BD8E-31E80FBA1BB1}"/>
    <cellStyle name="Notas 2" xfId="7621" xr:uid="{61886A9C-3393-4C39-9B51-2F4E46BF1E5D}"/>
    <cellStyle name="Notas 2 2" xfId="7622" xr:uid="{831BEA15-B1A9-4AC8-B583-B912C1C60638}"/>
    <cellStyle name="Notas 2 2 2" xfId="7623" xr:uid="{200A5EBC-1B9D-4959-AE37-4E652FD0B466}"/>
    <cellStyle name="Notas 2 2 2 2" xfId="19561" xr:uid="{79FA34C7-358B-42F6-946D-C2EC8964A618}"/>
    <cellStyle name="Notas 2 2 3" xfId="7624" xr:uid="{B9E03061-0DF2-4DD5-A55E-D71E98DEC126}"/>
    <cellStyle name="Notas 2 2 3 2" xfId="19562" xr:uid="{91A0F68B-7005-4506-8445-C8110D0466E9}"/>
    <cellStyle name="Notas 2 2 4" xfId="7625" xr:uid="{7B8E923B-D95A-483F-9AC0-815D2EA03EAF}"/>
    <cellStyle name="Notas 2 2 4 2" xfId="19563" xr:uid="{7810AA22-88EC-4C5C-AA3C-7A90AD223CB3}"/>
    <cellStyle name="Notas 2 2 5" xfId="7626" xr:uid="{4EFA1DBE-C05C-498E-810C-535D96AAFE3E}"/>
    <cellStyle name="Notas 2 2 5 2" xfId="19564" xr:uid="{1825BF8C-E4AD-4BD8-A3CF-4913D7812969}"/>
    <cellStyle name="Notas 2 2 6" xfId="19560" xr:uid="{5B76202E-FDBE-40F6-906E-61E7AADE5010}"/>
    <cellStyle name="Notas 2 3" xfId="7627" xr:uid="{A2D6C9A7-23B6-466C-974A-F2251B044EE7}"/>
    <cellStyle name="Notas 2 3 2" xfId="19565" xr:uid="{6FB762A5-F097-49AE-AF8B-DC68A107E00B}"/>
    <cellStyle name="Notas 2 4" xfId="7628" xr:uid="{FC2D9ED2-E365-45AF-AEBE-B034AE2C46DC}"/>
    <cellStyle name="Notas 2 4 2" xfId="19566" xr:uid="{EEB0D43A-3C06-47B6-BCB9-8B5F9AA60047}"/>
    <cellStyle name="Notas 2 5" xfId="7629" xr:uid="{6B59A78F-06CA-4EB7-902D-995B641C04CD}"/>
    <cellStyle name="Notas 2 5 2" xfId="19567" xr:uid="{BFA06664-F750-43F2-9E49-49F7F7F457C3}"/>
    <cellStyle name="Notas 2 6" xfId="7630" xr:uid="{2456ECF7-377B-4F6B-924F-D3F2AC5654D4}"/>
    <cellStyle name="Notas 2 6 2" xfId="19568" xr:uid="{FA790C35-9254-41F5-8924-D1AE0CEC5086}"/>
    <cellStyle name="Notas 2 7" xfId="19559" xr:uid="{1241A31A-B4C4-46DE-8CDD-8759B4B3F9B6}"/>
    <cellStyle name="Notas 20" xfId="7631" xr:uid="{FDC26173-47FE-4861-A431-8CD823FAB1A6}"/>
    <cellStyle name="Notas 20 2" xfId="19569" xr:uid="{D6B37516-8196-4398-9A72-9BE63D0A5F30}"/>
    <cellStyle name="Notas 21" xfId="7632" xr:uid="{9DCCEA3F-1A23-4572-BC70-D24DBAABC36F}"/>
    <cellStyle name="Notas 21 2" xfId="19570" xr:uid="{024E2DCA-90E4-4BBA-8DB9-B42E31BC4EEC}"/>
    <cellStyle name="Notas 22" xfId="7633" xr:uid="{C608546E-E63D-48A1-92C0-0ED8EB2F4532}"/>
    <cellStyle name="Notas 22 2" xfId="19571" xr:uid="{D8566D8E-F2AF-45E2-BB2C-EF6A6F5A3983}"/>
    <cellStyle name="Notas 23" xfId="7634" xr:uid="{5ED12576-05F6-416D-8A48-31142C74F7BC}"/>
    <cellStyle name="Notas 23 2" xfId="19572" xr:uid="{8ADF5FED-B09D-45C0-BFCB-DA8CB6FDA265}"/>
    <cellStyle name="Notas 24" xfId="15076" xr:uid="{A94A8013-1247-4C9A-BCA4-E02B1B1126B9}"/>
    <cellStyle name="Notas 3" xfId="7635" xr:uid="{C64589EF-CD58-404A-8E11-B784834E613C}"/>
    <cellStyle name="Notas 3 2" xfId="7636" xr:uid="{B602C7B6-6D84-49D3-BAC1-1B9BF93BC1EE}"/>
    <cellStyle name="Notas 3 2 2" xfId="7637" xr:uid="{6211D977-DBD3-4377-92E3-AA6D74B61D37}"/>
    <cellStyle name="Notas 3 2 2 2" xfId="19575" xr:uid="{1AD0BA66-CAA5-4752-8D18-CB68156E4639}"/>
    <cellStyle name="Notas 3 2 3" xfId="7638" xr:uid="{9062C3AE-00EC-4275-8492-8ACEABFA923D}"/>
    <cellStyle name="Notas 3 2 3 2" xfId="19576" xr:uid="{3C51ADF2-D4EB-4F6A-A948-1336271C10EA}"/>
    <cellStyle name="Notas 3 2 4" xfId="7639" xr:uid="{89FDDAAF-2E83-4099-932D-9979A9271328}"/>
    <cellStyle name="Notas 3 2 4 2" xfId="19577" xr:uid="{7FCCBF5B-851B-43B0-B2FD-70BD31D5C2CB}"/>
    <cellStyle name="Notas 3 2 5" xfId="7640" xr:uid="{79A56F12-F879-49B7-970C-6868E6963967}"/>
    <cellStyle name="Notas 3 2 5 2" xfId="19578" xr:uid="{F29CE7BA-2D5E-41BB-B192-C73BCA58DFC6}"/>
    <cellStyle name="Notas 3 2 6" xfId="19574" xr:uid="{68A97369-EB94-4CD9-84AF-82CAC2B3D39F}"/>
    <cellStyle name="Notas 3 3" xfId="7641" xr:uid="{579030AC-3CEF-49DD-ADDC-A85816D24E68}"/>
    <cellStyle name="Notas 3 3 2" xfId="19579" xr:uid="{2441CFA0-B98C-48C8-8481-C9F4BA1A90D0}"/>
    <cellStyle name="Notas 3 4" xfId="7642" xr:uid="{6CDF90DC-37B4-459D-915E-DFD4C34F4760}"/>
    <cellStyle name="Notas 3 4 2" xfId="19580" xr:uid="{38B05DC2-8F2E-4341-9BCD-5BA8A52F752A}"/>
    <cellStyle name="Notas 3 5" xfId="7643" xr:uid="{8CF8B6BE-9075-42B2-9B9E-82B1863DC6D5}"/>
    <cellStyle name="Notas 3 5 2" xfId="19581" xr:uid="{30C66BE0-6135-4350-9973-F33DD550DC62}"/>
    <cellStyle name="Notas 3 6" xfId="7644" xr:uid="{DC171DC8-853B-4FB8-B0D7-EBC68A09789F}"/>
    <cellStyle name="Notas 3 6 2" xfId="19582" xr:uid="{8516BA72-357D-4337-8A12-46FC60C92912}"/>
    <cellStyle name="Notas 3 7" xfId="19573" xr:uid="{9DC4E45B-C9CF-4377-B393-CF93F9AC4EE5}"/>
    <cellStyle name="Notas 4" xfId="7645" xr:uid="{5FDF9165-CB84-4C4C-AF42-40C9C6876ED0}"/>
    <cellStyle name="Notas 4 2" xfId="7646" xr:uid="{6885F01A-2E8C-4A17-AC12-0A306B7BAC91}"/>
    <cellStyle name="Notas 4 2 2" xfId="7647" xr:uid="{E3203707-4A61-4830-A7F5-25DB3F448208}"/>
    <cellStyle name="Notas 4 2 2 2" xfId="19585" xr:uid="{004B1B0E-FED4-4BF7-ABA6-8E7AFB5E8515}"/>
    <cellStyle name="Notas 4 2 3" xfId="7648" xr:uid="{75E6F191-5B4F-4224-B5EB-1E56B037F3AD}"/>
    <cellStyle name="Notas 4 2 3 2" xfId="19586" xr:uid="{F21360B4-F124-4AC9-B8CB-C806EDB5BCCE}"/>
    <cellStyle name="Notas 4 2 4" xfId="7649" xr:uid="{3F8A4FAD-4E67-42EB-8B01-D50BE511D9A6}"/>
    <cellStyle name="Notas 4 2 4 2" xfId="19587" xr:uid="{C0C2E50A-C3DD-47BB-9833-D7A68B02B59D}"/>
    <cellStyle name="Notas 4 2 5" xfId="7650" xr:uid="{AFFA4521-9D43-45E2-AC5C-32E6B90A6EC2}"/>
    <cellStyle name="Notas 4 2 5 2" xfId="19588" xr:uid="{1689F243-41CA-4C20-A991-65397F932707}"/>
    <cellStyle name="Notas 4 2 6" xfId="19584" xr:uid="{E5EF7158-3F69-4D95-836C-80A6505B7E57}"/>
    <cellStyle name="Notas 4 3" xfId="7651" xr:uid="{DBFE3382-4E9B-4671-B796-CC9150027B84}"/>
    <cellStyle name="Notas 4 3 2" xfId="19589" xr:uid="{92059131-1711-400F-B5F8-E094933E1C1C}"/>
    <cellStyle name="Notas 4 4" xfId="7652" xr:uid="{C8132644-D082-49C8-8790-C3FE11FC5BC1}"/>
    <cellStyle name="Notas 4 4 2" xfId="19590" xr:uid="{D30C0690-5B48-4BF0-9641-71CB07063931}"/>
    <cellStyle name="Notas 4 5" xfId="7653" xr:uid="{C1C5E14E-13BB-44D9-B297-1EFC825CCEA0}"/>
    <cellStyle name="Notas 4 5 2" xfId="19591" xr:uid="{1B08DB5B-16CB-414C-9A0C-5DB6D91F77D0}"/>
    <cellStyle name="Notas 4 6" xfId="7654" xr:uid="{A66C86A6-3869-44EB-81B8-9B94E03FCE12}"/>
    <cellStyle name="Notas 4 6 2" xfId="19592" xr:uid="{B4D1E77B-4AF6-4449-B5DA-1D8EC6614480}"/>
    <cellStyle name="Notas 4 7" xfId="19583" xr:uid="{5F071D38-BA04-41BA-A32F-4E57FC66D43F}"/>
    <cellStyle name="Notas 5" xfId="7655" xr:uid="{C566C5CF-26D0-4041-8D18-842A0C68F7D2}"/>
    <cellStyle name="Notas 5 2" xfId="7656" xr:uid="{5B3EA10D-1E30-4F34-8BD1-86AC3E70C0EE}"/>
    <cellStyle name="Notas 5 2 2" xfId="7657" xr:uid="{27030FBF-A918-4B5D-9F52-8E85030B67DA}"/>
    <cellStyle name="Notas 5 2 2 2" xfId="19595" xr:uid="{95D6DA06-73C3-4838-9131-4A35F07A4EDC}"/>
    <cellStyle name="Notas 5 2 3" xfId="7658" xr:uid="{7B3F2867-E169-4D11-92D5-D8281759D34B}"/>
    <cellStyle name="Notas 5 2 3 2" xfId="19596" xr:uid="{A8B3ECA3-B4EE-48A9-8480-EEE3CF56D93D}"/>
    <cellStyle name="Notas 5 2 4" xfId="7659" xr:uid="{1295623C-421F-42F2-A4EE-8C5255D15A15}"/>
    <cellStyle name="Notas 5 2 4 2" xfId="19597" xr:uid="{30A01FFB-5F29-489D-B066-3324B97D7DAC}"/>
    <cellStyle name="Notas 5 2 5" xfId="7660" xr:uid="{95EBF2B0-085E-4F01-9C82-94647F62DC1B}"/>
    <cellStyle name="Notas 5 2 5 2" xfId="19598" xr:uid="{03A9D5C7-A408-4E2C-9305-C54DFE8DA419}"/>
    <cellStyle name="Notas 5 2 6" xfId="19594" xr:uid="{6F25BBC9-1AB6-4400-9E71-CA2FF9EAFB4D}"/>
    <cellStyle name="Notas 5 3" xfId="7661" xr:uid="{22580801-4110-43BE-A4D9-72DB9DBEBF53}"/>
    <cellStyle name="Notas 5 3 2" xfId="19599" xr:uid="{D734CDC1-374C-457F-96B9-4502C54CD3E4}"/>
    <cellStyle name="Notas 5 4" xfId="7662" xr:uid="{996B710C-1545-4791-8C87-F2DBCCA6F6F4}"/>
    <cellStyle name="Notas 5 4 2" xfId="19600" xr:uid="{61D73D9B-3BF6-4DDD-B765-05B90B5475F0}"/>
    <cellStyle name="Notas 5 5" xfId="7663" xr:uid="{0B51F9B8-262D-4CCE-A9BA-749E7E6DB3CB}"/>
    <cellStyle name="Notas 5 5 2" xfId="19601" xr:uid="{6C7B88D7-B204-4DF6-A53B-5C83F96FBCE6}"/>
    <cellStyle name="Notas 5 6" xfId="7664" xr:uid="{E2F63065-1C95-48D9-8930-E2CC329C287A}"/>
    <cellStyle name="Notas 5 6 2" xfId="19602" xr:uid="{6DA15E9B-76A6-4D7E-AC33-CC4059A93236}"/>
    <cellStyle name="Notas 5 7" xfId="19593" xr:uid="{9330EEBB-B676-42F8-BBB7-D19B14742036}"/>
    <cellStyle name="Notas 6" xfId="7665" xr:uid="{5A81A93A-225E-4C55-9AF7-4BC5F7AA937B}"/>
    <cellStyle name="Notas 6 2" xfId="7666" xr:uid="{1EF34D51-3545-4DAC-98FB-F7FB13E46373}"/>
    <cellStyle name="Notas 6 2 2" xfId="7667" xr:uid="{8309B508-50F1-4DEF-9766-CF6A288ACC96}"/>
    <cellStyle name="Notas 6 2 2 2" xfId="19605" xr:uid="{D036EBB7-8F61-48AC-AC65-EA02B6567DC3}"/>
    <cellStyle name="Notas 6 2 3" xfId="7668" xr:uid="{C06C0A80-8154-4F4A-9ACD-A63BC33DA471}"/>
    <cellStyle name="Notas 6 2 3 2" xfId="19606" xr:uid="{2A01F66F-F6D2-4505-9F2C-5CC3CEBAB212}"/>
    <cellStyle name="Notas 6 2 4" xfId="7669" xr:uid="{2A1D8715-BF0A-4036-8009-2848B285908C}"/>
    <cellStyle name="Notas 6 2 4 2" xfId="19607" xr:uid="{888516AB-C5EB-4DD9-A4EA-06EB88E844CC}"/>
    <cellStyle name="Notas 6 2 5" xfId="7670" xr:uid="{FDBB048B-EEBF-498B-AE6F-5A1A55ECE035}"/>
    <cellStyle name="Notas 6 2 5 2" xfId="19608" xr:uid="{7A950BAF-4A6E-47FE-B5F8-B81E371CC2D6}"/>
    <cellStyle name="Notas 6 2 6" xfId="19604" xr:uid="{DCBBE8F4-6E95-4420-B371-904B82A5F4A5}"/>
    <cellStyle name="Notas 6 3" xfId="7671" xr:uid="{A84D30D4-A75D-4936-9512-D5628EB1E916}"/>
    <cellStyle name="Notas 6 3 2" xfId="19609" xr:uid="{F8FD49E2-89AA-4982-93FF-D6B3A7BD6174}"/>
    <cellStyle name="Notas 6 4" xfId="7672" xr:uid="{A4B67C19-8A21-4086-8CBF-7B7404051421}"/>
    <cellStyle name="Notas 6 4 2" xfId="19610" xr:uid="{93F6D201-6988-4D28-97FE-D34565F658AA}"/>
    <cellStyle name="Notas 6 5" xfId="7673" xr:uid="{1A1A53BE-BEEF-4726-8408-A4F93A28269F}"/>
    <cellStyle name="Notas 6 5 2" xfId="19611" xr:uid="{05EE6818-64F4-43C5-A107-0C4F93EA332C}"/>
    <cellStyle name="Notas 6 6" xfId="7674" xr:uid="{C78FBC82-1A35-44D6-85FF-C6CF895EB2AE}"/>
    <cellStyle name="Notas 6 6 2" xfId="19612" xr:uid="{A7589D58-1AE5-4554-88CF-507050EA6010}"/>
    <cellStyle name="Notas 6 7" xfId="19603" xr:uid="{75479BE1-1013-4CFD-998D-12328F90B545}"/>
    <cellStyle name="Notas 7" xfId="7675" xr:uid="{2A48FA82-BBC5-4229-88DB-C90CDC5D4F63}"/>
    <cellStyle name="Notas 7 2" xfId="7676" xr:uid="{337A1265-9158-43E2-BB47-C9E47F89D48B}"/>
    <cellStyle name="Notas 7 2 2" xfId="7677" xr:uid="{EFBC2CAE-930C-463E-99E1-C2653E65686F}"/>
    <cellStyle name="Notas 7 2 2 2" xfId="19615" xr:uid="{BADA7A5A-3317-4B38-9E7D-A64555731109}"/>
    <cellStyle name="Notas 7 2 3" xfId="7678" xr:uid="{2D73B6FD-1DB1-4A62-A500-43544B4B3EA6}"/>
    <cellStyle name="Notas 7 2 3 2" xfId="19616" xr:uid="{A2C2250E-9C17-4B63-BBE4-EEB315BB9BA2}"/>
    <cellStyle name="Notas 7 2 4" xfId="7679" xr:uid="{2D6EF900-5DAA-41E6-AAAE-F3C235B07E99}"/>
    <cellStyle name="Notas 7 2 4 2" xfId="19617" xr:uid="{9249C0EE-9EE3-41AE-8E44-0DF17AB6CDE8}"/>
    <cellStyle name="Notas 7 2 5" xfId="7680" xr:uid="{66BE6B01-4F6F-4D68-A760-28D84BFA27EF}"/>
    <cellStyle name="Notas 7 2 5 2" xfId="19618" xr:uid="{68D8D6A6-A8E3-42D9-A106-D9418E654336}"/>
    <cellStyle name="Notas 7 2 6" xfId="19614" xr:uid="{67103FA9-CC9C-4F89-9772-A78DED818B71}"/>
    <cellStyle name="Notas 7 3" xfId="7681" xr:uid="{3E99849B-71D3-4134-BF4F-07F46EB80CDC}"/>
    <cellStyle name="Notas 7 3 2" xfId="19619" xr:uid="{7EAB02CA-B7ED-4A35-8921-18E53A861567}"/>
    <cellStyle name="Notas 7 4" xfId="7682" xr:uid="{C7005F7B-1C99-4959-96DF-A53FB84A1F3A}"/>
    <cellStyle name="Notas 7 4 2" xfId="19620" xr:uid="{32FE4B82-3E21-4753-91EF-98E6623E79C7}"/>
    <cellStyle name="Notas 7 5" xfId="7683" xr:uid="{556556A6-3C6F-4CAD-9ADB-46C6976FEA84}"/>
    <cellStyle name="Notas 7 5 2" xfId="19621" xr:uid="{341730A0-8410-4307-A2F4-1624AC9428F5}"/>
    <cellStyle name="Notas 7 6" xfId="7684" xr:uid="{AAF6931A-E72F-4FC9-ABF5-79A887F71692}"/>
    <cellStyle name="Notas 7 6 2" xfId="19622" xr:uid="{EE60A0A0-D8CB-4FA5-9D32-D184291FF05A}"/>
    <cellStyle name="Notas 7 7" xfId="19613" xr:uid="{05542EF0-8E9F-4E32-9C21-C7A80EB80D5D}"/>
    <cellStyle name="Notas 8" xfId="7685" xr:uid="{2C4BAC97-DE08-44AA-8870-D62D59FD4E1A}"/>
    <cellStyle name="Notas 8 2" xfId="7686" xr:uid="{A4B46F88-135D-44DC-BA00-0D5A76A965AA}"/>
    <cellStyle name="Notas 8 2 2" xfId="7687" xr:uid="{50E14092-2829-45B8-B4C5-FFD5ACB604CE}"/>
    <cellStyle name="Notas 8 2 2 2" xfId="19625" xr:uid="{8E330684-7780-49C1-84A9-DC22BB3A1241}"/>
    <cellStyle name="Notas 8 2 3" xfId="7688" xr:uid="{EC0EE4FE-E15A-4C8C-A414-9222D4689A99}"/>
    <cellStyle name="Notas 8 2 3 2" xfId="19626" xr:uid="{DA63F50E-E8B6-4C5D-A335-6DAE3765391A}"/>
    <cellStyle name="Notas 8 2 4" xfId="7689" xr:uid="{DE45668C-6421-43AE-8DDC-0DC54E53AC67}"/>
    <cellStyle name="Notas 8 2 4 2" xfId="19627" xr:uid="{6B468F69-8351-4120-B4F1-A20AD081B7B5}"/>
    <cellStyle name="Notas 8 2 5" xfId="7690" xr:uid="{AF10C98F-E6E3-4E05-811F-E4017D1ED77B}"/>
    <cellStyle name="Notas 8 2 5 2" xfId="19628" xr:uid="{3EAE9AE1-BFD9-4B31-851F-30B1CDE61802}"/>
    <cellStyle name="Notas 8 2 6" xfId="19624" xr:uid="{D8114B11-DE29-48E5-BA40-635580EA18B4}"/>
    <cellStyle name="Notas 8 3" xfId="7691" xr:uid="{90EE2E81-52F5-44B6-B9D0-E4BE8E4D2DC6}"/>
    <cellStyle name="Notas 8 3 2" xfId="19629" xr:uid="{12F44044-F4AB-4532-A505-CD0623209467}"/>
    <cellStyle name="Notas 8 4" xfId="7692" xr:uid="{CDC2963D-D6CD-45F4-8159-995F2EC53531}"/>
    <cellStyle name="Notas 8 4 2" xfId="19630" xr:uid="{42C2D9EC-70D8-412E-892B-C212D393DFCA}"/>
    <cellStyle name="Notas 8 5" xfId="7693" xr:uid="{36E69B34-44E0-4D1E-B9ED-F92B07E16786}"/>
    <cellStyle name="Notas 8 5 2" xfId="19631" xr:uid="{2481A2BE-4A42-4CA5-A475-B471F6DE161E}"/>
    <cellStyle name="Notas 8 6" xfId="7694" xr:uid="{33C1CBDC-897B-4342-810F-148D50C9F880}"/>
    <cellStyle name="Notas 8 6 2" xfId="19632" xr:uid="{6833CDB6-60CE-4849-A6BB-B1CEA4604746}"/>
    <cellStyle name="Notas 8 7" xfId="19623" xr:uid="{3B2644EA-60D4-49F7-8C96-E2A97934835A}"/>
    <cellStyle name="Notas 9" xfId="7695" xr:uid="{A095922E-F2E2-4E9C-8249-DFDF5634041B}"/>
    <cellStyle name="Notas 9 2" xfId="7696" xr:uid="{FD53E177-A02A-41C0-B82C-5D897EF1AB2D}"/>
    <cellStyle name="Notas 9 2 2" xfId="7697" xr:uid="{C918FFE9-74FF-4FB3-8444-2B30EF32BB5B}"/>
    <cellStyle name="Notas 9 2 2 2" xfId="19635" xr:uid="{F09E44C7-3A53-4E0B-B3E9-92E6F2A78AC3}"/>
    <cellStyle name="Notas 9 2 3" xfId="7698" xr:uid="{889CB67B-17BD-494B-A9CC-CB31DDF970C5}"/>
    <cellStyle name="Notas 9 2 3 2" xfId="19636" xr:uid="{087A16DC-6315-4E25-973D-55432E7D3393}"/>
    <cellStyle name="Notas 9 2 4" xfId="7699" xr:uid="{E27F6881-D777-4C4B-899D-9DB998E20DD1}"/>
    <cellStyle name="Notas 9 2 4 2" xfId="19637" xr:uid="{580080C7-F9FC-488C-A89C-56DF6E180560}"/>
    <cellStyle name="Notas 9 2 5" xfId="7700" xr:uid="{6FD2BBAA-543F-4024-9791-032E4379D86F}"/>
    <cellStyle name="Notas 9 2 5 2" xfId="19638" xr:uid="{91BCBFEA-54FE-43E4-9CD1-4ABE8F263DCC}"/>
    <cellStyle name="Notas 9 2 6" xfId="19634" xr:uid="{F40072E8-215D-489B-B2D4-F12609F7F1AF}"/>
    <cellStyle name="Notas 9 3" xfId="7701" xr:uid="{266B8497-FEF9-4FF0-A638-CD1FFACCDD2E}"/>
    <cellStyle name="Notas 9 3 2" xfId="19639" xr:uid="{A0C4DBEB-8A58-4E86-BB85-F3A65FFAB0DF}"/>
    <cellStyle name="Notas 9 4" xfId="7702" xr:uid="{8A06E68F-FA35-4C86-BA02-7B5AF8874A79}"/>
    <cellStyle name="Notas 9 4 2" xfId="19640" xr:uid="{FE484F4E-D134-4D42-A876-26152AEA4FFF}"/>
    <cellStyle name="Notas 9 5" xfId="7703" xr:uid="{E7FF34F9-B4F3-48CA-89F1-B74B634AA53A}"/>
    <cellStyle name="Notas 9 5 2" xfId="19641" xr:uid="{37B6FF1A-5406-4451-B92E-0DBF7EEAE02A}"/>
    <cellStyle name="Notas 9 6" xfId="7704" xr:uid="{69FD57C1-4585-4EA2-BD45-75A7BEF643AE}"/>
    <cellStyle name="Notas 9 6 2" xfId="19642" xr:uid="{6E8180B6-9231-4E1C-B516-A48DE1DEA3C0}"/>
    <cellStyle name="Notas 9 7" xfId="19633" xr:uid="{23D07ED2-6049-4B37-A6DA-004E27FF2C47}"/>
    <cellStyle name="Notas_KTR An-Abflug" xfId="14882" xr:uid="{6B71F25F-4BB1-476B-AA4A-F5A7C4AAD2DC}"/>
    <cellStyle name="Note 10" xfId="7706" xr:uid="{EEECB44F-1F69-4613-ABEA-7EDE5F9BEDB7}"/>
    <cellStyle name="Note 10 2" xfId="7707" xr:uid="{FF40FB1F-BEC0-40B9-A1A9-AAB21E9207A0}"/>
    <cellStyle name="Note 10 2 2" xfId="7708" xr:uid="{559393C5-95F8-4C41-8908-FC2D343F0EEF}"/>
    <cellStyle name="Note 10 2 2 2" xfId="19646" xr:uid="{580E1143-85F8-4E44-B2AA-02E3BBCB122D}"/>
    <cellStyle name="Note 10 2 3" xfId="7709" xr:uid="{97C33BB9-88FC-43F8-906F-D23BFB68D6DA}"/>
    <cellStyle name="Note 10 2 3 2" xfId="19647" xr:uid="{4033857E-CD12-4089-A572-CF67A228F814}"/>
    <cellStyle name="Note 10 2 4" xfId="7710" xr:uid="{2D0CF90D-EDC2-4BD9-B166-1B5EBEA421D1}"/>
    <cellStyle name="Note 10 2 4 2" xfId="19648" xr:uid="{EFF586DC-F325-410D-B29B-3DD8A913CE87}"/>
    <cellStyle name="Note 10 2 5" xfId="7711" xr:uid="{3F3FB5AC-90B2-4E50-8530-3C542B121892}"/>
    <cellStyle name="Note 10 2 5 2" xfId="19649" xr:uid="{A240BB6A-E715-4ADE-9C64-6D5BE6A18934}"/>
    <cellStyle name="Note 10 2 6" xfId="19645" xr:uid="{7E9D754A-8323-4137-A96E-87583FA8A9AC}"/>
    <cellStyle name="Note 10 3" xfId="7712" xr:uid="{7867B097-E437-43B0-8442-E42C163C5E6F}"/>
    <cellStyle name="Note 10 3 2" xfId="19650" xr:uid="{FAEED994-28B8-4130-BE69-6E2CB297BE2F}"/>
    <cellStyle name="Note 10 4" xfId="7713" xr:uid="{5B650A18-0456-42B7-9052-0EEBB10E7E99}"/>
    <cellStyle name="Note 10 4 2" xfId="19651" xr:uid="{6CF9B134-4B5F-47D9-BF23-9D3DD1CDC292}"/>
    <cellStyle name="Note 10 5" xfId="7714" xr:uid="{CD9978F9-54C7-4FE3-94A9-F48F10DB6705}"/>
    <cellStyle name="Note 10 5 2" xfId="19652" xr:uid="{F8A53942-6A23-4A2E-8DBA-445ED0CAE239}"/>
    <cellStyle name="Note 10 6" xfId="7715" xr:uid="{53EE4C4B-BE4A-4B0E-A133-6484D494EAD0}"/>
    <cellStyle name="Note 10 6 2" xfId="19653" xr:uid="{53A39F3C-34C7-433B-BBCB-E2DFDB8F4158}"/>
    <cellStyle name="Note 10 7" xfId="19644" xr:uid="{B3F0B699-07CA-464C-9C2A-B95695478533}"/>
    <cellStyle name="Note 11" xfId="7716" xr:uid="{AFC9D420-AE67-4316-9BF0-9484B093888E}"/>
    <cellStyle name="Note 11 2" xfId="7717" xr:uid="{D3FF542D-BA41-4840-9CC9-47F2994B0FC1}"/>
    <cellStyle name="Note 11 2 2" xfId="7718" xr:uid="{1D0BDB63-1692-44AE-9F73-F82BD18B0C50}"/>
    <cellStyle name="Note 11 2 2 2" xfId="19656" xr:uid="{F83A8194-2AF6-4640-ADBB-6D419310ED7D}"/>
    <cellStyle name="Note 11 2 3" xfId="7719" xr:uid="{4DD83E0D-063A-49DC-B4D5-5119080D5164}"/>
    <cellStyle name="Note 11 2 3 2" xfId="19657" xr:uid="{105BA61A-83F1-4E69-8A2B-A4134E43CDDB}"/>
    <cellStyle name="Note 11 2 4" xfId="7720" xr:uid="{5D3E1CCA-8B53-419E-ACFB-E05963832F19}"/>
    <cellStyle name="Note 11 2 4 2" xfId="19658" xr:uid="{2A1F05F0-57AE-41A6-9AE4-0D6C4F0E67E1}"/>
    <cellStyle name="Note 11 2 5" xfId="7721" xr:uid="{129F1B0B-D49B-49C4-A171-0FC43D65C4E3}"/>
    <cellStyle name="Note 11 2 5 2" xfId="19659" xr:uid="{FEC23BAA-DA2C-4C80-A018-EA2C5C788A9A}"/>
    <cellStyle name="Note 11 2 6" xfId="19655" xr:uid="{B921ECAE-8C90-4878-ACFC-A655C05FE75F}"/>
    <cellStyle name="Note 11 3" xfId="7722" xr:uid="{48A10459-0ED3-46C4-AF96-1B3D5110F448}"/>
    <cellStyle name="Note 11 3 2" xfId="19660" xr:uid="{4EB48025-C0FD-4ED7-B0B9-EC617E8EB4CD}"/>
    <cellStyle name="Note 11 4" xfId="7723" xr:uid="{D309751E-C07F-41A3-8939-2E6F1CB014C4}"/>
    <cellStyle name="Note 11 4 2" xfId="19661" xr:uid="{59299161-F347-4873-A588-620CD399204A}"/>
    <cellStyle name="Note 11 5" xfId="7724" xr:uid="{6EF5545C-EB6B-42C2-8F23-70846898A99C}"/>
    <cellStyle name="Note 11 5 2" xfId="19662" xr:uid="{CBC901CF-7408-41D6-8DEF-1D02855A4B30}"/>
    <cellStyle name="Note 11 6" xfId="7725" xr:uid="{4D726B27-2879-43BA-9CEE-BBDD051B0761}"/>
    <cellStyle name="Note 11 6 2" xfId="19663" xr:uid="{EE129D5A-4D13-4752-8DF3-C9DE727AED7B}"/>
    <cellStyle name="Note 11 7" xfId="19654" xr:uid="{4DCA2660-3E1C-4A37-8239-0CB292EB80E6}"/>
    <cellStyle name="Note 12" xfId="7726" xr:uid="{6CC97F30-1C2D-4046-BB89-339C758AA2DB}"/>
    <cellStyle name="Note 12 2" xfId="7727" xr:uid="{BAFE11D6-E36A-4876-BCF8-7BCB8AB74B9A}"/>
    <cellStyle name="Note 12 2 2" xfId="7728" xr:uid="{DD9B4B8B-3BF7-4871-937D-967EB98ECA0E}"/>
    <cellStyle name="Note 12 2 2 2" xfId="19666" xr:uid="{8D8CDFE0-E957-4F8B-AB63-5C938495B2F2}"/>
    <cellStyle name="Note 12 2 3" xfId="7729" xr:uid="{A0275417-0FD9-4ACB-BC6F-137F7DE50705}"/>
    <cellStyle name="Note 12 2 3 2" xfId="19667" xr:uid="{73FA7640-8B62-4683-BBFA-A5AAAD3DDEF1}"/>
    <cellStyle name="Note 12 2 4" xfId="7730" xr:uid="{2432EEC4-CBCB-4CE9-A624-C376B1463E96}"/>
    <cellStyle name="Note 12 2 4 2" xfId="19668" xr:uid="{C8E1707E-66C8-4BF8-B538-54F27F75A8EA}"/>
    <cellStyle name="Note 12 2 5" xfId="7731" xr:uid="{32E56490-0EA2-4550-90C6-A266B16FE7B0}"/>
    <cellStyle name="Note 12 2 5 2" xfId="19669" xr:uid="{5F60B53F-7F3A-423E-A6D7-E11994CF5C96}"/>
    <cellStyle name="Note 12 2 6" xfId="19665" xr:uid="{FE161669-17DE-4405-8ECA-107227B96159}"/>
    <cellStyle name="Note 12 3" xfId="7732" xr:uid="{A4A5B65C-D441-4869-A6C5-7559FD030EC1}"/>
    <cellStyle name="Note 12 3 2" xfId="19670" xr:uid="{5C4F6580-FA12-4BD4-9D96-721F2D7F43C7}"/>
    <cellStyle name="Note 12 4" xfId="7733" xr:uid="{F5D0CEE3-ECBE-4761-9562-C2F45CFE03F8}"/>
    <cellStyle name="Note 12 4 2" xfId="19671" xr:uid="{A5A4553A-F697-4DF6-8BE8-52F6568BD1ED}"/>
    <cellStyle name="Note 12 5" xfId="7734" xr:uid="{914307C7-7A34-4AF2-8919-2D6FFBAB00F3}"/>
    <cellStyle name="Note 12 5 2" xfId="19672" xr:uid="{A5E4BD6E-3541-4CBB-9F0F-5BF85FA95797}"/>
    <cellStyle name="Note 12 6" xfId="7735" xr:uid="{A1791C5E-8734-4487-B379-490E3DD13C1B}"/>
    <cellStyle name="Note 12 6 2" xfId="19673" xr:uid="{5EABEB9F-981A-4CAD-BC54-D80669062006}"/>
    <cellStyle name="Note 12 7" xfId="19664" xr:uid="{D6A26B38-3699-4B6B-9AA1-5EDC70EF872B}"/>
    <cellStyle name="Note 13" xfId="7736" xr:uid="{781D272C-3A65-4614-ABA0-6E7A7B29A429}"/>
    <cellStyle name="Note 13 2" xfId="7737" xr:uid="{EFB6C248-DDD0-446F-B5BA-FEF032A9EB32}"/>
    <cellStyle name="Note 13 2 2" xfId="7738" xr:uid="{ED2D3BCA-8ECE-4517-899B-0659392E0174}"/>
    <cellStyle name="Note 13 2 2 2" xfId="19676" xr:uid="{253E6DA9-6F9D-4E30-A3A8-3442CC083172}"/>
    <cellStyle name="Note 13 2 3" xfId="7739" xr:uid="{0297AB01-ADA9-4F04-B835-97A365E13A77}"/>
    <cellStyle name="Note 13 2 3 2" xfId="19677" xr:uid="{3228564D-5CFB-47E4-B202-35AC70FE483C}"/>
    <cellStyle name="Note 13 2 4" xfId="7740" xr:uid="{522B8FF4-8FCF-4136-83FA-177075360133}"/>
    <cellStyle name="Note 13 2 4 2" xfId="19678" xr:uid="{6F132A27-9315-4059-94B5-AAAEE0C287C9}"/>
    <cellStyle name="Note 13 2 5" xfId="7741" xr:uid="{66C81D5C-9B96-4DA9-8A83-AE07CD02E50C}"/>
    <cellStyle name="Note 13 2 5 2" xfId="19679" xr:uid="{DA2484C4-69DE-48E5-B013-72A77E692D23}"/>
    <cellStyle name="Note 13 2 6" xfId="19675" xr:uid="{497F0CD6-4458-4C03-897E-AE629BEE9199}"/>
    <cellStyle name="Note 13 3" xfId="7742" xr:uid="{23853231-4195-45FE-92E8-6EBC6E52965E}"/>
    <cellStyle name="Note 13 3 2" xfId="19680" xr:uid="{FABC2263-78EE-4E23-BAC3-50FB64D34A4E}"/>
    <cellStyle name="Note 13 4" xfId="7743" xr:uid="{F5E2D8EF-1F48-46B6-99EE-20D336AB849E}"/>
    <cellStyle name="Note 13 4 2" xfId="19681" xr:uid="{4C95DB11-0869-48A2-92D0-82E4268858AB}"/>
    <cellStyle name="Note 13 5" xfId="7744" xr:uid="{64601BF0-A38C-4A81-8029-EC915C1EA99C}"/>
    <cellStyle name="Note 13 5 2" xfId="19682" xr:uid="{082169C5-62B9-4B83-B34F-785D7E60F88F}"/>
    <cellStyle name="Note 13 6" xfId="7745" xr:uid="{40697AA0-22F6-4E47-BFB5-757F9200F362}"/>
    <cellStyle name="Note 13 6 2" xfId="19683" xr:uid="{5A1878E1-53F7-454A-94CA-779012E81B41}"/>
    <cellStyle name="Note 13 7" xfId="19674" xr:uid="{ECF073E2-AF19-4BF7-A906-030F9C075F60}"/>
    <cellStyle name="Note 14" xfId="7746" xr:uid="{2B649E18-095D-4286-BA16-E309DA5849AE}"/>
    <cellStyle name="Note 14 2" xfId="7747" xr:uid="{618FA5D8-12F3-4382-A8EC-D6C59FBFAC9A}"/>
    <cellStyle name="Note 14 2 2" xfId="7748" xr:uid="{5F3A7E2D-A29B-4426-ABD3-FC83186E20AD}"/>
    <cellStyle name="Note 14 2 2 2" xfId="19686" xr:uid="{B8DEACC0-F737-4284-914A-83A9662B0369}"/>
    <cellStyle name="Note 14 2 3" xfId="7749" xr:uid="{A8F64572-CF0F-4B92-871D-F5BEF27458A3}"/>
    <cellStyle name="Note 14 2 3 2" xfId="19687" xr:uid="{97182797-69DD-4D77-8001-D166CC4F5D99}"/>
    <cellStyle name="Note 14 2 4" xfId="7750" xr:uid="{86E88189-70CE-46E2-8F07-B30804D866DC}"/>
    <cellStyle name="Note 14 2 4 2" xfId="19688" xr:uid="{34751EA0-84F7-43DA-9D30-ACCE3918ED3B}"/>
    <cellStyle name="Note 14 2 5" xfId="7751" xr:uid="{51AC6FFE-9426-4EB6-9538-753A098B552E}"/>
    <cellStyle name="Note 14 2 5 2" xfId="19689" xr:uid="{FBB7D3C8-BCF0-4519-8A5D-9600BACCB4FA}"/>
    <cellStyle name="Note 14 2 6" xfId="19685" xr:uid="{CB34B7CC-7CBB-483C-9778-066585435524}"/>
    <cellStyle name="Note 14 3" xfId="7752" xr:uid="{80858EA5-9377-48AC-9105-8D4AE2BE1AEF}"/>
    <cellStyle name="Note 14 3 2" xfId="19690" xr:uid="{8650B73E-0CA8-4FF4-81A7-FB568A772AE5}"/>
    <cellStyle name="Note 14 4" xfId="7753" xr:uid="{F789B156-65EC-4C21-81DC-CBAE7535BE19}"/>
    <cellStyle name="Note 14 4 2" xfId="19691" xr:uid="{275356C3-E29E-495C-A601-C2591A6EEA29}"/>
    <cellStyle name="Note 14 5" xfId="7754" xr:uid="{A5EB6C04-9F28-4965-A2DA-CBFB40364594}"/>
    <cellStyle name="Note 14 5 2" xfId="19692" xr:uid="{A9F0EDD0-69E7-4BC5-B4EC-86E710E999DA}"/>
    <cellStyle name="Note 14 6" xfId="7755" xr:uid="{617BBEF4-A5E1-4655-84BD-A87A24A86FE4}"/>
    <cellStyle name="Note 14 6 2" xfId="19693" xr:uid="{3A738A74-531F-45C8-AA42-7AB735946DAD}"/>
    <cellStyle name="Note 14 7" xfId="19684" xr:uid="{2EF51036-BFDE-46AC-9044-4487B591F965}"/>
    <cellStyle name="Note 15" xfId="7756" xr:uid="{BEC59054-57E6-452B-AAAF-3001BC258C9C}"/>
    <cellStyle name="Note 15 2" xfId="7757" xr:uid="{F6764195-B6AB-4B97-B9B5-EE7EDFD0E425}"/>
    <cellStyle name="Note 15 2 2" xfId="7758" xr:uid="{423DC7F5-60D6-4799-B958-043A8FEEACDC}"/>
    <cellStyle name="Note 15 2 2 2" xfId="19696" xr:uid="{EBD88DE0-FC42-4C41-8BBD-FA9B8125795A}"/>
    <cellStyle name="Note 15 2 3" xfId="7759" xr:uid="{B3487806-68D1-4FE2-BE06-A08632433FC5}"/>
    <cellStyle name="Note 15 2 3 2" xfId="19697" xr:uid="{17F82755-9A47-4C01-AA36-A22B53BD216D}"/>
    <cellStyle name="Note 15 2 4" xfId="7760" xr:uid="{07564AD5-2AF1-4BCE-91C2-E516D9058402}"/>
    <cellStyle name="Note 15 2 4 2" xfId="19698" xr:uid="{B966D393-0F1B-4855-AC57-E80C28270537}"/>
    <cellStyle name="Note 15 2 5" xfId="7761" xr:uid="{584DE171-D3D7-4EC4-8904-F68CA89FC649}"/>
    <cellStyle name="Note 15 2 5 2" xfId="19699" xr:uid="{B3B2F82D-88FC-4286-9D47-2DD636E4EB05}"/>
    <cellStyle name="Note 15 2 6" xfId="19695" xr:uid="{1C39E95E-868B-42BE-968D-39D3B3C252D1}"/>
    <cellStyle name="Note 15 3" xfId="7762" xr:uid="{59A9ED5F-AC35-4EDA-90AD-DFFEB97D4155}"/>
    <cellStyle name="Note 15 3 2" xfId="19700" xr:uid="{EC845E6D-6C5A-4FF9-A4EA-36376C954C34}"/>
    <cellStyle name="Note 15 4" xfId="7763" xr:uid="{A605ED85-E1DE-4023-A320-EAF0A64F4C11}"/>
    <cellStyle name="Note 15 4 2" xfId="19701" xr:uid="{2EE1ECB7-64D1-46CB-8956-C3CF6624DFA1}"/>
    <cellStyle name="Note 15 5" xfId="7764" xr:uid="{D7B2E9C7-0D42-459F-BFC7-1EB89542315C}"/>
    <cellStyle name="Note 15 5 2" xfId="19702" xr:uid="{08D6CF65-ED67-4DD4-88F7-69D9D8031103}"/>
    <cellStyle name="Note 15 6" xfId="7765" xr:uid="{CA0CD8F9-F68C-4397-9912-13C192D41A68}"/>
    <cellStyle name="Note 15 6 2" xfId="19703" xr:uid="{05E4D877-2E0D-4DFD-926F-A300C2159A26}"/>
    <cellStyle name="Note 15 7" xfId="19694" xr:uid="{CDBB0526-E3A6-4941-94AD-0A4A801D7467}"/>
    <cellStyle name="Note 16" xfId="7766" xr:uid="{84EB71AA-DB40-4B49-9CEC-9A67EBC72D50}"/>
    <cellStyle name="Note 16 2" xfId="7767" xr:uid="{6F0C19E9-FD95-42AB-B70D-BC82B2F17216}"/>
    <cellStyle name="Note 16 2 2" xfId="19705" xr:uid="{48E40B29-5E39-47A3-A2B6-E34612EDA39F}"/>
    <cellStyle name="Note 16 3" xfId="7768" xr:uid="{AB4C9BC1-83C5-4755-9A13-32BCA4D20CD9}"/>
    <cellStyle name="Note 16 3 2" xfId="19706" xr:uid="{AF279697-A4C0-4B44-8052-3CE7E11EC5F0}"/>
    <cellStyle name="Note 16 4" xfId="7769" xr:uid="{D09E72A3-C1F4-44A5-A171-A4AABFD7A176}"/>
    <cellStyle name="Note 16 4 2" xfId="19707" xr:uid="{737B4E5E-F07C-4C06-B268-06487800455D}"/>
    <cellStyle name="Note 16 5" xfId="7770" xr:uid="{039F3A5D-B633-4AD6-8D3D-DDEFE540028A}"/>
    <cellStyle name="Note 16 5 2" xfId="19708" xr:uid="{969731A5-9951-481F-B1A6-0F53BF9B068A}"/>
    <cellStyle name="Note 16 6" xfId="19704" xr:uid="{EDA37D5B-83DE-47CA-96CD-E594171BE925}"/>
    <cellStyle name="Note 17" xfId="7771" xr:uid="{0D5C5978-1271-4A8B-9A8D-925A48FFB4BC}"/>
    <cellStyle name="Note 17 2" xfId="19709" xr:uid="{07F32CA2-87AE-4B5D-9C2A-FC6FBEEC7979}"/>
    <cellStyle name="Note 18" xfId="7772" xr:uid="{962798E2-202E-4EDF-811E-3E1D179E5228}"/>
    <cellStyle name="Note 18 2" xfId="19710" xr:uid="{12B9A9C4-C6F5-4B78-8294-E13456AA919A}"/>
    <cellStyle name="Note 19" xfId="7773" xr:uid="{4B63B335-59FB-4CCD-8D4A-F4EECA7893BC}"/>
    <cellStyle name="Note 19 2" xfId="19711" xr:uid="{B7C8E11B-EE2F-496B-B921-AF731D47D609}"/>
    <cellStyle name="Note 2" xfId="7774" xr:uid="{A44B7630-2195-4FD0-B1D0-1F5A453873A7}"/>
    <cellStyle name="Note 2 10" xfId="19712" xr:uid="{437C4A15-43AF-47EA-9BC8-A1FFACC18497}"/>
    <cellStyle name="Note 2 2" xfId="7775" xr:uid="{9B461E80-ECF2-4E06-B19A-7F876853F71C}"/>
    <cellStyle name="Note 2 2 2" xfId="7776" xr:uid="{2EC4C194-4D37-45E8-8765-2184C9CE7CF1}"/>
    <cellStyle name="Note 2 2 2 2" xfId="7777" xr:uid="{93D91FC8-34A5-4D3E-8098-2869466A7F51}"/>
    <cellStyle name="Note 2 2 2 2 2" xfId="19715" xr:uid="{3144913B-8AA8-4666-A325-FB8F089D5419}"/>
    <cellStyle name="Note 2 2 2 3" xfId="7778" xr:uid="{9B083B16-55A4-420E-A01B-A589927742A6}"/>
    <cellStyle name="Note 2 2 2 3 2" xfId="19716" xr:uid="{59FA43E6-8DBF-4B95-B22D-9AD34AD7B9AA}"/>
    <cellStyle name="Note 2 2 2 4" xfId="19714" xr:uid="{C988747A-E8C1-4EB4-AC76-E0B5A74BC41B}"/>
    <cellStyle name="Note 2 2 3" xfId="7779" xr:uid="{9779255F-7FB5-48F7-9402-86DADC4BC913}"/>
    <cellStyle name="Note 2 2 3 2" xfId="19717" xr:uid="{E0CBB3EC-3C0A-4797-A507-222C77FDDA9D}"/>
    <cellStyle name="Note 2 2 4" xfId="7780" xr:uid="{FF0D326F-7DB4-4C65-B063-74C1EC24973E}"/>
    <cellStyle name="Note 2 2 4 2" xfId="19718" xr:uid="{23B5EC3A-83F9-4032-9CF2-A43C8283B9C8}"/>
    <cellStyle name="Note 2 2 5" xfId="7781" xr:uid="{3E4DA08D-0729-45D6-8532-030784ED5C5B}"/>
    <cellStyle name="Note 2 2 5 2" xfId="19719" xr:uid="{38ED4943-18AD-4D93-A8E8-5E8AA8C1DFF6}"/>
    <cellStyle name="Note 2 2 6" xfId="7782" xr:uid="{685E6E99-8672-4CF1-8C3F-38AD14298D12}"/>
    <cellStyle name="Note 2 2 6 2" xfId="19720" xr:uid="{419FC984-6DE0-455B-935C-45D5424E8D6A}"/>
    <cellStyle name="Note 2 2 7" xfId="19713" xr:uid="{3677001D-7007-435D-877D-C205AE7EB8AB}"/>
    <cellStyle name="Note 2 3" xfId="7783" xr:uid="{AB0411F7-E170-4455-972E-B9BB49028FC3}"/>
    <cellStyle name="Note 2 3 2" xfId="7784" xr:uid="{461591D2-11A9-4AD1-9157-E78E621E771D}"/>
    <cellStyle name="Note 2 3 2 2" xfId="19722" xr:uid="{5D1A19FD-AB23-423D-8C96-21FFAC18C2CE}"/>
    <cellStyle name="Note 2 3 3" xfId="7785" xr:uid="{B8C0D27A-11FA-400A-AC1F-B9905B5809C0}"/>
    <cellStyle name="Note 2 3 3 2" xfId="19723" xr:uid="{6C89E348-82D6-4890-9C7C-1734C71B4294}"/>
    <cellStyle name="Note 2 3 4" xfId="19721" xr:uid="{0FF97792-4BF8-44DD-A1FC-590D4F68613D}"/>
    <cellStyle name="Note 2 4" xfId="7786" xr:uid="{05621511-DE4A-42A0-BC42-FCC303C95CA7}"/>
    <cellStyle name="Note 2 4 2" xfId="7787" xr:uid="{A30925B7-2D19-4456-80A9-45DB05ACBF4F}"/>
    <cellStyle name="Note 2 4 2 2" xfId="19725" xr:uid="{F6F94FF4-F94D-408A-ADCC-196142A33A22}"/>
    <cellStyle name="Note 2 4 3" xfId="7788" xr:uid="{F707D599-6081-41C5-8B4E-60653891C65D}"/>
    <cellStyle name="Note 2 4 3 2" xfId="19726" xr:uid="{B7F29C4E-3422-4D58-ADD1-EC5BEB42A51B}"/>
    <cellStyle name="Note 2 4 4" xfId="19724" xr:uid="{31B4F9A7-A145-431B-BD68-028FBB65F905}"/>
    <cellStyle name="Note 2 5" xfId="7789" xr:uid="{48330E74-E0FB-425D-83B3-A761C5C84560}"/>
    <cellStyle name="Note 2 5 2" xfId="19727" xr:uid="{1992792D-DCA8-4A6A-BDF7-837574414D64}"/>
    <cellStyle name="Note 2 6" xfId="7790" xr:uid="{D5843C4E-0CF7-48DB-A8B2-FE2754E26B3F}"/>
    <cellStyle name="Note 2 6 2" xfId="19728" xr:uid="{12239949-C20B-4354-9407-CC4B36DF9B01}"/>
    <cellStyle name="Note 2 7" xfId="7791" xr:uid="{4D8B5BA4-039A-4D97-ABC2-247092045C90}"/>
    <cellStyle name="Note 2 7 2" xfId="19729" xr:uid="{CCD04263-A3D6-497F-A073-6F35A5288D3C}"/>
    <cellStyle name="Note 2 8" xfId="7792" xr:uid="{8E998205-D9C9-42A7-80FD-130E09F6CA07}"/>
    <cellStyle name="Note 2 8 2" xfId="19730" xr:uid="{096B54F9-89B7-4605-8196-128B2730C095}"/>
    <cellStyle name="Note 2 9" xfId="15077" xr:uid="{B28A5E01-CD42-49B9-8B1C-3DFAB391E5E4}"/>
    <cellStyle name="Note 2_RP3 PP revised" xfId="15071" xr:uid="{2F783986-436E-47F3-8F1D-B1ED0C5B2555}"/>
    <cellStyle name="Note 20" xfId="7793" xr:uid="{44D42C95-F8E6-49E8-9CEF-7515B6AA0E0D}"/>
    <cellStyle name="Note 20 2" xfId="19731" xr:uid="{1CB26760-BF2D-43F7-9688-36140D082D61}"/>
    <cellStyle name="Note 21" xfId="19643" xr:uid="{EC5A564E-CFB9-466C-BBC5-8AA8DF4D39E8}"/>
    <cellStyle name="Note 22" xfId="7705" xr:uid="{1F87A2DA-8B31-40A8-8D72-11CD7BC9D3B9}"/>
    <cellStyle name="Note 3" xfId="7794" xr:uid="{10EB691E-4256-49B2-A077-4631D0AAB181}"/>
    <cellStyle name="Note 3 2" xfId="7795" xr:uid="{24C40111-970D-47EF-9EFC-D6CE55293B83}"/>
    <cellStyle name="Note 3 2 2" xfId="7796" xr:uid="{36506216-26B2-48F3-8711-3BA1BA0268FB}"/>
    <cellStyle name="Note 3 2 2 2" xfId="19734" xr:uid="{B2AAB166-9051-4B10-BC2A-B74BD5BDF92F}"/>
    <cellStyle name="Note 3 2 3" xfId="7797" xr:uid="{0D25A707-6404-424A-B501-FF50F48A6474}"/>
    <cellStyle name="Note 3 2 3 2" xfId="19735" xr:uid="{F95CD10C-7BE5-498A-A71D-5921F2B0A09E}"/>
    <cellStyle name="Note 3 2 4" xfId="7798" xr:uid="{AEFF2167-052D-4C55-8BA5-BCBF305A4928}"/>
    <cellStyle name="Note 3 2 4 2" xfId="19736" xr:uid="{F9E34BB1-4E77-4440-AD78-E68597603F21}"/>
    <cellStyle name="Note 3 2 5" xfId="7799" xr:uid="{5C812555-13C9-47BB-90EB-88CEDBEA379B}"/>
    <cellStyle name="Note 3 2 5 2" xfId="19737" xr:uid="{AE192DCC-FC83-4745-806D-03E46D3CA358}"/>
    <cellStyle name="Note 3 2 6" xfId="19733" xr:uid="{DDA19761-AC83-46AB-B4CC-909FA76FA5D5}"/>
    <cellStyle name="Note 3 3" xfId="7800" xr:uid="{E76845A9-51AF-4D9A-BC37-77EF6F6EE07D}"/>
    <cellStyle name="Note 3 3 2" xfId="19738" xr:uid="{19B91232-EBF0-4B1C-A0A9-3ECDCC5996E4}"/>
    <cellStyle name="Note 3 4" xfId="7801" xr:uid="{0844E5D3-9B1C-4CDB-B49C-CDCE1ED8D7E3}"/>
    <cellStyle name="Note 3 4 2" xfId="19739" xr:uid="{4D9C514A-640D-4C38-9F1F-74D2495569B7}"/>
    <cellStyle name="Note 3 5" xfId="7802" xr:uid="{9691C541-5908-453C-88AA-982F33F4D2FC}"/>
    <cellStyle name="Note 3 5 2" xfId="19740" xr:uid="{E1C45EE9-BF2A-4455-927A-04A74B15E147}"/>
    <cellStyle name="Note 3 6" xfId="7803" xr:uid="{8F1F87B1-ECF2-47E5-92D9-CF96BA69D144}"/>
    <cellStyle name="Note 3 6 2" xfId="19741" xr:uid="{C11F8428-4D67-468F-87AE-BB22EA69B978}"/>
    <cellStyle name="Note 3 7" xfId="19732" xr:uid="{3E05B3ED-13A0-4970-98FB-E58047E69DCF}"/>
    <cellStyle name="Note 4" xfId="7804" xr:uid="{70B722CE-A7BF-449D-9CF8-D0C15063D8AC}"/>
    <cellStyle name="Note 4 2" xfId="7805" xr:uid="{D6B5CAED-F7E0-41EF-976B-BC8DDA9A4C73}"/>
    <cellStyle name="Note 4 2 2" xfId="7806" xr:uid="{F98D8736-1ED5-442B-A025-A9A7D090BD0B}"/>
    <cellStyle name="Note 4 2 2 2" xfId="19744" xr:uid="{782B98DE-627D-4307-952B-1C755560B594}"/>
    <cellStyle name="Note 4 2 3" xfId="7807" xr:uid="{588FDC18-8557-4D73-9026-821193A126AC}"/>
    <cellStyle name="Note 4 2 3 2" xfId="19745" xr:uid="{66FF6F3B-1944-4B25-8F29-C0905D84D8CA}"/>
    <cellStyle name="Note 4 2 4" xfId="7808" xr:uid="{32171181-CE17-4B8B-8F6B-6C52255307FA}"/>
    <cellStyle name="Note 4 2 4 2" xfId="19746" xr:uid="{C784160E-731B-41FD-9212-A363D4F91639}"/>
    <cellStyle name="Note 4 2 5" xfId="7809" xr:uid="{C623FF1C-69AB-4FEC-929C-E89EC9B79A14}"/>
    <cellStyle name="Note 4 2 5 2" xfId="19747" xr:uid="{E2813B4E-8E6A-485E-ACB8-47314A9C4B49}"/>
    <cellStyle name="Note 4 2 6" xfId="19743" xr:uid="{1105CC7C-EDE1-4925-8101-A387FCA5A0A4}"/>
    <cellStyle name="Note 4 3" xfId="7810" xr:uid="{A69F3F12-8E8A-4C17-A129-8804538B660A}"/>
    <cellStyle name="Note 4 3 2" xfId="19748" xr:uid="{388E0C8F-C710-4C18-9A36-F19CD7BEEA56}"/>
    <cellStyle name="Note 4 4" xfId="7811" xr:uid="{AD210634-6DCB-47E9-A7F4-B4DBB0190B74}"/>
    <cellStyle name="Note 4 4 2" xfId="19749" xr:uid="{D9CA9A2D-85A4-47E3-83BF-C30980C97473}"/>
    <cellStyle name="Note 4 5" xfId="7812" xr:uid="{E7F07C70-83C0-4D3B-9FDF-25FC20E6996C}"/>
    <cellStyle name="Note 4 5 2" xfId="19750" xr:uid="{8765DFD1-90FE-4F7E-8847-C65815CCF528}"/>
    <cellStyle name="Note 4 6" xfId="7813" xr:uid="{06E03C8C-B679-4899-8664-78881C37AAEE}"/>
    <cellStyle name="Note 4 6 2" xfId="19751" xr:uid="{FD680D13-A8E9-4EDE-BDF3-F30A1C1B5FED}"/>
    <cellStyle name="Note 4 7" xfId="19742" xr:uid="{205A63D9-684E-402E-8246-A2678D49182E}"/>
    <cellStyle name="Note 5" xfId="7814" xr:uid="{18C5734C-93C9-4A86-861C-AFEDD201AA62}"/>
    <cellStyle name="Note 5 2" xfId="7815" xr:uid="{0FCEFFA1-1179-4480-8B83-BDB0FA6B6C09}"/>
    <cellStyle name="Note 5 2 2" xfId="7816" xr:uid="{A7A1CBA7-638F-4FDF-AA76-B89A9F59F37A}"/>
    <cellStyle name="Note 5 2 2 2" xfId="19754" xr:uid="{ADB9347D-5FC3-45E9-9AC0-1D6BAC02E6EB}"/>
    <cellStyle name="Note 5 2 3" xfId="7817" xr:uid="{0A6B51E2-25F7-46BE-A36E-AC339D37C70D}"/>
    <cellStyle name="Note 5 2 3 2" xfId="19755" xr:uid="{5ECF4279-E6C3-4D62-AA60-79BC684EB0E7}"/>
    <cellStyle name="Note 5 2 4" xfId="7818" xr:uid="{FD9AC758-430D-4201-9A83-652809CE2AFB}"/>
    <cellStyle name="Note 5 2 4 2" xfId="19756" xr:uid="{0800E941-9815-4CBB-B508-6E93171797BF}"/>
    <cellStyle name="Note 5 2 5" xfId="7819" xr:uid="{C1DACDD0-AD67-4B3E-8F86-2C612369D8FB}"/>
    <cellStyle name="Note 5 2 5 2" xfId="19757" xr:uid="{8B044049-6DA0-48C1-8149-135C4C8A1889}"/>
    <cellStyle name="Note 5 2 6" xfId="19753" xr:uid="{24074BBD-9900-43C4-A2D0-250568ED64D1}"/>
    <cellStyle name="Note 5 3" xfId="7820" xr:uid="{D708322C-217F-455F-940F-D0AC009D81A1}"/>
    <cellStyle name="Note 5 3 2" xfId="19758" xr:uid="{E507A42B-013D-4B5F-92C9-3E7C6624C9A1}"/>
    <cellStyle name="Note 5 4" xfId="7821" xr:uid="{E69AAA53-2847-468E-999F-E0553593C4B2}"/>
    <cellStyle name="Note 5 4 2" xfId="19759" xr:uid="{186256E1-2436-407A-B9D3-4B665D5E7279}"/>
    <cellStyle name="Note 5 5" xfId="7822" xr:uid="{E5CA4EB7-6D62-4082-AF58-DE0AC0F606C9}"/>
    <cellStyle name="Note 5 5 2" xfId="19760" xr:uid="{7C787780-CDB0-4609-82A0-88071F492810}"/>
    <cellStyle name="Note 5 6" xfId="7823" xr:uid="{2A8F823F-C417-486D-ABE6-23A4B828B6A4}"/>
    <cellStyle name="Note 5 6 2" xfId="19761" xr:uid="{7604282E-029F-46E9-8304-F3C88F72B67F}"/>
    <cellStyle name="Note 5 7" xfId="19752" xr:uid="{EF9C8204-6027-4844-A138-655D021B381C}"/>
    <cellStyle name="Note 6" xfId="7824" xr:uid="{8D157930-5486-4073-A8FD-DD71ADA85FDD}"/>
    <cellStyle name="Note 6 2" xfId="7825" xr:uid="{DA7AC22E-A349-4672-B214-52985323A3AB}"/>
    <cellStyle name="Note 6 2 2" xfId="7826" xr:uid="{40EC7B14-5ABD-4837-A339-865BB716651B}"/>
    <cellStyle name="Note 6 2 2 2" xfId="19764" xr:uid="{9688B669-C1F5-4D7F-BCD6-D8C14F3F1AED}"/>
    <cellStyle name="Note 6 2 3" xfId="7827" xr:uid="{99A2E673-4C12-46C6-A329-84E0F9DA3F90}"/>
    <cellStyle name="Note 6 2 3 2" xfId="19765" xr:uid="{73CE085E-27E8-47E1-BE6A-87C0F641213E}"/>
    <cellStyle name="Note 6 2 4" xfId="7828" xr:uid="{C1BB9720-9739-4D3A-9B5C-73DC42B64D47}"/>
    <cellStyle name="Note 6 2 4 2" xfId="19766" xr:uid="{DAD8BDCA-4D6E-459B-927F-E4AC9C7056DA}"/>
    <cellStyle name="Note 6 2 5" xfId="7829" xr:uid="{448055EA-199D-46A3-96E5-FAA786466B99}"/>
    <cellStyle name="Note 6 2 5 2" xfId="19767" xr:uid="{775D03FE-F317-4432-B6E2-0062C6FB18C6}"/>
    <cellStyle name="Note 6 2 6" xfId="19763" xr:uid="{26EDFE74-AF3B-4D4E-B26A-69BC54280CED}"/>
    <cellStyle name="Note 6 3" xfId="7830" xr:uid="{2E25F1AD-3B04-4443-9640-A30B775F94AA}"/>
    <cellStyle name="Note 6 3 2" xfId="19768" xr:uid="{F34508E2-1973-4BB7-8929-BFCD28F24A0A}"/>
    <cellStyle name="Note 6 4" xfId="7831" xr:uid="{0BDEDBE8-C3B5-439E-9FBF-7C0BDF468A33}"/>
    <cellStyle name="Note 6 4 2" xfId="19769" xr:uid="{29312584-6FA4-441F-BB5D-2BC46436966D}"/>
    <cellStyle name="Note 6 5" xfId="7832" xr:uid="{5B51C724-196E-4F75-8380-266133651B9D}"/>
    <cellStyle name="Note 6 5 2" xfId="19770" xr:uid="{38043A41-AD0E-4B35-B40F-CC0F9C03E0D0}"/>
    <cellStyle name="Note 6 6" xfId="7833" xr:uid="{F17E8651-1739-4795-9F4D-A1B7E22291A1}"/>
    <cellStyle name="Note 6 6 2" xfId="19771" xr:uid="{B7D88E69-5F1F-4619-9C77-2643822CB5AB}"/>
    <cellStyle name="Note 6 7" xfId="19762" xr:uid="{EC9E8D73-DB82-4FE5-ACD0-19EFB1C61E41}"/>
    <cellStyle name="Note 7" xfId="7834" xr:uid="{F0C1352F-F6E3-4836-92E7-E9E7213675DF}"/>
    <cellStyle name="Note 7 2" xfId="7835" xr:uid="{3920D4F7-1F1B-4D72-A23B-432C02EA4C0B}"/>
    <cellStyle name="Note 7 2 2" xfId="7836" xr:uid="{8EA649AC-FE54-4DCB-9C4C-6B0780683375}"/>
    <cellStyle name="Note 7 2 2 2" xfId="19774" xr:uid="{7BE791CF-F44B-453D-8AF7-7D7A09FCD409}"/>
    <cellStyle name="Note 7 2 3" xfId="7837" xr:uid="{C868373E-AD35-458F-8696-9A1744912390}"/>
    <cellStyle name="Note 7 2 3 2" xfId="19775" xr:uid="{A218F686-0518-41DB-AC55-B52839C746C9}"/>
    <cellStyle name="Note 7 2 4" xfId="7838" xr:uid="{3CAF0F07-3629-40EA-A225-76F0F1F295BC}"/>
    <cellStyle name="Note 7 2 4 2" xfId="19776" xr:uid="{727883A4-2659-487D-A164-183C14FA8F7F}"/>
    <cellStyle name="Note 7 2 5" xfId="7839" xr:uid="{1A4ABED6-B3BF-4149-994A-36C9FDFD7C11}"/>
    <cellStyle name="Note 7 2 5 2" xfId="19777" xr:uid="{5CCDA1E4-6891-443A-B19B-9165AF31212C}"/>
    <cellStyle name="Note 7 2 6" xfId="19773" xr:uid="{26589376-4434-4E9C-85CA-32A3C1A3EC28}"/>
    <cellStyle name="Note 7 3" xfId="7840" xr:uid="{B74E4E63-8B32-44F3-920E-0AD44A7487BC}"/>
    <cellStyle name="Note 7 3 2" xfId="19778" xr:uid="{A4DFBA7A-A576-4640-9D65-DE81AE3E3614}"/>
    <cellStyle name="Note 7 4" xfId="7841" xr:uid="{E0D78F0B-42A0-4D74-BBCB-7D7CC0E449DF}"/>
    <cellStyle name="Note 7 4 2" xfId="19779" xr:uid="{3A3D694A-00AD-4B68-A8A6-36CB74C27A00}"/>
    <cellStyle name="Note 7 5" xfId="7842" xr:uid="{C41C3DB2-BE18-447A-B8DD-1B14D501EF57}"/>
    <cellStyle name="Note 7 5 2" xfId="19780" xr:uid="{D65A91FF-D7EB-4375-B81A-221975F10503}"/>
    <cellStyle name="Note 7 6" xfId="7843" xr:uid="{D0AD1F79-8AE8-4130-ACEA-C322D93BAEAF}"/>
    <cellStyle name="Note 7 6 2" xfId="19781" xr:uid="{796AF295-AD71-4A2B-BB03-C15BD58EBAB2}"/>
    <cellStyle name="Note 7 7" xfId="19772" xr:uid="{618B4CCD-A811-466B-BED7-98E015310E86}"/>
    <cellStyle name="Note 8" xfId="7844" xr:uid="{3F96091E-8750-4306-AEDD-2A19EA66A75D}"/>
    <cellStyle name="Note 8 2" xfId="7845" xr:uid="{2C897C58-09AF-43C0-B79C-8AE40AF0313D}"/>
    <cellStyle name="Note 8 2 2" xfId="7846" xr:uid="{8256502D-258F-437D-8FDC-886FA91CF2C5}"/>
    <cellStyle name="Note 8 2 2 2" xfId="19784" xr:uid="{156336AB-6C42-4D61-AAB3-384126387A88}"/>
    <cellStyle name="Note 8 2 3" xfId="7847" xr:uid="{FFB63B77-A447-4BEA-89A1-111ACE9C1E48}"/>
    <cellStyle name="Note 8 2 3 2" xfId="19785" xr:uid="{2D5D3D83-9DB6-4E83-8619-9530019CA7D3}"/>
    <cellStyle name="Note 8 2 4" xfId="7848" xr:uid="{6E395FA6-8B9C-4A5D-BA44-77AC336623A0}"/>
    <cellStyle name="Note 8 2 4 2" xfId="19786" xr:uid="{4D66408F-B3AA-491E-9007-CF6A725D4B45}"/>
    <cellStyle name="Note 8 2 5" xfId="7849" xr:uid="{861299A4-91DA-4889-BFCC-479DFC428724}"/>
    <cellStyle name="Note 8 2 5 2" xfId="19787" xr:uid="{60F1A031-54A5-4B72-BDD9-A08BE81DEDB8}"/>
    <cellStyle name="Note 8 2 6" xfId="19783" xr:uid="{23EA7BEE-390B-44D6-AE58-47FD8A90A4EC}"/>
    <cellStyle name="Note 8 3" xfId="7850" xr:uid="{ACD1E9AE-D1B1-4A3E-B0AF-457C882DBD46}"/>
    <cellStyle name="Note 8 3 2" xfId="19788" xr:uid="{8A8E3BEF-6D60-4DF0-8E76-06774E1AD4FF}"/>
    <cellStyle name="Note 8 4" xfId="7851" xr:uid="{E5031024-0CBA-4903-873A-65369A074F52}"/>
    <cellStyle name="Note 8 4 2" xfId="19789" xr:uid="{9C2E4405-A5E4-476A-864E-580D56D35080}"/>
    <cellStyle name="Note 8 5" xfId="7852" xr:uid="{E80D55CA-B284-41AE-AFA4-7A8B49FD1B1D}"/>
    <cellStyle name="Note 8 5 2" xfId="19790" xr:uid="{1B54C00A-7722-46AE-B48E-9637ED12BEB3}"/>
    <cellStyle name="Note 8 6" xfId="7853" xr:uid="{C3E54726-E0F3-43F8-8872-BC447ABE1DD0}"/>
    <cellStyle name="Note 8 6 2" xfId="19791" xr:uid="{57236601-DDD5-4A73-8BFC-EA11F9622E78}"/>
    <cellStyle name="Note 8 7" xfId="19782" xr:uid="{D6FC88A1-610A-4A2D-81B6-E6970CE01F5E}"/>
    <cellStyle name="Note 9" xfId="7854" xr:uid="{CA360774-4274-43EE-94D3-A6BA99B7D7A6}"/>
    <cellStyle name="Note 9 2" xfId="7855" xr:uid="{EF855616-1BA9-49EC-99EF-9B241B6F3CB1}"/>
    <cellStyle name="Note 9 2 2" xfId="7856" xr:uid="{A3D484C3-5B5A-4A65-862F-B9E121C57C14}"/>
    <cellStyle name="Note 9 2 2 2" xfId="19794" xr:uid="{EA84F079-FE52-47FA-957C-DEDD7233D768}"/>
    <cellStyle name="Note 9 2 3" xfId="7857" xr:uid="{4778FE7D-58B1-41C0-AFC1-C0040D2663FB}"/>
    <cellStyle name="Note 9 2 3 2" xfId="19795" xr:uid="{3A9A8AB6-B169-494F-ACCF-F93A16185319}"/>
    <cellStyle name="Note 9 2 4" xfId="7858" xr:uid="{DA4AADEB-6992-410E-87B5-A983F0FAFD7F}"/>
    <cellStyle name="Note 9 2 4 2" xfId="19796" xr:uid="{DC805D77-D9F7-4A9F-B199-0918E4CBEBDE}"/>
    <cellStyle name="Note 9 2 5" xfId="7859" xr:uid="{EBA7DBFA-8649-4706-A8DF-6B792AE2E3C1}"/>
    <cellStyle name="Note 9 2 5 2" xfId="19797" xr:uid="{EA0A0606-A7D0-42D1-B9BD-FCB11CA9AB58}"/>
    <cellStyle name="Note 9 2 6" xfId="19793" xr:uid="{0E8FB884-02F0-4B11-8FA4-ACA6CBFAD3FE}"/>
    <cellStyle name="Note 9 3" xfId="7860" xr:uid="{3B2DCD4C-57F8-48FA-A403-A75C98E6271E}"/>
    <cellStyle name="Note 9 3 2" xfId="19798" xr:uid="{76FF0AEA-040B-41F7-9591-3C6D88A76930}"/>
    <cellStyle name="Note 9 4" xfId="7861" xr:uid="{FEA32BEC-1513-4FC7-866A-14BFE473EB95}"/>
    <cellStyle name="Note 9 4 2" xfId="19799" xr:uid="{3E950363-D19B-4B02-8EBD-7984194D8120}"/>
    <cellStyle name="Note 9 5" xfId="7862" xr:uid="{48E90713-2567-4A54-A46C-852166692D95}"/>
    <cellStyle name="Note 9 5 2" xfId="19800" xr:uid="{A8C47BAD-604D-4529-B211-09091382F81A}"/>
    <cellStyle name="Note 9 6" xfId="7863" xr:uid="{081D70EA-7741-4578-A536-17B3E884156C}"/>
    <cellStyle name="Note 9 6 2" xfId="19801" xr:uid="{C61B4463-8BAE-4108-B48C-27CE3447D0FF}"/>
    <cellStyle name="Note 9 7" xfId="19792" xr:uid="{278F150B-D3E7-4176-A203-72B60134F732}"/>
    <cellStyle name="Notes" xfId="7864" xr:uid="{627229C1-B379-44E3-B2BD-3094A7FA2C2E}"/>
    <cellStyle name="Notiz" xfId="7865" xr:uid="{0F30E090-6CF8-45AE-9462-54F144470E18}"/>
    <cellStyle name="Notiz 2" xfId="7866" xr:uid="{B1BBFFC2-0F58-4972-8B73-C96051470E13}"/>
    <cellStyle name="Notiz 2 2" xfId="19802" xr:uid="{F5BC5B44-EDF2-4379-82E1-70A4E0F2E7CC}"/>
    <cellStyle name="Notiz 3" xfId="7867" xr:uid="{277B0AC6-BA20-470F-85A3-BC73979B46FD}"/>
    <cellStyle name="Notiz 3 2" xfId="19803" xr:uid="{E10D438C-6DCC-49F8-9A14-5451782AC23D}"/>
    <cellStyle name="Notiz 4" xfId="15079" xr:uid="{7DED3063-FDA7-401F-863A-06E030F6F6CE}"/>
    <cellStyle name="Notiz_RP3 PP revised" xfId="15070" xr:uid="{81A05150-18B6-46CA-B13C-4E82D3356F1E}"/>
    <cellStyle name="Number" xfId="7868" xr:uid="{0CC1D218-12E3-4198-A78B-E6303517654E}"/>
    <cellStyle name="Number 1" xfId="7869" xr:uid="{4830A506-0766-4E16-83F1-E4C1BA9782D9}"/>
    <cellStyle name="Number 1 2" xfId="7870" xr:uid="{ED90F977-37E3-4A89-89A6-311A3B7B9FB3}"/>
    <cellStyle name="Number 1 3" xfId="7871" xr:uid="{15694E31-F72D-4DB7-8A75-D6AEEE7927D6}"/>
    <cellStyle name="Number 2" xfId="7872" xr:uid="{CF6DDF83-FB46-4742-BA59-4F3EE2B116FF}"/>
    <cellStyle name="Number 3" xfId="7873" xr:uid="{58F73429-3CEF-4846-A588-3DB7A48E617C}"/>
    <cellStyle name="Number Date" xfId="7874" xr:uid="{C28C091B-C45D-4DA5-BCC1-C7EC3711A99C}"/>
    <cellStyle name="Number Date (short)" xfId="7875" xr:uid="{692F8AD1-224E-4EB5-A509-B78E47F2F9FD}"/>
    <cellStyle name="Number Date (short) 2" xfId="7876" xr:uid="{3715F927-E543-43BC-BDF7-0CB7130A9751}"/>
    <cellStyle name="Number Date (short) 3" xfId="7877" xr:uid="{28622607-83C2-4A05-A1FC-5C5866E75B08}"/>
    <cellStyle name="Number Date 10" xfId="7878" xr:uid="{193164E7-49BA-41F2-B388-44CB0AD50115}"/>
    <cellStyle name="Number Date 11" xfId="7879" xr:uid="{37C55048-6F50-4DCA-B56E-D3AD69E96973}"/>
    <cellStyle name="Number Date 12" xfId="7880" xr:uid="{DB9C3140-909F-4550-8E3B-515E0E4D6931}"/>
    <cellStyle name="Number Date 13" xfId="7881" xr:uid="{A1A87A35-7889-4C6E-A741-99A93429A243}"/>
    <cellStyle name="Number Date 14" xfId="7882" xr:uid="{05A042CA-5867-4175-85DD-F6CDCC09DD3D}"/>
    <cellStyle name="Number Date 15" xfId="7883" xr:uid="{33FEC4D9-FB20-42E1-8105-7B2BAFF97D8E}"/>
    <cellStyle name="Number Date 16" xfId="7884" xr:uid="{6A11D8DE-CED5-4933-BC62-3960C93EDEFE}"/>
    <cellStyle name="Number Date 17" xfId="7885" xr:uid="{5CDDE232-3AE8-4811-94E6-CC7444290EB1}"/>
    <cellStyle name="Number Date 18" xfId="7886" xr:uid="{07E70192-C4C4-4514-9A3F-2BBC6223CADC}"/>
    <cellStyle name="Number Date 19" xfId="14746" xr:uid="{F8AD5FE3-EB5B-4231-AEB5-ADE63478FB12}"/>
    <cellStyle name="Number Date 2" xfId="7887" xr:uid="{33D30C78-6489-43BC-B00D-F3C37ADC3F38}"/>
    <cellStyle name="Number Date 3" xfId="7888" xr:uid="{FE33E8C4-A8EE-481C-BAA5-1E85FD589CDA}"/>
    <cellStyle name="Number Date 4" xfId="7889" xr:uid="{C20C1EAD-EE0C-4FE6-B26A-A2AB2B25D9DE}"/>
    <cellStyle name="Number Date 5" xfId="7890" xr:uid="{E2DA6258-29F8-4946-BBA8-9A1D9708300C}"/>
    <cellStyle name="Number Date 6" xfId="7891" xr:uid="{7663207D-E26C-4E60-AB24-A9E60F15EBA8}"/>
    <cellStyle name="Number Date 7" xfId="7892" xr:uid="{7B73CEDF-0AE2-48A1-A7E6-114CDEF49EBF}"/>
    <cellStyle name="Number Date 8" xfId="7893" xr:uid="{F2A7E60A-2FDE-40F6-BEA7-A516A06FF8DC}"/>
    <cellStyle name="Number Date 9" xfId="7894" xr:uid="{1CD4468D-497D-427D-A5F0-E450669D14B6}"/>
    <cellStyle name="Number Date_Green" xfId="7895" xr:uid="{A16D381F-D3CB-4938-9C64-4C0258339BAE}"/>
    <cellStyle name="Number II" xfId="7896" xr:uid="{60B64E33-1DAB-433F-A181-413D774ECD62}"/>
    <cellStyle name="Number Integer" xfId="7897" xr:uid="{B3B8D20D-95F5-47E7-9C75-C8780777AA9A}"/>
    <cellStyle name="Number Integer 2" xfId="7898" xr:uid="{7A21BEBD-E93F-44B9-ACE0-A5F5B9D73867}"/>
    <cellStyle name="Number Integer 3" xfId="7899" xr:uid="{6AA69190-D6B5-492F-9724-59EF2589DCC2}"/>
    <cellStyle name="number_KTR An-Abflug" xfId="7900" xr:uid="{19E4EE4F-4C94-4C7C-AFE5-DB612B86791A}"/>
    <cellStyle name="OBI" xfId="7901" xr:uid="{BB2A0DA7-2F5F-4BFD-A242-8FC4BB493774}"/>
    <cellStyle name="Obliczenia" xfId="7902" xr:uid="{922AE1A1-5685-4AC7-8F5B-573104445AF6}"/>
    <cellStyle name="Obliczenia 2" xfId="7903" xr:uid="{DA8D1D47-82E2-460C-B252-3C3B677C5A49}"/>
    <cellStyle name="Obliczenia 2 2" xfId="7904" xr:uid="{D5BA1236-F5CE-4310-A904-E903544483FB}"/>
    <cellStyle name="Obliczenia 2 2 2" xfId="19806" xr:uid="{F81A7730-CA2B-413B-A559-2E659834FBBE}"/>
    <cellStyle name="Obliczenia 2 3" xfId="7905" xr:uid="{982A978E-071C-4EAD-AABB-4FFECC55AF2A}"/>
    <cellStyle name="Obliczenia 2 3 2" xfId="19807" xr:uid="{4FB55D35-5ECD-4C44-961B-D3E8D36D1A41}"/>
    <cellStyle name="Obliczenia 2 4" xfId="19805" xr:uid="{51DE9297-B447-49E4-AA02-B7683E831750}"/>
    <cellStyle name="Obliczenia 3" xfId="7906" xr:uid="{85C76F40-F16F-4076-820D-32553DD9F070}"/>
    <cellStyle name="Obliczenia 3 2" xfId="19808" xr:uid="{96A3716F-83EB-41B3-8047-CC3A4DEFC044}"/>
    <cellStyle name="Obliczenia 4" xfId="7907" xr:uid="{8AFB3433-CB43-4CC7-AD21-AB2DB5F02E3B}"/>
    <cellStyle name="Obliczenia 4 2" xfId="19809" xr:uid="{87D57644-D91B-46B7-A147-F2D3E5E81C05}"/>
    <cellStyle name="Obliczenia 5" xfId="7908" xr:uid="{8189AFDE-634F-444B-80F8-D966B6AF673E}"/>
    <cellStyle name="Obliczenia 5 2" xfId="19810" xr:uid="{3E7838BC-CC61-4DCF-9A37-810C0781986C}"/>
    <cellStyle name="Obliczenia 6" xfId="7909" xr:uid="{9A2885E4-3780-41A3-8057-C4C3FB24D7B2}"/>
    <cellStyle name="Obliczenia 6 2" xfId="19811" xr:uid="{B1371AB3-7831-4E64-85C0-A613CCC5AFDD}"/>
    <cellStyle name="Obliczenia 7" xfId="19804" xr:uid="{AED73A40-081E-4126-84FC-2EF9E5264DB3}"/>
    <cellStyle name="Option" xfId="7910" xr:uid="{76E96EB3-EA24-4A44-ABC5-1AC0577A3216}"/>
    <cellStyle name="OptionHeading" xfId="7911" xr:uid="{79FE93C5-3357-4614-BF25-9B0D23F11861}"/>
    <cellStyle name="Összesen 2" xfId="7912" xr:uid="{783116F4-0501-4AD1-AF23-67B267C49C58}"/>
    <cellStyle name="Összesen 2 2" xfId="7913" xr:uid="{745139E0-D05A-464A-9D5F-DB06500A7298}"/>
    <cellStyle name="Összesen 2 2 2" xfId="19812" xr:uid="{A024958C-9220-4CAF-AABA-42C3C5F33CEA}"/>
    <cellStyle name="Összesen 2 3" xfId="7914" xr:uid="{F332E6D0-4247-4C7C-87EB-8DCD5CC17E99}"/>
    <cellStyle name="Összesen 2 3 2" xfId="19813" xr:uid="{3EEE78FE-DF5E-4BAB-AA14-1E4ED72A78EF}"/>
    <cellStyle name="Összesen 2 4" xfId="15385" xr:uid="{9775898F-D392-4E90-BC27-BC02E13563C1}"/>
    <cellStyle name="Összesen 2_RP3 PP revised" xfId="15069" xr:uid="{6AACC569-FDDB-4F36-BFAF-F8637984FBF3}"/>
    <cellStyle name="Otsikko" xfId="7915" xr:uid="{790441BA-EF14-41B3-B3E2-16371077CE3B}"/>
    <cellStyle name="Otsikko 1" xfId="7916" xr:uid="{41C4D14A-F9DF-4E12-B9B7-D0707AF3A1F3}"/>
    <cellStyle name="Otsikko 2" xfId="7917" xr:uid="{BDE89CA6-9B88-4F18-A5F8-E6C04FF80382}"/>
    <cellStyle name="Otsikko 3" xfId="7918" xr:uid="{1E1F27EF-0F45-4AAC-9F0C-2E7FF2CE836E}"/>
    <cellStyle name="Otsikko 4" xfId="7919" xr:uid="{6FCF6F16-3FD3-4B30-9F65-CA22A4E5B2E5}"/>
    <cellStyle name="Output %" xfId="7920" xr:uid="{9774F686-39FF-4A9F-A379-29BE63701459}"/>
    <cellStyle name="Output 10" xfId="7921" xr:uid="{7E09F9FC-ED11-40EA-96F9-973F69DDF28B}"/>
    <cellStyle name="Output 10 2" xfId="7922" xr:uid="{200A2E84-66E1-4E0E-AFFC-EC76579DC4BA}"/>
    <cellStyle name="Output 10 2 2" xfId="7923" xr:uid="{46D36043-C3A7-4A2E-9031-7FD4D4A5F9AA}"/>
    <cellStyle name="Output 10 2 2 2" xfId="19816" xr:uid="{86904AF5-AA10-4DD2-8824-083B18771E9A}"/>
    <cellStyle name="Output 10 2 3" xfId="7924" xr:uid="{54691A76-C663-4B09-918C-4502119A79C0}"/>
    <cellStyle name="Output 10 2 3 2" xfId="19817" xr:uid="{044930CF-A8B2-4034-8972-DFEDBD57B29D}"/>
    <cellStyle name="Output 10 2 4" xfId="7925" xr:uid="{874E4386-E27B-42BD-8AEF-9FBBF06EE6FB}"/>
    <cellStyle name="Output 10 2 4 2" xfId="19818" xr:uid="{76E0E041-5537-4723-911E-B0ED4B95BCE2}"/>
    <cellStyle name="Output 10 2 5" xfId="7926" xr:uid="{CC2130D0-BE87-4EA9-B1AE-824A289D4330}"/>
    <cellStyle name="Output 10 2 5 2" xfId="19819" xr:uid="{4192459C-710D-418A-A83E-A4944E8821C5}"/>
    <cellStyle name="Output 10 2 6" xfId="19815" xr:uid="{63807B83-4928-4B08-9E2A-2CBBBF01F7A5}"/>
    <cellStyle name="Output 10 3" xfId="7927" xr:uid="{C4E3F322-4339-4857-9F14-B5D22A461EB2}"/>
    <cellStyle name="Output 10 3 2" xfId="19820" xr:uid="{F52283BB-1C8D-451D-AFA7-8979612E3A6C}"/>
    <cellStyle name="Output 10 4" xfId="7928" xr:uid="{0B03EEF1-B58C-464D-9B4D-0521F31E4927}"/>
    <cellStyle name="Output 10 4 2" xfId="19821" xr:uid="{5DCBE0DD-0432-4E7D-9A1A-DD3E8970C75F}"/>
    <cellStyle name="Output 10 5" xfId="7929" xr:uid="{B10EBD4F-EB69-41A6-90A0-208882F79CEE}"/>
    <cellStyle name="Output 10 5 2" xfId="19822" xr:uid="{54142078-9A3C-4DC4-97F8-36044B28B25B}"/>
    <cellStyle name="Output 10 6" xfId="7930" xr:uid="{70D1827C-983A-4B28-8A8D-2474F3BBDF41}"/>
    <cellStyle name="Output 10 6 2" xfId="19823" xr:uid="{6817374B-81A4-443E-9CB5-E05C1DD7895B}"/>
    <cellStyle name="Output 10 7" xfId="19814" xr:uid="{4D328B5A-A7CA-4AF4-A5DF-651BEC8774EB}"/>
    <cellStyle name="Output 11" xfId="7931" xr:uid="{963E77CC-8C29-4726-BB91-67D97F13AB4C}"/>
    <cellStyle name="Output 11 2" xfId="7932" xr:uid="{A587E43F-0D48-4EAB-8DE5-00A091616884}"/>
    <cellStyle name="Output 11 2 2" xfId="7933" xr:uid="{EAA84E7D-4B83-4BAA-ACB0-BDA876A3D13F}"/>
    <cellStyle name="Output 11 2 2 2" xfId="19826" xr:uid="{825749FF-0B3E-431A-8F02-1BAF18C8C541}"/>
    <cellStyle name="Output 11 2 3" xfId="7934" xr:uid="{F3FAC5CC-69DC-4E14-ADE7-E369D3498C0F}"/>
    <cellStyle name="Output 11 2 3 2" xfId="19827" xr:uid="{C67AC0B6-E99C-4294-B08A-0D091290C7AD}"/>
    <cellStyle name="Output 11 2 4" xfId="7935" xr:uid="{E447D772-E84D-4D8C-8574-C2143A16ADD2}"/>
    <cellStyle name="Output 11 2 4 2" xfId="19828" xr:uid="{E0AE5F52-D48C-42A5-AA57-EBCDDC93A983}"/>
    <cellStyle name="Output 11 2 5" xfId="7936" xr:uid="{B4AA32AF-9204-473E-A728-EDDF7791E356}"/>
    <cellStyle name="Output 11 2 5 2" xfId="19829" xr:uid="{6648EC46-3863-4C2F-AA49-FE095D319196}"/>
    <cellStyle name="Output 11 2 6" xfId="19825" xr:uid="{6416978B-B473-41B5-9465-FDF41F91025D}"/>
    <cellStyle name="Output 11 3" xfId="7937" xr:uid="{A8750C07-2C41-4A66-B111-12D8C5C0715C}"/>
    <cellStyle name="Output 11 3 2" xfId="19830" xr:uid="{AF70FA52-4104-4954-B379-7FBC23B2DF14}"/>
    <cellStyle name="Output 11 4" xfId="7938" xr:uid="{252AFCAB-F12E-4DCC-B759-E4CF9CF71EAE}"/>
    <cellStyle name="Output 11 4 2" xfId="19831" xr:uid="{98E99F7F-AE45-4C5F-B946-8B370588AB8A}"/>
    <cellStyle name="Output 11 5" xfId="7939" xr:uid="{C87DE5E3-4D31-4055-BEE6-1948A36FFB16}"/>
    <cellStyle name="Output 11 5 2" xfId="19832" xr:uid="{E16CB33E-C192-4555-810A-8568DCEEEF49}"/>
    <cellStyle name="Output 11 6" xfId="7940" xr:uid="{FE500DEF-4F04-44E4-B9CD-3F68AA45218B}"/>
    <cellStyle name="Output 11 6 2" xfId="19833" xr:uid="{13B2957F-D043-4935-B1D8-28925A709A4B}"/>
    <cellStyle name="Output 11 7" xfId="19824" xr:uid="{3C3131AB-8537-4AD6-A8C4-51B63C50886D}"/>
    <cellStyle name="Output 12" xfId="7941" xr:uid="{DDFCDB47-8A74-4E53-B169-76D55866EB8D}"/>
    <cellStyle name="Output 12 2" xfId="7942" xr:uid="{F2CD13D1-8BE9-4481-83AB-514AF152CE38}"/>
    <cellStyle name="Output 12 2 2" xfId="7943" xr:uid="{31466942-AD36-4225-9E97-07A5F291180A}"/>
    <cellStyle name="Output 12 2 2 2" xfId="19836" xr:uid="{1A30D00C-7B0D-472F-8CF3-0597D577A33F}"/>
    <cellStyle name="Output 12 2 3" xfId="7944" xr:uid="{AC3E9C1B-CD16-4451-A033-3994D7EBD58E}"/>
    <cellStyle name="Output 12 2 3 2" xfId="19837" xr:uid="{6E83EA3D-8E50-4C84-8E67-8819EBBF36E2}"/>
    <cellStyle name="Output 12 2 4" xfId="7945" xr:uid="{66987BC6-511B-422C-93A0-4DCE7264603E}"/>
    <cellStyle name="Output 12 2 4 2" xfId="19838" xr:uid="{F0CF2617-2DCB-4F55-A2D5-8B246D6FF240}"/>
    <cellStyle name="Output 12 2 5" xfId="7946" xr:uid="{2AA8C2DF-5587-4B04-B02C-08D5494B1D8A}"/>
    <cellStyle name="Output 12 2 5 2" xfId="19839" xr:uid="{BC911851-3D19-4CAB-A36E-DAAC874C543C}"/>
    <cellStyle name="Output 12 2 6" xfId="19835" xr:uid="{5FD6D1DC-DB60-4780-A79F-8B6CAB782744}"/>
    <cellStyle name="Output 12 3" xfId="7947" xr:uid="{2803E757-685E-4B58-8BDC-FD160CBE5F8B}"/>
    <cellStyle name="Output 12 3 2" xfId="19840" xr:uid="{3BB0A263-104D-4EB9-B0CE-4684EB85093E}"/>
    <cellStyle name="Output 12 4" xfId="7948" xr:uid="{190604B3-0222-4976-A708-E725FF5D3929}"/>
    <cellStyle name="Output 12 4 2" xfId="19841" xr:uid="{5392A9D8-789E-40DE-8233-72C9AC3D4A16}"/>
    <cellStyle name="Output 12 5" xfId="7949" xr:uid="{DAF4F7B6-0031-4A6B-A897-E02DE8566B0F}"/>
    <cellStyle name="Output 12 5 2" xfId="19842" xr:uid="{1095C8C7-4947-42DE-ACEF-07670BA23A80}"/>
    <cellStyle name="Output 12 6" xfId="7950" xr:uid="{B1BF5376-2946-4B25-8727-C9A8EC8C1FEA}"/>
    <cellStyle name="Output 12 6 2" xfId="19843" xr:uid="{E2552E53-42B5-41E9-A6FA-8071C48A56CF}"/>
    <cellStyle name="Output 12 7" xfId="19834" xr:uid="{8D6F5870-6E6C-415B-AF6C-119B2B3FFDF5}"/>
    <cellStyle name="Output 13" xfId="7951" xr:uid="{6DD0EEAE-F5A6-460C-BDE2-28C98923FD16}"/>
    <cellStyle name="Output 13 2" xfId="7952" xr:uid="{2A0C5A02-754C-4961-B6DC-7A5F2394EDAC}"/>
    <cellStyle name="Output 13 2 2" xfId="7953" xr:uid="{E87266C9-1305-450B-A022-0866FCF604CD}"/>
    <cellStyle name="Output 13 2 2 2" xfId="19846" xr:uid="{C49E249B-8C9A-4832-AABC-45156FE923E2}"/>
    <cellStyle name="Output 13 2 3" xfId="7954" xr:uid="{8AC45F0C-CDD5-4E7B-86A9-E45C6AFF22C7}"/>
    <cellStyle name="Output 13 2 3 2" xfId="19847" xr:uid="{90CC9F54-6BBE-44CD-95EA-5BD3BF3F257A}"/>
    <cellStyle name="Output 13 2 4" xfId="7955" xr:uid="{B2DFF735-EC0E-42FA-A02A-8500F10A4A7E}"/>
    <cellStyle name="Output 13 2 4 2" xfId="19848" xr:uid="{A62C9E1B-67AE-4346-9854-DC2F274F2AB5}"/>
    <cellStyle name="Output 13 2 5" xfId="7956" xr:uid="{55B1EF7A-FBD5-48B9-9431-6332CEB9CDA7}"/>
    <cellStyle name="Output 13 2 5 2" xfId="19849" xr:uid="{5D382518-44C3-49E3-ABD6-627E28265356}"/>
    <cellStyle name="Output 13 2 6" xfId="19845" xr:uid="{35BF4A49-D56E-47CF-AB6E-4D224329F131}"/>
    <cellStyle name="Output 13 3" xfId="7957" xr:uid="{4D9F4042-1F02-4EB2-AF93-5802B69BEF8D}"/>
    <cellStyle name="Output 13 3 2" xfId="19850" xr:uid="{2C7A68EF-D8CB-499F-84E6-7521A74DDF11}"/>
    <cellStyle name="Output 13 4" xfId="7958" xr:uid="{2E62A9A6-005E-4676-9310-4462B823E240}"/>
    <cellStyle name="Output 13 4 2" xfId="19851" xr:uid="{B3E5F312-ED8E-4F52-A9A6-46AF3F0EAD2C}"/>
    <cellStyle name="Output 13 5" xfId="7959" xr:uid="{92F69545-611F-4F96-BF00-0361B24E8124}"/>
    <cellStyle name="Output 13 5 2" xfId="19852" xr:uid="{EB112819-4381-4780-8039-7DB617E43839}"/>
    <cellStyle name="Output 13 6" xfId="7960" xr:uid="{1D1BE95F-97B0-49CF-8F7E-5EDFD0708E16}"/>
    <cellStyle name="Output 13 6 2" xfId="19853" xr:uid="{2E68E05B-8B9D-4FE0-9689-086C80D88000}"/>
    <cellStyle name="Output 13 7" xfId="19844" xr:uid="{BD0CFF63-282A-4589-9128-EF02CAECBF99}"/>
    <cellStyle name="Output 14" xfId="7961" xr:uid="{E258F248-CC54-4FCD-A9C5-5304AF565BAA}"/>
    <cellStyle name="Output 14 2" xfId="7962" xr:uid="{50D0B85D-D032-4953-B1DF-28176C8D49F4}"/>
    <cellStyle name="Output 14 2 2" xfId="7963" xr:uid="{6234F399-52CF-41A4-90AE-BB2C976A61CB}"/>
    <cellStyle name="Output 14 2 2 2" xfId="19856" xr:uid="{6D486A0D-AD63-475E-BA66-E1401E247EFD}"/>
    <cellStyle name="Output 14 2 3" xfId="7964" xr:uid="{78C064C1-2A34-4A3F-AA4F-79F2E8E2A7B2}"/>
    <cellStyle name="Output 14 2 3 2" xfId="19857" xr:uid="{E4CFA736-FD5E-4409-A6FD-632FD6B6BDB6}"/>
    <cellStyle name="Output 14 2 4" xfId="7965" xr:uid="{ED1AD662-8519-4492-9378-38CD70A1A536}"/>
    <cellStyle name="Output 14 2 4 2" xfId="19858" xr:uid="{71A7CCF9-3BDA-4A73-AB25-5D8B3EC20E5E}"/>
    <cellStyle name="Output 14 2 5" xfId="7966" xr:uid="{30A8D3D5-2534-44FC-AE8C-F82A239981E4}"/>
    <cellStyle name="Output 14 2 5 2" xfId="19859" xr:uid="{6CB48C2D-A5CF-4F1C-873F-479A560DCE00}"/>
    <cellStyle name="Output 14 2 6" xfId="19855" xr:uid="{E6C98C9D-9C58-40EF-B57E-5325B031C455}"/>
    <cellStyle name="Output 14 3" xfId="7967" xr:uid="{FEE1313F-1C4A-45CB-B7EA-646CA2B9E80A}"/>
    <cellStyle name="Output 14 3 2" xfId="19860" xr:uid="{BA490628-8355-484F-830F-17B00ECC2F6E}"/>
    <cellStyle name="Output 14 4" xfId="7968" xr:uid="{65F67B67-435F-4EAB-8F0F-15F9BE7A2D89}"/>
    <cellStyle name="Output 14 4 2" xfId="19861" xr:uid="{ECB9F210-2E1E-4689-87DD-ED508520C00F}"/>
    <cellStyle name="Output 14 5" xfId="7969" xr:uid="{BC0B9D25-4E91-4FCD-85DE-C857ABBE61EA}"/>
    <cellStyle name="Output 14 5 2" xfId="19862" xr:uid="{530FEAB2-FD8C-4A4B-AC2B-7061D0AF1F84}"/>
    <cellStyle name="Output 14 6" xfId="7970" xr:uid="{CB1DFA69-300B-411A-97AC-7892C3B6B965}"/>
    <cellStyle name="Output 14 6 2" xfId="19863" xr:uid="{A91C0DE6-700E-4284-B1AB-D9779B48F1C4}"/>
    <cellStyle name="Output 14 7" xfId="19854" xr:uid="{9F7F02A4-0BBC-41BB-B584-3EB2FABE2F3C}"/>
    <cellStyle name="Output 15" xfId="7971" xr:uid="{D148CB0D-A185-4C9C-AA57-2716803CBB22}"/>
    <cellStyle name="Output 15 2" xfId="7972" xr:uid="{7C1EF9A2-30A1-485B-9FC4-CFF733328D4C}"/>
    <cellStyle name="Output 15 2 2" xfId="7973" xr:uid="{679CFA91-51BD-4032-9F8D-F202C2614D32}"/>
    <cellStyle name="Output 15 2 2 2" xfId="19866" xr:uid="{CAD79CA5-040D-4601-AD61-50448AAB25C1}"/>
    <cellStyle name="Output 15 2 3" xfId="7974" xr:uid="{5342C411-EF4C-4865-8DC6-99BB4F1E28EE}"/>
    <cellStyle name="Output 15 2 3 2" xfId="19867" xr:uid="{A4F296FF-8919-42ED-83CD-0FA40BB3FF15}"/>
    <cellStyle name="Output 15 2 4" xfId="7975" xr:uid="{FA837728-303D-4D8A-BD28-240313B544F7}"/>
    <cellStyle name="Output 15 2 4 2" xfId="19868" xr:uid="{68C7427C-0C84-4967-BE28-26AAA08DC5B8}"/>
    <cellStyle name="Output 15 2 5" xfId="7976" xr:uid="{AB2D52C7-7A51-4EE3-B70D-B8E34A079DCA}"/>
    <cellStyle name="Output 15 2 5 2" xfId="19869" xr:uid="{DDBEC3CB-4A23-4F5B-B576-690FA2E8D949}"/>
    <cellStyle name="Output 15 2 6" xfId="19865" xr:uid="{DE456D8D-5014-425C-903C-DB2900099251}"/>
    <cellStyle name="Output 15 3" xfId="7977" xr:uid="{7908200D-EE0F-4180-B298-5F5C1BA27796}"/>
    <cellStyle name="Output 15 3 2" xfId="19870" xr:uid="{6A6EEB94-FD7C-4D00-AD5E-3F22F44AD1EA}"/>
    <cellStyle name="Output 15 4" xfId="7978" xr:uid="{D802FDC7-5EC9-45D2-8D2F-55B6E00DDAB4}"/>
    <cellStyle name="Output 15 4 2" xfId="19871" xr:uid="{5D585B66-67AB-46B5-ABFA-D3B9A15E4967}"/>
    <cellStyle name="Output 15 5" xfId="7979" xr:uid="{036312DD-F409-4973-9A90-2195A4B0BEBE}"/>
    <cellStyle name="Output 15 5 2" xfId="19872" xr:uid="{48D0D29A-BA7F-40DA-8F15-97991CAC9462}"/>
    <cellStyle name="Output 15 6" xfId="7980" xr:uid="{F1E2EEF6-7531-4DAA-9760-775EB7370CCD}"/>
    <cellStyle name="Output 15 6 2" xfId="19873" xr:uid="{2DE1C3BA-1EC4-4FDA-BC71-B963C24CD7C9}"/>
    <cellStyle name="Output 15 7" xfId="19864" xr:uid="{F26B175E-8D6F-44E7-90AE-97CC8D2D418A}"/>
    <cellStyle name="Output 16" xfId="7981" xr:uid="{6D67F2C3-06D8-4140-9B73-3CF1736B8807}"/>
    <cellStyle name="Output 16 2" xfId="7982" xr:uid="{908ADFE8-AD3A-432D-885E-9556E12D2A30}"/>
    <cellStyle name="Output 16 2 2" xfId="7983" xr:uid="{0F1CFD79-FCD1-4856-8546-D152D18B28A3}"/>
    <cellStyle name="Output 16 2 2 2" xfId="19876" xr:uid="{22DDE894-C3AF-43F8-80B0-78D7B0A3DD74}"/>
    <cellStyle name="Output 16 2 3" xfId="7984" xr:uid="{8F1573E5-70EA-48B6-9995-B35043F57764}"/>
    <cellStyle name="Output 16 2 3 2" xfId="19877" xr:uid="{D858FA66-5311-4C32-A516-2D42F33B5CEB}"/>
    <cellStyle name="Output 16 2 4" xfId="7985" xr:uid="{DBFB8EA5-832C-411E-8105-7815D38AD20B}"/>
    <cellStyle name="Output 16 2 4 2" xfId="19878" xr:uid="{4A8A1C32-02B9-4FB4-834B-550549162151}"/>
    <cellStyle name="Output 16 2 5" xfId="7986" xr:uid="{5209D173-8D6D-4CBB-AD7A-D308F6C315CD}"/>
    <cellStyle name="Output 16 2 5 2" xfId="19879" xr:uid="{A02B9202-98D4-4852-97D3-2CC39D99CBE6}"/>
    <cellStyle name="Output 16 2 6" xfId="19875" xr:uid="{8E495263-1FF2-49BD-B16C-6C6EF75348FB}"/>
    <cellStyle name="Output 16 3" xfId="7987" xr:uid="{D3AB1B87-CA08-4D86-9ADC-758243318921}"/>
    <cellStyle name="Output 16 3 2" xfId="19880" xr:uid="{F8A90C60-EB4D-4644-87CE-5AD6A848A44C}"/>
    <cellStyle name="Output 16 4" xfId="7988" xr:uid="{7018D40E-1DF8-49A8-A9F6-705B3A192A4F}"/>
    <cellStyle name="Output 16 4 2" xfId="19881" xr:uid="{754AAD23-8B23-4FB2-9B74-55E1BC753FA9}"/>
    <cellStyle name="Output 16 5" xfId="7989" xr:uid="{A865188E-1109-49B1-86F0-ADD65689ECA0}"/>
    <cellStyle name="Output 16 5 2" xfId="19882" xr:uid="{8F528A2F-C0E8-4515-933D-CD1A8908857D}"/>
    <cellStyle name="Output 16 6" xfId="7990" xr:uid="{51322A65-1BBE-4AC1-B05C-A5897D16AF15}"/>
    <cellStyle name="Output 16 6 2" xfId="19883" xr:uid="{A41A04C1-0612-4FB5-8E83-71D65DFB3A5A}"/>
    <cellStyle name="Output 16 7" xfId="19874" xr:uid="{173419E0-AD0D-4902-A9F9-51F2529716E8}"/>
    <cellStyle name="Output 17" xfId="7991" xr:uid="{AEF9DC61-4406-41F9-A892-1D74B765B02B}"/>
    <cellStyle name="Output 17 2" xfId="7992" xr:uid="{A5171DF7-5CFF-4F7B-93B4-9B7654D63003}"/>
    <cellStyle name="Output 17 2 2" xfId="19885" xr:uid="{0DB15845-77C9-4EB2-823F-64CE89C91A66}"/>
    <cellStyle name="Output 17 3" xfId="7993" xr:uid="{5643EA4A-5B33-4D98-9658-878630BD3E06}"/>
    <cellStyle name="Output 17 3 2" xfId="19886" xr:uid="{8581C7E6-1938-43B2-9D3F-AE0F8D479EE0}"/>
    <cellStyle name="Output 17 4" xfId="7994" xr:uid="{62121791-3872-459C-871C-6B8E589783A9}"/>
    <cellStyle name="Output 17 4 2" xfId="19887" xr:uid="{1FEFE6AF-1BA4-4C0D-A8B5-F5904DB7A00A}"/>
    <cellStyle name="Output 17 5" xfId="7995" xr:uid="{7CF8A695-94FF-44CC-BFEA-1728C4BFF4D9}"/>
    <cellStyle name="Output 17 5 2" xfId="19888" xr:uid="{16F751A0-F18E-4455-8060-5E65DF75E1AD}"/>
    <cellStyle name="Output 17 6" xfId="19884" xr:uid="{52AAFCC3-9BF2-4741-9871-986652345181}"/>
    <cellStyle name="Output 18" xfId="7996" xr:uid="{684A29EC-658C-4627-B407-E178F5DFCFBA}"/>
    <cellStyle name="Output 18 2" xfId="7997" xr:uid="{2C3D0505-E287-435A-9EA3-2DB87676A2AE}"/>
    <cellStyle name="Output 18 2 2" xfId="19890" xr:uid="{FA523DAD-3651-4B64-98E9-858EC6F88DCC}"/>
    <cellStyle name="Output 18 3" xfId="7998" xr:uid="{75E23BBB-631A-402F-897F-8A5E929D4566}"/>
    <cellStyle name="Output 18 3 2" xfId="19891" xr:uid="{9C84349D-5DB9-41FB-8269-42F9293E51E6}"/>
    <cellStyle name="Output 18 4" xfId="7999" xr:uid="{F358C8D7-F5D7-4F2C-AC8F-45584F5E03B5}"/>
    <cellStyle name="Output 18 4 2" xfId="19892" xr:uid="{866434CB-D9E5-43B9-8DAD-3F7BA63DAEBB}"/>
    <cellStyle name="Output 18 5" xfId="8000" xr:uid="{F79D3670-41B4-48DD-84AC-EE3D38953BED}"/>
    <cellStyle name="Output 18 5 2" xfId="19893" xr:uid="{FB60B39D-3456-4D88-8E1A-68106D6420E3}"/>
    <cellStyle name="Output 18 6" xfId="19889" xr:uid="{7505D465-EDAD-4BC7-AD98-715D13C27628}"/>
    <cellStyle name="Output 19" xfId="8001" xr:uid="{2A0E205E-AEE8-4E56-8479-1D2C28D96EF9}"/>
    <cellStyle name="Output 19 2" xfId="19894" xr:uid="{B0CA0095-602B-4DA0-B7B4-22292F9D9E70}"/>
    <cellStyle name="Output 2" xfId="8002" xr:uid="{47100C7A-7395-49B2-9EAB-318F3694AD82}"/>
    <cellStyle name="Output 2 2" xfId="8003" xr:uid="{6FC59D59-42EA-4DF1-9E90-6B9388E57C5B}"/>
    <cellStyle name="Output 2 2 2" xfId="8004" xr:uid="{F35F7291-58AA-4B1F-BD4B-728D4122AD76}"/>
    <cellStyle name="Output 2 2 2 2" xfId="19896" xr:uid="{0B2F23D8-BA61-454F-B715-34AE2DBB6A46}"/>
    <cellStyle name="Output 2 2 3" xfId="8005" xr:uid="{EAD0614B-7A17-4D26-9056-37A8D3E9E072}"/>
    <cellStyle name="Output 2 2 3 2" xfId="19897" xr:uid="{112A7498-3742-4B52-BDB8-F41ED855D6C4}"/>
    <cellStyle name="Output 2 2 4" xfId="8006" xr:uid="{D0A8C8D4-7BB8-498A-9446-C63DE10BBDD8}"/>
    <cellStyle name="Output 2 2 4 2" xfId="19898" xr:uid="{EDD275F2-AE27-47F2-A401-CF5AF75C387B}"/>
    <cellStyle name="Output 2 2 5" xfId="8007" xr:uid="{FCAED7F2-E619-4327-A236-BA42FDBD820C}"/>
    <cellStyle name="Output 2 2 5 2" xfId="19899" xr:uid="{991A66D6-A61F-4267-81FE-09B1B7D5D593}"/>
    <cellStyle name="Output 2 2 6" xfId="19895" xr:uid="{693FF7F5-A601-4A5E-AB96-331F490A601C}"/>
    <cellStyle name="Output 2 3" xfId="8008" xr:uid="{A48F32CA-37AC-46AD-8BB0-AA42BC2B9202}"/>
    <cellStyle name="Output 2 3 2" xfId="8009" xr:uid="{6C5BF30D-3CD8-4439-9A1A-D3E1EB2D9EC4}"/>
    <cellStyle name="Output 2 3 2 2" xfId="19901" xr:uid="{3790AAF0-E8A0-45B6-8F13-3C784DED8E75}"/>
    <cellStyle name="Output 2 3 3" xfId="8010" xr:uid="{333BA4D1-E233-4810-93AD-57561B0F67EA}"/>
    <cellStyle name="Output 2 3 3 2" xfId="19902" xr:uid="{9C95129D-4C38-4445-96E3-8D71AD598ACB}"/>
    <cellStyle name="Output 2 3 4" xfId="19900" xr:uid="{615B2D18-B54A-47C4-B42B-857381782B10}"/>
    <cellStyle name="Output 2 4" xfId="8011" xr:uid="{7A3BC876-8A9D-4DD8-8091-D8D131DD5AE8}"/>
    <cellStyle name="Output 2 4 2" xfId="19903" xr:uid="{977FC4DA-2468-4E4A-BE1B-F00F3408A63D}"/>
    <cellStyle name="Output 2 5" xfId="8012" xr:uid="{EE2DEE06-BAE5-4096-A641-4562DF04585D}"/>
    <cellStyle name="Output 2 5 2" xfId="19904" xr:uid="{97CCA8AF-2E42-4A74-B32A-972647315C89}"/>
    <cellStyle name="Output 2 6" xfId="8013" xr:uid="{0D3B3096-A0BC-49FE-8D1F-FE83150A61C0}"/>
    <cellStyle name="Output 2 6 2" xfId="19905" xr:uid="{205E744F-F605-44AB-9F88-35111CC8779F}"/>
    <cellStyle name="Output 2 7" xfId="8014" xr:uid="{4D2263EC-17E8-49A3-8DB1-005C4574EA85}"/>
    <cellStyle name="Output 2 7 2" xfId="19906" xr:uid="{5B9F2F96-9AF9-4635-96FD-621A99333AFD}"/>
    <cellStyle name="Output 2 8" xfId="15087" xr:uid="{F81F8FDA-F6D8-4468-9F20-AF7B3C343594}"/>
    <cellStyle name="Output 2_KTR An-Abflug" xfId="14903" xr:uid="{EF5A7B9D-5CC3-41DA-9BAF-6D4B1F52FA80}"/>
    <cellStyle name="Output 20" xfId="8015" xr:uid="{15DD105E-FB18-49E5-8E6B-7C931CEB213F}"/>
    <cellStyle name="Output 20 2" xfId="19907" xr:uid="{C6919C67-DFCD-4C14-9EE8-FAF12746F4EE}"/>
    <cellStyle name="Output 21" xfId="8016" xr:uid="{E2D2737F-79E8-4365-BD19-6F91B461D4B9}"/>
    <cellStyle name="Output 21 2" xfId="19908" xr:uid="{19706311-E283-4196-99BE-D997655E24C2}"/>
    <cellStyle name="Output 22" xfId="8017" xr:uid="{76D961D6-913E-46A8-9E36-033ACFC256C4}"/>
    <cellStyle name="Output 22 2" xfId="19909" xr:uid="{F60C82B9-52B4-4220-ACD3-62679B78E4F3}"/>
    <cellStyle name="Output 23" xfId="8018" xr:uid="{5444E5A8-811F-4FDE-A148-FE16AC9EF104}"/>
    <cellStyle name="Output 23 2" xfId="19910" xr:uid="{FDA3D532-4B0B-4B74-985E-E02AF8C7BB9B}"/>
    <cellStyle name="Output 24" xfId="8019" xr:uid="{7AA53B9C-79FB-4CCE-9795-73C4D80D5F7D}"/>
    <cellStyle name="Output 24 2" xfId="19911" xr:uid="{15ACBF40-2765-4255-A813-F8E5A0A37EEA}"/>
    <cellStyle name="Output 25" xfId="14675" xr:uid="{EE9EDFA2-69E8-4E33-99A0-300F18A78A50}"/>
    <cellStyle name="Output 26" xfId="25869" xr:uid="{21293F50-428C-4432-9E55-E8A8730ED14D}"/>
    <cellStyle name="Output 27" xfId="25858" xr:uid="{A16272D6-AA45-4086-9B59-FAA65197A684}"/>
    <cellStyle name="Output 28" xfId="25876" xr:uid="{EAAB37BF-41B6-4CCB-830A-DD8EDE6AE7C3}"/>
    <cellStyle name="Output 3" xfId="8020" xr:uid="{7DA77A0D-F98A-48FC-93A0-60D85A535DAA}"/>
    <cellStyle name="Output 3 2" xfId="8021" xr:uid="{DFD133A4-EE45-4E51-97FA-4488FA52DA07}"/>
    <cellStyle name="Output 3 2 2" xfId="8022" xr:uid="{9B238C64-2E5C-40AE-B650-FE9C35183647}"/>
    <cellStyle name="Output 3 2 2 2" xfId="19914" xr:uid="{21F855B2-124E-4679-86FE-ED0FC14DEBE9}"/>
    <cellStyle name="Output 3 2 3" xfId="8023" xr:uid="{664E2311-5748-45C8-AAC8-A9294599697E}"/>
    <cellStyle name="Output 3 2 3 2" xfId="19915" xr:uid="{F50FD246-1F82-4C69-AFC5-E2C9F581D8DB}"/>
    <cellStyle name="Output 3 2 4" xfId="8024" xr:uid="{8D808C96-A02C-4CFD-ADC1-F0F12B756971}"/>
    <cellStyle name="Output 3 2 4 2" xfId="19916" xr:uid="{28B41864-677A-416B-870B-A0F8637CED5C}"/>
    <cellStyle name="Output 3 2 5" xfId="8025" xr:uid="{4319E0AC-6D1C-4A98-8451-D63F1AE1B023}"/>
    <cellStyle name="Output 3 2 5 2" xfId="19917" xr:uid="{20DFB07D-C760-46D1-B192-1DDF85C9344B}"/>
    <cellStyle name="Output 3 2 6" xfId="19913" xr:uid="{E9FA0B50-4E83-4CD5-B5A7-B9039474F11C}"/>
    <cellStyle name="Output 3 3" xfId="8026" xr:uid="{49D3EBA3-37D8-4DFD-B1A0-2C7CAB5B6B82}"/>
    <cellStyle name="Output 3 3 2" xfId="19918" xr:uid="{977C5580-516E-4ABF-911B-59F2E6254E92}"/>
    <cellStyle name="Output 3 4" xfId="8027" xr:uid="{32F3C57C-E60C-474A-9338-DFE6CD70BFE6}"/>
    <cellStyle name="Output 3 4 2" xfId="19919" xr:uid="{06857C9B-D9C7-46EB-8A9E-205289D62511}"/>
    <cellStyle name="Output 3 5" xfId="8028" xr:uid="{70CFE2EC-1388-403A-B872-3A40BD6ED791}"/>
    <cellStyle name="Output 3 5 2" xfId="19920" xr:uid="{7DF594EC-50D6-4CE7-9CDA-447EC0B12755}"/>
    <cellStyle name="Output 3 6" xfId="8029" xr:uid="{97744821-064F-4B31-9FAE-FDDCFB9D8604}"/>
    <cellStyle name="Output 3 6 2" xfId="19921" xr:uid="{C359C059-9DFC-4AB2-B6DD-6BA9F9F6FED4}"/>
    <cellStyle name="Output 3 7" xfId="19912" xr:uid="{A2DBFE2E-6BC7-46CC-96C8-315CB4E00806}"/>
    <cellStyle name="Output 4" xfId="8030" xr:uid="{221AF9CF-F5E2-46E1-904F-0EEA5932BCA8}"/>
    <cellStyle name="Output 4 2" xfId="8031" xr:uid="{DA10A92C-8B25-4E4C-A32A-3271AF461B4E}"/>
    <cellStyle name="Output 4 2 2" xfId="8032" xr:uid="{26B58A8A-10DB-4838-BBD2-8643D8FAAAA8}"/>
    <cellStyle name="Output 4 2 2 2" xfId="19924" xr:uid="{61A156B8-8E4F-4E60-97B4-CF948124C3FB}"/>
    <cellStyle name="Output 4 2 3" xfId="8033" xr:uid="{D3E825E1-E60B-4468-92CD-17902E5DCF66}"/>
    <cellStyle name="Output 4 2 3 2" xfId="19925" xr:uid="{4568B447-9F5E-4895-9AEF-67491540C336}"/>
    <cellStyle name="Output 4 2 4" xfId="8034" xr:uid="{BB670BFA-B64F-4FB3-9CF7-A6B9A56E3B81}"/>
    <cellStyle name="Output 4 2 4 2" xfId="19926" xr:uid="{02CD9A24-B785-4411-8CCA-3209071F17C1}"/>
    <cellStyle name="Output 4 2 5" xfId="8035" xr:uid="{7FFAB580-964D-4F16-97E9-9BBF4BC7670B}"/>
    <cellStyle name="Output 4 2 5 2" xfId="19927" xr:uid="{375763E9-705A-4A78-963C-42D757A4B061}"/>
    <cellStyle name="Output 4 2 6" xfId="19923" xr:uid="{E32C3AE4-C748-4C3E-A615-A59B7DC46C30}"/>
    <cellStyle name="Output 4 3" xfId="8036" xr:uid="{DDAB0B01-8D1F-4D4B-884F-30FF645C0CA1}"/>
    <cellStyle name="Output 4 3 2" xfId="19928" xr:uid="{BC6AF4D2-C5A9-4867-BDF7-79CE14C8538E}"/>
    <cellStyle name="Output 4 4" xfId="8037" xr:uid="{5EEB2E5D-D3CE-4D9C-89F2-EB83EF75C7B2}"/>
    <cellStyle name="Output 4 4 2" xfId="19929" xr:uid="{EF113CE6-9791-4151-9DE6-F27DF023E51D}"/>
    <cellStyle name="Output 4 5" xfId="8038" xr:uid="{3F3CC746-E577-4BDF-8420-684F5B0A8584}"/>
    <cellStyle name="Output 4 5 2" xfId="19930" xr:uid="{AC170F66-72B1-4D45-B9E8-8758BBD79B02}"/>
    <cellStyle name="Output 4 6" xfId="8039" xr:uid="{47F72DA6-8D59-4BA6-8809-AE550458E59C}"/>
    <cellStyle name="Output 4 6 2" xfId="19931" xr:uid="{FE021DED-7878-4745-95E4-18C0B6BF8A07}"/>
    <cellStyle name="Output 4 7" xfId="19922" xr:uid="{682AD603-D094-4F83-B73D-CCD5B89DE2FE}"/>
    <cellStyle name="Output 5" xfId="8040" xr:uid="{A04FEF1B-A7E5-4C10-B873-2648AD42AFCF}"/>
    <cellStyle name="Output 5 2" xfId="8041" xr:uid="{6365D7F1-7F37-4E4A-A39C-F833791D389C}"/>
    <cellStyle name="Output 5 2 2" xfId="8042" xr:uid="{BEC90BAE-9785-42E1-BD4C-B45B20986B09}"/>
    <cellStyle name="Output 5 2 2 2" xfId="19934" xr:uid="{7740227B-BF49-4002-ADE2-82FD68DB65A1}"/>
    <cellStyle name="Output 5 2 3" xfId="8043" xr:uid="{B18788B6-7ED2-47BE-82FF-E69C37DBCBD8}"/>
    <cellStyle name="Output 5 2 3 2" xfId="19935" xr:uid="{1EE0EC3E-CC3E-4BC8-9520-9FDAAE8B62D7}"/>
    <cellStyle name="Output 5 2 4" xfId="8044" xr:uid="{146C0D07-2645-4399-B164-7B09A5E14BB8}"/>
    <cellStyle name="Output 5 2 4 2" xfId="19936" xr:uid="{AF8DFFDB-4ACF-420C-B045-D2EB9F0ABF4B}"/>
    <cellStyle name="Output 5 2 5" xfId="8045" xr:uid="{77ABBAC3-AB57-4E1F-A084-FF411F4C03FB}"/>
    <cellStyle name="Output 5 2 5 2" xfId="19937" xr:uid="{4E0F31F9-6919-4A5B-AA84-93ED9304AA8A}"/>
    <cellStyle name="Output 5 2 6" xfId="19933" xr:uid="{945C2AAD-2196-4A11-A1DE-D7086BFF71E6}"/>
    <cellStyle name="Output 5 3" xfId="8046" xr:uid="{ED9CD867-02E8-4E36-9742-43D88B3ED51A}"/>
    <cellStyle name="Output 5 3 2" xfId="19938" xr:uid="{18526C02-B185-4339-877F-5D17DF780BE3}"/>
    <cellStyle name="Output 5 4" xfId="8047" xr:uid="{BA3A0A01-63CB-48A6-AB52-ADE2E386220A}"/>
    <cellStyle name="Output 5 4 2" xfId="19939" xr:uid="{AD122CCB-A2C6-48AD-BEA3-E2F2C218FA72}"/>
    <cellStyle name="Output 5 5" xfId="8048" xr:uid="{1466501A-AEBC-41E4-8B1F-A8D477361D23}"/>
    <cellStyle name="Output 5 5 2" xfId="19940" xr:uid="{74F0C70E-8D57-46AD-ADC9-FFFF187BED73}"/>
    <cellStyle name="Output 5 6" xfId="8049" xr:uid="{2461A095-ECFE-4E30-BAD2-90E72819266F}"/>
    <cellStyle name="Output 5 6 2" xfId="19941" xr:uid="{9812AF75-C2DA-469C-BF4D-4C00A3A62A2D}"/>
    <cellStyle name="Output 5 7" xfId="19932" xr:uid="{521B04EF-97F8-45AB-B255-669388969D8D}"/>
    <cellStyle name="Output 6" xfId="8050" xr:uid="{7050707B-03AD-4B43-ADF7-93583BBAC02D}"/>
    <cellStyle name="Output 6 2" xfId="8051" xr:uid="{1BBAC92F-C021-4019-9A27-BB329EE8E021}"/>
    <cellStyle name="Output 6 2 2" xfId="8052" xr:uid="{7CC5586E-26DA-40F3-82E5-C0B274F342FC}"/>
    <cellStyle name="Output 6 2 2 2" xfId="19944" xr:uid="{B0B7CA86-41F3-4213-9182-9EFB6C330EC9}"/>
    <cellStyle name="Output 6 2 3" xfId="8053" xr:uid="{A1C9E695-1FBB-4FD7-B132-AB3573FE6D1E}"/>
    <cellStyle name="Output 6 2 3 2" xfId="19945" xr:uid="{C07C0A77-C60B-4895-881B-B009062F39D5}"/>
    <cellStyle name="Output 6 2 4" xfId="8054" xr:uid="{4C227A44-9CA0-483E-8EBB-A12FC95F3FD5}"/>
    <cellStyle name="Output 6 2 4 2" xfId="19946" xr:uid="{7A9C2FD5-2F23-4548-872C-13437153F241}"/>
    <cellStyle name="Output 6 2 5" xfId="8055" xr:uid="{6A089399-5610-49D1-A313-DF3401E80683}"/>
    <cellStyle name="Output 6 2 5 2" xfId="19947" xr:uid="{D23868E4-7630-4F56-9EB6-92B0735CFECC}"/>
    <cellStyle name="Output 6 2 6" xfId="19943" xr:uid="{52121923-2855-415A-9473-B73DBDDE5A5C}"/>
    <cellStyle name="Output 6 3" xfId="8056" xr:uid="{013DC6AE-1981-4E36-BBB6-32E3EAF68A02}"/>
    <cellStyle name="Output 6 3 2" xfId="19948" xr:uid="{EFF9AE9E-7868-46AB-9153-31636318A1D8}"/>
    <cellStyle name="Output 6 4" xfId="8057" xr:uid="{A7E95F64-1CCD-4170-B27F-13F02BE137FA}"/>
    <cellStyle name="Output 6 4 2" xfId="19949" xr:uid="{924939FD-02FD-443F-9E56-114E3F4CA41B}"/>
    <cellStyle name="Output 6 5" xfId="8058" xr:uid="{3905F8D1-C9C0-45A8-9F09-D077D7C8FF83}"/>
    <cellStyle name="Output 6 5 2" xfId="19950" xr:uid="{173D71C7-E97E-41DF-906F-B4CA6352B473}"/>
    <cellStyle name="Output 6 6" xfId="8059" xr:uid="{932292C9-0CE9-4A8C-B2DB-BAB096482CE2}"/>
    <cellStyle name="Output 6 6 2" xfId="19951" xr:uid="{FACB7E37-D588-4247-AEAB-31DFD12EB202}"/>
    <cellStyle name="Output 6 7" xfId="19942" xr:uid="{7243035C-1352-4036-841E-CDB424660685}"/>
    <cellStyle name="Output 7" xfId="8060" xr:uid="{4FCB4D56-14C9-4294-8560-B5343D2EEC8B}"/>
    <cellStyle name="Output 7 2" xfId="8061" xr:uid="{D3B34C95-EC78-49CC-9C84-4CEEF990264F}"/>
    <cellStyle name="Output 7 2 2" xfId="8062" xr:uid="{41276444-DE55-4EDC-97D3-0F9A280CF628}"/>
    <cellStyle name="Output 7 2 2 2" xfId="19954" xr:uid="{02FB84F9-B58F-4618-B370-F824D1E56D56}"/>
    <cellStyle name="Output 7 2 3" xfId="8063" xr:uid="{085BBC89-F8A3-4532-A841-F1B7DEF1C70E}"/>
    <cellStyle name="Output 7 2 3 2" xfId="19955" xr:uid="{40B1911B-7C6C-4073-A970-C50E3BEE56CA}"/>
    <cellStyle name="Output 7 2 4" xfId="8064" xr:uid="{34AF7619-C908-4656-ADC8-88C975B9BCFB}"/>
    <cellStyle name="Output 7 2 4 2" xfId="19956" xr:uid="{40F3F205-304C-4D38-9A58-2B059601CC24}"/>
    <cellStyle name="Output 7 2 5" xfId="8065" xr:uid="{CF1CD5C0-2BB7-45D5-82B5-C707AD94A7FF}"/>
    <cellStyle name="Output 7 2 5 2" xfId="19957" xr:uid="{5CFB5092-03ED-42D5-8C16-8856C1BFC6DF}"/>
    <cellStyle name="Output 7 2 6" xfId="19953" xr:uid="{38A579FC-3DA1-4514-ACCA-8A8B82BDBC03}"/>
    <cellStyle name="Output 7 3" xfId="8066" xr:uid="{57224FE1-E6D1-4ECD-BD49-FE88AB98BF43}"/>
    <cellStyle name="Output 7 3 2" xfId="19958" xr:uid="{FD176EA0-7FEF-404A-A16C-17A7C0557912}"/>
    <cellStyle name="Output 7 4" xfId="8067" xr:uid="{A5DC46B5-DA25-4721-8F89-272631897A05}"/>
    <cellStyle name="Output 7 4 2" xfId="19959" xr:uid="{A228D7AF-CA65-4630-9574-FDA31DA05ACE}"/>
    <cellStyle name="Output 7 5" xfId="8068" xr:uid="{2843CD66-0D46-4167-8678-E690AA57FCF8}"/>
    <cellStyle name="Output 7 5 2" xfId="19960" xr:uid="{E93325F0-58D7-4FBE-8E48-69AC70CAA965}"/>
    <cellStyle name="Output 7 6" xfId="8069" xr:uid="{53619289-74EC-4061-924A-2C0DED308F32}"/>
    <cellStyle name="Output 7 6 2" xfId="19961" xr:uid="{12C31815-615D-4E55-AA26-5EFDE5B12965}"/>
    <cellStyle name="Output 7 7" xfId="19952" xr:uid="{5EED740E-F0E6-48EF-A981-020AAB2EBFA2}"/>
    <cellStyle name="Output 8" xfId="8070" xr:uid="{3D1A043C-0BCA-4379-8BB3-7FDD3A419F0D}"/>
    <cellStyle name="Output 8 2" xfId="8071" xr:uid="{DBF92D70-2B23-4594-B58B-C0490E5623E8}"/>
    <cellStyle name="Output 8 2 2" xfId="8072" xr:uid="{9C3DF6EC-6B07-455B-84EB-C608B306F654}"/>
    <cellStyle name="Output 8 2 2 2" xfId="19964" xr:uid="{7C1916D7-CDA0-4698-A96C-91A12AEA4097}"/>
    <cellStyle name="Output 8 2 3" xfId="8073" xr:uid="{1114B832-67A3-4548-8E07-0B3A8711E9B2}"/>
    <cellStyle name="Output 8 2 3 2" xfId="19965" xr:uid="{4A469C8B-EF8F-4B68-A3C4-5CD917EDD27E}"/>
    <cellStyle name="Output 8 2 4" xfId="8074" xr:uid="{C7419808-74BF-4F7D-BC1B-64D0F0616837}"/>
    <cellStyle name="Output 8 2 4 2" xfId="19966" xr:uid="{A03F7295-00D5-4B21-B922-7194FC891E39}"/>
    <cellStyle name="Output 8 2 5" xfId="8075" xr:uid="{D28BB4B0-7A0A-4DD7-B445-68312BD1C01D}"/>
    <cellStyle name="Output 8 2 5 2" xfId="19967" xr:uid="{D09159E1-5A55-4C25-B9D8-97C3CDBC1164}"/>
    <cellStyle name="Output 8 2 6" xfId="19963" xr:uid="{D323A3A1-D43D-49D9-AF92-E6DD96CE3994}"/>
    <cellStyle name="Output 8 3" xfId="8076" xr:uid="{C5483AAD-5F04-4A1E-AA18-E33EB8ED50F7}"/>
    <cellStyle name="Output 8 3 2" xfId="19968" xr:uid="{71DBD813-1DC4-49B2-9CEC-75A8C7C35294}"/>
    <cellStyle name="Output 8 4" xfId="8077" xr:uid="{B95A8CF5-43E3-4D5D-8D49-D1AD76546669}"/>
    <cellStyle name="Output 8 4 2" xfId="19969" xr:uid="{4E886311-5FAB-4512-81EA-A050D5ADBED6}"/>
    <cellStyle name="Output 8 5" xfId="8078" xr:uid="{C82C274C-450F-40DA-9D56-687063B4BFDB}"/>
    <cellStyle name="Output 8 5 2" xfId="19970" xr:uid="{84E8A7F2-E594-4FDE-9D15-364623853105}"/>
    <cellStyle name="Output 8 6" xfId="8079" xr:uid="{719E97DE-1E0D-4736-A345-B2AB086E5C99}"/>
    <cellStyle name="Output 8 6 2" xfId="19971" xr:uid="{EB11C98B-69B9-4EA0-8C25-606B3A37BFCA}"/>
    <cellStyle name="Output 8 7" xfId="19962" xr:uid="{ADBEBB41-8182-4A26-9C77-8E5B047939D4}"/>
    <cellStyle name="Output 9" xfId="8080" xr:uid="{C1FF8265-A934-4AED-A9DD-F5296E452249}"/>
    <cellStyle name="Output 9 2" xfId="8081" xr:uid="{1B5E2C63-6674-43D2-9AD4-F17B30D87594}"/>
    <cellStyle name="Output 9 2 2" xfId="8082" xr:uid="{22C02CE2-4BD3-479B-B705-8C7DCD48795F}"/>
    <cellStyle name="Output 9 2 2 2" xfId="19974" xr:uid="{93461F46-0810-4BE6-89AA-E1200961730D}"/>
    <cellStyle name="Output 9 2 3" xfId="8083" xr:uid="{6944F8FD-A4B9-4BAA-B23C-494A0862C884}"/>
    <cellStyle name="Output 9 2 3 2" xfId="19975" xr:uid="{04712335-6E59-4C1A-883D-F71AB4A8267C}"/>
    <cellStyle name="Output 9 2 4" xfId="8084" xr:uid="{3250A9A9-585C-49F0-A5B2-C9D1FF68D501}"/>
    <cellStyle name="Output 9 2 4 2" xfId="19976" xr:uid="{9F983E5B-1047-4FCB-8C0B-0BCD0975CD55}"/>
    <cellStyle name="Output 9 2 5" xfId="8085" xr:uid="{F7C67366-9365-4A6E-9BAF-FF55CF10B12D}"/>
    <cellStyle name="Output 9 2 5 2" xfId="19977" xr:uid="{3A7C7AE2-8CF9-4870-8B4E-EDFF19BB1003}"/>
    <cellStyle name="Output 9 2 6" xfId="19973" xr:uid="{0DB59824-F1AA-4825-91FE-461191C92CD9}"/>
    <cellStyle name="Output 9 3" xfId="8086" xr:uid="{E74EE17C-A3F1-47D7-9B66-2C3FFE078003}"/>
    <cellStyle name="Output 9 3 2" xfId="19978" xr:uid="{61F7B24E-7C17-49C6-BEB4-E15BD9F42EA6}"/>
    <cellStyle name="Output 9 4" xfId="8087" xr:uid="{EE44519F-D89E-4B7B-B27F-D7CCDBA81600}"/>
    <cellStyle name="Output 9 4 2" xfId="19979" xr:uid="{13208D12-8101-4356-B12C-F98460A89F97}"/>
    <cellStyle name="Output 9 5" xfId="8088" xr:uid="{7CC279F4-E16D-4138-988D-3E385C541AFD}"/>
    <cellStyle name="Output 9 5 2" xfId="19980" xr:uid="{C2BB71CB-3D7E-4EA5-837F-03B3AA9365FD}"/>
    <cellStyle name="Output 9 6" xfId="8089" xr:uid="{56963FD5-6E75-4060-94F0-9313011D0CC1}"/>
    <cellStyle name="Output 9 6 2" xfId="19981" xr:uid="{77225600-E35C-4264-9864-19C323BA03E1}"/>
    <cellStyle name="Output 9 7" xfId="19972" xr:uid="{C491ACB8-865B-4155-9F6D-2104C342F543}"/>
    <cellStyle name="Overskrift 1" xfId="8090" xr:uid="{50543DA9-08F4-417D-A17B-2C445F1FFC13}"/>
    <cellStyle name="Overskrift 2" xfId="8091" xr:uid="{BA99231E-9FC6-49B9-84E9-52A59880DEFB}"/>
    <cellStyle name="Overskrift 3" xfId="8092" xr:uid="{26C5EFA0-859C-4126-AB80-9D789AD46982}"/>
    <cellStyle name="Overskrift 4" xfId="8093" xr:uid="{8DB1236C-E008-453C-8E14-0D7148FAC82F}"/>
    <cellStyle name="Overwrite" xfId="8094" xr:uid="{E310B77E-5736-4EDD-82BA-51B8769144D1}"/>
    <cellStyle name="Page Heading Large" xfId="8095" xr:uid="{E3EE5C69-DAD4-4F17-AF52-2C04AB552AD3}"/>
    <cellStyle name="Page Heading Small" xfId="8096" xr:uid="{6573680B-14EB-4BD3-A598-EB4F36C0717D}"/>
    <cellStyle name="Page Number" xfId="8097" xr:uid="{6690A114-EB6B-474D-8BA3-AF6E8611A31F}"/>
    <cellStyle name="Par dŽfaut" xfId="8098" xr:uid="{D41990DD-3F3C-446D-AE39-914ADC519F70}"/>
    <cellStyle name="Par dŽfaut 2" xfId="8099" xr:uid="{7E8CD620-14AA-4943-9656-17E39DE804A3}"/>
    <cellStyle name="Par dŽfaut 3" xfId="8100" xr:uid="{F8A9C4CB-9807-4FBC-A3A1-C06B3D03812A}"/>
    <cellStyle name="Par dŽfaut 3 2" xfId="14878" xr:uid="{7F720785-3B5A-4BF8-95DD-31AA4844B121}"/>
    <cellStyle name="paragraphe" xfId="8101" xr:uid="{C706181F-0D9E-4A5E-8414-14D1F0B8F07A}"/>
    <cellStyle name="Paryškinimas 1" xfId="8102" xr:uid="{F5677ECF-823D-4120-93DE-654FD9A16EA7}"/>
    <cellStyle name="Paryškinimas 2" xfId="8103" xr:uid="{BC908E87-00AD-460E-BF95-1B0E6EC6928B}"/>
    <cellStyle name="Paryškinimas 3" xfId="8104" xr:uid="{3EE0BC15-F169-4553-854B-E3B244AB450C}"/>
    <cellStyle name="Paryškinimas 4" xfId="8105" xr:uid="{47E91835-E59B-464C-B69D-8656243643DE}"/>
    <cellStyle name="Paryškinimas 5" xfId="8106" xr:uid="{EB6BD26D-5470-438D-9F95-3D2E4646CAFD}"/>
    <cellStyle name="Paryškinimas 6" xfId="8107" xr:uid="{0ADC9D97-B334-4875-8EE1-C1AAFD98FD1F}"/>
    <cellStyle name="Pastaba" xfId="8108" xr:uid="{D830B0BB-D5E4-45D2-B9AD-69682CB5A16A}"/>
    <cellStyle name="Pastaba 10" xfId="8109" xr:uid="{708086AF-391E-4225-B0AD-68A5CA7A1586}"/>
    <cellStyle name="Pastaba 10 2" xfId="8110" xr:uid="{72E8F84D-A192-4F61-866D-66D18A62F3C3}"/>
    <cellStyle name="Pastaba 10 2 2" xfId="8111" xr:uid="{940AF381-638F-4011-9CEA-9AC2582D8DB0}"/>
    <cellStyle name="Pastaba 10 2 2 2" xfId="19984" xr:uid="{152B0578-749C-4185-BA70-90ED3340AC8D}"/>
    <cellStyle name="Pastaba 10 2 3" xfId="8112" xr:uid="{A0F92E6C-C611-4B97-929E-4FCF8ACC64F1}"/>
    <cellStyle name="Pastaba 10 2 3 2" xfId="19985" xr:uid="{ED78F669-0DC3-482F-AB09-1C98F38E558C}"/>
    <cellStyle name="Pastaba 10 2 4" xfId="8113" xr:uid="{C614A0AB-5EA2-405A-821F-94B7626A3EE4}"/>
    <cellStyle name="Pastaba 10 2 4 2" xfId="19986" xr:uid="{6845D6FC-5FBB-4050-8256-2E44F7E85406}"/>
    <cellStyle name="Pastaba 10 2 5" xfId="8114" xr:uid="{597C2D68-42E1-494E-B764-F281DB999CDB}"/>
    <cellStyle name="Pastaba 10 2 5 2" xfId="19987" xr:uid="{D18466C1-5BFF-477E-863C-3EAFDBBAAC63}"/>
    <cellStyle name="Pastaba 10 2 6" xfId="19983" xr:uid="{ED649484-B707-4032-9E44-2829C0BF91C9}"/>
    <cellStyle name="Pastaba 10 3" xfId="8115" xr:uid="{1BB5E507-C49A-4DD9-9F59-53C4999D2CD4}"/>
    <cellStyle name="Pastaba 10 3 2" xfId="19988" xr:uid="{2C16DB11-6D82-42B2-9D91-4A8A4475ACD8}"/>
    <cellStyle name="Pastaba 10 4" xfId="8116" xr:uid="{CF3BF780-6286-4562-A185-8861F8921956}"/>
    <cellStyle name="Pastaba 10 4 2" xfId="19989" xr:uid="{4D7A287D-AC80-47F9-B085-98E01455ECEB}"/>
    <cellStyle name="Pastaba 10 5" xfId="8117" xr:uid="{EF8CF9AC-87AC-4366-B8E8-43089914B146}"/>
    <cellStyle name="Pastaba 10 5 2" xfId="19990" xr:uid="{19F78839-3AA3-44A4-B56C-F2C506B51D5E}"/>
    <cellStyle name="Pastaba 10 6" xfId="8118" xr:uid="{B027A4A3-5A41-41D8-9909-77B4C196E00E}"/>
    <cellStyle name="Pastaba 10 6 2" xfId="19991" xr:uid="{60F93D2A-E236-4714-BC11-48A00E76A5DD}"/>
    <cellStyle name="Pastaba 10 7" xfId="19982" xr:uid="{BE92494D-1EBB-43E3-801D-A977139AE6EC}"/>
    <cellStyle name="Pastaba 11" xfId="8119" xr:uid="{D9B2FF5D-900D-40A8-A25B-577795864B65}"/>
    <cellStyle name="Pastaba 11 2" xfId="8120" xr:uid="{5165822D-E740-4EE3-B90C-AF7944D314FA}"/>
    <cellStyle name="Pastaba 11 2 2" xfId="8121" xr:uid="{67325913-E88D-4509-AC28-A0D9674CA5CE}"/>
    <cellStyle name="Pastaba 11 2 2 2" xfId="19994" xr:uid="{6E99A96C-C5CB-497C-99D1-95BA1CA43AE0}"/>
    <cellStyle name="Pastaba 11 2 3" xfId="8122" xr:uid="{08EF8B88-49CD-4002-99B8-C0B07CDA9110}"/>
    <cellStyle name="Pastaba 11 2 3 2" xfId="19995" xr:uid="{57ECDDB3-69D6-4327-940F-20EEDC2ECA0E}"/>
    <cellStyle name="Pastaba 11 2 4" xfId="8123" xr:uid="{F2B1FC85-52C2-48CC-B940-9C8DAB01A560}"/>
    <cellStyle name="Pastaba 11 2 4 2" xfId="19996" xr:uid="{D290FD41-4F25-48B5-BD03-D02547ACAEAB}"/>
    <cellStyle name="Pastaba 11 2 5" xfId="8124" xr:uid="{BEF9FF37-51BA-4FDE-9B3D-A97A0829E1B5}"/>
    <cellStyle name="Pastaba 11 2 5 2" xfId="19997" xr:uid="{E889F791-0E70-4A8D-B477-ACFE64801018}"/>
    <cellStyle name="Pastaba 11 2 6" xfId="19993" xr:uid="{697C8000-B217-477C-B30E-66C4FDA996F7}"/>
    <cellStyle name="Pastaba 11 3" xfId="8125" xr:uid="{31890419-0BAA-4D7D-A66E-3665A45EE127}"/>
    <cellStyle name="Pastaba 11 3 2" xfId="19998" xr:uid="{37CE0EE2-2CD5-45A3-8093-14424303316A}"/>
    <cellStyle name="Pastaba 11 4" xfId="8126" xr:uid="{75E5D770-733C-4B3C-B951-4769015E1DC5}"/>
    <cellStyle name="Pastaba 11 4 2" xfId="19999" xr:uid="{B3288E8A-BCA9-4E0B-8883-29BE4367012D}"/>
    <cellStyle name="Pastaba 11 5" xfId="8127" xr:uid="{52C1E8D2-5A61-4FCC-BE63-D3BF7FA5E6A6}"/>
    <cellStyle name="Pastaba 11 5 2" xfId="20000" xr:uid="{F8FC177E-6264-451B-A9DC-0980B0DF4A0D}"/>
    <cellStyle name="Pastaba 11 6" xfId="8128" xr:uid="{E0E988B4-C4D4-4768-9DD0-5CD2345165C3}"/>
    <cellStyle name="Pastaba 11 6 2" xfId="20001" xr:uid="{772DEECA-FB7E-4FE3-8C70-A9C45D3F0D66}"/>
    <cellStyle name="Pastaba 11 7" xfId="19992" xr:uid="{D22A8EF3-EE5D-42F6-9A92-83B595A78175}"/>
    <cellStyle name="Pastaba 12" xfId="8129" xr:uid="{8813E9E9-8655-4B71-AB44-88488F475EF1}"/>
    <cellStyle name="Pastaba 12 2" xfId="8130" xr:uid="{480094A6-00D7-4655-A238-1E7D25918330}"/>
    <cellStyle name="Pastaba 12 2 2" xfId="8131" xr:uid="{040C5845-04A0-4C49-8597-A3CF8E64BA7C}"/>
    <cellStyle name="Pastaba 12 2 2 2" xfId="20004" xr:uid="{F7EA9515-08AA-436C-AFF8-D5D613AD4B7B}"/>
    <cellStyle name="Pastaba 12 2 3" xfId="8132" xr:uid="{64747286-916E-4283-B979-734097B81AFF}"/>
    <cellStyle name="Pastaba 12 2 3 2" xfId="20005" xr:uid="{AF7F9431-474A-4FF6-B00A-5FDB8487E570}"/>
    <cellStyle name="Pastaba 12 2 4" xfId="8133" xr:uid="{9035D3A3-EFE3-44A1-A653-185D84BC6DC2}"/>
    <cellStyle name="Pastaba 12 2 4 2" xfId="20006" xr:uid="{C34EE1CC-7E0C-4C91-923A-EAB7CD7E72BB}"/>
    <cellStyle name="Pastaba 12 2 5" xfId="8134" xr:uid="{E310443B-A4AD-4FFB-A111-CEDFDCC102C0}"/>
    <cellStyle name="Pastaba 12 2 5 2" xfId="20007" xr:uid="{9D9F3071-31C3-475B-93FE-3C29D8166611}"/>
    <cellStyle name="Pastaba 12 2 6" xfId="20003" xr:uid="{91EFD4E1-B1FE-49BF-BAE3-F80098A88BD8}"/>
    <cellStyle name="Pastaba 12 3" xfId="8135" xr:uid="{86F234F5-532E-43D4-AC03-8FBD2DE05DE8}"/>
    <cellStyle name="Pastaba 12 3 2" xfId="20008" xr:uid="{0EFC7574-5287-47F0-AD69-7D2F481B59B7}"/>
    <cellStyle name="Pastaba 12 4" xfId="8136" xr:uid="{E8FE8B37-3F49-445C-BFFF-3E728B5F3C14}"/>
    <cellStyle name="Pastaba 12 4 2" xfId="20009" xr:uid="{BE4C8EC3-887A-4BFE-94F4-543AE7DED62D}"/>
    <cellStyle name="Pastaba 12 5" xfId="8137" xr:uid="{9695DE48-4E3D-403A-AE37-4F5C7B105FBA}"/>
    <cellStyle name="Pastaba 12 5 2" xfId="20010" xr:uid="{6C90CE56-0CB0-4378-AB0C-8FA93D6EF34B}"/>
    <cellStyle name="Pastaba 12 6" xfId="8138" xr:uid="{C1C6F218-333D-4AA4-8604-DA0D93357B54}"/>
    <cellStyle name="Pastaba 12 6 2" xfId="20011" xr:uid="{6AEC945D-F994-476A-95EE-E082AF7BA503}"/>
    <cellStyle name="Pastaba 12 7" xfId="20002" xr:uid="{B2366CD0-ABC2-45A9-92EB-93598F5B2D32}"/>
    <cellStyle name="Pastaba 13" xfId="8139" xr:uid="{12289B7A-9905-40D3-83C2-E18247C278C1}"/>
    <cellStyle name="Pastaba 13 2" xfId="8140" xr:uid="{6AFC27D5-1D15-463B-9BED-73CD1A148B72}"/>
    <cellStyle name="Pastaba 13 2 2" xfId="8141" xr:uid="{6235442B-EB15-495E-AB0F-9F769088C039}"/>
    <cellStyle name="Pastaba 13 2 2 2" xfId="20014" xr:uid="{53FE8FB5-5E3D-484C-B414-050E55DF155E}"/>
    <cellStyle name="Pastaba 13 2 3" xfId="8142" xr:uid="{1F1EC6C4-403C-44B0-944A-A5D4D07B4C9F}"/>
    <cellStyle name="Pastaba 13 2 3 2" xfId="20015" xr:uid="{67452BBB-9B07-4DC1-9DC9-AFB4A1DAD82A}"/>
    <cellStyle name="Pastaba 13 2 4" xfId="8143" xr:uid="{B9949F0A-72C9-4868-A844-36074F6B0DF9}"/>
    <cellStyle name="Pastaba 13 2 4 2" xfId="20016" xr:uid="{4A9B7FF2-0D77-4AD7-8301-23A46B23D61A}"/>
    <cellStyle name="Pastaba 13 2 5" xfId="8144" xr:uid="{9DE691B9-36E2-469E-AEA2-948FCF236372}"/>
    <cellStyle name="Pastaba 13 2 5 2" xfId="20017" xr:uid="{FC0F7E01-4142-46D3-ABB0-4C646E0DDC73}"/>
    <cellStyle name="Pastaba 13 2 6" xfId="20013" xr:uid="{48CB54C9-CC8C-4A2C-9CC1-0C0226D6912B}"/>
    <cellStyle name="Pastaba 13 3" xfId="8145" xr:uid="{A186F4EC-2FBA-4BE1-8CE4-DEF5416EF362}"/>
    <cellStyle name="Pastaba 13 3 2" xfId="20018" xr:uid="{A81D6D1E-D1B9-4192-982C-310506D2AEB6}"/>
    <cellStyle name="Pastaba 13 4" xfId="8146" xr:uid="{214BF8FC-E1B8-452A-A421-52E6D85F739C}"/>
    <cellStyle name="Pastaba 13 4 2" xfId="20019" xr:uid="{6C298F14-1B1F-4664-A60C-CD82AE6D8419}"/>
    <cellStyle name="Pastaba 13 5" xfId="8147" xr:uid="{631B98F2-D223-435D-ABA0-846DE0294438}"/>
    <cellStyle name="Pastaba 13 5 2" xfId="20020" xr:uid="{8CF9BC57-5DDD-4FC5-83B5-3E69A73E8A47}"/>
    <cellStyle name="Pastaba 13 6" xfId="8148" xr:uid="{3698C2D8-4215-47BF-9F84-BAD9317EF2E9}"/>
    <cellStyle name="Pastaba 13 6 2" xfId="20021" xr:uid="{AF81FF7E-E7FB-434A-9A6B-875CFB275BB1}"/>
    <cellStyle name="Pastaba 13 7" xfId="20012" xr:uid="{569B0076-EB64-4E2D-B9CF-F27D88375866}"/>
    <cellStyle name="Pastaba 14" xfId="8149" xr:uid="{A410FA3F-B01B-4066-BAE7-3D6543452658}"/>
    <cellStyle name="Pastaba 14 2" xfId="8150" xr:uid="{0B4A2155-0217-4827-8663-B47BC1DFA294}"/>
    <cellStyle name="Pastaba 14 2 2" xfId="8151" xr:uid="{64A3FB74-5ED3-43CB-8100-ED1AD3CD0D24}"/>
    <cellStyle name="Pastaba 14 2 2 2" xfId="20024" xr:uid="{86068036-4000-4347-BE16-4E94A36B3A72}"/>
    <cellStyle name="Pastaba 14 2 3" xfId="8152" xr:uid="{B9F441B8-F29A-43AF-9380-86018658E39A}"/>
    <cellStyle name="Pastaba 14 2 3 2" xfId="20025" xr:uid="{A2BBCE01-9C96-475A-8B3C-6BB35F9CB80E}"/>
    <cellStyle name="Pastaba 14 2 4" xfId="8153" xr:uid="{CE124226-B2A3-4ACF-A7FD-EDC3BA32B6BA}"/>
    <cellStyle name="Pastaba 14 2 4 2" xfId="20026" xr:uid="{F8458307-41BB-492D-987F-B7CAF406E043}"/>
    <cellStyle name="Pastaba 14 2 5" xfId="8154" xr:uid="{AA216E9A-39CE-4403-BCDA-FF5B3C1DAA71}"/>
    <cellStyle name="Pastaba 14 2 5 2" xfId="20027" xr:uid="{7A17410B-49B9-42B6-A04E-AAE3165940AD}"/>
    <cellStyle name="Pastaba 14 2 6" xfId="20023" xr:uid="{3E42B298-F7E9-4DD1-A66E-58FC469925A1}"/>
    <cellStyle name="Pastaba 14 3" xfId="8155" xr:uid="{04A09888-20DB-45B7-ACF6-EC9F9EA42FAC}"/>
    <cellStyle name="Pastaba 14 3 2" xfId="20028" xr:uid="{8D654930-D813-40BA-8960-CBAABD372D7B}"/>
    <cellStyle name="Pastaba 14 4" xfId="8156" xr:uid="{86184A05-2537-45D2-8AC4-8060775B65D1}"/>
    <cellStyle name="Pastaba 14 4 2" xfId="20029" xr:uid="{6D0FEDD7-6D21-45B1-ADA6-A0D720D6F216}"/>
    <cellStyle name="Pastaba 14 5" xfId="8157" xr:uid="{F7A3E498-9C3F-4149-BB66-2589198F2C83}"/>
    <cellStyle name="Pastaba 14 5 2" xfId="20030" xr:uid="{9DA2EF48-043C-46F2-9384-F3513A3CD160}"/>
    <cellStyle name="Pastaba 14 6" xfId="8158" xr:uid="{AAE3CE5A-C919-4D41-B618-C9924DFEE5FC}"/>
    <cellStyle name="Pastaba 14 6 2" xfId="20031" xr:uid="{B2B2F40C-B912-4293-81B6-BCD7BC8CB788}"/>
    <cellStyle name="Pastaba 14 7" xfId="20022" xr:uid="{6A3B43D4-0851-4A5C-A806-41A93AD7C811}"/>
    <cellStyle name="Pastaba 15" xfId="8159" xr:uid="{B0097B25-7F3F-4A90-930C-541AE27CA688}"/>
    <cellStyle name="Pastaba 15 2" xfId="8160" xr:uid="{36753055-AC6C-4DFB-B44E-D16116AD214D}"/>
    <cellStyle name="Pastaba 15 2 2" xfId="8161" xr:uid="{857043CF-4198-43D1-814A-8E4E149588B0}"/>
    <cellStyle name="Pastaba 15 2 2 2" xfId="20034" xr:uid="{CE4B7514-70B3-49A3-94E8-197EF0CBF3B6}"/>
    <cellStyle name="Pastaba 15 2 3" xfId="8162" xr:uid="{3900DA36-052A-4BDE-B71C-1C66E2D11F5C}"/>
    <cellStyle name="Pastaba 15 2 3 2" xfId="20035" xr:uid="{3075C48B-AA28-4A3C-983B-7481C7BF785C}"/>
    <cellStyle name="Pastaba 15 2 4" xfId="8163" xr:uid="{5A4FAB33-655F-4337-B44E-F3D08EFA604C}"/>
    <cellStyle name="Pastaba 15 2 4 2" xfId="20036" xr:uid="{831D9834-06A7-4E65-B3E6-A8B8AE05DDAC}"/>
    <cellStyle name="Pastaba 15 2 5" xfId="8164" xr:uid="{0BBBF190-EB99-4222-A404-F8B8D01522B5}"/>
    <cellStyle name="Pastaba 15 2 5 2" xfId="20037" xr:uid="{D02DB186-04E0-4441-ADDB-CF28C43D03C9}"/>
    <cellStyle name="Pastaba 15 2 6" xfId="20033" xr:uid="{615498CC-DE06-4CAD-A091-01523A96CFC5}"/>
    <cellStyle name="Pastaba 15 3" xfId="8165" xr:uid="{D70A01AE-794C-4448-8E63-8D9DFF422186}"/>
    <cellStyle name="Pastaba 15 3 2" xfId="20038" xr:uid="{3FA85FB4-C794-4998-91CB-6B35EEA19CF5}"/>
    <cellStyle name="Pastaba 15 4" xfId="8166" xr:uid="{FE37D483-1574-4CE4-A4EA-22053412F0EE}"/>
    <cellStyle name="Pastaba 15 4 2" xfId="20039" xr:uid="{950A630B-35DE-4071-9FFC-20A807CD8DE1}"/>
    <cellStyle name="Pastaba 15 5" xfId="8167" xr:uid="{E5475EEF-6152-4423-92EE-8EB93F17619F}"/>
    <cellStyle name="Pastaba 15 5 2" xfId="20040" xr:uid="{BEC975E6-F275-4CBB-85BB-B9430FD7FDE2}"/>
    <cellStyle name="Pastaba 15 6" xfId="8168" xr:uid="{053175E9-C639-45FA-B03B-84D39CF20F10}"/>
    <cellStyle name="Pastaba 15 6 2" xfId="20041" xr:uid="{931FC546-8008-4E32-9B9C-76283F63B104}"/>
    <cellStyle name="Pastaba 15 7" xfId="20032" xr:uid="{94AB51FC-6461-491F-8367-BDAB55DC122C}"/>
    <cellStyle name="Pastaba 16" xfId="8169" xr:uid="{77E062FD-C406-48CA-AD5B-35AE2255823A}"/>
    <cellStyle name="Pastaba 16 2" xfId="8170" xr:uid="{15EEDD97-3634-43A3-9316-F3A83BCA89CC}"/>
    <cellStyle name="Pastaba 16 2 2" xfId="8171" xr:uid="{3058C574-0CF8-4266-9844-0D6CAC5CFC3E}"/>
    <cellStyle name="Pastaba 16 2 2 2" xfId="20044" xr:uid="{FBB989B4-EB21-4BB7-A483-90B0A6ADCD27}"/>
    <cellStyle name="Pastaba 16 2 3" xfId="8172" xr:uid="{D7AAC131-6F5D-4A27-8958-51A727211011}"/>
    <cellStyle name="Pastaba 16 2 3 2" xfId="20045" xr:uid="{956C8EC9-7778-4078-9C28-8F9313E643F9}"/>
    <cellStyle name="Pastaba 16 2 4" xfId="8173" xr:uid="{3226136F-B408-4209-9B5C-D1561FD85427}"/>
    <cellStyle name="Pastaba 16 2 4 2" xfId="20046" xr:uid="{098C9E04-4B2B-43D1-AA86-02C91D1297B7}"/>
    <cellStyle name="Pastaba 16 2 5" xfId="8174" xr:uid="{A52D07B3-414C-4C86-97B3-ADEAEB65A843}"/>
    <cellStyle name="Pastaba 16 2 5 2" xfId="20047" xr:uid="{08A65A53-9EB9-4A5F-9B89-FF769AEE8A3A}"/>
    <cellStyle name="Pastaba 16 2 6" xfId="20043" xr:uid="{6315975B-1620-4650-AF9A-C3E2A321B98E}"/>
    <cellStyle name="Pastaba 16 3" xfId="8175" xr:uid="{97423CC6-6C8E-4B34-9521-E2A1C8EEC797}"/>
    <cellStyle name="Pastaba 16 3 2" xfId="20048" xr:uid="{4F09D457-F782-42B0-8127-078D44CC89DA}"/>
    <cellStyle name="Pastaba 16 4" xfId="8176" xr:uid="{9FDBF1E1-5C71-4520-9F4F-D00A267C238D}"/>
    <cellStyle name="Pastaba 16 4 2" xfId="20049" xr:uid="{0C40779A-7A59-4C7C-A691-DADEFD79592D}"/>
    <cellStyle name="Pastaba 16 5" xfId="8177" xr:uid="{622E1A30-3681-4069-9443-6CAE65DBA1DE}"/>
    <cellStyle name="Pastaba 16 5 2" xfId="20050" xr:uid="{D676C75F-58E2-488F-8BA0-AA6FD6B41E9E}"/>
    <cellStyle name="Pastaba 16 6" xfId="8178" xr:uid="{F1A20BE0-7847-4312-A808-882DB1D2C458}"/>
    <cellStyle name="Pastaba 16 6 2" xfId="20051" xr:uid="{B62D916E-63E2-4952-8C4A-85C7F06AFB36}"/>
    <cellStyle name="Pastaba 16 7" xfId="20042" xr:uid="{F451739F-CC16-4589-8238-D3ADD0C70E53}"/>
    <cellStyle name="Pastaba 17" xfId="8179" xr:uid="{2CD2E658-C33F-4779-9628-166671937662}"/>
    <cellStyle name="Pastaba 17 2" xfId="8180" xr:uid="{6D86C9FE-6648-4F30-AECA-EF69D0E6135D}"/>
    <cellStyle name="Pastaba 17 2 2" xfId="8181" xr:uid="{AE1F44B2-644A-4FAA-9883-5611A9B99002}"/>
    <cellStyle name="Pastaba 17 2 2 2" xfId="20054" xr:uid="{423758CA-89BC-497B-B911-4EF3AFCE4F16}"/>
    <cellStyle name="Pastaba 17 2 3" xfId="8182" xr:uid="{0E1235A7-1AB1-43F5-80FE-50E141872FD6}"/>
    <cellStyle name="Pastaba 17 2 3 2" xfId="20055" xr:uid="{94D152B4-868C-4716-88CE-878691ADDF51}"/>
    <cellStyle name="Pastaba 17 2 4" xfId="8183" xr:uid="{3400C79C-D968-4D15-94AF-BCC3D20FD7EA}"/>
    <cellStyle name="Pastaba 17 2 4 2" xfId="20056" xr:uid="{19ED8F42-C0C3-40BE-8623-B577BE111D4C}"/>
    <cellStyle name="Pastaba 17 2 5" xfId="8184" xr:uid="{661E4FED-DFE0-4EF4-AE26-44F889D10818}"/>
    <cellStyle name="Pastaba 17 2 5 2" xfId="20057" xr:uid="{0D4B7354-58AC-4635-87F5-52F4F9BC3C1B}"/>
    <cellStyle name="Pastaba 17 2 6" xfId="20053" xr:uid="{8BB25D9F-4BBC-48A4-A92A-0FD852C4AFDD}"/>
    <cellStyle name="Pastaba 17 3" xfId="8185" xr:uid="{849D8484-E62B-4CE4-8681-0ED24C353F45}"/>
    <cellStyle name="Pastaba 17 3 2" xfId="20058" xr:uid="{3E3F2DE2-3CA6-4488-B8E3-E4267B27B814}"/>
    <cellStyle name="Pastaba 17 4" xfId="8186" xr:uid="{8ACFCCE5-B238-45C2-B4B3-BE28D5AD538F}"/>
    <cellStyle name="Pastaba 17 4 2" xfId="20059" xr:uid="{6097F185-40AE-4C00-B017-BACD3D30194F}"/>
    <cellStyle name="Pastaba 17 5" xfId="8187" xr:uid="{92606E1A-AD0B-4A2A-9168-893D85141562}"/>
    <cellStyle name="Pastaba 17 5 2" xfId="20060" xr:uid="{85F24AF3-B663-4A9C-B651-5E990196510D}"/>
    <cellStyle name="Pastaba 17 6" xfId="8188" xr:uid="{9D1A5E5E-5202-4F18-A38F-7C97946546A6}"/>
    <cellStyle name="Pastaba 17 6 2" xfId="20061" xr:uid="{DDF04AB3-8364-44DE-8415-1B1ED1C17BF2}"/>
    <cellStyle name="Pastaba 17 7" xfId="20052" xr:uid="{E6CF2D37-32D9-4EB7-B248-5D2FF7759F35}"/>
    <cellStyle name="Pastaba 18" xfId="8189" xr:uid="{E74986D1-AB4C-4546-8AAD-F09C73D5EC50}"/>
    <cellStyle name="Pastaba 18 2" xfId="8190" xr:uid="{210A09A5-1D06-454A-9B11-FFEAEC057902}"/>
    <cellStyle name="Pastaba 18 2 2" xfId="8191" xr:uid="{9606695D-BCEE-4EAD-9EA9-B9EFE6AC0968}"/>
    <cellStyle name="Pastaba 18 2 2 2" xfId="20064" xr:uid="{C600BC54-EF69-4B71-BBE9-9D0CF642B86B}"/>
    <cellStyle name="Pastaba 18 2 3" xfId="8192" xr:uid="{B540A11B-7F32-4DCB-9F79-10F4BCB362E7}"/>
    <cellStyle name="Pastaba 18 2 3 2" xfId="20065" xr:uid="{16BA271B-16DB-40D2-92FC-323B594657A8}"/>
    <cellStyle name="Pastaba 18 2 4" xfId="8193" xr:uid="{4C27F0A8-D97C-4D41-A852-755E60EB97D3}"/>
    <cellStyle name="Pastaba 18 2 4 2" xfId="20066" xr:uid="{555AB788-AA9F-42C1-B9DD-2F1CE982DFDD}"/>
    <cellStyle name="Pastaba 18 2 5" xfId="8194" xr:uid="{39D6EA1F-42D8-4A8C-8007-07D9F1FD999B}"/>
    <cellStyle name="Pastaba 18 2 5 2" xfId="20067" xr:uid="{4DCA00A7-F817-4E45-AF3C-362F7AEDAD96}"/>
    <cellStyle name="Pastaba 18 2 6" xfId="20063" xr:uid="{C034F055-C920-4AAF-945B-1BD3BC0B11D4}"/>
    <cellStyle name="Pastaba 18 3" xfId="8195" xr:uid="{C635E23D-4C4E-40A9-A4D4-16ECB65388DC}"/>
    <cellStyle name="Pastaba 18 3 2" xfId="20068" xr:uid="{5ADDDD5F-2306-4527-BCB0-49FD92B99B35}"/>
    <cellStyle name="Pastaba 18 4" xfId="8196" xr:uid="{DC82A5C9-F436-4D0F-A718-3FE988F09D5F}"/>
    <cellStyle name="Pastaba 18 4 2" xfId="20069" xr:uid="{EB0BBC30-CB09-4EA7-9105-0F9F4961E5BA}"/>
    <cellStyle name="Pastaba 18 5" xfId="8197" xr:uid="{210B11BE-2F3F-4957-B18A-269B7EC049D3}"/>
    <cellStyle name="Pastaba 18 5 2" xfId="20070" xr:uid="{FF8E13E0-6327-4BD0-920E-7164A6EECDA1}"/>
    <cellStyle name="Pastaba 18 6" xfId="8198" xr:uid="{EC173D46-5D5F-437E-B132-30224B42C350}"/>
    <cellStyle name="Pastaba 18 6 2" xfId="20071" xr:uid="{6386B1E1-FD75-4DB7-9926-A1D14C561FF2}"/>
    <cellStyle name="Pastaba 18 7" xfId="20062" xr:uid="{C046A979-F8F7-420F-9AB7-CD8C41BA0D81}"/>
    <cellStyle name="Pastaba 19" xfId="8199" xr:uid="{9D505D9D-DD0F-4C61-8BB0-CB1F2979C035}"/>
    <cellStyle name="Pastaba 19 2" xfId="8200" xr:uid="{43B1DB58-5C14-4FDD-ACEF-B4AF2DA9D8E3}"/>
    <cellStyle name="Pastaba 19 2 2" xfId="20073" xr:uid="{0E1CC278-0FA7-4B16-B80C-3F7DDB5C5849}"/>
    <cellStyle name="Pastaba 19 3" xfId="8201" xr:uid="{86E4E1EF-749A-43A9-B9E6-F4CD5B02DBC4}"/>
    <cellStyle name="Pastaba 19 3 2" xfId="20074" xr:uid="{5845FF36-DD76-4F07-ACE1-B559BC21D6C8}"/>
    <cellStyle name="Pastaba 19 4" xfId="8202" xr:uid="{1C5B30FB-D84B-4D5A-BA2A-CA9FD61B47E9}"/>
    <cellStyle name="Pastaba 19 4 2" xfId="20075" xr:uid="{6CC8D6DD-AF0F-4F92-8C36-447F7CF2794E}"/>
    <cellStyle name="Pastaba 19 5" xfId="8203" xr:uid="{DD74B324-C551-4994-A46E-5683E2863BF3}"/>
    <cellStyle name="Pastaba 19 5 2" xfId="20076" xr:uid="{1A068C4A-327F-4B7B-B41B-E8695C83A2A6}"/>
    <cellStyle name="Pastaba 19 6" xfId="20072" xr:uid="{EB55278F-AD14-424A-B364-A036F7E6D792}"/>
    <cellStyle name="Pastaba 2" xfId="8204" xr:uid="{E93173AB-3D6F-464A-B988-2DFE77A33D9B}"/>
    <cellStyle name="Pastaba 2 2" xfId="8205" xr:uid="{C8B2BF67-2E4C-485F-AAAD-BD68EB283CEE}"/>
    <cellStyle name="Pastaba 2 2 2" xfId="8206" xr:uid="{B598DD98-217B-4CD6-A042-099DA74D9D44}"/>
    <cellStyle name="Pastaba 2 2 2 2" xfId="20079" xr:uid="{A0FF1112-ED8A-48DD-B125-2DD6E9534E00}"/>
    <cellStyle name="Pastaba 2 2 3" xfId="8207" xr:uid="{687C678B-86A5-4DE5-A44A-617505561730}"/>
    <cellStyle name="Pastaba 2 2 3 2" xfId="20080" xr:uid="{725603A5-760A-4906-9A81-A411BF6A52E3}"/>
    <cellStyle name="Pastaba 2 2 4" xfId="8208" xr:uid="{F18C47D6-1D3A-4FD1-AB75-7D71BB417EA0}"/>
    <cellStyle name="Pastaba 2 2 4 2" xfId="20081" xr:uid="{55F06CA5-4B30-46EC-A71B-86F47CDDAD13}"/>
    <cellStyle name="Pastaba 2 2 5" xfId="8209" xr:uid="{EFBFE07C-F274-4D96-B555-9E33C1F7F15E}"/>
    <cellStyle name="Pastaba 2 2 5 2" xfId="20082" xr:uid="{A817B7C6-9BEA-4F42-BF8A-709082AB4330}"/>
    <cellStyle name="Pastaba 2 2 6" xfId="20078" xr:uid="{36D3FE59-C18C-4643-B2FC-C52A8B3FFF9C}"/>
    <cellStyle name="Pastaba 2 3" xfId="8210" xr:uid="{F695B7D8-9262-4BEF-B7DD-54DE704EC72B}"/>
    <cellStyle name="Pastaba 2 3 2" xfId="8211" xr:uid="{435B68E3-E580-408B-95B8-F9E383091716}"/>
    <cellStyle name="Pastaba 2 3 2 2" xfId="20084" xr:uid="{62A39B22-B7EF-4BCF-93BA-0A34B4BBEE73}"/>
    <cellStyle name="Pastaba 2 3 3" xfId="8212" xr:uid="{EC0CABE0-A532-4953-B630-BF2CDA65BE39}"/>
    <cellStyle name="Pastaba 2 3 3 2" xfId="20085" xr:uid="{6B7D5533-4B0C-4784-ADB4-18BB703F9A3B}"/>
    <cellStyle name="Pastaba 2 3 4" xfId="20083" xr:uid="{CC47F687-6254-4878-94B3-466A14566E52}"/>
    <cellStyle name="Pastaba 2 4" xfId="8213" xr:uid="{0072C489-6597-47B3-ABD0-9D5C735F9845}"/>
    <cellStyle name="Pastaba 2 4 2" xfId="20086" xr:uid="{5C08BBBE-A717-437F-B9E7-225B69A519E5}"/>
    <cellStyle name="Pastaba 2 5" xfId="8214" xr:uid="{C8089A33-823D-43E8-9F95-C3BC046CFDDC}"/>
    <cellStyle name="Pastaba 2 5 2" xfId="20087" xr:uid="{7BEB1E41-AB36-4BD7-8BDD-B5A5D3E9D750}"/>
    <cellStyle name="Pastaba 2 6" xfId="8215" xr:uid="{0CE3F62A-FD46-42D3-BD7A-2079E55941AD}"/>
    <cellStyle name="Pastaba 2 6 2" xfId="20088" xr:uid="{CB5B87BD-BDA7-444A-B061-6B7844261968}"/>
    <cellStyle name="Pastaba 2 7" xfId="8216" xr:uid="{32336C76-DA5C-42AA-A833-295402DBEF45}"/>
    <cellStyle name="Pastaba 2 7 2" xfId="20089" xr:uid="{31F4DE97-3E38-4174-A4CF-963EB9AD37D2}"/>
    <cellStyle name="Pastaba 2 8" xfId="15386" xr:uid="{A9B26686-BF79-4D7D-BE3D-E4792004C255}"/>
    <cellStyle name="Pastaba 2 9" xfId="20077" xr:uid="{64FD625A-326C-41DA-8C31-2D38ACD76716}"/>
    <cellStyle name="Pastaba 2_RP3 PP revised" xfId="15327" xr:uid="{2BB1A0F2-C2B2-46D2-AE07-F316A16D55D0}"/>
    <cellStyle name="Pastaba 20" xfId="8217" xr:uid="{C4395F36-FE9E-4815-800C-4B42F10A235A}"/>
    <cellStyle name="Pastaba 20 2" xfId="8218" xr:uid="{CC2B8693-FAA5-47CC-A70C-B5EB3692B8F8}"/>
    <cellStyle name="Pastaba 20 2 2" xfId="20091" xr:uid="{8B2D1F2C-1934-4F1C-87B8-819E4B7EEEB6}"/>
    <cellStyle name="Pastaba 20 3" xfId="8219" xr:uid="{FBE49EAE-83AE-4C9E-A8CC-10938D4FD395}"/>
    <cellStyle name="Pastaba 20 3 2" xfId="20092" xr:uid="{94D2943E-187A-41A4-86D2-3A6C334A6239}"/>
    <cellStyle name="Pastaba 20 4" xfId="20090" xr:uid="{3E5268C1-D640-47CE-9293-9B80EE17C3E1}"/>
    <cellStyle name="Pastaba 21" xfId="8220" xr:uid="{FBD27085-70B7-499F-A2CC-411A678CD265}"/>
    <cellStyle name="Pastaba 21 2" xfId="20093" xr:uid="{B99C87ED-A414-47AE-93B3-80BE65DC4A56}"/>
    <cellStyle name="Pastaba 22" xfId="8221" xr:uid="{4A3BA734-0A32-4AB8-8F33-A53BF0660722}"/>
    <cellStyle name="Pastaba 22 2" xfId="20094" xr:uid="{9F3D2B1D-0FDC-47EF-A49E-BF2B9954B7F1}"/>
    <cellStyle name="Pastaba 23" xfId="8222" xr:uid="{959D3478-85BD-4C4E-821E-0762569C5EB3}"/>
    <cellStyle name="Pastaba 23 2" xfId="20095" xr:uid="{AC1F8096-B3FB-4AFB-891C-0F5A91BBA102}"/>
    <cellStyle name="Pastaba 24" xfId="8223" xr:uid="{D2DE07A7-3A31-44B0-9B41-6ABC9E44A13D}"/>
    <cellStyle name="Pastaba 24 2" xfId="20096" xr:uid="{61EC69C9-3110-46A3-9E83-C81AE98F18B4}"/>
    <cellStyle name="Pastaba 25" xfId="15095" xr:uid="{BCB4A61F-5D84-4C3F-92AD-6B856ECECD20}"/>
    <cellStyle name="Pastaba 3" xfId="8224" xr:uid="{4B5C2810-BD00-4F87-82D6-1398C626E122}"/>
    <cellStyle name="Pastaba 3 2" xfId="8225" xr:uid="{E70785F3-5A80-42F4-84C6-2D8DC8BFDA56}"/>
    <cellStyle name="Pastaba 3 2 2" xfId="8226" xr:uid="{6A6FAD57-3D44-4D43-8685-7A271469A7DA}"/>
    <cellStyle name="Pastaba 3 2 2 2" xfId="20098" xr:uid="{5246CD39-1B02-4973-8A41-3A10EE771572}"/>
    <cellStyle name="Pastaba 3 2 3" xfId="8227" xr:uid="{0AD07E5F-957E-46E9-BFAB-6FF3B8681449}"/>
    <cellStyle name="Pastaba 3 2 3 2" xfId="20099" xr:uid="{D5B98662-A033-4C96-B56E-FE17AD2A5F4E}"/>
    <cellStyle name="Pastaba 3 2 4" xfId="8228" xr:uid="{2D39BB2F-2201-4FA3-8746-CCB05DA424B7}"/>
    <cellStyle name="Pastaba 3 2 4 2" xfId="20100" xr:uid="{BD52D449-0ED1-47D4-A23A-193B78F862F4}"/>
    <cellStyle name="Pastaba 3 2 5" xfId="8229" xr:uid="{1E82AFDF-FE79-4E08-8707-2314090AD11D}"/>
    <cellStyle name="Pastaba 3 2 5 2" xfId="20101" xr:uid="{9604C6A3-8224-4ED2-917B-EC094A045D60}"/>
    <cellStyle name="Pastaba 3 2 6" xfId="20097" xr:uid="{C4B13217-7997-450C-B154-B3E0CE19F2A7}"/>
    <cellStyle name="Pastaba 3 3" xfId="8230" xr:uid="{12FBF273-C198-4DCD-B859-D06288C6280B}"/>
    <cellStyle name="Pastaba 3 3 2" xfId="20102" xr:uid="{E4DC0C97-4D46-4D5E-BB1B-A06D774F1C60}"/>
    <cellStyle name="Pastaba 3 4" xfId="8231" xr:uid="{41B12A0F-9D76-418B-BD15-A984AA01C73D}"/>
    <cellStyle name="Pastaba 3 4 2" xfId="20103" xr:uid="{34DB70B5-E369-4C78-B5E7-F31507341140}"/>
    <cellStyle name="Pastaba 3 5" xfId="8232" xr:uid="{9B5C2AF2-2BA6-46BB-B1D1-38AF0C9D96CD}"/>
    <cellStyle name="Pastaba 3 5 2" xfId="20104" xr:uid="{2E6BE2F3-7391-4529-B551-CE973A07EF5C}"/>
    <cellStyle name="Pastaba 3 6" xfId="8233" xr:uid="{26288653-C399-433E-A71F-93742B5834F2}"/>
    <cellStyle name="Pastaba 3 6 2" xfId="20105" xr:uid="{9ACDCF73-6ADC-4269-84B1-A47C942E523C}"/>
    <cellStyle name="Pastaba 3 7" xfId="15387" xr:uid="{3B9AA67F-C280-44CE-82D7-D36EAD6EF889}"/>
    <cellStyle name="Pastaba 3_RP3 PP revised" xfId="15068" xr:uid="{BE6F0F99-CE68-44B1-81BC-09EB7A77CF6C}"/>
    <cellStyle name="Pastaba 4" xfId="8234" xr:uid="{BA028E68-6123-4E52-BC49-1098E9F26FE6}"/>
    <cellStyle name="Pastaba 4 2" xfId="8235" xr:uid="{FEAF4E36-1142-429E-825F-9652D3EF0513}"/>
    <cellStyle name="Pastaba 4 2 2" xfId="8236" xr:uid="{5AFED51A-F228-45BF-BC27-C86E74DC0997}"/>
    <cellStyle name="Pastaba 4 2 2 2" xfId="20108" xr:uid="{991EDF16-0A69-454C-BD0D-271D2819CCC0}"/>
    <cellStyle name="Pastaba 4 2 3" xfId="8237" xr:uid="{F211AEF6-78F4-43BC-A1D1-1CA083ECE480}"/>
    <cellStyle name="Pastaba 4 2 3 2" xfId="20109" xr:uid="{317045B9-6138-40D2-928F-7BF24E5A028D}"/>
    <cellStyle name="Pastaba 4 2 4" xfId="8238" xr:uid="{4486F4C4-A8D5-4F11-B96E-A7E7C423D457}"/>
    <cellStyle name="Pastaba 4 2 4 2" xfId="20110" xr:uid="{F0DE6730-48FD-4D30-AA8B-34C201B87819}"/>
    <cellStyle name="Pastaba 4 2 5" xfId="8239" xr:uid="{9972648F-3E83-4ACC-98AC-14A6EB5FD354}"/>
    <cellStyle name="Pastaba 4 2 5 2" xfId="20111" xr:uid="{7E99F9CB-4FE7-45A0-A863-668E57FEF0FD}"/>
    <cellStyle name="Pastaba 4 2 6" xfId="20107" xr:uid="{E11BBC47-792E-4EFA-97E9-8FCE1C8294D5}"/>
    <cellStyle name="Pastaba 4 3" xfId="8240" xr:uid="{41F7DD37-DB7A-482F-AB85-C6E0E593E9D7}"/>
    <cellStyle name="Pastaba 4 3 2" xfId="20112" xr:uid="{F82F6445-D4AC-46A0-B1D7-D53EE6DBD70B}"/>
    <cellStyle name="Pastaba 4 4" xfId="8241" xr:uid="{A3C876A0-76A5-4FF8-B0E3-8F93534E1823}"/>
    <cellStyle name="Pastaba 4 4 2" xfId="20113" xr:uid="{AC0033B0-F9AD-41B1-A72F-CCB1922FAD5A}"/>
    <cellStyle name="Pastaba 4 5" xfId="8242" xr:uid="{E4E029BB-37E0-4649-A5D6-F30993A29CDD}"/>
    <cellStyle name="Pastaba 4 5 2" xfId="20114" xr:uid="{FADDCFEE-FFCF-4F8A-9A59-B3FCA3FB6E21}"/>
    <cellStyle name="Pastaba 4 6" xfId="8243" xr:uid="{3B433D80-C086-4396-9133-C980578E2BF8}"/>
    <cellStyle name="Pastaba 4 6 2" xfId="20115" xr:uid="{7A0CAF6E-6DE6-4D1B-BA80-B30373FB8625}"/>
    <cellStyle name="Pastaba 4 7" xfId="20106" xr:uid="{1EDDD49D-C82C-40BC-899A-22310B10BCE6}"/>
    <cellStyle name="Pastaba 5" xfId="8244" xr:uid="{E7E9C9DF-1885-4BDB-9F02-188F885C924A}"/>
    <cellStyle name="Pastaba 5 2" xfId="8245" xr:uid="{1A3E796C-0A6F-47FA-8626-2B6718C3B800}"/>
    <cellStyle name="Pastaba 5 2 2" xfId="8246" xr:uid="{DB6F2079-CB9A-4D2D-BADE-A6E586A6DA7D}"/>
    <cellStyle name="Pastaba 5 2 2 2" xfId="20118" xr:uid="{16D2F8A0-2899-4B00-AAD3-4A09444FEB4F}"/>
    <cellStyle name="Pastaba 5 2 3" xfId="8247" xr:uid="{53DFFC78-007C-40A9-B531-810DFB3CFF29}"/>
    <cellStyle name="Pastaba 5 2 3 2" xfId="20119" xr:uid="{75867FDE-98CD-46E6-B58E-A516A62F1092}"/>
    <cellStyle name="Pastaba 5 2 4" xfId="8248" xr:uid="{E52EE0C1-DE70-464A-854F-CA454786E7E6}"/>
    <cellStyle name="Pastaba 5 2 4 2" xfId="20120" xr:uid="{F28A61F6-0D76-4157-987D-7439A9B083E1}"/>
    <cellStyle name="Pastaba 5 2 5" xfId="8249" xr:uid="{EBAD9958-C202-4608-B6A9-55F155B3ADBE}"/>
    <cellStyle name="Pastaba 5 2 5 2" xfId="20121" xr:uid="{C4C2BD84-48F0-4180-81E5-0E268B4CDFF6}"/>
    <cellStyle name="Pastaba 5 2 6" xfId="20117" xr:uid="{79CCA874-5306-4F29-AC60-6BBCD9B76B68}"/>
    <cellStyle name="Pastaba 5 3" xfId="8250" xr:uid="{4647C050-FAAC-4541-969D-252DB7843D4F}"/>
    <cellStyle name="Pastaba 5 3 2" xfId="20122" xr:uid="{8F7A4CD0-18A2-408E-AA9D-514BE84EB4AB}"/>
    <cellStyle name="Pastaba 5 4" xfId="8251" xr:uid="{26069852-3304-4697-B89D-FF5444CA72EF}"/>
    <cellStyle name="Pastaba 5 4 2" xfId="20123" xr:uid="{141B56EB-CD79-448F-BEE9-3C42EE5BDDF3}"/>
    <cellStyle name="Pastaba 5 5" xfId="8252" xr:uid="{B3E98639-DF23-4FD8-8083-3849D0A32C1B}"/>
    <cellStyle name="Pastaba 5 5 2" xfId="20124" xr:uid="{961C048F-2A27-437E-B206-3C72E9EDD043}"/>
    <cellStyle name="Pastaba 5 6" xfId="8253" xr:uid="{21FAF0E8-0901-4F51-B4A6-5B63210F94F5}"/>
    <cellStyle name="Pastaba 5 6 2" xfId="20125" xr:uid="{025E8590-903D-4ED9-A5DF-E587DBE4AB00}"/>
    <cellStyle name="Pastaba 5 7" xfId="20116" xr:uid="{78ABE494-4C1F-4AFC-A108-6233BD803A50}"/>
    <cellStyle name="Pastaba 6" xfId="8254" xr:uid="{84FA2FF0-27AD-44EA-B575-75F7F26151AE}"/>
    <cellStyle name="Pastaba 6 2" xfId="8255" xr:uid="{3E0444FE-A3B0-4C07-BED8-2D0F701C7ED0}"/>
    <cellStyle name="Pastaba 6 2 2" xfId="8256" xr:uid="{C65A01AD-C978-4270-B358-14F45858841E}"/>
    <cellStyle name="Pastaba 6 2 2 2" xfId="20128" xr:uid="{7121E456-A32C-48B1-8CFA-09D8FAA768B4}"/>
    <cellStyle name="Pastaba 6 2 3" xfId="8257" xr:uid="{17FC705A-7BAF-43BC-B3C9-681C5663C580}"/>
    <cellStyle name="Pastaba 6 2 3 2" xfId="20129" xr:uid="{01BF0BB0-9998-4738-A8AB-36A7D382F640}"/>
    <cellStyle name="Pastaba 6 2 4" xfId="8258" xr:uid="{5B60C7BF-18B3-44A3-90C1-BDBE09510E9D}"/>
    <cellStyle name="Pastaba 6 2 4 2" xfId="20130" xr:uid="{544A4197-CDDE-4ED2-A2B2-20B207B51BDC}"/>
    <cellStyle name="Pastaba 6 2 5" xfId="8259" xr:uid="{BDDE5EB8-131D-474D-B697-4D404F97B6FA}"/>
    <cellStyle name="Pastaba 6 2 5 2" xfId="20131" xr:uid="{FADDB41A-0277-41FE-A891-9421117DD749}"/>
    <cellStyle name="Pastaba 6 2 6" xfId="20127" xr:uid="{9C5D86FD-E8C6-48BD-AAA2-BFF33FDEC2EA}"/>
    <cellStyle name="Pastaba 6 3" xfId="8260" xr:uid="{C3D716E8-F344-4BDC-B06D-F4615F9CDC16}"/>
    <cellStyle name="Pastaba 6 3 2" xfId="20132" xr:uid="{2CCBAAC3-8D97-4460-9747-798B88C407DE}"/>
    <cellStyle name="Pastaba 6 4" xfId="8261" xr:uid="{422E7FEC-08D8-4207-9FDA-FBED63D1C36E}"/>
    <cellStyle name="Pastaba 6 4 2" xfId="20133" xr:uid="{1518AFE4-A960-4351-803D-6F37FAE06294}"/>
    <cellStyle name="Pastaba 6 5" xfId="8262" xr:uid="{4F3F6969-BE49-4F29-B876-CAED697F0E9B}"/>
    <cellStyle name="Pastaba 6 5 2" xfId="20134" xr:uid="{73514469-6011-4463-9B10-022D698EEEE3}"/>
    <cellStyle name="Pastaba 6 6" xfId="8263" xr:uid="{D364FE0D-EE0F-4D18-B3B2-176104CAA151}"/>
    <cellStyle name="Pastaba 6 6 2" xfId="20135" xr:uid="{31DDE1A7-2786-4AD3-AAB6-3E483D989C4F}"/>
    <cellStyle name="Pastaba 6 7" xfId="20126" xr:uid="{B34E4F4A-040D-4F2C-A01E-80B015C88F95}"/>
    <cellStyle name="Pastaba 7" xfId="8264" xr:uid="{FF55BC2D-968F-4DC3-BD2C-5B03B6933FE4}"/>
    <cellStyle name="Pastaba 7 2" xfId="8265" xr:uid="{33233D8B-C5D1-4E26-A3DC-55DE93D60E4B}"/>
    <cellStyle name="Pastaba 7 2 2" xfId="8266" xr:uid="{25B9DD22-6D35-4EFD-B577-E98F120DCF45}"/>
    <cellStyle name="Pastaba 7 2 2 2" xfId="20138" xr:uid="{ED678C25-0BC6-42F3-8255-AB9B82300733}"/>
    <cellStyle name="Pastaba 7 2 3" xfId="8267" xr:uid="{53CA399C-10D9-49BB-AF0D-39E00B3C0F43}"/>
    <cellStyle name="Pastaba 7 2 3 2" xfId="20139" xr:uid="{2E6D4A3D-392D-44F8-8A17-68F9863196B2}"/>
    <cellStyle name="Pastaba 7 2 4" xfId="8268" xr:uid="{55778588-2B71-45FB-967A-A52F220B95E9}"/>
    <cellStyle name="Pastaba 7 2 4 2" xfId="20140" xr:uid="{79F7968A-9B0E-4C36-B78F-74143FBB1223}"/>
    <cellStyle name="Pastaba 7 2 5" xfId="8269" xr:uid="{A7151602-9CA5-4B02-8E1A-D53B1DF730D8}"/>
    <cellStyle name="Pastaba 7 2 5 2" xfId="20141" xr:uid="{AA662529-D6E3-4822-B7C1-5957A7A719A5}"/>
    <cellStyle name="Pastaba 7 2 6" xfId="20137" xr:uid="{D92F50BF-F7F1-4AAF-BB05-060B761B7148}"/>
    <cellStyle name="Pastaba 7 3" xfId="8270" xr:uid="{8ADA8536-0078-4F0C-94F3-0F513BB647A6}"/>
    <cellStyle name="Pastaba 7 3 2" xfId="20142" xr:uid="{A39C3155-330A-4FC9-94D5-F2D864D02C85}"/>
    <cellStyle name="Pastaba 7 4" xfId="8271" xr:uid="{D298EA17-3186-4427-97B4-3CC4DC26EF62}"/>
    <cellStyle name="Pastaba 7 4 2" xfId="20143" xr:uid="{94BCE3E1-BB4E-40A4-915F-2B949B25EACC}"/>
    <cellStyle name="Pastaba 7 5" xfId="8272" xr:uid="{700A573C-E8FA-4D21-AF4C-B8900E68569A}"/>
    <cellStyle name="Pastaba 7 5 2" xfId="20144" xr:uid="{327F7A53-68D0-4C16-BD02-BF4198B1B03B}"/>
    <cellStyle name="Pastaba 7 6" xfId="8273" xr:uid="{82945B9F-F0E4-48A6-95B2-EB98F4CE8D81}"/>
    <cellStyle name="Pastaba 7 6 2" xfId="20145" xr:uid="{14871365-0326-47FC-9A6E-8AC6C8D08E80}"/>
    <cellStyle name="Pastaba 7 7" xfId="20136" xr:uid="{0562CE90-6A45-4278-9BD6-AE460B7EEF69}"/>
    <cellStyle name="Pastaba 8" xfId="8274" xr:uid="{BA339E3B-2BFE-45B1-BFCC-77CF1BDB055E}"/>
    <cellStyle name="Pastaba 8 2" xfId="8275" xr:uid="{91682489-EAC2-420E-9785-1DC42E151197}"/>
    <cellStyle name="Pastaba 8 2 2" xfId="8276" xr:uid="{F08A5356-8058-46C9-A860-48D7EE5A7862}"/>
    <cellStyle name="Pastaba 8 2 2 2" xfId="20148" xr:uid="{931DE3A2-D310-4357-94AA-9F0A043D8706}"/>
    <cellStyle name="Pastaba 8 2 3" xfId="8277" xr:uid="{EF203F40-9D37-448B-B50F-0305EA970176}"/>
    <cellStyle name="Pastaba 8 2 3 2" xfId="20149" xr:uid="{BE3B2930-00E2-4E2E-A8D9-23EF3753237D}"/>
    <cellStyle name="Pastaba 8 2 4" xfId="8278" xr:uid="{6260A2ED-B042-4427-B92B-EB8E8822DD85}"/>
    <cellStyle name="Pastaba 8 2 4 2" xfId="20150" xr:uid="{47541132-568E-4851-B126-FE854B222C93}"/>
    <cellStyle name="Pastaba 8 2 5" xfId="8279" xr:uid="{46B60877-ECBE-48C4-8C21-79A169D08B1D}"/>
    <cellStyle name="Pastaba 8 2 5 2" xfId="20151" xr:uid="{4E0FC777-3640-4BC5-ACC4-D56F0A2B5416}"/>
    <cellStyle name="Pastaba 8 2 6" xfId="20147" xr:uid="{7F675599-3CEA-406F-AEF5-CB7E9DA2940E}"/>
    <cellStyle name="Pastaba 8 3" xfId="8280" xr:uid="{EDB8BBED-F42D-4001-9C5E-25808B6FA7F3}"/>
    <cellStyle name="Pastaba 8 3 2" xfId="20152" xr:uid="{318D6710-F679-402C-8992-821E5BAE18C1}"/>
    <cellStyle name="Pastaba 8 4" xfId="8281" xr:uid="{7ED6CC69-67F4-4FFF-8BBF-B50C5C1817A8}"/>
    <cellStyle name="Pastaba 8 4 2" xfId="20153" xr:uid="{B925371B-9A4B-4036-8C44-5BC9F24A80EB}"/>
    <cellStyle name="Pastaba 8 5" xfId="8282" xr:uid="{8EC445EB-08D6-4BE3-A6FC-2C46E244DBA9}"/>
    <cellStyle name="Pastaba 8 5 2" xfId="20154" xr:uid="{25A621E9-1CA7-49DF-AB1C-EDAC351CDA1C}"/>
    <cellStyle name="Pastaba 8 6" xfId="8283" xr:uid="{1638FBDA-3A18-4387-A7FE-4779A96502F2}"/>
    <cellStyle name="Pastaba 8 6 2" xfId="20155" xr:uid="{D58651A7-A053-4962-973F-FB5D42A606B2}"/>
    <cellStyle name="Pastaba 8 7" xfId="20146" xr:uid="{799FFCEE-1F9B-4D6B-B709-96514ACCE724}"/>
    <cellStyle name="Pastaba 9" xfId="8284" xr:uid="{05BFAA14-156E-4957-8952-02035CA2EEEA}"/>
    <cellStyle name="Pastaba 9 2" xfId="8285" xr:uid="{3DD3EE67-BE73-4E29-B9A0-0C30DE7396EE}"/>
    <cellStyle name="Pastaba 9 2 2" xfId="8286" xr:uid="{0708AC69-056E-4EE8-BD95-C960FE7E986C}"/>
    <cellStyle name="Pastaba 9 2 2 2" xfId="20158" xr:uid="{FAD7582D-4789-48D3-9B83-37B769E125BB}"/>
    <cellStyle name="Pastaba 9 2 3" xfId="8287" xr:uid="{228318BD-C7E6-4B17-8E79-73F95B76F2A0}"/>
    <cellStyle name="Pastaba 9 2 3 2" xfId="20159" xr:uid="{B9BF2891-659A-41B4-B267-823DA1B019DE}"/>
    <cellStyle name="Pastaba 9 2 4" xfId="8288" xr:uid="{CBC66B8A-ADAF-47BB-BCC3-E4D45C69FCFC}"/>
    <cellStyle name="Pastaba 9 2 4 2" xfId="20160" xr:uid="{B4EEDF40-65A7-4B35-B204-C5CDAC429E52}"/>
    <cellStyle name="Pastaba 9 2 5" xfId="8289" xr:uid="{0E2A501A-7DEA-4B18-9CAC-B66BDA815182}"/>
    <cellStyle name="Pastaba 9 2 5 2" xfId="20161" xr:uid="{39A5857F-D369-4080-9D6D-9BE8AA3634B8}"/>
    <cellStyle name="Pastaba 9 2 6" xfId="20157" xr:uid="{85124EEA-943C-4BC2-A9EA-3B48656BA369}"/>
    <cellStyle name="Pastaba 9 3" xfId="8290" xr:uid="{4FC9E36B-552B-42DF-9662-A50A3115CFBB}"/>
    <cellStyle name="Pastaba 9 3 2" xfId="20162" xr:uid="{2D05F125-45B8-4D9C-922E-3C8B5EEB8AF4}"/>
    <cellStyle name="Pastaba 9 4" xfId="8291" xr:uid="{19CAB1F1-C14B-4760-A1DE-0D87D4EFA30B}"/>
    <cellStyle name="Pastaba 9 4 2" xfId="20163" xr:uid="{17E26703-5DA9-4968-84C7-A37D444D843F}"/>
    <cellStyle name="Pastaba 9 5" xfId="8292" xr:uid="{FD48CAD9-729D-4A48-A23E-37055D332BDC}"/>
    <cellStyle name="Pastaba 9 5 2" xfId="20164" xr:uid="{80C42501-5D0B-4A75-9072-FE254F5388B3}"/>
    <cellStyle name="Pastaba 9 6" xfId="8293" xr:uid="{031EA3CF-392F-4799-981C-6FD9991B3D6B}"/>
    <cellStyle name="Pastaba 9 6 2" xfId="20165" xr:uid="{A3978677-10D0-44BA-994C-74C3023A4697}"/>
    <cellStyle name="Pastaba 9 7" xfId="20156" xr:uid="{C637C2B3-9570-4BD4-9748-C2E9140485EB}"/>
    <cellStyle name="Pastaba_PGM_CHECK" xfId="14843" xr:uid="{6C041341-386D-4040-8780-A3A5412B01E6}"/>
    <cellStyle name="Pavadinimas" xfId="8294" xr:uid="{E04511BA-7F06-40A4-AAF1-C68838BDFAEE}"/>
    <cellStyle name="pb_page_heading_LS" xfId="8295" xr:uid="{12C682E5-7A23-4B0F-A3A8-88F689C589EB}"/>
    <cellStyle name="PBA_master" xfId="8296" xr:uid="{BF79F42E-BDD9-4AE7-A940-948AA7DEE29A}"/>
    <cellStyle name="PBA-sub" xfId="8297" xr:uid="{908E40E9-C044-4D98-ACAD-3FCCB97BB8ED}"/>
    <cellStyle name="Pcent" xfId="8298" xr:uid="{10413705-A6BC-4AE9-8AFE-BEAEFEADD26B}"/>
    <cellStyle name="Pealkiri" xfId="8299" xr:uid="{68B0B020-0203-4F34-842E-0B97C4BCE3D3}"/>
    <cellStyle name="Pealkiri 1" xfId="8300" xr:uid="{87D3CD47-E9B6-4BE2-96E4-511771A26E7A}"/>
    <cellStyle name="Pealkiri 1 2" xfId="8301" xr:uid="{1396460C-9318-4A92-B11C-D7498C38C9A2}"/>
    <cellStyle name="Pealkiri 1 3" xfId="8302" xr:uid="{1CCF90E0-F3CA-43AC-9F8B-B2F9D33BAF1C}"/>
    <cellStyle name="Pealkiri 2" xfId="8303" xr:uid="{EB9D3091-8CD2-4862-ACCB-5545387CED34}"/>
    <cellStyle name="Pealkiri 2 2" xfId="8304" xr:uid="{260B5E86-41D1-4EAC-ABD4-A81EC7EA8F2F}"/>
    <cellStyle name="Pealkiri 2 3" xfId="8305" xr:uid="{4484FDA1-F26C-47A0-8A4F-B34039484846}"/>
    <cellStyle name="Pealkiri 3" xfId="8306" xr:uid="{30638611-33CF-463B-96DE-B2F6FDFC10C7}"/>
    <cellStyle name="Pealkiri 3 2" xfId="8307" xr:uid="{112ABA33-9F98-4131-B1CF-C8FC82A1C379}"/>
    <cellStyle name="Pealkiri 3 3" xfId="8308" xr:uid="{2AE7D43A-ECB2-4EE5-B8D5-0C524F1DCF97}"/>
    <cellStyle name="Pealkiri 4" xfId="8309" xr:uid="{E49F5E59-F57E-4E3C-A44A-577B5C829ACC}"/>
    <cellStyle name="Pealkiri 4 2" xfId="8310" xr:uid="{106A5883-67DC-4E15-B8EF-F0C9A76B320B}"/>
    <cellStyle name="Pealkiri 4 3" xfId="8311" xr:uid="{063E3A0F-4529-466F-91DA-57E8FF70950D}"/>
    <cellStyle name="Pealkiri 5" xfId="8312" xr:uid="{869762D2-79AF-47EB-9F64-6A5035E37A19}"/>
    <cellStyle name="Pealkiri 6" xfId="8313" xr:uid="{9FBBB616-35C9-4691-9B2E-C87322026406}"/>
    <cellStyle name="Pealkiri_KTR An-Abflug" xfId="8314" xr:uid="{8BC30257-0AA0-4E29-AC2B-D5330CFE5A93}"/>
    <cellStyle name="Percen - Style2" xfId="8315" xr:uid="{83F0F13D-CF53-4CC7-B3A6-1A6CD7096234}"/>
    <cellStyle name="Percent" xfId="1" builtinId="5"/>
    <cellStyle name="Percent (0)" xfId="8316" xr:uid="{57D47426-FF88-4D6D-9F27-3BDE5E16AFD0}"/>
    <cellStyle name="Percent (00)" xfId="8317" xr:uid="{842B0AA8-1729-4AD4-BC2A-E10CA0BC8DC3}"/>
    <cellStyle name="Percent (1)" xfId="8318" xr:uid="{0A9DFF1C-FAE4-4721-8835-CD9F088B1EF0}"/>
    <cellStyle name="Percent (2)" xfId="8319" xr:uid="{89D1BDF6-2172-414E-BD77-93884524F1F1}"/>
    <cellStyle name="Percent [0%]" xfId="8320" xr:uid="{0D7C1CD3-4A72-4A96-BDCB-798133E815FC}"/>
    <cellStyle name="Percent [0%] 2" xfId="8321" xr:uid="{68A4DE2A-F56D-4F73-BEF0-7EAC1175B881}"/>
    <cellStyle name="Percent [0.00%]" xfId="8322" xr:uid="{27816C69-E513-4591-A6FA-E2BCC8875DB8}"/>
    <cellStyle name="Percent [0.00%] 2" xfId="8323" xr:uid="{A55DE324-1F80-41ED-B6FE-FCD24536F242}"/>
    <cellStyle name="Percent [2]" xfId="8324" xr:uid="{38C5986F-3C0D-4826-B1AE-DDA929C18EE9}"/>
    <cellStyle name="Percent 10" xfId="8325" xr:uid="{9823FFBF-DD11-4016-8ED2-9EAB932B815C}"/>
    <cellStyle name="Percent 10 2" xfId="13" xr:uid="{FE2386DD-9641-4B7C-94A5-8B7474D26677}"/>
    <cellStyle name="Percent 11" xfId="8326" xr:uid="{1826AD4B-3BBF-4D6A-8864-760D43761943}"/>
    <cellStyle name="Percent 11 2" xfId="8327" xr:uid="{CBB8B9C0-41E0-4942-A047-A12EB4B94B60}"/>
    <cellStyle name="Percent 11 3" xfId="8328" xr:uid="{19A441C6-2A48-4EE3-88DB-DBDB47CD0255}"/>
    <cellStyle name="Percent 12" xfId="8329" xr:uid="{B7381D23-F312-4794-B85D-308A7DF52EB7}"/>
    <cellStyle name="Percent 12 2" xfId="8330" xr:uid="{CF8C2ADE-3C04-46C3-805C-054364296053}"/>
    <cellStyle name="Percent 12 3" xfId="8331" xr:uid="{1A1BA057-B4B1-4383-A981-6F43A343AD90}"/>
    <cellStyle name="Percent 13" xfId="9" xr:uid="{1D80ED0A-D4C1-46B1-9A7C-8B055EF2214E}"/>
    <cellStyle name="Percent 13 2" xfId="8333" xr:uid="{EF2842B7-855C-40CF-9F29-29867C2C4EC7}"/>
    <cellStyle name="Percent 13 2 2" xfId="22" xr:uid="{56FEA7B7-56A1-4627-9782-6D5D87D20741}"/>
    <cellStyle name="Percent 13 3" xfId="8334" xr:uid="{A10A9226-F559-4BA6-8FF2-A0E73F69D600}"/>
    <cellStyle name="Percent 13 4" xfId="8332" xr:uid="{E9A6C14B-4F90-49B0-BB6B-AEFF430017DE}"/>
    <cellStyle name="Percent 14" xfId="8335" xr:uid="{1EFA2653-D114-4613-9689-C7279CE9EFE0}"/>
    <cellStyle name="Percent 14 2" xfId="8336" xr:uid="{7113BBE2-4FD6-4B75-A19A-8134DFCD3F7C}"/>
    <cellStyle name="Percent 14 2 2" xfId="8337" xr:uid="{1D69BF0A-DB04-42BB-83CC-3F97DCF90287}"/>
    <cellStyle name="Percent 14 2 3" xfId="8338" xr:uid="{595FAF59-9928-48A5-846F-CE1341CAFBD8}"/>
    <cellStyle name="Percent 14 3" xfId="8339" xr:uid="{75CDBD2F-2DDB-403E-8F25-39D3209E112D}"/>
    <cellStyle name="Percent 14 4" xfId="8340" xr:uid="{694DF682-1D4A-4B27-9E2B-9E82C8DCB763}"/>
    <cellStyle name="Percent 15" xfId="8341" xr:uid="{850DE3A8-CD60-4A8E-9148-F97615C1FBDD}"/>
    <cellStyle name="Percent 15 2" xfId="8342" xr:uid="{47650C1B-6284-4590-A349-27361D45D802}"/>
    <cellStyle name="Percent 15 3" xfId="15108" xr:uid="{669A219B-75E4-4CF7-9E77-4698D301003C}"/>
    <cellStyle name="Percent 16" xfId="8343" xr:uid="{FCA79292-AA5D-414E-8CBA-CF214C085C9A}"/>
    <cellStyle name="Percent 16 2" xfId="8344" xr:uid="{EE607A90-7812-499D-A601-717D5E0C5085}"/>
    <cellStyle name="Percent 16 2 2" xfId="8345" xr:uid="{0A9F5315-D181-4D4C-9213-E06FA6601B6C}"/>
    <cellStyle name="Percent 16 3" xfId="8346" xr:uid="{5A784418-9225-4A19-B6C3-D554CEC65BAD}"/>
    <cellStyle name="Percent 16 3 2" xfId="14788" xr:uid="{89D553B6-4730-4780-AEE0-984E9D3CBE00}"/>
    <cellStyle name="Percent 17" xfId="8347" xr:uid="{C15D0948-2625-40A9-AE62-5EBCA254207A}"/>
    <cellStyle name="Percent 17 2" xfId="8348" xr:uid="{002BAEFC-7DD8-453F-9F11-AA4F28CC5A69}"/>
    <cellStyle name="Percent 17 2 2" xfId="8349" xr:uid="{33623BF9-4E75-45A4-8D5E-9201CF16A590}"/>
    <cellStyle name="Percent 17 3" xfId="8350" xr:uid="{08D25CDB-DB57-46EB-8D95-025A5A23CFB2}"/>
    <cellStyle name="Percent 17 3 2" xfId="14791" xr:uid="{B4177403-2D2F-4E5A-AEDB-D812E38B06B1}"/>
    <cellStyle name="Percent 18" xfId="8351" xr:uid="{39AFC74B-EAF0-445E-9308-27EA73934056}"/>
    <cellStyle name="Percent 18 2" xfId="8352" xr:uid="{B02E1026-3DDB-4D99-94FE-9DEABFC0A6EE}"/>
    <cellStyle name="Percent 18 2 2" xfId="8353" xr:uid="{D62B54B2-430F-425B-B42C-B43089747790}"/>
    <cellStyle name="Percent 18 3" xfId="8354" xr:uid="{7C3C0625-BAD3-40C4-A218-BC4525BBC169}"/>
    <cellStyle name="Percent 18 3 2" xfId="14804" xr:uid="{DFC122C4-62D0-4DA3-81B4-FEE55ED6BBC6}"/>
    <cellStyle name="Percent 19" xfId="8355" xr:uid="{BCAEB07D-6BB5-41FB-810E-AAA5A6711DEF}"/>
    <cellStyle name="Percent 19 2" xfId="8356" xr:uid="{DAD856E9-F0C6-4B2B-83ED-E9D78BE69F01}"/>
    <cellStyle name="Percent 19 2 2" xfId="8357" xr:uid="{710C90DE-A1F3-4C5B-98EA-1FE815F83270}"/>
    <cellStyle name="Percent 19 3" xfId="8358" xr:uid="{9AB72CFA-52C6-4FBB-B88F-3EB5BAD0C167}"/>
    <cellStyle name="Percent 19 3 2" xfId="14794" xr:uid="{E452D0DB-44AC-4AF3-BA8A-279249D8E7FE}"/>
    <cellStyle name="Percent 2" xfId="8" xr:uid="{1B6A6568-81EB-4DD0-B822-6B9A712A9EDE}"/>
    <cellStyle name="Percent 2 2" xfId="8360" xr:uid="{A15B4BD1-51E7-4C1A-903E-D79C5B46C97F}"/>
    <cellStyle name="Percent 2 2 2" xfId="8361" xr:uid="{6B73F627-4139-4958-A4D7-CE32BA0DB2C4}"/>
    <cellStyle name="Percent 2 2 2 2" xfId="40" xr:uid="{83907C08-8E58-4D00-B87D-9EC724EBFDF9}"/>
    <cellStyle name="Percent 2 2 2 2 2" xfId="8362" xr:uid="{DE645F51-6ACC-4DB3-A771-BA9C27BA71BA}"/>
    <cellStyle name="Percent 2 2 2 3" xfId="8363" xr:uid="{113086BA-63AD-4FF9-97EF-8B489A54F34E}"/>
    <cellStyle name="Percent 2 2 3" xfId="8364" xr:uid="{A4C794CF-51E7-4A0E-A733-F8DB22663643}"/>
    <cellStyle name="Percent 2 2 3 2" xfId="15398" xr:uid="{DF77C365-0F9F-4945-9E74-E61662EF71CE}"/>
    <cellStyle name="Percent 2 2 4" xfId="8365" xr:uid="{46A67F79-7D9D-4471-8859-64DA67032018}"/>
    <cellStyle name="Percent 2 2 4 2" xfId="8366" xr:uid="{2DAE0881-3663-43FD-888A-2ABE9A338F19}"/>
    <cellStyle name="Percent 2 3" xfId="8367" xr:uid="{950C7B10-8B88-42F6-833D-FB74BDA7F739}"/>
    <cellStyle name="Percent 2 3 2" xfId="8368" xr:uid="{7906234B-4C32-44D8-944E-B20AC11DD6AA}"/>
    <cellStyle name="Percent 2 4" xfId="16" xr:uid="{042932EA-50AA-40A7-B575-68804ED17F76}"/>
    <cellStyle name="Percent 2 4 2" xfId="8369" xr:uid="{D9374353-7F6D-410B-9D6C-F2F20C786241}"/>
    <cellStyle name="Percent 2 5" xfId="8370" xr:uid="{30EEDE2B-E447-48C0-8EEB-FCE7B0942637}"/>
    <cellStyle name="Percent 2 6" xfId="8371" xr:uid="{9C3AF96B-989B-4CA7-817B-97C99A39E543}"/>
    <cellStyle name="Percent 2 7" xfId="8372" xr:uid="{CC7930AB-54BC-43F4-86C5-D7B043B78590}"/>
    <cellStyle name="Percent 2 8" xfId="8359" xr:uid="{5A0A7F53-12A0-414C-BA54-752035C0DB59}"/>
    <cellStyle name="Percent 2 9" xfId="25908" xr:uid="{7F24FE85-9711-42E2-BAA8-B4957790C9ED}"/>
    <cellStyle name="Percent 20" xfId="8373" xr:uid="{F20B9F78-0E79-4BF8-8B4A-75A70A03FBEB}"/>
    <cellStyle name="Percent 20 2" xfId="8374" xr:uid="{CCF04BE6-23C8-4317-8B82-5699F948330D}"/>
    <cellStyle name="Percent 21" xfId="8375" xr:uid="{47164561-3459-4433-A9F5-AE5412334935}"/>
    <cellStyle name="Percent 21 2" xfId="8376" xr:uid="{CD040165-3535-4346-AB5E-56F4EE657454}"/>
    <cellStyle name="Percent 21 2 2" xfId="8377" xr:uid="{02485DDA-7EA4-4D36-87D6-D3F54368C5A1}"/>
    <cellStyle name="Percent 21 3" xfId="8378" xr:uid="{2D9E58F4-7FDD-4526-A62B-056C5EA8BC44}"/>
    <cellStyle name="Percent 21 3 2" xfId="14797" xr:uid="{DD2BC828-EF17-421F-8619-C5DE98F24EF4}"/>
    <cellStyle name="Percent 22" xfId="8379" xr:uid="{265883BD-528F-4FFC-8461-973CD6C81BFD}"/>
    <cellStyle name="Percent 22 2" xfId="8380" xr:uid="{718B152A-3411-4C92-A0A0-231D0AEC8D13}"/>
    <cellStyle name="Percent 22 2 2" xfId="8381" xr:uid="{06DC5644-D1A3-43F1-9A36-2933EE3B9894}"/>
    <cellStyle name="Percent 22 3" xfId="8382" xr:uid="{B8A02A24-5B81-48CA-B236-3DCD6A996F09}"/>
    <cellStyle name="Percent 22 3 2" xfId="14801" xr:uid="{268BA3DF-C508-4F93-8DE7-BF1B383D0344}"/>
    <cellStyle name="Percent 23" xfId="8383" xr:uid="{3A7E31FE-F1D1-47EF-91D7-F9E5E6DC1AA4}"/>
    <cellStyle name="Percent 23 2" xfId="8384" xr:uid="{A7CB53BB-BE39-4BA5-B1DF-7F702E16917D}"/>
    <cellStyle name="Percent 23 2 2" xfId="8385" xr:uid="{281398CC-A57F-476A-8976-F283A4E23D5B}"/>
    <cellStyle name="Percent 23 3" xfId="8386" xr:uid="{D3CE8F18-9F81-43DE-9548-E948E7752274}"/>
    <cellStyle name="Percent 23 3 2" xfId="14800" xr:uid="{ADD553BA-DF31-4BB5-B883-11002DFEE384}"/>
    <cellStyle name="Percent 24" xfId="8387" xr:uid="{249F8A9D-CE1B-4F64-A16D-23D039C95E36}"/>
    <cellStyle name="Percent 25" xfId="8388" xr:uid="{ADB11967-BB12-44EB-BCE3-FBD335CB934F}"/>
    <cellStyle name="Percent 26" xfId="8389" xr:uid="{F2B5F794-ED9E-46EB-8A39-0EF38F3C0BCB}"/>
    <cellStyle name="Percent 27" xfId="8390" xr:uid="{DAC3077F-FB62-4C9F-8463-01271DB44A3E}"/>
    <cellStyle name="Percent 28" xfId="8391" xr:uid="{9B0FE989-BECA-4FC3-88EB-71743B631FF9}"/>
    <cellStyle name="Percent 29" xfId="8392" xr:uid="{A8C61C3E-8CED-43BA-B8CF-79CC0A7E5236}"/>
    <cellStyle name="Percent 3" xfId="8393" xr:uid="{F0C7131F-2881-4776-AD47-8F049096E373}"/>
    <cellStyle name="Percent 3 2" xfId="8394" xr:uid="{0E302796-CE24-4655-A2CE-29025281B436}"/>
    <cellStyle name="Percent 3 2 2" xfId="8395" xr:uid="{615221A5-22A0-4436-BF93-FECF895A1D7B}"/>
    <cellStyle name="Percent 3 2 3" xfId="8396" xr:uid="{44560777-7909-425A-BF92-10FB6E8A120F}"/>
    <cellStyle name="Percent 3 3" xfId="8397" xr:uid="{B4755C20-4D6C-45E3-8629-67249C0F38EB}"/>
    <cellStyle name="Percent 3 3 2" xfId="8398" xr:uid="{5D2362DE-ADB9-4C09-90DB-19DDEE27CAC1}"/>
    <cellStyle name="Percent 3 3 3" xfId="14830" xr:uid="{50C43B04-F449-473E-95E2-E3A172838103}"/>
    <cellStyle name="Percent 3 4" xfId="8399" xr:uid="{F938CA75-F1D0-4FEE-A43D-31E7D27AD017}"/>
    <cellStyle name="Percent 3 5" xfId="8400" xr:uid="{E18C4CC0-C6CC-4A69-9BF0-6162A51C50E3}"/>
    <cellStyle name="Percent 30" xfId="8401" xr:uid="{077452A0-28FB-40F8-8E57-62FECBFDB863}"/>
    <cellStyle name="Percent 31" xfId="8402" xr:uid="{CFBFB859-7283-4B03-A9D9-7EF431161D5B}"/>
    <cellStyle name="Percent 32" xfId="8403" xr:uid="{E0E686CB-4CC0-4B78-95B5-EBB0DE72AB18}"/>
    <cellStyle name="Percent 32 2" xfId="8404" xr:uid="{4571ABF5-42CF-4C26-9F8D-D486077EB03C}"/>
    <cellStyle name="Percent 33" xfId="8405" xr:uid="{10067285-C307-4185-930D-CE2F4E105FDD}"/>
    <cellStyle name="Percent 33 2" xfId="8406" xr:uid="{76B598F1-944A-4F21-991C-BC29FD69DAF8}"/>
    <cellStyle name="Percent 34" xfId="8407" xr:uid="{584728B2-07F1-46D5-9FF1-F4140655F6FD}"/>
    <cellStyle name="Percent 34 2" xfId="8408" xr:uid="{0699B6A4-8247-4457-B4E7-92EFE0956E8D}"/>
    <cellStyle name="Percent 35" xfId="8409" xr:uid="{E731B338-9F5C-43E5-9A1D-192CBA4BFAD3}"/>
    <cellStyle name="Percent 35 2" xfId="8410" xr:uid="{3E1422AC-A213-4AB9-832D-BFA13EE0B8B4}"/>
    <cellStyle name="Percent 36" xfId="8411" xr:uid="{06C5BC08-5778-4FDA-8110-91F4EE5C27A0}"/>
    <cellStyle name="Percent 36 2" xfId="8412" xr:uid="{701DAEDF-7D8A-4BF8-98D8-AFCDE2E542D8}"/>
    <cellStyle name="Percent 37" xfId="8413" xr:uid="{88D99B99-5907-44DF-A775-A47BCBDE9333}"/>
    <cellStyle name="Percent 37 2" xfId="8414" xr:uid="{02CA6544-5F95-4120-8157-1D25BAEFACCD}"/>
    <cellStyle name="Percent 38" xfId="8415" xr:uid="{3E883E32-786B-4061-9D42-01BD950109BC}"/>
    <cellStyle name="Percent 38 2" xfId="8416" xr:uid="{4957E27B-64B8-4E31-A95E-66063AD3BAD1}"/>
    <cellStyle name="Percent 39" xfId="8417" xr:uid="{C0608A51-2690-41A0-B58D-779F5A7D20A9}"/>
    <cellStyle name="Percent 4" xfId="8418" xr:uid="{BE354D49-8754-4C9D-97CD-D963065EA851}"/>
    <cellStyle name="Percent 4 2" xfId="8419" xr:uid="{EDC0FEE5-3ED6-4EDE-95F4-79EEABCC3215}"/>
    <cellStyle name="Percent 4 3" xfId="8420" xr:uid="{D6B91C47-9E4D-4BCE-9B65-4F1EBABBAF31}"/>
    <cellStyle name="Percent 4 3 2" xfId="8421" xr:uid="{0F3DC8B9-3C98-4DF0-8D6D-4A75E88CD0DF}"/>
    <cellStyle name="Percent 4 4" xfId="14831" xr:uid="{4DF7B404-4175-4093-940B-62626467CD6F}"/>
    <cellStyle name="Percent 40" xfId="14832" xr:uid="{F0437970-9DF3-4A69-A169-E2279E2B776B}"/>
    <cellStyle name="Percent 41" xfId="14833" xr:uid="{8AE8BDBC-AFBF-4B51-AF8A-1F67C6EDDB5C}"/>
    <cellStyle name="Percent 5" xfId="11" xr:uid="{CE1CFFF0-B506-407C-B12B-421292613DF9}"/>
    <cellStyle name="Percent 5 2" xfId="17" xr:uid="{BE0386FA-41AA-4343-B345-0CC50B3FBD9D}"/>
    <cellStyle name="Percent 5 2 2" xfId="18" xr:uid="{93C7D6EB-5340-455F-BF18-2A3E16E8E00A}"/>
    <cellStyle name="Percent 5 2 2 2" xfId="14809" xr:uid="{2CCA0A04-CD4E-4B82-B705-548C1BC6423D}"/>
    <cellStyle name="Percent 5 2 2 3" xfId="8423" xr:uid="{6D53317A-3899-4A52-BE71-4C6A5E4AF828}"/>
    <cellStyle name="Percent 5 3" xfId="20" xr:uid="{0F2EC223-9FDE-46FC-8C02-74A7ED41D178}"/>
    <cellStyle name="Percent 5 3 2" xfId="8424" xr:uid="{C0563EF0-67AE-4BF1-AFBC-F9C2CD1B036F}"/>
    <cellStyle name="Percent 5 3 3" xfId="15332" xr:uid="{836936AC-FFBD-4A3A-AEA5-21A33C3485E3}"/>
    <cellStyle name="Percent 5 4" xfId="8425" xr:uid="{11AE5353-77CF-4537-BEC8-A69D4B72A970}"/>
    <cellStyle name="Percent 5 5" xfId="8426" xr:uid="{5A392079-0514-4DF8-ABF7-9CE5928FD79F}"/>
    <cellStyle name="Percent 5 6" xfId="8422" xr:uid="{FE3EDCD5-8F7B-4A56-9F2B-DC8D6728DE7D}"/>
    <cellStyle name="Percent 6" xfId="8427" xr:uid="{E99A46A2-BADB-4D67-9852-AC65E9026C04}"/>
    <cellStyle name="Percent 6 2" xfId="8428" xr:uid="{23276661-D0DF-4142-8AFD-9B630160AEB6}"/>
    <cellStyle name="Percent 6 2 2" xfId="8429" xr:uid="{E240D45E-898C-483F-A639-0596741ED40D}"/>
    <cellStyle name="Percent 6 3" xfId="8430" xr:uid="{0895B41B-2D28-4FDE-8EA1-1B987456F107}"/>
    <cellStyle name="Percent 7" xfId="8431" xr:uid="{085DF716-BEE3-47B3-BFE9-6C77E036A7B0}"/>
    <cellStyle name="Percent 7 2" xfId="8432" xr:uid="{7F9FD263-0D4A-49DB-ABE0-AE5722A7C071}"/>
    <cellStyle name="Percent 7 2 2" xfId="8433" xr:uid="{1A7E666B-CCF0-4407-AA63-9D63D1650628}"/>
    <cellStyle name="Percent 7 3" xfId="8434" xr:uid="{2A073DE8-7A0C-4A21-8B26-4FAA41BB76C5}"/>
    <cellStyle name="Percent 8" xfId="8435" xr:uid="{2AD71376-B8FC-4D1E-911C-C22A68D2FB94}"/>
    <cellStyle name="Percent 8 2" xfId="8436" xr:uid="{6C4F6C95-8D8A-44B4-BB60-B80AA23AB6FD}"/>
    <cellStyle name="Percent 8 3" xfId="8437" xr:uid="{B3B62A9C-6CCC-47B1-A76B-7A72B845476C}"/>
    <cellStyle name="Percent 9" xfId="8438" xr:uid="{264A8DC8-8ADF-4D94-B335-8572BF3C4A42}"/>
    <cellStyle name="Percent 9 2" xfId="8439" xr:uid="{B5A3CD61-C4BB-4D11-8D03-952A01FE021F}"/>
    <cellStyle name="Percent 9 3" xfId="8440" xr:uid="{546E7CD3-CB27-41EA-AC58-D5D34FE31909}"/>
    <cellStyle name="Percent Hard" xfId="8441" xr:uid="{A82445A0-7ED9-4ABA-A5BA-3F40FA339A59}"/>
    <cellStyle name="percentage" xfId="8442" xr:uid="{21567585-4F23-41B7-A64B-770C5A48268D}"/>
    <cellStyle name="Percentuale 10" xfId="8443" xr:uid="{F2F3FA55-9EF1-4026-9352-10AAA1E1AE1A}"/>
    <cellStyle name="Percentuale 10 2" xfId="8444" xr:uid="{BA8B1DFD-D515-4376-8A4E-3E356EFB477D}"/>
    <cellStyle name="Percentuale 11" xfId="8445" xr:uid="{9238325D-BAC2-410C-9E77-CA1A09B16A44}"/>
    <cellStyle name="Percentuale 11 2" xfId="8446" xr:uid="{E3D6B747-01CB-41D1-A5A4-057E6B0B6407}"/>
    <cellStyle name="Percentuale 12" xfId="8447" xr:uid="{2C9F6F3F-90D5-48FF-87EB-DF91C5A566C7}"/>
    <cellStyle name="Percentuale 12 2" xfId="8448" xr:uid="{D18F918A-FCE1-4118-A3E7-0077895E3F7E}"/>
    <cellStyle name="Percentuale 13" xfId="8449" xr:uid="{80683CB6-7E2E-4124-A363-95EAD886BCF0}"/>
    <cellStyle name="Percentuale 13 2" xfId="8450" xr:uid="{3291893C-AFF3-45B3-B036-6F17C0ADDF98}"/>
    <cellStyle name="Percentuale 14" xfId="8451" xr:uid="{C234CAE2-5A2D-44F0-9C0D-53D642629C6C}"/>
    <cellStyle name="Percentuale 15" xfId="8452" xr:uid="{16A419E5-AD47-4C5F-B75B-1924326C0BA6}"/>
    <cellStyle name="Percentuale 16" xfId="8453" xr:uid="{55B72E19-1327-4EF2-A42F-B3E49CA98648}"/>
    <cellStyle name="Percentuale 17" xfId="8454" xr:uid="{5BCFD9E5-56CA-4562-B1CA-2636311389BD}"/>
    <cellStyle name="Percentuale 18" xfId="8455" xr:uid="{7458FA14-B4CF-4F31-B702-818FDF7CDA10}"/>
    <cellStyle name="Percentuale 19" xfId="8456" xr:uid="{79B2BEBC-ABB3-43FE-9290-35D713C6CA69}"/>
    <cellStyle name="Percentuale 2" xfId="8457" xr:uid="{3E9A2232-46A0-495F-8C16-361980148224}"/>
    <cellStyle name="Percentuale 2 2" xfId="8458" xr:uid="{3232BC3D-5A30-47DE-AAC6-780A1070C584}"/>
    <cellStyle name="Percentuale 2 2 2" xfId="8459" xr:uid="{16CFF66B-097F-4B96-B0D7-F7D461D4B9BC}"/>
    <cellStyle name="Percentuale 2 3" xfId="8460" xr:uid="{61306020-10C1-4DE2-ADE1-B7A084C19159}"/>
    <cellStyle name="Percentuale 3" xfId="8461" xr:uid="{A66C91C2-D7D8-4D8E-8E37-005B13B600C0}"/>
    <cellStyle name="Percentuale 3 2" xfId="8462" xr:uid="{65DC10A5-B487-48CB-81A1-A17CA8BA2EFB}"/>
    <cellStyle name="Percentuale 3 2 2" xfId="8463" xr:uid="{F45DF804-0178-4E20-8599-46767AB3E354}"/>
    <cellStyle name="Percentuale 3 3" xfId="8464" xr:uid="{327E0C15-24B2-4A44-9F94-AFE3398F5344}"/>
    <cellStyle name="Percentuale 4" xfId="8465" xr:uid="{A2E536B4-751A-4CE2-8C1E-BE7E5CAB2E34}"/>
    <cellStyle name="Percentuale 4 2" xfId="8466" xr:uid="{06B90D38-E87E-439F-84F8-AC5015ACF639}"/>
    <cellStyle name="Percentuale 5" xfId="8467" xr:uid="{F18DF9EA-6ED7-4BC7-93D8-00ADCFC06E12}"/>
    <cellStyle name="Percentuale 5 2" xfId="8468" xr:uid="{8EB91DBB-0405-43B4-9DCA-356E75477065}"/>
    <cellStyle name="Percentuale 6" xfId="8469" xr:uid="{692F7CCB-1290-4EB7-8D6F-DA99C6DFC402}"/>
    <cellStyle name="Percentuale 6 2" xfId="8470" xr:uid="{E4E683BE-1F9D-453E-BD3D-D7336E52C0FB}"/>
    <cellStyle name="Percentuale 7" xfId="8471" xr:uid="{7A0691E7-92E0-4B27-9CB0-2EDF48EF43BC}"/>
    <cellStyle name="Percentuale 7 2" xfId="8472" xr:uid="{9F908224-2DAB-4539-9F4F-C983B2866CBB}"/>
    <cellStyle name="Percentuale 7 2 2" xfId="15343" xr:uid="{CE45E631-91DE-4610-9F63-29ED20FC2A79}"/>
    <cellStyle name="Percentuale 7 3" xfId="14834" xr:uid="{5DF3432D-2A78-4F80-BF77-0DDCCB2C1D72}"/>
    <cellStyle name="Percentuale 8" xfId="8473" xr:uid="{69A1B803-0DD2-4456-9D3F-A917DC558467}"/>
    <cellStyle name="Percentuale 8 2" xfId="8474" xr:uid="{117503D9-7282-427E-8C1F-80AF2F6EC254}"/>
    <cellStyle name="Percentuale 8 2 2" xfId="15344" xr:uid="{459E7A0E-AD23-4D3E-BD67-DF7C893DF648}"/>
    <cellStyle name="Percentuale 8 3" xfId="14835" xr:uid="{5DBDB246-8C69-480D-BE40-B9D3129AF925}"/>
    <cellStyle name="Percentuale 9" xfId="8475" xr:uid="{82791F86-D604-487E-9666-F0967C3A8A8F}"/>
    <cellStyle name="percnt" xfId="8476" xr:uid="{FE604DAA-D883-4418-B150-E81DC72B097C}"/>
    <cellStyle name="periodformat" xfId="8477" xr:uid="{465AA02C-C692-4115-A225-59D2E341CE6B}"/>
    <cellStyle name="Pilkku_Layo9704" xfId="8478" xr:uid="{0E52805C-B77C-40A2-B1C3-A408B755A032}"/>
    <cellStyle name="Pilote de données - Catégorie" xfId="8479" xr:uid="{6F053766-B91E-4491-8D9D-8B131CF2D569}"/>
    <cellStyle name="Pilote de données - Catégorie 1" xfId="8480" xr:uid="{A22CEBA2-E2D8-4A3B-A616-E47EC47548C9}"/>
    <cellStyle name="Pilote de données - Catégorie 2" xfId="8481" xr:uid="{DACC6AB0-ABDB-4E44-A8DC-651898EB6290}"/>
    <cellStyle name="Pilote de données - Catégorie 3" xfId="8482" xr:uid="{FBB3C3F0-7CF8-4A02-AD25-A28DD49FE161}"/>
    <cellStyle name="Pilote de données - Catégorie_Lettre plafond PLF 2012 - MEDDTL - fichier source" xfId="8483" xr:uid="{57FC840F-D898-47FA-945D-EEC00F70CA2F}"/>
    <cellStyle name="Pilote de données - Champ" xfId="8484" xr:uid="{D0D6ECA3-B480-4AF8-A53B-91713D65F0D5}"/>
    <cellStyle name="Pilote de données - Champ 1" xfId="8485" xr:uid="{BEA538F5-F41E-4CF0-BD91-78464FA864A0}"/>
    <cellStyle name="Pilote de données - Champ_2013 03 05 ANNEXES circulaire sécurisation" xfId="8486" xr:uid="{5EFD369F-9886-4FE6-B69C-E0E36ED46B85}"/>
    <cellStyle name="Pilote de données - Coin" xfId="8487" xr:uid="{B25441B4-9CE1-43E0-91BB-0B5C18B713DD}"/>
    <cellStyle name="Pilote de données - Coin 1" xfId="8488" xr:uid="{EEF4469D-6C98-487A-B9A8-ABCBC2460585}"/>
    <cellStyle name="Pilote de données - Coin_2013 03 05 ANNEXES circulaire sécurisation" xfId="8489" xr:uid="{A4F6D3CD-0E3A-4256-8B96-A3EBEA5BED45}"/>
    <cellStyle name="Pilote de données - Résultat" xfId="8490" xr:uid="{68DDC996-B7DB-41E7-A146-6CBD70D49332}"/>
    <cellStyle name="Pilote de données - Résultat 1" xfId="8491" xr:uid="{91D54E29-92C9-4471-B6D5-79B09EE2364D}"/>
    <cellStyle name="Pilote de données - Résultat_2013 03 05 ANNEXES circulaire sécurisation" xfId="8492" xr:uid="{31A9CC35-5216-4E49-B7AD-B1D9689B9BFE}"/>
    <cellStyle name="Pilote de données - Titre" xfId="8493" xr:uid="{E3AEA64E-4F67-48CE-A339-CFACE5B2B268}"/>
    <cellStyle name="Pilote de données - Titre 1" xfId="8494" xr:uid="{DF3454C6-0DAD-4382-964F-26477150F740}"/>
    <cellStyle name="Pilote de données - Titre_2013 03 05 ANNEXES circulaire sécurisation" xfId="8495" xr:uid="{087F578B-795E-40A8-869B-F3A16B8DABC4}"/>
    <cellStyle name="Pilote de données - Valeur" xfId="8496" xr:uid="{C36C921A-5210-47C5-BAF9-3DE794DC6F34}"/>
    <cellStyle name="Pilote de données - Valeur 1" xfId="8497" xr:uid="{C1149166-10A5-4F8A-8588-4B583E48B7B5}"/>
    <cellStyle name="Pilote de données - Valeur 2" xfId="8498" xr:uid="{074D348E-8C5A-43F7-A310-C96984920BE4}"/>
    <cellStyle name="Pilote de données - Valeur_2013 03 05 ANNEXES circulaire sécurisation" xfId="8499" xr:uid="{208BEFCB-F5A3-453C-BB8D-A97940332852}"/>
    <cellStyle name="pivot item labels &amp; totals" xfId="8500" xr:uid="{0BA47B94-DAB9-4D0D-96F1-A25984451C59}"/>
    <cellStyle name="pivot item labels &amp; totals 10" xfId="8501" xr:uid="{949E4740-7279-404F-A322-029F7961C09C}"/>
    <cellStyle name="pivot item labels &amp; totals 10 2" xfId="8502" xr:uid="{CCE4B2AC-10DE-4DB1-8C4A-9CD1B2F6C19C}"/>
    <cellStyle name="pivot item labels &amp; totals 10 2 2" xfId="8503" xr:uid="{AC40706F-9355-48C2-9470-E2438EEBDA48}"/>
    <cellStyle name="pivot item labels &amp; totals 10 2 2 2" xfId="20168" xr:uid="{0A1F21F5-5A74-4B25-B41B-AC8D394E7CD2}"/>
    <cellStyle name="pivot item labels &amp; totals 10 2 3" xfId="8504" xr:uid="{1C71D4A8-245F-4C95-A6C2-B67618B2B853}"/>
    <cellStyle name="pivot item labels &amp; totals 10 2 3 2" xfId="20169" xr:uid="{85F16BD5-CCD4-479E-AFFD-062BAF699C58}"/>
    <cellStyle name="pivot item labels &amp; totals 10 2 4" xfId="8505" xr:uid="{240EBE08-861B-443A-92F5-4531ACB54A73}"/>
    <cellStyle name="pivot item labels &amp; totals 10 2 4 2" xfId="20170" xr:uid="{7D0655EE-C23A-47B4-B429-513F664DEC94}"/>
    <cellStyle name="pivot item labels &amp; totals 10 2 5" xfId="8506" xr:uid="{0C3380C6-170F-4670-BDDB-7041144352EE}"/>
    <cellStyle name="pivot item labels &amp; totals 10 2 5 2" xfId="20171" xr:uid="{B896A519-0060-4036-8123-D104FC925F41}"/>
    <cellStyle name="pivot item labels &amp; totals 10 2 6" xfId="20167" xr:uid="{24FF148A-7C5F-4C0E-B0B7-137F517123A4}"/>
    <cellStyle name="pivot item labels &amp; totals 10 3" xfId="8507" xr:uid="{53336C76-B393-4682-A087-50FE9EF95887}"/>
    <cellStyle name="pivot item labels &amp; totals 10 3 2" xfId="20172" xr:uid="{715AC518-5C99-4ABB-B9DE-E3FDE245197B}"/>
    <cellStyle name="pivot item labels &amp; totals 10 4" xfId="8508" xr:uid="{1443A82C-C43A-413A-989E-74A2D920011E}"/>
    <cellStyle name="pivot item labels &amp; totals 10 4 2" xfId="20173" xr:uid="{141F3E08-626F-4057-B56A-F380911EE3F1}"/>
    <cellStyle name="pivot item labels &amp; totals 10 5" xfId="8509" xr:uid="{A22F2ECC-7E5A-47C1-9E17-AD7C512CA8AA}"/>
    <cellStyle name="pivot item labels &amp; totals 10 5 2" xfId="20174" xr:uid="{79BE414E-BF75-4749-AD88-8A1A7E4F8EE6}"/>
    <cellStyle name="pivot item labels &amp; totals 10 6" xfId="8510" xr:uid="{DFA3C76A-D105-463B-8233-8468DA481DA9}"/>
    <cellStyle name="pivot item labels &amp; totals 10 6 2" xfId="20175" xr:uid="{96C88D69-C7CD-4458-92CE-6CA43E143C2E}"/>
    <cellStyle name="pivot item labels &amp; totals 10 7" xfId="20166" xr:uid="{D4657DDB-689B-472C-BF21-3994909F1640}"/>
    <cellStyle name="pivot item labels &amp; totals 11" xfId="8511" xr:uid="{187FD5A2-2076-4E66-862E-918DC01D7503}"/>
    <cellStyle name="pivot item labels &amp; totals 11 2" xfId="8512" xr:uid="{5845766D-12EE-4795-B5A0-F68ABC4D098D}"/>
    <cellStyle name="pivot item labels &amp; totals 11 2 2" xfId="8513" xr:uid="{75502897-ACB8-4A18-AF9A-B9D34AE01CAB}"/>
    <cellStyle name="pivot item labels &amp; totals 11 2 2 2" xfId="20178" xr:uid="{16E8AFF1-A776-4758-8E09-2C537080E11E}"/>
    <cellStyle name="pivot item labels &amp; totals 11 2 3" xfId="8514" xr:uid="{1F4AE3C5-FFB4-4C47-97B5-FD3756976465}"/>
    <cellStyle name="pivot item labels &amp; totals 11 2 3 2" xfId="20179" xr:uid="{DF1A30C8-F327-412B-BFFA-3D7296F3EA2F}"/>
    <cellStyle name="pivot item labels &amp; totals 11 2 4" xfId="8515" xr:uid="{FA68DCA5-A0C3-4C97-9847-E0F679A44202}"/>
    <cellStyle name="pivot item labels &amp; totals 11 2 4 2" xfId="20180" xr:uid="{48A1895D-0CB1-4758-93C1-9432D23230A8}"/>
    <cellStyle name="pivot item labels &amp; totals 11 2 5" xfId="8516" xr:uid="{9EA46DEF-FC4C-4437-87A0-9C258F9B42B0}"/>
    <cellStyle name="pivot item labels &amp; totals 11 2 5 2" xfId="20181" xr:uid="{3DE69D70-C1CE-4DB6-9612-9689212978B6}"/>
    <cellStyle name="pivot item labels &amp; totals 11 2 6" xfId="20177" xr:uid="{5820E47B-EE0E-41D0-8ABC-C0AAD77DB968}"/>
    <cellStyle name="pivot item labels &amp; totals 11 3" xfId="8517" xr:uid="{B55BA0EB-5FE5-4327-876B-228EDBECBBDF}"/>
    <cellStyle name="pivot item labels &amp; totals 11 3 2" xfId="20182" xr:uid="{8579713E-217A-426E-93C9-5BD2D65A0D3B}"/>
    <cellStyle name="pivot item labels &amp; totals 11 4" xfId="8518" xr:uid="{1B165E9A-2A75-42A1-A98F-1722BFB13759}"/>
    <cellStyle name="pivot item labels &amp; totals 11 4 2" xfId="20183" xr:uid="{65A9FB8F-E23B-4030-B464-B92ECDB73D73}"/>
    <cellStyle name="pivot item labels &amp; totals 11 5" xfId="8519" xr:uid="{9BA804C6-4A24-49D5-A027-EAF77637A298}"/>
    <cellStyle name="pivot item labels &amp; totals 11 5 2" xfId="20184" xr:uid="{9F6E9151-ABB3-4E6C-AD85-FBE94CAF8358}"/>
    <cellStyle name="pivot item labels &amp; totals 11 6" xfId="8520" xr:uid="{ABAA55B5-1D13-47BE-B442-2DFE297C98BA}"/>
    <cellStyle name="pivot item labels &amp; totals 11 6 2" xfId="20185" xr:uid="{2A8BCAC4-E4A5-44D1-B631-E4D2293BD0ED}"/>
    <cellStyle name="pivot item labels &amp; totals 11 7" xfId="20176" xr:uid="{CECD44AA-4AFC-4540-B104-26A69A3A60B0}"/>
    <cellStyle name="pivot item labels &amp; totals 12" xfId="8521" xr:uid="{C8FED55E-6434-4351-9274-067C4504AC04}"/>
    <cellStyle name="pivot item labels &amp; totals 12 2" xfId="8522" xr:uid="{D65329EF-F0DB-4F4C-8035-C7C062F0C10B}"/>
    <cellStyle name="pivot item labels &amp; totals 12 2 2" xfId="8523" xr:uid="{2DB90EC1-E8F0-473F-A8D3-B40210BE6C2E}"/>
    <cellStyle name="pivot item labels &amp; totals 12 2 2 2" xfId="20188" xr:uid="{D16E9B7B-705D-47DA-A563-8A7334A85A37}"/>
    <cellStyle name="pivot item labels &amp; totals 12 2 3" xfId="8524" xr:uid="{23277530-3A76-4F41-BC1F-9CDD19C3C6BD}"/>
    <cellStyle name="pivot item labels &amp; totals 12 2 3 2" xfId="20189" xr:uid="{0BF000FE-3EC5-45E5-9156-53438300240E}"/>
    <cellStyle name="pivot item labels &amp; totals 12 2 4" xfId="8525" xr:uid="{DCC7213D-D797-4B5A-AEDE-5F04DE8E3CB8}"/>
    <cellStyle name="pivot item labels &amp; totals 12 2 4 2" xfId="20190" xr:uid="{6F295DC7-7E61-4C2D-A74F-0C2A8A01A8C6}"/>
    <cellStyle name="pivot item labels &amp; totals 12 2 5" xfId="8526" xr:uid="{8EA55FDC-5642-46C9-AFE5-AE9D285CA625}"/>
    <cellStyle name="pivot item labels &amp; totals 12 2 5 2" xfId="20191" xr:uid="{3B3FF51F-07B7-400E-8AE7-6F5D84E13E4D}"/>
    <cellStyle name="pivot item labels &amp; totals 12 2 6" xfId="20187" xr:uid="{1C502364-17CE-46A5-935F-4CB0D30ACF9C}"/>
    <cellStyle name="pivot item labels &amp; totals 12 3" xfId="8527" xr:uid="{95D88938-1A47-47A4-B09E-F1E7BE39DD62}"/>
    <cellStyle name="pivot item labels &amp; totals 12 3 2" xfId="20192" xr:uid="{127505BA-A615-4FC4-BC48-2AB2FE2F26E5}"/>
    <cellStyle name="pivot item labels &amp; totals 12 4" xfId="8528" xr:uid="{EAA9D566-D2E9-4BF7-A64C-DEBE81AD6EE7}"/>
    <cellStyle name="pivot item labels &amp; totals 12 4 2" xfId="20193" xr:uid="{995BCCC1-2C9F-40DD-B3E9-D858C42BD615}"/>
    <cellStyle name="pivot item labels &amp; totals 12 5" xfId="8529" xr:uid="{A0B69390-D87C-4D67-9478-601876C482A3}"/>
    <cellStyle name="pivot item labels &amp; totals 12 5 2" xfId="20194" xr:uid="{7CA73F2E-0B14-4A82-B871-72F9AC47FD10}"/>
    <cellStyle name="pivot item labels &amp; totals 12 6" xfId="8530" xr:uid="{D72D355A-DBA1-4AEF-92A8-249AE37BEC6A}"/>
    <cellStyle name="pivot item labels &amp; totals 12 6 2" xfId="20195" xr:uid="{126118A0-E959-48C0-BC9A-645D8D3DFC0A}"/>
    <cellStyle name="pivot item labels &amp; totals 12 7" xfId="20186" xr:uid="{7156739D-E6C5-4219-AFFC-11F559CEFBAF}"/>
    <cellStyle name="pivot item labels &amp; totals 13" xfId="8531" xr:uid="{01054D24-FD52-41E4-9178-2C3497D8D0B7}"/>
    <cellStyle name="pivot item labels &amp; totals 13 2" xfId="8532" xr:uid="{4BF2A190-3000-4676-8FA4-10F19E1F1A98}"/>
    <cellStyle name="pivot item labels &amp; totals 13 2 2" xfId="8533" xr:uid="{8A118832-568B-4A24-A58E-04493D014CF5}"/>
    <cellStyle name="pivot item labels &amp; totals 13 2 2 2" xfId="20198" xr:uid="{573617C3-4E73-425A-AE49-1B6A9C9EB90B}"/>
    <cellStyle name="pivot item labels &amp; totals 13 2 3" xfId="8534" xr:uid="{60536425-6DEC-4C59-8EFC-540CF223126F}"/>
    <cellStyle name="pivot item labels &amp; totals 13 2 3 2" xfId="20199" xr:uid="{55329F53-65C5-4707-B5DC-52673F797043}"/>
    <cellStyle name="pivot item labels &amp; totals 13 2 4" xfId="8535" xr:uid="{1C7A735B-FE0D-449B-8E98-A7692729EC72}"/>
    <cellStyle name="pivot item labels &amp; totals 13 2 4 2" xfId="20200" xr:uid="{2128180B-D50E-40D3-A94A-28689375C90F}"/>
    <cellStyle name="pivot item labels &amp; totals 13 2 5" xfId="8536" xr:uid="{67B890B6-3AE3-4B3A-B081-1A46AB24ADAD}"/>
    <cellStyle name="pivot item labels &amp; totals 13 2 5 2" xfId="20201" xr:uid="{C2A51FE1-2DD4-4206-9F29-49C95416065F}"/>
    <cellStyle name="pivot item labels &amp; totals 13 2 6" xfId="20197" xr:uid="{08A000F2-2C40-41C2-9D59-C49A3C244702}"/>
    <cellStyle name="pivot item labels &amp; totals 13 3" xfId="8537" xr:uid="{3CFF28C5-AC7B-4D30-B742-256CFDF6D22B}"/>
    <cellStyle name="pivot item labels &amp; totals 13 3 2" xfId="20202" xr:uid="{3DE1000E-56F1-4489-BEEC-552A209AD504}"/>
    <cellStyle name="pivot item labels &amp; totals 13 4" xfId="8538" xr:uid="{318F6137-9B62-4663-A432-0E424EC4B835}"/>
    <cellStyle name="pivot item labels &amp; totals 13 4 2" xfId="20203" xr:uid="{F8AE2C0B-4682-43B1-929B-63449D91A3B1}"/>
    <cellStyle name="pivot item labels &amp; totals 13 5" xfId="8539" xr:uid="{C79BEBBE-D90F-49BE-8233-2CB05587B4D8}"/>
    <cellStyle name="pivot item labels &amp; totals 13 5 2" xfId="20204" xr:uid="{7ED47736-937D-4B04-84B8-130631657CEE}"/>
    <cellStyle name="pivot item labels &amp; totals 13 6" xfId="8540" xr:uid="{7A238352-92FA-4D7B-B39B-C79252B44355}"/>
    <cellStyle name="pivot item labels &amp; totals 13 6 2" xfId="20205" xr:uid="{A8EFFC7B-17DC-4404-9BE0-79DDA3B37579}"/>
    <cellStyle name="pivot item labels &amp; totals 13 7" xfId="20196" xr:uid="{D2519A0C-2EE0-4B37-813C-21E30EB9A6AB}"/>
    <cellStyle name="pivot item labels &amp; totals 14" xfId="8541" xr:uid="{A74E4F4D-93DC-45AB-8E1A-88A53856F3E5}"/>
    <cellStyle name="pivot item labels &amp; totals 14 2" xfId="8542" xr:uid="{DBE5FF6A-BFC5-4D91-A4F6-CBAD146D79AA}"/>
    <cellStyle name="pivot item labels &amp; totals 14 2 2" xfId="8543" xr:uid="{9561C8B7-701D-4BFC-9395-A7F20164E2D6}"/>
    <cellStyle name="pivot item labels &amp; totals 14 2 2 2" xfId="20208" xr:uid="{F9C4EDA9-9780-4F86-B426-45662E535BD6}"/>
    <cellStyle name="pivot item labels &amp; totals 14 2 3" xfId="8544" xr:uid="{BA668A6F-B805-435E-92A5-D1CCB838D8C5}"/>
    <cellStyle name="pivot item labels &amp; totals 14 2 3 2" xfId="20209" xr:uid="{251316B7-B18F-424B-A137-38D61FB51273}"/>
    <cellStyle name="pivot item labels &amp; totals 14 2 4" xfId="8545" xr:uid="{476A15DE-2D63-4E99-B12A-15CAC09AD6D5}"/>
    <cellStyle name="pivot item labels &amp; totals 14 2 4 2" xfId="20210" xr:uid="{0CA580A6-D1E1-482A-B911-E2155B7830D3}"/>
    <cellStyle name="pivot item labels &amp; totals 14 2 5" xfId="8546" xr:uid="{B6C44794-D79A-456C-8B21-1A1E3877FC1A}"/>
    <cellStyle name="pivot item labels &amp; totals 14 2 5 2" xfId="20211" xr:uid="{2A32ECD7-E2E8-4894-B55C-363B1E1FF510}"/>
    <cellStyle name="pivot item labels &amp; totals 14 2 6" xfId="20207" xr:uid="{A12F7013-B8AC-4AD1-B1B7-D83D0B095CDD}"/>
    <cellStyle name="pivot item labels &amp; totals 14 3" xfId="8547" xr:uid="{641D6611-57B7-437F-B05B-414BAF89A969}"/>
    <cellStyle name="pivot item labels &amp; totals 14 3 2" xfId="20212" xr:uid="{94F4EBB7-B8B3-4851-B86F-1414F3082F5C}"/>
    <cellStyle name="pivot item labels &amp; totals 14 4" xfId="8548" xr:uid="{3AE25EF8-483C-4D0D-9964-8E0F60B7A37B}"/>
    <cellStyle name="pivot item labels &amp; totals 14 4 2" xfId="20213" xr:uid="{BC8C5CA1-3EB7-4A01-9C7A-85B31540C5C9}"/>
    <cellStyle name="pivot item labels &amp; totals 14 5" xfId="8549" xr:uid="{1829E8B3-6A40-4181-B6BA-91956B70E1FB}"/>
    <cellStyle name="pivot item labels &amp; totals 14 5 2" xfId="20214" xr:uid="{D3089401-2941-48DF-A671-BBA8D1DB3AD4}"/>
    <cellStyle name="pivot item labels &amp; totals 14 6" xfId="8550" xr:uid="{A6B875B2-F1BA-4246-99D8-3D7C275C4C7D}"/>
    <cellStyle name="pivot item labels &amp; totals 14 6 2" xfId="20215" xr:uid="{074689A3-538F-4E32-8C9E-AD32CE18070F}"/>
    <cellStyle name="pivot item labels &amp; totals 14 7" xfId="20206" xr:uid="{04E965D5-4852-470B-8B94-8CFE7DD1B100}"/>
    <cellStyle name="pivot item labels &amp; totals 15" xfId="8551" xr:uid="{1367BE4E-1EB8-4589-B89C-29C57589E534}"/>
    <cellStyle name="pivot item labels &amp; totals 15 2" xfId="8552" xr:uid="{C8F37E87-64C3-4D8A-BE27-60BBF443A9FE}"/>
    <cellStyle name="pivot item labels &amp; totals 15 2 2" xfId="8553" xr:uid="{6C948B8E-B7A1-4D66-86FC-9AF779EC59CC}"/>
    <cellStyle name="pivot item labels &amp; totals 15 2 2 2" xfId="20218" xr:uid="{C6564121-95F1-41E3-93FA-3D8DE3A6F63D}"/>
    <cellStyle name="pivot item labels &amp; totals 15 2 3" xfId="8554" xr:uid="{C567228B-3222-4554-95FD-75D58FD23D1A}"/>
    <cellStyle name="pivot item labels &amp; totals 15 2 3 2" xfId="20219" xr:uid="{819C9217-1210-4E6C-8094-ADFA906202E7}"/>
    <cellStyle name="pivot item labels &amp; totals 15 2 4" xfId="8555" xr:uid="{766F7FA4-A1A5-4EA4-8721-E5D2811C01AF}"/>
    <cellStyle name="pivot item labels &amp; totals 15 2 4 2" xfId="20220" xr:uid="{A354794E-EDEC-4DCB-8FAE-7C4BFC5C01C2}"/>
    <cellStyle name="pivot item labels &amp; totals 15 2 5" xfId="8556" xr:uid="{918354A5-86FE-4A9B-B338-6069B04D52DE}"/>
    <cellStyle name="pivot item labels &amp; totals 15 2 5 2" xfId="20221" xr:uid="{AD90FE7D-7025-455C-841A-866A7A722EE2}"/>
    <cellStyle name="pivot item labels &amp; totals 15 2 6" xfId="20217" xr:uid="{D9BA60E7-004D-4E34-9B2C-EEF0BE9ACF8C}"/>
    <cellStyle name="pivot item labels &amp; totals 15 3" xfId="8557" xr:uid="{0543344C-F6EF-44AF-AF0A-B46F04419A06}"/>
    <cellStyle name="pivot item labels &amp; totals 15 3 2" xfId="20222" xr:uid="{72E13CC3-93D4-49B0-B4B0-225AEF381395}"/>
    <cellStyle name="pivot item labels &amp; totals 15 4" xfId="8558" xr:uid="{9213B063-84A5-4CEC-8778-8A9C2960DEAE}"/>
    <cellStyle name="pivot item labels &amp; totals 15 4 2" xfId="20223" xr:uid="{B38CF999-837E-4740-9C5F-752B2C2E5A4C}"/>
    <cellStyle name="pivot item labels &amp; totals 15 5" xfId="8559" xr:uid="{A75904C8-0D3E-4520-AF03-D9D3B7337A76}"/>
    <cellStyle name="pivot item labels &amp; totals 15 5 2" xfId="20224" xr:uid="{6B9E1CF0-C795-4498-8CA4-DD25E0B4AF3C}"/>
    <cellStyle name="pivot item labels &amp; totals 15 6" xfId="8560" xr:uid="{D101D0DC-6892-4E55-B8FA-C639BB07AEFB}"/>
    <cellStyle name="pivot item labels &amp; totals 15 6 2" xfId="20225" xr:uid="{E09AE66C-3B5B-4A3D-9E98-70706D4940A9}"/>
    <cellStyle name="pivot item labels &amp; totals 15 7" xfId="20216" xr:uid="{12891003-AE2F-4F70-A542-95517454D340}"/>
    <cellStyle name="pivot item labels &amp; totals 16" xfId="8561" xr:uid="{190EEDBA-D56D-47B8-9BF3-074EBF4CA441}"/>
    <cellStyle name="pivot item labels &amp; totals 16 2" xfId="8562" xr:uid="{2DC4DF7A-88EA-4616-8036-DCA2CA589DDB}"/>
    <cellStyle name="pivot item labels &amp; totals 16 2 2" xfId="20227" xr:uid="{F532D63B-55F4-46E8-AD92-39CB0C652258}"/>
    <cellStyle name="pivot item labels &amp; totals 16 3" xfId="8563" xr:uid="{75C2F084-087C-4558-A3D0-AE09604951A6}"/>
    <cellStyle name="pivot item labels &amp; totals 16 3 2" xfId="20228" xr:uid="{A05F235C-1566-4EEC-AF43-1F833B4803C2}"/>
    <cellStyle name="pivot item labels &amp; totals 16 4" xfId="8564" xr:uid="{8CAE8584-3C93-4DCB-BCF5-96C10FB6E1BF}"/>
    <cellStyle name="pivot item labels &amp; totals 16 4 2" xfId="20229" xr:uid="{20604D9E-B979-4C98-9DE7-F4A380ED0EE2}"/>
    <cellStyle name="pivot item labels &amp; totals 16 5" xfId="8565" xr:uid="{6AB8C852-FCE7-4C24-B420-E4AD70595D4E}"/>
    <cellStyle name="pivot item labels &amp; totals 16 5 2" xfId="20230" xr:uid="{3CC32AE4-9938-4FFB-BB4D-29F1A955D7B5}"/>
    <cellStyle name="pivot item labels &amp; totals 16 6" xfId="20226" xr:uid="{B752EDF9-7EB9-4E81-85AB-82328B132960}"/>
    <cellStyle name="pivot item labels &amp; totals 17" xfId="8566" xr:uid="{537DAAA9-58F0-47CE-BBF5-B7E205C746D2}"/>
    <cellStyle name="pivot item labels &amp; totals 17 2" xfId="20231" xr:uid="{63F6B9CB-900E-4173-92B9-A5639182BA8B}"/>
    <cellStyle name="pivot item labels &amp; totals 18" xfId="8567" xr:uid="{1DF27763-59B8-4F9D-BF50-B0820BD55FF6}"/>
    <cellStyle name="pivot item labels &amp; totals 18 2" xfId="20232" xr:uid="{83435E3D-4048-4366-9BF8-66979F3AAD82}"/>
    <cellStyle name="pivot item labels &amp; totals 19" xfId="8568" xr:uid="{CE769A4B-3D82-4CD4-98EF-6F4711672F1F}"/>
    <cellStyle name="pivot item labels &amp; totals 19 2" xfId="20233" xr:uid="{1A14D726-41B3-47BE-9B4C-9676910795E2}"/>
    <cellStyle name="pivot item labels &amp; totals 2" xfId="8569" xr:uid="{5A55E2B8-ED29-4F2A-8B87-24A9AC6E8D1B}"/>
    <cellStyle name="pivot item labels &amp; totals 2 2" xfId="8570" xr:uid="{9F940008-339D-4B20-A848-BEC6FCF1B64B}"/>
    <cellStyle name="pivot item labels &amp; totals 2 2 2" xfId="8571" xr:uid="{C1601F89-3F87-4243-A43E-4A3A8FABBCA2}"/>
    <cellStyle name="pivot item labels &amp; totals 2 2 2 2" xfId="20236" xr:uid="{96BBC8E1-251A-48D4-AC1F-D29BE9FD349A}"/>
    <cellStyle name="pivot item labels &amp; totals 2 2 3" xfId="8572" xr:uid="{D9D03A4C-C509-4974-89E9-4DF975B801E1}"/>
    <cellStyle name="pivot item labels &amp; totals 2 2 3 2" xfId="20237" xr:uid="{1B306545-1A6D-4196-88DA-3FC5B4374435}"/>
    <cellStyle name="pivot item labels &amp; totals 2 2 4" xfId="8573" xr:uid="{8C03C8FD-C654-41FB-BBC7-F5A0EB072960}"/>
    <cellStyle name="pivot item labels &amp; totals 2 2 4 2" xfId="20238" xr:uid="{4C3C9D06-6FC2-440F-A41B-9F6C4BC9E6CF}"/>
    <cellStyle name="pivot item labels &amp; totals 2 2 5" xfId="8574" xr:uid="{83F0CA4E-6BC8-434F-A292-6A962AAA4D35}"/>
    <cellStyle name="pivot item labels &amp; totals 2 2 5 2" xfId="20239" xr:uid="{2B0F679E-C3A3-480F-817A-80BB08EB5932}"/>
    <cellStyle name="pivot item labels &amp; totals 2 2 6" xfId="20235" xr:uid="{646036D5-9FE5-4496-9A11-DCF909DCC775}"/>
    <cellStyle name="pivot item labels &amp; totals 2 3" xfId="8575" xr:uid="{A8640980-DD29-427F-AF3E-3035352A358C}"/>
    <cellStyle name="pivot item labels &amp; totals 2 3 2" xfId="20240" xr:uid="{CA8D955B-F241-42A2-8C9A-087C99458E9C}"/>
    <cellStyle name="pivot item labels &amp; totals 2 4" xfId="8576" xr:uid="{616CEEF8-3390-4313-87C6-ECC07E041000}"/>
    <cellStyle name="pivot item labels &amp; totals 2 4 2" xfId="20241" xr:uid="{5ED64D59-2E78-4E0D-B55D-E1CE0B9EE914}"/>
    <cellStyle name="pivot item labels &amp; totals 2 5" xfId="8577" xr:uid="{D2D0B1BC-4D2E-4180-AEA2-0EEB6DA09717}"/>
    <cellStyle name="pivot item labels &amp; totals 2 5 2" xfId="20242" xr:uid="{1FFB55AC-227A-4E70-B9BD-95B81984DDF8}"/>
    <cellStyle name="pivot item labels &amp; totals 2 6" xfId="8578" xr:uid="{3C434E96-0805-4BBA-8E68-CABF1BEE5BB1}"/>
    <cellStyle name="pivot item labels &amp; totals 2 6 2" xfId="20243" xr:uid="{63757C2C-E4CA-4878-A7A0-5B966BFF6606}"/>
    <cellStyle name="pivot item labels &amp; totals 2 7" xfId="20234" xr:uid="{AB53240D-52A3-4FF0-9497-B4E26645CACC}"/>
    <cellStyle name="pivot item labels &amp; totals 20" xfId="8579" xr:uid="{8D94F89A-EE35-4AAC-8228-432D2C2DF7BE}"/>
    <cellStyle name="pivot item labels &amp; totals 20 2" xfId="20244" xr:uid="{D37052CF-B7B7-45EE-9392-73C2217B6A9D}"/>
    <cellStyle name="pivot item labels &amp; totals 21" xfId="15137" xr:uid="{5CD15E19-CB13-4DA6-AE30-407BBDACCB34}"/>
    <cellStyle name="pivot item labels &amp; totals 3" xfId="8580" xr:uid="{21992091-A111-4DDF-B93E-236BC4C3B5E0}"/>
    <cellStyle name="pivot item labels &amp; totals 3 2" xfId="8581" xr:uid="{7CB8E8D4-9103-4F0A-ACDF-C0A0ED3BCB3E}"/>
    <cellStyle name="pivot item labels &amp; totals 3 2 2" xfId="8582" xr:uid="{595BFB6A-C7E3-4571-854D-A9EB2D01DDE5}"/>
    <cellStyle name="pivot item labels &amp; totals 3 2 2 2" xfId="20247" xr:uid="{0EB05E48-FC45-4DCD-B44C-2A68E8CFB809}"/>
    <cellStyle name="pivot item labels &amp; totals 3 2 3" xfId="8583" xr:uid="{32EC0E3F-0E61-4920-83A3-695AF571DB51}"/>
    <cellStyle name="pivot item labels &amp; totals 3 2 3 2" xfId="20248" xr:uid="{E5272637-B9FD-4CC3-B9CA-F01CE6978D24}"/>
    <cellStyle name="pivot item labels &amp; totals 3 2 4" xfId="8584" xr:uid="{94C8887B-E6E1-4EF2-B8B8-E4E4FA98EA4C}"/>
    <cellStyle name="pivot item labels &amp; totals 3 2 4 2" xfId="20249" xr:uid="{5314FC15-5506-47BA-8F00-8680DA0A1DEC}"/>
    <cellStyle name="pivot item labels &amp; totals 3 2 5" xfId="8585" xr:uid="{E3C07961-F46B-4536-96B7-2D5A3945A10F}"/>
    <cellStyle name="pivot item labels &amp; totals 3 2 5 2" xfId="20250" xr:uid="{35BC358E-A7BF-4C01-94C5-E5AF176FFF6A}"/>
    <cellStyle name="pivot item labels &amp; totals 3 2 6" xfId="20246" xr:uid="{F0A82D37-1621-4976-A98D-515DD72CEFCE}"/>
    <cellStyle name="pivot item labels &amp; totals 3 3" xfId="8586" xr:uid="{C20A760C-4443-43E1-B970-2868B8AF5F9E}"/>
    <cellStyle name="pivot item labels &amp; totals 3 3 2" xfId="20251" xr:uid="{A1AD6676-EDFF-489C-911C-8D276028B9EF}"/>
    <cellStyle name="pivot item labels &amp; totals 3 4" xfId="8587" xr:uid="{B4BA5055-DDE8-4B50-95B8-6D9CFE1897BD}"/>
    <cellStyle name="pivot item labels &amp; totals 3 4 2" xfId="20252" xr:uid="{0D94B1DD-9EAF-47E1-B57D-8AB93CB4E3F9}"/>
    <cellStyle name="pivot item labels &amp; totals 3 5" xfId="8588" xr:uid="{1D404C39-8509-432F-BC89-1D02B0A7F017}"/>
    <cellStyle name="pivot item labels &amp; totals 3 5 2" xfId="20253" xr:uid="{D07BC61F-5601-4EBF-B221-31112CC9A272}"/>
    <cellStyle name="pivot item labels &amp; totals 3 6" xfId="8589" xr:uid="{85FC767B-BC99-4AC7-B331-5456A4FDD340}"/>
    <cellStyle name="pivot item labels &amp; totals 3 6 2" xfId="20254" xr:uid="{662BDBFD-9BE9-478B-9BBA-5E8F9D35E8F7}"/>
    <cellStyle name="pivot item labels &amp; totals 3 7" xfId="20245" xr:uid="{D79C942C-24EA-45AD-8A41-B4F2162A9071}"/>
    <cellStyle name="pivot item labels &amp; totals 4" xfId="8590" xr:uid="{444D0A22-3861-4423-9BEA-41F0AFD38113}"/>
    <cellStyle name="pivot item labels &amp; totals 4 2" xfId="8591" xr:uid="{036EAC25-4DA3-4E19-A719-F43C7A1FF45A}"/>
    <cellStyle name="pivot item labels &amp; totals 4 2 2" xfId="8592" xr:uid="{A7059902-64B3-4499-8C2A-42A907D74D8D}"/>
    <cellStyle name="pivot item labels &amp; totals 4 2 2 2" xfId="20257" xr:uid="{BD907B71-0BF4-4EC1-BC75-9ED315B8CF08}"/>
    <cellStyle name="pivot item labels &amp; totals 4 2 3" xfId="8593" xr:uid="{412BEF14-ECED-4BA6-8914-C5B960527F34}"/>
    <cellStyle name="pivot item labels &amp; totals 4 2 3 2" xfId="20258" xr:uid="{CE8FDFB5-28DA-422B-A181-669907357385}"/>
    <cellStyle name="pivot item labels &amp; totals 4 2 4" xfId="8594" xr:uid="{6D14EFAD-4B7A-4E83-ACDD-7A6F8DE346FF}"/>
    <cellStyle name="pivot item labels &amp; totals 4 2 4 2" xfId="20259" xr:uid="{BA9DE849-FF88-408F-BB87-9D11AA79A4F1}"/>
    <cellStyle name="pivot item labels &amp; totals 4 2 5" xfId="8595" xr:uid="{DA90E49C-C2A7-4BF7-89B8-3C67FFB342DB}"/>
    <cellStyle name="pivot item labels &amp; totals 4 2 5 2" xfId="20260" xr:uid="{07E9D16F-50D2-467C-A0D2-6BE3BF9B5603}"/>
    <cellStyle name="pivot item labels &amp; totals 4 2 6" xfId="20256" xr:uid="{D572558D-1F74-415E-8B6F-9FFAC2C8269D}"/>
    <cellStyle name="pivot item labels &amp; totals 4 3" xfId="8596" xr:uid="{1AA8FB13-9C37-43B2-AA34-6C92EC97ED96}"/>
    <cellStyle name="pivot item labels &amp; totals 4 3 2" xfId="20261" xr:uid="{294ED86D-0307-450F-AB2D-E1542B7EA4C6}"/>
    <cellStyle name="pivot item labels &amp; totals 4 4" xfId="8597" xr:uid="{4B684CDF-D6C8-4636-B47B-4F7C04EFDDA9}"/>
    <cellStyle name="pivot item labels &amp; totals 4 4 2" xfId="20262" xr:uid="{E9893345-4800-4F72-A7D2-C611482CCCC3}"/>
    <cellStyle name="pivot item labels &amp; totals 4 5" xfId="8598" xr:uid="{668FB21B-2F3A-44FC-B573-BF18A6983E2F}"/>
    <cellStyle name="pivot item labels &amp; totals 4 5 2" xfId="20263" xr:uid="{EBB703A5-69FA-41B0-887D-EE78F90CE2A2}"/>
    <cellStyle name="pivot item labels &amp; totals 4 6" xfId="8599" xr:uid="{0873B80A-6028-41DF-9296-6F7CB35B8712}"/>
    <cellStyle name="pivot item labels &amp; totals 4 6 2" xfId="20264" xr:uid="{BA0143D2-983C-4853-9D3B-099DF38A4EF6}"/>
    <cellStyle name="pivot item labels &amp; totals 4 7" xfId="20255" xr:uid="{1E1F66BF-B229-422B-AB1B-ADE4D29D7427}"/>
    <cellStyle name="pivot item labels &amp; totals 5" xfId="8600" xr:uid="{871391F5-40D5-4523-8DA4-FC2A06A015EC}"/>
    <cellStyle name="pivot item labels &amp; totals 5 2" xfId="8601" xr:uid="{C154A11A-579D-46C2-99DD-D665BD1BE435}"/>
    <cellStyle name="pivot item labels &amp; totals 5 2 2" xfId="8602" xr:uid="{5E40836C-270E-49E9-BE8F-697DF0830D59}"/>
    <cellStyle name="pivot item labels &amp; totals 5 2 2 2" xfId="20267" xr:uid="{0F2FF8DD-5616-4E85-9C99-F5A47BCF2AB7}"/>
    <cellStyle name="pivot item labels &amp; totals 5 2 3" xfId="8603" xr:uid="{442070CD-0E24-4228-A571-17FF135C1F92}"/>
    <cellStyle name="pivot item labels &amp; totals 5 2 3 2" xfId="20268" xr:uid="{DBBA8EAB-3549-4E48-82C7-BA8B3F772F7B}"/>
    <cellStyle name="pivot item labels &amp; totals 5 2 4" xfId="8604" xr:uid="{FF2A262E-EF9D-4D42-966A-67EFF4B150CE}"/>
    <cellStyle name="pivot item labels &amp; totals 5 2 4 2" xfId="20269" xr:uid="{4BFB3FBA-E640-4F6A-9A66-6E0EAFBB41C1}"/>
    <cellStyle name="pivot item labels &amp; totals 5 2 5" xfId="8605" xr:uid="{8EF0703B-6F3F-49B7-920C-7D602EA92179}"/>
    <cellStyle name="pivot item labels &amp; totals 5 2 5 2" xfId="20270" xr:uid="{18E1832B-5C7F-42A4-8299-A222C2CA0914}"/>
    <cellStyle name="pivot item labels &amp; totals 5 2 6" xfId="20266" xr:uid="{AE1A139F-7D19-4D5B-9B38-231D52367653}"/>
    <cellStyle name="pivot item labels &amp; totals 5 3" xfId="8606" xr:uid="{3D7E9E5A-E3EC-419A-84F9-833FD4FC51EC}"/>
    <cellStyle name="pivot item labels &amp; totals 5 3 2" xfId="20271" xr:uid="{412FD297-04ED-4B90-95C1-45947BBDB9D2}"/>
    <cellStyle name="pivot item labels &amp; totals 5 4" xfId="8607" xr:uid="{25FEF9D5-0097-4107-9907-C6AAEF4795A2}"/>
    <cellStyle name="pivot item labels &amp; totals 5 4 2" xfId="20272" xr:uid="{68DA1302-8A18-4269-8BCB-743C49FEEA53}"/>
    <cellStyle name="pivot item labels &amp; totals 5 5" xfId="8608" xr:uid="{933EFD9C-735A-4DDB-ADD5-51B9C3E85EDF}"/>
    <cellStyle name="pivot item labels &amp; totals 5 5 2" xfId="20273" xr:uid="{204E9046-42E7-41B0-83F1-DCE26A2F0ABB}"/>
    <cellStyle name="pivot item labels &amp; totals 5 6" xfId="8609" xr:uid="{E9CE0646-04A3-40E0-A480-504F2BBE9C9B}"/>
    <cellStyle name="pivot item labels &amp; totals 5 6 2" xfId="20274" xr:uid="{8A9B462A-275E-45B6-BDDE-E7A90E3EA4C4}"/>
    <cellStyle name="pivot item labels &amp; totals 5 7" xfId="20265" xr:uid="{C65FB75C-180E-4BBB-B881-E183C117E677}"/>
    <cellStyle name="pivot item labels &amp; totals 6" xfId="8610" xr:uid="{9CAF6777-EA87-476D-87A3-236B1507640A}"/>
    <cellStyle name="pivot item labels &amp; totals 6 2" xfId="8611" xr:uid="{CAF6752C-CE9E-4057-BB39-D2E50DC24EEF}"/>
    <cellStyle name="pivot item labels &amp; totals 6 2 2" xfId="8612" xr:uid="{06A6B916-2403-497E-A61F-BB6E2A05B9A4}"/>
    <cellStyle name="pivot item labels &amp; totals 6 2 2 2" xfId="20277" xr:uid="{6F867887-08A2-46AA-ABFD-FB0ED9E0D8A4}"/>
    <cellStyle name="pivot item labels &amp; totals 6 2 3" xfId="8613" xr:uid="{2599DD44-D4EE-400B-8F6C-2299332F532E}"/>
    <cellStyle name="pivot item labels &amp; totals 6 2 3 2" xfId="20278" xr:uid="{3AC742F8-6908-4AE7-91B3-68C57263D4FF}"/>
    <cellStyle name="pivot item labels &amp; totals 6 2 4" xfId="8614" xr:uid="{25269173-DCA9-4EA3-8B54-81D7DC098CEA}"/>
    <cellStyle name="pivot item labels &amp; totals 6 2 4 2" xfId="20279" xr:uid="{5914C8E5-1F92-41DB-A454-B4C77683834D}"/>
    <cellStyle name="pivot item labels &amp; totals 6 2 5" xfId="8615" xr:uid="{664D368D-2231-4984-94AD-9A7ED1A21174}"/>
    <cellStyle name="pivot item labels &amp; totals 6 2 5 2" xfId="20280" xr:uid="{07543BB6-DA74-4F5D-88FC-F79B13526F1A}"/>
    <cellStyle name="pivot item labels &amp; totals 6 2 6" xfId="20276" xr:uid="{44520D85-037A-4E3B-8B59-4FECDE938A1D}"/>
    <cellStyle name="pivot item labels &amp; totals 6 3" xfId="8616" xr:uid="{E0296774-9F70-42E1-99F6-FA1AC20859FE}"/>
    <cellStyle name="pivot item labels &amp; totals 6 3 2" xfId="20281" xr:uid="{06146B84-0DC3-4CFC-92AD-3B11966B11AA}"/>
    <cellStyle name="pivot item labels &amp; totals 6 4" xfId="8617" xr:uid="{66F8496B-88A4-4EF8-92A6-09CC3AB1AE5A}"/>
    <cellStyle name="pivot item labels &amp; totals 6 4 2" xfId="20282" xr:uid="{6E2DFD06-AD1C-4962-B87D-004336DC5AEE}"/>
    <cellStyle name="pivot item labels &amp; totals 6 5" xfId="8618" xr:uid="{2AE5F744-F397-4A67-ABA4-5F00C016DB90}"/>
    <cellStyle name="pivot item labels &amp; totals 6 5 2" xfId="20283" xr:uid="{E71B0CC5-5B0F-4C3D-8F7D-8A434C294111}"/>
    <cellStyle name="pivot item labels &amp; totals 6 6" xfId="8619" xr:uid="{F088B810-96AC-4D67-BEAD-D99D7F4B0456}"/>
    <cellStyle name="pivot item labels &amp; totals 6 6 2" xfId="20284" xr:uid="{DDB9D76B-DFB9-4B67-A930-6F60529DE87A}"/>
    <cellStyle name="pivot item labels &amp; totals 6 7" xfId="20275" xr:uid="{71EC531C-D4CE-4DE5-B72C-DCDCFD25577D}"/>
    <cellStyle name="pivot item labels &amp; totals 7" xfId="8620" xr:uid="{BB5D3C54-8016-45EE-959E-33780270A3C5}"/>
    <cellStyle name="pivot item labels &amp; totals 7 2" xfId="8621" xr:uid="{DC812CA7-63A4-45FB-8F6D-4228C1DAC13A}"/>
    <cellStyle name="pivot item labels &amp; totals 7 2 2" xfId="8622" xr:uid="{18AACD84-7B28-4A03-9948-EEBF5C882CF6}"/>
    <cellStyle name="pivot item labels &amp; totals 7 2 2 2" xfId="20287" xr:uid="{37F7D4AD-E94C-4C3F-9547-A3291CD64AC4}"/>
    <cellStyle name="pivot item labels &amp; totals 7 2 3" xfId="8623" xr:uid="{C2C526D4-8A57-463C-9E5E-6AFB59F5E540}"/>
    <cellStyle name="pivot item labels &amp; totals 7 2 3 2" xfId="20288" xr:uid="{8C6DE8F3-4626-40CC-B846-133C69457D40}"/>
    <cellStyle name="pivot item labels &amp; totals 7 2 4" xfId="8624" xr:uid="{3DB7EBDE-AFB5-4E8C-BE9F-2B538BFC5F4D}"/>
    <cellStyle name="pivot item labels &amp; totals 7 2 4 2" xfId="20289" xr:uid="{D07D5140-D366-46C2-B053-7793731CCEF2}"/>
    <cellStyle name="pivot item labels &amp; totals 7 2 5" xfId="8625" xr:uid="{C13C3911-DBA6-46A7-B864-337ABE85B035}"/>
    <cellStyle name="pivot item labels &amp; totals 7 2 5 2" xfId="20290" xr:uid="{052087F4-81E1-4948-901D-CF6538CB10FE}"/>
    <cellStyle name="pivot item labels &amp; totals 7 2 6" xfId="20286" xr:uid="{82C11079-9118-4296-A939-A6B98129C790}"/>
    <cellStyle name="pivot item labels &amp; totals 7 3" xfId="8626" xr:uid="{9F2BA733-12A8-448E-B2AA-8297DF193118}"/>
    <cellStyle name="pivot item labels &amp; totals 7 3 2" xfId="20291" xr:uid="{BDD156E3-EAE3-45A3-8132-E2930F60D130}"/>
    <cellStyle name="pivot item labels &amp; totals 7 4" xfId="8627" xr:uid="{BF6A67EA-76F8-4034-B6A9-361F27E110CE}"/>
    <cellStyle name="pivot item labels &amp; totals 7 4 2" xfId="20292" xr:uid="{FB64A1BB-B060-4D4B-91E4-A63B734804C6}"/>
    <cellStyle name="pivot item labels &amp; totals 7 5" xfId="8628" xr:uid="{B15E5AF4-D59A-4008-8587-3DFE25E187BE}"/>
    <cellStyle name="pivot item labels &amp; totals 7 5 2" xfId="20293" xr:uid="{00062A8D-7B21-40F7-A372-CDE00F5D4A8F}"/>
    <cellStyle name="pivot item labels &amp; totals 7 6" xfId="8629" xr:uid="{E19A81DD-9350-48B1-82FA-F91128A47B96}"/>
    <cellStyle name="pivot item labels &amp; totals 7 6 2" xfId="20294" xr:uid="{06CFA24A-8258-4FBA-9BC7-9E9E50759A5D}"/>
    <cellStyle name="pivot item labels &amp; totals 7 7" xfId="20285" xr:uid="{D6192D3B-480E-4547-9F98-534401B1A460}"/>
    <cellStyle name="pivot item labels &amp; totals 8" xfId="8630" xr:uid="{64010F85-D001-4B7B-BB03-7459ECD3D18F}"/>
    <cellStyle name="pivot item labels &amp; totals 8 2" xfId="8631" xr:uid="{02BF7978-F6BB-4B95-BC5E-7F773E1525CC}"/>
    <cellStyle name="pivot item labels &amp; totals 8 2 2" xfId="8632" xr:uid="{2AD57CED-78B7-429C-A7DD-4C3BE38C166C}"/>
    <cellStyle name="pivot item labels &amp; totals 8 2 2 2" xfId="20297" xr:uid="{8F3461D5-7F11-4B9D-946C-4B5BA0CAC62E}"/>
    <cellStyle name="pivot item labels &amp; totals 8 2 3" xfId="8633" xr:uid="{0044A5FA-DFAE-4981-B914-6D417F23FC88}"/>
    <cellStyle name="pivot item labels &amp; totals 8 2 3 2" xfId="20298" xr:uid="{9F5A3CDB-0AC0-4432-A2FC-55FD1F7E3AEA}"/>
    <cellStyle name="pivot item labels &amp; totals 8 2 4" xfId="8634" xr:uid="{E5D57CA7-7C1F-4B7F-8272-738DC96937B5}"/>
    <cellStyle name="pivot item labels &amp; totals 8 2 4 2" xfId="20299" xr:uid="{BD10D1C5-869F-43E6-B6F0-1BDE3800F240}"/>
    <cellStyle name="pivot item labels &amp; totals 8 2 5" xfId="8635" xr:uid="{FB6C1921-47C6-4089-B9CD-8DAA54F56ABD}"/>
    <cellStyle name="pivot item labels &amp; totals 8 2 5 2" xfId="20300" xr:uid="{E60EC3B6-18AC-4CF6-9B99-506EB36511B8}"/>
    <cellStyle name="pivot item labels &amp; totals 8 2 6" xfId="20296" xr:uid="{99704EE7-BCEA-42BF-8ED2-A216D920C43C}"/>
    <cellStyle name="pivot item labels &amp; totals 8 3" xfId="8636" xr:uid="{CD82E00C-AE19-4D97-BAD7-5A725C991F92}"/>
    <cellStyle name="pivot item labels &amp; totals 8 3 2" xfId="20301" xr:uid="{C993F62C-27C4-48BF-AE7D-83CAB04365FB}"/>
    <cellStyle name="pivot item labels &amp; totals 8 4" xfId="8637" xr:uid="{888DA383-0485-4304-8524-D43052D25F1E}"/>
    <cellStyle name="pivot item labels &amp; totals 8 4 2" xfId="20302" xr:uid="{D7F74D4A-56F9-498D-963C-2224D86FF230}"/>
    <cellStyle name="pivot item labels &amp; totals 8 5" xfId="8638" xr:uid="{4B77A7BF-BD28-4E78-8CF9-7B670941BA1E}"/>
    <cellStyle name="pivot item labels &amp; totals 8 5 2" xfId="20303" xr:uid="{74FA116F-562C-40E8-9408-3A3D29642727}"/>
    <cellStyle name="pivot item labels &amp; totals 8 6" xfId="8639" xr:uid="{FC1DA914-7146-41E7-AA8A-CC8906401842}"/>
    <cellStyle name="pivot item labels &amp; totals 8 6 2" xfId="20304" xr:uid="{F0D90ABF-18C7-4747-9459-EA966BB18229}"/>
    <cellStyle name="pivot item labels &amp; totals 8 7" xfId="20295" xr:uid="{C6F8F70B-C24C-4A7B-8B49-C78931B335F5}"/>
    <cellStyle name="pivot item labels &amp; totals 9" xfId="8640" xr:uid="{3A46D11C-9166-492F-977A-DD19CC19DF8D}"/>
    <cellStyle name="pivot item labels &amp; totals 9 2" xfId="8641" xr:uid="{7DB35A45-3FB9-4475-9195-2B23358E419C}"/>
    <cellStyle name="pivot item labels &amp; totals 9 2 2" xfId="8642" xr:uid="{9E563CFB-ED4E-4A29-9DC2-25413AE513CD}"/>
    <cellStyle name="pivot item labels &amp; totals 9 2 2 2" xfId="20307" xr:uid="{DCF3091D-2015-4F4E-8976-E9634CE4DC31}"/>
    <cellStyle name="pivot item labels &amp; totals 9 2 3" xfId="8643" xr:uid="{38FD511C-45A4-49D2-B6A9-F9E865FD8F2F}"/>
    <cellStyle name="pivot item labels &amp; totals 9 2 3 2" xfId="20308" xr:uid="{8447734A-14C3-4E87-A8D2-3C655F2A9E49}"/>
    <cellStyle name="pivot item labels &amp; totals 9 2 4" xfId="8644" xr:uid="{BF89D17F-8B49-4011-B7F5-7458D514A704}"/>
    <cellStyle name="pivot item labels &amp; totals 9 2 4 2" xfId="20309" xr:uid="{15979AD2-B464-46CA-B1CD-E1FE739D3F15}"/>
    <cellStyle name="pivot item labels &amp; totals 9 2 5" xfId="8645" xr:uid="{FA849537-E2D2-4196-BE10-D36872ED41AB}"/>
    <cellStyle name="pivot item labels &amp; totals 9 2 5 2" xfId="20310" xr:uid="{0CA6CEE3-B0FE-4CCB-B329-37A56C3FD5A3}"/>
    <cellStyle name="pivot item labels &amp; totals 9 2 6" xfId="20306" xr:uid="{7A041BF2-10B1-4366-98E3-C4E9F2437B20}"/>
    <cellStyle name="pivot item labels &amp; totals 9 3" xfId="8646" xr:uid="{EC6C0D27-888E-40CD-B1F9-D792EF90B208}"/>
    <cellStyle name="pivot item labels &amp; totals 9 3 2" xfId="20311" xr:uid="{5466B688-9373-424F-9298-C37BADB5EA16}"/>
    <cellStyle name="pivot item labels &amp; totals 9 4" xfId="8647" xr:uid="{4935DCA8-9815-4884-82B5-CD5C90A2B672}"/>
    <cellStyle name="pivot item labels &amp; totals 9 4 2" xfId="20312" xr:uid="{24BFD2FC-85D5-4CBB-985C-47BEC846E784}"/>
    <cellStyle name="pivot item labels &amp; totals 9 5" xfId="8648" xr:uid="{3E4B9395-17DA-470C-8631-E55A2E18237D}"/>
    <cellStyle name="pivot item labels &amp; totals 9 5 2" xfId="20313" xr:uid="{F4DE6020-4AD9-456A-AFCC-DF840B4CD157}"/>
    <cellStyle name="pivot item labels &amp; totals 9 6" xfId="8649" xr:uid="{0CC76920-A59D-4522-934E-16DF83327F8D}"/>
    <cellStyle name="pivot item labels &amp; totals 9 6 2" xfId="20314" xr:uid="{1EBD4F8C-9D50-44BE-878A-1398D480FFE5}"/>
    <cellStyle name="pivot item labels &amp; totals 9 7" xfId="20305" xr:uid="{ED121345-558E-4581-82BC-20ABBB18FEE2}"/>
    <cellStyle name="pivot item labels &amp; totals_KTR An-Abflug" xfId="14886" xr:uid="{2762F175-FC37-4994-A8D1-A316D95839B1}"/>
    <cellStyle name="pivot nation" xfId="8650" xr:uid="{5F223329-8F57-4986-A27B-6C046667CD6E}"/>
    <cellStyle name="pivot nation 2" xfId="8651" xr:uid="{673FDA5D-D879-4DBB-B96E-3D07EA9A05B3}"/>
    <cellStyle name="pivotdata" xfId="8652" xr:uid="{BEB477B6-97F1-4CA9-A66D-3BF4B997CBE7}"/>
    <cellStyle name="pivotdata 2" xfId="8653" xr:uid="{C862086F-4735-4E2C-9C4B-C3B7F4584094}"/>
    <cellStyle name="pivotdata 3" xfId="8654" xr:uid="{70FBCC29-FBCC-4718-9779-3C39CFCCF036}"/>
    <cellStyle name="pivotdata 4" xfId="8655" xr:uid="{617174AE-A7C3-4A76-AFE1-077652BA9FA6}"/>
    <cellStyle name="pivotdata_Copy of PGM - ONLY CHECK" xfId="8656" xr:uid="{586A3253-6F73-47DF-9A76-412CC886AE41}"/>
    <cellStyle name="Pourcent(2)" xfId="8657" xr:uid="{A51DB897-A613-4FFC-B3D2-62B1806F56D1}"/>
    <cellStyle name="Pourcent0" xfId="8658" xr:uid="{82C1D335-6F88-4C23-871E-097F5EEFE871}"/>
    <cellStyle name="Pourcent1" xfId="8659" xr:uid="{BA1E99D1-040B-4114-9996-5BEB200E493D}"/>
    <cellStyle name="Pourcent2" xfId="8660" xr:uid="{50FC59EF-D977-47CC-A4C0-949EFDBC0C1D}"/>
    <cellStyle name="Pourcentage 2" xfId="8661" xr:uid="{A1773FD6-3388-41E6-A4DB-C32819BDC549}"/>
    <cellStyle name="Pourcentage 2 2" xfId="8662" xr:uid="{3102C97D-1FC0-4D0C-B70F-3CE147C8347E}"/>
    <cellStyle name="Pourcentage 2 2 2" xfId="8663" xr:uid="{D036784F-9229-4DD5-9B3E-3CC2C5FA87E1}"/>
    <cellStyle name="Pourcentage 2 2 3" xfId="8664" xr:uid="{730BEA9E-C2EA-4A9B-A78C-99499A73CF85}"/>
    <cellStyle name="Pourcentage 2 2 4" xfId="8665" xr:uid="{5A6DEBB3-BEDF-452C-94FC-31E4603A6A0D}"/>
    <cellStyle name="Pourcentage 2 3" xfId="8666" xr:uid="{06C2049A-04EA-40F1-A5B6-48C10A387C34}"/>
    <cellStyle name="Pourcentage 2 3 2" xfId="8667" xr:uid="{02A8C428-C5E1-493A-9B3A-E1AF1DD722D9}"/>
    <cellStyle name="Pourcentage 3" xfId="8668" xr:uid="{B098F013-0F3F-4A94-A167-44030E7E7F0B}"/>
    <cellStyle name="Pourcentage 3 2" xfId="8669" xr:uid="{BB2601E0-BDA2-4D4F-93F6-36A2B0D55E6A}"/>
    <cellStyle name="Pourcentage 3 2 2" xfId="8670" xr:uid="{D875BD0C-18C1-4596-8629-29F68FC6A83C}"/>
    <cellStyle name="Pourcentage 4" xfId="8671" xr:uid="{7D399964-ADE7-461D-85EF-AD153F76AE4B}"/>
    <cellStyle name="Pourcentage 4 2" xfId="8672" xr:uid="{2805A4CB-2D9A-472C-B880-657728CE3416}"/>
    <cellStyle name="Pourcentage 4 3" xfId="8673" xr:uid="{EEE8D49E-C2B0-4E40-9644-18795D96673E}"/>
    <cellStyle name="Pourcentage 5" xfId="8674" xr:uid="{2D2418DB-5F2A-4F98-97D2-07FAC28DB636}"/>
    <cellStyle name="Pourcentage 6" xfId="8675" xr:uid="{59B03E39-0E0A-4F0B-B569-A7EB36A301CC}"/>
    <cellStyle name="Pourcentage 6 2" xfId="8676" xr:uid="{540D17D7-5A9D-4F09-9462-9C4698B35D77}"/>
    <cellStyle name="Pourcentage 6 3" xfId="8677" xr:uid="{3B2369FD-660F-4773-BFB8-098E93347C62}"/>
    <cellStyle name="Pourcentage 7" xfId="8678" xr:uid="{4CCB4971-35C8-4CF9-A19E-CF58EC4391BA}"/>
    <cellStyle name="Pourcentage 7 2" xfId="8679" xr:uid="{5FB0BEBD-9F61-439F-9DAA-180227A61E4E}"/>
    <cellStyle name="Pourcentage 7 2 2" xfId="8680" xr:uid="{F35A49AE-EB52-4090-89AF-BC18880E140B}"/>
    <cellStyle name="Pourcentage 7 3" xfId="8681" xr:uid="{CFD1B7CE-EE0A-460C-8629-C3D26158AA3C}"/>
    <cellStyle name="Pourcentage 8" xfId="8682" xr:uid="{33BE68FA-C073-42C0-B740-0D6F8298943C}"/>
    <cellStyle name="Pourcentage 8 2" xfId="8683" xr:uid="{BD9A05E9-9735-42D0-B97A-57B10B413D53}"/>
    <cellStyle name="Pourcentage 9" xfId="8684" xr:uid="{2EEEFC64-A542-4D96-89A9-E160B496E081}"/>
    <cellStyle name="Pourcentage_tocmodel_final" xfId="15141" xr:uid="{44E272D7-7D53-42CF-8AD8-BA7B9FAA968C}"/>
    <cellStyle name="Poznámka" xfId="8685" xr:uid="{992EAE9D-D1C2-49DD-B95E-9A7B0A0E0C4F}"/>
    <cellStyle name="Poznámka 2" xfId="8686" xr:uid="{E97E34C7-AD01-46BF-8637-1F518EF576ED}"/>
    <cellStyle name="Poznámka 2 2" xfId="20316" xr:uid="{ABA0AD7C-55F1-4948-9FCA-FC9BB3C261F4}"/>
    <cellStyle name="Poznámka 3" xfId="8687" xr:uid="{EAF30E6C-D507-4D12-95C3-8E7DBF1CA92F}"/>
    <cellStyle name="Poznámka 3 2" xfId="20317" xr:uid="{61E62478-ED2A-4EFF-9E82-4057395785D8}"/>
    <cellStyle name="Poznámka 4" xfId="20315" xr:uid="{5179E02C-082C-4513-B49C-65CE5D6CA95B}"/>
    <cellStyle name="Price" xfId="8688" xr:uid="{3BC4F0D4-BEC6-4691-AD87-A99CEBA928F7}"/>
    <cellStyle name="Procent 2" xfId="8689" xr:uid="{06C6E63A-E56B-499F-82D1-EF45BEB78E2A}"/>
    <cellStyle name="Procent 2 2" xfId="8690" xr:uid="{059FEBC0-33BA-4C06-8319-EAF06822CC81}"/>
    <cellStyle name="Procent 2 2 2" xfId="8691" xr:uid="{2554BBB1-251A-4C4F-8307-4F33B3EF690B}"/>
    <cellStyle name="Procent 2 3" xfId="8692" xr:uid="{4B6C44C9-C7BB-442C-A439-E2C277AAC7CA}"/>
    <cellStyle name="Procent 2 3 2" xfId="8693" xr:uid="{99858E68-6F2B-4059-8C4E-076B0F890038}"/>
    <cellStyle name="Procent 2 4" xfId="8694" xr:uid="{727218B5-DF27-4CB7-9781-A6A35ABE0FD6}"/>
    <cellStyle name="Procent 3" xfId="8695" xr:uid="{6771CC1C-9DF7-48E7-BE89-AB047F11BDC5}"/>
    <cellStyle name="Procent 3 2" xfId="8696" xr:uid="{586AAEAA-CE9D-4F10-92F6-DFEEA3AEEAC4}"/>
    <cellStyle name="Procentowy 2" xfId="8697" xr:uid="{6F3CDCD9-30A6-4AE2-9B8D-DD4C839FBB84}"/>
    <cellStyle name="Procentowy 2 2" xfId="8698" xr:uid="{D9A5C307-ED6B-4250-B66E-AC34D4BB68E0}"/>
    <cellStyle name="Procentowy 3" xfId="8699" xr:uid="{D3BFE607-7095-4D72-BE31-A09F0FC028B3}"/>
    <cellStyle name="Profile" xfId="8700" xr:uid="{A296DBD9-426F-49D0-9E85-BD8433989A58}"/>
    <cellStyle name="Profit figure" xfId="8701" xr:uid="{0FC7C92A-666C-40DA-AFAF-6C9F9A271982}"/>
    <cellStyle name="Propojená buňka" xfId="8702" xr:uid="{67E5A773-BC5F-4893-9D38-92B108322401}"/>
    <cellStyle name="Prosentti 2" xfId="8703" xr:uid="{077FD613-2590-41B9-BF21-B64A2266DEF5}"/>
    <cellStyle name="Prozent 2" xfId="8704" xr:uid="{EAAD3583-8DB9-44C3-B45C-D83C64C1CCB1}"/>
    <cellStyle name="Prozent 2 2" xfId="15" xr:uid="{B78A703D-6CE6-4022-9565-D1A8F84290A3}"/>
    <cellStyle name="Prozent 2 2 2" xfId="8705" xr:uid="{16DDA404-D56B-47E5-8221-6F752C9B40E4}"/>
    <cellStyle name="Prozent 2 3" xfId="8706" xr:uid="{D4924D54-60C6-43FC-842A-E6EF378E8F27}"/>
    <cellStyle name="Prozent 2 3 2" xfId="14836" xr:uid="{48EAF335-6D57-49FB-BA33-EB1CCC09B393}"/>
    <cellStyle name="Prozent 2 4" xfId="8707" xr:uid="{4D8BFBD2-2C1C-4C28-B668-8CEC59A0A65F}"/>
    <cellStyle name="Prozent 3" xfId="8708" xr:uid="{F98526D7-5992-435F-BFBF-DB3589DFF214}"/>
    <cellStyle name="Prozent 3 2" xfId="8709" xr:uid="{90751BEB-B721-44D5-BE2F-6E6D8DC646FB}"/>
    <cellStyle name="Prozent 3 3" xfId="8710" xr:uid="{1676B578-2749-47D9-81B2-805B11BB5090}"/>
    <cellStyle name="Prozent 3 4" xfId="8711" xr:uid="{52563437-D9AE-4D9B-A842-D73917B10E5E}"/>
    <cellStyle name="Prozent 4" xfId="8712" xr:uid="{05B22408-CC94-4598-8AF9-77F882AA56F4}"/>
    <cellStyle name="PSChar" xfId="8713" xr:uid="{D625D8AA-0EA0-47CE-9D3E-17D7654C6126}"/>
    <cellStyle name="PSDate" xfId="8714" xr:uid="{903A9F89-D1A5-490A-9DBF-69062FA76D8F}"/>
    <cellStyle name="PSHeading" xfId="8715" xr:uid="{468114E7-1688-4331-A159-7F073921612B}"/>
    <cellStyle name="PSHeading 2" xfId="8716" xr:uid="{CD44834A-289C-48BA-8655-300CECC5D2B4}"/>
    <cellStyle name="PSHeading 3" xfId="8717" xr:uid="{AC3391DE-F85F-4B5B-8BEE-AE388BBD2F9F}"/>
    <cellStyle name="PSInt" xfId="8718" xr:uid="{A07B9E0C-8D0E-4B94-98BF-3203D1B8C03B}"/>
    <cellStyle name="PSSpacer" xfId="8719" xr:uid="{47665A9B-D74A-4CDC-9951-7F39BA0E4D0F}"/>
    <cellStyle name="Pyör. luku_Layo9704" xfId="8720" xr:uid="{7848C657-86D0-4208-9552-03297D5E6DDE}"/>
    <cellStyle name="Pyör. valuutta_Layo9704" xfId="8721" xr:uid="{DA5BDA4C-AB08-4877-8658-E99A47AA3AF0}"/>
    <cellStyle name="quarterformat" xfId="8722" xr:uid="{D628AAFC-2AB0-43C9-95E3-4F0FFB1CBB18}"/>
    <cellStyle name="Rate" xfId="8723" xr:uid="{AF4760A4-1AB2-4F42-9643-0DB680C6DE92}"/>
    <cellStyle name="Region" xfId="8724" xr:uid="{5E1891C1-66CF-451F-AAF5-B7DE1A66D04B}"/>
    <cellStyle name="région" xfId="8725" xr:uid="{40FA9B30-CC02-4ACA-83E0-9850757DB8FF}"/>
    <cellStyle name="Region 2" xfId="8726" xr:uid="{EA3B2BA6-7108-46FD-8AD2-E90A3B5F1C72}"/>
    <cellStyle name="Region 3" xfId="8727" xr:uid="{E7B9577C-5F9F-433C-AA3B-0AE0AD49CC3F}"/>
    <cellStyle name="Remarque" xfId="8728" xr:uid="{F739F6C9-3DD0-4ECC-AEE5-39ABBC563943}"/>
    <cellStyle name="Remarque 2" xfId="8729" xr:uid="{84810A74-E4E3-42AE-A859-76E9CA08FA5F}"/>
    <cellStyle name="Remarque 2 2" xfId="8730" xr:uid="{A425CB02-D923-40BE-AD1E-BDC473462E66}"/>
    <cellStyle name="Remarque 2 2 2" xfId="20320" xr:uid="{0AE94C1B-243A-4FB3-86A4-A47C3E69289D}"/>
    <cellStyle name="Remarque 2 3" xfId="20319" xr:uid="{FEAFC2F5-7EB6-466E-91BE-5DF9664B29E2}"/>
    <cellStyle name="Remarque 3" xfId="8731" xr:uid="{44AEDAE9-5482-4893-8F22-2337E8E8AB73}"/>
    <cellStyle name="Remarque 3 2" xfId="20321" xr:uid="{F037A8AE-DE46-4775-B61F-74866294CEFC}"/>
    <cellStyle name="Remarque 4" xfId="8732" xr:uid="{B976F36F-2929-48C4-AA29-B273C72C5D1E}"/>
    <cellStyle name="Remarque 4 2" xfId="20322" xr:uid="{D9F26BA3-A79F-4AC5-8026-7C2ACB3B726B}"/>
    <cellStyle name="Remarque 5" xfId="8733" xr:uid="{991F5E3E-BB16-46CC-BB40-0F79299F96B1}"/>
    <cellStyle name="Remarque 5 2" xfId="20323" xr:uid="{590A7CF9-287E-4812-84D7-B302B555A0C0}"/>
    <cellStyle name="Remarque 6" xfId="20318" xr:uid="{5E578ABE-3E58-4A95-A270-B092EFA16F7D}"/>
    <cellStyle name="Résultat 1" xfId="8734" xr:uid="{E3B7C8B9-7C21-4C16-A471-E5CA942F9E25}"/>
    <cellStyle name="Results % 1 dp" xfId="8735" xr:uid="{09DFBB27-54CF-43F4-93EB-8DA25283265A}"/>
    <cellStyle name="Results 0 dp" xfId="8736" xr:uid="{E6DBB9F4-397B-438A-B23B-CCC0EABCEF94}"/>
    <cellStyle name="Results 2 dp" xfId="8737" xr:uid="{C86265CC-7B1E-4439-BF22-CACE0AC6D1A2}"/>
    <cellStyle name="rmlegd" xfId="8738" xr:uid="{877C3177-73D9-46E9-BA25-A2ADD88D1002}"/>
    <cellStyle name="rmlegd 2" xfId="8739" xr:uid="{C6BB22C1-60EA-47E6-8D4C-371B7055E745}"/>
    <cellStyle name="rmlegd 3" xfId="8740" xr:uid="{7FB5DB2C-46BA-450F-BB5A-D138C463E331}"/>
    <cellStyle name="rmlegd 4" xfId="8741" xr:uid="{1E366038-DCDE-4E67-BE96-9E207DBFD63B}"/>
    <cellStyle name="rmlegd 5" xfId="8742" xr:uid="{30FE25DC-5DE6-4975-A3A7-1F328288DCEC}"/>
    <cellStyle name="rmlegd 6" xfId="8743" xr:uid="{43F7962D-8DD1-45B7-921F-65AED21B6183}"/>
    <cellStyle name="ROA Ref" xfId="8744" xr:uid="{A64ADBD3-5269-43DA-BB7B-47CBE7A9F93D}"/>
    <cellStyle name="ROA Ref 2" xfId="8745" xr:uid="{85710F75-8411-4564-BD40-C236E920E1A4}"/>
    <cellStyle name="ROA Ref 3" xfId="8746" xr:uid="{36832E7B-DD49-4584-9F83-5E5995321B4B}"/>
    <cellStyle name="Rõhk1" xfId="8747" xr:uid="{BFAFA99D-477D-4ECC-BE3C-86499A6CB356}"/>
    <cellStyle name="Rõhk1 2" xfId="8748" xr:uid="{4467AE39-464D-4739-BAD5-1DC531E9639A}"/>
    <cellStyle name="Rõhk1 3" xfId="8749" xr:uid="{AAF16865-CC79-4410-9C93-BD3AE073A75B}"/>
    <cellStyle name="Rõhk2" xfId="8750" xr:uid="{18947D62-9FAC-4CBF-A129-B8D940C05D4D}"/>
    <cellStyle name="Rõhk2 2" xfId="8751" xr:uid="{2D024CE9-758F-4D03-802B-9C6992113B54}"/>
    <cellStyle name="Rõhk2 3" xfId="8752" xr:uid="{F3901B37-4855-45ED-AF72-72AA71515F85}"/>
    <cellStyle name="Rõhk3" xfId="8753" xr:uid="{FAE1637A-0F13-403A-A1D3-836E7A0379C5}"/>
    <cellStyle name="Rõhk3 2" xfId="8754" xr:uid="{8A982BE8-DE2A-4D57-A2D8-BC7AB2528E2A}"/>
    <cellStyle name="Rõhk3 3" xfId="8755" xr:uid="{18804952-C9FB-4858-B768-EE0F68FF39D9}"/>
    <cellStyle name="Rõhk4" xfId="8756" xr:uid="{3565CBC5-1A94-4893-8D56-70B7294EA2FD}"/>
    <cellStyle name="Rõhk4 2" xfId="8757" xr:uid="{206A0F87-636F-4911-8DFF-E6DFBBD485A4}"/>
    <cellStyle name="Rõhk4 3" xfId="8758" xr:uid="{FA46B752-45EC-4898-9C58-E14EE63A0768}"/>
    <cellStyle name="Rõhk5" xfId="8759" xr:uid="{D0060D2D-CDE6-478D-A642-FE91F2C681B8}"/>
    <cellStyle name="Rõhk5 2" xfId="8760" xr:uid="{6A65F92C-439A-4B19-A51E-39F4F7BE6A18}"/>
    <cellStyle name="Rõhk5 3" xfId="8761" xr:uid="{37D87AE1-94FB-476A-AC1C-5FF35901A680}"/>
    <cellStyle name="Rõhk6" xfId="8762" xr:uid="{938CC3D4-2E36-4C96-BABC-9CD35E1D0A6F}"/>
    <cellStyle name="Rõhk6 2" xfId="8763" xr:uid="{FC64B40C-C7B0-494D-A72D-DD7BBDC93190}"/>
    <cellStyle name="Rõhk6 3" xfId="8764" xr:uid="{DA479D31-25F2-45BF-9FBF-E1CC9113FC18}"/>
    <cellStyle name="Rossz 2" xfId="8765" xr:uid="{7836D146-917A-477F-8F18-D17CBE2FB6E2}"/>
    <cellStyle name="Rouge" xfId="8766" xr:uid="{7060125B-F1E9-4743-BE6F-8F912CDFD134}"/>
    <cellStyle name="Rouge 2" xfId="8767" xr:uid="{C8E34711-3884-4E1F-AB45-A9405D85FA7F}"/>
    <cellStyle name="Rouge 3" xfId="8768" xr:uid="{EB5CE3E2-3C7B-4E69-A6F2-6A11140AD458}"/>
    <cellStyle name="Rouge 3 2" xfId="8769" xr:uid="{5DBCF74B-6BD1-478B-AF4F-D35DB1FBB09B}"/>
    <cellStyle name="Rouge 4" xfId="8770" xr:uid="{E6B07D36-C4EC-48CB-9E5E-BECF33B5FCCB}"/>
    <cellStyle name="Rouge 5" xfId="8771" xr:uid="{65098010-7ADA-4150-9F29-3D9A1EE886DD}"/>
    <cellStyle name="Rubrik" xfId="8772" xr:uid="{661036BC-28EB-44F4-9ED3-6A7E279216EA}"/>
    <cellStyle name="Rubrik 1" xfId="8773" xr:uid="{98504F99-08A5-442A-AE9F-4BC1AC740EBD}"/>
    <cellStyle name="Rubrik 2" xfId="8774" xr:uid="{4D8D2780-1B71-4DC1-AB68-7E04B80BDA1E}"/>
    <cellStyle name="Rubrik 3" xfId="8775" xr:uid="{F06BC055-49D9-4FDF-9011-E043B5633052}"/>
    <cellStyle name="Rubrik 4" xfId="8776" xr:uid="{5DAD2C64-F845-4D84-94B3-61B4C353AFC8}"/>
    <cellStyle name="Rubrik_Table 2 Unit Rate" xfId="8777" xr:uid="{8B6FE0EA-56A2-48D4-A99A-3C3E8A53340B}"/>
    <cellStyle name="Salida" xfId="8778" xr:uid="{DC82494F-604C-4D20-9B2C-F718EEF25C92}"/>
    <cellStyle name="Salida 10" xfId="8779" xr:uid="{22B9A2E0-07DA-4318-89E5-F590D0935573}"/>
    <cellStyle name="Salida 10 2" xfId="8780" xr:uid="{24AFA66C-45A6-488E-B1B1-EFE8C758DE3C}"/>
    <cellStyle name="Salida 10 2 2" xfId="8781" xr:uid="{A41B6EFC-DA28-40CF-A4CA-BC489B477F67}"/>
    <cellStyle name="Salida 10 2 2 2" xfId="20326" xr:uid="{22FA9EDB-1A71-4FB9-80F9-FD49C973CC11}"/>
    <cellStyle name="Salida 10 2 3" xfId="8782" xr:uid="{E7F01496-813D-4215-B6A0-5018AD4E992B}"/>
    <cellStyle name="Salida 10 2 3 2" xfId="20327" xr:uid="{A5542C10-4773-4114-AB00-50D857D41407}"/>
    <cellStyle name="Salida 10 2 4" xfId="8783" xr:uid="{F7799D38-0AF4-4368-AF4D-19F31F71DAAD}"/>
    <cellStyle name="Salida 10 2 4 2" xfId="20328" xr:uid="{A9C5116A-3B8C-44B7-BFD3-3B27947A9A3B}"/>
    <cellStyle name="Salida 10 2 5" xfId="8784" xr:uid="{0C4F2908-685A-4030-9C3B-EC988EE5C255}"/>
    <cellStyle name="Salida 10 2 5 2" xfId="20329" xr:uid="{0B0F2253-9B14-41ED-A829-DA37D068B88C}"/>
    <cellStyle name="Salida 10 2 6" xfId="20325" xr:uid="{70575691-83EB-433D-9853-2AB65F79986F}"/>
    <cellStyle name="Salida 10 3" xfId="8785" xr:uid="{502E3478-523A-421E-AB57-1821158EE3BB}"/>
    <cellStyle name="Salida 10 3 2" xfId="20330" xr:uid="{7F409257-374B-4E68-BFF4-C273E25C5D24}"/>
    <cellStyle name="Salida 10 4" xfId="8786" xr:uid="{3763FEB5-3E1F-4187-A320-0A17211DCE11}"/>
    <cellStyle name="Salida 10 4 2" xfId="20331" xr:uid="{380BE1E8-52AD-4944-8E50-D7BCABF84A80}"/>
    <cellStyle name="Salida 10 5" xfId="8787" xr:uid="{6DA947ED-CAED-4187-B17A-93B89CC732F7}"/>
    <cellStyle name="Salida 10 5 2" xfId="20332" xr:uid="{AE0F16FA-BF48-495A-A536-73252EE88C2C}"/>
    <cellStyle name="Salida 10 6" xfId="8788" xr:uid="{166C5E28-4030-41EA-84B4-8972BEF0F1D1}"/>
    <cellStyle name="Salida 10 6 2" xfId="20333" xr:uid="{C5753F4B-6807-4D6E-96FB-785BAC3A4DE7}"/>
    <cellStyle name="Salida 10 7" xfId="20324" xr:uid="{6D4A1E02-C735-4043-A3AF-7D60A22C2184}"/>
    <cellStyle name="Salida 11" xfId="8789" xr:uid="{52DFCC26-569F-4088-97B0-EBF3A4EB836B}"/>
    <cellStyle name="Salida 11 2" xfId="8790" xr:uid="{FB533B77-BF28-4ACB-B53B-8F0B558D43D6}"/>
    <cellStyle name="Salida 11 2 2" xfId="8791" xr:uid="{4E4B9EF3-195D-4193-8658-9B0C95FE41BF}"/>
    <cellStyle name="Salida 11 2 2 2" xfId="20336" xr:uid="{D3419C99-C5D9-4687-AFB1-AEFFD08A6FB8}"/>
    <cellStyle name="Salida 11 2 3" xfId="8792" xr:uid="{19D1DAA1-E548-426F-8ECB-9920142F6055}"/>
    <cellStyle name="Salida 11 2 3 2" xfId="20337" xr:uid="{1FFC6E73-FA46-44C6-AB77-3A8427DEACBE}"/>
    <cellStyle name="Salida 11 2 4" xfId="8793" xr:uid="{CF5EECC2-5D69-47DE-B261-49D5333C7D81}"/>
    <cellStyle name="Salida 11 2 4 2" xfId="20338" xr:uid="{5DD28D90-ED27-45AD-A7FC-91644F724789}"/>
    <cellStyle name="Salida 11 2 5" xfId="8794" xr:uid="{0D3AE93D-9BB6-4AE8-98D1-794ADC74843B}"/>
    <cellStyle name="Salida 11 2 5 2" xfId="20339" xr:uid="{7F0EEEF9-006E-489C-A548-DB197702EDCC}"/>
    <cellStyle name="Salida 11 2 6" xfId="20335" xr:uid="{C26FE211-771B-4394-963E-98BC9C8AF064}"/>
    <cellStyle name="Salida 11 3" xfId="8795" xr:uid="{8E51CFBD-A291-4327-96C0-EDD7935438E4}"/>
    <cellStyle name="Salida 11 3 2" xfId="20340" xr:uid="{7C14E585-98DB-4B9B-8296-E52C24C89F6E}"/>
    <cellStyle name="Salida 11 4" xfId="8796" xr:uid="{169FCECD-7D98-4BE4-825E-2330EAB926C8}"/>
    <cellStyle name="Salida 11 4 2" xfId="20341" xr:uid="{76B375B5-4F51-489E-AFC7-8EE9188783AF}"/>
    <cellStyle name="Salida 11 5" xfId="8797" xr:uid="{4253DCD0-F098-41F9-A681-512F85BFEB51}"/>
    <cellStyle name="Salida 11 5 2" xfId="20342" xr:uid="{F5B156F2-0683-4E3C-8C35-B6536E9723C0}"/>
    <cellStyle name="Salida 11 6" xfId="8798" xr:uid="{A3424DCB-1341-49AB-A2D0-4E02DB000A1B}"/>
    <cellStyle name="Salida 11 6 2" xfId="20343" xr:uid="{7D73E5DA-6626-4E38-A910-4E3A2603C349}"/>
    <cellStyle name="Salida 11 7" xfId="20334" xr:uid="{C6D9C9FA-15DB-4FA8-8AAD-86176D7C8DAE}"/>
    <cellStyle name="Salida 12" xfId="8799" xr:uid="{E3409808-6A1B-4A79-B342-BD0286A394E4}"/>
    <cellStyle name="Salida 12 2" xfId="8800" xr:uid="{396C1BF2-F750-4006-8CD5-A0E78AC784B4}"/>
    <cellStyle name="Salida 12 2 2" xfId="8801" xr:uid="{B850DB0F-2218-4571-AD5B-46103602E53F}"/>
    <cellStyle name="Salida 12 2 2 2" xfId="20346" xr:uid="{CC71DDB1-57CE-4D48-96E4-E168ADCED04B}"/>
    <cellStyle name="Salida 12 2 3" xfId="8802" xr:uid="{47A495F5-2350-4C01-8CB9-E3E5C80A94BE}"/>
    <cellStyle name="Salida 12 2 3 2" xfId="20347" xr:uid="{DFDDC498-718D-4078-B0BE-02A5011535B7}"/>
    <cellStyle name="Salida 12 2 4" xfId="8803" xr:uid="{B0FD37C7-CB56-4C80-A782-DA404D2B363E}"/>
    <cellStyle name="Salida 12 2 4 2" xfId="20348" xr:uid="{3AC8E429-E873-4CFE-B367-B8B4237EF4F3}"/>
    <cellStyle name="Salida 12 2 5" xfId="8804" xr:uid="{68CFF24A-9846-4CC5-811E-2ADB2EF6EB20}"/>
    <cellStyle name="Salida 12 2 5 2" xfId="20349" xr:uid="{06B90B96-DF70-4F97-87A7-2F7A02CF33B2}"/>
    <cellStyle name="Salida 12 2 6" xfId="20345" xr:uid="{920372CB-9472-4D16-8DD2-7D7533745AB6}"/>
    <cellStyle name="Salida 12 3" xfId="8805" xr:uid="{A7C44F12-A447-4626-B27E-638D148E5918}"/>
    <cellStyle name="Salida 12 3 2" xfId="20350" xr:uid="{F89D8F25-FD1B-4CE4-B12F-AD780DC6A26D}"/>
    <cellStyle name="Salida 12 4" xfId="8806" xr:uid="{40E2AA53-BF7F-44F8-8674-226E187B7BC2}"/>
    <cellStyle name="Salida 12 4 2" xfId="20351" xr:uid="{0675295C-BD29-4DB0-B1FB-E2000E6BCA74}"/>
    <cellStyle name="Salida 12 5" xfId="8807" xr:uid="{D26CB281-0B51-4B94-8653-7D955CE82FE2}"/>
    <cellStyle name="Salida 12 5 2" xfId="20352" xr:uid="{C60CF16D-799D-48D1-BFB2-CD0EAC804311}"/>
    <cellStyle name="Salida 12 6" xfId="8808" xr:uid="{7CA09FD3-BA9A-4A0E-B058-01C24EE0CC5B}"/>
    <cellStyle name="Salida 12 6 2" xfId="20353" xr:uid="{5637C01A-FF13-45A0-AB2A-A5CF71184C3F}"/>
    <cellStyle name="Salida 12 7" xfId="20344" xr:uid="{2D5921F7-2513-400C-B200-40B527379AC3}"/>
    <cellStyle name="Salida 13" xfId="8809" xr:uid="{4AA89B6F-DC45-4F77-A33B-706DF650C31F}"/>
    <cellStyle name="Salida 13 2" xfId="8810" xr:uid="{5EF309DD-9E1E-4506-B6D3-A203D2E81D06}"/>
    <cellStyle name="Salida 13 2 2" xfId="8811" xr:uid="{47BB2F79-1980-45CD-9CE6-BBC89220BC81}"/>
    <cellStyle name="Salida 13 2 2 2" xfId="20356" xr:uid="{49FD28BF-86CE-4F1F-8768-5F60A5F73439}"/>
    <cellStyle name="Salida 13 2 3" xfId="8812" xr:uid="{AD5957FE-2C08-4F89-8D3A-393CBDC8FDD9}"/>
    <cellStyle name="Salida 13 2 3 2" xfId="20357" xr:uid="{AF9C86E0-B4D3-4724-9CBB-A9F489DACDD7}"/>
    <cellStyle name="Salida 13 2 4" xfId="8813" xr:uid="{B1AE1397-B0F8-4FA0-A60B-2FA40BDE5C6B}"/>
    <cellStyle name="Salida 13 2 4 2" xfId="20358" xr:uid="{18D0BA00-B028-4EA6-8803-D95CE7C5786E}"/>
    <cellStyle name="Salida 13 2 5" xfId="8814" xr:uid="{1C0EBAFF-512F-4FF8-9839-4E1F82041E08}"/>
    <cellStyle name="Salida 13 2 5 2" xfId="20359" xr:uid="{E4204784-E132-4E50-8959-CA3E3AA6E9DF}"/>
    <cellStyle name="Salida 13 2 6" xfId="20355" xr:uid="{6777C46E-6533-4534-8FAA-155BC9BBA62D}"/>
    <cellStyle name="Salida 13 3" xfId="8815" xr:uid="{F1A06385-127B-4D1E-9B4B-035FBCEE37A4}"/>
    <cellStyle name="Salida 13 3 2" xfId="20360" xr:uid="{FD4409AF-2670-4E17-B341-B7A830EFE336}"/>
    <cellStyle name="Salida 13 4" xfId="8816" xr:uid="{F97EFE76-9870-482E-B697-415B52D82E4D}"/>
    <cellStyle name="Salida 13 4 2" xfId="20361" xr:uid="{557CB1CA-BC13-4EEE-A999-59E0D4BE00EF}"/>
    <cellStyle name="Salida 13 5" xfId="8817" xr:uid="{597ACCE9-8DB9-4415-B9BF-7613C92F91FA}"/>
    <cellStyle name="Salida 13 5 2" xfId="20362" xr:uid="{EF1FAAD9-11E8-4EF7-9701-F1BED6982BC3}"/>
    <cellStyle name="Salida 13 6" xfId="8818" xr:uid="{4A84BD9C-7D46-49EF-B303-7C4BA343A476}"/>
    <cellStyle name="Salida 13 6 2" xfId="20363" xr:uid="{0C8B7971-7346-46A2-9B5E-D2CFD3F089AA}"/>
    <cellStyle name="Salida 13 7" xfId="20354" xr:uid="{EC1DB5B7-17AA-4DCE-9546-684177AE4BFF}"/>
    <cellStyle name="Salida 14" xfId="8819" xr:uid="{67735AE9-305F-457E-87E2-F42F41A8A29D}"/>
    <cellStyle name="Salida 14 2" xfId="8820" xr:uid="{74D5D722-34C3-421D-A6B5-196F68970532}"/>
    <cellStyle name="Salida 14 2 2" xfId="8821" xr:uid="{7FC6BF39-B1A2-4215-89F0-A2304B6C39F4}"/>
    <cellStyle name="Salida 14 2 2 2" xfId="20366" xr:uid="{918E8E44-DD71-4EA8-A3F2-009BF1887FBC}"/>
    <cellStyle name="Salida 14 2 3" xfId="8822" xr:uid="{A9A0AA60-A4F0-48AE-BDEE-815DF2D80C62}"/>
    <cellStyle name="Salida 14 2 3 2" xfId="20367" xr:uid="{729AD00A-8B56-4E7C-BA4B-5B49F13A62E2}"/>
    <cellStyle name="Salida 14 2 4" xfId="8823" xr:uid="{955EB9EC-EE01-4999-B81E-94CD021C8650}"/>
    <cellStyle name="Salida 14 2 4 2" xfId="20368" xr:uid="{2F0F3847-7D86-4691-8CC4-CC2E0D27B77A}"/>
    <cellStyle name="Salida 14 2 5" xfId="8824" xr:uid="{CB344275-E74F-43EB-B95C-6976420BE7D9}"/>
    <cellStyle name="Salida 14 2 5 2" xfId="20369" xr:uid="{FF8146BF-2D8E-462D-B40A-95DF7FBE7916}"/>
    <cellStyle name="Salida 14 2 6" xfId="20365" xr:uid="{EA31BACE-FBC8-4957-83A0-C05CB588F938}"/>
    <cellStyle name="Salida 14 3" xfId="8825" xr:uid="{959A8AA7-64D4-486B-9649-04EC5C03659B}"/>
    <cellStyle name="Salida 14 3 2" xfId="20370" xr:uid="{8BB5326D-079A-4BC3-981D-DAC7D2DFB6E0}"/>
    <cellStyle name="Salida 14 4" xfId="8826" xr:uid="{FCE381CF-361B-46B5-A0D4-7861C745FD43}"/>
    <cellStyle name="Salida 14 4 2" xfId="20371" xr:uid="{98ED2C12-868A-4EFF-9848-B70FED816F3C}"/>
    <cellStyle name="Salida 14 5" xfId="8827" xr:uid="{1D9B762F-E721-40AE-8FCF-FDDB60CEE99C}"/>
    <cellStyle name="Salida 14 5 2" xfId="20372" xr:uid="{BD5DD876-BA18-4012-A1A4-EE02B71BA757}"/>
    <cellStyle name="Salida 14 6" xfId="8828" xr:uid="{D6418A59-9E8F-48D0-9F80-470F8C61587C}"/>
    <cellStyle name="Salida 14 6 2" xfId="20373" xr:uid="{F6075351-3952-4A74-9D60-04BF2382D81C}"/>
    <cellStyle name="Salida 14 7" xfId="20364" xr:uid="{891FB0C1-5955-497C-8A8C-B0E729A6559F}"/>
    <cellStyle name="Salida 15" xfId="8829" xr:uid="{A2E6BE13-BCBD-4514-AA05-0CB5DD1E783C}"/>
    <cellStyle name="Salida 15 2" xfId="8830" xr:uid="{79B9ED06-91C6-4849-8017-EB9A35936966}"/>
    <cellStyle name="Salida 15 2 2" xfId="8831" xr:uid="{E5E51EF0-03D9-4500-9586-D81254CD85A4}"/>
    <cellStyle name="Salida 15 2 2 2" xfId="20376" xr:uid="{2EE50D9F-E6D0-4D91-85E3-8613FD2238E8}"/>
    <cellStyle name="Salida 15 2 3" xfId="8832" xr:uid="{24EB0C55-C486-4D19-AA32-0B61217EBD06}"/>
    <cellStyle name="Salida 15 2 3 2" xfId="20377" xr:uid="{1E8A4DBE-8868-48A8-B125-4D5136C69ABA}"/>
    <cellStyle name="Salida 15 2 4" xfId="8833" xr:uid="{093E743A-2C43-441D-96AF-69AC43733F8F}"/>
    <cellStyle name="Salida 15 2 4 2" xfId="20378" xr:uid="{922D071A-2B84-466D-AE60-28689B36D57C}"/>
    <cellStyle name="Salida 15 2 5" xfId="8834" xr:uid="{1DD34294-BDE3-461B-BAC7-50B9146E2766}"/>
    <cellStyle name="Salida 15 2 5 2" xfId="20379" xr:uid="{C24B6C94-059A-4243-A5D1-F4EF30775DDF}"/>
    <cellStyle name="Salida 15 2 6" xfId="20375" xr:uid="{D6A04A83-D62E-4EA3-BA84-8AC0EF708C6A}"/>
    <cellStyle name="Salida 15 3" xfId="8835" xr:uid="{A652041C-5197-4AF0-A217-94AEEB81E8EF}"/>
    <cellStyle name="Salida 15 3 2" xfId="20380" xr:uid="{6548387B-B7E7-4F33-809A-FD6284A5E78F}"/>
    <cellStyle name="Salida 15 4" xfId="8836" xr:uid="{AB90B10B-3E96-4B8D-906B-8BE77E8DC1EE}"/>
    <cellStyle name="Salida 15 4 2" xfId="20381" xr:uid="{5E60B003-9F47-412B-A530-F147F46B1F3B}"/>
    <cellStyle name="Salida 15 5" xfId="8837" xr:uid="{E3A1A19B-08C2-407F-8CF8-2C571BCCAB70}"/>
    <cellStyle name="Salida 15 5 2" xfId="20382" xr:uid="{AEA92F4A-3AB6-4B45-BB83-3B273B3857D5}"/>
    <cellStyle name="Salida 15 6" xfId="8838" xr:uid="{867357AA-6A21-46B1-8FC7-1645C9D03164}"/>
    <cellStyle name="Salida 15 6 2" xfId="20383" xr:uid="{60046829-A862-4CEE-8BCC-C32AAA0DE856}"/>
    <cellStyle name="Salida 15 7" xfId="20374" xr:uid="{AD2F23AC-16BC-452E-9800-EDB874761E5F}"/>
    <cellStyle name="Salida 16" xfId="8839" xr:uid="{D7BCDD76-ADAE-4D1C-B47B-59587BDBE742}"/>
    <cellStyle name="Salida 16 2" xfId="20384" xr:uid="{6F7551D3-688C-4697-9C60-72F37527BCBB}"/>
    <cellStyle name="Salida 17" xfId="8840" xr:uid="{0A5DAF7D-632B-41DC-A848-6A460301BA86}"/>
    <cellStyle name="Salida 17 2" xfId="20385" xr:uid="{B649407D-2792-4B4F-BA06-0C9D0D25980B}"/>
    <cellStyle name="Salida 18" xfId="8841" xr:uid="{B8C7E9E2-CA28-4712-909D-2A3CB9FE85FD}"/>
    <cellStyle name="Salida 18 2" xfId="20386" xr:uid="{A7829540-7C4C-4611-AA6B-988B03DB9ACF}"/>
    <cellStyle name="Salida 19" xfId="8842" xr:uid="{2FAE5D66-38C8-462C-B5C7-CC25776BAFF0}"/>
    <cellStyle name="Salida 19 2" xfId="20387" xr:uid="{1D5E20AE-73CF-4179-9200-D9041504824E}"/>
    <cellStyle name="Salida 2" xfId="8843" xr:uid="{7A47CCBE-00D3-4EF0-8D79-F68BE6492ED4}"/>
    <cellStyle name="Salida 2 2" xfId="8844" xr:uid="{AD82B230-82DB-42CE-B776-035A9BBB5B7A}"/>
    <cellStyle name="Salida 2 2 2" xfId="8845" xr:uid="{FAF4FBAA-82C6-412A-98BA-8FAB09E265E9}"/>
    <cellStyle name="Salida 2 2 2 2" xfId="20390" xr:uid="{B6FD51FE-E4F2-412F-BB0C-0ACC80B1051D}"/>
    <cellStyle name="Salida 2 2 3" xfId="8846" xr:uid="{2BB4C343-0B7F-4BFE-B53C-F41ED08A7C13}"/>
    <cellStyle name="Salida 2 2 3 2" xfId="20391" xr:uid="{8693BA3A-D5F7-4147-B832-1EEE680782FB}"/>
    <cellStyle name="Salida 2 2 4" xfId="8847" xr:uid="{8816C657-0552-4AFD-B9F0-2891898278BC}"/>
    <cellStyle name="Salida 2 2 4 2" xfId="20392" xr:uid="{405E2015-E3F7-4E9F-A8F9-CCF05B3AC5D5}"/>
    <cellStyle name="Salida 2 2 5" xfId="8848" xr:uid="{DFFF55D1-0EB3-4ACA-B80B-CD45B032C830}"/>
    <cellStyle name="Salida 2 2 5 2" xfId="20393" xr:uid="{1BD9D850-CFA3-4901-8E13-16436F95E414}"/>
    <cellStyle name="Salida 2 2 6" xfId="20389" xr:uid="{8ACAB00D-28BA-4504-8EF0-51F57424323A}"/>
    <cellStyle name="Salida 2 3" xfId="8849" xr:uid="{EB56BF09-5A4D-4F03-AFC5-440FA1BB4716}"/>
    <cellStyle name="Salida 2 3 2" xfId="20394" xr:uid="{6353FAD0-94C7-4425-8D0B-045CEA0EA01B}"/>
    <cellStyle name="Salida 2 4" xfId="8850" xr:uid="{E97886DD-4862-4898-9E02-83CA639D1B59}"/>
    <cellStyle name="Salida 2 4 2" xfId="20395" xr:uid="{B0C228DC-8C19-49AC-AD0E-45F96222E549}"/>
    <cellStyle name="Salida 2 5" xfId="8851" xr:uid="{A10013DD-93F3-470B-B64F-C197186A6661}"/>
    <cellStyle name="Salida 2 5 2" xfId="20396" xr:uid="{6C4077F0-AD16-4E4B-97D6-92C89866725C}"/>
    <cellStyle name="Salida 2 6" xfId="8852" xr:uid="{595387EA-0BF5-4736-ACE8-9D834514E72A}"/>
    <cellStyle name="Salida 2 6 2" xfId="20397" xr:uid="{1C1467A5-8309-4E6E-9D13-0FA3BF04A656}"/>
    <cellStyle name="Salida 2 7" xfId="20388" xr:uid="{0288A372-CD0A-41AA-BF1E-F2A9C45F5CAF}"/>
    <cellStyle name="Salida 20" xfId="15158" xr:uid="{802EF2BA-16EC-4994-9635-40DF3EE19498}"/>
    <cellStyle name="Salida 3" xfId="8853" xr:uid="{DC5D1EA3-5DAB-4E95-857E-2BAF5B1488B0}"/>
    <cellStyle name="Salida 3 2" xfId="8854" xr:uid="{2F2EF8D9-DF19-4282-9A87-C38EA3BE731E}"/>
    <cellStyle name="Salida 3 2 2" xfId="8855" xr:uid="{4BBFD744-EEA8-4ACA-8C21-586405677100}"/>
    <cellStyle name="Salida 3 2 2 2" xfId="20400" xr:uid="{DC6ECC19-C275-4520-9FD7-9A1078220FF4}"/>
    <cellStyle name="Salida 3 2 3" xfId="8856" xr:uid="{AC188FA0-C070-4CF1-AF5A-E9182F7D07A1}"/>
    <cellStyle name="Salida 3 2 3 2" xfId="20401" xr:uid="{E8DD941D-A8D2-4B89-82AD-7EEE0505DA9B}"/>
    <cellStyle name="Salida 3 2 4" xfId="8857" xr:uid="{E3244546-2317-4DD5-888F-A30F2C1538AE}"/>
    <cellStyle name="Salida 3 2 4 2" xfId="20402" xr:uid="{50DF2933-9B94-4208-A0A9-C762137F006C}"/>
    <cellStyle name="Salida 3 2 5" xfId="8858" xr:uid="{2C0B1425-BB39-4127-BCDA-F783F4BA84C9}"/>
    <cellStyle name="Salida 3 2 5 2" xfId="20403" xr:uid="{80DBC08A-787A-4584-A73F-80F581308683}"/>
    <cellStyle name="Salida 3 2 6" xfId="20399" xr:uid="{B33A203C-8061-41BE-8C65-3529B484E008}"/>
    <cellStyle name="Salida 3 3" xfId="8859" xr:uid="{5C0D97D3-660A-4BBD-848B-4B384D612C0B}"/>
    <cellStyle name="Salida 3 3 2" xfId="20404" xr:uid="{BCE4A85D-BCCF-4CBD-8969-3D70FA1393E2}"/>
    <cellStyle name="Salida 3 4" xfId="8860" xr:uid="{CB16E1E2-FD0C-4350-A240-EBDEAE754903}"/>
    <cellStyle name="Salida 3 4 2" xfId="20405" xr:uid="{042D9F8B-1678-4C24-A0CA-82332B85C363}"/>
    <cellStyle name="Salida 3 5" xfId="8861" xr:uid="{2F2DAE45-4BEB-469F-80BB-B582B15FB8F6}"/>
    <cellStyle name="Salida 3 5 2" xfId="20406" xr:uid="{C535F319-AAFA-414F-BBE2-9B1FC2C63C78}"/>
    <cellStyle name="Salida 3 6" xfId="8862" xr:uid="{AF29F623-6C2F-428D-95F1-AD2F71EB50DE}"/>
    <cellStyle name="Salida 3 6 2" xfId="20407" xr:uid="{A3156436-70AF-4AEE-A9A0-F42CA4E33196}"/>
    <cellStyle name="Salida 3 7" xfId="20398" xr:uid="{0B96A484-2D2E-4A71-AC38-EBDA14EEB7FA}"/>
    <cellStyle name="Salida 4" xfId="8863" xr:uid="{241B5BA6-D49C-4225-ADD7-816136336271}"/>
    <cellStyle name="Salida 4 2" xfId="8864" xr:uid="{1BD97692-1818-4AEC-B525-5C28719085A6}"/>
    <cellStyle name="Salida 4 2 2" xfId="8865" xr:uid="{E4FA5261-893A-481D-B615-724BF6291FE9}"/>
    <cellStyle name="Salida 4 2 2 2" xfId="20410" xr:uid="{0387515B-8585-45E5-AAD9-D6CA1D4BE8AE}"/>
    <cellStyle name="Salida 4 2 3" xfId="8866" xr:uid="{81AFF9C5-0D61-4381-B09F-DAE2CEF0DECC}"/>
    <cellStyle name="Salida 4 2 3 2" xfId="20411" xr:uid="{82DE6956-5917-4664-A4D7-0E8F29653A5C}"/>
    <cellStyle name="Salida 4 2 4" xfId="8867" xr:uid="{460E1717-CE22-4C17-A7D1-3FBE06430E8E}"/>
    <cellStyle name="Salida 4 2 4 2" xfId="20412" xr:uid="{141B4BCF-0EB5-47E2-B4F7-90A3689AA2B2}"/>
    <cellStyle name="Salida 4 2 5" xfId="8868" xr:uid="{EA1E96E0-6AF0-453E-89E6-071A755D8D91}"/>
    <cellStyle name="Salida 4 2 5 2" xfId="20413" xr:uid="{D195ACD0-8776-4E64-A114-85E35D00E2A3}"/>
    <cellStyle name="Salida 4 2 6" xfId="20409" xr:uid="{FE5DD72B-AF82-42C3-81DC-65699ACB5E8E}"/>
    <cellStyle name="Salida 4 3" xfId="8869" xr:uid="{A7AABAE0-E43A-43B1-88D3-778BB79C52C8}"/>
    <cellStyle name="Salida 4 3 2" xfId="20414" xr:uid="{9BEC6F1B-E0A0-4EAA-AC4C-91A9A70A7B3D}"/>
    <cellStyle name="Salida 4 4" xfId="8870" xr:uid="{DDCE9363-ED4E-4A6D-921F-DD9F821E0BFA}"/>
    <cellStyle name="Salida 4 4 2" xfId="20415" xr:uid="{8FE48349-2462-43AC-8C76-90143F93D050}"/>
    <cellStyle name="Salida 4 5" xfId="8871" xr:uid="{BED5D02C-54C1-4A27-B677-64E0FC96922A}"/>
    <cellStyle name="Salida 4 5 2" xfId="20416" xr:uid="{198D14EA-E4BF-466E-9BD9-E654F5E34124}"/>
    <cellStyle name="Salida 4 6" xfId="8872" xr:uid="{249FDA9B-D550-4FA9-B0F0-2C482DAEF49A}"/>
    <cellStyle name="Salida 4 6 2" xfId="20417" xr:uid="{6211A914-9865-491E-A49E-152D482A2578}"/>
    <cellStyle name="Salida 4 7" xfId="20408" xr:uid="{1BB7724F-4FB1-4D2F-84E9-FFD620284796}"/>
    <cellStyle name="Salida 5" xfId="8873" xr:uid="{0D223454-DFC5-4016-9C83-D4B8D49B6DC4}"/>
    <cellStyle name="Salida 5 2" xfId="8874" xr:uid="{E19DFC21-54CF-4AEE-A704-49341A7F778B}"/>
    <cellStyle name="Salida 5 2 2" xfId="8875" xr:uid="{E5EB28DD-9F7C-4D5C-A009-8AF7AE749631}"/>
    <cellStyle name="Salida 5 2 2 2" xfId="20420" xr:uid="{337E7AE5-36A1-4575-9145-EC9741A6B579}"/>
    <cellStyle name="Salida 5 2 3" xfId="8876" xr:uid="{4E1F824B-CFE6-415D-9DC0-36A9F0340598}"/>
    <cellStyle name="Salida 5 2 3 2" xfId="20421" xr:uid="{5FCDD314-1862-4848-9C36-3AB1C533B005}"/>
    <cellStyle name="Salida 5 2 4" xfId="8877" xr:uid="{1039C23F-9FAD-4B3F-B7CC-B30F65424C95}"/>
    <cellStyle name="Salida 5 2 4 2" xfId="20422" xr:uid="{5CE81794-ACD2-481A-88E9-77A33C329FA5}"/>
    <cellStyle name="Salida 5 2 5" xfId="8878" xr:uid="{2AF28BD5-5855-4E4F-B40E-C7B9ACBAA231}"/>
    <cellStyle name="Salida 5 2 5 2" xfId="20423" xr:uid="{673942CC-74F4-403B-B67A-D681291D4668}"/>
    <cellStyle name="Salida 5 2 6" xfId="20419" xr:uid="{5A64E8E9-4412-42B9-AB20-B781AF3DA6BA}"/>
    <cellStyle name="Salida 5 3" xfId="8879" xr:uid="{FBFAA136-0169-483E-8E5B-6F56F7873362}"/>
    <cellStyle name="Salida 5 3 2" xfId="20424" xr:uid="{99C95D01-8B8C-42D4-BB9A-3E4A952598B5}"/>
    <cellStyle name="Salida 5 4" xfId="8880" xr:uid="{09EA6F0D-9049-4DD9-9ED0-BB00A3E6CF14}"/>
    <cellStyle name="Salida 5 4 2" xfId="20425" xr:uid="{FB9C0F86-0217-46C7-A078-52EAE7712837}"/>
    <cellStyle name="Salida 5 5" xfId="8881" xr:uid="{2265A238-3458-47BF-B4C9-9929768892F2}"/>
    <cellStyle name="Salida 5 5 2" xfId="20426" xr:uid="{BCD024BC-9505-4A7C-9144-7E647247CA0B}"/>
    <cellStyle name="Salida 5 6" xfId="8882" xr:uid="{4C1FC036-D671-4D1C-90AD-C52A84EE773E}"/>
    <cellStyle name="Salida 5 6 2" xfId="20427" xr:uid="{ED2E280F-2F84-40A9-B259-6B238891696A}"/>
    <cellStyle name="Salida 5 7" xfId="20418" xr:uid="{4F511AA1-B039-40AD-AFE1-7BA138DE8870}"/>
    <cellStyle name="Salida 6" xfId="8883" xr:uid="{E5844A73-5827-434E-8ACB-63F1EF42ACFD}"/>
    <cellStyle name="Salida 6 2" xfId="8884" xr:uid="{5BE54175-9F9B-4B32-BD02-129641668D8F}"/>
    <cellStyle name="Salida 6 2 2" xfId="8885" xr:uid="{D6A6D47E-1215-4BCE-8EEF-079AD9465742}"/>
    <cellStyle name="Salida 6 2 2 2" xfId="20430" xr:uid="{6D380CA2-47F9-4A21-94B9-E9F0EA0F876F}"/>
    <cellStyle name="Salida 6 2 3" xfId="8886" xr:uid="{61D4DC12-2E97-4DFA-93BB-C27A6A0A598F}"/>
    <cellStyle name="Salida 6 2 3 2" xfId="20431" xr:uid="{50796917-2E48-4726-B048-250D7D997E05}"/>
    <cellStyle name="Salida 6 2 4" xfId="8887" xr:uid="{2F50BE4C-A880-4805-8595-403AE890F747}"/>
    <cellStyle name="Salida 6 2 4 2" xfId="20432" xr:uid="{AE4E92D1-85A8-4BF7-91A1-A0329AC6C25D}"/>
    <cellStyle name="Salida 6 2 5" xfId="8888" xr:uid="{15868AFC-D8FA-4C48-BEE2-D0B2F7D1875B}"/>
    <cellStyle name="Salida 6 2 5 2" xfId="20433" xr:uid="{7C50BD78-09BE-47A9-B740-E54A25319855}"/>
    <cellStyle name="Salida 6 2 6" xfId="20429" xr:uid="{792FA539-46A4-408B-827F-C641406F2CCF}"/>
    <cellStyle name="Salida 6 3" xfId="8889" xr:uid="{BBDE11D8-451A-4530-A155-05A8EA5657B4}"/>
    <cellStyle name="Salida 6 3 2" xfId="20434" xr:uid="{5A3884C0-8B7C-4F83-8442-5ED31B9E1B72}"/>
    <cellStyle name="Salida 6 4" xfId="8890" xr:uid="{94DB4F4E-BA8C-4481-A912-7C74069D4CA2}"/>
    <cellStyle name="Salida 6 4 2" xfId="20435" xr:uid="{3FC4B79D-04D2-4BCC-A950-CC76D18647BF}"/>
    <cellStyle name="Salida 6 5" xfId="8891" xr:uid="{379F5E2E-C97D-4400-88A1-D4E8913D2ECE}"/>
    <cellStyle name="Salida 6 5 2" xfId="20436" xr:uid="{8DCABF4A-EF99-49E4-B12D-0A2C9E0DFD67}"/>
    <cellStyle name="Salida 6 6" xfId="8892" xr:uid="{5E931D04-F2B0-4A05-A938-894CE527B7B2}"/>
    <cellStyle name="Salida 6 6 2" xfId="20437" xr:uid="{7DA131FB-C84E-4D6E-B66B-F2E0BFE1F831}"/>
    <cellStyle name="Salida 6 7" xfId="20428" xr:uid="{956BF52D-BA3D-4278-AD14-1556A21830EC}"/>
    <cellStyle name="Salida 7" xfId="8893" xr:uid="{FA296958-871C-4AE6-84AE-92E013DFC2AE}"/>
    <cellStyle name="Salida 7 2" xfId="8894" xr:uid="{7FBF7934-2AE3-4574-AD29-AA3734E7E9D0}"/>
    <cellStyle name="Salida 7 2 2" xfId="8895" xr:uid="{EF592535-A0C7-40C9-9111-806575E4369D}"/>
    <cellStyle name="Salida 7 2 2 2" xfId="20440" xr:uid="{20876932-9FA4-4BAB-BC73-6282AD5CC1D6}"/>
    <cellStyle name="Salida 7 2 3" xfId="8896" xr:uid="{37ED5B16-3989-4D36-9C90-986D9A431CE9}"/>
    <cellStyle name="Salida 7 2 3 2" xfId="20441" xr:uid="{F5FEEDAF-5B36-4C46-A3ED-530E97932363}"/>
    <cellStyle name="Salida 7 2 4" xfId="8897" xr:uid="{C8BD4535-E501-4B06-B132-809A1A018EAC}"/>
    <cellStyle name="Salida 7 2 4 2" xfId="20442" xr:uid="{E1B6EBB9-A7F1-4DD5-8552-60BFD239F43C}"/>
    <cellStyle name="Salida 7 2 5" xfId="8898" xr:uid="{883A6F49-1454-4394-9338-4BCA402061AE}"/>
    <cellStyle name="Salida 7 2 5 2" xfId="20443" xr:uid="{24603693-D857-4497-9349-9CCC0CF26F7D}"/>
    <cellStyle name="Salida 7 2 6" xfId="20439" xr:uid="{2ABD6CAD-F60D-4788-A01F-DFE8C308870E}"/>
    <cellStyle name="Salida 7 3" xfId="8899" xr:uid="{9977CAB4-7009-49FF-A6CE-3A63D6A283B9}"/>
    <cellStyle name="Salida 7 3 2" xfId="20444" xr:uid="{FF3598DD-D447-4545-8E9C-B1EF0F86A351}"/>
    <cellStyle name="Salida 7 4" xfId="8900" xr:uid="{90987662-BBDB-41CF-A607-D3D2DA9E1280}"/>
    <cellStyle name="Salida 7 4 2" xfId="20445" xr:uid="{4BCAFDB7-3EC7-40F4-8E53-BB430D2F4CE5}"/>
    <cellStyle name="Salida 7 5" xfId="8901" xr:uid="{318A6BF4-18B6-4E19-B0D2-7454BBA089D6}"/>
    <cellStyle name="Salida 7 5 2" xfId="20446" xr:uid="{F8282E8B-74A6-4093-9310-06DA437DBB20}"/>
    <cellStyle name="Salida 7 6" xfId="8902" xr:uid="{90F0DC80-DDCC-4C68-B300-7D3E8712FC02}"/>
    <cellStyle name="Salida 7 6 2" xfId="20447" xr:uid="{3F24302E-ADF8-40E8-B5EA-9677E6B02456}"/>
    <cellStyle name="Salida 7 7" xfId="20438" xr:uid="{7D9927AF-3F6B-4367-AAE8-68A07DA5EEBD}"/>
    <cellStyle name="Salida 8" xfId="8903" xr:uid="{E221F967-2B42-45CB-AF31-FAB6065A51D7}"/>
    <cellStyle name="Salida 8 2" xfId="8904" xr:uid="{BBA0F0F9-272C-49F2-9554-170C5A569FA7}"/>
    <cellStyle name="Salida 8 2 2" xfId="8905" xr:uid="{C9FD0819-3741-478F-A138-2FEB3E096721}"/>
    <cellStyle name="Salida 8 2 2 2" xfId="20450" xr:uid="{E8657C51-3C75-4C3B-9500-50A7D0226CF7}"/>
    <cellStyle name="Salida 8 2 3" xfId="8906" xr:uid="{F61E3404-060C-4D40-A0B1-2E0CF59B72C9}"/>
    <cellStyle name="Salida 8 2 3 2" xfId="20451" xr:uid="{9AB7FB28-ADF4-4C15-93A8-9263A262ED6D}"/>
    <cellStyle name="Salida 8 2 4" xfId="8907" xr:uid="{8A1FB1FD-CC39-4404-A347-8708237AC52F}"/>
    <cellStyle name="Salida 8 2 4 2" xfId="20452" xr:uid="{F0F992C2-CBBB-4815-8F76-8CD3D99737B2}"/>
    <cellStyle name="Salida 8 2 5" xfId="8908" xr:uid="{5A07F5C7-F48C-4261-A466-D524F6755494}"/>
    <cellStyle name="Salida 8 2 5 2" xfId="20453" xr:uid="{663842A4-329B-4CDD-88AB-1252B69B7EF6}"/>
    <cellStyle name="Salida 8 2 6" xfId="20449" xr:uid="{2E8CA604-8926-43F3-BD09-EA0205300DD7}"/>
    <cellStyle name="Salida 8 3" xfId="8909" xr:uid="{B713255F-2631-40A5-9EAF-1D998787D4DA}"/>
    <cellStyle name="Salida 8 3 2" xfId="20454" xr:uid="{4BAEF863-1141-4D36-B822-A9FB8CE71F9C}"/>
    <cellStyle name="Salida 8 4" xfId="8910" xr:uid="{08DD9177-0B9F-426D-93B6-A3372A066428}"/>
    <cellStyle name="Salida 8 4 2" xfId="20455" xr:uid="{C4E72BF6-DB8F-41EA-A0C5-E4353CD53DBA}"/>
    <cellStyle name="Salida 8 5" xfId="8911" xr:uid="{E5214D08-B939-4D07-A02B-11D2BBD0E914}"/>
    <cellStyle name="Salida 8 5 2" xfId="20456" xr:uid="{53B809E9-2F22-41A6-8441-5DDF468E5AFA}"/>
    <cellStyle name="Salida 8 6" xfId="8912" xr:uid="{22575E6F-BCB6-4DFF-AFCF-EE11E61D77ED}"/>
    <cellStyle name="Salida 8 6 2" xfId="20457" xr:uid="{E91ECDFE-3C55-4177-9127-1AE4DC768E3E}"/>
    <cellStyle name="Salida 8 7" xfId="20448" xr:uid="{929357A4-850D-4758-A3BF-A623B699F2F1}"/>
    <cellStyle name="Salida 9" xfId="8913" xr:uid="{E6629751-5A72-4373-BAED-C74A1EF2E92E}"/>
    <cellStyle name="Salida 9 2" xfId="8914" xr:uid="{62E76A30-943C-436B-BDF6-ADA2323CB75B}"/>
    <cellStyle name="Salida 9 2 2" xfId="8915" xr:uid="{8A50D32A-728E-40BA-BC3E-488E27ADA36C}"/>
    <cellStyle name="Salida 9 2 2 2" xfId="20460" xr:uid="{67F2D66A-BF7E-4355-9B3B-43D3ECB105FA}"/>
    <cellStyle name="Salida 9 2 3" xfId="8916" xr:uid="{F0D85D90-0C89-4F95-ABF0-F926C403BAE3}"/>
    <cellStyle name="Salida 9 2 3 2" xfId="20461" xr:uid="{AAAC8F6E-5DE1-4643-8EFC-2D4C8EC9182D}"/>
    <cellStyle name="Salida 9 2 4" xfId="8917" xr:uid="{C47892B9-7AE4-4027-9CA3-EEAE9586BE5C}"/>
    <cellStyle name="Salida 9 2 4 2" xfId="20462" xr:uid="{9EBB9984-85C9-4B90-83A6-7D7547AB034E}"/>
    <cellStyle name="Salida 9 2 5" xfId="8918" xr:uid="{FD3024FA-4472-4711-B33D-69D2CBBDFFEF}"/>
    <cellStyle name="Salida 9 2 5 2" xfId="20463" xr:uid="{BABABD65-1167-4E4D-9BDF-4BE12002E555}"/>
    <cellStyle name="Salida 9 2 6" xfId="20459" xr:uid="{544AC90D-187A-4931-98F2-8A5F61805F8C}"/>
    <cellStyle name="Salida 9 3" xfId="8919" xr:uid="{982CD0AE-BDC7-4CB8-BAA1-26D4E4ECA17B}"/>
    <cellStyle name="Salida 9 3 2" xfId="20464" xr:uid="{4717019C-76DE-4690-8CB5-5B0AF751F271}"/>
    <cellStyle name="Salida 9 4" xfId="8920" xr:uid="{2BF9E09A-31C2-4AE7-805B-EDBAEAD744B1}"/>
    <cellStyle name="Salida 9 4 2" xfId="20465" xr:uid="{198D6E30-4550-4855-BDB0-1331030B6D57}"/>
    <cellStyle name="Salida 9 5" xfId="8921" xr:uid="{5EDEB47D-6E55-4F17-9567-C8DBD8F17C15}"/>
    <cellStyle name="Salida 9 5 2" xfId="20466" xr:uid="{043C976F-A442-4D36-8A50-017C30A22FA2}"/>
    <cellStyle name="Salida 9 6" xfId="8922" xr:uid="{FAAAA9FE-6A30-4194-BC7C-1C282AA6DC26}"/>
    <cellStyle name="Salida 9 6 2" xfId="20467" xr:uid="{6E2036A3-7AA3-4CC3-BA89-F3451B41B676}"/>
    <cellStyle name="Salida 9 7" xfId="20458" xr:uid="{AF2D004D-5AA1-40EB-AB92-0701E811C79F}"/>
    <cellStyle name="Salida_KTR An-Abflug" xfId="14841" xr:uid="{48E9134D-D0F1-45BC-9D30-3EB54CA763E3}"/>
    <cellStyle name="Sammenkædet celle" xfId="8923" xr:uid="{FC88A97B-1FBB-4A83-B3BE-509DEB22CF56}"/>
    <cellStyle name="SAPBEXaggData" xfId="8924" xr:uid="{EA75CA67-C42F-4BC4-AEE1-AA66F93DE944}"/>
    <cellStyle name="SAPBEXaggData 10" xfId="8925" xr:uid="{9A1D8831-00C8-417E-86EA-F81A1D590A8D}"/>
    <cellStyle name="SAPBEXaggData 10 2" xfId="8926" xr:uid="{E6A40383-E875-403D-A6D5-18BBCC7F10F7}"/>
    <cellStyle name="SAPBEXaggData 10 2 2" xfId="8927" xr:uid="{1DAE16A9-F5F0-44A2-A550-77C1FCCDF891}"/>
    <cellStyle name="SAPBEXaggData 10 2 2 2" xfId="20470" xr:uid="{3112AF79-ED22-4E56-9BCA-AE778E324794}"/>
    <cellStyle name="SAPBEXaggData 10 2 3" xfId="8928" xr:uid="{82ECE394-058D-4CCC-9061-A7B27C55BE3B}"/>
    <cellStyle name="SAPBEXaggData 10 2 3 2" xfId="20471" xr:uid="{188661AB-AEF7-4EFF-BAD0-CD4BFF769615}"/>
    <cellStyle name="SAPBEXaggData 10 2 4" xfId="8929" xr:uid="{3C4703CE-0310-4072-B613-315E0941F9DC}"/>
    <cellStyle name="SAPBEXaggData 10 2 4 2" xfId="20472" xr:uid="{4192B6BF-BBAA-495E-96F5-968406C924B0}"/>
    <cellStyle name="SAPBEXaggData 10 2 5" xfId="8930" xr:uid="{64E0E9A2-5194-4323-876A-4990258C3020}"/>
    <cellStyle name="SAPBEXaggData 10 2 5 2" xfId="20473" xr:uid="{F8392586-6367-43DB-95CD-E11FDEBF595C}"/>
    <cellStyle name="SAPBEXaggData 10 2 6" xfId="20469" xr:uid="{AF417457-D02C-4B92-A395-368AF5AA6279}"/>
    <cellStyle name="SAPBEXaggData 10 3" xfId="8931" xr:uid="{99D1AA53-ACC6-4916-B8D0-748D6605E646}"/>
    <cellStyle name="SAPBEXaggData 10 3 2" xfId="20474" xr:uid="{72787ADE-ADCC-4904-8B4F-C2B1CDBC4C30}"/>
    <cellStyle name="SAPBEXaggData 10 4" xfId="8932" xr:uid="{C89D7C45-3723-409D-8CED-2D1E142345F8}"/>
    <cellStyle name="SAPBEXaggData 10 4 2" xfId="20475" xr:uid="{155EBA44-FD07-4B21-9EF1-658707274BA5}"/>
    <cellStyle name="SAPBEXaggData 10 5" xfId="8933" xr:uid="{27804AA1-0C15-45F1-AE36-7041DB13A982}"/>
    <cellStyle name="SAPBEXaggData 10 5 2" xfId="20476" xr:uid="{369F1593-8BB4-46AE-A2F3-B2929FE8D491}"/>
    <cellStyle name="SAPBEXaggData 10 6" xfId="8934" xr:uid="{DEC439E1-4985-48AA-B725-12196A68FC1F}"/>
    <cellStyle name="SAPBEXaggData 10 6 2" xfId="20477" xr:uid="{2FCCFF80-F611-45AD-ADFD-2DCE32AE449D}"/>
    <cellStyle name="SAPBEXaggData 10 7" xfId="20468" xr:uid="{E9953036-12AF-4BE6-9C6B-AECE36FEA6F3}"/>
    <cellStyle name="SAPBEXaggData 11" xfId="8935" xr:uid="{0C9E4893-0352-4CF5-A460-7AD1B3BB3D8B}"/>
    <cellStyle name="SAPBEXaggData 11 2" xfId="8936" xr:uid="{67E45C02-EE3E-4832-BEE7-C8C3EE1308F9}"/>
    <cellStyle name="SAPBEXaggData 11 2 2" xfId="8937" xr:uid="{9E337659-CB2F-4F82-843F-5EB6CCC8136E}"/>
    <cellStyle name="SAPBEXaggData 11 2 2 2" xfId="20480" xr:uid="{99D2055B-13DC-4534-8493-288AFA4245FB}"/>
    <cellStyle name="SAPBEXaggData 11 2 3" xfId="8938" xr:uid="{287CBE41-2F20-42FA-BC11-534B0EDDBBD8}"/>
    <cellStyle name="SAPBEXaggData 11 2 3 2" xfId="20481" xr:uid="{3842A675-DEA3-4E1A-B1BE-8D5F2D8554C4}"/>
    <cellStyle name="SAPBEXaggData 11 2 4" xfId="8939" xr:uid="{FD38113F-F6F5-479A-80A4-0518BE4BC7CE}"/>
    <cellStyle name="SAPBEXaggData 11 2 4 2" xfId="20482" xr:uid="{67D6F7C6-3899-4B91-9710-5098783B0DE8}"/>
    <cellStyle name="SAPBEXaggData 11 2 5" xfId="8940" xr:uid="{B6E0687F-F95C-449D-8311-DCB05F61D9B8}"/>
    <cellStyle name="SAPBEXaggData 11 2 5 2" xfId="20483" xr:uid="{D269E1F4-1EEF-4B6C-8D8C-77DE3B4C5746}"/>
    <cellStyle name="SAPBEXaggData 11 2 6" xfId="20479" xr:uid="{0903B6EF-DFF8-44A7-A52F-1D8B03EBE2B4}"/>
    <cellStyle name="SAPBEXaggData 11 3" xfId="8941" xr:uid="{B3642228-627F-4206-9E23-2A06C8998279}"/>
    <cellStyle name="SAPBEXaggData 11 3 2" xfId="20484" xr:uid="{9828FB10-19E0-4424-AC02-E57F345E8411}"/>
    <cellStyle name="SAPBEXaggData 11 4" xfId="8942" xr:uid="{0DB2B1E4-663C-4ED2-99DD-86D4E2034D93}"/>
    <cellStyle name="SAPBEXaggData 11 4 2" xfId="20485" xr:uid="{D8261324-30BA-4FDC-AAF7-8AB04400DC2D}"/>
    <cellStyle name="SAPBEXaggData 11 5" xfId="8943" xr:uid="{784EDD18-C7A3-42AC-A7CF-89ADB4FC7C6D}"/>
    <cellStyle name="SAPBEXaggData 11 5 2" xfId="20486" xr:uid="{EF964AD9-DCA9-4858-B31E-A9FAA798A613}"/>
    <cellStyle name="SAPBEXaggData 11 6" xfId="8944" xr:uid="{38CB6D23-7C30-400F-B914-3DDA95E53080}"/>
    <cellStyle name="SAPBEXaggData 11 6 2" xfId="20487" xr:uid="{F3311178-7FE8-4CE0-9167-9EC3DD7117F5}"/>
    <cellStyle name="SAPBEXaggData 11 7" xfId="20478" xr:uid="{99A81007-EBEB-465C-AABF-199DE26DCAA4}"/>
    <cellStyle name="SAPBEXaggData 12" xfId="8945" xr:uid="{B37CDCF5-0BAC-48F2-99EA-A6BEBD454EEB}"/>
    <cellStyle name="SAPBEXaggData 12 2" xfId="8946" xr:uid="{37347A45-23FC-48CD-8FC6-6F4FA64F8C38}"/>
    <cellStyle name="SAPBEXaggData 12 2 2" xfId="8947" xr:uid="{75CD856F-5C7A-451B-8609-82FB0BF146CC}"/>
    <cellStyle name="SAPBEXaggData 12 2 2 2" xfId="20490" xr:uid="{66A76728-8C59-4808-9ED7-109AE0BBE47E}"/>
    <cellStyle name="SAPBEXaggData 12 2 3" xfId="8948" xr:uid="{500E1630-6DB7-449C-97D9-9F6C98741942}"/>
    <cellStyle name="SAPBEXaggData 12 2 3 2" xfId="20491" xr:uid="{6F5F9851-E3EB-4722-9EE4-3069F61A2499}"/>
    <cellStyle name="SAPBEXaggData 12 2 4" xfId="8949" xr:uid="{9F68824F-BF4B-4638-BEBC-BE37AF9E50F4}"/>
    <cellStyle name="SAPBEXaggData 12 2 4 2" xfId="20492" xr:uid="{35D7FAE7-A01C-43DC-BD83-50BE670029C4}"/>
    <cellStyle name="SAPBEXaggData 12 2 5" xfId="8950" xr:uid="{1DAD3CA8-51FF-4315-A632-14E6A24B9756}"/>
    <cellStyle name="SAPBEXaggData 12 2 5 2" xfId="20493" xr:uid="{E95FA295-9F96-4AA4-972B-F3CD7AF0E66A}"/>
    <cellStyle name="SAPBEXaggData 12 2 6" xfId="20489" xr:uid="{0BB38CC2-75B0-497D-A2D6-A089C28EF3E9}"/>
    <cellStyle name="SAPBEXaggData 12 3" xfId="8951" xr:uid="{DE7BEB8A-0737-4687-B962-4E187671B948}"/>
    <cellStyle name="SAPBEXaggData 12 3 2" xfId="20494" xr:uid="{8BA41DDF-D6B7-4AFC-952A-43823B77FD8E}"/>
    <cellStyle name="SAPBEXaggData 12 4" xfId="8952" xr:uid="{147AF47F-20A8-40A0-A55B-065D504A1354}"/>
    <cellStyle name="SAPBEXaggData 12 4 2" xfId="20495" xr:uid="{1D5113BA-1FB7-4E17-A6A4-B52E87F6599D}"/>
    <cellStyle name="SAPBEXaggData 12 5" xfId="8953" xr:uid="{DD00F7E3-8D4B-45F4-90CB-1B064C73A1B0}"/>
    <cellStyle name="SAPBEXaggData 12 5 2" xfId="20496" xr:uid="{BCF89A10-FB3D-4A09-8A99-05C443A23B78}"/>
    <cellStyle name="SAPBEXaggData 12 6" xfId="8954" xr:uid="{71AB4351-466E-4F32-B3A2-AA3463EBE256}"/>
    <cellStyle name="SAPBEXaggData 12 6 2" xfId="20497" xr:uid="{4C848E95-6622-4A20-9ADC-C37E20214750}"/>
    <cellStyle name="SAPBEXaggData 12 7" xfId="20488" xr:uid="{85C50FBF-752B-45E8-A189-CD1C02D19210}"/>
    <cellStyle name="SAPBEXaggData 13" xfId="8955" xr:uid="{4D36F8E9-0462-47F1-8E18-A397BD0C423B}"/>
    <cellStyle name="SAPBEXaggData 13 2" xfId="8956" xr:uid="{AE99DE8D-36CA-4DC6-A61A-86C86F613E79}"/>
    <cellStyle name="SAPBEXaggData 13 2 2" xfId="8957" xr:uid="{8A4B2801-FF23-47B5-B0D0-F49D0523101B}"/>
    <cellStyle name="SAPBEXaggData 13 2 2 2" xfId="20500" xr:uid="{BF322ABD-88B0-4133-81C7-A971C3CFC9ED}"/>
    <cellStyle name="SAPBEXaggData 13 2 3" xfId="8958" xr:uid="{41D285B6-5410-4893-BC35-8C5FE5B0504E}"/>
    <cellStyle name="SAPBEXaggData 13 2 3 2" xfId="20501" xr:uid="{756AB4C9-A58F-4137-8B50-A9B82197985A}"/>
    <cellStyle name="SAPBEXaggData 13 2 4" xfId="8959" xr:uid="{5072BE7B-F81D-45B5-BFD4-4B67C29C43CE}"/>
    <cellStyle name="SAPBEXaggData 13 2 4 2" xfId="20502" xr:uid="{D550EA71-DC61-4027-9DB5-5D28EC891D3A}"/>
    <cellStyle name="SAPBEXaggData 13 2 5" xfId="8960" xr:uid="{1065D80E-7650-46FB-877C-A66DF6C0B734}"/>
    <cellStyle name="SAPBEXaggData 13 2 5 2" xfId="20503" xr:uid="{100303C8-2DC7-4101-8F85-F890C41493AC}"/>
    <cellStyle name="SAPBEXaggData 13 2 6" xfId="20499" xr:uid="{327DD217-B9BA-4E01-8DB5-0E06B894036B}"/>
    <cellStyle name="SAPBEXaggData 13 3" xfId="8961" xr:uid="{292FF5CA-AF38-49F2-918D-8E43C1391931}"/>
    <cellStyle name="SAPBEXaggData 13 3 2" xfId="20504" xr:uid="{EFD1D8D7-D5CC-4E41-A393-45FC2C05506B}"/>
    <cellStyle name="SAPBEXaggData 13 4" xfId="8962" xr:uid="{1F52EEB9-2A5A-493E-8489-AE45902FF46E}"/>
    <cellStyle name="SAPBEXaggData 13 4 2" xfId="20505" xr:uid="{6A630DAB-6A7A-4484-BED8-9B990685202F}"/>
    <cellStyle name="SAPBEXaggData 13 5" xfId="8963" xr:uid="{A726D6FC-C237-4C6A-AA9C-02832FF7FD2D}"/>
    <cellStyle name="SAPBEXaggData 13 5 2" xfId="20506" xr:uid="{78BFF71B-B7BD-4B27-B1EA-BA6B21932168}"/>
    <cellStyle name="SAPBEXaggData 13 6" xfId="8964" xr:uid="{0B9692DC-6F6E-415E-BAE7-D1FDE042F95E}"/>
    <cellStyle name="SAPBEXaggData 13 6 2" xfId="20507" xr:uid="{3489C5A2-829E-40CD-8DF1-38123EE6D974}"/>
    <cellStyle name="SAPBEXaggData 13 7" xfId="20498" xr:uid="{0D3BF21A-73F9-4A84-8A49-0E4D985215BE}"/>
    <cellStyle name="SAPBEXaggData 14" xfId="8965" xr:uid="{AF9B064E-23F2-4F72-BEC1-8F7F85D3437C}"/>
    <cellStyle name="SAPBEXaggData 14 2" xfId="8966" xr:uid="{7171DC05-F678-490C-B5B8-AED26A79DC60}"/>
    <cellStyle name="SAPBEXaggData 14 2 2" xfId="8967" xr:uid="{B4A30B1B-5BB9-410A-8FD2-8DD413902287}"/>
    <cellStyle name="SAPBEXaggData 14 2 2 2" xfId="20510" xr:uid="{3B747AC9-94D0-4E99-A232-E079CEB4050F}"/>
    <cellStyle name="SAPBEXaggData 14 2 3" xfId="8968" xr:uid="{389AD951-AD88-4D46-8E0F-49570C36A89D}"/>
    <cellStyle name="SAPBEXaggData 14 2 3 2" xfId="20511" xr:uid="{8EE1C775-8813-428D-AC3D-9ACA4D8D3C4D}"/>
    <cellStyle name="SAPBEXaggData 14 2 4" xfId="8969" xr:uid="{036BB91F-27C5-420A-9F59-9B29A648E1F6}"/>
    <cellStyle name="SAPBEXaggData 14 2 4 2" xfId="20512" xr:uid="{99C6F0E7-C0E0-4616-8929-FF0E104C7E10}"/>
    <cellStyle name="SAPBEXaggData 14 2 5" xfId="8970" xr:uid="{7A30DC0C-F63A-4770-9793-6C91756F68AB}"/>
    <cellStyle name="SAPBEXaggData 14 2 5 2" xfId="20513" xr:uid="{F2958939-1D0F-4C9D-A219-23342E2F726A}"/>
    <cellStyle name="SAPBEXaggData 14 2 6" xfId="20509" xr:uid="{2FBA4529-4282-4ADE-BE24-1546F2251125}"/>
    <cellStyle name="SAPBEXaggData 14 3" xfId="8971" xr:uid="{59EC0F35-2C11-482D-A1EE-4DE57D4FAA7D}"/>
    <cellStyle name="SAPBEXaggData 14 3 2" xfId="20514" xr:uid="{9445B978-97C8-46A2-836B-ACEBB7189D24}"/>
    <cellStyle name="SAPBEXaggData 14 4" xfId="8972" xr:uid="{E0C09C47-F536-4F52-BEC7-C499516DEE93}"/>
    <cellStyle name="SAPBEXaggData 14 4 2" xfId="20515" xr:uid="{ABA0EAE1-073D-484F-A4DF-A3010CB915FE}"/>
    <cellStyle name="SAPBEXaggData 14 5" xfId="8973" xr:uid="{C6B45EF8-CE9E-420F-983C-61B78DE02AA7}"/>
    <cellStyle name="SAPBEXaggData 14 5 2" xfId="20516" xr:uid="{7E781D93-9303-4BC5-B5B7-FAB51E354A9D}"/>
    <cellStyle name="SAPBEXaggData 14 6" xfId="8974" xr:uid="{4569ECF7-E143-4983-8214-A7A43716197E}"/>
    <cellStyle name="SAPBEXaggData 14 6 2" xfId="20517" xr:uid="{97F05A01-81AA-4E09-84CB-309AF0B7757B}"/>
    <cellStyle name="SAPBEXaggData 14 7" xfId="20508" xr:uid="{11ABA1FD-9862-45C8-92F6-C60F5327CDE9}"/>
    <cellStyle name="SAPBEXaggData 15" xfId="8975" xr:uid="{5EDFC09D-E9F8-4807-A24E-B2F38160C5C9}"/>
    <cellStyle name="SAPBEXaggData 15 2" xfId="8976" xr:uid="{EF689FD5-FE19-445C-96A7-931AB78C39CD}"/>
    <cellStyle name="SAPBEXaggData 15 2 2" xfId="8977" xr:uid="{D0D7DE7E-AD82-47B4-ACD8-969A637D699C}"/>
    <cellStyle name="SAPBEXaggData 15 2 2 2" xfId="20520" xr:uid="{389E6BB6-A77A-434F-8B11-6B836907EE83}"/>
    <cellStyle name="SAPBEXaggData 15 2 3" xfId="8978" xr:uid="{C1A5140B-E0F5-45E4-AAC6-531E43DB9EDC}"/>
    <cellStyle name="SAPBEXaggData 15 2 3 2" xfId="20521" xr:uid="{73138F15-490E-46DB-B31C-9D1C4C56F1C4}"/>
    <cellStyle name="SAPBEXaggData 15 2 4" xfId="8979" xr:uid="{40C6E9B7-B866-4F84-BDDF-2907828CAD97}"/>
    <cellStyle name="SAPBEXaggData 15 2 4 2" xfId="20522" xr:uid="{E389A4E4-2D59-4142-966C-5240BB499E19}"/>
    <cellStyle name="SAPBEXaggData 15 2 5" xfId="8980" xr:uid="{0E618187-C7E9-406E-857E-3E8F3A70CEF8}"/>
    <cellStyle name="SAPBEXaggData 15 2 5 2" xfId="20523" xr:uid="{1CDA75E4-8A4C-46B0-A0E3-6F760D39BA26}"/>
    <cellStyle name="SAPBEXaggData 15 2 6" xfId="20519" xr:uid="{4D82D577-8C97-45DA-A103-A6DAE7337CEC}"/>
    <cellStyle name="SAPBEXaggData 15 3" xfId="8981" xr:uid="{1A10F39F-055B-445A-A6B1-A0B604B2A96F}"/>
    <cellStyle name="SAPBEXaggData 15 3 2" xfId="20524" xr:uid="{B4F65AEB-082D-4A35-BB63-24A8EFA70BF3}"/>
    <cellStyle name="SAPBEXaggData 15 4" xfId="8982" xr:uid="{9617E36C-0F2E-4CCC-A422-A23BB3927923}"/>
    <cellStyle name="SAPBEXaggData 15 4 2" xfId="20525" xr:uid="{8AF4EEFC-D8DF-4087-88BA-A4B1F6C6EDBE}"/>
    <cellStyle name="SAPBEXaggData 15 5" xfId="8983" xr:uid="{67D03195-D879-4EC3-AE41-3573DEE3FA35}"/>
    <cellStyle name="SAPBEXaggData 15 5 2" xfId="20526" xr:uid="{07C42CBA-B1F0-45DC-AC66-090CEAC2DD59}"/>
    <cellStyle name="SAPBEXaggData 15 6" xfId="8984" xr:uid="{21CDE445-D121-4306-8BB6-2A9F78120CB1}"/>
    <cellStyle name="SAPBEXaggData 15 6 2" xfId="20527" xr:uid="{5F8CB849-8E7A-453A-A43F-CAFF7F30206D}"/>
    <cellStyle name="SAPBEXaggData 15 7" xfId="20518" xr:uid="{22E18E4F-8D91-4BDD-A7BF-6FEBE6E7E898}"/>
    <cellStyle name="SAPBEXaggData 16" xfId="8985" xr:uid="{098E6AEC-B5AE-4CC2-BC01-F34EA933A4A3}"/>
    <cellStyle name="SAPBEXaggData 16 2" xfId="20528" xr:uid="{1D1F0FB5-9A7B-4FE0-8836-E2C6640A8DFE}"/>
    <cellStyle name="SAPBEXaggData 17" xfId="8986" xr:uid="{011B40DA-5FBD-4381-B1C4-943F871D4090}"/>
    <cellStyle name="SAPBEXaggData 17 2" xfId="20529" xr:uid="{CE2DA3C5-B3D7-4BCA-A6E1-1F555CA39320}"/>
    <cellStyle name="SAPBEXaggData 18" xfId="8987" xr:uid="{BDAF64D8-C996-4A79-96FA-A6E7324E71E0}"/>
    <cellStyle name="SAPBEXaggData 18 2" xfId="20530" xr:uid="{302DF1F5-F948-47E0-9EC0-B834B7F7DC8B}"/>
    <cellStyle name="SAPBEXaggData 19" xfId="8988" xr:uid="{9CBA55FE-6AE2-4F16-8A57-F996D0A4AE6B}"/>
    <cellStyle name="SAPBEXaggData 19 2" xfId="20531" xr:uid="{7E7BFCB3-3C27-4978-A04E-B6AB4B62487B}"/>
    <cellStyle name="SAPBEXaggData 2" xfId="8989" xr:uid="{65BF18BE-3424-4FD0-8B74-A67CDA6948F8}"/>
    <cellStyle name="SAPBEXaggData 2 2" xfId="8990" xr:uid="{AE010015-B304-4CC2-A33E-813A18525ED2}"/>
    <cellStyle name="SAPBEXaggData 2 2 2" xfId="8991" xr:uid="{D07D25E1-1A95-41A1-8507-7DFBC4B55860}"/>
    <cellStyle name="SAPBEXaggData 2 2 2 2" xfId="20534" xr:uid="{4A44D897-666C-4E36-9B83-EB3315831ED3}"/>
    <cellStyle name="SAPBEXaggData 2 2 3" xfId="8992" xr:uid="{9105A2B8-7DE9-4A6A-A2FC-543EA6CB9D24}"/>
    <cellStyle name="SAPBEXaggData 2 2 3 2" xfId="20535" xr:uid="{F63A6BD9-FF37-4371-89E6-917647A33BDB}"/>
    <cellStyle name="SAPBEXaggData 2 2 4" xfId="8993" xr:uid="{BC0C90CC-C971-4F16-94ED-10BBB4F37C80}"/>
    <cellStyle name="SAPBEXaggData 2 2 4 2" xfId="20536" xr:uid="{06A23D0A-9A57-4F7C-ABF1-4EA6F3880B3E}"/>
    <cellStyle name="SAPBEXaggData 2 2 5" xfId="8994" xr:uid="{F437CCF7-3BE5-4CE4-A113-1871237EA8BD}"/>
    <cellStyle name="SAPBEXaggData 2 2 5 2" xfId="20537" xr:uid="{81437A67-22B3-4554-9ED2-22D9FBE9CFD4}"/>
    <cellStyle name="SAPBEXaggData 2 2 6" xfId="20533" xr:uid="{FDE237BA-FE20-4C8A-B573-804FB279AF64}"/>
    <cellStyle name="SAPBEXaggData 2 3" xfId="8995" xr:uid="{44A76975-4DFF-41B3-BA70-F9C52C401670}"/>
    <cellStyle name="SAPBEXaggData 2 3 2" xfId="20538" xr:uid="{D74DBAAB-6791-4A72-A75C-DA8C6C03F7B2}"/>
    <cellStyle name="SAPBEXaggData 2 4" xfId="8996" xr:uid="{3DD1EFD7-29CC-4CDD-9D3C-779512EA453E}"/>
    <cellStyle name="SAPBEXaggData 2 4 2" xfId="20539" xr:uid="{8DCD1EAD-E650-4CA2-9250-FFED33AD79A8}"/>
    <cellStyle name="SAPBEXaggData 2 5" xfId="8997" xr:uid="{4D50E597-B6BF-4D15-8584-F03F862E46E3}"/>
    <cellStyle name="SAPBEXaggData 2 5 2" xfId="20540" xr:uid="{42521C45-6E87-4EDC-BDBF-266DCB84C516}"/>
    <cellStyle name="SAPBEXaggData 2 6" xfId="8998" xr:uid="{549FB1EA-74F8-42D8-8DAA-0F4199FEB539}"/>
    <cellStyle name="SAPBEXaggData 2 6 2" xfId="20541" xr:uid="{DCC2D4C0-CFE3-46B0-BDEE-4F9CA5DBD5F0}"/>
    <cellStyle name="SAPBEXaggData 2 7" xfId="20532" xr:uid="{DB7B7621-48FF-476E-AE79-4FF21D6D252D}"/>
    <cellStyle name="SAPBEXaggData 20" xfId="15160" xr:uid="{B57D326B-2E7A-4872-94DF-E55B2B7AEDC5}"/>
    <cellStyle name="SAPBEXaggData 3" xfId="8999" xr:uid="{C14E9267-33F4-4317-AA22-B93F4FE6FD12}"/>
    <cellStyle name="SAPBEXaggData 3 2" xfId="9000" xr:uid="{0D405CA1-B0BE-46E0-B049-0B2C52DFF11A}"/>
    <cellStyle name="SAPBEXaggData 3 2 2" xfId="9001" xr:uid="{5CAAD59D-FF72-4CB3-817A-2A7207062800}"/>
    <cellStyle name="SAPBEXaggData 3 2 2 2" xfId="20544" xr:uid="{DA7ED5CD-4625-4ABF-A5AF-617355A050F9}"/>
    <cellStyle name="SAPBEXaggData 3 2 3" xfId="9002" xr:uid="{A8AAF3C1-6137-4EED-A8EF-6B1A5692ACB1}"/>
    <cellStyle name="SAPBEXaggData 3 2 3 2" xfId="20545" xr:uid="{8D6DE62B-6F15-4C7B-BD6D-2BAAA785D19E}"/>
    <cellStyle name="SAPBEXaggData 3 2 4" xfId="9003" xr:uid="{42E68029-7656-4BD9-B245-8502A09E8587}"/>
    <cellStyle name="SAPBEXaggData 3 2 4 2" xfId="20546" xr:uid="{36036AAF-37BE-45D5-AB2F-CF7B4982A28D}"/>
    <cellStyle name="SAPBEXaggData 3 2 5" xfId="9004" xr:uid="{21A775F6-F376-4F7F-82C0-53AA7FC7A97B}"/>
    <cellStyle name="SAPBEXaggData 3 2 5 2" xfId="20547" xr:uid="{E56E7E77-1E92-4C8F-8BBB-9C332C7FB26E}"/>
    <cellStyle name="SAPBEXaggData 3 2 6" xfId="20543" xr:uid="{06122D69-C718-4F2A-A393-BD99F609842B}"/>
    <cellStyle name="SAPBEXaggData 3 3" xfId="9005" xr:uid="{94DB0D1E-9652-452D-8557-5EEA992FA5EB}"/>
    <cellStyle name="SAPBEXaggData 3 3 2" xfId="20548" xr:uid="{E83B5982-D8AE-4AD5-870E-4E29520662C9}"/>
    <cellStyle name="SAPBEXaggData 3 4" xfId="9006" xr:uid="{66D7E35A-339F-4B6A-A934-97DC63913E93}"/>
    <cellStyle name="SAPBEXaggData 3 4 2" xfId="20549" xr:uid="{82636228-F1FF-4C43-93A8-294520D2187F}"/>
    <cellStyle name="SAPBEXaggData 3 5" xfId="9007" xr:uid="{89E19BFE-608E-4493-AD3F-A8F89C9CFE05}"/>
    <cellStyle name="SAPBEXaggData 3 5 2" xfId="20550" xr:uid="{DCAD697E-D42E-4E43-96D2-F55B9CA64532}"/>
    <cellStyle name="SAPBEXaggData 3 6" xfId="9008" xr:uid="{54227ADD-852F-4D13-A79C-6EB0F2862C55}"/>
    <cellStyle name="SAPBEXaggData 3 6 2" xfId="20551" xr:uid="{224EA7BB-0F5E-48EE-A6BA-A3CB9B97AFC2}"/>
    <cellStyle name="SAPBEXaggData 3 7" xfId="20542" xr:uid="{AE9D850B-6036-4807-8A3C-A187606ACF9B}"/>
    <cellStyle name="SAPBEXaggData 4" xfId="9009" xr:uid="{FE0E29FE-FC1C-43EF-93C9-A6D171219E92}"/>
    <cellStyle name="SAPBEXaggData 4 2" xfId="9010" xr:uid="{98FC49D3-E530-4B17-95CB-02D818B560E1}"/>
    <cellStyle name="SAPBEXaggData 4 2 2" xfId="9011" xr:uid="{5D7E9004-4316-43BA-A4DC-352BF3359D37}"/>
    <cellStyle name="SAPBEXaggData 4 2 2 2" xfId="20554" xr:uid="{76C01E90-96F0-4877-ACCF-65A6F56A1D6A}"/>
    <cellStyle name="SAPBEXaggData 4 2 3" xfId="9012" xr:uid="{5E08C0B2-D6A3-44FB-A767-C3E8C72F1E15}"/>
    <cellStyle name="SAPBEXaggData 4 2 3 2" xfId="20555" xr:uid="{3642BDA3-10E7-4C2C-A348-148457B47787}"/>
    <cellStyle name="SAPBEXaggData 4 2 4" xfId="9013" xr:uid="{A51480C4-F783-4A63-8765-B16B212B0DA4}"/>
    <cellStyle name="SAPBEXaggData 4 2 4 2" xfId="20556" xr:uid="{9EDCEF6D-DAD5-454C-B4FB-DCCC207885E7}"/>
    <cellStyle name="SAPBEXaggData 4 2 5" xfId="9014" xr:uid="{D9DE543D-9C36-43D7-9BE0-34C133547C11}"/>
    <cellStyle name="SAPBEXaggData 4 2 5 2" xfId="20557" xr:uid="{68E74F7C-1A1B-47BA-B3DC-7D4C33B5FC48}"/>
    <cellStyle name="SAPBEXaggData 4 2 6" xfId="20553" xr:uid="{9A2214CB-7544-4CA6-8A0F-3BF82F889AD3}"/>
    <cellStyle name="SAPBEXaggData 4 3" xfId="9015" xr:uid="{487E4252-D164-4BAD-9EA7-CE28CE063934}"/>
    <cellStyle name="SAPBEXaggData 4 3 2" xfId="20558" xr:uid="{AD58D1CD-F2FD-4702-B04B-9355D4AFC57E}"/>
    <cellStyle name="SAPBEXaggData 4 4" xfId="9016" xr:uid="{1AF1090A-2EF9-485D-822A-35AAEA88E02B}"/>
    <cellStyle name="SAPBEXaggData 4 4 2" xfId="20559" xr:uid="{2CA9900F-AB03-4B76-80A8-FFEA67775DB8}"/>
    <cellStyle name="SAPBEXaggData 4 5" xfId="9017" xr:uid="{8FC33A00-5730-48BC-A5EC-01D64C4D0BA5}"/>
    <cellStyle name="SAPBEXaggData 4 5 2" xfId="20560" xr:uid="{60152016-1A8A-4CE1-BB75-EBCFD666FB79}"/>
    <cellStyle name="SAPBEXaggData 4 6" xfId="9018" xr:uid="{2B5F22BF-1E10-4558-99A7-C07E8E45BD30}"/>
    <cellStyle name="SAPBEXaggData 4 6 2" xfId="20561" xr:uid="{F11349C7-2A42-4B46-A7E7-0F95EB9184A2}"/>
    <cellStyle name="SAPBEXaggData 4 7" xfId="20552" xr:uid="{4B0C7ADC-D738-43E6-B93D-9B4F056334E5}"/>
    <cellStyle name="SAPBEXaggData 5" xfId="9019" xr:uid="{80F64998-3842-4D09-91B5-8A12C8EF796E}"/>
    <cellStyle name="SAPBEXaggData 5 2" xfId="9020" xr:uid="{4F2DD084-16D4-4A39-A11F-A8FE510E9DD3}"/>
    <cellStyle name="SAPBEXaggData 5 2 2" xfId="9021" xr:uid="{F7AF8A58-B200-4957-B3D5-8BDE99BB6E10}"/>
    <cellStyle name="SAPBEXaggData 5 2 2 2" xfId="20564" xr:uid="{305EB0DC-1542-4B1C-8B24-98F8264E2374}"/>
    <cellStyle name="SAPBEXaggData 5 2 3" xfId="9022" xr:uid="{9E27635A-8579-4810-9F4C-69E45F27E590}"/>
    <cellStyle name="SAPBEXaggData 5 2 3 2" xfId="20565" xr:uid="{0B5A753A-E3B3-4679-81D9-40A6A2868776}"/>
    <cellStyle name="SAPBEXaggData 5 2 4" xfId="9023" xr:uid="{9FDB6D2F-9E4E-4EEC-BA41-270BB57C8512}"/>
    <cellStyle name="SAPBEXaggData 5 2 4 2" xfId="20566" xr:uid="{AEFC1CFE-8AE3-4B17-8CE6-24162CCE6282}"/>
    <cellStyle name="SAPBEXaggData 5 2 5" xfId="9024" xr:uid="{838E17CF-C9ED-4E9B-A4D0-CC87345E3BF5}"/>
    <cellStyle name="SAPBEXaggData 5 2 5 2" xfId="20567" xr:uid="{2CD8B928-3A60-48CB-9DB1-104EC90F7610}"/>
    <cellStyle name="SAPBEXaggData 5 2 6" xfId="20563" xr:uid="{B6B30794-0D8C-43C1-9380-6E3B0C737E6A}"/>
    <cellStyle name="SAPBEXaggData 5 3" xfId="9025" xr:uid="{0DA9D983-09D4-4C30-A80E-A840AD24260A}"/>
    <cellStyle name="SAPBEXaggData 5 3 2" xfId="20568" xr:uid="{A780A154-4B9A-40BD-875F-A7CB2A8264DF}"/>
    <cellStyle name="SAPBEXaggData 5 4" xfId="9026" xr:uid="{0919711E-9908-4F6C-A0AD-C21BE3BC1343}"/>
    <cellStyle name="SAPBEXaggData 5 4 2" xfId="20569" xr:uid="{5BEE2D4A-D680-4C87-96FC-62703271F5A4}"/>
    <cellStyle name="SAPBEXaggData 5 5" xfId="9027" xr:uid="{410D1E14-8D22-4C04-BCC6-DCA4B70318B1}"/>
    <cellStyle name="SAPBEXaggData 5 5 2" xfId="20570" xr:uid="{78E77EE4-8BA1-41FF-A3CA-374F9A063B57}"/>
    <cellStyle name="SAPBEXaggData 5 6" xfId="9028" xr:uid="{94EC03F0-48A2-4EB9-87DF-B7EDF1E87546}"/>
    <cellStyle name="SAPBEXaggData 5 6 2" xfId="20571" xr:uid="{32C368FD-2347-4D53-960F-580F4CB2644F}"/>
    <cellStyle name="SAPBEXaggData 5 7" xfId="20562" xr:uid="{337D421B-29A4-49E6-A1F1-0FA04B818CD3}"/>
    <cellStyle name="SAPBEXaggData 6" xfId="9029" xr:uid="{74ABBECE-7B44-4CEB-B840-2AB0D038AE67}"/>
    <cellStyle name="SAPBEXaggData 6 2" xfId="9030" xr:uid="{71F9BF5B-B33D-457E-8434-64D254FEB172}"/>
    <cellStyle name="SAPBEXaggData 6 2 2" xfId="9031" xr:uid="{F768351C-863E-4BC5-B726-AF32E31DEFBE}"/>
    <cellStyle name="SAPBEXaggData 6 2 2 2" xfId="20574" xr:uid="{7387C21D-40BC-4E13-B9BA-9EAD350DA69C}"/>
    <cellStyle name="SAPBEXaggData 6 2 3" xfId="9032" xr:uid="{D5BA0839-B57E-449E-9BB2-6DE9EF5B25C2}"/>
    <cellStyle name="SAPBEXaggData 6 2 3 2" xfId="20575" xr:uid="{21F19E8A-FC49-4CF2-B16D-557A87C69341}"/>
    <cellStyle name="SAPBEXaggData 6 2 4" xfId="9033" xr:uid="{8FFCDC96-6B52-4A08-B045-5B6F0B3264AA}"/>
    <cellStyle name="SAPBEXaggData 6 2 4 2" xfId="20576" xr:uid="{AEE98C6D-047F-4533-BB45-375E1C3AE95C}"/>
    <cellStyle name="SAPBEXaggData 6 2 5" xfId="9034" xr:uid="{00303445-02FA-4528-802F-CC0F5C03B4D0}"/>
    <cellStyle name="SAPBEXaggData 6 2 5 2" xfId="20577" xr:uid="{B60AECE5-342F-4ACF-B34A-29DDA3479F51}"/>
    <cellStyle name="SAPBEXaggData 6 2 6" xfId="20573" xr:uid="{BB0C72B2-7D69-4202-A09D-9C101772E066}"/>
    <cellStyle name="SAPBEXaggData 6 3" xfId="9035" xr:uid="{86F352D9-77E4-439C-A5BD-D9947A4B2AFC}"/>
    <cellStyle name="SAPBEXaggData 6 3 2" xfId="20578" xr:uid="{9AE55A46-8689-4C7C-AA95-0A16381845B9}"/>
    <cellStyle name="SAPBEXaggData 6 4" xfId="9036" xr:uid="{D2EF05A0-7F12-40D0-BB49-F8051650FDAF}"/>
    <cellStyle name="SAPBEXaggData 6 4 2" xfId="20579" xr:uid="{AFB12F7D-FAF7-43F2-B19E-50659FBA7092}"/>
    <cellStyle name="SAPBEXaggData 6 5" xfId="9037" xr:uid="{EF42CA1B-AA5D-4E52-B26F-3332835F9A48}"/>
    <cellStyle name="SAPBEXaggData 6 5 2" xfId="20580" xr:uid="{9FEDEB64-8B85-4C18-A1F2-08E393C3E9C3}"/>
    <cellStyle name="SAPBEXaggData 6 6" xfId="9038" xr:uid="{4FED987D-1CF1-4BA1-970E-48A063694A28}"/>
    <cellStyle name="SAPBEXaggData 6 6 2" xfId="20581" xr:uid="{7297DA29-014D-404E-99FC-BA47F96345B2}"/>
    <cellStyle name="SAPBEXaggData 6 7" xfId="20572" xr:uid="{53E50A33-9787-49A2-8020-0334B48F00FB}"/>
    <cellStyle name="SAPBEXaggData 7" xfId="9039" xr:uid="{8B278C10-4DA4-4BC1-84EF-B4B67C983D80}"/>
    <cellStyle name="SAPBEXaggData 7 2" xfId="9040" xr:uid="{5E8610D3-E048-409D-9E17-6D3CAE111EC9}"/>
    <cellStyle name="SAPBEXaggData 7 2 2" xfId="9041" xr:uid="{0EE0F9CC-E70C-4A7E-B23C-10FF3BBEC6B2}"/>
    <cellStyle name="SAPBEXaggData 7 2 2 2" xfId="20584" xr:uid="{B23C3CD8-5C24-4B57-B973-9DB839715FBE}"/>
    <cellStyle name="SAPBEXaggData 7 2 3" xfId="9042" xr:uid="{4464925D-466E-4225-806A-51977EBAD465}"/>
    <cellStyle name="SAPBEXaggData 7 2 3 2" xfId="20585" xr:uid="{340E363F-D577-4E97-9374-0813D03D7447}"/>
    <cellStyle name="SAPBEXaggData 7 2 4" xfId="9043" xr:uid="{123AB28E-BD4D-4C51-B089-114E41C94A8A}"/>
    <cellStyle name="SAPBEXaggData 7 2 4 2" xfId="20586" xr:uid="{22AB2509-044B-45D3-8ED1-4A65B7C21E38}"/>
    <cellStyle name="SAPBEXaggData 7 2 5" xfId="9044" xr:uid="{BE8439AF-8663-4D55-8C3A-9029DC6280C2}"/>
    <cellStyle name="SAPBEXaggData 7 2 5 2" xfId="20587" xr:uid="{94325511-2688-4641-AF6D-4BFEF4E00FE2}"/>
    <cellStyle name="SAPBEXaggData 7 2 6" xfId="20583" xr:uid="{F1B7D156-7235-45F1-9E85-099974E2294E}"/>
    <cellStyle name="SAPBEXaggData 7 3" xfId="9045" xr:uid="{1DD881B2-5A79-44CE-95E3-AF79C7692253}"/>
    <cellStyle name="SAPBEXaggData 7 3 2" xfId="20588" xr:uid="{D19B22EC-CE2A-4F22-A393-DF6503B8A4E5}"/>
    <cellStyle name="SAPBEXaggData 7 4" xfId="9046" xr:uid="{AEE345A5-1DE9-42C9-A15B-5F1897EBE334}"/>
    <cellStyle name="SAPBEXaggData 7 4 2" xfId="20589" xr:uid="{33A859C1-AB68-467D-94AF-CA71E3F4E364}"/>
    <cellStyle name="SAPBEXaggData 7 5" xfId="9047" xr:uid="{04642CA2-2533-49A2-9E23-4A4B761EE462}"/>
    <cellStyle name="SAPBEXaggData 7 5 2" xfId="20590" xr:uid="{23419992-5A19-43E0-8111-B0785D27E3FB}"/>
    <cellStyle name="SAPBEXaggData 7 6" xfId="9048" xr:uid="{4F0E0654-16AE-43B5-932B-CA4EA0192F15}"/>
    <cellStyle name="SAPBEXaggData 7 6 2" xfId="20591" xr:uid="{1AF2D664-75CA-4718-B6BC-5B4DAABAFB12}"/>
    <cellStyle name="SAPBEXaggData 7 7" xfId="20582" xr:uid="{D04EB534-C032-4047-8D3A-9AE880661248}"/>
    <cellStyle name="SAPBEXaggData 8" xfId="9049" xr:uid="{E69C8C83-0D0D-4EEB-AB86-F41D9A5F5E8E}"/>
    <cellStyle name="SAPBEXaggData 8 2" xfId="9050" xr:uid="{2EBB58A5-52A8-4B22-97AA-986D547B2B25}"/>
    <cellStyle name="SAPBEXaggData 8 2 2" xfId="9051" xr:uid="{DFC3658F-9038-465B-9F70-9EF469938B50}"/>
    <cellStyle name="SAPBEXaggData 8 2 2 2" xfId="20594" xr:uid="{75331278-EB68-4E4C-95AA-BC4CB9E8A4EB}"/>
    <cellStyle name="SAPBEXaggData 8 2 3" xfId="9052" xr:uid="{B797878B-DEB7-4E60-88AE-CE086E13975B}"/>
    <cellStyle name="SAPBEXaggData 8 2 3 2" xfId="20595" xr:uid="{B84D38A7-C84F-45F9-9523-A7EED0681D58}"/>
    <cellStyle name="SAPBEXaggData 8 2 4" xfId="9053" xr:uid="{E830C571-0BF3-4A78-AAE1-FD8C60708828}"/>
    <cellStyle name="SAPBEXaggData 8 2 4 2" xfId="20596" xr:uid="{C8F923D1-D3C8-4620-8133-1D94A78EFBCF}"/>
    <cellStyle name="SAPBEXaggData 8 2 5" xfId="9054" xr:uid="{7834BDA6-4DC4-4623-8600-2F441F533149}"/>
    <cellStyle name="SAPBEXaggData 8 2 5 2" xfId="20597" xr:uid="{9557BA8E-917C-4AB6-9F31-6C5CE8B4516D}"/>
    <cellStyle name="SAPBEXaggData 8 2 6" xfId="20593" xr:uid="{7AC584CA-5D69-4BDD-B231-B450EB13DC12}"/>
    <cellStyle name="SAPBEXaggData 8 3" xfId="9055" xr:uid="{07B1F8F8-02D4-407A-8A90-752A6CF6B59E}"/>
    <cellStyle name="SAPBEXaggData 8 3 2" xfId="20598" xr:uid="{AA32CA4F-D7A4-467C-922F-A3C9BC667288}"/>
    <cellStyle name="SAPBEXaggData 8 4" xfId="9056" xr:uid="{C78A00CA-375E-4F72-B200-D4CF2ABCDA01}"/>
    <cellStyle name="SAPBEXaggData 8 4 2" xfId="20599" xr:uid="{E8E4729D-08DD-4842-A0EF-342F1564BD6C}"/>
    <cellStyle name="SAPBEXaggData 8 5" xfId="9057" xr:uid="{3FF3BEFC-A6C7-4D5D-A3CB-C2236FB36CB9}"/>
    <cellStyle name="SAPBEXaggData 8 5 2" xfId="20600" xr:uid="{29402081-897E-4F15-8175-15F314E3AEA4}"/>
    <cellStyle name="SAPBEXaggData 8 6" xfId="9058" xr:uid="{48CD92BB-73E2-4591-98BB-B5BD96ADB0A1}"/>
    <cellStyle name="SAPBEXaggData 8 6 2" xfId="20601" xr:uid="{483B80B9-03AF-4FDD-9849-80A29731D263}"/>
    <cellStyle name="SAPBEXaggData 8 7" xfId="20592" xr:uid="{AE7F85F4-50D6-41A0-A676-947551495A0F}"/>
    <cellStyle name="SAPBEXaggData 9" xfId="9059" xr:uid="{D1D3E9B3-E93B-4D0A-99A4-2D8B6030165D}"/>
    <cellStyle name="SAPBEXaggData 9 2" xfId="9060" xr:uid="{BE7286F5-9A2C-4EC1-83A0-A1F12FE11E18}"/>
    <cellStyle name="SAPBEXaggData 9 2 2" xfId="9061" xr:uid="{7C4EAAB7-0FA5-412F-AF3C-39EA9A71BA09}"/>
    <cellStyle name="SAPBEXaggData 9 2 2 2" xfId="20604" xr:uid="{4D9A5F52-DAA9-4387-8C52-14C8CE4C733E}"/>
    <cellStyle name="SAPBEXaggData 9 2 3" xfId="9062" xr:uid="{E22EDCA1-A0F8-4C3E-A48F-9D520A7D9006}"/>
    <cellStyle name="SAPBEXaggData 9 2 3 2" xfId="20605" xr:uid="{49812FCE-B841-4FFC-80A5-CA33D0963D26}"/>
    <cellStyle name="SAPBEXaggData 9 2 4" xfId="9063" xr:uid="{07169F48-45F6-4824-A902-20691DF64DDF}"/>
    <cellStyle name="SAPBEXaggData 9 2 4 2" xfId="20606" xr:uid="{8D823962-7D0B-4D2C-B4DB-6CB693564883}"/>
    <cellStyle name="SAPBEXaggData 9 2 5" xfId="9064" xr:uid="{7A974273-EE31-4A8A-B7E1-293CC487E43F}"/>
    <cellStyle name="SAPBEXaggData 9 2 5 2" xfId="20607" xr:uid="{5E8BE479-018E-4A03-A7CF-F51D80CE2906}"/>
    <cellStyle name="SAPBEXaggData 9 2 6" xfId="20603" xr:uid="{7FA19359-A81D-42AA-8817-FE899DD36EF0}"/>
    <cellStyle name="SAPBEXaggData 9 3" xfId="9065" xr:uid="{03EA09F9-4135-4F28-AA09-B192401FDBBF}"/>
    <cellStyle name="SAPBEXaggData 9 3 2" xfId="20608" xr:uid="{C07A1EB9-1A33-4AC1-A2E9-3F4E78401D77}"/>
    <cellStyle name="SAPBEXaggData 9 4" xfId="9066" xr:uid="{A83AD7AF-334C-416C-A8C9-A6D7C9984C7F}"/>
    <cellStyle name="SAPBEXaggData 9 4 2" xfId="20609" xr:uid="{AF0B2E16-3581-48F8-A6E6-5932FA6B71D1}"/>
    <cellStyle name="SAPBEXaggData 9 5" xfId="9067" xr:uid="{C17FE031-3BF9-4F07-924C-1829B9EE926B}"/>
    <cellStyle name="SAPBEXaggData 9 5 2" xfId="20610" xr:uid="{68714646-52A2-4C3B-BFFC-ABDB398B7E20}"/>
    <cellStyle name="SAPBEXaggData 9 6" xfId="9068" xr:uid="{805490E3-9545-4443-9EA4-17908FBFA9D0}"/>
    <cellStyle name="SAPBEXaggData 9 6 2" xfId="20611" xr:uid="{7BF60365-CDE4-4480-BB5D-6592213B28CA}"/>
    <cellStyle name="SAPBEXaggData 9 7" xfId="20602" xr:uid="{12FF48DA-F25A-4566-81B2-2A86E12B39B8}"/>
    <cellStyle name="SAPBEXaggData_KTR An-Abflug" xfId="14708" xr:uid="{AB203873-74D9-42C3-87BB-1865DD9AAE1D}"/>
    <cellStyle name="SAPBEXaggDataEmph" xfId="9069" xr:uid="{4F2F9617-1BB3-4C43-9EC5-3BC788E1F995}"/>
    <cellStyle name="SAPBEXaggDataEmph 10" xfId="9070" xr:uid="{55B232AA-350A-4CAA-AFA2-A673F027C589}"/>
    <cellStyle name="SAPBEXaggDataEmph 10 2" xfId="9071" xr:uid="{639BDD80-016C-4C14-92EB-221F874F026B}"/>
    <cellStyle name="SAPBEXaggDataEmph 10 2 2" xfId="9072" xr:uid="{9733AE69-645A-43D0-875F-E86C9C322D2B}"/>
    <cellStyle name="SAPBEXaggDataEmph 10 2 2 2" xfId="20614" xr:uid="{0CB28821-CB7A-4DCE-92F0-FAF147F6C6D5}"/>
    <cellStyle name="SAPBEXaggDataEmph 10 2 3" xfId="9073" xr:uid="{85C63775-48CB-41DB-8D7A-3BF9B4C1349F}"/>
    <cellStyle name="SAPBEXaggDataEmph 10 2 3 2" xfId="20615" xr:uid="{9DA8581F-67C8-490F-91AD-93193880561F}"/>
    <cellStyle name="SAPBEXaggDataEmph 10 2 4" xfId="9074" xr:uid="{B021F760-CEC0-4DDC-AC60-2A8CE19DDC89}"/>
    <cellStyle name="SAPBEXaggDataEmph 10 2 4 2" xfId="20616" xr:uid="{CDF45FBC-1BE8-484E-B915-4229F0BF652B}"/>
    <cellStyle name="SAPBEXaggDataEmph 10 2 5" xfId="9075" xr:uid="{1988ECEB-EBE0-43BA-BDF8-A2D8F320BE21}"/>
    <cellStyle name="SAPBEXaggDataEmph 10 2 5 2" xfId="20617" xr:uid="{081A6554-A93A-43BE-A9ED-7852C9272051}"/>
    <cellStyle name="SAPBEXaggDataEmph 10 2 6" xfId="20613" xr:uid="{F03A2F39-0278-4BE4-A10F-01463B718729}"/>
    <cellStyle name="SAPBEXaggDataEmph 10 3" xfId="9076" xr:uid="{251C8A01-4EB5-4E17-BEBA-260326003B31}"/>
    <cellStyle name="SAPBEXaggDataEmph 10 3 2" xfId="20618" xr:uid="{B4219906-0516-4B53-8E18-5BC6493D4697}"/>
    <cellStyle name="SAPBEXaggDataEmph 10 4" xfId="9077" xr:uid="{337C0349-1189-43B9-8D12-B16BA7A7127D}"/>
    <cellStyle name="SAPBEXaggDataEmph 10 4 2" xfId="20619" xr:uid="{674BFE04-4F1F-4D33-A366-C4E9700CFF3A}"/>
    <cellStyle name="SAPBEXaggDataEmph 10 5" xfId="9078" xr:uid="{E30A7687-F573-449D-9F99-1DBA820EA76A}"/>
    <cellStyle name="SAPBEXaggDataEmph 10 5 2" xfId="20620" xr:uid="{F56E34E0-D13B-4D7D-BF13-2BA827A0E628}"/>
    <cellStyle name="SAPBEXaggDataEmph 10 6" xfId="9079" xr:uid="{2FC77EE7-CC26-4B58-972E-3CD25AE05050}"/>
    <cellStyle name="SAPBEXaggDataEmph 10 6 2" xfId="20621" xr:uid="{6E30E35C-B6CA-4CB4-9A7F-BE44E72683B9}"/>
    <cellStyle name="SAPBEXaggDataEmph 10 7" xfId="20612" xr:uid="{8459E9C7-FA4E-4896-9658-9ADACB430CDE}"/>
    <cellStyle name="SAPBEXaggDataEmph 11" xfId="9080" xr:uid="{809E94CD-E8C4-495A-BE57-259F192A4E67}"/>
    <cellStyle name="SAPBEXaggDataEmph 11 2" xfId="9081" xr:uid="{0F8F8DAF-32DA-42ED-9BE6-128843A54002}"/>
    <cellStyle name="SAPBEXaggDataEmph 11 2 2" xfId="9082" xr:uid="{9EE17C19-EB03-41C1-A1CA-17667759E3ED}"/>
    <cellStyle name="SAPBEXaggDataEmph 11 2 2 2" xfId="20624" xr:uid="{AD3D9466-8864-4C53-B49A-6790B33B4FD1}"/>
    <cellStyle name="SAPBEXaggDataEmph 11 2 3" xfId="9083" xr:uid="{1DA8FEBC-1C37-48B3-96BE-C4C65033B01B}"/>
    <cellStyle name="SAPBEXaggDataEmph 11 2 3 2" xfId="20625" xr:uid="{D97C78B6-D789-4360-99F4-DC03EFCDF1D6}"/>
    <cellStyle name="SAPBEXaggDataEmph 11 2 4" xfId="9084" xr:uid="{C4C59EA3-01FB-44A1-B9F8-7A9290BE6627}"/>
    <cellStyle name="SAPBEXaggDataEmph 11 2 4 2" xfId="20626" xr:uid="{766710A6-0BD9-4166-84A5-2766EA002B82}"/>
    <cellStyle name="SAPBEXaggDataEmph 11 2 5" xfId="9085" xr:uid="{8A3F1732-DC16-4CF3-AEB6-9EC54F1DACE2}"/>
    <cellStyle name="SAPBEXaggDataEmph 11 2 5 2" xfId="20627" xr:uid="{0A4834D3-8519-4D2B-91FC-216027882593}"/>
    <cellStyle name="SAPBEXaggDataEmph 11 2 6" xfId="20623" xr:uid="{28D3B371-6D76-4987-BD48-8E12C7BDB559}"/>
    <cellStyle name="SAPBEXaggDataEmph 11 3" xfId="9086" xr:uid="{861EF243-D1A8-4D31-9B9F-BD7F4F4E11A0}"/>
    <cellStyle name="SAPBEXaggDataEmph 11 3 2" xfId="20628" xr:uid="{65EA9A16-2878-40B0-83E4-4F510C54F4F9}"/>
    <cellStyle name="SAPBEXaggDataEmph 11 4" xfId="9087" xr:uid="{C326B96A-5FF4-4ECC-8FB5-C289308C4A5A}"/>
    <cellStyle name="SAPBEXaggDataEmph 11 4 2" xfId="20629" xr:uid="{039AA8FD-A547-4AA3-B47E-1BBDCAB6CBAA}"/>
    <cellStyle name="SAPBEXaggDataEmph 11 5" xfId="9088" xr:uid="{0CE723DB-8C57-4377-9F80-30FDBEE22336}"/>
    <cellStyle name="SAPBEXaggDataEmph 11 5 2" xfId="20630" xr:uid="{B2B1E76D-FE65-4F60-A4FA-33159EDE4F2A}"/>
    <cellStyle name="SAPBEXaggDataEmph 11 6" xfId="9089" xr:uid="{A85DB891-265A-427E-874A-DFFD18D1DCDD}"/>
    <cellStyle name="SAPBEXaggDataEmph 11 6 2" xfId="20631" xr:uid="{218635CA-5AC8-469B-8C0F-54BD18DF325D}"/>
    <cellStyle name="SAPBEXaggDataEmph 11 7" xfId="20622" xr:uid="{D4F6E610-1E89-40C7-91BA-BA2C2D07D4CC}"/>
    <cellStyle name="SAPBEXaggDataEmph 12" xfId="9090" xr:uid="{77E67143-33E0-4374-95E0-C9350EC8B083}"/>
    <cellStyle name="SAPBEXaggDataEmph 12 2" xfId="9091" xr:uid="{E9EC86A8-D590-4E3F-BD6C-3AFB93E6CE71}"/>
    <cellStyle name="SAPBEXaggDataEmph 12 2 2" xfId="9092" xr:uid="{3C9D268E-67D2-4193-872D-8DCEAB4ABD42}"/>
    <cellStyle name="SAPBEXaggDataEmph 12 2 2 2" xfId="20634" xr:uid="{9DF09B47-EA06-4EF7-95D7-8D61FF9F6843}"/>
    <cellStyle name="SAPBEXaggDataEmph 12 2 3" xfId="9093" xr:uid="{AFE87157-4DAD-403C-BF4D-D12E66360C9D}"/>
    <cellStyle name="SAPBEXaggDataEmph 12 2 3 2" xfId="20635" xr:uid="{4C09D1E2-4624-4D4E-9933-2E7DCC327636}"/>
    <cellStyle name="SAPBEXaggDataEmph 12 2 4" xfId="9094" xr:uid="{FD395F86-FE34-4BD1-9A0B-DB9349758EEB}"/>
    <cellStyle name="SAPBEXaggDataEmph 12 2 4 2" xfId="20636" xr:uid="{6F1F685C-61B3-4A57-AB73-EA87CA19AF67}"/>
    <cellStyle name="SAPBEXaggDataEmph 12 2 5" xfId="9095" xr:uid="{56B03459-15E3-4496-BFD9-1951CA14F82D}"/>
    <cellStyle name="SAPBEXaggDataEmph 12 2 5 2" xfId="20637" xr:uid="{F3301596-0EC8-4C22-B616-FBA8F2456C4B}"/>
    <cellStyle name="SAPBEXaggDataEmph 12 2 6" xfId="20633" xr:uid="{BA46F4D4-FA43-4DE7-A62A-BED611C49E35}"/>
    <cellStyle name="SAPBEXaggDataEmph 12 3" xfId="9096" xr:uid="{AA1A6B47-8617-44B6-87D2-0EB5AE16B805}"/>
    <cellStyle name="SAPBEXaggDataEmph 12 3 2" xfId="20638" xr:uid="{ED8587DB-7B6E-497B-A8F8-DCF779BC033B}"/>
    <cellStyle name="SAPBEXaggDataEmph 12 4" xfId="9097" xr:uid="{679D4AF8-08B6-4820-A7A0-3965BB6875A5}"/>
    <cellStyle name="SAPBEXaggDataEmph 12 4 2" xfId="20639" xr:uid="{11C52C21-6A63-4EBE-8771-F140BFD36BD2}"/>
    <cellStyle name="SAPBEXaggDataEmph 12 5" xfId="9098" xr:uid="{AEEE4EFA-A211-4A9D-990B-89392FFF8D33}"/>
    <cellStyle name="SAPBEXaggDataEmph 12 5 2" xfId="20640" xr:uid="{6E63DFFD-CDD2-452C-9934-CF3920523A4A}"/>
    <cellStyle name="SAPBEXaggDataEmph 12 6" xfId="9099" xr:uid="{8927E017-FC09-4EFD-AA73-11A49AFC6D3A}"/>
    <cellStyle name="SAPBEXaggDataEmph 12 6 2" xfId="20641" xr:uid="{BD43C19D-E1D4-4289-A4B3-F3303DAB784E}"/>
    <cellStyle name="SAPBEXaggDataEmph 12 7" xfId="20632" xr:uid="{14E3EFFF-ECA8-4D96-9792-F282AEE6B307}"/>
    <cellStyle name="SAPBEXaggDataEmph 13" xfId="9100" xr:uid="{4E102F6E-B206-432D-8963-D4030CAEE293}"/>
    <cellStyle name="SAPBEXaggDataEmph 13 2" xfId="9101" xr:uid="{4A67D6E5-928D-4254-AC42-E3DE2C844D1B}"/>
    <cellStyle name="SAPBEXaggDataEmph 13 2 2" xfId="9102" xr:uid="{E36E5CBF-835E-45C8-9F09-D38F1AB1D8DC}"/>
    <cellStyle name="SAPBEXaggDataEmph 13 2 2 2" xfId="20644" xr:uid="{066EC0F2-2075-49FD-98F0-2F81A01C22C4}"/>
    <cellStyle name="SAPBEXaggDataEmph 13 2 3" xfId="9103" xr:uid="{F09D6B1D-6A53-4189-8757-0BC207445B8E}"/>
    <cellStyle name="SAPBEXaggDataEmph 13 2 3 2" xfId="20645" xr:uid="{9C6B92F4-1727-400D-9D9B-70BDA6528633}"/>
    <cellStyle name="SAPBEXaggDataEmph 13 2 4" xfId="9104" xr:uid="{7B6A6C22-1415-4201-925D-6D9B253257D0}"/>
    <cellStyle name="SAPBEXaggDataEmph 13 2 4 2" xfId="20646" xr:uid="{1C484B29-73AF-43CC-B5EB-8BC6145FB9E2}"/>
    <cellStyle name="SAPBEXaggDataEmph 13 2 5" xfId="9105" xr:uid="{5F9FE68A-B752-4A82-8541-A493607CD215}"/>
    <cellStyle name="SAPBEXaggDataEmph 13 2 5 2" xfId="20647" xr:uid="{3866B8FF-174C-4BC0-B92C-D13EFAE92569}"/>
    <cellStyle name="SAPBEXaggDataEmph 13 2 6" xfId="20643" xr:uid="{08CEFEC9-7CBE-413C-92DF-FADAD33F291F}"/>
    <cellStyle name="SAPBEXaggDataEmph 13 3" xfId="9106" xr:uid="{C66B3D82-1176-4381-9F19-215A11EBAD5A}"/>
    <cellStyle name="SAPBEXaggDataEmph 13 3 2" xfId="20648" xr:uid="{B5A7AB27-2F74-48CF-8742-BFA44268F37D}"/>
    <cellStyle name="SAPBEXaggDataEmph 13 4" xfId="9107" xr:uid="{4F51D7BC-E516-43E3-9BBC-6E80573E47AF}"/>
    <cellStyle name="SAPBEXaggDataEmph 13 4 2" xfId="20649" xr:uid="{70B6B382-5383-4049-893D-0B7389CD146E}"/>
    <cellStyle name="SAPBEXaggDataEmph 13 5" xfId="9108" xr:uid="{9FD3CF4A-6099-42FC-BDFA-F390DE09EE8D}"/>
    <cellStyle name="SAPBEXaggDataEmph 13 5 2" xfId="20650" xr:uid="{3D6BB686-FA95-47A9-89FA-9D644AE6E772}"/>
    <cellStyle name="SAPBEXaggDataEmph 13 6" xfId="9109" xr:uid="{26D379F1-3BA4-4B3E-B3EF-05EFB7B94C2B}"/>
    <cellStyle name="SAPBEXaggDataEmph 13 6 2" xfId="20651" xr:uid="{8E0C3867-BBE9-4B5E-9867-57FA35239F09}"/>
    <cellStyle name="SAPBEXaggDataEmph 13 7" xfId="20642" xr:uid="{95654457-31D0-48B9-BCE5-BA16E625B417}"/>
    <cellStyle name="SAPBEXaggDataEmph 14" xfId="9110" xr:uid="{3D0965B4-648C-4D2B-9FB0-E1043FC3ADC1}"/>
    <cellStyle name="SAPBEXaggDataEmph 14 2" xfId="9111" xr:uid="{A5D88D8D-E842-47BE-92D0-9185B39C73CD}"/>
    <cellStyle name="SAPBEXaggDataEmph 14 2 2" xfId="9112" xr:uid="{B1AFF34C-0935-438D-81CB-755C66F3A1D9}"/>
    <cellStyle name="SAPBEXaggDataEmph 14 2 2 2" xfId="20654" xr:uid="{D1CB7DEA-14D6-4231-B058-377867C79E96}"/>
    <cellStyle name="SAPBEXaggDataEmph 14 2 3" xfId="9113" xr:uid="{EB1276CE-852B-4E3F-BAEE-B2A6D2DDD316}"/>
    <cellStyle name="SAPBEXaggDataEmph 14 2 3 2" xfId="20655" xr:uid="{CCF04C3F-680F-46E9-8429-6FCFFF6C1F49}"/>
    <cellStyle name="SAPBEXaggDataEmph 14 2 4" xfId="9114" xr:uid="{71FFA47C-E0F1-4FF5-B89D-E11F9CF8C9F3}"/>
    <cellStyle name="SAPBEXaggDataEmph 14 2 4 2" xfId="20656" xr:uid="{E748E881-B269-4F7E-80B9-F2FAEFAD29B5}"/>
    <cellStyle name="SAPBEXaggDataEmph 14 2 5" xfId="9115" xr:uid="{587E5AED-BD4F-4C3A-85E8-9DB31B3C2984}"/>
    <cellStyle name="SAPBEXaggDataEmph 14 2 5 2" xfId="20657" xr:uid="{5E5185C6-1C81-4244-B698-36CE4F29A51D}"/>
    <cellStyle name="SAPBEXaggDataEmph 14 2 6" xfId="20653" xr:uid="{1719672A-5CB5-43B7-A76D-C25E6D465F51}"/>
    <cellStyle name="SAPBEXaggDataEmph 14 3" xfId="9116" xr:uid="{B4BEC878-93F4-4E0A-8D8B-D1265C40C503}"/>
    <cellStyle name="SAPBEXaggDataEmph 14 3 2" xfId="20658" xr:uid="{58E7C654-8164-41BB-8C40-6A932546B33B}"/>
    <cellStyle name="SAPBEXaggDataEmph 14 4" xfId="9117" xr:uid="{141AA1DC-B8E9-484A-B683-602DF693631F}"/>
    <cellStyle name="SAPBEXaggDataEmph 14 4 2" xfId="20659" xr:uid="{6EE73FD4-08FA-4321-A183-E43ED34A3C7D}"/>
    <cellStyle name="SAPBEXaggDataEmph 14 5" xfId="9118" xr:uid="{74E069A1-45AF-444D-A4EC-12E8804A9966}"/>
    <cellStyle name="SAPBEXaggDataEmph 14 5 2" xfId="20660" xr:uid="{B9CA901C-50DF-4D24-B1B7-BDDA694136D1}"/>
    <cellStyle name="SAPBEXaggDataEmph 14 6" xfId="9119" xr:uid="{7D02F966-E9FA-4078-8FCF-1F2D745A5C0D}"/>
    <cellStyle name="SAPBEXaggDataEmph 14 6 2" xfId="20661" xr:uid="{732C09A7-6093-4C73-B135-AD3E3CDD3676}"/>
    <cellStyle name="SAPBEXaggDataEmph 14 7" xfId="20652" xr:uid="{9E22267C-37C8-4E81-A581-3779F3691D8F}"/>
    <cellStyle name="SAPBEXaggDataEmph 15" xfId="9120" xr:uid="{B955635C-13C8-4F01-96A8-6833459D0F23}"/>
    <cellStyle name="SAPBEXaggDataEmph 15 2" xfId="9121" xr:uid="{3719B66D-3407-4DC1-A301-D07BB6C89BEE}"/>
    <cellStyle name="SAPBEXaggDataEmph 15 2 2" xfId="9122" xr:uid="{21E29265-F943-415E-9EDF-DFD62A126752}"/>
    <cellStyle name="SAPBEXaggDataEmph 15 2 2 2" xfId="20664" xr:uid="{E7FE2249-4AF4-4A8E-B623-ACB1EBB20E9E}"/>
    <cellStyle name="SAPBEXaggDataEmph 15 2 3" xfId="9123" xr:uid="{E568177C-6395-4ED5-A8B5-4EBBDAD816E4}"/>
    <cellStyle name="SAPBEXaggDataEmph 15 2 3 2" xfId="20665" xr:uid="{5A566791-4C56-4EA8-8C3D-979BC1E354E3}"/>
    <cellStyle name="SAPBEXaggDataEmph 15 2 4" xfId="9124" xr:uid="{4429A188-28F6-4558-B3CF-A14A5E02689D}"/>
    <cellStyle name="SAPBEXaggDataEmph 15 2 4 2" xfId="20666" xr:uid="{8D5F3CC0-5116-44F9-95DC-9DC5365E4720}"/>
    <cellStyle name="SAPBEXaggDataEmph 15 2 5" xfId="9125" xr:uid="{550CA58B-9FDF-4615-8AE0-6924C20A4B09}"/>
    <cellStyle name="SAPBEXaggDataEmph 15 2 5 2" xfId="20667" xr:uid="{CBC075AA-1E1F-41F3-AE68-54D61CBD11F6}"/>
    <cellStyle name="SAPBEXaggDataEmph 15 2 6" xfId="20663" xr:uid="{D0A51FE6-D8AC-451B-BB1D-53DA502C04B7}"/>
    <cellStyle name="SAPBEXaggDataEmph 15 3" xfId="9126" xr:uid="{8EA0A422-C7B7-4FAA-8CFD-FC636704C648}"/>
    <cellStyle name="SAPBEXaggDataEmph 15 3 2" xfId="20668" xr:uid="{DE980BF8-3832-4F7A-8EF3-7E70CC73FFE5}"/>
    <cellStyle name="SAPBEXaggDataEmph 15 4" xfId="9127" xr:uid="{1A3E8217-9682-402D-B6D0-EDD0A510207F}"/>
    <cellStyle name="SAPBEXaggDataEmph 15 4 2" xfId="20669" xr:uid="{D28A231F-2759-463A-8987-D76E13BBF117}"/>
    <cellStyle name="SAPBEXaggDataEmph 15 5" xfId="9128" xr:uid="{9BC94F80-6662-4185-AAB9-72D2C8AFA91E}"/>
    <cellStyle name="SAPBEXaggDataEmph 15 5 2" xfId="20670" xr:uid="{93173501-5F51-4337-85F9-6505C99BF3BD}"/>
    <cellStyle name="SAPBEXaggDataEmph 15 6" xfId="9129" xr:uid="{FDF12A4D-DFFF-4474-A7D1-952AD5328116}"/>
    <cellStyle name="SAPBEXaggDataEmph 15 6 2" xfId="20671" xr:uid="{FF428E43-2BAA-431C-B4E8-4E62098BD1A7}"/>
    <cellStyle name="SAPBEXaggDataEmph 15 7" xfId="20662" xr:uid="{B1C28652-416C-4DB3-8543-3CE5D59EF658}"/>
    <cellStyle name="SAPBEXaggDataEmph 16" xfId="9130" xr:uid="{1B738A11-3A88-4622-9674-4293E987FF79}"/>
    <cellStyle name="SAPBEXaggDataEmph 16 2" xfId="20672" xr:uid="{F37F7C94-8239-4649-8BAF-7349946F683F}"/>
    <cellStyle name="SAPBEXaggDataEmph 17" xfId="9131" xr:uid="{48EB33C5-7E86-40CE-9538-3EEB144ABE65}"/>
    <cellStyle name="SAPBEXaggDataEmph 17 2" xfId="20673" xr:uid="{4C299F21-DB59-4333-9842-A1ECA9A01284}"/>
    <cellStyle name="SAPBEXaggDataEmph 18" xfId="9132" xr:uid="{BB58BA90-D6D2-4446-B70D-E0305877292C}"/>
    <cellStyle name="SAPBEXaggDataEmph 18 2" xfId="20674" xr:uid="{16EDA665-4BD4-48AC-9BA9-87B002FD3D98}"/>
    <cellStyle name="SAPBEXaggDataEmph 19" xfId="9133" xr:uid="{86905055-2883-4A5D-9B31-01AABC5711D8}"/>
    <cellStyle name="SAPBEXaggDataEmph 19 2" xfId="20675" xr:uid="{0CA87F37-2467-493E-9B47-53BD5CC09387}"/>
    <cellStyle name="SAPBEXaggDataEmph 2" xfId="9134" xr:uid="{2509A998-E4F9-45B8-A3D1-125DE696CD29}"/>
    <cellStyle name="SAPBEXaggDataEmph 2 2" xfId="9135" xr:uid="{52AA1862-DCF0-4233-BE72-0F5D3AD775B8}"/>
    <cellStyle name="SAPBEXaggDataEmph 2 2 2" xfId="9136" xr:uid="{78F17570-7BDA-417B-8A8C-4265D7B1ED09}"/>
    <cellStyle name="SAPBEXaggDataEmph 2 2 2 2" xfId="20678" xr:uid="{93679C26-E79E-49C6-818E-23813CB36102}"/>
    <cellStyle name="SAPBEXaggDataEmph 2 2 3" xfId="9137" xr:uid="{E51CA340-E678-4715-8251-6B9022FFF0ED}"/>
    <cellStyle name="SAPBEXaggDataEmph 2 2 3 2" xfId="20679" xr:uid="{79EEF67C-C797-4E56-A8A2-B23B8C917065}"/>
    <cellStyle name="SAPBEXaggDataEmph 2 2 4" xfId="9138" xr:uid="{6B38EB7C-B814-425C-B7C7-4F977E138EEE}"/>
    <cellStyle name="SAPBEXaggDataEmph 2 2 4 2" xfId="20680" xr:uid="{54E7EAC8-8803-4DB2-B9C3-161C8CB46022}"/>
    <cellStyle name="SAPBEXaggDataEmph 2 2 5" xfId="9139" xr:uid="{B1A01865-9F04-47E1-92A2-DC173C7588D5}"/>
    <cellStyle name="SAPBEXaggDataEmph 2 2 5 2" xfId="20681" xr:uid="{C1094715-AEE4-4BAC-B8DB-CEA393367062}"/>
    <cellStyle name="SAPBEXaggDataEmph 2 2 6" xfId="20677" xr:uid="{6C04F975-5E76-4CBD-B4B5-359A21FA04AF}"/>
    <cellStyle name="SAPBEXaggDataEmph 2 3" xfId="9140" xr:uid="{BC63EE8F-06F0-4878-A262-E87149445B4F}"/>
    <cellStyle name="SAPBEXaggDataEmph 2 3 2" xfId="20682" xr:uid="{1540720B-6E5D-407D-A443-DC4517FEF2A4}"/>
    <cellStyle name="SAPBEXaggDataEmph 2 4" xfId="9141" xr:uid="{CF05E3AE-EAAB-4CA6-81E1-86268D5B6D0B}"/>
    <cellStyle name="SAPBEXaggDataEmph 2 4 2" xfId="20683" xr:uid="{47BEA5B3-0642-43C6-86B1-4C484A6DDA2F}"/>
    <cellStyle name="SAPBEXaggDataEmph 2 5" xfId="9142" xr:uid="{645313F2-2FCD-4A32-88B1-20F8D73F80EC}"/>
    <cellStyle name="SAPBEXaggDataEmph 2 5 2" xfId="20684" xr:uid="{FBE122F6-49E0-4C72-9C4F-98C4FEAB908A}"/>
    <cellStyle name="SAPBEXaggDataEmph 2 6" xfId="9143" xr:uid="{3F8615BE-E519-4A99-8659-50A6805F5950}"/>
    <cellStyle name="SAPBEXaggDataEmph 2 6 2" xfId="20685" xr:uid="{C53009D0-9937-4048-9F24-9E3E2C9178B5}"/>
    <cellStyle name="SAPBEXaggDataEmph 2 7" xfId="20676" xr:uid="{7FC0FFE9-ACEC-4E54-8893-A39E4886A26F}"/>
    <cellStyle name="SAPBEXaggDataEmph 20" xfId="15161" xr:uid="{2D3A7738-FF23-414A-B4C9-717335EAAB26}"/>
    <cellStyle name="SAPBEXaggDataEmph 3" xfId="9144" xr:uid="{D235DFD3-700D-4A9B-B280-93D4903ECCF0}"/>
    <cellStyle name="SAPBEXaggDataEmph 3 2" xfId="9145" xr:uid="{F11BBD94-26AB-4CCE-A310-8BDA72817D67}"/>
    <cellStyle name="SAPBEXaggDataEmph 3 2 2" xfId="9146" xr:uid="{F731CED4-A53B-45C1-BD0B-C63A41E1D53D}"/>
    <cellStyle name="SAPBEXaggDataEmph 3 2 2 2" xfId="20688" xr:uid="{F5BCEAA3-1F7E-45DB-ACA5-905E0A0EB336}"/>
    <cellStyle name="SAPBEXaggDataEmph 3 2 3" xfId="9147" xr:uid="{DF94268B-3E72-4ACA-A0E8-377C1844014A}"/>
    <cellStyle name="SAPBEXaggDataEmph 3 2 3 2" xfId="20689" xr:uid="{3CBFA164-BAC1-45BD-B82C-B33EAD95EEB7}"/>
    <cellStyle name="SAPBEXaggDataEmph 3 2 4" xfId="9148" xr:uid="{9C354E62-B4C7-4C72-A6DB-966CD42D63F7}"/>
    <cellStyle name="SAPBEXaggDataEmph 3 2 4 2" xfId="20690" xr:uid="{69A44C8F-4B36-45E1-80AD-DACCB9493CFC}"/>
    <cellStyle name="SAPBEXaggDataEmph 3 2 5" xfId="9149" xr:uid="{F7572965-DC3B-4633-A775-1195795EF0AD}"/>
    <cellStyle name="SAPBEXaggDataEmph 3 2 5 2" xfId="20691" xr:uid="{9839D8FE-5B11-4D37-BCA6-6FF592DB07D2}"/>
    <cellStyle name="SAPBEXaggDataEmph 3 2 6" xfId="20687" xr:uid="{F655EA0A-ACBB-4C22-92D3-4E9732CE2280}"/>
    <cellStyle name="SAPBEXaggDataEmph 3 3" xfId="9150" xr:uid="{3AFB7383-6AC6-44C5-83AA-754D66ED2F7D}"/>
    <cellStyle name="SAPBEXaggDataEmph 3 3 2" xfId="20692" xr:uid="{B56DE24A-AFC6-47CE-9D50-BA4CCE3BD31D}"/>
    <cellStyle name="SAPBEXaggDataEmph 3 4" xfId="9151" xr:uid="{F6F403BB-B68F-42D3-96D7-D350E6E0282B}"/>
    <cellStyle name="SAPBEXaggDataEmph 3 4 2" xfId="20693" xr:uid="{0FB1600C-7D11-4149-A8C8-DCFC67A05CE3}"/>
    <cellStyle name="SAPBEXaggDataEmph 3 5" xfId="9152" xr:uid="{410E760A-A812-4A64-9BE8-255090DB2ABD}"/>
    <cellStyle name="SAPBEXaggDataEmph 3 5 2" xfId="20694" xr:uid="{DD007C2B-634E-45F7-B330-AD82F7B73D84}"/>
    <cellStyle name="SAPBEXaggDataEmph 3 6" xfId="9153" xr:uid="{8D42381C-AC01-4BEB-8DE6-13B2B90E39D7}"/>
    <cellStyle name="SAPBEXaggDataEmph 3 6 2" xfId="20695" xr:uid="{2F37B027-34D4-43FB-B320-5A936EABC46E}"/>
    <cellStyle name="SAPBEXaggDataEmph 3 7" xfId="20686" xr:uid="{D2E9B7D6-1317-4B2C-BE3D-A992E4897F7D}"/>
    <cellStyle name="SAPBEXaggDataEmph 4" xfId="9154" xr:uid="{BE4E1E13-BACA-4423-9D75-8322173E7417}"/>
    <cellStyle name="SAPBEXaggDataEmph 4 2" xfId="9155" xr:uid="{7D6C268B-C118-4369-82A3-B6B731F93E95}"/>
    <cellStyle name="SAPBEXaggDataEmph 4 2 2" xfId="9156" xr:uid="{75EDDF47-7F1C-4DF9-A24E-F11B5D598F18}"/>
    <cellStyle name="SAPBEXaggDataEmph 4 2 2 2" xfId="20698" xr:uid="{0E0AE42C-9AAE-411F-8C20-40A7BB0DA413}"/>
    <cellStyle name="SAPBEXaggDataEmph 4 2 3" xfId="9157" xr:uid="{802BDB46-AD98-4F05-8088-88225ED8F3EF}"/>
    <cellStyle name="SAPBEXaggDataEmph 4 2 3 2" xfId="20699" xr:uid="{054A4F12-8F2B-4563-B59C-895AE93AEB57}"/>
    <cellStyle name="SAPBEXaggDataEmph 4 2 4" xfId="9158" xr:uid="{A0BC2537-023A-462C-8304-A88AA4E646E1}"/>
    <cellStyle name="SAPBEXaggDataEmph 4 2 4 2" xfId="20700" xr:uid="{40601F21-AFE2-4051-8BC2-0AB066167E01}"/>
    <cellStyle name="SAPBEXaggDataEmph 4 2 5" xfId="9159" xr:uid="{E8FB41C9-09D6-4ABE-8255-5FDB1B4CDADD}"/>
    <cellStyle name="SAPBEXaggDataEmph 4 2 5 2" xfId="20701" xr:uid="{484B365B-61D9-49C4-9B59-690F68616F8B}"/>
    <cellStyle name="SAPBEXaggDataEmph 4 2 6" xfId="20697" xr:uid="{742AEF6E-2B96-4FC9-8E57-A9181471D5A5}"/>
    <cellStyle name="SAPBEXaggDataEmph 4 3" xfId="9160" xr:uid="{6CC48E6D-F962-4AC7-B347-6E20307E0F39}"/>
    <cellStyle name="SAPBEXaggDataEmph 4 3 2" xfId="20702" xr:uid="{8639B7F8-19E7-4D4E-81B0-5C4BD1CAF27A}"/>
    <cellStyle name="SAPBEXaggDataEmph 4 4" xfId="9161" xr:uid="{9A7D16F6-8809-4026-B8AB-97BBC52AA101}"/>
    <cellStyle name="SAPBEXaggDataEmph 4 4 2" xfId="20703" xr:uid="{9CB91120-9B4A-434E-AFC5-2E51E08474DC}"/>
    <cellStyle name="SAPBEXaggDataEmph 4 5" xfId="9162" xr:uid="{5816EF0B-E7CC-48BC-9408-9D13185431EE}"/>
    <cellStyle name="SAPBEXaggDataEmph 4 5 2" xfId="20704" xr:uid="{7C566F6A-DF89-4504-B479-D63D032418C0}"/>
    <cellStyle name="SAPBEXaggDataEmph 4 6" xfId="9163" xr:uid="{18E7ADD7-44AE-4914-9704-AC8CC485B53F}"/>
    <cellStyle name="SAPBEXaggDataEmph 4 6 2" xfId="20705" xr:uid="{A6C9E435-2B94-470B-BE5D-7716BC206F4C}"/>
    <cellStyle name="SAPBEXaggDataEmph 4 7" xfId="20696" xr:uid="{9A3FD8C3-1A66-49F0-8A5D-7D99816E36B6}"/>
    <cellStyle name="SAPBEXaggDataEmph 5" xfId="9164" xr:uid="{78BD692B-C20B-4323-BA38-B828A063B19A}"/>
    <cellStyle name="SAPBEXaggDataEmph 5 2" xfId="9165" xr:uid="{28E0549C-A686-4573-98D6-FCA43DBA81F0}"/>
    <cellStyle name="SAPBEXaggDataEmph 5 2 2" xfId="9166" xr:uid="{C2BC0A5C-85EA-4BBC-A574-A41501448AD7}"/>
    <cellStyle name="SAPBEXaggDataEmph 5 2 2 2" xfId="20708" xr:uid="{34E563D8-5953-4C47-9F5F-EF893D83BB7E}"/>
    <cellStyle name="SAPBEXaggDataEmph 5 2 3" xfId="9167" xr:uid="{8370467A-ACBF-4338-AD3B-636FF4B8475B}"/>
    <cellStyle name="SAPBEXaggDataEmph 5 2 3 2" xfId="20709" xr:uid="{6BE82747-F9F4-403D-9DB8-A78F0769FB9F}"/>
    <cellStyle name="SAPBEXaggDataEmph 5 2 4" xfId="9168" xr:uid="{7925F18E-F736-406A-AA16-28F1A01BF481}"/>
    <cellStyle name="SAPBEXaggDataEmph 5 2 4 2" xfId="20710" xr:uid="{83D6ADD7-EABB-4EB3-BB21-0C2084B7E1D1}"/>
    <cellStyle name="SAPBEXaggDataEmph 5 2 5" xfId="9169" xr:uid="{1C0CFA3E-838D-4B21-B518-94A27A89F914}"/>
    <cellStyle name="SAPBEXaggDataEmph 5 2 5 2" xfId="20711" xr:uid="{D2E7C0AF-630C-42E2-937C-D6F237E5334A}"/>
    <cellStyle name="SAPBEXaggDataEmph 5 2 6" xfId="20707" xr:uid="{3CC83B0E-58D7-47E2-B7CE-992F1262FDCE}"/>
    <cellStyle name="SAPBEXaggDataEmph 5 3" xfId="9170" xr:uid="{E9C11B41-CC34-4172-82F1-38E1D16EE40D}"/>
    <cellStyle name="SAPBEXaggDataEmph 5 3 2" xfId="20712" xr:uid="{5DAD1F53-FA66-4E95-ACD5-42CA0B596CD4}"/>
    <cellStyle name="SAPBEXaggDataEmph 5 4" xfId="9171" xr:uid="{C85BFA18-98AA-40C2-AA12-2567455A4F19}"/>
    <cellStyle name="SAPBEXaggDataEmph 5 4 2" xfId="20713" xr:uid="{82A10496-AA54-4F65-9933-9BF4F6E5795F}"/>
    <cellStyle name="SAPBEXaggDataEmph 5 5" xfId="9172" xr:uid="{7732C453-7627-4243-B31E-6CCEE6104265}"/>
    <cellStyle name="SAPBEXaggDataEmph 5 5 2" xfId="20714" xr:uid="{6DCC3C55-81AC-4FE1-B6C3-D1DDA691CF56}"/>
    <cellStyle name="SAPBEXaggDataEmph 5 6" xfId="9173" xr:uid="{8B823F6C-2378-4BCA-BC23-E33122D970C1}"/>
    <cellStyle name="SAPBEXaggDataEmph 5 6 2" xfId="20715" xr:uid="{6F8B91E8-F456-4E7E-B165-5FBA16CACE59}"/>
    <cellStyle name="SAPBEXaggDataEmph 5 7" xfId="20706" xr:uid="{1CAF7192-42F6-435B-B472-F88C21FAE540}"/>
    <cellStyle name="SAPBEXaggDataEmph 6" xfId="9174" xr:uid="{7C1AF8F0-8948-42D1-BB9C-493236BE3A80}"/>
    <cellStyle name="SAPBEXaggDataEmph 6 2" xfId="9175" xr:uid="{3228E9E6-718F-48DD-933C-C10C69508AD8}"/>
    <cellStyle name="SAPBEXaggDataEmph 6 2 2" xfId="9176" xr:uid="{5C1F4F49-927B-42E0-BE3C-C68C8D5553C3}"/>
    <cellStyle name="SAPBEXaggDataEmph 6 2 2 2" xfId="20718" xr:uid="{F9E5D68E-6C7C-4731-8507-B913497BECF3}"/>
    <cellStyle name="SAPBEXaggDataEmph 6 2 3" xfId="9177" xr:uid="{16555A06-B07A-48C7-935B-8556FC86A495}"/>
    <cellStyle name="SAPBEXaggDataEmph 6 2 3 2" xfId="20719" xr:uid="{AFAD4E68-DED0-4223-A283-B591AFED503F}"/>
    <cellStyle name="SAPBEXaggDataEmph 6 2 4" xfId="9178" xr:uid="{72C9F63A-5938-4EE6-ABD4-B06ED5F6CBC4}"/>
    <cellStyle name="SAPBEXaggDataEmph 6 2 4 2" xfId="20720" xr:uid="{098C48A9-2A92-4872-A017-E1FFE1504B9D}"/>
    <cellStyle name="SAPBEXaggDataEmph 6 2 5" xfId="9179" xr:uid="{55255763-9AD7-4246-AAC2-81E3162DB7A5}"/>
    <cellStyle name="SAPBEXaggDataEmph 6 2 5 2" xfId="20721" xr:uid="{E2231871-33C9-4D65-BD94-14B2EDBCA038}"/>
    <cellStyle name="SAPBEXaggDataEmph 6 2 6" xfId="20717" xr:uid="{F410E8F3-D275-439F-91B9-EFA80BB3344C}"/>
    <cellStyle name="SAPBEXaggDataEmph 6 3" xfId="9180" xr:uid="{1E6A57C3-1E32-4F54-88C4-B1E30CC0DE41}"/>
    <cellStyle name="SAPBEXaggDataEmph 6 3 2" xfId="20722" xr:uid="{46DA6A88-5F2F-4CBA-B7F3-1EB0C1BBE873}"/>
    <cellStyle name="SAPBEXaggDataEmph 6 4" xfId="9181" xr:uid="{C9FD6622-7EF9-42F7-9539-15FF51EDA445}"/>
    <cellStyle name="SAPBEXaggDataEmph 6 4 2" xfId="20723" xr:uid="{C0A9EBFA-0ACC-41DC-81FB-5FB14E34B02D}"/>
    <cellStyle name="SAPBEXaggDataEmph 6 5" xfId="9182" xr:uid="{7A87AB54-47C4-456F-936C-1DCB583DCD00}"/>
    <cellStyle name="SAPBEXaggDataEmph 6 5 2" xfId="20724" xr:uid="{CB5916B2-5626-4284-846B-633BF736BFEF}"/>
    <cellStyle name="SAPBEXaggDataEmph 6 6" xfId="9183" xr:uid="{FED897F7-D020-4640-A5D3-5B2D85BC80D6}"/>
    <cellStyle name="SAPBEXaggDataEmph 6 6 2" xfId="20725" xr:uid="{5BD66081-9F50-49E8-B637-F558BA03A3C6}"/>
    <cellStyle name="SAPBEXaggDataEmph 6 7" xfId="20716" xr:uid="{6E6FA817-5E20-469C-A36A-1D88841FCA66}"/>
    <cellStyle name="SAPBEXaggDataEmph 7" xfId="9184" xr:uid="{70891A0B-F3E6-42BD-923F-2B0D6AECE55A}"/>
    <cellStyle name="SAPBEXaggDataEmph 7 2" xfId="9185" xr:uid="{05AAA368-B575-467C-94C8-8A780D7C8944}"/>
    <cellStyle name="SAPBEXaggDataEmph 7 2 2" xfId="9186" xr:uid="{3F029C42-1189-453F-A6DC-545E99ABF296}"/>
    <cellStyle name="SAPBEXaggDataEmph 7 2 2 2" xfId="20728" xr:uid="{00E9927F-599A-4C4A-B4C1-C1A26327FBF0}"/>
    <cellStyle name="SAPBEXaggDataEmph 7 2 3" xfId="9187" xr:uid="{E09F7612-46A9-436E-BCAA-17EBE972CC89}"/>
    <cellStyle name="SAPBEXaggDataEmph 7 2 3 2" xfId="20729" xr:uid="{3D6708D6-E5C5-40EE-BD00-2AC25317092F}"/>
    <cellStyle name="SAPBEXaggDataEmph 7 2 4" xfId="9188" xr:uid="{695596B2-1444-4126-95B5-5C68AA12ED01}"/>
    <cellStyle name="SAPBEXaggDataEmph 7 2 4 2" xfId="20730" xr:uid="{6C31F0ED-899D-48BD-92C6-B0AAE3773539}"/>
    <cellStyle name="SAPBEXaggDataEmph 7 2 5" xfId="9189" xr:uid="{98EAC50B-631B-4764-93E6-2F62D1414CC8}"/>
    <cellStyle name="SAPBEXaggDataEmph 7 2 5 2" xfId="20731" xr:uid="{30201B43-70A5-4F4A-8606-23A8EB1F063A}"/>
    <cellStyle name="SAPBEXaggDataEmph 7 2 6" xfId="20727" xr:uid="{927568C0-3BA8-459A-A349-0C62E1FE22C2}"/>
    <cellStyle name="SAPBEXaggDataEmph 7 3" xfId="9190" xr:uid="{2EAC7DDD-5396-48B1-B17C-EAB7FE189459}"/>
    <cellStyle name="SAPBEXaggDataEmph 7 3 2" xfId="20732" xr:uid="{DB5D585B-D62C-4BAD-AE8A-E749E6EF65A7}"/>
    <cellStyle name="SAPBEXaggDataEmph 7 4" xfId="9191" xr:uid="{6F3A6841-81D2-4D8F-936C-2196285F3E74}"/>
    <cellStyle name="SAPBEXaggDataEmph 7 4 2" xfId="20733" xr:uid="{E77B5BEB-460C-48C5-96BD-2DDBF69BEC53}"/>
    <cellStyle name="SAPBEXaggDataEmph 7 5" xfId="9192" xr:uid="{962768F1-AA8A-4D35-9504-E89538976E27}"/>
    <cellStyle name="SAPBEXaggDataEmph 7 5 2" xfId="20734" xr:uid="{AE5764C5-9F64-4E23-854C-E9593F08BC0E}"/>
    <cellStyle name="SAPBEXaggDataEmph 7 6" xfId="9193" xr:uid="{A542E7DD-5F10-4D63-9BCE-16C9870B9EB8}"/>
    <cellStyle name="SAPBEXaggDataEmph 7 6 2" xfId="20735" xr:uid="{472641E2-6D29-4C57-82AA-7B69E0CF8644}"/>
    <cellStyle name="SAPBEXaggDataEmph 7 7" xfId="20726" xr:uid="{2D222AFF-09E7-48CE-ACFF-9343844FAC9E}"/>
    <cellStyle name="SAPBEXaggDataEmph 8" xfId="9194" xr:uid="{E3CBCFDE-C191-40C5-B8BE-408B4FC41471}"/>
    <cellStyle name="SAPBEXaggDataEmph 8 2" xfId="9195" xr:uid="{FA20BC26-BB3E-4F0D-929F-211899801BB2}"/>
    <cellStyle name="SAPBEXaggDataEmph 8 2 2" xfId="9196" xr:uid="{18A2F069-C0E7-47A4-8FE2-EDB11E8AED48}"/>
    <cellStyle name="SAPBEXaggDataEmph 8 2 2 2" xfId="20738" xr:uid="{53062DED-5C06-4517-9755-35848108A353}"/>
    <cellStyle name="SAPBEXaggDataEmph 8 2 3" xfId="9197" xr:uid="{77F814D2-E77B-4712-A629-A7C91B9969EA}"/>
    <cellStyle name="SAPBEXaggDataEmph 8 2 3 2" xfId="20739" xr:uid="{15376C3C-110E-4B3F-8164-E91351F1FBD7}"/>
    <cellStyle name="SAPBEXaggDataEmph 8 2 4" xfId="9198" xr:uid="{0ADAC183-8DD6-41B7-8C0D-8C7A4287039B}"/>
    <cellStyle name="SAPBEXaggDataEmph 8 2 4 2" xfId="20740" xr:uid="{63FC1259-3729-40CB-A23C-796CDA21ADD1}"/>
    <cellStyle name="SAPBEXaggDataEmph 8 2 5" xfId="9199" xr:uid="{2DC8AD1F-DE7F-43E4-AAA9-96A4174C82AB}"/>
    <cellStyle name="SAPBEXaggDataEmph 8 2 5 2" xfId="20741" xr:uid="{68658B96-85BF-4046-8FC5-B31B7FBF62CD}"/>
    <cellStyle name="SAPBEXaggDataEmph 8 2 6" xfId="20737" xr:uid="{12A577A5-5CE0-4FD2-B18A-278FCED98F3A}"/>
    <cellStyle name="SAPBEXaggDataEmph 8 3" xfId="9200" xr:uid="{9B1692F3-6363-4FAE-8ACF-6441173BCAEE}"/>
    <cellStyle name="SAPBEXaggDataEmph 8 3 2" xfId="20742" xr:uid="{AE33F3AA-345B-4807-80A6-482EF142EBF3}"/>
    <cellStyle name="SAPBEXaggDataEmph 8 4" xfId="9201" xr:uid="{3F7DCB4B-F115-4AF4-9810-B4677295AF7B}"/>
    <cellStyle name="SAPBEXaggDataEmph 8 4 2" xfId="20743" xr:uid="{44F8F18C-F2B6-40A8-A16B-19AA2F8BE5B8}"/>
    <cellStyle name="SAPBEXaggDataEmph 8 5" xfId="9202" xr:uid="{16DF5EF9-A63B-4CAA-8B0A-D7DD8711B13C}"/>
    <cellStyle name="SAPBEXaggDataEmph 8 5 2" xfId="20744" xr:uid="{B2EB5DE5-DEDD-4211-8894-F00C18C23204}"/>
    <cellStyle name="SAPBEXaggDataEmph 8 6" xfId="9203" xr:uid="{82935B8A-79AB-461E-BCAC-A010F7539032}"/>
    <cellStyle name="SAPBEXaggDataEmph 8 6 2" xfId="20745" xr:uid="{37500C73-841F-41F6-B6CB-452AABE333E1}"/>
    <cellStyle name="SAPBEXaggDataEmph 8 7" xfId="20736" xr:uid="{84533CC7-DADB-41A4-A449-5A7E8A9F8CFA}"/>
    <cellStyle name="SAPBEXaggDataEmph 9" xfId="9204" xr:uid="{AF3770AB-5F6A-4FB3-AB7B-7CD4E6BC9237}"/>
    <cellStyle name="SAPBEXaggDataEmph 9 2" xfId="9205" xr:uid="{D7055B74-7291-4D39-B58A-A7F8FC280B55}"/>
    <cellStyle name="SAPBEXaggDataEmph 9 2 2" xfId="9206" xr:uid="{4B15B857-BB25-461E-9E8A-F7CBC8ED6F5E}"/>
    <cellStyle name="SAPBEXaggDataEmph 9 2 2 2" xfId="20748" xr:uid="{3BA68131-948E-4FD0-9D97-571CC4AA8B1F}"/>
    <cellStyle name="SAPBEXaggDataEmph 9 2 3" xfId="9207" xr:uid="{2724BAFB-7F12-49B4-9782-ED577434F94C}"/>
    <cellStyle name="SAPBEXaggDataEmph 9 2 3 2" xfId="20749" xr:uid="{2727B712-69CB-4598-ADDA-AF2C8436B23F}"/>
    <cellStyle name="SAPBEXaggDataEmph 9 2 4" xfId="9208" xr:uid="{5748A494-3BAE-4F50-ABDA-33F86BDCFF12}"/>
    <cellStyle name="SAPBEXaggDataEmph 9 2 4 2" xfId="20750" xr:uid="{C8869952-A0FD-4E0B-8B62-A2E7CB89D653}"/>
    <cellStyle name="SAPBEXaggDataEmph 9 2 5" xfId="9209" xr:uid="{35073F77-25E2-46B3-A8CF-21C6AE08CBDA}"/>
    <cellStyle name="SAPBEXaggDataEmph 9 2 5 2" xfId="20751" xr:uid="{EFC1203D-3408-4016-812F-8E8264580BF2}"/>
    <cellStyle name="SAPBEXaggDataEmph 9 2 6" xfId="20747" xr:uid="{799D628E-7932-4ECF-AC70-A1F9A35C1A11}"/>
    <cellStyle name="SAPBEXaggDataEmph 9 3" xfId="9210" xr:uid="{BF6D99D9-787F-4250-A7E5-DC128A605E1B}"/>
    <cellStyle name="SAPBEXaggDataEmph 9 3 2" xfId="20752" xr:uid="{292E7F2B-1BBA-46E1-BBEE-DA768BDE5976}"/>
    <cellStyle name="SAPBEXaggDataEmph 9 4" xfId="9211" xr:uid="{9453C59C-13F3-4E1B-ABD9-E6955155FF85}"/>
    <cellStyle name="SAPBEXaggDataEmph 9 4 2" xfId="20753" xr:uid="{81D6793E-2130-4948-BEE8-05317DC226E0}"/>
    <cellStyle name="SAPBEXaggDataEmph 9 5" xfId="9212" xr:uid="{64C66D34-EBCB-41B8-AF55-E0120DB1918E}"/>
    <cellStyle name="SAPBEXaggDataEmph 9 5 2" xfId="20754" xr:uid="{08157C0A-B917-4213-9924-47B24DBF2743}"/>
    <cellStyle name="SAPBEXaggDataEmph 9 6" xfId="9213" xr:uid="{491AF17C-BB8A-4FA0-B658-73A2E37CECA2}"/>
    <cellStyle name="SAPBEXaggDataEmph 9 6 2" xfId="20755" xr:uid="{976CE741-4976-40A7-8078-D9056E817DDB}"/>
    <cellStyle name="SAPBEXaggDataEmph 9 7" xfId="20746" xr:uid="{867F1965-D482-4FD3-81E8-03FAD5059538}"/>
    <cellStyle name="SAPBEXaggDataEmph_KTR An-Abflug" xfId="14721" xr:uid="{EE46C876-B473-41A5-A47D-778640960AA2}"/>
    <cellStyle name="SAPBEXaggItem" xfId="9214" xr:uid="{069733FC-2E03-46BE-9DB7-831A227813A9}"/>
    <cellStyle name="SAPBEXaggItem 10" xfId="9215" xr:uid="{3984E6C5-5BAB-44A5-B257-64229DDA659E}"/>
    <cellStyle name="SAPBEXaggItem 10 2" xfId="9216" xr:uid="{E90D1516-8DA2-431D-ACA5-80DE8D9941B3}"/>
    <cellStyle name="SAPBEXaggItem 10 2 2" xfId="9217" xr:uid="{C57FB45B-1B6D-4920-B5A5-7EBB4689E79B}"/>
    <cellStyle name="SAPBEXaggItem 10 2 2 2" xfId="20758" xr:uid="{93E408EB-51E5-4C61-8CD4-C5663B6AC394}"/>
    <cellStyle name="SAPBEXaggItem 10 2 3" xfId="9218" xr:uid="{DBD29C7A-D07E-4C41-954C-C0F213FDF750}"/>
    <cellStyle name="SAPBEXaggItem 10 2 3 2" xfId="20759" xr:uid="{8320C971-623B-405D-83B8-17CA4BC21BE1}"/>
    <cellStyle name="SAPBEXaggItem 10 2 4" xfId="9219" xr:uid="{89E14EAA-A95C-4204-9C11-A88813BB102F}"/>
    <cellStyle name="SAPBEXaggItem 10 2 4 2" xfId="20760" xr:uid="{8EF018E0-BEDD-4769-AD6E-1799AC5C6DBD}"/>
    <cellStyle name="SAPBEXaggItem 10 2 5" xfId="9220" xr:uid="{413CBE6C-BC61-4259-A40C-99A960FD84E1}"/>
    <cellStyle name="SAPBEXaggItem 10 2 5 2" xfId="20761" xr:uid="{B93D56E3-1005-4726-AD69-83B88F1CF027}"/>
    <cellStyle name="SAPBEXaggItem 10 2 6" xfId="20757" xr:uid="{A94984CF-CFC8-4B29-86B1-EDA5D5AFE3CA}"/>
    <cellStyle name="SAPBEXaggItem 10 3" xfId="9221" xr:uid="{A5319205-9BD3-4718-9A9B-2FA805069F11}"/>
    <cellStyle name="SAPBEXaggItem 10 3 2" xfId="20762" xr:uid="{81AFC142-04F4-4143-B845-32F73BF4BBA7}"/>
    <cellStyle name="SAPBEXaggItem 10 4" xfId="9222" xr:uid="{8C2F3761-FCF3-4F47-9135-99654314431D}"/>
    <cellStyle name="SAPBEXaggItem 10 4 2" xfId="20763" xr:uid="{88B846DD-1A02-4FBF-A5C1-E211CDCA183C}"/>
    <cellStyle name="SAPBEXaggItem 10 5" xfId="9223" xr:uid="{4A69E3A3-E1D8-457F-A866-FF8E498A1B6E}"/>
    <cellStyle name="SAPBEXaggItem 10 5 2" xfId="20764" xr:uid="{9307C4A9-8711-4F69-B297-1928C51C0640}"/>
    <cellStyle name="SAPBEXaggItem 10 6" xfId="9224" xr:uid="{67BA74DB-2C94-4FF0-9EB3-1FECD02157EB}"/>
    <cellStyle name="SAPBEXaggItem 10 6 2" xfId="20765" xr:uid="{8176DE14-D15F-4D59-9FDE-19B5CCDCE3FE}"/>
    <cellStyle name="SAPBEXaggItem 10 7" xfId="20756" xr:uid="{BC760545-DADB-4796-9A46-C9DEE6690B03}"/>
    <cellStyle name="SAPBEXaggItem 11" xfId="9225" xr:uid="{A6C3FEF4-134A-46F9-A8BE-F67D7CD51A9C}"/>
    <cellStyle name="SAPBEXaggItem 11 2" xfId="9226" xr:uid="{0AFF0A18-12F8-43D0-AF58-550FCF63961F}"/>
    <cellStyle name="SAPBEXaggItem 11 2 2" xfId="9227" xr:uid="{0755B156-01D0-46AF-BB76-8E0F5E063708}"/>
    <cellStyle name="SAPBEXaggItem 11 2 2 2" xfId="20768" xr:uid="{EE5FCCA3-93E9-4377-ADE1-9E02B8AD8DC2}"/>
    <cellStyle name="SAPBEXaggItem 11 2 3" xfId="9228" xr:uid="{02436276-2A44-4003-9AC0-9141A1AA2E1F}"/>
    <cellStyle name="SAPBEXaggItem 11 2 3 2" xfId="20769" xr:uid="{59A43A9D-1150-42D6-BEDC-00079E92603C}"/>
    <cellStyle name="SAPBEXaggItem 11 2 4" xfId="9229" xr:uid="{7131D71E-B6A2-4EFB-9CAC-C256485F4C02}"/>
    <cellStyle name="SAPBEXaggItem 11 2 4 2" xfId="20770" xr:uid="{B794A21A-5DB0-4E92-9DE8-9931B095B495}"/>
    <cellStyle name="SAPBEXaggItem 11 2 5" xfId="9230" xr:uid="{81271170-60F1-46CC-86AF-748875D45A75}"/>
    <cellStyle name="SAPBEXaggItem 11 2 5 2" xfId="20771" xr:uid="{62BF0BD6-2E4E-44F2-BD8D-5C8158B41E94}"/>
    <cellStyle name="SAPBEXaggItem 11 2 6" xfId="20767" xr:uid="{18D63F09-B962-4700-82BC-067E50B9C234}"/>
    <cellStyle name="SAPBEXaggItem 11 3" xfId="9231" xr:uid="{63B3A7A8-55E7-49BD-83F7-7E81BE383141}"/>
    <cellStyle name="SAPBEXaggItem 11 3 2" xfId="20772" xr:uid="{F4D4CE34-D81F-4998-A09C-A79AC5A5B956}"/>
    <cellStyle name="SAPBEXaggItem 11 4" xfId="9232" xr:uid="{B7B36853-B0FE-41D7-B2D0-EF99A4EB7761}"/>
    <cellStyle name="SAPBEXaggItem 11 4 2" xfId="20773" xr:uid="{9F7631AA-9125-44B6-89D9-8BD1549AA969}"/>
    <cellStyle name="SAPBEXaggItem 11 5" xfId="9233" xr:uid="{8984D2E0-17C1-424D-8F72-892A40ACA188}"/>
    <cellStyle name="SAPBEXaggItem 11 5 2" xfId="20774" xr:uid="{EF8E6A74-67D1-4138-9F1A-888BC9C2A5DC}"/>
    <cellStyle name="SAPBEXaggItem 11 6" xfId="9234" xr:uid="{22769D59-6018-4BB6-AFB8-7D22593DEE91}"/>
    <cellStyle name="SAPBEXaggItem 11 6 2" xfId="20775" xr:uid="{773BE080-DAD8-418F-A0E0-32B761D2A9DE}"/>
    <cellStyle name="SAPBEXaggItem 11 7" xfId="20766" xr:uid="{089CAE73-AD9E-4DA4-9759-DA5E44E7F10F}"/>
    <cellStyle name="SAPBEXaggItem 12" xfId="9235" xr:uid="{2F0144D6-B312-4B2E-B7C9-F6209AE9508A}"/>
    <cellStyle name="SAPBEXaggItem 12 2" xfId="9236" xr:uid="{09C9ADDF-FB9B-427B-9362-904B8FD22475}"/>
    <cellStyle name="SAPBEXaggItem 12 2 2" xfId="9237" xr:uid="{ACDF9D38-7333-41A1-9267-96F581910670}"/>
    <cellStyle name="SAPBEXaggItem 12 2 2 2" xfId="20778" xr:uid="{42C3A54E-74AE-41A5-8571-57A00BCD6A66}"/>
    <cellStyle name="SAPBEXaggItem 12 2 3" xfId="9238" xr:uid="{C89BA61B-644E-4EF8-8F16-02D22B2E12D6}"/>
    <cellStyle name="SAPBEXaggItem 12 2 3 2" xfId="20779" xr:uid="{CED676F2-4C56-429F-8989-A8E98E630C08}"/>
    <cellStyle name="SAPBEXaggItem 12 2 4" xfId="9239" xr:uid="{4EA3DC00-FA61-4CED-91FC-6B98EA1E4530}"/>
    <cellStyle name="SAPBEXaggItem 12 2 4 2" xfId="20780" xr:uid="{329A1F70-9E3F-4EDE-AFB0-9FBCD1488DB8}"/>
    <cellStyle name="SAPBEXaggItem 12 2 5" xfId="9240" xr:uid="{7C8E1D50-3AB9-4243-B329-7869DB1A880E}"/>
    <cellStyle name="SAPBEXaggItem 12 2 5 2" xfId="20781" xr:uid="{157F2CF4-994A-48D9-BD74-3CE65D64540C}"/>
    <cellStyle name="SAPBEXaggItem 12 2 6" xfId="20777" xr:uid="{FBEA8367-32F8-4B92-8188-1F0FD557B1E2}"/>
    <cellStyle name="SAPBEXaggItem 12 3" xfId="9241" xr:uid="{9E59B923-F86E-408F-9FF2-E14B20064CE1}"/>
    <cellStyle name="SAPBEXaggItem 12 3 2" xfId="20782" xr:uid="{05C9A1FE-FB53-4B30-8BC6-62BC175F65A8}"/>
    <cellStyle name="SAPBEXaggItem 12 4" xfId="9242" xr:uid="{A2282F8B-AD21-499E-95E9-49D363600205}"/>
    <cellStyle name="SAPBEXaggItem 12 4 2" xfId="20783" xr:uid="{99D29F10-0B59-4068-A94B-84167A0291A4}"/>
    <cellStyle name="SAPBEXaggItem 12 5" xfId="9243" xr:uid="{EBFAE208-B5EF-4DE6-A396-1F7057954063}"/>
    <cellStyle name="SAPBEXaggItem 12 5 2" xfId="20784" xr:uid="{AC511E5C-67F1-4A46-BCFF-CCB688AADC36}"/>
    <cellStyle name="SAPBEXaggItem 12 6" xfId="9244" xr:uid="{66380692-CFD9-4198-B873-D7E08FD6022D}"/>
    <cellStyle name="SAPBEXaggItem 12 6 2" xfId="20785" xr:uid="{819C073E-E9DB-40C7-87F7-9901448D3CC7}"/>
    <cellStyle name="SAPBEXaggItem 12 7" xfId="20776" xr:uid="{82333752-644D-4A4B-A474-7240A931F9CC}"/>
    <cellStyle name="SAPBEXaggItem 13" xfId="9245" xr:uid="{68E05CCE-8A97-4259-9FC1-28056DE2320D}"/>
    <cellStyle name="SAPBEXaggItem 13 2" xfId="9246" xr:uid="{F4EC0A8F-3BE9-4177-AFA3-1CB187B3BDB3}"/>
    <cellStyle name="SAPBEXaggItem 13 2 2" xfId="9247" xr:uid="{1D83DBC4-1804-4D71-99BD-1099EEA4CD6E}"/>
    <cellStyle name="SAPBEXaggItem 13 2 2 2" xfId="20788" xr:uid="{0D3A5C44-0367-41E5-83F1-762AA9C58AC9}"/>
    <cellStyle name="SAPBEXaggItem 13 2 3" xfId="9248" xr:uid="{6C03ACDD-8E35-4AC2-B7B7-0996CC1702A8}"/>
    <cellStyle name="SAPBEXaggItem 13 2 3 2" xfId="20789" xr:uid="{3FE1FD2B-98D0-4A9D-A4CE-D0DA74B8E5A3}"/>
    <cellStyle name="SAPBEXaggItem 13 2 4" xfId="9249" xr:uid="{74092201-21E4-4148-B268-E0324D949B94}"/>
    <cellStyle name="SAPBEXaggItem 13 2 4 2" xfId="20790" xr:uid="{D38EC87C-8CC4-4363-8CE4-07BBF678876B}"/>
    <cellStyle name="SAPBEXaggItem 13 2 5" xfId="9250" xr:uid="{6687ADF4-9B2C-4565-B4CC-C41586C9EBBF}"/>
    <cellStyle name="SAPBEXaggItem 13 2 5 2" xfId="20791" xr:uid="{A298091A-D100-47EA-8BB9-55E223C57D6D}"/>
    <cellStyle name="SAPBEXaggItem 13 2 6" xfId="20787" xr:uid="{B12E68FE-7985-48D0-8613-0382A4AA9797}"/>
    <cellStyle name="SAPBEXaggItem 13 3" xfId="9251" xr:uid="{ADB98B74-40DC-4F70-A2D9-FA51E9A9A5EB}"/>
    <cellStyle name="SAPBEXaggItem 13 3 2" xfId="20792" xr:uid="{B8815543-A436-4AB3-AC09-A0C5437A2AC3}"/>
    <cellStyle name="SAPBEXaggItem 13 4" xfId="9252" xr:uid="{910F6534-C90C-4244-A22F-D640833E15D7}"/>
    <cellStyle name="SAPBEXaggItem 13 4 2" xfId="20793" xr:uid="{FCCFE05B-0CE9-4EEC-9CD0-477D8226D53B}"/>
    <cellStyle name="SAPBEXaggItem 13 5" xfId="9253" xr:uid="{713E1D61-8A55-48BB-8EDB-4571199D13B8}"/>
    <cellStyle name="SAPBEXaggItem 13 5 2" xfId="20794" xr:uid="{9204BDE0-A40D-4788-B541-0B124CE0F961}"/>
    <cellStyle name="SAPBEXaggItem 13 6" xfId="9254" xr:uid="{6CAD8399-0A1B-4529-AA46-889868013FFE}"/>
    <cellStyle name="SAPBEXaggItem 13 6 2" xfId="20795" xr:uid="{D6C261B4-ABB5-4378-9FA1-B0C370520799}"/>
    <cellStyle name="SAPBEXaggItem 13 7" xfId="20786" xr:uid="{92907A13-A6E4-4C46-AFEB-0ACC30537D59}"/>
    <cellStyle name="SAPBEXaggItem 14" xfId="9255" xr:uid="{7F78DE11-D551-4D72-90D2-526043DA4782}"/>
    <cellStyle name="SAPBEXaggItem 14 2" xfId="9256" xr:uid="{3CAE7A45-275B-40AD-B900-E25227C6E547}"/>
    <cellStyle name="SAPBEXaggItem 14 2 2" xfId="9257" xr:uid="{9D6C97A0-2334-4CB9-97A7-54E78B79D4DA}"/>
    <cellStyle name="SAPBEXaggItem 14 2 2 2" xfId="20798" xr:uid="{7A58BA38-FEBF-4AF3-9FCA-EC1360D47740}"/>
    <cellStyle name="SAPBEXaggItem 14 2 3" xfId="9258" xr:uid="{EE200C2B-10CA-41C9-B870-908A2D9210A6}"/>
    <cellStyle name="SAPBEXaggItem 14 2 3 2" xfId="20799" xr:uid="{8767138E-8DF1-4B4D-A238-71BDD9447560}"/>
    <cellStyle name="SAPBEXaggItem 14 2 4" xfId="9259" xr:uid="{7F33A8E6-D0BA-4E2C-8EE0-CF756B085A3B}"/>
    <cellStyle name="SAPBEXaggItem 14 2 4 2" xfId="20800" xr:uid="{9924BED1-4DF4-49C2-A733-B69E24A2A7ED}"/>
    <cellStyle name="SAPBEXaggItem 14 2 5" xfId="9260" xr:uid="{7156F3D1-A1BC-4A50-ADDD-E2C64BCCE46A}"/>
    <cellStyle name="SAPBEXaggItem 14 2 5 2" xfId="20801" xr:uid="{A15A6DE7-5E7B-4798-A3A3-74C4CF7DF787}"/>
    <cellStyle name="SAPBEXaggItem 14 2 6" xfId="20797" xr:uid="{FC7164BD-BFEB-4D2D-9A04-71FEAAF91CC1}"/>
    <cellStyle name="SAPBEXaggItem 14 3" xfId="9261" xr:uid="{59F53D3F-F0AF-4B9D-9A77-42833D302A53}"/>
    <cellStyle name="SAPBEXaggItem 14 3 2" xfId="20802" xr:uid="{B2B75F3B-C934-4AEF-A728-8CFFA99DC3C5}"/>
    <cellStyle name="SAPBEXaggItem 14 4" xfId="9262" xr:uid="{95E1459A-8321-42D2-8CEA-03E6A22DB214}"/>
    <cellStyle name="SAPBEXaggItem 14 4 2" xfId="20803" xr:uid="{AE6F6FAC-F080-4F51-A062-D601654119A5}"/>
    <cellStyle name="SAPBEXaggItem 14 5" xfId="9263" xr:uid="{1693B843-6D36-47B9-970D-2138A459AB73}"/>
    <cellStyle name="SAPBEXaggItem 14 5 2" xfId="20804" xr:uid="{CD87E5A2-D027-4F9A-A40C-BF367B0749AA}"/>
    <cellStyle name="SAPBEXaggItem 14 6" xfId="9264" xr:uid="{DFEEC7DB-4741-4893-9AF9-C2B2877BF384}"/>
    <cellStyle name="SAPBEXaggItem 14 6 2" xfId="20805" xr:uid="{B6CEA2A0-3F7A-4EE4-B852-CA6C6F2AEDE1}"/>
    <cellStyle name="SAPBEXaggItem 14 7" xfId="20796" xr:uid="{22535C76-4A18-4B57-ACC5-A6490FE28029}"/>
    <cellStyle name="SAPBEXaggItem 15" xfId="9265" xr:uid="{765CF01F-9B56-4151-BADA-75BE858E7455}"/>
    <cellStyle name="SAPBEXaggItem 15 2" xfId="9266" xr:uid="{88DA6BBD-8A4D-4F69-987D-2608C35868C9}"/>
    <cellStyle name="SAPBEXaggItem 15 2 2" xfId="9267" xr:uid="{6514B691-009B-4787-B95B-5A9A9C44F21B}"/>
    <cellStyle name="SAPBEXaggItem 15 2 2 2" xfId="20808" xr:uid="{2B6898F3-CEAE-485C-9121-714E31D6B199}"/>
    <cellStyle name="SAPBEXaggItem 15 2 3" xfId="9268" xr:uid="{52397927-ECF6-4183-904C-7014997B0E7A}"/>
    <cellStyle name="SAPBEXaggItem 15 2 3 2" xfId="20809" xr:uid="{3BA4EB11-E981-4322-B488-0F3A660B5CB6}"/>
    <cellStyle name="SAPBEXaggItem 15 2 4" xfId="9269" xr:uid="{ECD94B2C-F34B-4139-9A0C-841A9AE36CAE}"/>
    <cellStyle name="SAPBEXaggItem 15 2 4 2" xfId="20810" xr:uid="{52BC917E-D1AD-4E6E-B274-9D30D5E32A77}"/>
    <cellStyle name="SAPBEXaggItem 15 2 5" xfId="9270" xr:uid="{4FE49D93-A3AD-467B-8DC0-C7B45A755493}"/>
    <cellStyle name="SAPBEXaggItem 15 2 5 2" xfId="20811" xr:uid="{476B4D99-CBEA-4FD7-A34B-5C8C221A9472}"/>
    <cellStyle name="SAPBEXaggItem 15 2 6" xfId="20807" xr:uid="{BDAEE9AC-BF32-4048-9B14-BB4F11E37A17}"/>
    <cellStyle name="SAPBEXaggItem 15 3" xfId="9271" xr:uid="{C079738E-EE10-4389-A58D-5F13DDC5A804}"/>
    <cellStyle name="SAPBEXaggItem 15 3 2" xfId="20812" xr:uid="{8627733C-DFB1-46C7-8C17-E761A523A67A}"/>
    <cellStyle name="SAPBEXaggItem 15 4" xfId="9272" xr:uid="{40D9DE5F-040C-447F-AEA9-19DBE467B393}"/>
    <cellStyle name="SAPBEXaggItem 15 4 2" xfId="20813" xr:uid="{DBC6CEE1-37F7-49CC-855C-FD627886FDA8}"/>
    <cellStyle name="SAPBEXaggItem 15 5" xfId="9273" xr:uid="{09DAEEF3-4ED5-48FB-8B0A-0D0AEA677E0C}"/>
    <cellStyle name="SAPBEXaggItem 15 5 2" xfId="20814" xr:uid="{58629E22-719C-4ED6-B163-483605ADACE7}"/>
    <cellStyle name="SAPBEXaggItem 15 6" xfId="9274" xr:uid="{2F982896-8F5D-4075-8271-4E1D2614E483}"/>
    <cellStyle name="SAPBEXaggItem 15 6 2" xfId="20815" xr:uid="{A9ADC5A1-BF71-4600-9C90-6A272AF87C33}"/>
    <cellStyle name="SAPBEXaggItem 15 7" xfId="20806" xr:uid="{2CB179B4-F2DE-4D41-A7C9-593650BAF7C7}"/>
    <cellStyle name="SAPBEXaggItem 16" xfId="9275" xr:uid="{BAFC96CD-B463-48D3-A175-3EB902E307E2}"/>
    <cellStyle name="SAPBEXaggItem 16 2" xfId="20816" xr:uid="{47BB283F-BB56-4C93-BD5F-79E2FC73F3FF}"/>
    <cellStyle name="SAPBEXaggItem 17" xfId="9276" xr:uid="{BB541981-C647-40FC-AAEB-01C62441613A}"/>
    <cellStyle name="SAPBEXaggItem 17 2" xfId="20817" xr:uid="{BB74FF24-ECCB-4F80-ADFF-738F0A644DDF}"/>
    <cellStyle name="SAPBEXaggItem 18" xfId="9277" xr:uid="{A7197990-1870-438B-AFCB-648A23417844}"/>
    <cellStyle name="SAPBEXaggItem 18 2" xfId="20818" xr:uid="{90B12CA8-D3BB-40FA-BD2B-2DA55E8C52A5}"/>
    <cellStyle name="SAPBEXaggItem 19" xfId="9278" xr:uid="{3CBDAAA6-C03F-4FF9-B095-6A343FC08B20}"/>
    <cellStyle name="SAPBEXaggItem 19 2" xfId="20819" xr:uid="{E81A885B-DD3B-4EBD-890F-1B52E94BE9C8}"/>
    <cellStyle name="SAPBEXaggItem 2" xfId="9279" xr:uid="{DEE09932-E973-42D0-8B94-04EC79259BBD}"/>
    <cellStyle name="SAPBEXaggItem 2 2" xfId="9280" xr:uid="{EA428770-A384-4190-903C-1AA5D72C3E05}"/>
    <cellStyle name="SAPBEXaggItem 2 2 2" xfId="9281" xr:uid="{70349193-3309-490F-94B9-661E94ECC426}"/>
    <cellStyle name="SAPBEXaggItem 2 2 2 2" xfId="20822" xr:uid="{D5E5ACFD-C8F3-4CB4-998D-5AD07A0B44F7}"/>
    <cellStyle name="SAPBEXaggItem 2 2 3" xfId="9282" xr:uid="{9785EAE6-2B20-45AC-BE4D-50CCD52CAF6F}"/>
    <cellStyle name="SAPBEXaggItem 2 2 3 2" xfId="20823" xr:uid="{2005C8E7-E873-46A0-9C85-21DE775AFB3E}"/>
    <cellStyle name="SAPBEXaggItem 2 2 4" xfId="9283" xr:uid="{86CDFD2A-72A5-43B8-A015-C9DC212BDEB5}"/>
    <cellStyle name="SAPBEXaggItem 2 2 4 2" xfId="20824" xr:uid="{05D199EF-F609-4CCE-936B-96C98EF2D9B9}"/>
    <cellStyle name="SAPBEXaggItem 2 2 5" xfId="9284" xr:uid="{C3CA2E89-56BC-4B82-8A65-CCA2BDD55041}"/>
    <cellStyle name="SAPBEXaggItem 2 2 5 2" xfId="20825" xr:uid="{C2A48DAD-9A4D-4914-9CED-6656870A68ED}"/>
    <cellStyle name="SAPBEXaggItem 2 2 6" xfId="20821" xr:uid="{11529F8A-83D4-4E8C-BCFA-79B54CD178C3}"/>
    <cellStyle name="SAPBEXaggItem 2 3" xfId="9285" xr:uid="{E2F9810A-223E-4BDF-9E8C-66B5D63270A1}"/>
    <cellStyle name="SAPBEXaggItem 2 3 2" xfId="20826" xr:uid="{4B7856EB-04BD-49CB-B75D-A807668D74D7}"/>
    <cellStyle name="SAPBEXaggItem 2 4" xfId="9286" xr:uid="{679AE6AF-4BC9-4F82-99A1-3796A76D069D}"/>
    <cellStyle name="SAPBEXaggItem 2 4 2" xfId="20827" xr:uid="{CDCA8A15-1028-411F-AA2C-22D37BCD7465}"/>
    <cellStyle name="SAPBEXaggItem 2 5" xfId="9287" xr:uid="{A1420740-0BFB-4645-877A-347057DC652F}"/>
    <cellStyle name="SAPBEXaggItem 2 5 2" xfId="20828" xr:uid="{F9970B1E-3161-41DB-BF94-DAD93B78F07F}"/>
    <cellStyle name="SAPBEXaggItem 2 6" xfId="9288" xr:uid="{FF71E5A4-DDC2-4FF0-9CB9-F77693FF5874}"/>
    <cellStyle name="SAPBEXaggItem 2 6 2" xfId="20829" xr:uid="{18F2526A-EEC3-453B-A137-4F47F9E80A50}"/>
    <cellStyle name="SAPBEXaggItem 2 7" xfId="20820" xr:uid="{38B62744-6523-4044-B890-A7DC38A29E68}"/>
    <cellStyle name="SAPBEXaggItem 20" xfId="15162" xr:uid="{FBF44C71-2029-41FB-B9BE-CB0A6E325A68}"/>
    <cellStyle name="SAPBEXaggItem 3" xfId="9289" xr:uid="{85EDD3A1-9A21-49CD-BC04-888954B3F793}"/>
    <cellStyle name="SAPBEXaggItem 3 2" xfId="9290" xr:uid="{5BFFDC2B-5C64-4FC1-8421-7FE47B2D663C}"/>
    <cellStyle name="SAPBEXaggItem 3 2 2" xfId="9291" xr:uid="{F11D68BB-67C2-4B2B-B969-1AC7B28FC6E5}"/>
    <cellStyle name="SAPBEXaggItem 3 2 2 2" xfId="20832" xr:uid="{CD0B670A-BA03-46DD-BA0A-3F634D7102CF}"/>
    <cellStyle name="SAPBEXaggItem 3 2 3" xfId="9292" xr:uid="{BBBF6026-7B14-47DE-A0CA-58FAFEBA6AC7}"/>
    <cellStyle name="SAPBEXaggItem 3 2 3 2" xfId="20833" xr:uid="{66364EAD-2C72-4615-954D-4513BE648BBB}"/>
    <cellStyle name="SAPBEXaggItem 3 2 4" xfId="9293" xr:uid="{C16C87D7-F3E6-4FEB-8EB9-F61424BE1092}"/>
    <cellStyle name="SAPBEXaggItem 3 2 4 2" xfId="20834" xr:uid="{2C7BAEFF-3603-4E7F-A260-168DAE73E9FB}"/>
    <cellStyle name="SAPBEXaggItem 3 2 5" xfId="9294" xr:uid="{61196078-20B8-4FE8-95D7-A96DC26338CE}"/>
    <cellStyle name="SAPBEXaggItem 3 2 5 2" xfId="20835" xr:uid="{605CED73-620E-494C-B8EC-0B30D38D5814}"/>
    <cellStyle name="SAPBEXaggItem 3 2 6" xfId="20831" xr:uid="{8CE9D36E-3982-4C02-A2C8-601A24E6B1CD}"/>
    <cellStyle name="SAPBEXaggItem 3 3" xfId="9295" xr:uid="{A5628CBA-B867-48C3-AF28-7B03AB8FB9F6}"/>
    <cellStyle name="SAPBEXaggItem 3 3 2" xfId="20836" xr:uid="{971401C2-6681-4501-82D2-ADEEE443591A}"/>
    <cellStyle name="SAPBEXaggItem 3 4" xfId="9296" xr:uid="{37AB795B-463F-4514-A771-3D7143FDF17C}"/>
    <cellStyle name="SAPBEXaggItem 3 4 2" xfId="20837" xr:uid="{3A717E9D-BA0C-4ADE-A29C-99EC7E8D0F82}"/>
    <cellStyle name="SAPBEXaggItem 3 5" xfId="9297" xr:uid="{0CF2975D-DA40-43F6-AC21-36CC3E4E03AA}"/>
    <cellStyle name="SAPBEXaggItem 3 5 2" xfId="20838" xr:uid="{DC925CD1-3DA0-4936-A4B6-42711B300C2D}"/>
    <cellStyle name="SAPBEXaggItem 3 6" xfId="9298" xr:uid="{E352472C-70D6-46BA-8E6E-0DCA2DC5F9F7}"/>
    <cellStyle name="SAPBEXaggItem 3 6 2" xfId="20839" xr:uid="{021062BC-AA9A-4DEC-A5A2-BD721A3A1CD9}"/>
    <cellStyle name="SAPBEXaggItem 3 7" xfId="20830" xr:uid="{AE28E8D2-ACC9-4219-9EC5-0F2E02BA966F}"/>
    <cellStyle name="SAPBEXaggItem 4" xfId="9299" xr:uid="{E67CAF3B-BEE0-4A6C-A9CB-490AB262E8C3}"/>
    <cellStyle name="SAPBEXaggItem 4 2" xfId="9300" xr:uid="{95035839-9759-4654-9EEC-43214AE93F25}"/>
    <cellStyle name="SAPBEXaggItem 4 2 2" xfId="9301" xr:uid="{B857638C-7CA9-4230-BAE5-2556EE34FDD5}"/>
    <cellStyle name="SAPBEXaggItem 4 2 2 2" xfId="20842" xr:uid="{D01C6FA3-CA4E-438D-AE9A-FBB576AAA1A5}"/>
    <cellStyle name="SAPBEXaggItem 4 2 3" xfId="9302" xr:uid="{B786EC25-9F05-4D9E-904D-59924B4E3246}"/>
    <cellStyle name="SAPBEXaggItem 4 2 3 2" xfId="20843" xr:uid="{0D4F721C-2A68-47E7-B6C7-56DE52648A6F}"/>
    <cellStyle name="SAPBEXaggItem 4 2 4" xfId="9303" xr:uid="{6C57DD7C-A3E7-4477-BBFC-7B41992D79E0}"/>
    <cellStyle name="SAPBEXaggItem 4 2 4 2" xfId="20844" xr:uid="{03593D45-6750-443F-ABA7-517B4F9F9293}"/>
    <cellStyle name="SAPBEXaggItem 4 2 5" xfId="9304" xr:uid="{BAC6795A-5383-4CD1-973B-AF4C28BC65BB}"/>
    <cellStyle name="SAPBEXaggItem 4 2 5 2" xfId="20845" xr:uid="{CB969DA3-D8E5-4C55-94E9-887DB69F3A9B}"/>
    <cellStyle name="SAPBEXaggItem 4 2 6" xfId="20841" xr:uid="{E22B747B-BFE8-4221-BAC8-F3B160948155}"/>
    <cellStyle name="SAPBEXaggItem 4 3" xfId="9305" xr:uid="{DE363C18-E9C5-4F27-9CC7-AD668EDF15CE}"/>
    <cellStyle name="SAPBEXaggItem 4 3 2" xfId="20846" xr:uid="{5825F933-D555-49A8-BC3C-C0F56B65A937}"/>
    <cellStyle name="SAPBEXaggItem 4 4" xfId="9306" xr:uid="{CD91FD99-F57C-46F8-BCBD-40D637812875}"/>
    <cellStyle name="SAPBEXaggItem 4 4 2" xfId="20847" xr:uid="{73E9C498-1B58-42CF-90BB-1E030A981827}"/>
    <cellStyle name="SAPBEXaggItem 4 5" xfId="9307" xr:uid="{55B79800-4AA7-48BC-9FD3-0C0442231719}"/>
    <cellStyle name="SAPBEXaggItem 4 5 2" xfId="20848" xr:uid="{163E7588-4046-4129-9559-FB8FF16C4D78}"/>
    <cellStyle name="SAPBEXaggItem 4 6" xfId="9308" xr:uid="{63C64373-A7CD-4F6E-A68D-36465582F98A}"/>
    <cellStyle name="SAPBEXaggItem 4 6 2" xfId="20849" xr:uid="{6D844242-4B06-4B00-9929-23D835DB08AC}"/>
    <cellStyle name="SAPBEXaggItem 4 7" xfId="20840" xr:uid="{D4A01225-1E3F-40D0-B672-63B822AB72B3}"/>
    <cellStyle name="SAPBEXaggItem 5" xfId="9309" xr:uid="{7B1368F9-1BDF-4F39-98F1-06AD753679CA}"/>
    <cellStyle name="SAPBEXaggItem 5 2" xfId="9310" xr:uid="{E022DB1F-CC0A-402F-A89E-1AA6C4A54802}"/>
    <cellStyle name="SAPBEXaggItem 5 2 2" xfId="9311" xr:uid="{9169CB43-1B97-45F2-956D-6437F81E98DC}"/>
    <cellStyle name="SAPBEXaggItem 5 2 2 2" xfId="20852" xr:uid="{BF0366E3-3A52-47A6-A3F8-83C9620405C0}"/>
    <cellStyle name="SAPBEXaggItem 5 2 3" xfId="9312" xr:uid="{3229445F-122B-4A54-9767-6F5DA65A4822}"/>
    <cellStyle name="SAPBEXaggItem 5 2 3 2" xfId="20853" xr:uid="{690BE2D5-6665-4379-ABCB-C2D932DBA2A5}"/>
    <cellStyle name="SAPBEXaggItem 5 2 4" xfId="9313" xr:uid="{5A7DAF74-93C4-4961-9115-860439EDD618}"/>
    <cellStyle name="SAPBEXaggItem 5 2 4 2" xfId="20854" xr:uid="{9A32C67E-B071-4F6C-8580-34C4045BAC41}"/>
    <cellStyle name="SAPBEXaggItem 5 2 5" xfId="9314" xr:uid="{49777306-D46C-4B5F-AF3D-9F78FE1C4A95}"/>
    <cellStyle name="SAPBEXaggItem 5 2 5 2" xfId="20855" xr:uid="{D65D09F1-9589-4437-AAA9-3D18ADE711B1}"/>
    <cellStyle name="SAPBEXaggItem 5 2 6" xfId="20851" xr:uid="{883A2787-95F0-45C2-B3A0-4BF49829AFB9}"/>
    <cellStyle name="SAPBEXaggItem 5 3" xfId="9315" xr:uid="{4ED6C964-F2A6-4D89-AA8E-B2B958794C80}"/>
    <cellStyle name="SAPBEXaggItem 5 3 2" xfId="20856" xr:uid="{D3507AB9-9BC7-4ECE-9C60-B85AA9128A83}"/>
    <cellStyle name="SAPBEXaggItem 5 4" xfId="9316" xr:uid="{C10A2E42-4B7E-4448-816D-0F1EFA146B73}"/>
    <cellStyle name="SAPBEXaggItem 5 4 2" xfId="20857" xr:uid="{649AA23F-6A60-411E-91BE-2C5FDDC26367}"/>
    <cellStyle name="SAPBEXaggItem 5 5" xfId="9317" xr:uid="{D97B1C83-B6DB-4896-9DB7-CA56FFBBFB70}"/>
    <cellStyle name="SAPBEXaggItem 5 5 2" xfId="20858" xr:uid="{B156DD9A-9B3B-4261-88F3-EAC1EEC13107}"/>
    <cellStyle name="SAPBEXaggItem 5 6" xfId="9318" xr:uid="{B2428E23-D458-4127-A3E3-2B64F6806A51}"/>
    <cellStyle name="SAPBEXaggItem 5 6 2" xfId="20859" xr:uid="{DDA2CAF9-E8F3-422F-8635-49B7DB4BC60E}"/>
    <cellStyle name="SAPBEXaggItem 5 7" xfId="20850" xr:uid="{E2DEE01E-FBAD-4216-93C8-F366F43C69B1}"/>
    <cellStyle name="SAPBEXaggItem 6" xfId="9319" xr:uid="{227AD634-E381-43C3-9863-A719D8F7ADDB}"/>
    <cellStyle name="SAPBEXaggItem 6 2" xfId="9320" xr:uid="{4DCAE276-4780-48BA-A98E-2CABF89792B5}"/>
    <cellStyle name="SAPBEXaggItem 6 2 2" xfId="9321" xr:uid="{4ACF87F3-4414-4EA8-9719-3C596E5EE18D}"/>
    <cellStyle name="SAPBEXaggItem 6 2 2 2" xfId="20862" xr:uid="{CB93CBE8-27C4-4ECA-9DD2-78723074FC8B}"/>
    <cellStyle name="SAPBEXaggItem 6 2 3" xfId="9322" xr:uid="{3E5C55E5-A022-4A7B-B23F-1477775C6383}"/>
    <cellStyle name="SAPBEXaggItem 6 2 3 2" xfId="20863" xr:uid="{1A35DA4C-6F15-4232-B87C-C40D2FABEBBE}"/>
    <cellStyle name="SAPBEXaggItem 6 2 4" xfId="9323" xr:uid="{DE963C0C-43D7-4524-85F2-5FC0D0F415E2}"/>
    <cellStyle name="SAPBEXaggItem 6 2 4 2" xfId="20864" xr:uid="{61A10BD0-3279-488C-A692-37C6D4B27E36}"/>
    <cellStyle name="SAPBEXaggItem 6 2 5" xfId="9324" xr:uid="{C9905592-4DB2-41F9-98FF-9D4C07C28742}"/>
    <cellStyle name="SAPBEXaggItem 6 2 5 2" xfId="20865" xr:uid="{F8527F24-B1E8-4C38-8A3B-8C9A9BFEAFD7}"/>
    <cellStyle name="SAPBEXaggItem 6 2 6" xfId="20861" xr:uid="{862607F1-3740-40B9-AEA4-0CA7B7AE17A3}"/>
    <cellStyle name="SAPBEXaggItem 6 3" xfId="9325" xr:uid="{CDFFB3FD-8EF7-493B-96F6-403BC415918F}"/>
    <cellStyle name="SAPBEXaggItem 6 3 2" xfId="20866" xr:uid="{5438F62B-B9DE-4B09-94B8-C0E53B466A38}"/>
    <cellStyle name="SAPBEXaggItem 6 4" xfId="9326" xr:uid="{3FEDC404-0558-4A79-9039-C7697F0E9217}"/>
    <cellStyle name="SAPBEXaggItem 6 4 2" xfId="20867" xr:uid="{81A46009-2A9C-474B-81FE-D5843B08088E}"/>
    <cellStyle name="SAPBEXaggItem 6 5" xfId="9327" xr:uid="{C7DEF2E2-DBF5-4E4F-BF8C-F496C164D5D7}"/>
    <cellStyle name="SAPBEXaggItem 6 5 2" xfId="20868" xr:uid="{FBB5C5D7-B227-4EC9-900A-3DA6277EF2A8}"/>
    <cellStyle name="SAPBEXaggItem 6 6" xfId="9328" xr:uid="{C8BFDD3A-83AD-4132-AE47-F76C08B3F514}"/>
    <cellStyle name="SAPBEXaggItem 6 6 2" xfId="20869" xr:uid="{E7DCD39C-8E6C-4ED9-AD36-3738007FF485}"/>
    <cellStyle name="SAPBEXaggItem 6 7" xfId="20860" xr:uid="{852DD158-0D45-4A78-A80F-D05DF93DDC7C}"/>
    <cellStyle name="SAPBEXaggItem 7" xfId="9329" xr:uid="{62D0016C-DB4F-4AD7-84C0-6EE6EB1722DB}"/>
    <cellStyle name="SAPBEXaggItem 7 2" xfId="9330" xr:uid="{66B94DD0-9499-41AB-B753-547E11F0D927}"/>
    <cellStyle name="SAPBEXaggItem 7 2 2" xfId="9331" xr:uid="{4558169F-720E-46D7-A16C-7673EA4C45AB}"/>
    <cellStyle name="SAPBEXaggItem 7 2 2 2" xfId="20872" xr:uid="{C59D0487-49DB-4108-AF87-4184A3FD9568}"/>
    <cellStyle name="SAPBEXaggItem 7 2 3" xfId="9332" xr:uid="{C1BDDA5B-6899-48D1-B448-5569A14FB2D9}"/>
    <cellStyle name="SAPBEXaggItem 7 2 3 2" xfId="20873" xr:uid="{C3EABA47-90D8-425B-8567-7F21D43A9439}"/>
    <cellStyle name="SAPBEXaggItem 7 2 4" xfId="9333" xr:uid="{D7405529-CE6C-4D35-9643-FA0414A791D0}"/>
    <cellStyle name="SAPBEXaggItem 7 2 4 2" xfId="20874" xr:uid="{FD243671-FA07-4E8E-8BB5-6F65893001C5}"/>
    <cellStyle name="SAPBEXaggItem 7 2 5" xfId="9334" xr:uid="{273DB3FC-464B-4C2E-AEEF-B70941F4CA4B}"/>
    <cellStyle name="SAPBEXaggItem 7 2 5 2" xfId="20875" xr:uid="{B3088197-A64C-4F9E-A009-14FAE4983C2A}"/>
    <cellStyle name="SAPBEXaggItem 7 2 6" xfId="20871" xr:uid="{C149A9AB-BFCF-495D-B6E9-51D88902E342}"/>
    <cellStyle name="SAPBEXaggItem 7 3" xfId="9335" xr:uid="{4407A880-F945-4362-B5D4-7CF1F9D28463}"/>
    <cellStyle name="SAPBEXaggItem 7 3 2" xfId="20876" xr:uid="{33A17CB9-4C24-4CF6-96AF-683CF65B20AC}"/>
    <cellStyle name="SAPBEXaggItem 7 4" xfId="9336" xr:uid="{2AA7BF01-168A-4342-B6CD-C130257CBBE3}"/>
    <cellStyle name="SAPBEXaggItem 7 4 2" xfId="20877" xr:uid="{A22917F6-B476-40E2-B652-84C14EACD669}"/>
    <cellStyle name="SAPBEXaggItem 7 5" xfId="9337" xr:uid="{4915C1A8-E93F-435E-8875-2DE6CB2E1C8B}"/>
    <cellStyle name="SAPBEXaggItem 7 5 2" xfId="20878" xr:uid="{D07215D9-760F-44C1-8A2A-73624628AA98}"/>
    <cellStyle name="SAPBEXaggItem 7 6" xfId="9338" xr:uid="{2B99022C-F5F7-4873-B7F9-CBF060D341C3}"/>
    <cellStyle name="SAPBEXaggItem 7 6 2" xfId="20879" xr:uid="{50BE4A38-5B84-4BBF-95EB-85D402DA463C}"/>
    <cellStyle name="SAPBEXaggItem 7 7" xfId="20870" xr:uid="{76F5B103-C1CD-4FA9-AA0E-29C79FF4E2EE}"/>
    <cellStyle name="SAPBEXaggItem 8" xfId="9339" xr:uid="{F0EA5F0A-A219-4001-9488-9FADE45DFB65}"/>
    <cellStyle name="SAPBEXaggItem 8 2" xfId="9340" xr:uid="{12C23E60-36F8-41F3-BF02-FA2661AC9913}"/>
    <cellStyle name="SAPBEXaggItem 8 2 2" xfId="9341" xr:uid="{43A14871-8CB1-48CB-B91C-C60139D1B8C8}"/>
    <cellStyle name="SAPBEXaggItem 8 2 2 2" xfId="20882" xr:uid="{5BAE0F71-69C9-4411-839D-38B7FE5D1243}"/>
    <cellStyle name="SAPBEXaggItem 8 2 3" xfId="9342" xr:uid="{53B8FA91-264A-4752-A96C-F7203D707A14}"/>
    <cellStyle name="SAPBEXaggItem 8 2 3 2" xfId="20883" xr:uid="{1F88B4F9-3650-4556-BC83-0E2C5A2F1A0D}"/>
    <cellStyle name="SAPBEXaggItem 8 2 4" xfId="9343" xr:uid="{A444AF61-670E-45D7-B53D-690A23FB13DF}"/>
    <cellStyle name="SAPBEXaggItem 8 2 4 2" xfId="20884" xr:uid="{0D0F610C-619B-4CE6-9F3F-45274BABB3D3}"/>
    <cellStyle name="SAPBEXaggItem 8 2 5" xfId="9344" xr:uid="{E5399088-1888-436B-AE55-D17C7E6A450E}"/>
    <cellStyle name="SAPBEXaggItem 8 2 5 2" xfId="20885" xr:uid="{9819FAD0-852E-4814-9666-9E044D4A0762}"/>
    <cellStyle name="SAPBEXaggItem 8 2 6" xfId="20881" xr:uid="{9286C192-227B-44B5-8C9A-7DEE2E6769BA}"/>
    <cellStyle name="SAPBEXaggItem 8 3" xfId="9345" xr:uid="{627AD773-71D5-4678-86A8-C129EAA05B7E}"/>
    <cellStyle name="SAPBEXaggItem 8 3 2" xfId="20886" xr:uid="{4497878A-85BE-4573-BF50-7FD1EA77109E}"/>
    <cellStyle name="SAPBEXaggItem 8 4" xfId="9346" xr:uid="{16062C5F-6EBA-4551-A504-5930897475F8}"/>
    <cellStyle name="SAPBEXaggItem 8 4 2" xfId="20887" xr:uid="{DDA07F33-83B5-4EC4-8B11-3826447943DE}"/>
    <cellStyle name="SAPBEXaggItem 8 5" xfId="9347" xr:uid="{243BD372-1D11-4AE7-B8CA-7BD7D0E7A381}"/>
    <cellStyle name="SAPBEXaggItem 8 5 2" xfId="20888" xr:uid="{9848623B-38B2-4102-A755-177D06189456}"/>
    <cellStyle name="SAPBEXaggItem 8 6" xfId="9348" xr:uid="{09CA1BD1-42CB-4FF0-9B11-632D27204C91}"/>
    <cellStyle name="SAPBEXaggItem 8 6 2" xfId="20889" xr:uid="{4D81554D-A971-4D89-81CF-1C30788D246D}"/>
    <cellStyle name="SAPBEXaggItem 8 7" xfId="20880" xr:uid="{083FE5AF-EDB1-4616-85BF-B5BB1ADE0E24}"/>
    <cellStyle name="SAPBEXaggItem 9" xfId="9349" xr:uid="{A0BFD2BB-DAD9-41F4-B06D-44A26CED469E}"/>
    <cellStyle name="SAPBEXaggItem 9 2" xfId="9350" xr:uid="{BA144286-957B-4CD2-833A-D5CB54021593}"/>
    <cellStyle name="SAPBEXaggItem 9 2 2" xfId="9351" xr:uid="{B1966024-87C8-4A66-8BEA-E94A852DC901}"/>
    <cellStyle name="SAPBEXaggItem 9 2 2 2" xfId="20892" xr:uid="{7007080A-5DB2-4B45-9DD1-6B6240D8FCBC}"/>
    <cellStyle name="SAPBEXaggItem 9 2 3" xfId="9352" xr:uid="{9C41C542-5AD6-4DFA-8D15-370421ADC25E}"/>
    <cellStyle name="SAPBEXaggItem 9 2 3 2" xfId="20893" xr:uid="{225040ED-6083-4F87-A97A-66E3DBF00EBA}"/>
    <cellStyle name="SAPBEXaggItem 9 2 4" xfId="9353" xr:uid="{4230994D-E968-49F3-8A78-DBF3F4B08511}"/>
    <cellStyle name="SAPBEXaggItem 9 2 4 2" xfId="20894" xr:uid="{83E466B4-D33F-4D60-A353-0E4A3FB30868}"/>
    <cellStyle name="SAPBEXaggItem 9 2 5" xfId="9354" xr:uid="{85499CEC-0C26-4728-9BCC-AE6416E73BDC}"/>
    <cellStyle name="SAPBEXaggItem 9 2 5 2" xfId="20895" xr:uid="{FB588F98-354C-47F3-B228-B3A869F6E06C}"/>
    <cellStyle name="SAPBEXaggItem 9 2 6" xfId="20891" xr:uid="{8486D1BC-E40F-4C25-B6EB-7F779227068C}"/>
    <cellStyle name="SAPBEXaggItem 9 3" xfId="9355" xr:uid="{4D203B7F-34CB-4248-B8F6-151765A2F1C4}"/>
    <cellStyle name="SAPBEXaggItem 9 3 2" xfId="20896" xr:uid="{C5D7717E-6835-4517-9C19-393445577928}"/>
    <cellStyle name="SAPBEXaggItem 9 4" xfId="9356" xr:uid="{8293B5A0-5A20-4EE2-ABCC-5806827130C4}"/>
    <cellStyle name="SAPBEXaggItem 9 4 2" xfId="20897" xr:uid="{74EA977D-2BD1-48DB-873C-05791C220A65}"/>
    <cellStyle name="SAPBEXaggItem 9 5" xfId="9357" xr:uid="{2A8BE26E-3DEE-485D-B6A9-A53EB312EB77}"/>
    <cellStyle name="SAPBEXaggItem 9 5 2" xfId="20898" xr:uid="{B446E417-AB49-4CD6-9600-828958D1DA8D}"/>
    <cellStyle name="SAPBEXaggItem 9 6" xfId="9358" xr:uid="{67FF5511-2432-4622-9074-468BD2AC9F8E}"/>
    <cellStyle name="SAPBEXaggItem 9 6 2" xfId="20899" xr:uid="{4E2C4784-5AC6-467E-8450-D5E94ED04667}"/>
    <cellStyle name="SAPBEXaggItem 9 7" xfId="20890" xr:uid="{E1598482-7DD3-43DF-8006-98B59AFC1F3B}"/>
    <cellStyle name="SAPBEXaggItem_KTR An-Abflug" xfId="14705" xr:uid="{7166CB82-47CD-428B-B69A-7F6C0A6C6E9B}"/>
    <cellStyle name="SAPBEXaggItemX" xfId="9359" xr:uid="{660CD841-D161-450A-BB3A-CA4CFEF0D809}"/>
    <cellStyle name="SAPBEXaggItemX 10" xfId="9360" xr:uid="{D21FC769-8E0C-4A7A-BAF1-AF2787F510C9}"/>
    <cellStyle name="SAPBEXaggItemX 10 2" xfId="9361" xr:uid="{0131E405-F837-4651-8D85-0BB7AE40AB40}"/>
    <cellStyle name="SAPBEXaggItemX 10 2 2" xfId="9362" xr:uid="{01F1D17C-B0BC-463A-A580-10236443E2BD}"/>
    <cellStyle name="SAPBEXaggItemX 10 2 2 2" xfId="20902" xr:uid="{C08B2752-4A8F-4D8B-80D0-31853C3F1922}"/>
    <cellStyle name="SAPBEXaggItemX 10 2 3" xfId="9363" xr:uid="{0B5CED86-1210-4C29-8912-4104FFC4AB10}"/>
    <cellStyle name="SAPBEXaggItemX 10 2 3 2" xfId="20903" xr:uid="{8274FC22-73B9-41CF-8BA0-C3B766F68FF4}"/>
    <cellStyle name="SAPBEXaggItemX 10 2 4" xfId="9364" xr:uid="{010BBC02-CB3E-47C8-BA0E-5748ABF7200E}"/>
    <cellStyle name="SAPBEXaggItemX 10 2 4 2" xfId="20904" xr:uid="{22342152-1345-4839-9DC4-318BCC3B25FF}"/>
    <cellStyle name="SAPBEXaggItemX 10 2 5" xfId="9365" xr:uid="{C1BAA9AB-4C8E-478B-B4A1-6DF278962A93}"/>
    <cellStyle name="SAPBEXaggItemX 10 2 5 2" xfId="20905" xr:uid="{E846CABA-1127-4C8F-9110-CD87F5447181}"/>
    <cellStyle name="SAPBEXaggItemX 10 2 6" xfId="20901" xr:uid="{49FEECD2-EE29-49ED-A4F2-CF829F700BD5}"/>
    <cellStyle name="SAPBEXaggItemX 10 3" xfId="9366" xr:uid="{FEB8A777-B587-470B-A6FA-07398F9951B7}"/>
    <cellStyle name="SAPBEXaggItemX 10 3 2" xfId="20906" xr:uid="{49DB2CD2-30B7-48B1-8E1B-62A98ED6E70E}"/>
    <cellStyle name="SAPBEXaggItemX 10 4" xfId="9367" xr:uid="{4AE41249-D02F-474B-AEBD-AD51A5F7CE23}"/>
    <cellStyle name="SAPBEXaggItemX 10 4 2" xfId="20907" xr:uid="{ABCD576D-8850-41C9-9ABF-998375C068E6}"/>
    <cellStyle name="SAPBEXaggItemX 10 5" xfId="9368" xr:uid="{D3144573-793B-406B-96CC-398F396E24A0}"/>
    <cellStyle name="SAPBEXaggItemX 10 5 2" xfId="20908" xr:uid="{CCD97B28-280D-46ED-BCE7-17EA29BE5CA5}"/>
    <cellStyle name="SAPBEXaggItemX 10 6" xfId="9369" xr:uid="{121B4052-5641-4D8F-B828-E8632FB57277}"/>
    <cellStyle name="SAPBEXaggItemX 10 6 2" xfId="20909" xr:uid="{09357881-6A80-4DFF-A462-B364482FA3F4}"/>
    <cellStyle name="SAPBEXaggItemX 10 7" xfId="20900" xr:uid="{97883D3D-C233-48F7-803F-182E619C2819}"/>
    <cellStyle name="SAPBEXaggItemX 11" xfId="9370" xr:uid="{18D6F826-5932-478B-891B-C2A308C0C98F}"/>
    <cellStyle name="SAPBEXaggItemX 11 2" xfId="9371" xr:uid="{B158F15C-57AF-4F44-953A-49B726A42451}"/>
    <cellStyle name="SAPBEXaggItemX 11 2 2" xfId="9372" xr:uid="{04B726C8-DBA5-4048-88B3-3F0091C2A2F6}"/>
    <cellStyle name="SAPBEXaggItemX 11 2 2 2" xfId="20912" xr:uid="{445F6FE3-B875-4F64-9B60-4737DDE88940}"/>
    <cellStyle name="SAPBEXaggItemX 11 2 3" xfId="9373" xr:uid="{C2D33CB9-C8CA-492A-AA0A-D734612FE19D}"/>
    <cellStyle name="SAPBEXaggItemX 11 2 3 2" xfId="20913" xr:uid="{458C780F-BBFE-40B1-AD84-6C65EC7E01E2}"/>
    <cellStyle name="SAPBEXaggItemX 11 2 4" xfId="9374" xr:uid="{2B971192-3822-411A-B032-6BFC632914CB}"/>
    <cellStyle name="SAPBEXaggItemX 11 2 4 2" xfId="20914" xr:uid="{037DABB4-C2E5-435D-B376-F44B874A74E3}"/>
    <cellStyle name="SAPBEXaggItemX 11 2 5" xfId="9375" xr:uid="{66CAFB6B-C6D7-437A-B8D1-CDD42EF9719F}"/>
    <cellStyle name="SAPBEXaggItemX 11 2 5 2" xfId="20915" xr:uid="{DDD5C4CD-0BFC-4E09-9A9B-985A0F2F0918}"/>
    <cellStyle name="SAPBEXaggItemX 11 2 6" xfId="20911" xr:uid="{323E29F0-498B-479B-A721-B6CF2DEBB5DA}"/>
    <cellStyle name="SAPBEXaggItemX 11 3" xfId="9376" xr:uid="{E18A4E6B-F336-4E32-AE89-4ABC4C6648BC}"/>
    <cellStyle name="SAPBEXaggItemX 11 3 2" xfId="20916" xr:uid="{D9682D7E-7783-441C-AD31-A0D55D3B93C8}"/>
    <cellStyle name="SAPBEXaggItemX 11 4" xfId="9377" xr:uid="{D66EB100-B68E-4B49-BBE8-5E13E7A5038E}"/>
    <cellStyle name="SAPBEXaggItemX 11 4 2" xfId="20917" xr:uid="{11BF5A24-CE10-4445-9953-B32805DF75CD}"/>
    <cellStyle name="SAPBEXaggItemX 11 5" xfId="9378" xr:uid="{7BAB33FB-9A72-48EB-B9EF-C53993BBE610}"/>
    <cellStyle name="SAPBEXaggItemX 11 5 2" xfId="20918" xr:uid="{2F1DA4E4-2A56-4AE5-942A-61838A947AE8}"/>
    <cellStyle name="SAPBEXaggItemX 11 6" xfId="9379" xr:uid="{5E3B9F93-86F3-4356-906E-D2964A78716D}"/>
    <cellStyle name="SAPBEXaggItemX 11 6 2" xfId="20919" xr:uid="{E4510E67-8BA4-4856-9BF5-2F8A4C8478A1}"/>
    <cellStyle name="SAPBEXaggItemX 11 7" xfId="20910" xr:uid="{7D781146-914B-45CB-AC65-229D8A4FDCD4}"/>
    <cellStyle name="SAPBEXaggItemX 12" xfId="9380" xr:uid="{7BCADE0D-D35B-46BF-8D1F-116C824B6CEB}"/>
    <cellStyle name="SAPBEXaggItemX 12 2" xfId="9381" xr:uid="{9CA3CF42-C67D-4765-B053-2CFD2987B11C}"/>
    <cellStyle name="SAPBEXaggItemX 12 2 2" xfId="9382" xr:uid="{FBF9497F-2729-4981-95EF-1D20482C4D9F}"/>
    <cellStyle name="SAPBEXaggItemX 12 2 2 2" xfId="20922" xr:uid="{6F509F9A-F3F5-48DA-A9F6-337C735DDF7F}"/>
    <cellStyle name="SAPBEXaggItemX 12 2 3" xfId="9383" xr:uid="{F1D7FAFB-BD22-4B55-9FC9-56F1A233D37C}"/>
    <cellStyle name="SAPBEXaggItemX 12 2 3 2" xfId="20923" xr:uid="{F86709E0-F44C-4AF8-8742-AF8AA164B58C}"/>
    <cellStyle name="SAPBEXaggItemX 12 2 4" xfId="9384" xr:uid="{2207BC22-7331-4AEB-9B82-CB612BCABED5}"/>
    <cellStyle name="SAPBEXaggItemX 12 2 4 2" xfId="20924" xr:uid="{6ECA76DA-C5A0-4F18-A14E-39C0DFE08B7F}"/>
    <cellStyle name="SAPBEXaggItemX 12 2 5" xfId="9385" xr:uid="{DC6E1D77-6629-49CF-842C-65846DE0E224}"/>
    <cellStyle name="SAPBEXaggItemX 12 2 5 2" xfId="20925" xr:uid="{62B0751D-49A8-4457-9212-108A360D39F6}"/>
    <cellStyle name="SAPBEXaggItemX 12 2 6" xfId="20921" xr:uid="{B4DC0BA4-9C62-4CA7-8C43-9EDA398773D2}"/>
    <cellStyle name="SAPBEXaggItemX 12 3" xfId="9386" xr:uid="{75B00C65-9711-49AF-A463-452B20BCB6B4}"/>
    <cellStyle name="SAPBEXaggItemX 12 3 2" xfId="20926" xr:uid="{DA11BD40-EEEA-4086-B6D8-B1ED1FCD297D}"/>
    <cellStyle name="SAPBEXaggItemX 12 4" xfId="9387" xr:uid="{5747043D-5F6C-45A5-AC03-095A9035DAA7}"/>
    <cellStyle name="SAPBEXaggItemX 12 4 2" xfId="20927" xr:uid="{D06B34D0-B586-421A-95F6-AA4994DA2A18}"/>
    <cellStyle name="SAPBEXaggItemX 12 5" xfId="9388" xr:uid="{24D7C915-1D74-4816-B179-9860958B0D02}"/>
    <cellStyle name="SAPBEXaggItemX 12 5 2" xfId="20928" xr:uid="{483B52CE-D2E1-43CB-BB9D-96EE69BA3A85}"/>
    <cellStyle name="SAPBEXaggItemX 12 6" xfId="9389" xr:uid="{3B0E624F-5917-4F38-81AB-78E5D77F69AD}"/>
    <cellStyle name="SAPBEXaggItemX 12 6 2" xfId="20929" xr:uid="{077616EA-892B-474F-84B5-670283B4CF86}"/>
    <cellStyle name="SAPBEXaggItemX 12 7" xfId="20920" xr:uid="{9F90AD59-FA9E-4C4F-B005-2A7B433A2D0B}"/>
    <cellStyle name="SAPBEXaggItemX 13" xfId="9390" xr:uid="{C911FA7D-6A1C-4937-9746-66D306C2FF2E}"/>
    <cellStyle name="SAPBEXaggItemX 13 2" xfId="9391" xr:uid="{ACEA3D8A-5DC7-4120-AB9D-18A0FBA4D34B}"/>
    <cellStyle name="SAPBEXaggItemX 13 2 2" xfId="9392" xr:uid="{81C5BF74-871B-41A7-BF81-D3CB10BE6376}"/>
    <cellStyle name="SAPBEXaggItemX 13 2 2 2" xfId="20932" xr:uid="{A8C52EA3-BC55-41A7-9EA0-1FA7534B45EF}"/>
    <cellStyle name="SAPBEXaggItemX 13 2 3" xfId="9393" xr:uid="{B8CEB67B-E9E2-4A80-B396-AF91C579939B}"/>
    <cellStyle name="SAPBEXaggItemX 13 2 3 2" xfId="20933" xr:uid="{F508832E-3185-4D00-9125-8AD92793A100}"/>
    <cellStyle name="SAPBEXaggItemX 13 2 4" xfId="9394" xr:uid="{AC617218-6C95-4BF8-8DA4-73425BAEBBB1}"/>
    <cellStyle name="SAPBEXaggItemX 13 2 4 2" xfId="20934" xr:uid="{3CF93EEB-53B8-4ADB-A92D-03E727D6370B}"/>
    <cellStyle name="SAPBEXaggItemX 13 2 5" xfId="9395" xr:uid="{8CB1DFAF-2140-44F3-9394-15C5BB39A5FB}"/>
    <cellStyle name="SAPBEXaggItemX 13 2 5 2" xfId="20935" xr:uid="{56F50247-15E3-4E3A-89FC-EDFCCE031750}"/>
    <cellStyle name="SAPBEXaggItemX 13 2 6" xfId="20931" xr:uid="{06380419-7487-4624-B1AF-6347DF05D952}"/>
    <cellStyle name="SAPBEXaggItemX 13 3" xfId="9396" xr:uid="{4E66D55B-305A-4937-ABD1-E950CDBEC112}"/>
    <cellStyle name="SAPBEXaggItemX 13 3 2" xfId="20936" xr:uid="{AE3E149E-209E-422D-AC07-161B9BBEA7A3}"/>
    <cellStyle name="SAPBEXaggItemX 13 4" xfId="9397" xr:uid="{168471D7-0E97-454E-8E15-A14711E3B745}"/>
    <cellStyle name="SAPBEXaggItemX 13 4 2" xfId="20937" xr:uid="{869D62B8-BC76-4886-893D-4CB3A1660263}"/>
    <cellStyle name="SAPBEXaggItemX 13 5" xfId="9398" xr:uid="{077C25F8-A51F-49E4-99E3-39427E2E3D30}"/>
    <cellStyle name="SAPBEXaggItemX 13 5 2" xfId="20938" xr:uid="{E6EE3219-670A-4B79-8F46-FDD3F1C3B9E4}"/>
    <cellStyle name="SAPBEXaggItemX 13 6" xfId="9399" xr:uid="{440CA962-6DC1-4762-A552-50DA432C21C1}"/>
    <cellStyle name="SAPBEXaggItemX 13 6 2" xfId="20939" xr:uid="{CE9B44F6-87CD-4F2A-95CC-F8211E62EE2D}"/>
    <cellStyle name="SAPBEXaggItemX 13 7" xfId="20930" xr:uid="{9B2886EE-F390-4F9F-BAA4-D33EC7C361AB}"/>
    <cellStyle name="SAPBEXaggItemX 14" xfId="9400" xr:uid="{F17DAEE5-D8FA-41A3-82AF-A9EA3DE64AF4}"/>
    <cellStyle name="SAPBEXaggItemX 14 2" xfId="9401" xr:uid="{05D70936-E201-40F3-B761-2297235569A4}"/>
    <cellStyle name="SAPBEXaggItemX 14 2 2" xfId="9402" xr:uid="{F39726FF-C20E-49E4-97BD-8BD829E3E842}"/>
    <cellStyle name="SAPBEXaggItemX 14 2 2 2" xfId="20942" xr:uid="{76A1E079-EDC1-49EF-8F12-FDFD5C66230F}"/>
    <cellStyle name="SAPBEXaggItemX 14 2 3" xfId="9403" xr:uid="{77700C3A-D7B3-49DE-BFF3-94BCFECB30FC}"/>
    <cellStyle name="SAPBEXaggItemX 14 2 3 2" xfId="20943" xr:uid="{10976866-7AD2-4AA5-A4A7-1961DA93CDA7}"/>
    <cellStyle name="SAPBEXaggItemX 14 2 4" xfId="9404" xr:uid="{D93ECEC3-30D1-41B8-B4FC-EEE41E9AB5DA}"/>
    <cellStyle name="SAPBEXaggItemX 14 2 4 2" xfId="20944" xr:uid="{0E056F2A-7D97-4C2A-BA4D-DE90A5CF400A}"/>
    <cellStyle name="SAPBEXaggItemX 14 2 5" xfId="9405" xr:uid="{E21D52B1-270F-4C58-A59D-07AB6DB74AF5}"/>
    <cellStyle name="SAPBEXaggItemX 14 2 5 2" xfId="20945" xr:uid="{4D8A9533-BF8F-4B12-A88A-BF6ABC633AC5}"/>
    <cellStyle name="SAPBEXaggItemX 14 2 6" xfId="20941" xr:uid="{D438EAF8-9ED2-4166-B57C-D30D0FC1CC3A}"/>
    <cellStyle name="SAPBEXaggItemX 14 3" xfId="9406" xr:uid="{648783B1-DF51-4F1B-A2E5-259E19F76C26}"/>
    <cellStyle name="SAPBEXaggItemX 14 3 2" xfId="20946" xr:uid="{A67FF202-E853-4B57-9514-9FF5CCE30D72}"/>
    <cellStyle name="SAPBEXaggItemX 14 4" xfId="9407" xr:uid="{7656D3E6-2E14-4755-B5FC-01DC6DDBC68E}"/>
    <cellStyle name="SAPBEXaggItemX 14 4 2" xfId="20947" xr:uid="{83BDD523-4F83-4D47-ADBC-F27CA006C10C}"/>
    <cellStyle name="SAPBEXaggItemX 14 5" xfId="9408" xr:uid="{3FBF3FCF-C0F1-4F77-AA1E-69D31A66E837}"/>
    <cellStyle name="SAPBEXaggItemX 14 5 2" xfId="20948" xr:uid="{45144835-7720-4037-B5B4-3153D1ED5DFB}"/>
    <cellStyle name="SAPBEXaggItemX 14 6" xfId="9409" xr:uid="{8C26DC81-8CBC-4DE8-99D8-1AEBF9938A92}"/>
    <cellStyle name="SAPBEXaggItemX 14 6 2" xfId="20949" xr:uid="{AF62DFD0-2FAF-4D6D-9303-6F44543D5A55}"/>
    <cellStyle name="SAPBEXaggItemX 14 7" xfId="20940" xr:uid="{3A46F6E8-8627-4EFF-8128-85FB87EE5001}"/>
    <cellStyle name="SAPBEXaggItemX 15" xfId="9410" xr:uid="{F281788E-C4F9-473C-A8A5-A8C7791D687D}"/>
    <cellStyle name="SAPBEXaggItemX 15 2" xfId="9411" xr:uid="{C7FCB2DB-8E92-49E3-BC57-87EDAD8F62EC}"/>
    <cellStyle name="SAPBEXaggItemX 15 2 2" xfId="9412" xr:uid="{2314EACD-EEC3-4C77-9B34-C574944FE346}"/>
    <cellStyle name="SAPBEXaggItemX 15 2 2 2" xfId="20952" xr:uid="{67A510CE-73AC-49BE-ACBF-5592B96B4C6C}"/>
    <cellStyle name="SAPBEXaggItemX 15 2 3" xfId="9413" xr:uid="{1E3EE130-20BB-45FC-9C03-701CABDC1253}"/>
    <cellStyle name="SAPBEXaggItemX 15 2 3 2" xfId="20953" xr:uid="{1D3ECBC1-B739-4519-83C4-F45E3A05BC1F}"/>
    <cellStyle name="SAPBEXaggItemX 15 2 4" xfId="9414" xr:uid="{B66648FE-6810-470F-8984-2770744D640D}"/>
    <cellStyle name="SAPBEXaggItemX 15 2 4 2" xfId="20954" xr:uid="{ADF15224-8703-48B0-AF17-C73B71ED4873}"/>
    <cellStyle name="SAPBEXaggItemX 15 2 5" xfId="9415" xr:uid="{787CE0A2-D6F9-4ACC-88EB-DEF23CFAAC1C}"/>
    <cellStyle name="SAPBEXaggItemX 15 2 5 2" xfId="20955" xr:uid="{3E9486CE-634C-4EFA-82AA-1E87F7675A7A}"/>
    <cellStyle name="SAPBEXaggItemX 15 2 6" xfId="20951" xr:uid="{E92A13D0-B967-4511-80A4-50253703B931}"/>
    <cellStyle name="SAPBEXaggItemX 15 3" xfId="9416" xr:uid="{9B500E4B-C279-4322-9C87-A390CE46916D}"/>
    <cellStyle name="SAPBEXaggItemX 15 3 2" xfId="20956" xr:uid="{A2F0FBB8-781B-4F9C-B470-E60D28EA941F}"/>
    <cellStyle name="SAPBEXaggItemX 15 4" xfId="9417" xr:uid="{D0073099-EF3F-4B33-A178-3B4A6C6CA123}"/>
    <cellStyle name="SAPBEXaggItemX 15 4 2" xfId="20957" xr:uid="{79E7DA15-7159-43C4-BC3D-15626AB75CC4}"/>
    <cellStyle name="SAPBEXaggItemX 15 5" xfId="9418" xr:uid="{AE1E3368-1AD0-42F5-81D3-819B75F13273}"/>
    <cellStyle name="SAPBEXaggItemX 15 5 2" xfId="20958" xr:uid="{084477AB-B78A-4641-A18D-0B0DA9739EF6}"/>
    <cellStyle name="SAPBEXaggItemX 15 6" xfId="9419" xr:uid="{7C6EAEF3-5B44-4E7D-AED3-BE3A13D4BD79}"/>
    <cellStyle name="SAPBEXaggItemX 15 6 2" xfId="20959" xr:uid="{E97E8933-52A3-474D-A22E-8BD13C49A893}"/>
    <cellStyle name="SAPBEXaggItemX 15 7" xfId="20950" xr:uid="{D9177611-0425-424B-B58C-498091EEB1F9}"/>
    <cellStyle name="SAPBEXaggItemX 16" xfId="9420" xr:uid="{13D501CC-451E-4D29-BBD7-C1B9BFE54CD0}"/>
    <cellStyle name="SAPBEXaggItemX 16 2" xfId="20960" xr:uid="{B2782FED-2E2E-47EB-9137-88C08B1AAB36}"/>
    <cellStyle name="SAPBEXaggItemX 17" xfId="9421" xr:uid="{DCE000BE-CB16-40A0-A480-57E2C39A8670}"/>
    <cellStyle name="SAPBEXaggItemX 17 2" xfId="20961" xr:uid="{37A4B559-1651-40BB-B8AF-D9E91C88E818}"/>
    <cellStyle name="SAPBEXaggItemX 18" xfId="9422" xr:uid="{16B001FB-A8E9-4157-97A8-C6C5E593CCCF}"/>
    <cellStyle name="SAPBEXaggItemX 18 2" xfId="20962" xr:uid="{5BCBB91C-B665-45C3-B678-F0A0789DCCD8}"/>
    <cellStyle name="SAPBEXaggItemX 19" xfId="9423" xr:uid="{FC94425E-5642-42EA-A699-A212D3237B7B}"/>
    <cellStyle name="SAPBEXaggItemX 19 2" xfId="20963" xr:uid="{373BF882-7E14-41FE-B52A-7E8A751E6E3F}"/>
    <cellStyle name="SAPBEXaggItemX 2" xfId="9424" xr:uid="{B3CC25A2-6AED-4269-B1C8-1E7E4D19F33E}"/>
    <cellStyle name="SAPBEXaggItemX 2 2" xfId="9425" xr:uid="{A151EAFC-8B59-4D94-8A95-D527E1FB90B8}"/>
    <cellStyle name="SAPBEXaggItemX 2 2 2" xfId="9426" xr:uid="{7260939A-645D-4930-B336-09F97597C738}"/>
    <cellStyle name="SAPBEXaggItemX 2 2 2 2" xfId="20966" xr:uid="{BAC41955-9C37-4084-8A5C-2FF86F1DC446}"/>
    <cellStyle name="SAPBEXaggItemX 2 2 3" xfId="9427" xr:uid="{220AF01C-BBF5-4AB9-8511-874BEF234A88}"/>
    <cellStyle name="SAPBEXaggItemX 2 2 3 2" xfId="20967" xr:uid="{D6A65810-5DEF-47FF-864F-173A3F265DB1}"/>
    <cellStyle name="SAPBEXaggItemX 2 2 4" xfId="9428" xr:uid="{2688E5B9-B315-48FD-9AE2-A5EC7F0F4E71}"/>
    <cellStyle name="SAPBEXaggItemX 2 2 4 2" xfId="20968" xr:uid="{773E5909-D337-46B8-8562-0C182BC7A62D}"/>
    <cellStyle name="SAPBEXaggItemX 2 2 5" xfId="9429" xr:uid="{9ADB28FA-BF3F-47FA-86B2-4FF4835986C1}"/>
    <cellStyle name="SAPBEXaggItemX 2 2 5 2" xfId="20969" xr:uid="{2915FB07-73F0-4891-B4DA-511E12C39B92}"/>
    <cellStyle name="SAPBEXaggItemX 2 2 6" xfId="20965" xr:uid="{B62F6A01-EE6F-4EE8-A161-104F70072020}"/>
    <cellStyle name="SAPBEXaggItemX 2 3" xfId="9430" xr:uid="{E6FEDF54-9DFD-49F3-9694-823FDD16D7CC}"/>
    <cellStyle name="SAPBEXaggItemX 2 3 2" xfId="20970" xr:uid="{17F58E26-0003-439C-9481-CA8E5FFA7DEC}"/>
    <cellStyle name="SAPBEXaggItemX 2 4" xfId="9431" xr:uid="{A5E93B87-85CD-41A8-8FF7-304FA4D20DAA}"/>
    <cellStyle name="SAPBEXaggItemX 2 4 2" xfId="20971" xr:uid="{75A98C9E-FC3A-447E-A019-0EAEBD76373E}"/>
    <cellStyle name="SAPBEXaggItemX 2 5" xfId="9432" xr:uid="{A58F0C7D-B895-4DD8-9092-6A1AE0F13D5F}"/>
    <cellStyle name="SAPBEXaggItemX 2 5 2" xfId="20972" xr:uid="{D1B2F5A3-3D79-4058-AF44-6461D8807216}"/>
    <cellStyle name="SAPBEXaggItemX 2 6" xfId="9433" xr:uid="{6518F412-E2E5-4F2D-9212-BB453B920B2E}"/>
    <cellStyle name="SAPBEXaggItemX 2 6 2" xfId="20973" xr:uid="{4865A2BD-E20C-4EB0-A022-E68D6BDD4FB3}"/>
    <cellStyle name="SAPBEXaggItemX 2 7" xfId="20964" xr:uid="{74427D84-2C17-409B-8DF5-5B974D5CE6ED}"/>
    <cellStyle name="SAPBEXaggItemX 20" xfId="15163" xr:uid="{F3DDAB8E-32D2-4380-9984-035EE3736ED2}"/>
    <cellStyle name="SAPBEXaggItemX 3" xfId="9434" xr:uid="{0EF8EE37-3F60-4C7A-BC1C-7157B7BB7E39}"/>
    <cellStyle name="SAPBEXaggItemX 3 2" xfId="9435" xr:uid="{0A49C3A6-C419-41EA-A262-5B2C1B74EDBD}"/>
    <cellStyle name="SAPBEXaggItemX 3 2 2" xfId="9436" xr:uid="{B49A0FD7-001A-4739-8B51-479279564E3C}"/>
    <cellStyle name="SAPBEXaggItemX 3 2 2 2" xfId="20976" xr:uid="{3B438B04-0B24-4CAD-9582-4D4002BFE1F7}"/>
    <cellStyle name="SAPBEXaggItemX 3 2 3" xfId="9437" xr:uid="{C291C513-C7D5-4323-B0C5-9BC097C83BAD}"/>
    <cellStyle name="SAPBEXaggItemX 3 2 3 2" xfId="20977" xr:uid="{00411E80-06C7-4BFE-9111-9440BFCD1970}"/>
    <cellStyle name="SAPBEXaggItemX 3 2 4" xfId="9438" xr:uid="{D15D1B33-E9BF-4805-A369-B0759E06EF86}"/>
    <cellStyle name="SAPBEXaggItemX 3 2 4 2" xfId="20978" xr:uid="{4E10AB4B-9731-46A7-B785-5824F805ED86}"/>
    <cellStyle name="SAPBEXaggItemX 3 2 5" xfId="9439" xr:uid="{67482D48-BFDB-42BC-B475-2F1DB0F5F611}"/>
    <cellStyle name="SAPBEXaggItemX 3 2 5 2" xfId="20979" xr:uid="{AE5160FF-E362-4B16-9980-A654DF80D44E}"/>
    <cellStyle name="SAPBEXaggItemX 3 2 6" xfId="20975" xr:uid="{18126D94-F91D-4CAF-9C54-618B528A4464}"/>
    <cellStyle name="SAPBEXaggItemX 3 3" xfId="9440" xr:uid="{7ECEC3F7-C4CA-497E-81F1-A9505AB3E153}"/>
    <cellStyle name="SAPBEXaggItemX 3 3 2" xfId="20980" xr:uid="{945658C0-6317-490C-BF2C-DAC7684A8745}"/>
    <cellStyle name="SAPBEXaggItemX 3 4" xfId="9441" xr:uid="{BA97C289-EA94-4BAE-BBAA-DF63E0CA9176}"/>
    <cellStyle name="SAPBEXaggItemX 3 4 2" xfId="20981" xr:uid="{77644171-A2E3-4DF3-B836-276211ECC348}"/>
    <cellStyle name="SAPBEXaggItemX 3 5" xfId="9442" xr:uid="{A478D106-3983-4CF6-BB6B-DDD3FB998C64}"/>
    <cellStyle name="SAPBEXaggItemX 3 5 2" xfId="20982" xr:uid="{3232C40C-272E-4D9A-B7FB-266F6B905A77}"/>
    <cellStyle name="SAPBEXaggItemX 3 6" xfId="9443" xr:uid="{4642D918-3855-4547-BB21-D8F4B3E95600}"/>
    <cellStyle name="SAPBEXaggItemX 3 6 2" xfId="20983" xr:uid="{AF119993-19EB-4BE7-9F5E-C4BC03FA9D7C}"/>
    <cellStyle name="SAPBEXaggItemX 3 7" xfId="20974" xr:uid="{D357DAC4-78BE-404A-9522-AFBD4E01B190}"/>
    <cellStyle name="SAPBEXaggItemX 4" xfId="9444" xr:uid="{159A1699-9C2E-4AA2-9EDD-5BD1AA3D05BE}"/>
    <cellStyle name="SAPBEXaggItemX 4 2" xfId="9445" xr:uid="{9A409D61-688D-4A3E-A630-0D10DF7707FB}"/>
    <cellStyle name="SAPBEXaggItemX 4 2 2" xfId="9446" xr:uid="{269A5333-18AF-410C-9EA9-1ADAC7A6E454}"/>
    <cellStyle name="SAPBEXaggItemX 4 2 2 2" xfId="20986" xr:uid="{529B6881-80C1-4BF7-A81B-9A8A2293227A}"/>
    <cellStyle name="SAPBEXaggItemX 4 2 3" xfId="9447" xr:uid="{9B0D7335-1068-4B98-AF48-5FA5C611653A}"/>
    <cellStyle name="SAPBEXaggItemX 4 2 3 2" xfId="20987" xr:uid="{8F79088F-D994-40D1-A5C1-FEBE809EB7B4}"/>
    <cellStyle name="SAPBEXaggItemX 4 2 4" xfId="9448" xr:uid="{1F6024A8-E7FF-49B6-AC1B-72000DE6D38F}"/>
    <cellStyle name="SAPBEXaggItemX 4 2 4 2" xfId="20988" xr:uid="{470E9602-FCCC-4F73-A6A4-0E414A9A6A81}"/>
    <cellStyle name="SAPBEXaggItemX 4 2 5" xfId="9449" xr:uid="{E717AF03-F338-4AE0-8850-61CA83237658}"/>
    <cellStyle name="SAPBEXaggItemX 4 2 5 2" xfId="20989" xr:uid="{7FA50871-2C33-41E9-9031-5AC9BA91F047}"/>
    <cellStyle name="SAPBEXaggItemX 4 2 6" xfId="20985" xr:uid="{E738523D-2092-4CC9-8C9B-6E7E687AE764}"/>
    <cellStyle name="SAPBEXaggItemX 4 3" xfId="9450" xr:uid="{A5E4CD43-B80C-4AE9-9F2E-7AD1AF6F96A8}"/>
    <cellStyle name="SAPBEXaggItemX 4 3 2" xfId="20990" xr:uid="{BC220913-11F6-4B8D-9C7F-A06338A3FA18}"/>
    <cellStyle name="SAPBEXaggItemX 4 4" xfId="9451" xr:uid="{0C474491-6528-411C-BA3F-E7E654B079E8}"/>
    <cellStyle name="SAPBEXaggItemX 4 4 2" xfId="20991" xr:uid="{8F918460-2806-432F-B0EF-8BA732850671}"/>
    <cellStyle name="SAPBEXaggItemX 4 5" xfId="9452" xr:uid="{87D1468B-18F7-4118-9C98-5CA2C706DDC2}"/>
    <cellStyle name="SAPBEXaggItemX 4 5 2" xfId="20992" xr:uid="{57024575-ECAC-4A4D-BDF0-7E050F460982}"/>
    <cellStyle name="SAPBEXaggItemX 4 6" xfId="9453" xr:uid="{1AAED3D0-830F-4C26-9A74-3B8905351961}"/>
    <cellStyle name="SAPBEXaggItemX 4 6 2" xfId="20993" xr:uid="{C77DB8A1-72DC-4A80-931A-50BB5E797E88}"/>
    <cellStyle name="SAPBEXaggItemX 4 7" xfId="20984" xr:uid="{458548BE-6D84-4900-8E23-3B7AACA6601B}"/>
    <cellStyle name="SAPBEXaggItemX 5" xfId="9454" xr:uid="{67F043FE-850D-4913-88E9-1B45DA0916E2}"/>
    <cellStyle name="SAPBEXaggItemX 5 2" xfId="9455" xr:uid="{CD02F36D-40D0-45CA-8818-C9A3A48A4F75}"/>
    <cellStyle name="SAPBEXaggItemX 5 2 2" xfId="9456" xr:uid="{5E3A24F2-8FE6-407B-84BC-3183E04864CA}"/>
    <cellStyle name="SAPBEXaggItemX 5 2 2 2" xfId="20996" xr:uid="{B2390DF2-7437-4C1A-9C79-195E942FB207}"/>
    <cellStyle name="SAPBEXaggItemX 5 2 3" xfId="9457" xr:uid="{282C5DE8-DE44-4B0D-A3BD-F551104CEBE9}"/>
    <cellStyle name="SAPBEXaggItemX 5 2 3 2" xfId="20997" xr:uid="{A19B11E9-DB2A-4C25-808D-2A88755C0C17}"/>
    <cellStyle name="SAPBEXaggItemX 5 2 4" xfId="9458" xr:uid="{D55196B5-9191-4E2A-ACFC-1FD0F8E00C97}"/>
    <cellStyle name="SAPBEXaggItemX 5 2 4 2" xfId="20998" xr:uid="{98BEDC77-1D96-42E2-82DB-5407D493E687}"/>
    <cellStyle name="SAPBEXaggItemX 5 2 5" xfId="9459" xr:uid="{158BD4B5-2654-4F96-8E49-041CA49B0CFB}"/>
    <cellStyle name="SAPBEXaggItemX 5 2 5 2" xfId="20999" xr:uid="{919620DB-DC24-4D1B-AD3F-EA9E107E7B4C}"/>
    <cellStyle name="SAPBEXaggItemX 5 2 6" xfId="20995" xr:uid="{A9CA24F4-3381-4393-A708-C7BCD5A8C6E8}"/>
    <cellStyle name="SAPBEXaggItemX 5 3" xfId="9460" xr:uid="{893033CA-C968-4E41-8B99-FA630F361FC9}"/>
    <cellStyle name="SAPBEXaggItemX 5 3 2" xfId="21000" xr:uid="{9E9B5087-2EBF-4F5E-8A6D-49266C0448AB}"/>
    <cellStyle name="SAPBEXaggItemX 5 4" xfId="9461" xr:uid="{5B96A3E3-1537-4C76-94CC-440BAEAD1A32}"/>
    <cellStyle name="SAPBEXaggItemX 5 4 2" xfId="21001" xr:uid="{18202E58-9AED-4105-8753-4C5875084156}"/>
    <cellStyle name="SAPBEXaggItemX 5 5" xfId="9462" xr:uid="{EC3F84E3-E759-4833-BCF7-CF49A4E16E13}"/>
    <cellStyle name="SAPBEXaggItemX 5 5 2" xfId="21002" xr:uid="{7168D6F4-DE40-40C5-B113-666CD39776E4}"/>
    <cellStyle name="SAPBEXaggItemX 5 6" xfId="9463" xr:uid="{B82EB332-6ED4-4861-9E58-DB4E742A01BE}"/>
    <cellStyle name="SAPBEXaggItemX 5 6 2" xfId="21003" xr:uid="{930A13D1-DFA4-4BE2-88AE-BBDB4A2EA854}"/>
    <cellStyle name="SAPBEXaggItemX 5 7" xfId="20994" xr:uid="{E9F2969D-D9BC-47DE-9F81-081C556A6F1C}"/>
    <cellStyle name="SAPBEXaggItemX 6" xfId="9464" xr:uid="{981E8F13-27B7-469D-8D17-F6BB36ABFD93}"/>
    <cellStyle name="SAPBEXaggItemX 6 2" xfId="9465" xr:uid="{0C83C879-05ED-4A87-94E3-AE59D80792B3}"/>
    <cellStyle name="SAPBEXaggItemX 6 2 2" xfId="9466" xr:uid="{550A05BC-68FD-4B70-B928-D859E5CEE647}"/>
    <cellStyle name="SAPBEXaggItemX 6 2 2 2" xfId="21006" xr:uid="{EFDC8449-93A5-475D-9A7A-8E39DBA5EF85}"/>
    <cellStyle name="SAPBEXaggItemX 6 2 3" xfId="9467" xr:uid="{4F32839D-3E47-464A-AB3E-CCB46927C578}"/>
    <cellStyle name="SAPBEXaggItemX 6 2 3 2" xfId="21007" xr:uid="{1BBB1968-49A8-4356-8B99-E681FB24D1BE}"/>
    <cellStyle name="SAPBEXaggItemX 6 2 4" xfId="9468" xr:uid="{0A168ED0-FC12-4E24-BDCB-4A6B443B0267}"/>
    <cellStyle name="SAPBEXaggItemX 6 2 4 2" xfId="21008" xr:uid="{A8304418-A695-4A1C-94F4-FC8A246364B4}"/>
    <cellStyle name="SAPBEXaggItemX 6 2 5" xfId="9469" xr:uid="{814BEC5F-6654-4D9F-A276-171F37D1235E}"/>
    <cellStyle name="SAPBEXaggItemX 6 2 5 2" xfId="21009" xr:uid="{88D49573-CAA5-43B9-8452-46D48151E70E}"/>
    <cellStyle name="SAPBEXaggItemX 6 2 6" xfId="21005" xr:uid="{6E8AEE5C-8E7B-40C7-856B-D0BEB91B5053}"/>
    <cellStyle name="SAPBEXaggItemX 6 3" xfId="9470" xr:uid="{2D2F1274-0905-4FC2-B965-4FA8C6CDE49A}"/>
    <cellStyle name="SAPBEXaggItemX 6 3 2" xfId="21010" xr:uid="{E2C3A4CE-FE98-40D4-AE51-9E3ED6DCA7CC}"/>
    <cellStyle name="SAPBEXaggItemX 6 4" xfId="9471" xr:uid="{2315EB4C-729B-41B2-9754-B71E4A926836}"/>
    <cellStyle name="SAPBEXaggItemX 6 4 2" xfId="21011" xr:uid="{2FDD3587-C118-4DE0-A57D-2CC486DC5D8F}"/>
    <cellStyle name="SAPBEXaggItemX 6 5" xfId="9472" xr:uid="{EE8FC7F8-58CD-45FD-BBD8-13C45D521F17}"/>
    <cellStyle name="SAPBEXaggItemX 6 5 2" xfId="21012" xr:uid="{20B8FC25-7C39-4BC8-8E00-F7CF87918358}"/>
    <cellStyle name="SAPBEXaggItemX 6 6" xfId="9473" xr:uid="{A39680B1-975C-4F26-9F77-DFFC8B1D6196}"/>
    <cellStyle name="SAPBEXaggItemX 6 6 2" xfId="21013" xr:uid="{42171001-A0D4-4149-819A-61C720C0868A}"/>
    <cellStyle name="SAPBEXaggItemX 6 7" xfId="21004" xr:uid="{B1A518E3-BE4A-4117-96C9-B7D7FBD1D29A}"/>
    <cellStyle name="SAPBEXaggItemX 7" xfId="9474" xr:uid="{867FF537-74E1-4690-950A-38683D8326A6}"/>
    <cellStyle name="SAPBEXaggItemX 7 2" xfId="9475" xr:uid="{D550AD54-E9BD-4273-A422-A66BF8A55805}"/>
    <cellStyle name="SAPBEXaggItemX 7 2 2" xfId="9476" xr:uid="{60960D0A-B911-4F99-A115-EFDA30C79C86}"/>
    <cellStyle name="SAPBEXaggItemX 7 2 2 2" xfId="21016" xr:uid="{0859E107-F2EA-4C17-B29D-5D6A15810F6D}"/>
    <cellStyle name="SAPBEXaggItemX 7 2 3" xfId="9477" xr:uid="{D034B011-78DF-412F-8EBC-F203A4AA8DA5}"/>
    <cellStyle name="SAPBEXaggItemX 7 2 3 2" xfId="21017" xr:uid="{CDCC2FC9-18F0-4DE4-8755-254E5C569748}"/>
    <cellStyle name="SAPBEXaggItemX 7 2 4" xfId="9478" xr:uid="{3498F84B-A1C7-4BA5-99F2-E3F3C5C25BF7}"/>
    <cellStyle name="SAPBEXaggItemX 7 2 4 2" xfId="21018" xr:uid="{EC3DC39F-4C3D-49DC-814D-9A4D0D9EEADE}"/>
    <cellStyle name="SAPBEXaggItemX 7 2 5" xfId="9479" xr:uid="{C6179E9E-7609-4B0C-A3BF-3B2AB4B3002E}"/>
    <cellStyle name="SAPBEXaggItemX 7 2 5 2" xfId="21019" xr:uid="{ABE08852-6FC7-4157-9886-BAD4E5E246C9}"/>
    <cellStyle name="SAPBEXaggItemX 7 2 6" xfId="21015" xr:uid="{34FF84CD-ED49-4E67-A652-EEB0504B05EE}"/>
    <cellStyle name="SAPBEXaggItemX 7 3" xfId="9480" xr:uid="{C95DB776-9E53-48FF-BB26-9610FC2B28EE}"/>
    <cellStyle name="SAPBEXaggItemX 7 3 2" xfId="21020" xr:uid="{20522F54-5B65-4CEF-AF9D-811A2F81F466}"/>
    <cellStyle name="SAPBEXaggItemX 7 4" xfId="9481" xr:uid="{6A55240C-3EA3-4241-9594-3DE354B896C5}"/>
    <cellStyle name="SAPBEXaggItemX 7 4 2" xfId="21021" xr:uid="{49AB5686-31C8-4828-BBF8-D516D3E7DC80}"/>
    <cellStyle name="SAPBEXaggItemX 7 5" xfId="9482" xr:uid="{6DB77CCF-2B06-4251-BF66-FEB3BA18F5B6}"/>
    <cellStyle name="SAPBEXaggItemX 7 5 2" xfId="21022" xr:uid="{35FE9FDA-4941-4598-9EF3-37812767BBE9}"/>
    <cellStyle name="SAPBEXaggItemX 7 6" xfId="9483" xr:uid="{2A533266-9671-4B9E-A3AE-943E2EBA2873}"/>
    <cellStyle name="SAPBEXaggItemX 7 6 2" xfId="21023" xr:uid="{BFCB2AB3-6E68-4B40-BCA0-6C2A352A69E1}"/>
    <cellStyle name="SAPBEXaggItemX 7 7" xfId="21014" xr:uid="{DB7B89F0-9221-4370-9073-77A8ABA43C29}"/>
    <cellStyle name="SAPBEXaggItemX 8" xfId="9484" xr:uid="{BE78A048-62DE-4323-878C-A04D21B265A4}"/>
    <cellStyle name="SAPBEXaggItemX 8 2" xfId="9485" xr:uid="{B07A1B75-2190-49D0-82C3-A6FDF5A7437D}"/>
    <cellStyle name="SAPBEXaggItemX 8 2 2" xfId="9486" xr:uid="{BCE5D054-5CF6-44A1-8854-B6771E77B40A}"/>
    <cellStyle name="SAPBEXaggItemX 8 2 2 2" xfId="21026" xr:uid="{3434823C-06EF-4E3F-B640-80FE636E09D1}"/>
    <cellStyle name="SAPBEXaggItemX 8 2 3" xfId="9487" xr:uid="{B617D498-A09B-4F9D-AEAE-20A20C667106}"/>
    <cellStyle name="SAPBEXaggItemX 8 2 3 2" xfId="21027" xr:uid="{5E10AC08-7DC0-4CFE-BE6B-2ED688C815BA}"/>
    <cellStyle name="SAPBEXaggItemX 8 2 4" xfId="9488" xr:uid="{F9EE37F5-768F-4D53-910E-4886026DA9BC}"/>
    <cellStyle name="SAPBEXaggItemX 8 2 4 2" xfId="21028" xr:uid="{6CA3297F-C302-4F2C-9F8B-EB8B369F0A4A}"/>
    <cellStyle name="SAPBEXaggItemX 8 2 5" xfId="9489" xr:uid="{CE7DD2AB-75D8-4FD4-938C-E76ADAD6E1C5}"/>
    <cellStyle name="SAPBEXaggItemX 8 2 5 2" xfId="21029" xr:uid="{28C74DE3-982F-4F51-AAA9-CC443DDB2A39}"/>
    <cellStyle name="SAPBEXaggItemX 8 2 6" xfId="21025" xr:uid="{A09C088E-860B-4A50-A405-3427DC6D1DAE}"/>
    <cellStyle name="SAPBEXaggItemX 8 3" xfId="9490" xr:uid="{6D44F301-6FDD-4B4B-998A-60E90EE2F185}"/>
    <cellStyle name="SAPBEXaggItemX 8 3 2" xfId="21030" xr:uid="{500F3B7E-81E6-45B7-921D-97E21115E0CC}"/>
    <cellStyle name="SAPBEXaggItemX 8 4" xfId="9491" xr:uid="{F080C5A9-B3CC-4432-A8C9-8EEF4AA433A4}"/>
    <cellStyle name="SAPBEXaggItemX 8 4 2" xfId="21031" xr:uid="{B768B4EF-D392-4F3E-92CA-BEEBEB1F0D4F}"/>
    <cellStyle name="SAPBEXaggItemX 8 5" xfId="9492" xr:uid="{83CC6F08-DC85-4897-A66B-926D236FA353}"/>
    <cellStyle name="SAPBEXaggItemX 8 5 2" xfId="21032" xr:uid="{3086835A-55E6-4590-B11A-D400D5E181FA}"/>
    <cellStyle name="SAPBEXaggItemX 8 6" xfId="9493" xr:uid="{002ABD9E-E8B2-4C4E-8245-8384B72AC5C4}"/>
    <cellStyle name="SAPBEXaggItemX 8 6 2" xfId="21033" xr:uid="{41452B2D-BE3D-4844-8BC9-9228B64E2A01}"/>
    <cellStyle name="SAPBEXaggItemX 8 7" xfId="21024" xr:uid="{A7C8E9DE-BFC6-4201-AB08-ADDB1785E2C3}"/>
    <cellStyle name="SAPBEXaggItemX 9" xfId="9494" xr:uid="{2F23DE11-7561-468A-8DFD-FB721A81F196}"/>
    <cellStyle name="SAPBEXaggItemX 9 2" xfId="9495" xr:uid="{1B99B6A7-68A7-451A-976D-404DDEF68757}"/>
    <cellStyle name="SAPBEXaggItemX 9 2 2" xfId="9496" xr:uid="{12CA78D5-1554-463A-987B-0702ABF744C6}"/>
    <cellStyle name="SAPBEXaggItemX 9 2 2 2" xfId="21036" xr:uid="{10C8533C-1427-4BB8-AB24-C683B33B325D}"/>
    <cellStyle name="SAPBEXaggItemX 9 2 3" xfId="9497" xr:uid="{C3D2B726-7A3D-4459-B780-66292AEF933C}"/>
    <cellStyle name="SAPBEXaggItemX 9 2 3 2" xfId="21037" xr:uid="{C567D888-EE5B-4AB6-9C79-462F4B08FD08}"/>
    <cellStyle name="SAPBEXaggItemX 9 2 4" xfId="9498" xr:uid="{00B4AE5C-6307-43E2-9FD0-5834D0A6330B}"/>
    <cellStyle name="SAPBEXaggItemX 9 2 4 2" xfId="21038" xr:uid="{5AF0DB56-C612-441D-BBCE-347535D59647}"/>
    <cellStyle name="SAPBEXaggItemX 9 2 5" xfId="9499" xr:uid="{282BC452-C22A-405E-80BE-F11A5FAD1247}"/>
    <cellStyle name="SAPBEXaggItemX 9 2 5 2" xfId="21039" xr:uid="{E19D3951-655D-4CDF-90E4-37115BF452AE}"/>
    <cellStyle name="SAPBEXaggItemX 9 2 6" xfId="21035" xr:uid="{52261D4F-9D9F-4276-8D88-01C329F841AC}"/>
    <cellStyle name="SAPBEXaggItemX 9 3" xfId="9500" xr:uid="{990E1245-3EBA-4162-BAF6-287CC99AEA33}"/>
    <cellStyle name="SAPBEXaggItemX 9 3 2" xfId="21040" xr:uid="{C5695732-82FE-4687-9D73-DF1249DEBBF9}"/>
    <cellStyle name="SAPBEXaggItemX 9 4" xfId="9501" xr:uid="{770EE2B2-35E5-4E8B-8648-1C97A1740130}"/>
    <cellStyle name="SAPBEXaggItemX 9 4 2" xfId="21041" xr:uid="{F74FD114-4DF7-4149-A226-EDAA9999993C}"/>
    <cellStyle name="SAPBEXaggItemX 9 5" xfId="9502" xr:uid="{E64FB68B-E421-4E42-9B65-1FDD47E542D2}"/>
    <cellStyle name="SAPBEXaggItemX 9 5 2" xfId="21042" xr:uid="{B6B723FB-3B02-44D1-8D13-4C730C344366}"/>
    <cellStyle name="SAPBEXaggItemX 9 6" xfId="9503" xr:uid="{84E11636-AADF-4DC2-B9D1-673417F485C2}"/>
    <cellStyle name="SAPBEXaggItemX 9 6 2" xfId="21043" xr:uid="{C25F42AC-F828-4621-A8DF-4A7967BEDCA1}"/>
    <cellStyle name="SAPBEXaggItemX 9 7" xfId="21034" xr:uid="{34AC92D0-23D9-4577-A0B0-4863E392B133}"/>
    <cellStyle name="SAPBEXaggItemX_KTR An-Abflug" xfId="14879" xr:uid="{C6668E31-ADEC-4166-AA2F-FA0CCAF71542}"/>
    <cellStyle name="SAPBEXchaText" xfId="9504" xr:uid="{52AB79DA-8AD4-40E1-ABE8-83217009CAEF}"/>
    <cellStyle name="SAPBEXchaText 10" xfId="9505" xr:uid="{D4DC3E56-8403-4BC6-B706-AF581C603020}"/>
    <cellStyle name="SAPBEXchaText 10 2" xfId="9506" xr:uid="{6764832F-CA8B-40CF-A4E0-65B014AA2E42}"/>
    <cellStyle name="SAPBEXchaText 10 2 2" xfId="9507" xr:uid="{7C7C8ADC-5AA7-4EBB-91D8-96BC68AA3B91}"/>
    <cellStyle name="SAPBEXchaText 10 2 2 2" xfId="21046" xr:uid="{00CAC029-640A-4C16-985A-C42608D691E8}"/>
    <cellStyle name="SAPBEXchaText 10 2 3" xfId="9508" xr:uid="{52D26898-CA4F-470B-8B0C-9EDF73BD12D3}"/>
    <cellStyle name="SAPBEXchaText 10 2 3 2" xfId="21047" xr:uid="{60DE327A-DBA2-4746-B51B-E7B1841FD678}"/>
    <cellStyle name="SAPBEXchaText 10 2 4" xfId="9509" xr:uid="{7A754801-0DDE-4F80-839C-EAC3F2148CA2}"/>
    <cellStyle name="SAPBEXchaText 10 2 4 2" xfId="21048" xr:uid="{33B66672-A628-4EFD-A553-25CC4B61E392}"/>
    <cellStyle name="SAPBEXchaText 10 2 5" xfId="9510" xr:uid="{C31DEA43-8CE8-49FD-8870-CB184FFA87D7}"/>
    <cellStyle name="SAPBEXchaText 10 2 5 2" xfId="21049" xr:uid="{FFA3B8CD-4EC8-4B67-A8CC-1B73BFF9BF5D}"/>
    <cellStyle name="SAPBEXchaText 10 2 6" xfId="21045" xr:uid="{5F8BA972-AE35-4E95-B9DF-A4BFD567B110}"/>
    <cellStyle name="SAPBEXchaText 10 3" xfId="9511" xr:uid="{4EB014E8-B568-4A03-BB1E-933FCC827070}"/>
    <cellStyle name="SAPBEXchaText 10 3 2" xfId="21050" xr:uid="{660FCF6C-E81C-44CA-A833-EA5806F12A88}"/>
    <cellStyle name="SAPBEXchaText 10 4" xfId="9512" xr:uid="{E90DE712-F5FA-4E6B-B600-8F1A28759547}"/>
    <cellStyle name="SAPBEXchaText 10 4 2" xfId="21051" xr:uid="{2C59D082-2644-4AEA-A230-88A1AE48CE86}"/>
    <cellStyle name="SAPBEXchaText 10 5" xfId="9513" xr:uid="{38A630EB-0E35-450D-9BE4-45146FB35546}"/>
    <cellStyle name="SAPBEXchaText 10 5 2" xfId="21052" xr:uid="{63582675-82A2-4549-9B8D-773BF29F6C4E}"/>
    <cellStyle name="SAPBEXchaText 10 6" xfId="9514" xr:uid="{B22441BF-5F8A-4662-8C20-2504902CC638}"/>
    <cellStyle name="SAPBEXchaText 10 6 2" xfId="21053" xr:uid="{8339EF3C-BD56-4A44-910A-63191302BA17}"/>
    <cellStyle name="SAPBEXchaText 10 7" xfId="21044" xr:uid="{D106B73C-CDD3-4A07-85BD-9B67C68DDDB8}"/>
    <cellStyle name="SAPBEXchaText 11" xfId="9515" xr:uid="{44BADB30-20A5-4E1E-92DF-9CAE554C0AC7}"/>
    <cellStyle name="SAPBEXchaText 11 2" xfId="9516" xr:uid="{30078DF5-C207-4FB4-8CE3-ED8393FA2A20}"/>
    <cellStyle name="SAPBEXchaText 11 2 2" xfId="9517" xr:uid="{46179375-4081-4AD3-BB3F-84BAA1B2A8B3}"/>
    <cellStyle name="SAPBEXchaText 11 2 2 2" xfId="21056" xr:uid="{848BE8F3-B5D6-46FD-9C15-4AF4FE0C50E4}"/>
    <cellStyle name="SAPBEXchaText 11 2 3" xfId="9518" xr:uid="{8AACB886-973E-4B21-884A-5AE38FCC8E85}"/>
    <cellStyle name="SAPBEXchaText 11 2 3 2" xfId="21057" xr:uid="{4E119324-E940-4483-A07E-E0E70D94F4BB}"/>
    <cellStyle name="SAPBEXchaText 11 2 4" xfId="9519" xr:uid="{B7E896DD-5803-4591-9F7B-EC755458114B}"/>
    <cellStyle name="SAPBEXchaText 11 2 4 2" xfId="21058" xr:uid="{75D51007-6229-4D74-BCD0-598D9EF0728A}"/>
    <cellStyle name="SAPBEXchaText 11 2 5" xfId="9520" xr:uid="{D185487E-F338-4C2B-94FD-0191E4C1C2BD}"/>
    <cellStyle name="SAPBEXchaText 11 2 5 2" xfId="21059" xr:uid="{4115842E-6BD3-4633-9BA2-E4BFC9C80A7C}"/>
    <cellStyle name="SAPBEXchaText 11 2 6" xfId="21055" xr:uid="{64428B7E-9223-49C7-B520-F1CC106C678A}"/>
    <cellStyle name="SAPBEXchaText 11 3" xfId="9521" xr:uid="{A0641492-37FF-4CEB-A786-4803503C12AD}"/>
    <cellStyle name="SAPBEXchaText 11 3 2" xfId="21060" xr:uid="{F35E891B-26D0-4546-9B10-5C11E6587D48}"/>
    <cellStyle name="SAPBEXchaText 11 4" xfId="9522" xr:uid="{E72F1C57-06F0-45F8-96DF-8F0F61968378}"/>
    <cellStyle name="SAPBEXchaText 11 4 2" xfId="21061" xr:uid="{33C53E81-0A38-4747-A816-F3AE77C786C5}"/>
    <cellStyle name="SAPBEXchaText 11 5" xfId="9523" xr:uid="{3EC3CC7B-BF44-4EFA-A99F-F6A23070DB78}"/>
    <cellStyle name="SAPBEXchaText 11 5 2" xfId="21062" xr:uid="{A8F86125-855F-4C10-BAF5-95A926888199}"/>
    <cellStyle name="SAPBEXchaText 11 6" xfId="9524" xr:uid="{F81E16ED-2785-4BCF-9FA8-58DA35821C69}"/>
    <cellStyle name="SAPBEXchaText 11 6 2" xfId="21063" xr:uid="{A9D4BCDC-710E-42CF-A2ED-331CA3414AC6}"/>
    <cellStyle name="SAPBEXchaText 11 7" xfId="21054" xr:uid="{31D4142B-2D9B-4FE8-B421-C4D7FFD6EA84}"/>
    <cellStyle name="SAPBEXchaText 12" xfId="9525" xr:uid="{9BFFC583-CF17-41A5-8D57-AA664D5D0A49}"/>
    <cellStyle name="SAPBEXchaText 12 2" xfId="9526" xr:uid="{2FC280E0-24C2-4EDB-8B68-74CA11B6D4C4}"/>
    <cellStyle name="SAPBEXchaText 12 2 2" xfId="9527" xr:uid="{FBE3B70E-66A1-44AD-BFB3-9F112C26B208}"/>
    <cellStyle name="SAPBEXchaText 12 2 2 2" xfId="21066" xr:uid="{7662EC68-0EF7-40F3-963D-8AE58AEAB5BE}"/>
    <cellStyle name="SAPBEXchaText 12 2 3" xfId="9528" xr:uid="{CAF5F7C2-68F9-4BFC-8C8C-A9682516C417}"/>
    <cellStyle name="SAPBEXchaText 12 2 3 2" xfId="21067" xr:uid="{CD07E551-B82C-458C-9C0C-EEEB89FDE4D8}"/>
    <cellStyle name="SAPBEXchaText 12 2 4" xfId="9529" xr:uid="{E7E2762E-BBB0-4C42-ACB4-C97FFE580082}"/>
    <cellStyle name="SAPBEXchaText 12 2 4 2" xfId="21068" xr:uid="{D2070CC9-7DE6-4E4A-8323-E4DD926214FC}"/>
    <cellStyle name="SAPBEXchaText 12 2 5" xfId="9530" xr:uid="{18A73FD0-B3E7-4BA5-93D9-0E61FB3FCE0F}"/>
    <cellStyle name="SAPBEXchaText 12 2 5 2" xfId="21069" xr:uid="{1FC36B22-CFBB-402F-BAC4-51AB7A6BB8B8}"/>
    <cellStyle name="SAPBEXchaText 12 2 6" xfId="21065" xr:uid="{866191E8-86ED-47CB-BF52-EB6BEDC45CCC}"/>
    <cellStyle name="SAPBEXchaText 12 3" xfId="9531" xr:uid="{C820CD77-0B5A-4B58-A93A-A007561A67CA}"/>
    <cellStyle name="SAPBEXchaText 12 3 2" xfId="21070" xr:uid="{DDFE98E3-CEF9-4C61-BAEF-051C60F55088}"/>
    <cellStyle name="SAPBEXchaText 12 4" xfId="9532" xr:uid="{C0C4E968-80E4-483B-BB11-7C72589441A5}"/>
    <cellStyle name="SAPBEXchaText 12 4 2" xfId="21071" xr:uid="{FBDC04A1-6033-4176-B090-25A9837301B0}"/>
    <cellStyle name="SAPBEXchaText 12 5" xfId="9533" xr:uid="{4CC88083-D4E8-4D89-AFBC-3A44F6561EDD}"/>
    <cellStyle name="SAPBEXchaText 12 5 2" xfId="21072" xr:uid="{6D771494-65B6-480B-B335-F200FE43599F}"/>
    <cellStyle name="SAPBEXchaText 12 6" xfId="9534" xr:uid="{60B7C810-4AB6-4182-9AA7-3A3F9CEADCB4}"/>
    <cellStyle name="SAPBEXchaText 12 6 2" xfId="21073" xr:uid="{7898A189-6499-4812-905E-F68D805715AB}"/>
    <cellStyle name="SAPBEXchaText 12 7" xfId="21064" xr:uid="{48DD4223-239E-47DC-985A-0EB2EFA1698F}"/>
    <cellStyle name="SAPBEXchaText 13" xfId="9535" xr:uid="{C613D9FB-D991-4D56-8CC3-723B8D0D7E32}"/>
    <cellStyle name="SAPBEXchaText 13 2" xfId="9536" xr:uid="{C1927261-F7E8-49BE-B4E3-6D3F79B8C3CA}"/>
    <cellStyle name="SAPBEXchaText 13 2 2" xfId="9537" xr:uid="{78EF2942-0DCE-4E9D-9B88-123775BCF466}"/>
    <cellStyle name="SAPBEXchaText 13 2 2 2" xfId="21076" xr:uid="{BA3569BD-1756-4321-8F6C-31F337220571}"/>
    <cellStyle name="SAPBEXchaText 13 2 3" xfId="9538" xr:uid="{2D1FD649-6BCE-4B24-AAD9-057B39861E37}"/>
    <cellStyle name="SAPBEXchaText 13 2 3 2" xfId="21077" xr:uid="{80818A8D-E818-4485-8B61-EC130DBAF0E6}"/>
    <cellStyle name="SAPBEXchaText 13 2 4" xfId="9539" xr:uid="{569F3754-5063-40DD-8200-A77F94A13678}"/>
    <cellStyle name="SAPBEXchaText 13 2 4 2" xfId="21078" xr:uid="{73733BD2-F163-430F-86EB-8781B3BA14FD}"/>
    <cellStyle name="SAPBEXchaText 13 2 5" xfId="9540" xr:uid="{FC087EAA-B2DF-451D-890F-E056C6BA0891}"/>
    <cellStyle name="SAPBEXchaText 13 2 5 2" xfId="21079" xr:uid="{6FB7C26A-A95C-46FB-AF21-865A3F19CEFB}"/>
    <cellStyle name="SAPBEXchaText 13 2 6" xfId="21075" xr:uid="{DCC38815-0ADD-4175-91EC-5B5F5000309E}"/>
    <cellStyle name="SAPBEXchaText 13 3" xfId="9541" xr:uid="{0BFC91AE-6031-4F0F-AF9D-C3AB7ED2D5C7}"/>
    <cellStyle name="SAPBEXchaText 13 3 2" xfId="21080" xr:uid="{3DACED98-0587-47D9-A5B9-A6D266774F98}"/>
    <cellStyle name="SAPBEXchaText 13 4" xfId="9542" xr:uid="{214FADD0-84DD-4354-A028-351E866E56AC}"/>
    <cellStyle name="SAPBEXchaText 13 4 2" xfId="21081" xr:uid="{9ACDD312-643A-4BEF-86C6-A247272DEBD8}"/>
    <cellStyle name="SAPBEXchaText 13 5" xfId="9543" xr:uid="{7E7A56BB-8A69-4E00-83FD-00EB679EA2A0}"/>
    <cellStyle name="SAPBEXchaText 13 5 2" xfId="21082" xr:uid="{E110C6DD-439A-48A5-A007-DFC688CCA362}"/>
    <cellStyle name="SAPBEXchaText 13 6" xfId="9544" xr:uid="{373A224D-9480-444C-991E-1A4D2F861733}"/>
    <cellStyle name="SAPBEXchaText 13 6 2" xfId="21083" xr:uid="{146CA63B-400F-4DE8-93BF-F922E6F7B308}"/>
    <cellStyle name="SAPBEXchaText 13 7" xfId="21074" xr:uid="{03178354-B162-4F3A-8B4D-76CC28BEC3AC}"/>
    <cellStyle name="SAPBEXchaText 14" xfId="9545" xr:uid="{62AF883B-5071-4294-9261-989A74908A74}"/>
    <cellStyle name="SAPBEXchaText 14 2" xfId="9546" xr:uid="{E592B556-9B2D-40B8-A247-5AFD937B188B}"/>
    <cellStyle name="SAPBEXchaText 14 2 2" xfId="9547" xr:uid="{CBDDB78A-B134-452A-932D-1D90EAE3B766}"/>
    <cellStyle name="SAPBEXchaText 14 2 2 2" xfId="21086" xr:uid="{6A9065E4-368A-4615-9324-5D59F831B659}"/>
    <cellStyle name="SAPBEXchaText 14 2 3" xfId="9548" xr:uid="{860A564E-3AD7-452A-93E4-08BA71C6E37D}"/>
    <cellStyle name="SAPBEXchaText 14 2 3 2" xfId="21087" xr:uid="{4606E7F3-C41C-4AD4-A36C-87B0BDCCA707}"/>
    <cellStyle name="SAPBEXchaText 14 2 4" xfId="9549" xr:uid="{8061E497-7F14-4769-AF9B-6E6F025022EA}"/>
    <cellStyle name="SAPBEXchaText 14 2 4 2" xfId="21088" xr:uid="{5AA0E47F-5860-45CA-817B-113AEE40470B}"/>
    <cellStyle name="SAPBEXchaText 14 2 5" xfId="9550" xr:uid="{01B7C2CA-FE56-4037-AD9C-FA3690425420}"/>
    <cellStyle name="SAPBEXchaText 14 2 5 2" xfId="21089" xr:uid="{5577DD4C-4B73-4554-9300-F12F88CA776E}"/>
    <cellStyle name="SAPBEXchaText 14 2 6" xfId="21085" xr:uid="{BA01B1F1-F6D8-47D8-8458-B4FA05799564}"/>
    <cellStyle name="SAPBEXchaText 14 3" xfId="9551" xr:uid="{6DF117D1-1686-42E6-8D1B-AC4A0C719C3E}"/>
    <cellStyle name="SAPBEXchaText 14 3 2" xfId="21090" xr:uid="{4C34D8CA-781D-43F7-9847-5D9B671A722E}"/>
    <cellStyle name="SAPBEXchaText 14 4" xfId="9552" xr:uid="{E5D1A63C-D52D-4715-8360-9BAE6DCDBC30}"/>
    <cellStyle name="SAPBEXchaText 14 4 2" xfId="21091" xr:uid="{47645E38-6909-4FE5-AC52-EBF3189098A0}"/>
    <cellStyle name="SAPBEXchaText 14 5" xfId="9553" xr:uid="{23DD61F8-77FB-4B4E-9DF9-7EC60E34D10D}"/>
    <cellStyle name="SAPBEXchaText 14 5 2" xfId="21092" xr:uid="{B53BC860-49A9-4401-8BD1-CF275D049D73}"/>
    <cellStyle name="SAPBEXchaText 14 6" xfId="9554" xr:uid="{2FD0248D-83CA-499E-A03F-58C154A30204}"/>
    <cellStyle name="SAPBEXchaText 14 6 2" xfId="21093" xr:uid="{DF3E0903-270E-48E2-82F9-4CD76ECEA7A2}"/>
    <cellStyle name="SAPBEXchaText 14 7" xfId="21084" xr:uid="{303AA4B0-CBF5-427D-843D-10FBEC80665C}"/>
    <cellStyle name="SAPBEXchaText 15" xfId="9555" xr:uid="{F36E605E-AF8D-4420-886E-E450EE45CE06}"/>
    <cellStyle name="SAPBEXchaText 15 2" xfId="9556" xr:uid="{ED6FCA8C-03BB-4CBC-A3F1-287DF8AEB223}"/>
    <cellStyle name="SAPBEXchaText 15 2 2" xfId="9557" xr:uid="{14FEF9C5-7951-434B-8452-6DAA44603FB3}"/>
    <cellStyle name="SAPBEXchaText 15 2 2 2" xfId="21096" xr:uid="{1822858B-DC1D-4DFF-95C3-91D73514851B}"/>
    <cellStyle name="SAPBEXchaText 15 2 3" xfId="9558" xr:uid="{9890D477-93C2-4AD6-9EC0-A122B82CB350}"/>
    <cellStyle name="SAPBEXchaText 15 2 3 2" xfId="21097" xr:uid="{678DFDD9-30FE-4B5C-AE2F-5BD64A3C92D6}"/>
    <cellStyle name="SAPBEXchaText 15 2 4" xfId="9559" xr:uid="{2555418F-CB03-46DF-BEA8-4DDDFFEA7BB7}"/>
    <cellStyle name="SAPBEXchaText 15 2 4 2" xfId="21098" xr:uid="{1C0690B8-382E-40FD-B7E4-1DED17B14435}"/>
    <cellStyle name="SAPBEXchaText 15 2 5" xfId="9560" xr:uid="{B1E2411D-2070-4EE7-906E-BEB5E94ACDE2}"/>
    <cellStyle name="SAPBEXchaText 15 2 5 2" xfId="21099" xr:uid="{94378038-0FA9-4E1D-BEB3-0DE3CFAC35B4}"/>
    <cellStyle name="SAPBEXchaText 15 2 6" xfId="21095" xr:uid="{7D2897EC-988E-4230-8A17-4766A11A4C75}"/>
    <cellStyle name="SAPBEXchaText 15 3" xfId="9561" xr:uid="{E0704729-E511-4834-AE6B-DA7844E888CE}"/>
    <cellStyle name="SAPBEXchaText 15 3 2" xfId="21100" xr:uid="{8DB623AF-E93A-4DF6-8978-0C7BA2D8CBA9}"/>
    <cellStyle name="SAPBEXchaText 15 4" xfId="9562" xr:uid="{75C93CC3-8CCB-4D2A-8859-2829ADDC2659}"/>
    <cellStyle name="SAPBEXchaText 15 4 2" xfId="21101" xr:uid="{D061502A-EB1E-4A81-B1BF-414F8E69B3B5}"/>
    <cellStyle name="SAPBEXchaText 15 5" xfId="9563" xr:uid="{2CA1E584-008E-46D3-89B7-889328570FA5}"/>
    <cellStyle name="SAPBEXchaText 15 5 2" xfId="21102" xr:uid="{C55755BA-79FC-4257-95D9-67598D256312}"/>
    <cellStyle name="SAPBEXchaText 15 6" xfId="9564" xr:uid="{6B68FD96-4892-4EAB-BD41-5463147F9AEF}"/>
    <cellStyle name="SAPBEXchaText 15 6 2" xfId="21103" xr:uid="{B6CA1DC2-0882-45F4-B5E4-7A927B901DBD}"/>
    <cellStyle name="SAPBEXchaText 15 7" xfId="21094" xr:uid="{77AF3C3B-B39B-418E-8CB9-C16753B9EF44}"/>
    <cellStyle name="SAPBEXchaText 16" xfId="9565" xr:uid="{006D8EC2-F35A-488B-83E9-4D7251B1A41C}"/>
    <cellStyle name="SAPBEXchaText 16 2" xfId="21104" xr:uid="{780E37FE-726B-495B-B0D8-4C4D9BFEB7B9}"/>
    <cellStyle name="SAPBEXchaText 17" xfId="9566" xr:uid="{68B4FB96-F447-43DB-9A4A-83C245C45702}"/>
    <cellStyle name="SAPBEXchaText 17 2" xfId="21105" xr:uid="{0DA27475-C424-4A72-9185-8D02EB91DD1E}"/>
    <cellStyle name="SAPBEXchaText 18" xfId="9567" xr:uid="{7C6CD3BE-B5D2-4225-B1B1-E3EC4237C0E8}"/>
    <cellStyle name="SAPBEXchaText 18 2" xfId="21106" xr:uid="{B1571056-C1F8-4367-92AA-018142614569}"/>
    <cellStyle name="SAPBEXchaText 19" xfId="9568" xr:uid="{76D95614-0DA8-4307-9556-9C43D63276B7}"/>
    <cellStyle name="SAPBEXchaText 19 2" xfId="21107" xr:uid="{D5488E27-8CAD-42BD-8271-65B5D9F4A0BD}"/>
    <cellStyle name="SAPBEXchaText 2" xfId="9569" xr:uid="{CB37F3FE-C608-44F4-BFA2-8DE4690E7A2C}"/>
    <cellStyle name="SAPBEXchaText 2 2" xfId="9570" xr:uid="{459D263F-3F6C-4B4C-89EC-BE2E8807371E}"/>
    <cellStyle name="SAPBEXchaText 2 2 2" xfId="9571" xr:uid="{BA36665A-2DFB-4111-98DF-54D1049B6A2D}"/>
    <cellStyle name="SAPBEXchaText 2 2 2 2" xfId="21110" xr:uid="{DDBE9402-D002-472F-8539-41F3E3814BB5}"/>
    <cellStyle name="SAPBEXchaText 2 2 3" xfId="9572" xr:uid="{7D570B98-26FA-43E6-9278-5117706A77F2}"/>
    <cellStyle name="SAPBEXchaText 2 2 3 2" xfId="21111" xr:uid="{C80994D2-FAC7-43FA-97F0-717B5A387641}"/>
    <cellStyle name="SAPBEXchaText 2 2 4" xfId="9573" xr:uid="{A6A9EF64-C877-458A-AE7F-2B2DB7001F3B}"/>
    <cellStyle name="SAPBEXchaText 2 2 4 2" xfId="21112" xr:uid="{0E8E1DA5-CCF1-4393-A2E8-0902F030328D}"/>
    <cellStyle name="SAPBEXchaText 2 2 5" xfId="9574" xr:uid="{3AE142A1-2B3E-4D13-B382-DE47822593A6}"/>
    <cellStyle name="SAPBEXchaText 2 2 5 2" xfId="21113" xr:uid="{2E8FAEB1-6E9A-4A55-8F1C-BC3A467EABD8}"/>
    <cellStyle name="SAPBEXchaText 2 2 6" xfId="21109" xr:uid="{8B65F30F-5AAA-4FEA-912E-262DC5F4D7EA}"/>
    <cellStyle name="SAPBEXchaText 2 3" xfId="9575" xr:uid="{41F31F13-430F-4E7D-8F5E-9159EB1900A6}"/>
    <cellStyle name="SAPBEXchaText 2 3 2" xfId="21114" xr:uid="{94B6546F-29A0-4DDA-9633-6ED80A35A616}"/>
    <cellStyle name="SAPBEXchaText 2 4" xfId="9576" xr:uid="{65823101-D2B8-4EE7-844D-D49450B487A5}"/>
    <cellStyle name="SAPBEXchaText 2 4 2" xfId="21115" xr:uid="{CD3DC463-6ABB-411D-A7AA-A982CA616D40}"/>
    <cellStyle name="SAPBEXchaText 2 5" xfId="9577" xr:uid="{6C292EE4-E2D2-42BA-B6A1-E658DD5300AE}"/>
    <cellStyle name="SAPBEXchaText 2 5 2" xfId="21116" xr:uid="{D6F9A056-CDA9-4F73-B41C-4295623C722B}"/>
    <cellStyle name="SAPBEXchaText 2 6" xfId="9578" xr:uid="{08200522-FF1A-49C6-89D8-C061EDF56790}"/>
    <cellStyle name="SAPBEXchaText 2 6 2" xfId="21117" xr:uid="{B3DFBBF2-3907-407A-B847-7CA3B1AA1373}"/>
    <cellStyle name="SAPBEXchaText 2 7" xfId="21108" xr:uid="{0DD0D7BD-6EC3-485C-8C5A-83ADF0F09EEE}"/>
    <cellStyle name="SAPBEXchaText 20" xfId="15164" xr:uid="{EE1F28A3-F01C-4453-81D5-DE8C1F2D96AE}"/>
    <cellStyle name="SAPBEXchaText 3" xfId="9579" xr:uid="{87BFCC08-70F1-4461-86AB-7E607E8F5E89}"/>
    <cellStyle name="SAPBEXchaText 3 2" xfId="9580" xr:uid="{210CA629-69C7-40F6-B546-67FC82C0D266}"/>
    <cellStyle name="SAPBEXchaText 3 2 2" xfId="9581" xr:uid="{11B9F385-497F-4FF5-B58A-7B25BC906C2D}"/>
    <cellStyle name="SAPBEXchaText 3 2 2 2" xfId="21120" xr:uid="{F2835DC8-02EB-4904-8A2C-BC0D2734DC63}"/>
    <cellStyle name="SAPBEXchaText 3 2 3" xfId="9582" xr:uid="{2DB296F4-4E43-439D-BA9B-090D6E8FB194}"/>
    <cellStyle name="SAPBEXchaText 3 2 3 2" xfId="21121" xr:uid="{7C782E9E-7707-44B3-9250-192B94E4EDA2}"/>
    <cellStyle name="SAPBEXchaText 3 2 4" xfId="9583" xr:uid="{2261DD73-F397-4E50-AA4B-E91B8336C1DC}"/>
    <cellStyle name="SAPBEXchaText 3 2 4 2" xfId="21122" xr:uid="{B976754A-669D-4BDF-B55A-669EF3240592}"/>
    <cellStyle name="SAPBEXchaText 3 2 5" xfId="9584" xr:uid="{E4D115F4-6601-4D16-B096-F2EAE131CC3D}"/>
    <cellStyle name="SAPBEXchaText 3 2 5 2" xfId="21123" xr:uid="{6D913C2D-6C65-4A27-93CD-7F62986516AA}"/>
    <cellStyle name="SAPBEXchaText 3 2 6" xfId="21119" xr:uid="{79F1B321-951F-4DE5-86F4-5E30A167ED7E}"/>
    <cellStyle name="SAPBEXchaText 3 3" xfId="9585" xr:uid="{6BF7BE4B-D257-4BD3-A8CE-B052A0F2053A}"/>
    <cellStyle name="SAPBEXchaText 3 3 2" xfId="21124" xr:uid="{57E78F44-1B1F-4BA2-BB7F-42E085E3E5BF}"/>
    <cellStyle name="SAPBEXchaText 3 4" xfId="9586" xr:uid="{FB2DE21F-7F77-4085-BCED-C75EBDE256A8}"/>
    <cellStyle name="SAPBEXchaText 3 4 2" xfId="21125" xr:uid="{ED80E190-4D97-43D9-97DD-AD7F06EBFD11}"/>
    <cellStyle name="SAPBEXchaText 3 5" xfId="9587" xr:uid="{B211F2D2-5D66-4C59-83A1-C9DC664C48DC}"/>
    <cellStyle name="SAPBEXchaText 3 5 2" xfId="21126" xr:uid="{13C8ED46-D8D2-4B8E-BAC3-467D54A80E31}"/>
    <cellStyle name="SAPBEXchaText 3 6" xfId="9588" xr:uid="{962C1C7F-FEEC-40A6-ABA6-A10165EDBBF3}"/>
    <cellStyle name="SAPBEXchaText 3 6 2" xfId="21127" xr:uid="{BD5C7A13-E1C9-4222-BE3B-659A34823D6C}"/>
    <cellStyle name="SAPBEXchaText 3 7" xfId="21118" xr:uid="{59B99178-B29C-43FC-805F-B5B5C8F8A8BD}"/>
    <cellStyle name="SAPBEXchaText 4" xfId="9589" xr:uid="{99AD8C92-B7B0-4880-81F6-4F1618828955}"/>
    <cellStyle name="SAPBEXchaText 4 2" xfId="9590" xr:uid="{70D00F4A-5BEA-49CE-B24D-DA0FEFC96C56}"/>
    <cellStyle name="SAPBEXchaText 4 2 2" xfId="9591" xr:uid="{7D22E28B-59C3-4949-A4C0-6D424CF32B47}"/>
    <cellStyle name="SAPBEXchaText 4 2 2 2" xfId="21130" xr:uid="{78000DFD-1DD8-4D81-9E74-1AC4CC7E8E94}"/>
    <cellStyle name="SAPBEXchaText 4 2 3" xfId="9592" xr:uid="{FA543A2F-23C7-40B3-BFC5-71746CDBEEDA}"/>
    <cellStyle name="SAPBEXchaText 4 2 3 2" xfId="21131" xr:uid="{2CA06B0E-A526-4A4B-BDF9-36377A8BB504}"/>
    <cellStyle name="SAPBEXchaText 4 2 4" xfId="9593" xr:uid="{A56C33BB-38C2-43D6-AEB3-4FB913D59567}"/>
    <cellStyle name="SAPBEXchaText 4 2 4 2" xfId="21132" xr:uid="{844E06CA-CD43-438C-812F-D11AD970E6A7}"/>
    <cellStyle name="SAPBEXchaText 4 2 5" xfId="9594" xr:uid="{4BA18160-3D41-4D4F-BF20-E56504CEE729}"/>
    <cellStyle name="SAPBEXchaText 4 2 5 2" xfId="21133" xr:uid="{6E36011E-CC8E-43E5-BC2D-C6551A57614D}"/>
    <cellStyle name="SAPBEXchaText 4 2 6" xfId="21129" xr:uid="{6728531A-95C0-4136-906C-94B74F319365}"/>
    <cellStyle name="SAPBEXchaText 4 3" xfId="9595" xr:uid="{F3322ECA-C4FD-4876-938E-ECB7AD590DBA}"/>
    <cellStyle name="SAPBEXchaText 4 3 2" xfId="21134" xr:uid="{59824BF7-D965-4BDA-A356-E04A4E7375BD}"/>
    <cellStyle name="SAPBEXchaText 4 4" xfId="9596" xr:uid="{3AC0A046-4D3A-4136-BFF0-A7A53C68927D}"/>
    <cellStyle name="SAPBEXchaText 4 4 2" xfId="21135" xr:uid="{47FB730E-56AA-46CC-970F-E20251415155}"/>
    <cellStyle name="SAPBEXchaText 4 5" xfId="9597" xr:uid="{669BF43D-13F4-406A-BDDF-37B1844E3446}"/>
    <cellStyle name="SAPBEXchaText 4 5 2" xfId="21136" xr:uid="{B336F7D5-28C9-4296-A56D-571D7F8E12FF}"/>
    <cellStyle name="SAPBEXchaText 4 6" xfId="9598" xr:uid="{4713C006-DD0D-449E-9B7F-FDD186EFD143}"/>
    <cellStyle name="SAPBEXchaText 4 6 2" xfId="21137" xr:uid="{4489D13C-0B73-468A-94D5-20268BA2AD06}"/>
    <cellStyle name="SAPBEXchaText 4 7" xfId="21128" xr:uid="{122A5630-26D8-4E9D-A318-01AF8DC4B48B}"/>
    <cellStyle name="SAPBEXchaText 5" xfId="9599" xr:uid="{CD9A00A2-5A84-41BC-A444-EF80028C2313}"/>
    <cellStyle name="SAPBEXchaText 5 2" xfId="9600" xr:uid="{7A38C0C3-070D-4CB8-BCB5-6E38004A1631}"/>
    <cellStyle name="SAPBEXchaText 5 2 2" xfId="9601" xr:uid="{88BEA36D-DD62-4E74-A457-F50A11E8DEBB}"/>
    <cellStyle name="SAPBEXchaText 5 2 2 2" xfId="21140" xr:uid="{EF5A0DC3-3627-438E-8A4B-FEB447C0E552}"/>
    <cellStyle name="SAPBEXchaText 5 2 3" xfId="9602" xr:uid="{898C9E45-18E2-48D6-87DE-3E3B8D16833D}"/>
    <cellStyle name="SAPBEXchaText 5 2 3 2" xfId="21141" xr:uid="{D6CB778E-A2E4-4ECD-B0ED-556DE888E4DB}"/>
    <cellStyle name="SAPBEXchaText 5 2 4" xfId="9603" xr:uid="{16E0F02F-BB48-4A96-9F1A-27B7845B2D21}"/>
    <cellStyle name="SAPBEXchaText 5 2 4 2" xfId="21142" xr:uid="{B8AEA7EF-CAA5-479B-A1F5-1F54CDF8E1BC}"/>
    <cellStyle name="SAPBEXchaText 5 2 5" xfId="9604" xr:uid="{6D2CA37F-CC1A-47F2-8500-C93941A23487}"/>
    <cellStyle name="SAPBEXchaText 5 2 5 2" xfId="21143" xr:uid="{1BECAA83-DEF9-4A98-8FB5-A752CE69B803}"/>
    <cellStyle name="SAPBEXchaText 5 2 6" xfId="21139" xr:uid="{B3411B36-2897-4D73-B9D7-20F00789CC6D}"/>
    <cellStyle name="SAPBEXchaText 5 3" xfId="9605" xr:uid="{013E10C1-BCE6-4DAC-B558-711FD9EBF495}"/>
    <cellStyle name="SAPBEXchaText 5 3 2" xfId="21144" xr:uid="{7B3D9EC5-BDC9-43C8-AC98-33451CFD2A86}"/>
    <cellStyle name="SAPBEXchaText 5 4" xfId="9606" xr:uid="{7799443D-B75F-4B95-93BF-BB79E3511BF7}"/>
    <cellStyle name="SAPBEXchaText 5 4 2" xfId="21145" xr:uid="{C8123FEA-16BA-4040-ACD1-FC92506D8C22}"/>
    <cellStyle name="SAPBEXchaText 5 5" xfId="9607" xr:uid="{C781D2A1-1EAE-440D-8519-2187EFCCF0B2}"/>
    <cellStyle name="SAPBEXchaText 5 5 2" xfId="21146" xr:uid="{9F28B6D4-D839-4EE4-8BFA-B526992DB259}"/>
    <cellStyle name="SAPBEXchaText 5 6" xfId="9608" xr:uid="{DE2D77A3-B80D-4ADF-8DDE-BA67C0F68FA1}"/>
    <cellStyle name="SAPBEXchaText 5 6 2" xfId="21147" xr:uid="{83DB7346-01A4-4BE4-B695-F19A1202F787}"/>
    <cellStyle name="SAPBEXchaText 5 7" xfId="21138" xr:uid="{9CD4D6BF-9992-4BDF-89A5-833C5019995C}"/>
    <cellStyle name="SAPBEXchaText 6" xfId="9609" xr:uid="{901B9F55-9425-464D-A99C-9D59E6BFDDF9}"/>
    <cellStyle name="SAPBEXchaText 6 2" xfId="9610" xr:uid="{A59B4808-9211-4FE0-AF40-065B4FAAB37E}"/>
    <cellStyle name="SAPBEXchaText 6 2 2" xfId="9611" xr:uid="{C42D3BD6-E883-4E8D-9223-908512E64810}"/>
    <cellStyle name="SAPBEXchaText 6 2 2 2" xfId="21150" xr:uid="{6E2D124E-C09F-43D0-83D5-E7A03D8DE6D5}"/>
    <cellStyle name="SAPBEXchaText 6 2 3" xfId="9612" xr:uid="{A28C0E64-44EF-419A-87E1-F1C916CD2FB0}"/>
    <cellStyle name="SAPBEXchaText 6 2 3 2" xfId="21151" xr:uid="{11759771-4745-47A6-8BB9-C84D7F527EDC}"/>
    <cellStyle name="SAPBEXchaText 6 2 4" xfId="9613" xr:uid="{09ADBEF2-EA57-428F-8F2B-B4272AA4DBAA}"/>
    <cellStyle name="SAPBEXchaText 6 2 4 2" xfId="21152" xr:uid="{3B66B4C1-9050-4BF6-B934-8CF2D1398929}"/>
    <cellStyle name="SAPBEXchaText 6 2 5" xfId="9614" xr:uid="{5EB64A95-BC14-4EEC-87D0-E6679AA80988}"/>
    <cellStyle name="SAPBEXchaText 6 2 5 2" xfId="21153" xr:uid="{11D4DAEC-3891-48F7-B01F-E949A45E70CC}"/>
    <cellStyle name="SAPBEXchaText 6 2 6" xfId="21149" xr:uid="{5FECE2EE-81AF-45B8-B49C-D30EACB18BB7}"/>
    <cellStyle name="SAPBEXchaText 6 3" xfId="9615" xr:uid="{260BBFE0-16B6-4E95-B2F0-E27A845DFB06}"/>
    <cellStyle name="SAPBEXchaText 6 3 2" xfId="21154" xr:uid="{DD64E151-E75F-4517-9574-908FAA433A6F}"/>
    <cellStyle name="SAPBEXchaText 6 4" xfId="9616" xr:uid="{EAA4498C-D5D4-4455-8C41-EC2093ED2868}"/>
    <cellStyle name="SAPBEXchaText 6 4 2" xfId="21155" xr:uid="{C11E241F-DBB3-4F6A-943D-539992DAFB0F}"/>
    <cellStyle name="SAPBEXchaText 6 5" xfId="9617" xr:uid="{50D978BF-3E7B-4C61-9627-3C3B8AB004FA}"/>
    <cellStyle name="SAPBEXchaText 6 5 2" xfId="21156" xr:uid="{83BB1E56-28A1-4BCD-80E3-93BD49EB11E2}"/>
    <cellStyle name="SAPBEXchaText 6 6" xfId="9618" xr:uid="{40AAB8E0-CE1E-46B7-8A04-487007976453}"/>
    <cellStyle name="SAPBEXchaText 6 6 2" xfId="21157" xr:uid="{E4647C95-3DAE-4F5D-B4EE-5038A3E29414}"/>
    <cellStyle name="SAPBEXchaText 6 7" xfId="21148" xr:uid="{75DC3C28-07B3-4305-9942-FF6B03C26CA4}"/>
    <cellStyle name="SAPBEXchaText 7" xfId="9619" xr:uid="{52A41BCE-2CE6-4EEE-A50E-00EF3D411820}"/>
    <cellStyle name="SAPBEXchaText 7 2" xfId="9620" xr:uid="{C72DF266-CA3B-4E59-BE1C-3242AF5A7009}"/>
    <cellStyle name="SAPBEXchaText 7 2 2" xfId="9621" xr:uid="{CBB4F228-333C-464C-8BB5-C42E74B1C965}"/>
    <cellStyle name="SAPBEXchaText 7 2 2 2" xfId="21160" xr:uid="{DF8174AF-41B8-4838-824C-0672ACF28C77}"/>
    <cellStyle name="SAPBEXchaText 7 2 3" xfId="9622" xr:uid="{EEC53134-D14C-451E-AAF1-D39E5A46F9EE}"/>
    <cellStyle name="SAPBEXchaText 7 2 3 2" xfId="21161" xr:uid="{8D7BCB55-EA0A-4520-88F5-B9DB22ECFFA7}"/>
    <cellStyle name="SAPBEXchaText 7 2 4" xfId="9623" xr:uid="{0368A1F8-B665-4ACB-A639-122DDAD283CC}"/>
    <cellStyle name="SAPBEXchaText 7 2 4 2" xfId="21162" xr:uid="{C379EF11-34B5-4A4D-A9B4-A25D507AEE95}"/>
    <cellStyle name="SAPBEXchaText 7 2 5" xfId="9624" xr:uid="{83E4E637-716F-439D-9C56-CC66252171E7}"/>
    <cellStyle name="SAPBEXchaText 7 2 5 2" xfId="21163" xr:uid="{2C168895-308F-494C-BE78-8F0AD2FC3419}"/>
    <cellStyle name="SAPBEXchaText 7 2 6" xfId="21159" xr:uid="{F6EBF09F-8F06-421B-9BFF-080E63165A13}"/>
    <cellStyle name="SAPBEXchaText 7 3" xfId="9625" xr:uid="{8F0E3E85-6FDD-4C74-B2D2-CB66DD9B6452}"/>
    <cellStyle name="SAPBEXchaText 7 3 2" xfId="21164" xr:uid="{B70E8286-A5B0-4DC0-95A8-87E0EA9A5A09}"/>
    <cellStyle name="SAPBEXchaText 7 4" xfId="9626" xr:uid="{4D71F5EF-073A-4DF6-9773-BCF6D814812F}"/>
    <cellStyle name="SAPBEXchaText 7 4 2" xfId="21165" xr:uid="{22C5F640-B73B-477F-A7AF-80BD09D23528}"/>
    <cellStyle name="SAPBEXchaText 7 5" xfId="9627" xr:uid="{9A3AFDC3-1D2B-4885-A9C5-47922873CDCB}"/>
    <cellStyle name="SAPBEXchaText 7 5 2" xfId="21166" xr:uid="{0F600C9F-584C-46B4-A6CB-D7637F7C8E38}"/>
    <cellStyle name="SAPBEXchaText 7 6" xfId="9628" xr:uid="{C46B929D-089C-4264-BB9E-F9C82799B303}"/>
    <cellStyle name="SAPBEXchaText 7 6 2" xfId="21167" xr:uid="{8A17F035-BB69-4779-979F-CBF6BA78B2D1}"/>
    <cellStyle name="SAPBEXchaText 7 7" xfId="21158" xr:uid="{7F059FF7-1091-4ACA-BBB3-78C842CA7E96}"/>
    <cellStyle name="SAPBEXchaText 8" xfId="9629" xr:uid="{D7291A4E-1596-4D72-B59A-603C4ED5F3BE}"/>
    <cellStyle name="SAPBEXchaText 8 2" xfId="9630" xr:uid="{E00EA794-DA97-4017-B067-B49915E433D3}"/>
    <cellStyle name="SAPBEXchaText 8 2 2" xfId="9631" xr:uid="{9299E90A-9EFD-42F5-9270-EC5ABF72033C}"/>
    <cellStyle name="SAPBEXchaText 8 2 2 2" xfId="21170" xr:uid="{A857A1FD-71FE-4717-B246-0134899C22B4}"/>
    <cellStyle name="SAPBEXchaText 8 2 3" xfId="9632" xr:uid="{8467DAF4-EDDE-4964-9636-9A5225934BCA}"/>
    <cellStyle name="SAPBEXchaText 8 2 3 2" xfId="21171" xr:uid="{8C24ACE4-0732-4B7C-9BEA-60DBE8FC824A}"/>
    <cellStyle name="SAPBEXchaText 8 2 4" xfId="9633" xr:uid="{7D10EC63-4E65-4270-9A31-F56EA5D7BEB5}"/>
    <cellStyle name="SAPBEXchaText 8 2 4 2" xfId="21172" xr:uid="{1B8B082A-DDCC-4DF8-89E8-72209247C049}"/>
    <cellStyle name="SAPBEXchaText 8 2 5" xfId="9634" xr:uid="{A2061655-02F1-434A-87D5-7D8D0C899831}"/>
    <cellStyle name="SAPBEXchaText 8 2 5 2" xfId="21173" xr:uid="{C7A7EE52-9499-424C-9152-8E99CA921ED3}"/>
    <cellStyle name="SAPBEXchaText 8 2 6" xfId="21169" xr:uid="{5BFA6987-2CD2-4B37-AF0A-48558819C186}"/>
    <cellStyle name="SAPBEXchaText 8 3" xfId="9635" xr:uid="{246D2EF5-B973-4629-AD52-A32A2DA6F529}"/>
    <cellStyle name="SAPBEXchaText 8 3 2" xfId="21174" xr:uid="{BDCEFCE3-9086-4F84-BF99-AFAE28CE6C51}"/>
    <cellStyle name="SAPBEXchaText 8 4" xfId="9636" xr:uid="{547279B8-3241-4A93-A5DE-34651340C994}"/>
    <cellStyle name="SAPBEXchaText 8 4 2" xfId="21175" xr:uid="{BE2A63C8-DE2A-4095-B9F5-FA6F2C5C422B}"/>
    <cellStyle name="SAPBEXchaText 8 5" xfId="9637" xr:uid="{2387E97E-6EED-4422-8F3F-1C85611BF478}"/>
    <cellStyle name="SAPBEXchaText 8 5 2" xfId="21176" xr:uid="{EF3044C6-CF9E-4321-AE86-9131FC8F09EF}"/>
    <cellStyle name="SAPBEXchaText 8 6" xfId="9638" xr:uid="{2E50ADCE-5ADD-487D-9C77-E9DCB01828C7}"/>
    <cellStyle name="SAPBEXchaText 8 6 2" xfId="21177" xr:uid="{924C5382-BA9F-409F-9C5C-D17771A235C7}"/>
    <cellStyle name="SAPBEXchaText 8 7" xfId="21168" xr:uid="{EF358631-35DF-4B3F-A807-DFCAD98E6B27}"/>
    <cellStyle name="SAPBEXchaText 9" xfId="9639" xr:uid="{D0F706F8-D150-462E-BD22-1BCEFCD005BE}"/>
    <cellStyle name="SAPBEXchaText 9 2" xfId="9640" xr:uid="{1CD09D34-F858-406B-9E4C-4E93EC006BA6}"/>
    <cellStyle name="SAPBEXchaText 9 2 2" xfId="9641" xr:uid="{A5B7A9E1-6EB2-4D7B-BE8D-F06552250175}"/>
    <cellStyle name="SAPBEXchaText 9 2 2 2" xfId="21180" xr:uid="{BCCC7F5C-F2BF-43C4-BEEC-500CB11D6073}"/>
    <cellStyle name="SAPBEXchaText 9 2 3" xfId="9642" xr:uid="{2F18D4AF-DD25-408A-A992-4EDBD93874B7}"/>
    <cellStyle name="SAPBEXchaText 9 2 3 2" xfId="21181" xr:uid="{C5FD21B2-065B-4D58-BF7A-A0AEA7749806}"/>
    <cellStyle name="SAPBEXchaText 9 2 4" xfId="9643" xr:uid="{D0846B85-3370-43D2-87E0-7C9FB350F0BB}"/>
    <cellStyle name="SAPBEXchaText 9 2 4 2" xfId="21182" xr:uid="{7BF05CA2-E85D-4077-ABE6-448DAEB957C7}"/>
    <cellStyle name="SAPBEXchaText 9 2 5" xfId="9644" xr:uid="{77AECBA4-195D-4389-BF1C-9DF354F4C7DD}"/>
    <cellStyle name="SAPBEXchaText 9 2 5 2" xfId="21183" xr:uid="{F23AF650-66A4-40F6-887F-7E2408C07B96}"/>
    <cellStyle name="SAPBEXchaText 9 2 6" xfId="21179" xr:uid="{B0A6A661-AC62-4DB8-A007-8CDD92EBB723}"/>
    <cellStyle name="SAPBEXchaText 9 3" xfId="9645" xr:uid="{1BA7B14B-27B8-4432-9FC7-641080BD434E}"/>
    <cellStyle name="SAPBEXchaText 9 3 2" xfId="21184" xr:uid="{AA25E440-5E83-496C-9C3A-7E16D2636564}"/>
    <cellStyle name="SAPBEXchaText 9 4" xfId="9646" xr:uid="{9FD6F0BD-2531-42A5-AED3-3B458CCBA86E}"/>
    <cellStyle name="SAPBEXchaText 9 4 2" xfId="21185" xr:uid="{AEEB86D6-ACF0-4087-B62F-5666364A6615}"/>
    <cellStyle name="SAPBEXchaText 9 5" xfId="9647" xr:uid="{C146409E-7036-4385-9849-2E49503B1883}"/>
    <cellStyle name="SAPBEXchaText 9 5 2" xfId="21186" xr:uid="{B986B131-8B66-48E2-BF64-3C43BA79D9DB}"/>
    <cellStyle name="SAPBEXchaText 9 6" xfId="9648" xr:uid="{2991054C-EE87-42F0-BFAA-BAA755E79390}"/>
    <cellStyle name="SAPBEXchaText 9 6 2" xfId="21187" xr:uid="{74DA2C7F-1E26-478F-BE55-3CC8FA28A0CC}"/>
    <cellStyle name="SAPBEXchaText 9 7" xfId="21178" xr:uid="{AD51B1D7-F09D-433D-8943-A051637FEC66}"/>
    <cellStyle name="SAPBEXchaText_KTR An-Abflug" xfId="14902" xr:uid="{83D8BAF2-3B5B-4F1A-98AB-816E0FC1E8DF}"/>
    <cellStyle name="SAPBEXexcBad7" xfId="9649" xr:uid="{BBEB90C2-1AE9-4699-B716-E9EF6CC89FAC}"/>
    <cellStyle name="SAPBEXexcBad7 10" xfId="9650" xr:uid="{D69F7027-D42B-4256-8A75-47576A0A9336}"/>
    <cellStyle name="SAPBEXexcBad7 10 2" xfId="9651" xr:uid="{2B60BE0E-131C-4C98-903E-A9A200A441BA}"/>
    <cellStyle name="SAPBEXexcBad7 10 2 2" xfId="9652" xr:uid="{250881BB-E2D6-4A5F-9367-AC38024EC9E8}"/>
    <cellStyle name="SAPBEXexcBad7 10 2 2 2" xfId="21190" xr:uid="{E76439BE-3951-4265-AA69-1C231E263E41}"/>
    <cellStyle name="SAPBEXexcBad7 10 2 3" xfId="9653" xr:uid="{CAA85A07-027A-49AD-AD45-BDB8B9BBB27F}"/>
    <cellStyle name="SAPBEXexcBad7 10 2 3 2" xfId="21191" xr:uid="{C6381348-E075-43B4-9049-9A02AA41679E}"/>
    <cellStyle name="SAPBEXexcBad7 10 2 4" xfId="9654" xr:uid="{064AC6BF-3803-45C0-8B09-1B75CB76DBC3}"/>
    <cellStyle name="SAPBEXexcBad7 10 2 4 2" xfId="21192" xr:uid="{1C7FD2D5-48A5-4BE7-B08B-D1A1E768312E}"/>
    <cellStyle name="SAPBEXexcBad7 10 2 5" xfId="9655" xr:uid="{DD32DF78-7E39-4013-8482-90A277F29EB1}"/>
    <cellStyle name="SAPBEXexcBad7 10 2 5 2" xfId="21193" xr:uid="{ECC25C76-4C15-44D8-8158-1A906B475001}"/>
    <cellStyle name="SAPBEXexcBad7 10 2 6" xfId="21189" xr:uid="{D8C830D7-0D63-482D-A92D-021676F254FB}"/>
    <cellStyle name="SAPBEXexcBad7 10 3" xfId="9656" xr:uid="{EF58EA68-3039-4862-B9B5-7D210F8290B3}"/>
    <cellStyle name="SAPBEXexcBad7 10 3 2" xfId="21194" xr:uid="{5913448B-8A08-4327-80CC-D55F39A58E6D}"/>
    <cellStyle name="SAPBEXexcBad7 10 4" xfId="9657" xr:uid="{053B7892-B290-4E92-93CD-C34749C485AB}"/>
    <cellStyle name="SAPBEXexcBad7 10 4 2" xfId="21195" xr:uid="{9D37A19E-E619-4DA0-B2CF-AD39B35E11EE}"/>
    <cellStyle name="SAPBEXexcBad7 10 5" xfId="9658" xr:uid="{A0194235-3AD1-4059-AEA7-747272B1A2A4}"/>
    <cellStyle name="SAPBEXexcBad7 10 5 2" xfId="21196" xr:uid="{5403E8A8-D0F4-4A86-8877-59F1E07382A5}"/>
    <cellStyle name="SAPBEXexcBad7 10 6" xfId="9659" xr:uid="{630DF3C4-0888-4884-9967-DF3CD43178AD}"/>
    <cellStyle name="SAPBEXexcBad7 10 6 2" xfId="21197" xr:uid="{3FF00F0E-A2A1-4B99-909D-7B0CD4720870}"/>
    <cellStyle name="SAPBEXexcBad7 10 7" xfId="21188" xr:uid="{B1C6E0CE-01C7-4409-9781-117BE45184F9}"/>
    <cellStyle name="SAPBEXexcBad7 11" xfId="9660" xr:uid="{0B260EC4-DBE7-41BB-A039-1774B671146C}"/>
    <cellStyle name="SAPBEXexcBad7 11 2" xfId="9661" xr:uid="{F2CA864A-B5C4-4CD3-8001-5199FCB71874}"/>
    <cellStyle name="SAPBEXexcBad7 11 2 2" xfId="9662" xr:uid="{FC9EAE83-7566-476A-A315-EDED365F00B0}"/>
    <cellStyle name="SAPBEXexcBad7 11 2 2 2" xfId="21200" xr:uid="{5EBBA552-A261-4EA8-BCBC-91E08E79B6AE}"/>
    <cellStyle name="SAPBEXexcBad7 11 2 3" xfId="9663" xr:uid="{FBAD57E9-BE0D-4C57-9FC0-88FBADEBC113}"/>
    <cellStyle name="SAPBEXexcBad7 11 2 3 2" xfId="21201" xr:uid="{ADBF60E1-BC94-4B87-9EB2-93924F213728}"/>
    <cellStyle name="SAPBEXexcBad7 11 2 4" xfId="9664" xr:uid="{5A803C6A-8E02-4657-86D7-2D169CE12E85}"/>
    <cellStyle name="SAPBEXexcBad7 11 2 4 2" xfId="21202" xr:uid="{4D856E1E-1582-49D9-AECE-093B309730EF}"/>
    <cellStyle name="SAPBEXexcBad7 11 2 5" xfId="9665" xr:uid="{E419E6A9-1FC1-424A-878E-A7AC46F07A67}"/>
    <cellStyle name="SAPBEXexcBad7 11 2 5 2" xfId="21203" xr:uid="{3DD0B063-3C9A-4959-A96C-C1792961CB0F}"/>
    <cellStyle name="SAPBEXexcBad7 11 2 6" xfId="21199" xr:uid="{0D0F8CFF-A378-4BFF-94FC-E31FCAC94276}"/>
    <cellStyle name="SAPBEXexcBad7 11 3" xfId="9666" xr:uid="{40F3D97D-FAA9-4B4B-AC1D-F1F4A6AE014D}"/>
    <cellStyle name="SAPBEXexcBad7 11 3 2" xfId="21204" xr:uid="{5E1D25E5-5140-4AD6-A752-2E3B0605A940}"/>
    <cellStyle name="SAPBEXexcBad7 11 4" xfId="9667" xr:uid="{9466FE5F-5C34-4471-BECB-1043FE6AD019}"/>
    <cellStyle name="SAPBEXexcBad7 11 4 2" xfId="21205" xr:uid="{7905205B-9783-4021-9E8E-26B9556EA7D4}"/>
    <cellStyle name="SAPBEXexcBad7 11 5" xfId="9668" xr:uid="{89470F44-EBB6-49D0-95C5-593C89E93DFB}"/>
    <cellStyle name="SAPBEXexcBad7 11 5 2" xfId="21206" xr:uid="{D0E3E014-85E2-4B61-8EA6-895001957439}"/>
    <cellStyle name="SAPBEXexcBad7 11 6" xfId="9669" xr:uid="{2B1C7613-BC39-4A68-B483-06693F142C48}"/>
    <cellStyle name="SAPBEXexcBad7 11 6 2" xfId="21207" xr:uid="{45F66CAA-D161-4114-ACCB-50EC7D63BC0B}"/>
    <cellStyle name="SAPBEXexcBad7 11 7" xfId="21198" xr:uid="{C6B7E88C-1E38-4FA3-B6B5-53A39CC218B9}"/>
    <cellStyle name="SAPBEXexcBad7 12" xfId="9670" xr:uid="{3297AB4C-7F2E-4790-8D92-A65F0C1D2412}"/>
    <cellStyle name="SAPBEXexcBad7 12 2" xfId="9671" xr:uid="{0D93A71F-6784-4D92-89A3-1F93757679B8}"/>
    <cellStyle name="SAPBEXexcBad7 12 2 2" xfId="9672" xr:uid="{B0BA0BBD-9AD2-4284-AF83-D4013907F463}"/>
    <cellStyle name="SAPBEXexcBad7 12 2 2 2" xfId="21210" xr:uid="{5D80B76D-42C6-4B6D-9D85-1B7141011CD2}"/>
    <cellStyle name="SAPBEXexcBad7 12 2 3" xfId="9673" xr:uid="{3A1686E1-D2DF-4B99-8D34-4A51F44BA64D}"/>
    <cellStyle name="SAPBEXexcBad7 12 2 3 2" xfId="21211" xr:uid="{64F2EFCE-009B-4107-94C9-EF9940C033A5}"/>
    <cellStyle name="SAPBEXexcBad7 12 2 4" xfId="9674" xr:uid="{BE639EC4-448F-49DB-B4F5-C2F89ED39B79}"/>
    <cellStyle name="SAPBEXexcBad7 12 2 4 2" xfId="21212" xr:uid="{8B6BED90-DEFA-4837-B6EF-9DE1411930F4}"/>
    <cellStyle name="SAPBEXexcBad7 12 2 5" xfId="9675" xr:uid="{59455DD6-CE45-4AA3-B87C-AE6218FFA517}"/>
    <cellStyle name="SAPBEXexcBad7 12 2 5 2" xfId="21213" xr:uid="{A6CC7013-8919-4729-9700-3C657A7C1AD7}"/>
    <cellStyle name="SAPBEXexcBad7 12 2 6" xfId="21209" xr:uid="{73F43870-E73E-48A8-837D-D7D5186493F2}"/>
    <cellStyle name="SAPBEXexcBad7 12 3" xfId="9676" xr:uid="{BED79FEC-3AFF-488F-9C5B-7503CA2670F8}"/>
    <cellStyle name="SAPBEXexcBad7 12 3 2" xfId="21214" xr:uid="{7C5B3FBD-6E58-4BFF-8254-79F9103CDE86}"/>
    <cellStyle name="SAPBEXexcBad7 12 4" xfId="9677" xr:uid="{51080701-9799-43E8-9C0E-C5290DC6C37C}"/>
    <cellStyle name="SAPBEXexcBad7 12 4 2" xfId="21215" xr:uid="{6CB7B51E-73AF-43EB-888B-A2FE005033DF}"/>
    <cellStyle name="SAPBEXexcBad7 12 5" xfId="9678" xr:uid="{CEAA30DF-33B0-4B50-AB23-B4731490AD33}"/>
    <cellStyle name="SAPBEXexcBad7 12 5 2" xfId="21216" xr:uid="{457E7DE2-2EFD-4A84-BBB1-65BA3B6C02DC}"/>
    <cellStyle name="SAPBEXexcBad7 12 6" xfId="9679" xr:uid="{7C26A660-1DC0-4A51-BC4D-2C04D3433D64}"/>
    <cellStyle name="SAPBEXexcBad7 12 6 2" xfId="21217" xr:uid="{DBA0E348-1402-479F-A372-FFFC8EBFFDA6}"/>
    <cellStyle name="SAPBEXexcBad7 12 7" xfId="21208" xr:uid="{20509CF4-4EC8-4778-8A19-647B7CD8C25F}"/>
    <cellStyle name="SAPBEXexcBad7 13" xfId="9680" xr:uid="{653A28F0-138F-4B71-947F-43901ADAB614}"/>
    <cellStyle name="SAPBEXexcBad7 13 2" xfId="9681" xr:uid="{E7D32244-28B4-44D7-AF71-86DDE6E68198}"/>
    <cellStyle name="SAPBEXexcBad7 13 2 2" xfId="9682" xr:uid="{263979C3-7D51-4997-8D41-896ACC7EF21E}"/>
    <cellStyle name="SAPBEXexcBad7 13 2 2 2" xfId="21220" xr:uid="{C2FFEC29-1019-4E34-91A5-B7F82E4ED49B}"/>
    <cellStyle name="SAPBEXexcBad7 13 2 3" xfId="9683" xr:uid="{9C85B370-5216-41CE-AB89-7385EF35ACA7}"/>
    <cellStyle name="SAPBEXexcBad7 13 2 3 2" xfId="21221" xr:uid="{7B67BA57-5211-441D-9F5A-383C958D944B}"/>
    <cellStyle name="SAPBEXexcBad7 13 2 4" xfId="9684" xr:uid="{4D2C8778-1AF2-4588-92EC-EBCA26AD0BFC}"/>
    <cellStyle name="SAPBEXexcBad7 13 2 4 2" xfId="21222" xr:uid="{8C4D7737-CF28-447A-840F-80052A03DC28}"/>
    <cellStyle name="SAPBEXexcBad7 13 2 5" xfId="9685" xr:uid="{B64002DF-54CB-4D70-86BA-CFA365113334}"/>
    <cellStyle name="SAPBEXexcBad7 13 2 5 2" xfId="21223" xr:uid="{1500834B-DB93-4105-817B-FABEC70A78C5}"/>
    <cellStyle name="SAPBEXexcBad7 13 2 6" xfId="21219" xr:uid="{1AED5086-5E20-4778-ABF2-5ABECC7C6EF8}"/>
    <cellStyle name="SAPBEXexcBad7 13 3" xfId="9686" xr:uid="{27ABA8DC-0BFF-4557-8687-F7EB782F84F2}"/>
    <cellStyle name="SAPBEXexcBad7 13 3 2" xfId="21224" xr:uid="{CA314444-D4F6-47C0-9E38-0F881594C2F3}"/>
    <cellStyle name="SAPBEXexcBad7 13 4" xfId="9687" xr:uid="{D3C2E0FD-4D04-4667-841F-A40B16B4E900}"/>
    <cellStyle name="SAPBEXexcBad7 13 4 2" xfId="21225" xr:uid="{AB7AE4DC-1341-47ED-AA64-5B2147A7971F}"/>
    <cellStyle name="SAPBEXexcBad7 13 5" xfId="9688" xr:uid="{60DAD296-B3A0-433B-909A-57A5F16E16EE}"/>
    <cellStyle name="SAPBEXexcBad7 13 5 2" xfId="21226" xr:uid="{ECB64700-6DDC-4A91-8E98-1B6FB5924B31}"/>
    <cellStyle name="SAPBEXexcBad7 13 6" xfId="9689" xr:uid="{B0A82502-3691-4709-A6AA-F963FA06A987}"/>
    <cellStyle name="SAPBEXexcBad7 13 6 2" xfId="21227" xr:uid="{8557DC25-3568-4921-A60F-950855CDDF2A}"/>
    <cellStyle name="SAPBEXexcBad7 13 7" xfId="21218" xr:uid="{CEA1E410-5C73-4442-86E7-BAE7C7467529}"/>
    <cellStyle name="SAPBEXexcBad7 14" xfId="9690" xr:uid="{DE1D7EB7-018A-4BC5-A505-6A8A797EB59A}"/>
    <cellStyle name="SAPBEXexcBad7 14 2" xfId="9691" xr:uid="{DD104BF7-4E71-4912-9903-39B7EF451135}"/>
    <cellStyle name="SAPBEXexcBad7 14 2 2" xfId="9692" xr:uid="{5BECC489-6865-4C23-9DDE-5A39F607D2BE}"/>
    <cellStyle name="SAPBEXexcBad7 14 2 2 2" xfId="21230" xr:uid="{6095A6B0-C667-4F8B-A1AD-8A92B549D12E}"/>
    <cellStyle name="SAPBEXexcBad7 14 2 3" xfId="9693" xr:uid="{5D2E8D75-0940-41C4-93A1-6C79B996C813}"/>
    <cellStyle name="SAPBEXexcBad7 14 2 3 2" xfId="21231" xr:uid="{0ADFF431-F426-41AC-8432-3D16C8162598}"/>
    <cellStyle name="SAPBEXexcBad7 14 2 4" xfId="9694" xr:uid="{04B574CD-E1E4-49A6-8C3D-F773DEB9DB05}"/>
    <cellStyle name="SAPBEXexcBad7 14 2 4 2" xfId="21232" xr:uid="{DAD6BA76-4702-43F3-AA40-2A12005743A8}"/>
    <cellStyle name="SAPBEXexcBad7 14 2 5" xfId="9695" xr:uid="{E91A006A-DD93-46A9-8112-408C6A530F5E}"/>
    <cellStyle name="SAPBEXexcBad7 14 2 5 2" xfId="21233" xr:uid="{BB4B9908-E9ED-4F3B-BD2A-39B2A17F1FC3}"/>
    <cellStyle name="SAPBEXexcBad7 14 2 6" xfId="21229" xr:uid="{7C409EDF-7556-4B1E-AAB5-71A38C4CFA36}"/>
    <cellStyle name="SAPBEXexcBad7 14 3" xfId="9696" xr:uid="{C0B50B9F-9DEC-4206-940B-D2172AF26D60}"/>
    <cellStyle name="SAPBEXexcBad7 14 3 2" xfId="21234" xr:uid="{7893A28E-780E-4AF1-AF79-78410B772DA3}"/>
    <cellStyle name="SAPBEXexcBad7 14 4" xfId="9697" xr:uid="{AECBCD63-485A-450F-962C-67B5AA3382C2}"/>
    <cellStyle name="SAPBEXexcBad7 14 4 2" xfId="21235" xr:uid="{BE2FC4EE-E785-40EC-B5A2-C4A83472577D}"/>
    <cellStyle name="SAPBEXexcBad7 14 5" xfId="9698" xr:uid="{B5087CE5-349B-4A85-98E7-B642C6F87F5B}"/>
    <cellStyle name="SAPBEXexcBad7 14 5 2" xfId="21236" xr:uid="{CDF6C9C1-2A30-47DA-AF90-53654D008325}"/>
    <cellStyle name="SAPBEXexcBad7 14 6" xfId="9699" xr:uid="{F4217CAF-3D52-4E32-B331-F380B0BA9328}"/>
    <cellStyle name="SAPBEXexcBad7 14 6 2" xfId="21237" xr:uid="{BFAD34EC-429C-4D13-9D6A-5FD273C2193E}"/>
    <cellStyle name="SAPBEXexcBad7 14 7" xfId="21228" xr:uid="{66825B15-21C8-42ED-88D7-3746959E8BB2}"/>
    <cellStyle name="SAPBEXexcBad7 15" xfId="9700" xr:uid="{0039692C-8C79-4B52-9144-994D1E2BEFCB}"/>
    <cellStyle name="SAPBEXexcBad7 15 2" xfId="9701" xr:uid="{59AC7000-D67B-4AE8-AA3A-AAA766F130FB}"/>
    <cellStyle name="SAPBEXexcBad7 15 2 2" xfId="9702" xr:uid="{E6E15E2D-C21F-413D-8456-EB503A97C02D}"/>
    <cellStyle name="SAPBEXexcBad7 15 2 2 2" xfId="21240" xr:uid="{9D571CB7-EE1C-4DE0-B53F-F956C3BBD09C}"/>
    <cellStyle name="SAPBEXexcBad7 15 2 3" xfId="9703" xr:uid="{80A2AA6B-F3F2-483E-A84C-4C7ACBB70FD4}"/>
    <cellStyle name="SAPBEXexcBad7 15 2 3 2" xfId="21241" xr:uid="{CBE09E41-3EFA-445F-9D66-15543820C86C}"/>
    <cellStyle name="SAPBEXexcBad7 15 2 4" xfId="9704" xr:uid="{43AB0FF7-41D5-4097-8551-DDB357D9C6F4}"/>
    <cellStyle name="SAPBEXexcBad7 15 2 4 2" xfId="21242" xr:uid="{3F8B41CC-8871-4841-9A38-872DF6205316}"/>
    <cellStyle name="SAPBEXexcBad7 15 2 5" xfId="9705" xr:uid="{7C73DFB8-E789-4960-AE40-30F8665E2355}"/>
    <cellStyle name="SAPBEXexcBad7 15 2 5 2" xfId="21243" xr:uid="{5EBF8355-FE63-445F-816E-D41219E47096}"/>
    <cellStyle name="SAPBEXexcBad7 15 2 6" xfId="21239" xr:uid="{7AF554C0-8D80-4CDB-A900-A8C82A90F2D0}"/>
    <cellStyle name="SAPBEXexcBad7 15 3" xfId="9706" xr:uid="{E0EDB1A0-056C-42E1-8646-F7A89D1522A8}"/>
    <cellStyle name="SAPBEXexcBad7 15 3 2" xfId="21244" xr:uid="{E5BDF69A-928C-440A-80B5-4A05DA3D56BA}"/>
    <cellStyle name="SAPBEXexcBad7 15 4" xfId="9707" xr:uid="{8F23859B-B3C5-49AC-8723-0E45C32D36FC}"/>
    <cellStyle name="SAPBEXexcBad7 15 4 2" xfId="21245" xr:uid="{2780C836-0C9F-496E-B6F3-D28483D951CB}"/>
    <cellStyle name="SAPBEXexcBad7 15 5" xfId="9708" xr:uid="{87110AFB-8F8B-4220-A9D5-709427E87F6D}"/>
    <cellStyle name="SAPBEXexcBad7 15 5 2" xfId="21246" xr:uid="{9AAB7820-EE2E-4720-963E-198A44BF30F0}"/>
    <cellStyle name="SAPBEXexcBad7 15 6" xfId="9709" xr:uid="{F8059F5C-F9B1-44FA-8642-0A70BC49F358}"/>
    <cellStyle name="SAPBEXexcBad7 15 6 2" xfId="21247" xr:uid="{E7680A5A-E801-4A53-8E77-31B0D253DCD8}"/>
    <cellStyle name="SAPBEXexcBad7 15 7" xfId="21238" xr:uid="{399A6D37-E799-49F7-85FE-790732C21866}"/>
    <cellStyle name="SAPBEXexcBad7 16" xfId="9710" xr:uid="{38CC1B99-210A-4F55-AE56-1EC56AB1363D}"/>
    <cellStyle name="SAPBEXexcBad7 16 2" xfId="21248" xr:uid="{21605457-05AD-4623-BB55-B34FF1092504}"/>
    <cellStyle name="SAPBEXexcBad7 17" xfId="9711" xr:uid="{5FE2625C-9202-4C52-BE71-D487BFD7923B}"/>
    <cellStyle name="SAPBEXexcBad7 17 2" xfId="21249" xr:uid="{C597D708-81D4-418C-815D-B01F84598B55}"/>
    <cellStyle name="SAPBEXexcBad7 18" xfId="9712" xr:uid="{2C04B07E-A148-4683-89D6-DFB55702B7E5}"/>
    <cellStyle name="SAPBEXexcBad7 18 2" xfId="21250" xr:uid="{0948E61E-60FD-47CF-8F82-9354BEFCC0FE}"/>
    <cellStyle name="SAPBEXexcBad7 19" xfId="9713" xr:uid="{66631B84-71D3-4468-A2BF-55B5B91BBFC3}"/>
    <cellStyle name="SAPBEXexcBad7 19 2" xfId="21251" xr:uid="{9F4DFD8F-27A6-4642-A89C-3B7D597AFA60}"/>
    <cellStyle name="SAPBEXexcBad7 2" xfId="9714" xr:uid="{CD1E0684-B569-4787-AAE2-3BA2D11DD402}"/>
    <cellStyle name="SAPBEXexcBad7 2 2" xfId="9715" xr:uid="{F2BB4B50-BE41-4BC6-ACF5-F63042A5F509}"/>
    <cellStyle name="SAPBEXexcBad7 2 2 2" xfId="9716" xr:uid="{BCA18BE6-7352-4104-B93D-EAC5A6715FF5}"/>
    <cellStyle name="SAPBEXexcBad7 2 2 2 2" xfId="21254" xr:uid="{6F75D4C3-7B01-402D-831D-86DA3996FEA9}"/>
    <cellStyle name="SAPBEXexcBad7 2 2 3" xfId="9717" xr:uid="{00E1CC63-7A67-48C7-B0EA-E059438A3740}"/>
    <cellStyle name="SAPBEXexcBad7 2 2 3 2" xfId="21255" xr:uid="{78E39229-9EF7-49FD-9B0E-0F0F4DD6F7B6}"/>
    <cellStyle name="SAPBEXexcBad7 2 2 4" xfId="9718" xr:uid="{B021F692-5B63-41D6-8B03-3B14CD7ACB60}"/>
    <cellStyle name="SAPBEXexcBad7 2 2 4 2" xfId="21256" xr:uid="{B6C28778-B0B3-40C0-9559-1F1FEA225CAE}"/>
    <cellStyle name="SAPBEXexcBad7 2 2 5" xfId="9719" xr:uid="{5EA683FA-0E2D-4F78-87F4-C80C182C1C10}"/>
    <cellStyle name="SAPBEXexcBad7 2 2 5 2" xfId="21257" xr:uid="{A70A932F-4BD7-4466-B7FC-A81D2E6C6A58}"/>
    <cellStyle name="SAPBEXexcBad7 2 2 6" xfId="21253" xr:uid="{F63B2615-41AC-4ED4-BCBC-706F39144FE9}"/>
    <cellStyle name="SAPBEXexcBad7 2 3" xfId="9720" xr:uid="{DD1907C7-B821-4DC8-8669-A4A93C27F110}"/>
    <cellStyle name="SAPBEXexcBad7 2 3 2" xfId="21258" xr:uid="{567A0A05-DD02-4488-BCAE-CFA2D4B703C1}"/>
    <cellStyle name="SAPBEXexcBad7 2 4" xfId="9721" xr:uid="{3DCB9FD4-8F5E-45A4-A052-74B37DCAAE16}"/>
    <cellStyle name="SAPBEXexcBad7 2 4 2" xfId="21259" xr:uid="{4E3301A5-FD77-41B7-869F-840097D63BCC}"/>
    <cellStyle name="SAPBEXexcBad7 2 5" xfId="9722" xr:uid="{9E0519FC-964C-43CD-82EA-22667E56E9FC}"/>
    <cellStyle name="SAPBEXexcBad7 2 5 2" xfId="21260" xr:uid="{74E1134F-BEB3-4DF1-B1C5-D6EE7A5DEEBD}"/>
    <cellStyle name="SAPBEXexcBad7 2 6" xfId="9723" xr:uid="{153EE869-A803-4353-8B79-E91B1FB0C544}"/>
    <cellStyle name="SAPBEXexcBad7 2 6 2" xfId="21261" xr:uid="{AD139BDA-0B5C-4E97-861A-EB7E3F25E7E6}"/>
    <cellStyle name="SAPBEXexcBad7 2 7" xfId="21252" xr:uid="{AB877252-98E1-4248-8110-DC41ECF9C1EF}"/>
    <cellStyle name="SAPBEXexcBad7 20" xfId="15165" xr:uid="{AC63BD70-6F79-4556-94C0-CC8CC96F88ED}"/>
    <cellStyle name="SAPBEXexcBad7 3" xfId="9724" xr:uid="{0BF978BF-3D64-4AC6-9BCB-27678A154C79}"/>
    <cellStyle name="SAPBEXexcBad7 3 2" xfId="9725" xr:uid="{834532DF-F361-4DA3-B2C3-2DA7FD22F7B8}"/>
    <cellStyle name="SAPBEXexcBad7 3 2 2" xfId="9726" xr:uid="{81B46E92-6214-4760-87AD-26F69B327A15}"/>
    <cellStyle name="SAPBEXexcBad7 3 2 2 2" xfId="21264" xr:uid="{FF352D25-B289-42EA-B5C0-54DA3CF8CC36}"/>
    <cellStyle name="SAPBEXexcBad7 3 2 3" xfId="9727" xr:uid="{8A6D22B1-34FD-40B5-8EEC-CCCF23CFC293}"/>
    <cellStyle name="SAPBEXexcBad7 3 2 3 2" xfId="21265" xr:uid="{992B4BFC-30B4-4AE7-932A-688B9379B8A1}"/>
    <cellStyle name="SAPBEXexcBad7 3 2 4" xfId="9728" xr:uid="{6DC87A24-D53E-4D6D-AF6C-7A4FFDB074CA}"/>
    <cellStyle name="SAPBEXexcBad7 3 2 4 2" xfId="21266" xr:uid="{C2ABE8A6-F0F3-49C9-A3B4-A462DC62AF2F}"/>
    <cellStyle name="SAPBEXexcBad7 3 2 5" xfId="9729" xr:uid="{3D09DAB9-FFF9-4483-9542-15B29C50EC9B}"/>
    <cellStyle name="SAPBEXexcBad7 3 2 5 2" xfId="21267" xr:uid="{C586326A-BD53-4677-8971-C342EAA54261}"/>
    <cellStyle name="SAPBEXexcBad7 3 2 6" xfId="21263" xr:uid="{D21C14BF-506C-446F-8736-C9DB6038AF08}"/>
    <cellStyle name="SAPBEXexcBad7 3 3" xfId="9730" xr:uid="{CA7C8CCF-16BC-481C-BEDD-9A8BC1E1982F}"/>
    <cellStyle name="SAPBEXexcBad7 3 3 2" xfId="21268" xr:uid="{8E02ECA0-4F91-4F1B-B2B8-0C042849A21A}"/>
    <cellStyle name="SAPBEXexcBad7 3 4" xfId="9731" xr:uid="{6379BD42-0204-4235-AD66-093B4CB37C50}"/>
    <cellStyle name="SAPBEXexcBad7 3 4 2" xfId="21269" xr:uid="{8DFB9130-C7B3-48C3-AFDC-56403CE16D0F}"/>
    <cellStyle name="SAPBEXexcBad7 3 5" xfId="9732" xr:uid="{E19FF51C-05A8-4F44-8736-F45C85AC81DB}"/>
    <cellStyle name="SAPBEXexcBad7 3 5 2" xfId="21270" xr:uid="{7429A1B9-3CED-43E1-B45B-D9904E4714C8}"/>
    <cellStyle name="SAPBEXexcBad7 3 6" xfId="9733" xr:uid="{7A5DF22F-EF2F-4486-8413-C69B445A228E}"/>
    <cellStyle name="SAPBEXexcBad7 3 6 2" xfId="21271" xr:uid="{0273A521-4696-4DDF-B162-8DF0A36FD55B}"/>
    <cellStyle name="SAPBEXexcBad7 3 7" xfId="21262" xr:uid="{1633E3D5-F3F4-4AF6-9E3A-A6539D092700}"/>
    <cellStyle name="SAPBEXexcBad7 4" xfId="9734" xr:uid="{245A28E3-16F4-4375-8CB0-102BD4722184}"/>
    <cellStyle name="SAPBEXexcBad7 4 2" xfId="9735" xr:uid="{C3BB6C3F-C30B-4E7C-922A-502554CF1091}"/>
    <cellStyle name="SAPBEXexcBad7 4 2 2" xfId="9736" xr:uid="{E2E65E77-7C9F-410E-B8B4-A34A55D05FAE}"/>
    <cellStyle name="SAPBEXexcBad7 4 2 2 2" xfId="21274" xr:uid="{A2748E78-C832-4ECF-A212-F3D77084632A}"/>
    <cellStyle name="SAPBEXexcBad7 4 2 3" xfId="9737" xr:uid="{8B3BB5AD-EA8B-4F6E-B580-574B07969849}"/>
    <cellStyle name="SAPBEXexcBad7 4 2 3 2" xfId="21275" xr:uid="{A741C4B7-ACA2-4F0B-8EE8-E2D9E03E73C3}"/>
    <cellStyle name="SAPBEXexcBad7 4 2 4" xfId="9738" xr:uid="{546FFE4E-8BAD-4898-8536-10D2BEED292C}"/>
    <cellStyle name="SAPBEXexcBad7 4 2 4 2" xfId="21276" xr:uid="{5E106E9E-8C10-45AC-A132-ED23F4064763}"/>
    <cellStyle name="SAPBEXexcBad7 4 2 5" xfId="9739" xr:uid="{4DDDE66F-459B-459D-A942-3AA9B81F8B85}"/>
    <cellStyle name="SAPBEXexcBad7 4 2 5 2" xfId="21277" xr:uid="{6DA8520B-4B52-423D-9880-BF46EA55C4F2}"/>
    <cellStyle name="SAPBEXexcBad7 4 2 6" xfId="21273" xr:uid="{F108E976-95F0-475D-8834-B645935D02D7}"/>
    <cellStyle name="SAPBEXexcBad7 4 3" xfId="9740" xr:uid="{61ADC85A-5E68-4DF6-A330-706F683672D8}"/>
    <cellStyle name="SAPBEXexcBad7 4 3 2" xfId="21278" xr:uid="{89FFE3F3-E8AE-411F-83A4-B63DD50E81C5}"/>
    <cellStyle name="SAPBEXexcBad7 4 4" xfId="9741" xr:uid="{40676C43-6CFB-4029-AF52-B44E2F2FBDFD}"/>
    <cellStyle name="SAPBEXexcBad7 4 4 2" xfId="21279" xr:uid="{64281299-031B-4F5D-973E-C46E09EA53B4}"/>
    <cellStyle name="SAPBEXexcBad7 4 5" xfId="9742" xr:uid="{566337A0-373E-43FA-848B-312980B859B1}"/>
    <cellStyle name="SAPBEXexcBad7 4 5 2" xfId="21280" xr:uid="{DF11BCB7-6553-4631-840B-13125C36A82D}"/>
    <cellStyle name="SAPBEXexcBad7 4 6" xfId="9743" xr:uid="{0137E399-23E3-46E9-8F53-25C1424AE9D4}"/>
    <cellStyle name="SAPBEXexcBad7 4 6 2" xfId="21281" xr:uid="{1ECE59B9-3EE4-4C2A-A581-204DF3C06387}"/>
    <cellStyle name="SAPBEXexcBad7 4 7" xfId="21272" xr:uid="{A64CC246-7D6E-4C2E-B4A5-9C0300CF57FA}"/>
    <cellStyle name="SAPBEXexcBad7 5" xfId="9744" xr:uid="{3AB8CC08-CBDB-48B3-A923-9F59A51336A7}"/>
    <cellStyle name="SAPBEXexcBad7 5 2" xfId="9745" xr:uid="{9E056018-EF6F-49EA-A737-62A08AA43F95}"/>
    <cellStyle name="SAPBEXexcBad7 5 2 2" xfId="9746" xr:uid="{D8127DAB-2737-42A5-8F42-8AFDD0F84F92}"/>
    <cellStyle name="SAPBEXexcBad7 5 2 2 2" xfId="21284" xr:uid="{175158BD-8E7E-4EC3-B4E3-AA3E7DE64365}"/>
    <cellStyle name="SAPBEXexcBad7 5 2 3" xfId="9747" xr:uid="{29B93412-74D3-4230-AC2C-542CEAF109E3}"/>
    <cellStyle name="SAPBEXexcBad7 5 2 3 2" xfId="21285" xr:uid="{2D8CD35B-6F87-4448-92FC-A48A3F13C9FC}"/>
    <cellStyle name="SAPBEXexcBad7 5 2 4" xfId="9748" xr:uid="{73615B38-E171-43E8-A86C-367482441F68}"/>
    <cellStyle name="SAPBEXexcBad7 5 2 4 2" xfId="21286" xr:uid="{E707645B-F729-4DC5-8FBB-399A36CE8137}"/>
    <cellStyle name="SAPBEXexcBad7 5 2 5" xfId="9749" xr:uid="{DC5F232B-6ECB-4950-B405-DC6A294AE9CE}"/>
    <cellStyle name="SAPBEXexcBad7 5 2 5 2" xfId="21287" xr:uid="{543F5F46-E201-45F2-95D3-13A8AC63A20D}"/>
    <cellStyle name="SAPBEXexcBad7 5 2 6" xfId="21283" xr:uid="{DAA2CE67-1C03-431E-82B3-7EFD90BBF64F}"/>
    <cellStyle name="SAPBEXexcBad7 5 3" xfId="9750" xr:uid="{C505A362-70C6-4C44-8144-6B976232CEEF}"/>
    <cellStyle name="SAPBEXexcBad7 5 3 2" xfId="21288" xr:uid="{5EA8A0AA-DCBC-4122-BF33-413D3D46E547}"/>
    <cellStyle name="SAPBEXexcBad7 5 4" xfId="9751" xr:uid="{358DA876-6F96-440E-B09E-42D023EB2BD4}"/>
    <cellStyle name="SAPBEXexcBad7 5 4 2" xfId="21289" xr:uid="{3C523512-7C79-4DD7-8A65-CFA00E69B480}"/>
    <cellStyle name="SAPBEXexcBad7 5 5" xfId="9752" xr:uid="{FB51F333-C285-4F3B-8749-E6622C0E1FFD}"/>
    <cellStyle name="SAPBEXexcBad7 5 5 2" xfId="21290" xr:uid="{38B4BCA8-BAE7-4E80-BD40-CA9A0673C9AC}"/>
    <cellStyle name="SAPBEXexcBad7 5 6" xfId="9753" xr:uid="{1AA62E84-1BA8-4142-A613-265CB62B34BF}"/>
    <cellStyle name="SAPBEXexcBad7 5 6 2" xfId="21291" xr:uid="{D82C39B4-DC93-4B57-959F-44200FADEFE4}"/>
    <cellStyle name="SAPBEXexcBad7 5 7" xfId="21282" xr:uid="{187C053E-CFAE-4413-8B71-D8D552E0A56E}"/>
    <cellStyle name="SAPBEXexcBad7 6" xfId="9754" xr:uid="{0770A52D-1D71-4D3A-BFB0-0CEFB860ED34}"/>
    <cellStyle name="SAPBEXexcBad7 6 2" xfId="9755" xr:uid="{B0F8FCAA-F5F2-4587-9354-070AF67AD682}"/>
    <cellStyle name="SAPBEXexcBad7 6 2 2" xfId="9756" xr:uid="{912C6E34-20CF-4A43-8BAE-CFE884713F47}"/>
    <cellStyle name="SAPBEXexcBad7 6 2 2 2" xfId="21294" xr:uid="{1FBADF1A-EA06-4FC1-82DC-D3462E740EAF}"/>
    <cellStyle name="SAPBEXexcBad7 6 2 3" xfId="9757" xr:uid="{091262C4-E7A2-4CC0-A095-BEFDCF3A0181}"/>
    <cellStyle name="SAPBEXexcBad7 6 2 3 2" xfId="21295" xr:uid="{E74D18C3-83CE-4C8A-BE46-A1D756F3E5C7}"/>
    <cellStyle name="SAPBEXexcBad7 6 2 4" xfId="9758" xr:uid="{B9549B88-11F2-4A55-BCCD-48F28F1894C1}"/>
    <cellStyle name="SAPBEXexcBad7 6 2 4 2" xfId="21296" xr:uid="{5E8BA23E-567F-44F6-9ECC-834FA61760E0}"/>
    <cellStyle name="SAPBEXexcBad7 6 2 5" xfId="9759" xr:uid="{D6A18A35-25B1-4FD3-8E33-CE81C933DA8A}"/>
    <cellStyle name="SAPBEXexcBad7 6 2 5 2" xfId="21297" xr:uid="{A602B88A-B532-41C2-8F9C-31309110DF37}"/>
    <cellStyle name="SAPBEXexcBad7 6 2 6" xfId="21293" xr:uid="{8CC098AF-0D98-42B5-BF42-D9BFDA7054FE}"/>
    <cellStyle name="SAPBEXexcBad7 6 3" xfId="9760" xr:uid="{E5EB4AF2-3A84-4082-9F51-02E55DDEAAAD}"/>
    <cellStyle name="SAPBEXexcBad7 6 3 2" xfId="21298" xr:uid="{86FA29FB-3D79-4E8F-ABF0-584C62249240}"/>
    <cellStyle name="SAPBEXexcBad7 6 4" xfId="9761" xr:uid="{3F219CEC-D959-4429-8D2A-100B46290190}"/>
    <cellStyle name="SAPBEXexcBad7 6 4 2" xfId="21299" xr:uid="{E45AB4C8-F5EA-49CB-AA4A-225918EFF9EB}"/>
    <cellStyle name="SAPBEXexcBad7 6 5" xfId="9762" xr:uid="{A1580730-8AF0-4799-98C6-669D4CC3660A}"/>
    <cellStyle name="SAPBEXexcBad7 6 5 2" xfId="21300" xr:uid="{500EA712-D78E-4D8A-8469-198CA32F6874}"/>
    <cellStyle name="SAPBEXexcBad7 6 6" xfId="9763" xr:uid="{D4232FDD-6254-437C-A913-B44A9DAE90A4}"/>
    <cellStyle name="SAPBEXexcBad7 6 6 2" xfId="21301" xr:uid="{7909DD4C-B1C3-4612-B83E-BE93624D0131}"/>
    <cellStyle name="SAPBEXexcBad7 6 7" xfId="21292" xr:uid="{FB1A898C-FC49-4148-AA28-AAE95CE4FCC5}"/>
    <cellStyle name="SAPBEXexcBad7 7" xfId="9764" xr:uid="{FF2FDF63-33BC-45D0-AFE1-A273DEA6E67A}"/>
    <cellStyle name="SAPBEXexcBad7 7 2" xfId="9765" xr:uid="{561D9296-12A4-4E55-86C9-CDBBC85E04A0}"/>
    <cellStyle name="SAPBEXexcBad7 7 2 2" xfId="9766" xr:uid="{D6BE9DD8-FF93-4EA7-AA5F-82544A861096}"/>
    <cellStyle name="SAPBEXexcBad7 7 2 2 2" xfId="21304" xr:uid="{5ED75321-5698-43EA-A870-8C1B76528EEC}"/>
    <cellStyle name="SAPBEXexcBad7 7 2 3" xfId="9767" xr:uid="{3BF6F0A7-F62D-42F8-9663-E136F8AC0F92}"/>
    <cellStyle name="SAPBEXexcBad7 7 2 3 2" xfId="21305" xr:uid="{F128DB97-23DD-474E-B38B-78A992F20B4C}"/>
    <cellStyle name="SAPBEXexcBad7 7 2 4" xfId="9768" xr:uid="{270A89A4-7E27-4C1B-BB68-C246103524FB}"/>
    <cellStyle name="SAPBEXexcBad7 7 2 4 2" xfId="21306" xr:uid="{8AD653DF-187B-4D9D-A252-98A0EE719CF4}"/>
    <cellStyle name="SAPBEXexcBad7 7 2 5" xfId="9769" xr:uid="{769B2E0F-CF3F-4D3B-BB0C-1A2EDA8B9837}"/>
    <cellStyle name="SAPBEXexcBad7 7 2 5 2" xfId="21307" xr:uid="{CEEF4DD8-1756-491F-85F0-04F8777EDB7F}"/>
    <cellStyle name="SAPBEXexcBad7 7 2 6" xfId="21303" xr:uid="{EDFBBDD3-96F9-40CD-94A4-8D58E4F0A63A}"/>
    <cellStyle name="SAPBEXexcBad7 7 3" xfId="9770" xr:uid="{F0812DB6-F164-48CE-B316-D5EEB066417E}"/>
    <cellStyle name="SAPBEXexcBad7 7 3 2" xfId="21308" xr:uid="{81B9A26D-B940-4425-AC76-1C7F34E8A85B}"/>
    <cellStyle name="SAPBEXexcBad7 7 4" xfId="9771" xr:uid="{470C6C08-6AAF-400A-A65C-039B19D430F7}"/>
    <cellStyle name="SAPBEXexcBad7 7 4 2" xfId="21309" xr:uid="{43E1546C-7FBF-41F8-9D66-22DFED3D5F53}"/>
    <cellStyle name="SAPBEXexcBad7 7 5" xfId="9772" xr:uid="{D38A03C2-6F36-4056-B01F-E02A2CF70576}"/>
    <cellStyle name="SAPBEXexcBad7 7 5 2" xfId="21310" xr:uid="{7B8E3609-AC46-43A6-9FC0-04EDF68E7152}"/>
    <cellStyle name="SAPBEXexcBad7 7 6" xfId="9773" xr:uid="{44D29DB3-1EB8-4D82-A4EA-395B4A05B257}"/>
    <cellStyle name="SAPBEXexcBad7 7 6 2" xfId="21311" xr:uid="{22A04003-FF6B-4D95-B451-90D149E2231B}"/>
    <cellStyle name="SAPBEXexcBad7 7 7" xfId="21302" xr:uid="{124AC3BD-3359-4430-9601-46E23C8FD8DD}"/>
    <cellStyle name="SAPBEXexcBad7 8" xfId="9774" xr:uid="{E51CDF44-29BC-43FE-8D07-4D832609C5E9}"/>
    <cellStyle name="SAPBEXexcBad7 8 2" xfId="9775" xr:uid="{CD6D8C43-FA1E-4212-9E18-D3F3D3F1F59D}"/>
    <cellStyle name="SAPBEXexcBad7 8 2 2" xfId="9776" xr:uid="{25BA8197-1AF7-47CF-9FA3-63B564D3064E}"/>
    <cellStyle name="SAPBEXexcBad7 8 2 2 2" xfId="21314" xr:uid="{300B60AD-3053-4780-8D6D-7FBA285B6D8E}"/>
    <cellStyle name="SAPBEXexcBad7 8 2 3" xfId="9777" xr:uid="{25EEDBF5-4766-4728-BA8D-12362DCE98C1}"/>
    <cellStyle name="SAPBEXexcBad7 8 2 3 2" xfId="21315" xr:uid="{32DADD0D-2F82-49A9-BA0D-3186272FBFD4}"/>
    <cellStyle name="SAPBEXexcBad7 8 2 4" xfId="9778" xr:uid="{4E758012-EA15-4DD7-BD45-B6D6548F62AB}"/>
    <cellStyle name="SAPBEXexcBad7 8 2 4 2" xfId="21316" xr:uid="{7FA3CF8B-914D-4A35-98A5-745A15DA2729}"/>
    <cellStyle name="SAPBEXexcBad7 8 2 5" xfId="9779" xr:uid="{327C082A-7F54-40A2-A787-FD7E9ABAF961}"/>
    <cellStyle name="SAPBEXexcBad7 8 2 5 2" xfId="21317" xr:uid="{1510E117-3447-4D38-98F2-B3BCB1F82BC7}"/>
    <cellStyle name="SAPBEXexcBad7 8 2 6" xfId="21313" xr:uid="{DC29C7DB-DD9B-4652-AA6D-9BDD1E17C8FD}"/>
    <cellStyle name="SAPBEXexcBad7 8 3" xfId="9780" xr:uid="{FFFF0DFB-A35B-4F69-8CBB-96156DFEDB11}"/>
    <cellStyle name="SAPBEXexcBad7 8 3 2" xfId="21318" xr:uid="{EFB0A206-7066-402D-BE68-038326AA8198}"/>
    <cellStyle name="SAPBEXexcBad7 8 4" xfId="9781" xr:uid="{09E4DE20-15FC-4ED9-9DD1-5F0E6D897111}"/>
    <cellStyle name="SAPBEXexcBad7 8 4 2" xfId="21319" xr:uid="{FB1A0F00-946B-4891-9BEB-422EA7A4051B}"/>
    <cellStyle name="SAPBEXexcBad7 8 5" xfId="9782" xr:uid="{D40312FB-7249-42CA-80F8-AE109A5A7B7D}"/>
    <cellStyle name="SAPBEXexcBad7 8 5 2" xfId="21320" xr:uid="{76CF6137-22B1-4578-B452-3E4869545FF6}"/>
    <cellStyle name="SAPBEXexcBad7 8 6" xfId="9783" xr:uid="{4C5F2DDD-7961-4B1F-8EB8-DEDDDBA91431}"/>
    <cellStyle name="SAPBEXexcBad7 8 6 2" xfId="21321" xr:uid="{8AFA5272-4990-4B91-A8A7-33D6F5F83BED}"/>
    <cellStyle name="SAPBEXexcBad7 8 7" xfId="21312" xr:uid="{A2FA6333-60AB-414B-9024-10C41D4344CB}"/>
    <cellStyle name="SAPBEXexcBad7 9" xfId="9784" xr:uid="{D771A8D7-D6C0-490B-BF12-37796FCB1650}"/>
    <cellStyle name="SAPBEXexcBad7 9 2" xfId="9785" xr:uid="{55E1ED3A-FAC3-46E2-9288-C7AED81B5378}"/>
    <cellStyle name="SAPBEXexcBad7 9 2 2" xfId="9786" xr:uid="{66E1B9C8-7EDB-43F4-AD15-36DD4E58B9BC}"/>
    <cellStyle name="SAPBEXexcBad7 9 2 2 2" xfId="21324" xr:uid="{7EBA55F2-40A5-4790-97B4-A19A34AEAF46}"/>
    <cellStyle name="SAPBEXexcBad7 9 2 3" xfId="9787" xr:uid="{FF16B6C1-DCC8-474A-86FC-1D01D0C7D491}"/>
    <cellStyle name="SAPBEXexcBad7 9 2 3 2" xfId="21325" xr:uid="{476760A4-808A-42A1-BB1B-AAA49871B97B}"/>
    <cellStyle name="SAPBEXexcBad7 9 2 4" xfId="9788" xr:uid="{4D33323C-1B83-427F-BC8D-E8E46C85C3FC}"/>
    <cellStyle name="SAPBEXexcBad7 9 2 4 2" xfId="21326" xr:uid="{D3BCF85A-51AA-4A60-AA3C-34EFECECA312}"/>
    <cellStyle name="SAPBEXexcBad7 9 2 5" xfId="9789" xr:uid="{2ECD09E8-63E0-4FF0-B4D1-B77359B978DD}"/>
    <cellStyle name="SAPBEXexcBad7 9 2 5 2" xfId="21327" xr:uid="{44820F57-4097-4F91-8931-4CB4D9239ADD}"/>
    <cellStyle name="SAPBEXexcBad7 9 2 6" xfId="21323" xr:uid="{1ACB4A36-996C-4159-8409-5BFCB2325F0D}"/>
    <cellStyle name="SAPBEXexcBad7 9 3" xfId="9790" xr:uid="{50A74072-1A01-4D16-A999-505029F36387}"/>
    <cellStyle name="SAPBEXexcBad7 9 3 2" xfId="21328" xr:uid="{3A422E6E-6109-4BBB-9B98-9DEAD3DE2DC9}"/>
    <cellStyle name="SAPBEXexcBad7 9 4" xfId="9791" xr:uid="{8E84E6D2-F060-4A94-9253-FC09E60C7F5B}"/>
    <cellStyle name="SAPBEXexcBad7 9 4 2" xfId="21329" xr:uid="{438B7A29-55B9-4C6C-9929-438643CDF3D3}"/>
    <cellStyle name="SAPBEXexcBad7 9 5" xfId="9792" xr:uid="{1B12F528-49B6-492F-A2B7-AE9A307AF6BA}"/>
    <cellStyle name="SAPBEXexcBad7 9 5 2" xfId="21330" xr:uid="{47885B27-DB00-4CC0-A014-9121D65D8C1D}"/>
    <cellStyle name="SAPBEXexcBad7 9 6" xfId="9793" xr:uid="{B48E7E87-D7BB-473E-901B-322823173E47}"/>
    <cellStyle name="SAPBEXexcBad7 9 6 2" xfId="21331" xr:uid="{F6CD7458-9025-4CFF-A211-80A4BAE1CB96}"/>
    <cellStyle name="SAPBEXexcBad7 9 7" xfId="21322" xr:uid="{A80D6E1B-CAB1-47A1-967F-5652519FD66A}"/>
    <cellStyle name="SAPBEXexcBad7_KTR An-Abflug" xfId="14884" xr:uid="{A63D1DD3-CFA5-471B-A95C-3BAD40472488}"/>
    <cellStyle name="SAPBEXexcBad8" xfId="9794" xr:uid="{56EF0D6E-97FB-4B66-8A97-90DFF31FF328}"/>
    <cellStyle name="SAPBEXexcBad8 10" xfId="9795" xr:uid="{5FD691F5-6E93-4CAB-AADC-168DAB9B721A}"/>
    <cellStyle name="SAPBEXexcBad8 10 2" xfId="9796" xr:uid="{9E3A7D6A-47F5-4E2A-864A-CDB5594BC30D}"/>
    <cellStyle name="SAPBEXexcBad8 10 2 2" xfId="9797" xr:uid="{4D6BF008-05B9-4456-8855-9C762F7B6EA4}"/>
    <cellStyle name="SAPBEXexcBad8 10 2 2 2" xfId="21334" xr:uid="{4E5BB2E7-598D-4CB7-B9D8-F143D1832B5A}"/>
    <cellStyle name="SAPBEXexcBad8 10 2 3" xfId="9798" xr:uid="{C9C8C579-40E6-400E-9D3C-3CE993E17B10}"/>
    <cellStyle name="SAPBEXexcBad8 10 2 3 2" xfId="21335" xr:uid="{DAA825C7-D7A4-40F4-9033-C9D154B70700}"/>
    <cellStyle name="SAPBEXexcBad8 10 2 4" xfId="9799" xr:uid="{2D6DA0EB-94A9-4850-91D1-2DE520BC0A9F}"/>
    <cellStyle name="SAPBEXexcBad8 10 2 4 2" xfId="21336" xr:uid="{9197A405-AD35-4B2E-8878-1CACF1E27F11}"/>
    <cellStyle name="SAPBEXexcBad8 10 2 5" xfId="9800" xr:uid="{93FC0E2D-6BE6-44D9-938D-CB2961AD4673}"/>
    <cellStyle name="SAPBEXexcBad8 10 2 5 2" xfId="21337" xr:uid="{7783EB49-1B55-4783-B6A2-C833B1D9ACC0}"/>
    <cellStyle name="SAPBEXexcBad8 10 2 6" xfId="21333" xr:uid="{E146E97F-2930-4B66-90C6-C2776C3BED48}"/>
    <cellStyle name="SAPBEXexcBad8 10 3" xfId="9801" xr:uid="{C0944CD7-304D-4D98-AF23-08A9FB2F0269}"/>
    <cellStyle name="SAPBEXexcBad8 10 3 2" xfId="21338" xr:uid="{F0171F92-4B4B-47B2-B409-DC89679F6270}"/>
    <cellStyle name="SAPBEXexcBad8 10 4" xfId="9802" xr:uid="{D0DFAB8D-1ABB-4205-BC6F-91274565AB9C}"/>
    <cellStyle name="SAPBEXexcBad8 10 4 2" xfId="21339" xr:uid="{A97E169B-6414-4982-A46B-A7B67B475AD9}"/>
    <cellStyle name="SAPBEXexcBad8 10 5" xfId="9803" xr:uid="{F13134E4-0139-4547-8CFC-9039AC4C2496}"/>
    <cellStyle name="SAPBEXexcBad8 10 5 2" xfId="21340" xr:uid="{CEC22CBA-5C51-4DD6-895A-C991AC10320E}"/>
    <cellStyle name="SAPBEXexcBad8 10 6" xfId="9804" xr:uid="{17C4D641-0F60-4A6A-B75E-471F857B8907}"/>
    <cellStyle name="SAPBEXexcBad8 10 6 2" xfId="21341" xr:uid="{BCEDD0C1-ABB8-4482-9345-494D1FCF3EEF}"/>
    <cellStyle name="SAPBEXexcBad8 10 7" xfId="21332" xr:uid="{4CC4858B-5135-4F5E-85AA-9BF0512B176A}"/>
    <cellStyle name="SAPBEXexcBad8 11" xfId="9805" xr:uid="{87952FEA-F79C-4289-8037-F1CC1CDE0A02}"/>
    <cellStyle name="SAPBEXexcBad8 11 2" xfId="9806" xr:uid="{799FF0AF-F925-4E54-B069-6EDED387F705}"/>
    <cellStyle name="SAPBEXexcBad8 11 2 2" xfId="9807" xr:uid="{ACE62EF2-4B1F-4775-BBF1-8354E7A33AD7}"/>
    <cellStyle name="SAPBEXexcBad8 11 2 2 2" xfId="21344" xr:uid="{D9577C3E-8E8B-44FA-AAFF-24F7B7EBF3D2}"/>
    <cellStyle name="SAPBEXexcBad8 11 2 3" xfId="9808" xr:uid="{5FD7DF3A-B490-4302-B34A-D606E385C647}"/>
    <cellStyle name="SAPBEXexcBad8 11 2 3 2" xfId="21345" xr:uid="{336797D0-9D15-4F6C-91E7-2D11133BC749}"/>
    <cellStyle name="SAPBEXexcBad8 11 2 4" xfId="9809" xr:uid="{80512DDB-71A6-43D8-8A2A-C5F661DECA71}"/>
    <cellStyle name="SAPBEXexcBad8 11 2 4 2" xfId="21346" xr:uid="{D3D93595-E25D-47F3-853F-620B90C7C0CA}"/>
    <cellStyle name="SAPBEXexcBad8 11 2 5" xfId="9810" xr:uid="{6002C2F7-4021-4374-A6C2-A6B5316521FB}"/>
    <cellStyle name="SAPBEXexcBad8 11 2 5 2" xfId="21347" xr:uid="{F57E54E5-E514-4B0D-AB01-560E43F1C94F}"/>
    <cellStyle name="SAPBEXexcBad8 11 2 6" xfId="21343" xr:uid="{FBCB6FC7-CB01-4B0F-8297-60497D0E5D4E}"/>
    <cellStyle name="SAPBEXexcBad8 11 3" xfId="9811" xr:uid="{23C22068-737B-4218-90C5-32A0F307431C}"/>
    <cellStyle name="SAPBEXexcBad8 11 3 2" xfId="21348" xr:uid="{358E2B9D-1C0A-4D95-B01F-2815ED864DC2}"/>
    <cellStyle name="SAPBEXexcBad8 11 4" xfId="9812" xr:uid="{C424D72F-8706-40E1-88C9-B312E7CD1D56}"/>
    <cellStyle name="SAPBEXexcBad8 11 4 2" xfId="21349" xr:uid="{A97F8A85-3F5B-44E5-BF88-3736938C240F}"/>
    <cellStyle name="SAPBEXexcBad8 11 5" xfId="9813" xr:uid="{F099292B-69C6-4BD9-B027-5F26ABE0350B}"/>
    <cellStyle name="SAPBEXexcBad8 11 5 2" xfId="21350" xr:uid="{6956EFE2-B47F-44BB-8C45-B338C6699F0D}"/>
    <cellStyle name="SAPBEXexcBad8 11 6" xfId="9814" xr:uid="{AFEB3A0F-488C-4142-B6FC-FB82B611C819}"/>
    <cellStyle name="SAPBEXexcBad8 11 6 2" xfId="21351" xr:uid="{00849E01-6831-4A14-8292-74AD7D08F9E3}"/>
    <cellStyle name="SAPBEXexcBad8 11 7" xfId="21342" xr:uid="{A770174A-E8C2-45CE-AF3C-7A6CDB208D31}"/>
    <cellStyle name="SAPBEXexcBad8 12" xfId="9815" xr:uid="{E202403B-DCC0-4E6D-9AB9-422225F781B2}"/>
    <cellStyle name="SAPBEXexcBad8 12 2" xfId="9816" xr:uid="{3BF3F318-4F04-4FC0-A7FB-C4C94ECA76E1}"/>
    <cellStyle name="SAPBEXexcBad8 12 2 2" xfId="9817" xr:uid="{1E1858F8-BDA2-461B-8BC5-4A21BB7E45D2}"/>
    <cellStyle name="SAPBEXexcBad8 12 2 2 2" xfId="21354" xr:uid="{9FBA6885-DB2F-4830-8710-4D8133DA4C62}"/>
    <cellStyle name="SAPBEXexcBad8 12 2 3" xfId="9818" xr:uid="{8C1B38F4-DBE0-46A0-A633-FE911E9690F2}"/>
    <cellStyle name="SAPBEXexcBad8 12 2 3 2" xfId="21355" xr:uid="{CA30680F-EF5C-4A6C-BB6E-37B184AF47D0}"/>
    <cellStyle name="SAPBEXexcBad8 12 2 4" xfId="9819" xr:uid="{94F5A09B-7CD8-4F58-B016-C3A83EA845F3}"/>
    <cellStyle name="SAPBEXexcBad8 12 2 4 2" xfId="21356" xr:uid="{909F2B48-70EB-418F-9167-9241F0C7E65A}"/>
    <cellStyle name="SAPBEXexcBad8 12 2 5" xfId="9820" xr:uid="{0AE2FB72-6EE1-4E08-BAC0-11C53C3FA645}"/>
    <cellStyle name="SAPBEXexcBad8 12 2 5 2" xfId="21357" xr:uid="{9F4BBFE0-F9A1-42FF-BE59-0B870B4140B7}"/>
    <cellStyle name="SAPBEXexcBad8 12 2 6" xfId="21353" xr:uid="{077A4E90-90C0-4E8D-BC5F-985FFFA67527}"/>
    <cellStyle name="SAPBEXexcBad8 12 3" xfId="9821" xr:uid="{9BA1B16F-BA42-45C4-8D54-0EA5B65C2313}"/>
    <cellStyle name="SAPBEXexcBad8 12 3 2" xfId="21358" xr:uid="{331E240E-B8BB-44F9-983D-8CE31954473B}"/>
    <cellStyle name="SAPBEXexcBad8 12 4" xfId="9822" xr:uid="{DEC323EA-7EC5-426E-91CD-9C4BDCFBD34D}"/>
    <cellStyle name="SAPBEXexcBad8 12 4 2" xfId="21359" xr:uid="{DEA63339-C125-4D1B-846F-E950454D0BEB}"/>
    <cellStyle name="SAPBEXexcBad8 12 5" xfId="9823" xr:uid="{B339466A-DC62-491C-8DAC-B65E532AE0FD}"/>
    <cellStyle name="SAPBEXexcBad8 12 5 2" xfId="21360" xr:uid="{F325F258-2791-467A-99F0-F4246D7CDF47}"/>
    <cellStyle name="SAPBEXexcBad8 12 6" xfId="9824" xr:uid="{067F56B3-5CFB-4C6E-955B-F2A27B789884}"/>
    <cellStyle name="SAPBEXexcBad8 12 6 2" xfId="21361" xr:uid="{53261461-C576-4FFE-A5DD-9D57EB540620}"/>
    <cellStyle name="SAPBEXexcBad8 12 7" xfId="21352" xr:uid="{750DC92C-3F3E-43D9-BCF0-91D53D82B330}"/>
    <cellStyle name="SAPBEXexcBad8 13" xfId="9825" xr:uid="{9D2D2647-EE7C-4208-9C20-EFF6D12411AD}"/>
    <cellStyle name="SAPBEXexcBad8 13 2" xfId="9826" xr:uid="{E37B472E-CC91-4520-B446-708B2CA9C88C}"/>
    <cellStyle name="SAPBEXexcBad8 13 2 2" xfId="9827" xr:uid="{C75473FA-FCAF-43B5-988A-C7BE31FCDF15}"/>
    <cellStyle name="SAPBEXexcBad8 13 2 2 2" xfId="21364" xr:uid="{DC0A2ECF-C8A6-498E-A691-FA83216BF058}"/>
    <cellStyle name="SAPBEXexcBad8 13 2 3" xfId="9828" xr:uid="{21B77FA1-2BA7-4BDB-B99D-C10EB8934C1B}"/>
    <cellStyle name="SAPBEXexcBad8 13 2 3 2" xfId="21365" xr:uid="{5E2829B5-AF60-4EEB-8CE1-596AFF8AD2FA}"/>
    <cellStyle name="SAPBEXexcBad8 13 2 4" xfId="9829" xr:uid="{0734F6CF-E221-44D1-BF2F-A2A5C928583B}"/>
    <cellStyle name="SAPBEXexcBad8 13 2 4 2" xfId="21366" xr:uid="{C3658160-88CB-4E18-A7D4-1A14ECE22C13}"/>
    <cellStyle name="SAPBEXexcBad8 13 2 5" xfId="9830" xr:uid="{E9BB9F2C-7A8F-4AE5-98A2-369A22A38963}"/>
    <cellStyle name="SAPBEXexcBad8 13 2 5 2" xfId="21367" xr:uid="{70B84AEA-EF85-459E-A316-DBFA58A27211}"/>
    <cellStyle name="SAPBEXexcBad8 13 2 6" xfId="21363" xr:uid="{62D6583A-E175-4A16-A3BA-5843E49C3DB8}"/>
    <cellStyle name="SAPBEXexcBad8 13 3" xfId="9831" xr:uid="{13A01B53-C012-46DB-B0B7-6A1EF4A2055B}"/>
    <cellStyle name="SAPBEXexcBad8 13 3 2" xfId="21368" xr:uid="{72D8F17E-F834-4206-8B3F-A47698379346}"/>
    <cellStyle name="SAPBEXexcBad8 13 4" xfId="9832" xr:uid="{38C87B7A-A673-4F83-AFDB-856F6CB64EAF}"/>
    <cellStyle name="SAPBEXexcBad8 13 4 2" xfId="21369" xr:uid="{58C7D4D7-4D15-4488-9B46-901F00426365}"/>
    <cellStyle name="SAPBEXexcBad8 13 5" xfId="9833" xr:uid="{6B527959-0AA6-4976-98E9-DD2D84D3F416}"/>
    <cellStyle name="SAPBEXexcBad8 13 5 2" xfId="21370" xr:uid="{42C249FE-ECC7-47BD-9A8C-AF63B5656A2A}"/>
    <cellStyle name="SAPBEXexcBad8 13 6" xfId="9834" xr:uid="{52CE0DBF-CE6A-46AE-8529-D515F9BCE33F}"/>
    <cellStyle name="SAPBEXexcBad8 13 6 2" xfId="21371" xr:uid="{64EF477E-2422-4F19-B4D7-52CADC12275E}"/>
    <cellStyle name="SAPBEXexcBad8 13 7" xfId="21362" xr:uid="{D5B280FD-E4D9-4D59-AE04-157927118CED}"/>
    <cellStyle name="SAPBEXexcBad8 14" xfId="9835" xr:uid="{6B494CEC-14E2-4DBC-B72E-B2BC5B7F3676}"/>
    <cellStyle name="SAPBEXexcBad8 14 2" xfId="9836" xr:uid="{44463A9F-F223-455E-B5D8-62BD09F78DA8}"/>
    <cellStyle name="SAPBEXexcBad8 14 2 2" xfId="9837" xr:uid="{6CB7B388-C2E2-4499-97F3-AB3B4B60BE43}"/>
    <cellStyle name="SAPBEXexcBad8 14 2 2 2" xfId="21374" xr:uid="{E1739115-1347-4EA6-9832-C18CBBFA746B}"/>
    <cellStyle name="SAPBEXexcBad8 14 2 3" xfId="9838" xr:uid="{856E71FE-D5AB-4919-899A-8ECA113F23FB}"/>
    <cellStyle name="SAPBEXexcBad8 14 2 3 2" xfId="21375" xr:uid="{31E4253C-A925-440E-9A4F-EB1338EC7367}"/>
    <cellStyle name="SAPBEXexcBad8 14 2 4" xfId="9839" xr:uid="{5FD7F620-384C-45E0-B90A-8E6EE78E4E20}"/>
    <cellStyle name="SAPBEXexcBad8 14 2 4 2" xfId="21376" xr:uid="{9AC2DA49-5F62-4FE7-8684-6D9ED46EA5BB}"/>
    <cellStyle name="SAPBEXexcBad8 14 2 5" xfId="9840" xr:uid="{0234EB53-4D60-46A2-83A2-0CA1031D628F}"/>
    <cellStyle name="SAPBEXexcBad8 14 2 5 2" xfId="21377" xr:uid="{547294FF-BCF4-4CE5-BA0A-282D16100364}"/>
    <cellStyle name="SAPBEXexcBad8 14 2 6" xfId="21373" xr:uid="{A6EC13C1-A24B-408D-AB7E-674CD475CEA1}"/>
    <cellStyle name="SAPBEXexcBad8 14 3" xfId="9841" xr:uid="{FA376155-2C20-4ADB-8CC9-16C6A701B5E5}"/>
    <cellStyle name="SAPBEXexcBad8 14 3 2" xfId="21378" xr:uid="{FB03B4F0-4EFA-4711-A0C1-8D83E4D13744}"/>
    <cellStyle name="SAPBEXexcBad8 14 4" xfId="9842" xr:uid="{B60DB3C4-1191-478F-AC26-A1B61BE34248}"/>
    <cellStyle name="SAPBEXexcBad8 14 4 2" xfId="21379" xr:uid="{09EBA770-14B8-4F86-BDFC-7EF870B9215B}"/>
    <cellStyle name="SAPBEXexcBad8 14 5" xfId="9843" xr:uid="{BB58DC6B-5BF8-4909-8867-FB55CA66BDFF}"/>
    <cellStyle name="SAPBEXexcBad8 14 5 2" xfId="21380" xr:uid="{D8A02F7A-CDC7-404E-BACD-E3A7A09DFB15}"/>
    <cellStyle name="SAPBEXexcBad8 14 6" xfId="9844" xr:uid="{5A564734-32D2-49B3-AB33-A47BC9E97FE3}"/>
    <cellStyle name="SAPBEXexcBad8 14 6 2" xfId="21381" xr:uid="{4ECD1116-1165-4BED-930D-760B54A1FFFE}"/>
    <cellStyle name="SAPBEXexcBad8 14 7" xfId="21372" xr:uid="{988D657B-19C8-4F8C-AFC5-23BF75652EA0}"/>
    <cellStyle name="SAPBEXexcBad8 15" xfId="9845" xr:uid="{DDA0F551-3820-4EF9-B47F-96F5EB540055}"/>
    <cellStyle name="SAPBEXexcBad8 15 2" xfId="9846" xr:uid="{DC7735DA-9F68-4945-BE9B-BBAFDF0A25F5}"/>
    <cellStyle name="SAPBEXexcBad8 15 2 2" xfId="9847" xr:uid="{3711CECC-D53F-4FDC-BFD2-1E8EE08E2E61}"/>
    <cellStyle name="SAPBEXexcBad8 15 2 2 2" xfId="21384" xr:uid="{D55B722C-C9AC-478E-B74A-EBCBEB53D289}"/>
    <cellStyle name="SAPBEXexcBad8 15 2 3" xfId="9848" xr:uid="{BF1E07BC-9794-4558-88D8-09552CD46E35}"/>
    <cellStyle name="SAPBEXexcBad8 15 2 3 2" xfId="21385" xr:uid="{559E2A05-4B2F-4049-853C-687AF6BFD10C}"/>
    <cellStyle name="SAPBEXexcBad8 15 2 4" xfId="9849" xr:uid="{A6300B2B-94BA-4336-BD15-159389C8E52D}"/>
    <cellStyle name="SAPBEXexcBad8 15 2 4 2" xfId="21386" xr:uid="{0D1A53A2-7C92-4CC1-9B4D-B8D68ADA2E3B}"/>
    <cellStyle name="SAPBEXexcBad8 15 2 5" xfId="9850" xr:uid="{C8F9AB55-E098-46B7-B678-03473A2D1526}"/>
    <cellStyle name="SAPBEXexcBad8 15 2 5 2" xfId="21387" xr:uid="{6FB4F8D9-8D02-4E95-AFA0-14E5B2ACA94C}"/>
    <cellStyle name="SAPBEXexcBad8 15 2 6" xfId="21383" xr:uid="{E35BCC8C-B714-4B5D-BBC4-D4CB867C53E7}"/>
    <cellStyle name="SAPBEXexcBad8 15 3" xfId="9851" xr:uid="{C2034DF7-D2FB-4F1A-B4A7-686C14B78F51}"/>
    <cellStyle name="SAPBEXexcBad8 15 3 2" xfId="21388" xr:uid="{3C2FD2CD-04E1-49F2-AAD4-C1FA6D9940E6}"/>
    <cellStyle name="SAPBEXexcBad8 15 4" xfId="9852" xr:uid="{028B6F2E-5F53-467C-BE2F-6E914324BD75}"/>
    <cellStyle name="SAPBEXexcBad8 15 4 2" xfId="21389" xr:uid="{D592497C-CBD3-4DBB-8963-03ED5558E941}"/>
    <cellStyle name="SAPBEXexcBad8 15 5" xfId="9853" xr:uid="{179EF9D6-D51A-42EC-8677-8E3ACC12D0ED}"/>
    <cellStyle name="SAPBEXexcBad8 15 5 2" xfId="21390" xr:uid="{80926E3D-77E8-4BCE-BECD-97A99C8B8286}"/>
    <cellStyle name="SAPBEXexcBad8 15 6" xfId="9854" xr:uid="{E9BF391F-42FB-4291-AAA7-C341AD70FEEB}"/>
    <cellStyle name="SAPBEXexcBad8 15 6 2" xfId="21391" xr:uid="{B034F0C8-273D-4754-9683-1CC12D0C77A6}"/>
    <cellStyle name="SAPBEXexcBad8 15 7" xfId="21382" xr:uid="{DF281382-67CA-4029-A707-225EC13211DD}"/>
    <cellStyle name="SAPBEXexcBad8 16" xfId="9855" xr:uid="{A7443C40-1853-46BB-8C2D-684800822E0E}"/>
    <cellStyle name="SAPBEXexcBad8 16 2" xfId="21392" xr:uid="{99ADE536-342F-4986-89DD-53DA471C5CDA}"/>
    <cellStyle name="SAPBEXexcBad8 17" xfId="9856" xr:uid="{4AB1427F-43D3-4CC2-9990-006165035574}"/>
    <cellStyle name="SAPBEXexcBad8 17 2" xfId="21393" xr:uid="{9670E370-25EC-48BB-9E86-7CD719E51F41}"/>
    <cellStyle name="SAPBEXexcBad8 18" xfId="9857" xr:uid="{C6569CE0-1150-45C9-B9F3-98A2E125B7EB}"/>
    <cellStyle name="SAPBEXexcBad8 18 2" xfId="21394" xr:uid="{D3CB9D72-6878-4FDD-94EB-AB63427E81A5}"/>
    <cellStyle name="SAPBEXexcBad8 19" xfId="9858" xr:uid="{D33AE9B1-FDEE-42D7-B4AB-A5390D62704B}"/>
    <cellStyle name="SAPBEXexcBad8 19 2" xfId="21395" xr:uid="{C6B56E2D-60F2-4E56-852D-1245720EDB82}"/>
    <cellStyle name="SAPBEXexcBad8 2" xfId="9859" xr:uid="{913D9CA8-437C-4560-82B9-09D9A1FEB8BC}"/>
    <cellStyle name="SAPBEXexcBad8 2 2" xfId="9860" xr:uid="{29870E0A-77A2-4058-B749-53BD307D29EC}"/>
    <cellStyle name="SAPBEXexcBad8 2 2 2" xfId="9861" xr:uid="{B12C2C91-7D08-486F-97A7-9C07087916D6}"/>
    <cellStyle name="SAPBEXexcBad8 2 2 2 2" xfId="21398" xr:uid="{45B0985C-82C1-43E6-871C-C33CD2EBB561}"/>
    <cellStyle name="SAPBEXexcBad8 2 2 3" xfId="9862" xr:uid="{DD498394-EE2A-4EC7-8A0F-9C634B76ACAA}"/>
    <cellStyle name="SAPBEXexcBad8 2 2 3 2" xfId="21399" xr:uid="{0635F25E-CAF6-4ED4-BABA-8F64802FA2C4}"/>
    <cellStyle name="SAPBEXexcBad8 2 2 4" xfId="9863" xr:uid="{05FBCFE7-5CA3-47A5-A8EE-271575DDD891}"/>
    <cellStyle name="SAPBEXexcBad8 2 2 4 2" xfId="21400" xr:uid="{AD2D628E-2C7A-4E0B-B2C0-610148BC1006}"/>
    <cellStyle name="SAPBEXexcBad8 2 2 5" xfId="9864" xr:uid="{94A3883F-7A27-4795-842E-19BB7EC75FC3}"/>
    <cellStyle name="SAPBEXexcBad8 2 2 5 2" xfId="21401" xr:uid="{431013CD-B885-497C-B173-7CE098EF6C8B}"/>
    <cellStyle name="SAPBEXexcBad8 2 2 6" xfId="21397" xr:uid="{FB297435-6E11-4109-9703-ED8BF1CF4C8E}"/>
    <cellStyle name="SAPBEXexcBad8 2 3" xfId="9865" xr:uid="{11DE4914-B853-451B-A97A-FEE25812FC61}"/>
    <cellStyle name="SAPBEXexcBad8 2 3 2" xfId="21402" xr:uid="{1B7F1859-76AB-4100-BC96-F1AB313C1271}"/>
    <cellStyle name="SAPBEXexcBad8 2 4" xfId="9866" xr:uid="{DC7E15BF-83A9-43D3-97B8-C6E47D9B865C}"/>
    <cellStyle name="SAPBEXexcBad8 2 4 2" xfId="21403" xr:uid="{FCCF55E4-BED9-4A6E-B82B-ED5563E335CF}"/>
    <cellStyle name="SAPBEXexcBad8 2 5" xfId="9867" xr:uid="{6D699611-F6C6-4031-AE19-A85F9E377DFA}"/>
    <cellStyle name="SAPBEXexcBad8 2 5 2" xfId="21404" xr:uid="{5601033F-0BB6-4856-A4DB-8CE75CE3AC58}"/>
    <cellStyle name="SAPBEXexcBad8 2 6" xfId="9868" xr:uid="{525A9667-6E4C-481E-86DD-53193AF82ED9}"/>
    <cellStyle name="SAPBEXexcBad8 2 6 2" xfId="21405" xr:uid="{AFDA809E-92B3-4FA6-A7E9-BE6D9E345B06}"/>
    <cellStyle name="SAPBEXexcBad8 2 7" xfId="21396" xr:uid="{D338162F-7F38-4138-B475-DF3004E39C98}"/>
    <cellStyle name="SAPBEXexcBad8 20" xfId="15166" xr:uid="{46595992-F41A-4160-B2EC-7EB872F35C10}"/>
    <cellStyle name="SAPBEXexcBad8 3" xfId="9869" xr:uid="{1A91CFE2-CEFC-474D-A6D9-239F18C62533}"/>
    <cellStyle name="SAPBEXexcBad8 3 2" xfId="9870" xr:uid="{5DB6CE41-CF35-448E-9E92-5E37B985F2A4}"/>
    <cellStyle name="SAPBEXexcBad8 3 2 2" xfId="9871" xr:uid="{91DB1C8C-498F-4C24-97C1-66647B1B8771}"/>
    <cellStyle name="SAPBEXexcBad8 3 2 2 2" xfId="21408" xr:uid="{1FF9D01D-5839-4F46-8A15-9713FF874C95}"/>
    <cellStyle name="SAPBEXexcBad8 3 2 3" xfId="9872" xr:uid="{C5FB72F2-600D-4736-884C-5D53B66E2862}"/>
    <cellStyle name="SAPBEXexcBad8 3 2 3 2" xfId="21409" xr:uid="{C4167C81-BF7D-485D-A5EA-CECD180BB46D}"/>
    <cellStyle name="SAPBEXexcBad8 3 2 4" xfId="9873" xr:uid="{AC94F459-7B69-49B3-AA7F-B1F3EBD9EE64}"/>
    <cellStyle name="SAPBEXexcBad8 3 2 4 2" xfId="21410" xr:uid="{27BA4F4E-75E4-4241-B65D-20F626B79A0A}"/>
    <cellStyle name="SAPBEXexcBad8 3 2 5" xfId="9874" xr:uid="{0D7EAC05-8ABF-4841-9391-EAA1E3488482}"/>
    <cellStyle name="SAPBEXexcBad8 3 2 5 2" xfId="21411" xr:uid="{057369DF-64B0-4FA9-A6F0-075A6524277F}"/>
    <cellStyle name="SAPBEXexcBad8 3 2 6" xfId="21407" xr:uid="{4FCB9817-710B-48ED-8005-71AF826A06D9}"/>
    <cellStyle name="SAPBEXexcBad8 3 3" xfId="9875" xr:uid="{A7A471CC-7CA8-42AC-9872-8A2AEEDD4AC3}"/>
    <cellStyle name="SAPBEXexcBad8 3 3 2" xfId="21412" xr:uid="{99C047E6-F7EF-4BAF-8A24-D1EAAEF38F7D}"/>
    <cellStyle name="SAPBEXexcBad8 3 4" xfId="9876" xr:uid="{1BBF106C-4D0B-4C91-A5E0-C88C8EA6581C}"/>
    <cellStyle name="SAPBEXexcBad8 3 4 2" xfId="21413" xr:uid="{AB160A8D-F4D3-4A54-BD1D-104DEDA3C177}"/>
    <cellStyle name="SAPBEXexcBad8 3 5" xfId="9877" xr:uid="{C2302D48-61B9-4592-8DD6-884F0E22B4ED}"/>
    <cellStyle name="SAPBEXexcBad8 3 5 2" xfId="21414" xr:uid="{5D5E0D16-FBAE-4440-BD07-14E800C21CCF}"/>
    <cellStyle name="SAPBEXexcBad8 3 6" xfId="9878" xr:uid="{2050116D-A301-4DB0-969E-2A31490FE9AF}"/>
    <cellStyle name="SAPBEXexcBad8 3 6 2" xfId="21415" xr:uid="{9C781225-4CE9-4311-9163-CFDC0BFBA8DD}"/>
    <cellStyle name="SAPBEXexcBad8 3 7" xfId="21406" xr:uid="{EB6DE430-2E2F-438F-8EA5-86961456B463}"/>
    <cellStyle name="SAPBEXexcBad8 4" xfId="9879" xr:uid="{B1D52E85-4589-408C-8676-3E9FC780D0D7}"/>
    <cellStyle name="SAPBEXexcBad8 4 2" xfId="9880" xr:uid="{0D4F45F7-F64B-43C9-A17F-37C3835B4EDD}"/>
    <cellStyle name="SAPBEXexcBad8 4 2 2" xfId="9881" xr:uid="{8D378511-7A20-45DC-8688-0B1578BA3B72}"/>
    <cellStyle name="SAPBEXexcBad8 4 2 2 2" xfId="21418" xr:uid="{52114499-29CE-4A6D-AFD9-D6D4FF61796E}"/>
    <cellStyle name="SAPBEXexcBad8 4 2 3" xfId="9882" xr:uid="{3EC1A92B-72BF-4403-9CE5-E903AAF21AD1}"/>
    <cellStyle name="SAPBEXexcBad8 4 2 3 2" xfId="21419" xr:uid="{4B2DE447-43F4-4CE4-90F9-06FB32A26096}"/>
    <cellStyle name="SAPBEXexcBad8 4 2 4" xfId="9883" xr:uid="{8B1A89EB-19C2-4E85-B8E7-7622BD796E5C}"/>
    <cellStyle name="SAPBEXexcBad8 4 2 4 2" xfId="21420" xr:uid="{5D2D0747-5316-4BD8-8765-0DE1321BCCAD}"/>
    <cellStyle name="SAPBEXexcBad8 4 2 5" xfId="9884" xr:uid="{08703C5B-FE49-41BD-B8C5-A3E08B4F6E0E}"/>
    <cellStyle name="SAPBEXexcBad8 4 2 5 2" xfId="21421" xr:uid="{5AEB505E-6894-4F2F-8456-905BBB7B3C73}"/>
    <cellStyle name="SAPBEXexcBad8 4 2 6" xfId="21417" xr:uid="{F6B6C116-7C48-48B4-84E6-3B6D1CC19AD7}"/>
    <cellStyle name="SAPBEXexcBad8 4 3" xfId="9885" xr:uid="{E449F0B7-86E7-4712-918F-B382ECB5FF1E}"/>
    <cellStyle name="SAPBEXexcBad8 4 3 2" xfId="21422" xr:uid="{F3438F7D-5796-447C-91B3-D8DC76F9E893}"/>
    <cellStyle name="SAPBEXexcBad8 4 4" xfId="9886" xr:uid="{5465EAFF-AB74-42FD-8BE5-C22A94D877FF}"/>
    <cellStyle name="SAPBEXexcBad8 4 4 2" xfId="21423" xr:uid="{FEDD6277-E177-4D63-A36C-276B012BBF18}"/>
    <cellStyle name="SAPBEXexcBad8 4 5" xfId="9887" xr:uid="{2931ED8A-4358-48B6-A84A-2BBF6EF858C0}"/>
    <cellStyle name="SAPBEXexcBad8 4 5 2" xfId="21424" xr:uid="{BDF458E1-97DB-4731-9CF0-38D65033A52E}"/>
    <cellStyle name="SAPBEXexcBad8 4 6" xfId="9888" xr:uid="{0BEDC4D0-D60B-468B-A2CB-F11212EDA537}"/>
    <cellStyle name="SAPBEXexcBad8 4 6 2" xfId="21425" xr:uid="{8E76FCDA-EE69-4E43-98EA-6AF6CE8FAA08}"/>
    <cellStyle name="SAPBEXexcBad8 4 7" xfId="21416" xr:uid="{7037BA1E-8CB6-4E4A-B656-1209A61D3B89}"/>
    <cellStyle name="SAPBEXexcBad8 5" xfId="9889" xr:uid="{8D547207-C2B7-4A3B-8117-AC25BC83815E}"/>
    <cellStyle name="SAPBEXexcBad8 5 2" xfId="9890" xr:uid="{EBB7E0C0-9179-49D3-B42C-880CD4B6DD01}"/>
    <cellStyle name="SAPBEXexcBad8 5 2 2" xfId="9891" xr:uid="{3F783D8C-469B-4CEF-877E-3D2A9D04F8A2}"/>
    <cellStyle name="SAPBEXexcBad8 5 2 2 2" xfId="21428" xr:uid="{7DED6795-7BED-482E-8B1C-972998DD9674}"/>
    <cellStyle name="SAPBEXexcBad8 5 2 3" xfId="9892" xr:uid="{8EE0FF22-D5EF-483A-B227-D2385740BE75}"/>
    <cellStyle name="SAPBEXexcBad8 5 2 3 2" xfId="21429" xr:uid="{68E55C0E-C67B-407C-8026-900926293F09}"/>
    <cellStyle name="SAPBEXexcBad8 5 2 4" xfId="9893" xr:uid="{91890793-EF48-4E78-9D35-3D4E00921356}"/>
    <cellStyle name="SAPBEXexcBad8 5 2 4 2" xfId="21430" xr:uid="{F09993BA-37FD-47C4-92AB-AD1EFC791EBF}"/>
    <cellStyle name="SAPBEXexcBad8 5 2 5" xfId="9894" xr:uid="{0DAF9891-3BBD-405C-A80D-A8103A49A2E8}"/>
    <cellStyle name="SAPBEXexcBad8 5 2 5 2" xfId="21431" xr:uid="{A39A9E6D-3FDD-4967-B165-05E17D49A341}"/>
    <cellStyle name="SAPBEXexcBad8 5 2 6" xfId="21427" xr:uid="{FC76DDD9-4A62-443E-ABAA-F0D869553B34}"/>
    <cellStyle name="SAPBEXexcBad8 5 3" xfId="9895" xr:uid="{E401CFF1-7AAA-44E0-B775-99240923D5F4}"/>
    <cellStyle name="SAPBEXexcBad8 5 3 2" xfId="21432" xr:uid="{CB3C466F-0B58-4837-A1BC-AE54C7AB1EFF}"/>
    <cellStyle name="SAPBEXexcBad8 5 4" xfId="9896" xr:uid="{C0F8D13B-33F6-4BB9-881D-1A799BC9660D}"/>
    <cellStyle name="SAPBEXexcBad8 5 4 2" xfId="21433" xr:uid="{7F176A4D-BCDD-46DA-B0D8-1E2B17183C1C}"/>
    <cellStyle name="SAPBEXexcBad8 5 5" xfId="9897" xr:uid="{26BF9FF9-22B7-4FF3-A439-27DDE5253CFD}"/>
    <cellStyle name="SAPBEXexcBad8 5 5 2" xfId="21434" xr:uid="{2285FE85-29A5-4D62-9784-9E6278F29E3C}"/>
    <cellStyle name="SAPBEXexcBad8 5 6" xfId="9898" xr:uid="{B569E43F-FB4A-4916-AE87-D118FB9D0773}"/>
    <cellStyle name="SAPBEXexcBad8 5 6 2" xfId="21435" xr:uid="{14CB7C90-F305-4FD5-9F3A-EDAA2C6F9E10}"/>
    <cellStyle name="SAPBEXexcBad8 5 7" xfId="21426" xr:uid="{7906AE49-54D4-4989-BE82-161CD1DEEA72}"/>
    <cellStyle name="SAPBEXexcBad8 6" xfId="9899" xr:uid="{F58FD7D7-3B64-4A0D-805E-0433B2148CAA}"/>
    <cellStyle name="SAPBEXexcBad8 6 2" xfId="9900" xr:uid="{B8751E8C-59EA-48BA-A755-9B27A72465A4}"/>
    <cellStyle name="SAPBEXexcBad8 6 2 2" xfId="9901" xr:uid="{C4E4BD92-AB17-4501-BB5B-4AEE6B592988}"/>
    <cellStyle name="SAPBEXexcBad8 6 2 2 2" xfId="21438" xr:uid="{7F3E1906-CB69-4C6B-91D1-7009B427004D}"/>
    <cellStyle name="SAPBEXexcBad8 6 2 3" xfId="9902" xr:uid="{15085148-FF0D-4815-A912-E2F3ED655B57}"/>
    <cellStyle name="SAPBEXexcBad8 6 2 3 2" xfId="21439" xr:uid="{9D0EE1BA-34A1-47E2-94A6-A23525F24BAA}"/>
    <cellStyle name="SAPBEXexcBad8 6 2 4" xfId="9903" xr:uid="{14592F60-70E1-479B-8D93-9555A987F9B8}"/>
    <cellStyle name="SAPBEXexcBad8 6 2 4 2" xfId="21440" xr:uid="{F3C4A186-9FD3-4A64-91D9-A0C5D38E6F10}"/>
    <cellStyle name="SAPBEXexcBad8 6 2 5" xfId="9904" xr:uid="{DC651D8A-38DD-44FB-A7C9-CA4E80DB3B18}"/>
    <cellStyle name="SAPBEXexcBad8 6 2 5 2" xfId="21441" xr:uid="{551EB0F0-C4B0-42DD-B729-ED6CCE6584C9}"/>
    <cellStyle name="SAPBEXexcBad8 6 2 6" xfId="21437" xr:uid="{CE07E8B5-3820-4896-8AE4-191A31051838}"/>
    <cellStyle name="SAPBEXexcBad8 6 3" xfId="9905" xr:uid="{CEEA5676-27C3-43B0-BA8C-37993E66EB70}"/>
    <cellStyle name="SAPBEXexcBad8 6 3 2" xfId="21442" xr:uid="{FC0C34AA-7514-4373-BE5A-3B10E323E8C4}"/>
    <cellStyle name="SAPBEXexcBad8 6 4" xfId="9906" xr:uid="{16E1C576-8B58-45DC-8729-AEF731AF5427}"/>
    <cellStyle name="SAPBEXexcBad8 6 4 2" xfId="21443" xr:uid="{53CE19F9-5F8B-4C86-AEE3-0E12DC9AA45B}"/>
    <cellStyle name="SAPBEXexcBad8 6 5" xfId="9907" xr:uid="{776820F8-197C-46F7-ADA7-A51042AA79BD}"/>
    <cellStyle name="SAPBEXexcBad8 6 5 2" xfId="21444" xr:uid="{7CDB57B4-47A9-43A7-9129-18051BDD0937}"/>
    <cellStyle name="SAPBEXexcBad8 6 6" xfId="9908" xr:uid="{C571E7CF-D943-413D-99F5-8B9A6F69CF74}"/>
    <cellStyle name="SAPBEXexcBad8 6 6 2" xfId="21445" xr:uid="{C4546F38-972F-4664-9382-DA6D9A992248}"/>
    <cellStyle name="SAPBEXexcBad8 6 7" xfId="21436" xr:uid="{021F6217-EC1D-4329-AF35-81F1B90E4DF3}"/>
    <cellStyle name="SAPBEXexcBad8 7" xfId="9909" xr:uid="{DDB7C12D-1F30-4221-810A-A37A2BEF3EA2}"/>
    <cellStyle name="SAPBEXexcBad8 7 2" xfId="9910" xr:uid="{36760BD9-175C-4323-BAD2-E81EEFE06EFB}"/>
    <cellStyle name="SAPBEXexcBad8 7 2 2" xfId="9911" xr:uid="{5C2F2CEE-981B-4FC2-916C-C00AF5E0E3E3}"/>
    <cellStyle name="SAPBEXexcBad8 7 2 2 2" xfId="21448" xr:uid="{DA4CC8B0-DAFE-465D-916A-C5C3D546AE17}"/>
    <cellStyle name="SAPBEXexcBad8 7 2 3" xfId="9912" xr:uid="{4F71CCA4-612A-45CD-B80F-F53602746086}"/>
    <cellStyle name="SAPBEXexcBad8 7 2 3 2" xfId="21449" xr:uid="{EB3A4915-4785-40D3-B6C2-D3507BEAF283}"/>
    <cellStyle name="SAPBEXexcBad8 7 2 4" xfId="9913" xr:uid="{FF2863CE-A714-437E-9F5E-F34A3BBF36B6}"/>
    <cellStyle name="SAPBEXexcBad8 7 2 4 2" xfId="21450" xr:uid="{F127698B-1B1A-483B-9A63-4705A57866AC}"/>
    <cellStyle name="SAPBEXexcBad8 7 2 5" xfId="9914" xr:uid="{AAB01304-4DCA-4DF8-8AA3-99D9A569E0D5}"/>
    <cellStyle name="SAPBEXexcBad8 7 2 5 2" xfId="21451" xr:uid="{E45877F0-B431-4E10-9ACA-D32B9F27F10B}"/>
    <cellStyle name="SAPBEXexcBad8 7 2 6" xfId="21447" xr:uid="{952ED558-1B4D-4C16-85A6-0843BC68E641}"/>
    <cellStyle name="SAPBEXexcBad8 7 3" xfId="9915" xr:uid="{892C867B-7ED0-4165-A16D-6FF83E09A037}"/>
    <cellStyle name="SAPBEXexcBad8 7 3 2" xfId="21452" xr:uid="{40A67BDF-E2C7-42ED-8B90-E656DE2973AA}"/>
    <cellStyle name="SAPBEXexcBad8 7 4" xfId="9916" xr:uid="{C2FDB970-3188-4069-90A1-B774752D35DF}"/>
    <cellStyle name="SAPBEXexcBad8 7 4 2" xfId="21453" xr:uid="{A500C5E0-792F-46B9-9091-60DE5089917F}"/>
    <cellStyle name="SAPBEXexcBad8 7 5" xfId="9917" xr:uid="{46516FA3-7AD0-4860-A326-00DC3EF23B58}"/>
    <cellStyle name="SAPBEXexcBad8 7 5 2" xfId="21454" xr:uid="{A9A8AC96-08DC-4FF0-9983-FE1DDFA7B0D9}"/>
    <cellStyle name="SAPBEXexcBad8 7 6" xfId="9918" xr:uid="{41986AAB-97E3-4FE2-AB29-74E487607AB0}"/>
    <cellStyle name="SAPBEXexcBad8 7 6 2" xfId="21455" xr:uid="{09454030-4379-4B72-A371-025865AD682B}"/>
    <cellStyle name="SAPBEXexcBad8 7 7" xfId="21446" xr:uid="{BA093CC4-0DAB-4525-9F64-CD590EAA5D4F}"/>
    <cellStyle name="SAPBEXexcBad8 8" xfId="9919" xr:uid="{2950B2FB-FE3E-4246-A825-655E02180969}"/>
    <cellStyle name="SAPBEXexcBad8 8 2" xfId="9920" xr:uid="{E009245F-12AC-4FAA-8504-DCE227BA58B5}"/>
    <cellStyle name="SAPBEXexcBad8 8 2 2" xfId="9921" xr:uid="{0F12FA75-A6B7-4F2F-8FBF-B9040EEA9780}"/>
    <cellStyle name="SAPBEXexcBad8 8 2 2 2" xfId="21458" xr:uid="{3907BAA4-A672-410A-B865-50D370042EC6}"/>
    <cellStyle name="SAPBEXexcBad8 8 2 3" xfId="9922" xr:uid="{F6956E92-35AE-4A0C-A210-BC302335C45A}"/>
    <cellStyle name="SAPBEXexcBad8 8 2 3 2" xfId="21459" xr:uid="{94959349-C957-40E9-8D7C-04D46909BF2E}"/>
    <cellStyle name="SAPBEXexcBad8 8 2 4" xfId="9923" xr:uid="{FBB59D6D-E13E-4127-9DA0-83E9950D331A}"/>
    <cellStyle name="SAPBEXexcBad8 8 2 4 2" xfId="21460" xr:uid="{88A84861-708F-4DC3-AD81-DD5B0B06CEDF}"/>
    <cellStyle name="SAPBEXexcBad8 8 2 5" xfId="9924" xr:uid="{55EF4413-4AF1-4472-9D69-11FD829C605A}"/>
    <cellStyle name="SAPBEXexcBad8 8 2 5 2" xfId="21461" xr:uid="{35F90510-6E30-4A7C-A397-13A55FA923FA}"/>
    <cellStyle name="SAPBEXexcBad8 8 2 6" xfId="21457" xr:uid="{E6BEC6D9-2E91-4099-956C-C1758350E97F}"/>
    <cellStyle name="SAPBEXexcBad8 8 3" xfId="9925" xr:uid="{58DB3157-3E92-416B-80C4-C5C054A6CB4E}"/>
    <cellStyle name="SAPBEXexcBad8 8 3 2" xfId="21462" xr:uid="{A0CA6DBC-3010-4B66-8316-6C67CF6475D6}"/>
    <cellStyle name="SAPBEXexcBad8 8 4" xfId="9926" xr:uid="{EE80A5F3-5789-4493-8FEE-79299970AB31}"/>
    <cellStyle name="SAPBEXexcBad8 8 4 2" xfId="21463" xr:uid="{63E8AC1C-33E9-4F40-AA56-A3E323E3A664}"/>
    <cellStyle name="SAPBEXexcBad8 8 5" xfId="9927" xr:uid="{8CB2246A-4162-414B-89D2-A8FA9BC17EE5}"/>
    <cellStyle name="SAPBEXexcBad8 8 5 2" xfId="21464" xr:uid="{CB6590B8-968C-4FE6-B1E0-78ED2F5E8950}"/>
    <cellStyle name="SAPBEXexcBad8 8 6" xfId="9928" xr:uid="{09ED28A8-330D-4C7D-9521-7C095BF408E8}"/>
    <cellStyle name="SAPBEXexcBad8 8 6 2" xfId="21465" xr:uid="{7E174BE2-F214-44EF-9215-A7518014DD2D}"/>
    <cellStyle name="SAPBEXexcBad8 8 7" xfId="21456" xr:uid="{A858E840-EE59-45B5-88D4-A791A4A08E1F}"/>
    <cellStyle name="SAPBEXexcBad8 9" xfId="9929" xr:uid="{DB401401-61AC-43C4-8933-308E54DFF9A3}"/>
    <cellStyle name="SAPBEXexcBad8 9 2" xfId="9930" xr:uid="{3F473CD1-AE14-4CBB-9BAC-2B808F61205E}"/>
    <cellStyle name="SAPBEXexcBad8 9 2 2" xfId="9931" xr:uid="{A7AB8AAE-EE7E-419C-AE31-F2C33E6637D0}"/>
    <cellStyle name="SAPBEXexcBad8 9 2 2 2" xfId="21468" xr:uid="{5267702D-42F0-4D92-9CE3-226F57432416}"/>
    <cellStyle name="SAPBEXexcBad8 9 2 3" xfId="9932" xr:uid="{7E1F7535-CA18-4EB0-BE47-5A6472D4F47D}"/>
    <cellStyle name="SAPBEXexcBad8 9 2 3 2" xfId="21469" xr:uid="{6E8FF2F3-D147-4E3F-9784-3B51B0B30204}"/>
    <cellStyle name="SAPBEXexcBad8 9 2 4" xfId="9933" xr:uid="{CCFCE4CA-4E4A-4A04-99AD-CBA3BD7D588D}"/>
    <cellStyle name="SAPBEXexcBad8 9 2 4 2" xfId="21470" xr:uid="{C10B5500-987E-4195-BC2C-EF558EDB36CA}"/>
    <cellStyle name="SAPBEXexcBad8 9 2 5" xfId="9934" xr:uid="{A6802813-5EDD-47B8-AD27-C1754F9378F2}"/>
    <cellStyle name="SAPBEXexcBad8 9 2 5 2" xfId="21471" xr:uid="{4166F7CA-91D1-4950-8882-490ECF0AD6E4}"/>
    <cellStyle name="SAPBEXexcBad8 9 2 6" xfId="21467" xr:uid="{1F2F3F7D-1F54-493A-89B1-E757CDA54C72}"/>
    <cellStyle name="SAPBEXexcBad8 9 3" xfId="9935" xr:uid="{37FF0136-D63F-4195-BBD3-6A0D91467EC1}"/>
    <cellStyle name="SAPBEXexcBad8 9 3 2" xfId="21472" xr:uid="{8A37ACB6-7F7C-436B-975A-055FCD8FA968}"/>
    <cellStyle name="SAPBEXexcBad8 9 4" xfId="9936" xr:uid="{4F7B5E22-06D7-44A7-ADAC-6A0F5BCB8E51}"/>
    <cellStyle name="SAPBEXexcBad8 9 4 2" xfId="21473" xr:uid="{F21D6659-B2C3-4078-9C7C-69D46409C58A}"/>
    <cellStyle name="SAPBEXexcBad8 9 5" xfId="9937" xr:uid="{05DEA535-FEA0-482B-A603-6E43C2418BC7}"/>
    <cellStyle name="SAPBEXexcBad8 9 5 2" xfId="21474" xr:uid="{F3E94CC0-9EDE-49E2-9DD9-241607A8F705}"/>
    <cellStyle name="SAPBEXexcBad8 9 6" xfId="9938" xr:uid="{2CCB5788-63DA-4D79-84FC-9744224709D6}"/>
    <cellStyle name="SAPBEXexcBad8 9 6 2" xfId="21475" xr:uid="{77C584A3-AAD0-4323-B500-334A39CA735C}"/>
    <cellStyle name="SAPBEXexcBad8 9 7" xfId="21466" xr:uid="{1ED2164A-0475-4A2B-8C05-9149606535B6}"/>
    <cellStyle name="SAPBEXexcBad8_KTR An-Abflug" xfId="14838" xr:uid="{82C453E2-4BBF-47CC-A93B-8415814A169B}"/>
    <cellStyle name="SAPBEXexcBad9" xfId="9939" xr:uid="{AFCCB91A-8C5C-40CC-8D39-CF08BB796DED}"/>
    <cellStyle name="SAPBEXexcBad9 10" xfId="9940" xr:uid="{1C7B9E15-B968-40CC-91BA-9E2315A2D741}"/>
    <cellStyle name="SAPBEXexcBad9 10 2" xfId="9941" xr:uid="{5B6E18F6-7ED6-46BC-B340-056B29C00856}"/>
    <cellStyle name="SAPBEXexcBad9 10 2 2" xfId="9942" xr:uid="{67A409F3-FFF9-4A87-9B1E-C68439B309E6}"/>
    <cellStyle name="SAPBEXexcBad9 10 2 2 2" xfId="21478" xr:uid="{53F517B5-30D4-4F04-AE6A-30DA6513CF46}"/>
    <cellStyle name="SAPBEXexcBad9 10 2 3" xfId="9943" xr:uid="{57FC95FE-3F32-48E9-8C04-212FC73BB185}"/>
    <cellStyle name="SAPBEXexcBad9 10 2 3 2" xfId="21479" xr:uid="{889DD522-ADB6-4F0E-9251-7F0A8AD7488D}"/>
    <cellStyle name="SAPBEXexcBad9 10 2 4" xfId="9944" xr:uid="{FFF18EBF-9F11-46E2-998D-BB115FDA059D}"/>
    <cellStyle name="SAPBEXexcBad9 10 2 4 2" xfId="21480" xr:uid="{65F13634-8345-4AC9-9026-2989D3F57CAE}"/>
    <cellStyle name="SAPBEXexcBad9 10 2 5" xfId="9945" xr:uid="{8AE32984-2F61-4399-A56F-E36918294842}"/>
    <cellStyle name="SAPBEXexcBad9 10 2 5 2" xfId="21481" xr:uid="{3BB840D6-E956-49F8-98E0-C1D3DFAEB16D}"/>
    <cellStyle name="SAPBEXexcBad9 10 2 6" xfId="21477" xr:uid="{F593A436-ED98-4ECC-BC92-FAC80C25715D}"/>
    <cellStyle name="SAPBEXexcBad9 10 3" xfId="9946" xr:uid="{28E78DB4-655B-45A9-B2EC-59838A631632}"/>
    <cellStyle name="SAPBEXexcBad9 10 3 2" xfId="21482" xr:uid="{02761E12-F8D6-4C51-B576-D9276C481E0A}"/>
    <cellStyle name="SAPBEXexcBad9 10 4" xfId="9947" xr:uid="{CEE665BF-5ED7-486C-8C74-6E347CED377F}"/>
    <cellStyle name="SAPBEXexcBad9 10 4 2" xfId="21483" xr:uid="{B31552BC-AB37-40C7-84E8-A4F1C06CB913}"/>
    <cellStyle name="SAPBEXexcBad9 10 5" xfId="9948" xr:uid="{77E4B13A-CB5D-4B90-88D5-0D10EDE296DC}"/>
    <cellStyle name="SAPBEXexcBad9 10 5 2" xfId="21484" xr:uid="{472B0200-F44F-4460-B41B-52A57E3523CB}"/>
    <cellStyle name="SAPBEXexcBad9 10 6" xfId="9949" xr:uid="{D1DE8316-C293-4CAC-BC80-9A6676FD0F58}"/>
    <cellStyle name="SAPBEXexcBad9 10 6 2" xfId="21485" xr:uid="{1A0F4D9F-B6E1-4160-BB6D-DDBD58ACA0C4}"/>
    <cellStyle name="SAPBEXexcBad9 10 7" xfId="21476" xr:uid="{0C8E5329-EC92-441F-A7D5-EEDC36E2BEC1}"/>
    <cellStyle name="SAPBEXexcBad9 11" xfId="9950" xr:uid="{1258BE07-8FE9-4527-842B-D561D0020A9B}"/>
    <cellStyle name="SAPBEXexcBad9 11 2" xfId="9951" xr:uid="{801CF588-B645-47A8-9FD9-9D572480A2D7}"/>
    <cellStyle name="SAPBEXexcBad9 11 2 2" xfId="9952" xr:uid="{990DFFAF-A23F-4A63-A4DF-F9A8F41B9E90}"/>
    <cellStyle name="SAPBEXexcBad9 11 2 2 2" xfId="21488" xr:uid="{01942808-2C0F-4F78-8CC5-C670D1857F13}"/>
    <cellStyle name="SAPBEXexcBad9 11 2 3" xfId="9953" xr:uid="{FF9FE193-1898-4991-B6F1-86CD5763A593}"/>
    <cellStyle name="SAPBEXexcBad9 11 2 3 2" xfId="21489" xr:uid="{780547E8-1245-499E-B8C3-48B065B73330}"/>
    <cellStyle name="SAPBEXexcBad9 11 2 4" xfId="9954" xr:uid="{40DAE499-2AF2-4CF5-99F6-D13B27FD546E}"/>
    <cellStyle name="SAPBEXexcBad9 11 2 4 2" xfId="21490" xr:uid="{5BDD4FB2-EF85-48A5-8005-0122BECF5821}"/>
    <cellStyle name="SAPBEXexcBad9 11 2 5" xfId="9955" xr:uid="{8ABDF239-6636-46A2-82FF-6D17536EDD60}"/>
    <cellStyle name="SAPBEXexcBad9 11 2 5 2" xfId="21491" xr:uid="{5FD87BE5-5FF6-422E-B250-71AEA9D8C83C}"/>
    <cellStyle name="SAPBEXexcBad9 11 2 6" xfId="21487" xr:uid="{E19990C8-2322-42F2-8B24-CD602F21C61C}"/>
    <cellStyle name="SAPBEXexcBad9 11 3" xfId="9956" xr:uid="{FE861C87-2F53-41AE-96C9-5C154FC8E758}"/>
    <cellStyle name="SAPBEXexcBad9 11 3 2" xfId="21492" xr:uid="{7CF8A982-FE0D-4BC9-BF5B-AF76FA883086}"/>
    <cellStyle name="SAPBEXexcBad9 11 4" xfId="9957" xr:uid="{F3ABE57E-D9D1-474F-BF51-8097E183BFCE}"/>
    <cellStyle name="SAPBEXexcBad9 11 4 2" xfId="21493" xr:uid="{4FF00164-CFDF-4961-99B7-F5E6DA02611B}"/>
    <cellStyle name="SAPBEXexcBad9 11 5" xfId="9958" xr:uid="{D9700202-8AD2-4835-AD4C-BFD0C149A933}"/>
    <cellStyle name="SAPBEXexcBad9 11 5 2" xfId="21494" xr:uid="{99E8F5E0-7EE2-4A99-8090-D83B7F95C96E}"/>
    <cellStyle name="SAPBEXexcBad9 11 6" xfId="9959" xr:uid="{9C9C02D8-5CE7-4C3E-ABA4-382AC26B233D}"/>
    <cellStyle name="SAPBEXexcBad9 11 6 2" xfId="21495" xr:uid="{216D852E-CEB0-425B-B1F2-40B933768100}"/>
    <cellStyle name="SAPBEXexcBad9 11 7" xfId="21486" xr:uid="{622F9780-6674-4488-9C90-1C9D3BC35A97}"/>
    <cellStyle name="SAPBEXexcBad9 12" xfId="9960" xr:uid="{FB855F77-D3CC-439C-82E4-DABCFB9E96A2}"/>
    <cellStyle name="SAPBEXexcBad9 12 2" xfId="9961" xr:uid="{E7283645-F981-49BD-91C7-279D73C302DE}"/>
    <cellStyle name="SAPBEXexcBad9 12 2 2" xfId="9962" xr:uid="{1A870E94-058F-49BD-8A61-75CF3DD13BAD}"/>
    <cellStyle name="SAPBEXexcBad9 12 2 2 2" xfId="21498" xr:uid="{A0981741-39CF-4B62-8A45-7D1F8326945E}"/>
    <cellStyle name="SAPBEXexcBad9 12 2 3" xfId="9963" xr:uid="{436CF991-B1A8-48D8-BE4E-6CBD422BC017}"/>
    <cellStyle name="SAPBEXexcBad9 12 2 3 2" xfId="21499" xr:uid="{D862C6AC-293A-4493-B61B-1A624BE9A077}"/>
    <cellStyle name="SAPBEXexcBad9 12 2 4" xfId="9964" xr:uid="{4C3A237D-44B3-4284-A035-586A4D06797B}"/>
    <cellStyle name="SAPBEXexcBad9 12 2 4 2" xfId="21500" xr:uid="{18303AE6-FC79-4663-94D9-BB27037B687C}"/>
    <cellStyle name="SAPBEXexcBad9 12 2 5" xfId="9965" xr:uid="{087DCB43-D887-47B3-9E19-2B37FDB051E4}"/>
    <cellStyle name="SAPBEXexcBad9 12 2 5 2" xfId="21501" xr:uid="{C10B8254-2A3B-414C-A3A7-ED050870BAA3}"/>
    <cellStyle name="SAPBEXexcBad9 12 2 6" xfId="21497" xr:uid="{BF04F4C2-1B41-45CD-8A2F-402EFB8B9482}"/>
    <cellStyle name="SAPBEXexcBad9 12 3" xfId="9966" xr:uid="{3F9CCFCA-3DCB-4CD9-BB55-E0963B6D516E}"/>
    <cellStyle name="SAPBEXexcBad9 12 3 2" xfId="21502" xr:uid="{19D13495-6777-4735-9EBD-269F27A16E29}"/>
    <cellStyle name="SAPBEXexcBad9 12 4" xfId="9967" xr:uid="{18897F93-BF78-487D-A8ED-A3501DD6A2E0}"/>
    <cellStyle name="SAPBEXexcBad9 12 4 2" xfId="21503" xr:uid="{20D0880A-8C07-4AAC-BCFD-29E1C3D1087B}"/>
    <cellStyle name="SAPBEXexcBad9 12 5" xfId="9968" xr:uid="{EC9D0EF5-AE5E-438E-B2F9-0B3DF1ED54F9}"/>
    <cellStyle name="SAPBEXexcBad9 12 5 2" xfId="21504" xr:uid="{6CD2CCD1-C2D1-471D-AA32-EC355E0E0A58}"/>
    <cellStyle name="SAPBEXexcBad9 12 6" xfId="9969" xr:uid="{825A29C8-A471-4629-90CD-6EC95C6CFAD0}"/>
    <cellStyle name="SAPBEXexcBad9 12 6 2" xfId="21505" xr:uid="{8708630C-DB64-4660-8998-591601AAE290}"/>
    <cellStyle name="SAPBEXexcBad9 12 7" xfId="21496" xr:uid="{196D0FF9-C519-4246-97D8-571A399B0DE7}"/>
    <cellStyle name="SAPBEXexcBad9 13" xfId="9970" xr:uid="{2FB0B633-59FE-48FA-8378-F46CF41D72CF}"/>
    <cellStyle name="SAPBEXexcBad9 13 2" xfId="9971" xr:uid="{5EBB3D46-AEA5-48B7-BF23-9B0CE684F15F}"/>
    <cellStyle name="SAPBEXexcBad9 13 2 2" xfId="9972" xr:uid="{4646B0FC-FBD1-42F3-BBE5-217294422266}"/>
    <cellStyle name="SAPBEXexcBad9 13 2 2 2" xfId="21508" xr:uid="{1945728E-7CDE-48E1-A8FC-CC9F030B4E11}"/>
    <cellStyle name="SAPBEXexcBad9 13 2 3" xfId="9973" xr:uid="{6C4A3125-C096-4DD8-9C1D-0C5F21ACB2F3}"/>
    <cellStyle name="SAPBEXexcBad9 13 2 3 2" xfId="21509" xr:uid="{3FF12B47-8B0B-4831-B705-F696B3B29E93}"/>
    <cellStyle name="SAPBEXexcBad9 13 2 4" xfId="9974" xr:uid="{E75040DD-7035-42BB-9A2F-7CF7841A9AFC}"/>
    <cellStyle name="SAPBEXexcBad9 13 2 4 2" xfId="21510" xr:uid="{3BBB0F16-5F80-4D88-917C-4C99BD0360CF}"/>
    <cellStyle name="SAPBEXexcBad9 13 2 5" xfId="9975" xr:uid="{545897D4-6878-415D-BE44-56B7DF325324}"/>
    <cellStyle name="SAPBEXexcBad9 13 2 5 2" xfId="21511" xr:uid="{FE300F86-D879-4CE1-9F6F-BD43E24B9A68}"/>
    <cellStyle name="SAPBEXexcBad9 13 2 6" xfId="21507" xr:uid="{6C7F7241-753F-4987-9C2B-D601198CFE9B}"/>
    <cellStyle name="SAPBEXexcBad9 13 3" xfId="9976" xr:uid="{B71FB680-62E3-4742-AC8E-75E29EA49A36}"/>
    <cellStyle name="SAPBEXexcBad9 13 3 2" xfId="21512" xr:uid="{834FCAE7-3BB5-41AC-8908-BD61D58CE7E2}"/>
    <cellStyle name="SAPBEXexcBad9 13 4" xfId="9977" xr:uid="{463A796E-4CD1-4C27-B006-918259416C64}"/>
    <cellStyle name="SAPBEXexcBad9 13 4 2" xfId="21513" xr:uid="{EDB104A7-3A01-445B-B3CA-64E510CDF9DF}"/>
    <cellStyle name="SAPBEXexcBad9 13 5" xfId="9978" xr:uid="{A94ED115-F327-43B8-BAA2-DD3E89E704D9}"/>
    <cellStyle name="SAPBEXexcBad9 13 5 2" xfId="21514" xr:uid="{82B425B7-CD96-4FA1-93BE-584F4A3CFB12}"/>
    <cellStyle name="SAPBEXexcBad9 13 6" xfId="9979" xr:uid="{DA74D85E-BF68-4AE0-9FC8-53DBFF35B064}"/>
    <cellStyle name="SAPBEXexcBad9 13 6 2" xfId="21515" xr:uid="{2A6EBE4D-F098-4936-B490-9BADD6384A72}"/>
    <cellStyle name="SAPBEXexcBad9 13 7" xfId="21506" xr:uid="{CEF2C555-98ED-41BA-9DA9-6A919056F541}"/>
    <cellStyle name="SAPBEXexcBad9 14" xfId="9980" xr:uid="{92BA87EF-6BC2-4812-B49F-D835D407834B}"/>
    <cellStyle name="SAPBEXexcBad9 14 2" xfId="9981" xr:uid="{9690E265-A9E3-45AF-BF44-CB5292A1E029}"/>
    <cellStyle name="SAPBEXexcBad9 14 2 2" xfId="9982" xr:uid="{844D0232-CC9A-47D2-97DC-361474D8AD97}"/>
    <cellStyle name="SAPBEXexcBad9 14 2 2 2" xfId="21518" xr:uid="{E76C9FB1-6968-4F7E-AF8C-A8F2687E8CD2}"/>
    <cellStyle name="SAPBEXexcBad9 14 2 3" xfId="9983" xr:uid="{2E45557B-D8FA-4434-9672-0B28D95BABD9}"/>
    <cellStyle name="SAPBEXexcBad9 14 2 3 2" xfId="21519" xr:uid="{74A4EAFE-499B-444E-BAFC-07B2CD6B97CE}"/>
    <cellStyle name="SAPBEXexcBad9 14 2 4" xfId="9984" xr:uid="{2F6A8310-EFE2-44A6-A3A6-B1D033A05B9F}"/>
    <cellStyle name="SAPBEXexcBad9 14 2 4 2" xfId="21520" xr:uid="{AE3C33AB-0399-486C-A765-9A3FFD5EE6E9}"/>
    <cellStyle name="SAPBEXexcBad9 14 2 5" xfId="9985" xr:uid="{272ADAEF-85E0-4ABF-AB09-F7EE0EBDB317}"/>
    <cellStyle name="SAPBEXexcBad9 14 2 5 2" xfId="21521" xr:uid="{E6568325-2D3E-404F-AF38-E0BC125DB59E}"/>
    <cellStyle name="SAPBEXexcBad9 14 2 6" xfId="21517" xr:uid="{F0D02032-05BA-4E42-82F0-0AA84C05AC78}"/>
    <cellStyle name="SAPBEXexcBad9 14 3" xfId="9986" xr:uid="{96CCBBD1-5EAC-41EE-A72E-73E9330D988E}"/>
    <cellStyle name="SAPBEXexcBad9 14 3 2" xfId="21522" xr:uid="{C744E805-C591-4F33-B290-FE4ABB357704}"/>
    <cellStyle name="SAPBEXexcBad9 14 4" xfId="9987" xr:uid="{2F45CBEF-2A79-4717-8E3B-FBE532FCC2A1}"/>
    <cellStyle name="SAPBEXexcBad9 14 4 2" xfId="21523" xr:uid="{6027C421-3960-492B-87D3-288A5D8935F8}"/>
    <cellStyle name="SAPBEXexcBad9 14 5" xfId="9988" xr:uid="{72D484DF-BF95-484A-8152-78956E12227D}"/>
    <cellStyle name="SAPBEXexcBad9 14 5 2" xfId="21524" xr:uid="{99D51D0B-A459-416B-A6D7-ACB1215038C6}"/>
    <cellStyle name="SAPBEXexcBad9 14 6" xfId="9989" xr:uid="{195E8771-DF2A-4022-9F29-1AB5C468DDCC}"/>
    <cellStyle name="SAPBEXexcBad9 14 6 2" xfId="21525" xr:uid="{2ED13437-D1C6-4A8D-B178-410616E839C6}"/>
    <cellStyle name="SAPBEXexcBad9 14 7" xfId="21516" xr:uid="{DABBE701-140C-443D-B77E-FF7DAEECC843}"/>
    <cellStyle name="SAPBEXexcBad9 15" xfId="9990" xr:uid="{6DB017A6-2341-4053-964D-20CA343F2662}"/>
    <cellStyle name="SAPBEXexcBad9 15 2" xfId="9991" xr:uid="{D26C3C25-C312-44C5-A7C8-5709BAF0A262}"/>
    <cellStyle name="SAPBEXexcBad9 15 2 2" xfId="9992" xr:uid="{6A56EF43-7794-4EFF-A8AB-06603C93C6D0}"/>
    <cellStyle name="SAPBEXexcBad9 15 2 2 2" xfId="21528" xr:uid="{60E99258-6043-42F4-9D48-A84BFA907CCE}"/>
    <cellStyle name="SAPBEXexcBad9 15 2 3" xfId="9993" xr:uid="{9F270FB9-3551-48DB-B662-0FB08D956F37}"/>
    <cellStyle name="SAPBEXexcBad9 15 2 3 2" xfId="21529" xr:uid="{218E8C6E-B2FA-4DE2-B802-2B1384C38A59}"/>
    <cellStyle name="SAPBEXexcBad9 15 2 4" xfId="9994" xr:uid="{2F88C033-2D98-4928-B3D6-E5F498195A68}"/>
    <cellStyle name="SAPBEXexcBad9 15 2 4 2" xfId="21530" xr:uid="{57300036-A5DC-4181-839D-2392AB56A498}"/>
    <cellStyle name="SAPBEXexcBad9 15 2 5" xfId="9995" xr:uid="{F8F6E0FA-FF7B-4A59-AD44-C6AE0D4325FD}"/>
    <cellStyle name="SAPBEXexcBad9 15 2 5 2" xfId="21531" xr:uid="{9BEBB720-AC55-4999-8137-4816531E30E7}"/>
    <cellStyle name="SAPBEXexcBad9 15 2 6" xfId="21527" xr:uid="{AA2E5E94-D8F3-46E1-BE4E-4EAC0BBDB164}"/>
    <cellStyle name="SAPBEXexcBad9 15 3" xfId="9996" xr:uid="{F986A55A-E505-49B2-83E2-233F062889D1}"/>
    <cellStyle name="SAPBEXexcBad9 15 3 2" xfId="21532" xr:uid="{DCD04594-8F3B-4BDA-9EEF-A20A42AFD463}"/>
    <cellStyle name="SAPBEXexcBad9 15 4" xfId="9997" xr:uid="{BCA3F6C9-DE5F-46E1-98DC-98979C8DAE0D}"/>
    <cellStyle name="SAPBEXexcBad9 15 4 2" xfId="21533" xr:uid="{DE945C3A-8375-4DC4-BCA2-C040B05E47AC}"/>
    <cellStyle name="SAPBEXexcBad9 15 5" xfId="9998" xr:uid="{4A241263-49BC-4053-ABA8-FE5BBC1657FB}"/>
    <cellStyle name="SAPBEXexcBad9 15 5 2" xfId="21534" xr:uid="{E5B6F68E-466B-4AA1-98E7-5D4C345F6032}"/>
    <cellStyle name="SAPBEXexcBad9 15 6" xfId="9999" xr:uid="{F7C9623B-8414-4F38-8BCE-4D145F753823}"/>
    <cellStyle name="SAPBEXexcBad9 15 6 2" xfId="21535" xr:uid="{69C75015-567D-419A-954C-75575AF76779}"/>
    <cellStyle name="SAPBEXexcBad9 15 7" xfId="21526" xr:uid="{24E25482-38A9-4653-83A9-AC6E2F3D11EF}"/>
    <cellStyle name="SAPBEXexcBad9 16" xfId="10000" xr:uid="{EFE81DB0-B24E-4E0F-9FC2-3233724E12DC}"/>
    <cellStyle name="SAPBEXexcBad9 16 2" xfId="21536" xr:uid="{C2D74B3E-4757-4573-9449-46573CC5565B}"/>
    <cellStyle name="SAPBEXexcBad9 17" xfId="10001" xr:uid="{4820ACD6-DF5E-412A-8555-9B8F3C5C4A50}"/>
    <cellStyle name="SAPBEXexcBad9 17 2" xfId="21537" xr:uid="{470C880D-B5AA-4F1A-AB5E-C3D29EBFBC00}"/>
    <cellStyle name="SAPBEXexcBad9 18" xfId="10002" xr:uid="{7A219204-2D68-4720-8E35-353DED4077BD}"/>
    <cellStyle name="SAPBEXexcBad9 18 2" xfId="21538" xr:uid="{D75D065E-8040-4758-AFF1-CF05C9F3CBD7}"/>
    <cellStyle name="SAPBEXexcBad9 19" xfId="10003" xr:uid="{74978CBA-244A-4005-AFCE-B3E707B1BF9A}"/>
    <cellStyle name="SAPBEXexcBad9 19 2" xfId="21539" xr:uid="{E2944ACA-6408-4D8A-BB4F-2324031A85EC}"/>
    <cellStyle name="SAPBEXexcBad9 2" xfId="10004" xr:uid="{218E59E8-23D7-480B-AAA0-B3BB52D16216}"/>
    <cellStyle name="SAPBEXexcBad9 2 2" xfId="10005" xr:uid="{58787BB9-1342-4019-A226-A236C8AF89C1}"/>
    <cellStyle name="SAPBEXexcBad9 2 2 2" xfId="10006" xr:uid="{6D6302F3-7E89-444F-9FD7-E364679F2D84}"/>
    <cellStyle name="SAPBEXexcBad9 2 2 2 2" xfId="21542" xr:uid="{A885B6DB-1D0B-47F7-9DE5-48179D97AC67}"/>
    <cellStyle name="SAPBEXexcBad9 2 2 3" xfId="10007" xr:uid="{408F9756-2ED4-4A6D-A6FC-3B96BC05CFCF}"/>
    <cellStyle name="SAPBEXexcBad9 2 2 3 2" xfId="21543" xr:uid="{C9F1EB32-5589-41E8-9868-AB49E403968D}"/>
    <cellStyle name="SAPBEXexcBad9 2 2 4" xfId="10008" xr:uid="{41687817-2141-4D4D-A544-829276E6DD28}"/>
    <cellStyle name="SAPBEXexcBad9 2 2 4 2" xfId="21544" xr:uid="{33ECEE7A-C89A-4236-AC50-3361FBD530A1}"/>
    <cellStyle name="SAPBEXexcBad9 2 2 5" xfId="10009" xr:uid="{A15AB4EE-4CA5-4FD9-8B23-5B3A43FB9047}"/>
    <cellStyle name="SAPBEXexcBad9 2 2 5 2" xfId="21545" xr:uid="{25C17FCB-0EFD-4B46-A1A9-8C0D5959AFE0}"/>
    <cellStyle name="SAPBEXexcBad9 2 2 6" xfId="21541" xr:uid="{A3DE548C-1E45-4E77-BC41-B5C644CC119A}"/>
    <cellStyle name="SAPBEXexcBad9 2 3" xfId="10010" xr:uid="{4FEDBA90-0A2E-462B-89F0-99382646D414}"/>
    <cellStyle name="SAPBEXexcBad9 2 3 2" xfId="21546" xr:uid="{72EE0C19-F1F1-48C5-B76E-AC2851CB6663}"/>
    <cellStyle name="SAPBEXexcBad9 2 4" xfId="10011" xr:uid="{0648B649-B9C2-4A18-82F1-8E67F93925DE}"/>
    <cellStyle name="SAPBEXexcBad9 2 4 2" xfId="21547" xr:uid="{86E268E3-D577-4B3C-873B-0A72224F9FCE}"/>
    <cellStyle name="SAPBEXexcBad9 2 5" xfId="10012" xr:uid="{EFCCE62A-82B9-4308-A660-A5B96D3F8395}"/>
    <cellStyle name="SAPBEXexcBad9 2 5 2" xfId="21548" xr:uid="{ED1A80C1-0CB7-4A29-877A-E46F9EB5A4A5}"/>
    <cellStyle name="SAPBEXexcBad9 2 6" xfId="10013" xr:uid="{B36AA56B-49C3-4C0D-AE86-FD2E2827E555}"/>
    <cellStyle name="SAPBEXexcBad9 2 6 2" xfId="21549" xr:uid="{12D2EB5C-F2B3-426A-813A-C9084135ED64}"/>
    <cellStyle name="SAPBEXexcBad9 2 7" xfId="21540" xr:uid="{1455A524-B534-4A87-A9E8-4ACE6413FDF6}"/>
    <cellStyle name="SAPBEXexcBad9 20" xfId="15167" xr:uid="{85C8E1AC-4098-4D54-8351-B7E77673FA7A}"/>
    <cellStyle name="SAPBEXexcBad9 3" xfId="10014" xr:uid="{7BEC18A3-EF8C-4D58-996F-39256575C715}"/>
    <cellStyle name="SAPBEXexcBad9 3 2" xfId="10015" xr:uid="{23596F95-9712-41EE-A4EC-88DC51900CE7}"/>
    <cellStyle name="SAPBEXexcBad9 3 2 2" xfId="10016" xr:uid="{51208F1D-FEBF-4246-8C8F-20E0B7D13ED4}"/>
    <cellStyle name="SAPBEXexcBad9 3 2 2 2" xfId="21552" xr:uid="{E796EBA3-B41E-4155-B1FD-1471ADB0AD1B}"/>
    <cellStyle name="SAPBEXexcBad9 3 2 3" xfId="10017" xr:uid="{FB2E673D-A5FD-47B9-927C-C278A7BBCA12}"/>
    <cellStyle name="SAPBEXexcBad9 3 2 3 2" xfId="21553" xr:uid="{ABA1FCD6-6BF2-41F4-BA3A-9278BD996637}"/>
    <cellStyle name="SAPBEXexcBad9 3 2 4" xfId="10018" xr:uid="{C2696F38-1511-41CD-BBDB-5E7D673422F3}"/>
    <cellStyle name="SAPBEXexcBad9 3 2 4 2" xfId="21554" xr:uid="{8F5DDEAC-356E-4874-AFAD-624EFC693054}"/>
    <cellStyle name="SAPBEXexcBad9 3 2 5" xfId="10019" xr:uid="{0593D171-A802-4F04-A240-6F14DA9D9864}"/>
    <cellStyle name="SAPBEXexcBad9 3 2 5 2" xfId="21555" xr:uid="{081CD6B6-CF3B-4E15-A0AA-FF1BB04291A7}"/>
    <cellStyle name="SAPBEXexcBad9 3 2 6" xfId="21551" xr:uid="{F03AAB73-C2FB-4406-AC41-ADADA6ABA20A}"/>
    <cellStyle name="SAPBEXexcBad9 3 3" xfId="10020" xr:uid="{68EC992B-DF00-4809-9B0B-0E385B515153}"/>
    <cellStyle name="SAPBEXexcBad9 3 3 2" xfId="21556" xr:uid="{DC22D969-50B9-42AB-A2A8-3A94BBE01F5E}"/>
    <cellStyle name="SAPBEXexcBad9 3 4" xfId="10021" xr:uid="{EF7342DF-CFEE-4E40-A836-B1C434631C31}"/>
    <cellStyle name="SAPBEXexcBad9 3 4 2" xfId="21557" xr:uid="{5AB507CE-9E3E-4442-AA6F-24696C5778F4}"/>
    <cellStyle name="SAPBEXexcBad9 3 5" xfId="10022" xr:uid="{F9DD8EA5-B2BA-4413-B86E-B73557DA3717}"/>
    <cellStyle name="SAPBEXexcBad9 3 5 2" xfId="21558" xr:uid="{590BA6DA-769F-49F8-A386-05AF48AA9762}"/>
    <cellStyle name="SAPBEXexcBad9 3 6" xfId="10023" xr:uid="{00E597D7-00B7-4ED6-9DBC-71849EBAD91B}"/>
    <cellStyle name="SAPBEXexcBad9 3 6 2" xfId="21559" xr:uid="{A8B17C15-4813-4EEE-93F0-12E17D784A45}"/>
    <cellStyle name="SAPBEXexcBad9 3 7" xfId="21550" xr:uid="{67CD72FF-BE7E-464E-8F88-9C343BC263E1}"/>
    <cellStyle name="SAPBEXexcBad9 4" xfId="10024" xr:uid="{4B6FD5F9-C494-4A0A-AA52-4A5F157C7AB9}"/>
    <cellStyle name="SAPBEXexcBad9 4 2" xfId="10025" xr:uid="{7010313A-559D-4BAA-A547-FDB5125BCF2D}"/>
    <cellStyle name="SAPBEXexcBad9 4 2 2" xfId="10026" xr:uid="{FD4C8776-F0B3-4617-943E-45CB291D2CF8}"/>
    <cellStyle name="SAPBEXexcBad9 4 2 2 2" xfId="21562" xr:uid="{F7D019E1-E53E-4197-A021-6AFA6B974105}"/>
    <cellStyle name="SAPBEXexcBad9 4 2 3" xfId="10027" xr:uid="{7F792E0E-6439-4C59-83A5-977FC764951F}"/>
    <cellStyle name="SAPBEXexcBad9 4 2 3 2" xfId="21563" xr:uid="{649FB6C9-46AA-4CB2-B4AB-D70ACA135A96}"/>
    <cellStyle name="SAPBEXexcBad9 4 2 4" xfId="10028" xr:uid="{426AF8CF-4416-49EF-9560-36CEFB41C37A}"/>
    <cellStyle name="SAPBEXexcBad9 4 2 4 2" xfId="21564" xr:uid="{9962D0F4-822E-4D76-A13E-04F9DCBFAD34}"/>
    <cellStyle name="SAPBEXexcBad9 4 2 5" xfId="10029" xr:uid="{83736A8E-CA0F-4E91-8225-9C68CD8C99FA}"/>
    <cellStyle name="SAPBEXexcBad9 4 2 5 2" xfId="21565" xr:uid="{0748DD70-26EE-41FE-AB1B-7EFBB0ED1747}"/>
    <cellStyle name="SAPBEXexcBad9 4 2 6" xfId="21561" xr:uid="{8FCE5358-C57C-40C2-817A-E96C8C7FC7DD}"/>
    <cellStyle name="SAPBEXexcBad9 4 3" xfId="10030" xr:uid="{5A1EC614-49E7-4CCD-8F9F-93FDE8C3628A}"/>
    <cellStyle name="SAPBEXexcBad9 4 3 2" xfId="21566" xr:uid="{F9471664-21FA-44CA-B3AD-BB475969D808}"/>
    <cellStyle name="SAPBEXexcBad9 4 4" xfId="10031" xr:uid="{BCFB6DE3-4960-482A-9870-F17906508F47}"/>
    <cellStyle name="SAPBEXexcBad9 4 4 2" xfId="21567" xr:uid="{A7E7DBF1-4D9C-4A89-8B5F-A378CCEE786D}"/>
    <cellStyle name="SAPBEXexcBad9 4 5" xfId="10032" xr:uid="{E00B1053-2774-41D4-9154-69710148CEF1}"/>
    <cellStyle name="SAPBEXexcBad9 4 5 2" xfId="21568" xr:uid="{0CA4B8FF-14E0-4D86-BEE3-66E443A9399A}"/>
    <cellStyle name="SAPBEXexcBad9 4 6" xfId="10033" xr:uid="{13C69A4E-D8D7-4EFF-9C23-953BD359E984}"/>
    <cellStyle name="SAPBEXexcBad9 4 6 2" xfId="21569" xr:uid="{1BECA973-CA41-4301-AFD1-921F5F810C2B}"/>
    <cellStyle name="SAPBEXexcBad9 4 7" xfId="21560" xr:uid="{F98D4C37-42EA-4EA4-A576-B8C5B8169256}"/>
    <cellStyle name="SAPBEXexcBad9 5" xfId="10034" xr:uid="{FAE751EC-95FB-481B-94FB-2774EB4F860D}"/>
    <cellStyle name="SAPBEXexcBad9 5 2" xfId="10035" xr:uid="{1E05576E-5BA2-4ACC-A772-6B1F470BAFA5}"/>
    <cellStyle name="SAPBEXexcBad9 5 2 2" xfId="10036" xr:uid="{C6C63135-2753-4E49-8667-84A5B130477B}"/>
    <cellStyle name="SAPBEXexcBad9 5 2 2 2" xfId="21572" xr:uid="{8E914522-8BE5-4382-87A3-B9DE06607E52}"/>
    <cellStyle name="SAPBEXexcBad9 5 2 3" xfId="10037" xr:uid="{FEEE64CB-AB4B-4E82-BC4A-98B2C4E8FD6B}"/>
    <cellStyle name="SAPBEXexcBad9 5 2 3 2" xfId="21573" xr:uid="{A9178AC1-EB0F-4817-901B-7C35E0219E81}"/>
    <cellStyle name="SAPBEXexcBad9 5 2 4" xfId="10038" xr:uid="{93F882A3-2C8C-4C59-91BF-469D5C0BCD2F}"/>
    <cellStyle name="SAPBEXexcBad9 5 2 4 2" xfId="21574" xr:uid="{87D1C1A6-E5E8-4FC5-80A6-656E2010168A}"/>
    <cellStyle name="SAPBEXexcBad9 5 2 5" xfId="10039" xr:uid="{8330BABB-5453-44F1-B120-643F33A9705B}"/>
    <cellStyle name="SAPBEXexcBad9 5 2 5 2" xfId="21575" xr:uid="{D0832B91-4FB3-4A54-9963-46A6B310839E}"/>
    <cellStyle name="SAPBEXexcBad9 5 2 6" xfId="21571" xr:uid="{4C84442B-2F70-42BF-BC1E-1E34E1550A6D}"/>
    <cellStyle name="SAPBEXexcBad9 5 3" xfId="10040" xr:uid="{8AF41CAF-BD22-402C-AB4F-4A2BBC022FD2}"/>
    <cellStyle name="SAPBEXexcBad9 5 3 2" xfId="21576" xr:uid="{E7FD3E1A-0184-4284-8F17-53659D770E5D}"/>
    <cellStyle name="SAPBEXexcBad9 5 4" xfId="10041" xr:uid="{57F62EF8-E0B0-45AA-9D1D-7DA5534D0A60}"/>
    <cellStyle name="SAPBEXexcBad9 5 4 2" xfId="21577" xr:uid="{8CE39BCF-167A-460D-B9CD-CE9B384B3C3B}"/>
    <cellStyle name="SAPBEXexcBad9 5 5" xfId="10042" xr:uid="{47145137-15E1-4EA0-872D-EE753CAC5664}"/>
    <cellStyle name="SAPBEXexcBad9 5 5 2" xfId="21578" xr:uid="{A5EA79EB-077D-4244-A516-7731B300AE65}"/>
    <cellStyle name="SAPBEXexcBad9 5 6" xfId="10043" xr:uid="{6377196D-225A-4A4E-BE92-94565B64F45E}"/>
    <cellStyle name="SAPBEXexcBad9 5 6 2" xfId="21579" xr:uid="{0E9E85D6-3DE7-4B00-87CD-84BEA8FB495B}"/>
    <cellStyle name="SAPBEXexcBad9 5 7" xfId="21570" xr:uid="{D248EEC9-5C4C-4D12-B65A-CC7AFD99CCA6}"/>
    <cellStyle name="SAPBEXexcBad9 6" xfId="10044" xr:uid="{52A87E00-2B2C-48FC-842F-0F45EEB7F9AE}"/>
    <cellStyle name="SAPBEXexcBad9 6 2" xfId="10045" xr:uid="{F66580E4-AF31-404E-A9EE-62F0E38C9FBE}"/>
    <cellStyle name="SAPBEXexcBad9 6 2 2" xfId="10046" xr:uid="{88A30829-7A0A-4A0A-8B31-BCF6FCEAB3C0}"/>
    <cellStyle name="SAPBEXexcBad9 6 2 2 2" xfId="21582" xr:uid="{4F57653D-1BB7-4E06-BA12-3F40E18280BA}"/>
    <cellStyle name="SAPBEXexcBad9 6 2 3" xfId="10047" xr:uid="{94DCF73F-7F87-4877-BE04-B7AEE4C36204}"/>
    <cellStyle name="SAPBEXexcBad9 6 2 3 2" xfId="21583" xr:uid="{615C7D91-8110-4513-B58B-E900263B4516}"/>
    <cellStyle name="SAPBEXexcBad9 6 2 4" xfId="10048" xr:uid="{4F8F8C80-A6B5-4ECB-9E23-6913D1FBC394}"/>
    <cellStyle name="SAPBEXexcBad9 6 2 4 2" xfId="21584" xr:uid="{E11A83B5-63B4-48C4-AD9F-F090FAAEE337}"/>
    <cellStyle name="SAPBEXexcBad9 6 2 5" xfId="10049" xr:uid="{7E8B71E7-7CDA-41EF-A32C-4C0C8B3DA2E2}"/>
    <cellStyle name="SAPBEXexcBad9 6 2 5 2" xfId="21585" xr:uid="{F500B513-2001-445F-AB4C-01DB8FD90DD8}"/>
    <cellStyle name="SAPBEXexcBad9 6 2 6" xfId="21581" xr:uid="{971E4469-F780-48CE-B479-56BC11C1E54B}"/>
    <cellStyle name="SAPBEXexcBad9 6 3" xfId="10050" xr:uid="{63F44725-4667-43AC-B692-FC4324894DAE}"/>
    <cellStyle name="SAPBEXexcBad9 6 3 2" xfId="21586" xr:uid="{01CE51F9-FDAB-4D11-A1A7-7B790465A860}"/>
    <cellStyle name="SAPBEXexcBad9 6 4" xfId="10051" xr:uid="{3A3DC46F-ED90-4D82-AE84-338070681A69}"/>
    <cellStyle name="SAPBEXexcBad9 6 4 2" xfId="21587" xr:uid="{8C51BF11-BC82-4BF2-AF68-471138762A1E}"/>
    <cellStyle name="SAPBEXexcBad9 6 5" xfId="10052" xr:uid="{DED137BF-C791-4DC4-9AD4-E39641B214FA}"/>
    <cellStyle name="SAPBEXexcBad9 6 5 2" xfId="21588" xr:uid="{EB010B08-14E1-45D5-A617-EAF071034025}"/>
    <cellStyle name="SAPBEXexcBad9 6 6" xfId="10053" xr:uid="{F57C58F4-FCE3-4464-A0F3-651DEB8F385E}"/>
    <cellStyle name="SAPBEXexcBad9 6 6 2" xfId="21589" xr:uid="{808FDEA0-7D48-45B1-B51F-D86273AFC2D5}"/>
    <cellStyle name="SAPBEXexcBad9 6 7" xfId="21580" xr:uid="{9CE4DDFB-8884-4DC4-9993-2DBEA070F6A8}"/>
    <cellStyle name="SAPBEXexcBad9 7" xfId="10054" xr:uid="{F7124CC4-ECAD-45A6-B167-563F7FAE091D}"/>
    <cellStyle name="SAPBEXexcBad9 7 2" xfId="10055" xr:uid="{D2017F1A-07E8-4E98-AF27-4229556BC52C}"/>
    <cellStyle name="SAPBEXexcBad9 7 2 2" xfId="10056" xr:uid="{683E53F3-85AC-45B3-B743-CEF04EAE1D42}"/>
    <cellStyle name="SAPBEXexcBad9 7 2 2 2" xfId="21592" xr:uid="{000FD41F-E2B8-4A58-B763-A1D427393511}"/>
    <cellStyle name="SAPBEXexcBad9 7 2 3" xfId="10057" xr:uid="{306FCF91-271D-4E82-BE43-8580ED9C862B}"/>
    <cellStyle name="SAPBEXexcBad9 7 2 3 2" xfId="21593" xr:uid="{6EA7497B-04D1-4D78-973D-A84FD0FB8BBD}"/>
    <cellStyle name="SAPBEXexcBad9 7 2 4" xfId="10058" xr:uid="{4E102DBC-AD0B-4A6E-8D01-B5F7A5DC57A7}"/>
    <cellStyle name="SAPBEXexcBad9 7 2 4 2" xfId="21594" xr:uid="{1EAE8515-CDD6-44F5-8F5A-89FC4A40967D}"/>
    <cellStyle name="SAPBEXexcBad9 7 2 5" xfId="10059" xr:uid="{C98F8865-387B-43C6-B461-95D03842A573}"/>
    <cellStyle name="SAPBEXexcBad9 7 2 5 2" xfId="21595" xr:uid="{F7153F3A-531C-4700-8D35-D0AFBFF93FF3}"/>
    <cellStyle name="SAPBEXexcBad9 7 2 6" xfId="21591" xr:uid="{8D4A414A-E581-4820-8055-0BFAF79A3CE4}"/>
    <cellStyle name="SAPBEXexcBad9 7 3" xfId="10060" xr:uid="{8F4ED453-F0A9-4DBC-B2F2-BB93A9ECD318}"/>
    <cellStyle name="SAPBEXexcBad9 7 3 2" xfId="21596" xr:uid="{321745B1-BFB0-4C8F-A356-F32D9DA4AFCD}"/>
    <cellStyle name="SAPBEXexcBad9 7 4" xfId="10061" xr:uid="{476896BF-0C71-44B1-A9AA-E6688F179120}"/>
    <cellStyle name="SAPBEXexcBad9 7 4 2" xfId="21597" xr:uid="{1C02CC70-7E50-43A0-A839-6890905DFBCB}"/>
    <cellStyle name="SAPBEXexcBad9 7 5" xfId="10062" xr:uid="{A51D37C2-D9B0-4AFA-88D7-338094E7650D}"/>
    <cellStyle name="SAPBEXexcBad9 7 5 2" xfId="21598" xr:uid="{EEDCDBD9-3ADA-4D9D-9800-D0A9D16E02A1}"/>
    <cellStyle name="SAPBEXexcBad9 7 6" xfId="10063" xr:uid="{B42AA69A-E944-4003-8639-1F8C26300C55}"/>
    <cellStyle name="SAPBEXexcBad9 7 6 2" xfId="21599" xr:uid="{505BE7A7-258A-459A-84AD-A4C897C38C15}"/>
    <cellStyle name="SAPBEXexcBad9 7 7" xfId="21590" xr:uid="{B2EC2E91-CA2A-437E-B1C7-8156662A0114}"/>
    <cellStyle name="SAPBEXexcBad9 8" xfId="10064" xr:uid="{D1469567-9BAE-40C2-B11C-F59976610D7E}"/>
    <cellStyle name="SAPBEXexcBad9 8 2" xfId="10065" xr:uid="{B089783D-C98F-483F-8378-F95B987E9BF2}"/>
    <cellStyle name="SAPBEXexcBad9 8 2 2" xfId="10066" xr:uid="{F9133D80-6BDA-45D3-9272-15F0A01B5516}"/>
    <cellStyle name="SAPBEXexcBad9 8 2 2 2" xfId="21602" xr:uid="{B052829D-3B90-458C-A009-86C826060F70}"/>
    <cellStyle name="SAPBEXexcBad9 8 2 3" xfId="10067" xr:uid="{546E2560-9947-488B-8CE2-A6A24E5EB002}"/>
    <cellStyle name="SAPBEXexcBad9 8 2 3 2" xfId="21603" xr:uid="{F0FC0AF4-BC87-4784-8460-8C911C403A08}"/>
    <cellStyle name="SAPBEXexcBad9 8 2 4" xfId="10068" xr:uid="{D2F87BF7-076F-4EF0-A6D8-73B03204520E}"/>
    <cellStyle name="SAPBEXexcBad9 8 2 4 2" xfId="21604" xr:uid="{D8A17D8F-4F19-4B68-AAD0-ADF8AD326B2F}"/>
    <cellStyle name="SAPBEXexcBad9 8 2 5" xfId="10069" xr:uid="{E041085B-BAA3-4829-AC85-5B06E962250E}"/>
    <cellStyle name="SAPBEXexcBad9 8 2 5 2" xfId="21605" xr:uid="{8D6ABCEB-8938-4048-ACFD-CF8890E5ACB6}"/>
    <cellStyle name="SAPBEXexcBad9 8 2 6" xfId="21601" xr:uid="{791171D8-0B02-42CC-868D-2F8FBAB59128}"/>
    <cellStyle name="SAPBEXexcBad9 8 3" xfId="10070" xr:uid="{7AE61814-C0C1-4F83-90B4-5247D94CECE4}"/>
    <cellStyle name="SAPBEXexcBad9 8 3 2" xfId="21606" xr:uid="{D051D41D-C34D-430C-9842-AE71DE47AC5A}"/>
    <cellStyle name="SAPBEXexcBad9 8 4" xfId="10071" xr:uid="{A298F5D3-B9E8-482B-8426-5FAE801BD104}"/>
    <cellStyle name="SAPBEXexcBad9 8 4 2" xfId="21607" xr:uid="{53AE51A1-D9B2-43E9-8AFF-1D462986880B}"/>
    <cellStyle name="SAPBEXexcBad9 8 5" xfId="10072" xr:uid="{0148ED33-ABAD-402D-8F92-56D7C38E57E8}"/>
    <cellStyle name="SAPBEXexcBad9 8 5 2" xfId="21608" xr:uid="{5C397DDE-33FF-4CD8-A919-BA4D6617FE67}"/>
    <cellStyle name="SAPBEXexcBad9 8 6" xfId="10073" xr:uid="{3523063A-5240-4896-89B5-26F38AACA9EC}"/>
    <cellStyle name="SAPBEXexcBad9 8 6 2" xfId="21609" xr:uid="{DFA819CC-A2BF-42B3-85D8-723419C97BAD}"/>
    <cellStyle name="SAPBEXexcBad9 8 7" xfId="21600" xr:uid="{654A1A33-38A3-44B8-AF53-2E1942C4DA06}"/>
    <cellStyle name="SAPBEXexcBad9 9" xfId="10074" xr:uid="{1B26AF35-00C5-4D72-B28C-20F6E1AE6141}"/>
    <cellStyle name="SAPBEXexcBad9 9 2" xfId="10075" xr:uid="{65E3F7AA-8D73-4ED2-BD2E-EB7EAAAE6734}"/>
    <cellStyle name="SAPBEXexcBad9 9 2 2" xfId="10076" xr:uid="{D65AE444-87D5-4ADA-A171-5AD55B64E096}"/>
    <cellStyle name="SAPBEXexcBad9 9 2 2 2" xfId="21612" xr:uid="{1E873363-4751-4FC9-9972-DCB2B277BB09}"/>
    <cellStyle name="SAPBEXexcBad9 9 2 3" xfId="10077" xr:uid="{01602FE7-0984-400E-9F45-A8949A26406D}"/>
    <cellStyle name="SAPBEXexcBad9 9 2 3 2" xfId="21613" xr:uid="{33D25099-BE43-4A4B-9E0B-FBCF601B8F74}"/>
    <cellStyle name="SAPBEXexcBad9 9 2 4" xfId="10078" xr:uid="{7DF4DAFB-9C9F-451C-A015-1CFDDA1B6E03}"/>
    <cellStyle name="SAPBEXexcBad9 9 2 4 2" xfId="21614" xr:uid="{C43D4494-9B61-484E-89BC-2E44AF9E69AF}"/>
    <cellStyle name="SAPBEXexcBad9 9 2 5" xfId="10079" xr:uid="{B1D03A67-ED6F-441B-AF6F-9D2E9C3F1DB4}"/>
    <cellStyle name="SAPBEXexcBad9 9 2 5 2" xfId="21615" xr:uid="{A4B0E650-02DD-47C5-A1F7-48002EDA6761}"/>
    <cellStyle name="SAPBEXexcBad9 9 2 6" xfId="21611" xr:uid="{73DF82DA-4589-4240-B4CF-0F8CBC260225}"/>
    <cellStyle name="SAPBEXexcBad9 9 3" xfId="10080" xr:uid="{09E12B86-EE45-4BDC-935E-E950A6D1F1E8}"/>
    <cellStyle name="SAPBEXexcBad9 9 3 2" xfId="21616" xr:uid="{F4DC2447-BBE3-488B-80F5-477161F01D4E}"/>
    <cellStyle name="SAPBEXexcBad9 9 4" xfId="10081" xr:uid="{90A57966-C57F-4D44-8D4F-BA157395E99D}"/>
    <cellStyle name="SAPBEXexcBad9 9 4 2" xfId="21617" xr:uid="{D6EF1780-DDB6-4609-95BF-FF138A859B13}"/>
    <cellStyle name="SAPBEXexcBad9 9 5" xfId="10082" xr:uid="{441FBD43-4DB6-48EA-9179-B38A81043430}"/>
    <cellStyle name="SAPBEXexcBad9 9 5 2" xfId="21618" xr:uid="{35702474-34AF-461F-AE05-1B50F371A33E}"/>
    <cellStyle name="SAPBEXexcBad9 9 6" xfId="10083" xr:uid="{62348293-2627-406C-A9E0-77F2FBBF4A6D}"/>
    <cellStyle name="SAPBEXexcBad9 9 6 2" xfId="21619" xr:uid="{E5797A73-67FC-4997-9889-40A0C3ED7312}"/>
    <cellStyle name="SAPBEXexcBad9 9 7" xfId="21610" xr:uid="{270D85F6-C03E-4906-A5A3-AEF7279DA57C}"/>
    <cellStyle name="SAPBEXexcBad9_KTR An-Abflug" xfId="14845" xr:uid="{56B11841-6A4C-4E71-88BB-A4701D84CF96}"/>
    <cellStyle name="SAPBEXexcCritical4" xfId="10084" xr:uid="{FFE71E6F-E6CA-4565-81AB-4FBD6E1BF546}"/>
    <cellStyle name="SAPBEXexcCritical4 10" xfId="10085" xr:uid="{461285C8-663F-4F41-B5D3-D9E00147224D}"/>
    <cellStyle name="SAPBEXexcCritical4 10 2" xfId="10086" xr:uid="{32D1D9B7-66DD-4F2C-96DA-F8DF1AD8B39A}"/>
    <cellStyle name="SAPBEXexcCritical4 10 2 2" xfId="10087" xr:uid="{882D1B18-EF89-4485-B1C2-9E58DAF5FAE0}"/>
    <cellStyle name="SAPBEXexcCritical4 10 2 2 2" xfId="21622" xr:uid="{F25E0F43-9594-4B28-943F-DABCF20D354E}"/>
    <cellStyle name="SAPBEXexcCritical4 10 2 3" xfId="10088" xr:uid="{AB02AC5A-AE4D-4574-856B-5A450F024704}"/>
    <cellStyle name="SAPBEXexcCritical4 10 2 3 2" xfId="21623" xr:uid="{6255C4D2-9F03-4495-A0BA-8965994A27FC}"/>
    <cellStyle name="SAPBEXexcCritical4 10 2 4" xfId="10089" xr:uid="{DE4ED72C-7665-4194-9019-055B49D7C746}"/>
    <cellStyle name="SAPBEXexcCritical4 10 2 4 2" xfId="21624" xr:uid="{BA9E3080-A6CA-48B7-B737-FB8B2411665F}"/>
    <cellStyle name="SAPBEXexcCritical4 10 2 5" xfId="10090" xr:uid="{42669684-2C1E-4C6D-894E-FA2F6BFD2688}"/>
    <cellStyle name="SAPBEXexcCritical4 10 2 5 2" xfId="21625" xr:uid="{0E0125DF-DFDB-415B-B36B-881CD456519F}"/>
    <cellStyle name="SAPBEXexcCritical4 10 2 6" xfId="21621" xr:uid="{C44CC21B-9177-4639-A92E-E8F6AB11E9DA}"/>
    <cellStyle name="SAPBEXexcCritical4 10 3" xfId="10091" xr:uid="{2E6EBEA0-8618-42D4-BAA9-A1C0FFCB6D78}"/>
    <cellStyle name="SAPBEXexcCritical4 10 3 2" xfId="21626" xr:uid="{5CC6497F-D63F-4C08-AE16-F9FCAF14D4E3}"/>
    <cellStyle name="SAPBEXexcCritical4 10 4" xfId="10092" xr:uid="{E6269BF9-D804-4980-AF78-AA460D4CF08F}"/>
    <cellStyle name="SAPBEXexcCritical4 10 4 2" xfId="21627" xr:uid="{ACFA9AA4-BE58-4698-B2EC-6033BE1AB991}"/>
    <cellStyle name="SAPBEXexcCritical4 10 5" xfId="10093" xr:uid="{BD81C410-1C9A-4D6D-8062-9D74C0D6376F}"/>
    <cellStyle name="SAPBEXexcCritical4 10 5 2" xfId="21628" xr:uid="{0C0BF3C9-4BB7-4FA4-8521-151DDD944B1B}"/>
    <cellStyle name="SAPBEXexcCritical4 10 6" xfId="10094" xr:uid="{A1FFCF48-8031-41E7-BA68-65FD921B251D}"/>
    <cellStyle name="SAPBEXexcCritical4 10 6 2" xfId="21629" xr:uid="{94CF0C7F-925F-4AC3-8895-7970C5165BE0}"/>
    <cellStyle name="SAPBEXexcCritical4 10 7" xfId="21620" xr:uid="{EE5AEE84-2775-46F2-AEC4-FD92771D7BB8}"/>
    <cellStyle name="SAPBEXexcCritical4 11" xfId="10095" xr:uid="{B21D4D8B-9EA1-437E-8F6C-6F07832C9CE0}"/>
    <cellStyle name="SAPBEXexcCritical4 11 2" xfId="10096" xr:uid="{EAC4536F-E5DE-4F23-ACB6-3C3F2E1F2D9C}"/>
    <cellStyle name="SAPBEXexcCritical4 11 2 2" xfId="10097" xr:uid="{A2731EE0-7952-46FE-9583-5D1D01244083}"/>
    <cellStyle name="SAPBEXexcCritical4 11 2 2 2" xfId="21632" xr:uid="{A94450C4-369F-4217-B337-B83659B91A95}"/>
    <cellStyle name="SAPBEXexcCritical4 11 2 3" xfId="10098" xr:uid="{BEB4D54F-A632-4306-BA80-7DCC212F3E66}"/>
    <cellStyle name="SAPBEXexcCritical4 11 2 3 2" xfId="21633" xr:uid="{9042AE61-246E-47FB-BB3A-166A86B43F64}"/>
    <cellStyle name="SAPBEXexcCritical4 11 2 4" xfId="10099" xr:uid="{B608BFCB-A7CF-44BD-B77C-FEE0F7B67934}"/>
    <cellStyle name="SAPBEXexcCritical4 11 2 4 2" xfId="21634" xr:uid="{8814A30B-A592-46B8-BD23-0E8185B4E2DF}"/>
    <cellStyle name="SAPBEXexcCritical4 11 2 5" xfId="10100" xr:uid="{B62FE3B8-7A55-4603-AD42-175B8440044A}"/>
    <cellStyle name="SAPBEXexcCritical4 11 2 5 2" xfId="21635" xr:uid="{2AC027B7-8B74-4C90-A24C-ED3979A9901A}"/>
    <cellStyle name="SAPBEXexcCritical4 11 2 6" xfId="21631" xr:uid="{A87E68D9-856A-4C75-B897-B11C34706C02}"/>
    <cellStyle name="SAPBEXexcCritical4 11 3" xfId="10101" xr:uid="{D95C0762-7C24-4EFC-8C27-624C0B4FCB01}"/>
    <cellStyle name="SAPBEXexcCritical4 11 3 2" xfId="21636" xr:uid="{B0B0B058-1EBE-4964-9AF3-663B48624CFF}"/>
    <cellStyle name="SAPBEXexcCritical4 11 4" xfId="10102" xr:uid="{5C3AA074-9304-49BE-A24B-3C62ADDC8F37}"/>
    <cellStyle name="SAPBEXexcCritical4 11 4 2" xfId="21637" xr:uid="{D7F3DB64-B223-4966-88C6-18B52ED1788E}"/>
    <cellStyle name="SAPBEXexcCritical4 11 5" xfId="10103" xr:uid="{058EEC1E-9377-4B79-AABB-03FC9D4DB721}"/>
    <cellStyle name="SAPBEXexcCritical4 11 5 2" xfId="21638" xr:uid="{EC72C573-34F4-4D80-950E-B1AE817E6389}"/>
    <cellStyle name="SAPBEXexcCritical4 11 6" xfId="10104" xr:uid="{DB495853-E144-4B75-B84D-8A8BE94A2B92}"/>
    <cellStyle name="SAPBEXexcCritical4 11 6 2" xfId="21639" xr:uid="{982E7EB0-360E-467C-B41E-CBB2505157F9}"/>
    <cellStyle name="SAPBEXexcCritical4 11 7" xfId="21630" xr:uid="{5D57C736-6519-42D1-906C-2BBE55AD0717}"/>
    <cellStyle name="SAPBEXexcCritical4 12" xfId="10105" xr:uid="{D09B7166-D28B-41C3-BBAB-83B0E63F629A}"/>
    <cellStyle name="SAPBEXexcCritical4 12 2" xfId="10106" xr:uid="{B91B8E6A-C629-495D-BEB8-7F7231A44DBE}"/>
    <cellStyle name="SAPBEXexcCritical4 12 2 2" xfId="10107" xr:uid="{74F9BF5A-FEA3-493C-996B-FEB5DADA474D}"/>
    <cellStyle name="SAPBEXexcCritical4 12 2 2 2" xfId="21642" xr:uid="{3E209548-DA08-426B-A683-DD4BBA05D209}"/>
    <cellStyle name="SAPBEXexcCritical4 12 2 3" xfId="10108" xr:uid="{AD8C5588-9253-46BF-BF43-DAE3BA79CACA}"/>
    <cellStyle name="SAPBEXexcCritical4 12 2 3 2" xfId="21643" xr:uid="{B4D46100-315D-40B6-A23F-8AC12CACC140}"/>
    <cellStyle name="SAPBEXexcCritical4 12 2 4" xfId="10109" xr:uid="{D84433E9-92F9-4D7F-965D-4D3CE24B77D2}"/>
    <cellStyle name="SAPBEXexcCritical4 12 2 4 2" xfId="21644" xr:uid="{9042B0B2-4316-44C2-A9F6-C4DC243EB6E4}"/>
    <cellStyle name="SAPBEXexcCritical4 12 2 5" xfId="10110" xr:uid="{24DF8703-CF11-4847-B5E5-91098F8118F5}"/>
    <cellStyle name="SAPBEXexcCritical4 12 2 5 2" xfId="21645" xr:uid="{73BD60FF-737C-4014-B76D-5F162C226422}"/>
    <cellStyle name="SAPBEXexcCritical4 12 2 6" xfId="21641" xr:uid="{4E75DD4A-B835-40BF-A355-A5C85BDF75CA}"/>
    <cellStyle name="SAPBEXexcCritical4 12 3" xfId="10111" xr:uid="{9BA65146-CBD8-487C-B4E5-2F3051207875}"/>
    <cellStyle name="SAPBEXexcCritical4 12 3 2" xfId="21646" xr:uid="{8CBC4405-4ED5-441E-9F18-079CEF24A95C}"/>
    <cellStyle name="SAPBEXexcCritical4 12 4" xfId="10112" xr:uid="{F7735CDA-88D4-4281-ADEB-58215F6693ED}"/>
    <cellStyle name="SAPBEXexcCritical4 12 4 2" xfId="21647" xr:uid="{D04EB796-C53A-4E7E-A14A-9FD06B7E56EA}"/>
    <cellStyle name="SAPBEXexcCritical4 12 5" xfId="10113" xr:uid="{B8D565E0-95DA-4CDC-941A-1F9999078949}"/>
    <cellStyle name="SAPBEXexcCritical4 12 5 2" xfId="21648" xr:uid="{320F3468-990C-4D73-A277-DDCCAD7DC059}"/>
    <cellStyle name="SAPBEXexcCritical4 12 6" xfId="10114" xr:uid="{26EA7100-9998-45A8-BB0A-17C275D658F2}"/>
    <cellStyle name="SAPBEXexcCritical4 12 6 2" xfId="21649" xr:uid="{4ACAB49C-A69B-4AAA-9FE0-25DA3826F74B}"/>
    <cellStyle name="SAPBEXexcCritical4 12 7" xfId="21640" xr:uid="{D587B73D-C601-4101-8D03-4CFC517B1E6C}"/>
    <cellStyle name="SAPBEXexcCritical4 13" xfId="10115" xr:uid="{11FC3204-6896-4E77-8009-5274D698ECB8}"/>
    <cellStyle name="SAPBEXexcCritical4 13 2" xfId="10116" xr:uid="{F3B614EF-C885-47FD-AB15-898DF589AE39}"/>
    <cellStyle name="SAPBEXexcCritical4 13 2 2" xfId="10117" xr:uid="{15A1086F-5893-4363-AAFE-05949BF8E4F4}"/>
    <cellStyle name="SAPBEXexcCritical4 13 2 2 2" xfId="21652" xr:uid="{3E0C6495-5336-41BF-A94F-6AC8F51479E7}"/>
    <cellStyle name="SAPBEXexcCritical4 13 2 3" xfId="10118" xr:uid="{8C854490-98AC-41EB-A754-6A15BE894803}"/>
    <cellStyle name="SAPBEXexcCritical4 13 2 3 2" xfId="21653" xr:uid="{2A9C4E99-AC02-441F-91E4-B88F2B080A59}"/>
    <cellStyle name="SAPBEXexcCritical4 13 2 4" xfId="10119" xr:uid="{671C30AF-0D54-4065-AF92-DE48CD7F9E48}"/>
    <cellStyle name="SAPBEXexcCritical4 13 2 4 2" xfId="21654" xr:uid="{CF59E629-E04E-489C-BBD5-D3982C4D4554}"/>
    <cellStyle name="SAPBEXexcCritical4 13 2 5" xfId="10120" xr:uid="{956F6E07-359E-4C90-B68C-9B29ED1AAF15}"/>
    <cellStyle name="SAPBEXexcCritical4 13 2 5 2" xfId="21655" xr:uid="{CF7E7D7D-D277-4CF6-B082-4058E773EB26}"/>
    <cellStyle name="SAPBEXexcCritical4 13 2 6" xfId="21651" xr:uid="{B4D4BC5E-1E32-4CE8-8A14-E34DFA2E1652}"/>
    <cellStyle name="SAPBEXexcCritical4 13 3" xfId="10121" xr:uid="{E2325731-BC73-4304-B722-39C1E4D05C7B}"/>
    <cellStyle name="SAPBEXexcCritical4 13 3 2" xfId="21656" xr:uid="{AABC00DC-19E4-4A29-9818-3DEF8C7B6671}"/>
    <cellStyle name="SAPBEXexcCritical4 13 4" xfId="10122" xr:uid="{642A2944-0701-43F6-8A3B-053C83D11441}"/>
    <cellStyle name="SAPBEXexcCritical4 13 4 2" xfId="21657" xr:uid="{55862326-B15B-4AEF-BB9F-33ACFEE29120}"/>
    <cellStyle name="SAPBEXexcCritical4 13 5" xfId="10123" xr:uid="{1F335EA7-6EAE-4046-9C79-35926F311827}"/>
    <cellStyle name="SAPBEXexcCritical4 13 5 2" xfId="21658" xr:uid="{CCBCC179-F4E6-453F-BA25-1FA8588898AB}"/>
    <cellStyle name="SAPBEXexcCritical4 13 6" xfId="10124" xr:uid="{F4FC9595-0580-4D53-A402-236997530A59}"/>
    <cellStyle name="SAPBEXexcCritical4 13 6 2" xfId="21659" xr:uid="{1C0732F1-9B99-4916-B7C4-D1C119FFBC23}"/>
    <cellStyle name="SAPBEXexcCritical4 13 7" xfId="21650" xr:uid="{9B6E28CB-FB9F-4805-A62C-E7A50F7A510C}"/>
    <cellStyle name="SAPBEXexcCritical4 14" xfId="10125" xr:uid="{391A7E13-BEBF-4AE9-8DA7-27905132B0FC}"/>
    <cellStyle name="SAPBEXexcCritical4 14 2" xfId="10126" xr:uid="{DAC9374E-3B29-4AB1-BFF5-8195D9396AC4}"/>
    <cellStyle name="SAPBEXexcCritical4 14 2 2" xfId="10127" xr:uid="{3C065E50-66F0-423E-9FE4-0AC79FED6033}"/>
    <cellStyle name="SAPBEXexcCritical4 14 2 2 2" xfId="21662" xr:uid="{749D5623-6C25-4AA0-BE1E-15A3CF51A677}"/>
    <cellStyle name="SAPBEXexcCritical4 14 2 3" xfId="10128" xr:uid="{E492AB9E-6178-465C-AB67-9693A7F3ECC8}"/>
    <cellStyle name="SAPBEXexcCritical4 14 2 3 2" xfId="21663" xr:uid="{427D14FA-4F46-4791-9E0F-FD6E9C513BA4}"/>
    <cellStyle name="SAPBEXexcCritical4 14 2 4" xfId="10129" xr:uid="{A3CEAF03-F9BB-4E30-AF53-18841C1E57EF}"/>
    <cellStyle name="SAPBEXexcCritical4 14 2 4 2" xfId="21664" xr:uid="{F3B46955-F5B6-40FC-819B-12F8BC312DF3}"/>
    <cellStyle name="SAPBEXexcCritical4 14 2 5" xfId="10130" xr:uid="{ED443E47-E4F4-4611-B99A-F9B0AE7A5864}"/>
    <cellStyle name="SAPBEXexcCritical4 14 2 5 2" xfId="21665" xr:uid="{2BF0F528-B1AA-47CF-AB21-6BBF0247DF84}"/>
    <cellStyle name="SAPBEXexcCritical4 14 2 6" xfId="21661" xr:uid="{3F8A589C-661B-4458-B0C5-2DA538982D5A}"/>
    <cellStyle name="SAPBEXexcCritical4 14 3" xfId="10131" xr:uid="{7FD9F0D8-A932-4883-AED3-C9571414195A}"/>
    <cellStyle name="SAPBEXexcCritical4 14 3 2" xfId="21666" xr:uid="{CDA2B34E-FD65-4E26-A9F5-71F6DB2E1ED6}"/>
    <cellStyle name="SAPBEXexcCritical4 14 4" xfId="10132" xr:uid="{58F851CF-2D4C-4004-B9D3-7008C7736550}"/>
    <cellStyle name="SAPBEXexcCritical4 14 4 2" xfId="21667" xr:uid="{9BE6628F-DA4C-4777-8FB3-6C55D39373FC}"/>
    <cellStyle name="SAPBEXexcCritical4 14 5" xfId="10133" xr:uid="{8A5F2788-8493-4D89-BF9F-D20A96E2A48F}"/>
    <cellStyle name="SAPBEXexcCritical4 14 5 2" xfId="21668" xr:uid="{34079EAE-D08E-4FF5-A092-1B2C66680D62}"/>
    <cellStyle name="SAPBEXexcCritical4 14 6" xfId="10134" xr:uid="{75631A89-79D6-4CCC-AE3D-C7FF01692947}"/>
    <cellStyle name="SAPBEXexcCritical4 14 6 2" xfId="21669" xr:uid="{DB983145-2FE0-44A9-B684-084EC7705583}"/>
    <cellStyle name="SAPBEXexcCritical4 14 7" xfId="21660" xr:uid="{814C3734-C6D9-4C07-8CBA-AD7A743EA556}"/>
    <cellStyle name="SAPBEXexcCritical4 15" xfId="10135" xr:uid="{B8B9C769-3244-4E6D-BFC7-E7F7E70DC0FF}"/>
    <cellStyle name="SAPBEXexcCritical4 15 2" xfId="10136" xr:uid="{45A6B71A-7B14-443D-84D3-4C86D9EA6FE7}"/>
    <cellStyle name="SAPBEXexcCritical4 15 2 2" xfId="10137" xr:uid="{D611FBFD-1579-48AA-A65D-465A3DB662B2}"/>
    <cellStyle name="SAPBEXexcCritical4 15 2 2 2" xfId="21672" xr:uid="{D2259DE6-6D43-4D94-8523-B5D5B9F5A7E4}"/>
    <cellStyle name="SAPBEXexcCritical4 15 2 3" xfId="10138" xr:uid="{B76039B8-70A7-4272-9A2A-E8178990E249}"/>
    <cellStyle name="SAPBEXexcCritical4 15 2 3 2" xfId="21673" xr:uid="{735A43AC-9863-4B23-9D2D-2A8B645ADCD0}"/>
    <cellStyle name="SAPBEXexcCritical4 15 2 4" xfId="10139" xr:uid="{C9E9C36B-F9D0-4937-949F-C6B0CEF9926B}"/>
    <cellStyle name="SAPBEXexcCritical4 15 2 4 2" xfId="21674" xr:uid="{45C9EAB3-93CA-489E-B79A-E7E7E7422EF1}"/>
    <cellStyle name="SAPBEXexcCritical4 15 2 5" xfId="10140" xr:uid="{25BACF9F-114E-4F32-9658-26F42F626071}"/>
    <cellStyle name="SAPBEXexcCritical4 15 2 5 2" xfId="21675" xr:uid="{E82E2EF7-849A-4C07-B794-FE2D58EB34F4}"/>
    <cellStyle name="SAPBEXexcCritical4 15 2 6" xfId="21671" xr:uid="{C48BC232-E92B-49B5-BE4C-914E08314C24}"/>
    <cellStyle name="SAPBEXexcCritical4 15 3" xfId="10141" xr:uid="{DBC5AD75-8572-45B7-82A4-1B076547F691}"/>
    <cellStyle name="SAPBEXexcCritical4 15 3 2" xfId="21676" xr:uid="{EAA77450-D18C-4615-807E-02A959A3BF0C}"/>
    <cellStyle name="SAPBEXexcCritical4 15 4" xfId="10142" xr:uid="{7B895216-602B-4055-8527-B98E752F95A8}"/>
    <cellStyle name="SAPBEXexcCritical4 15 4 2" xfId="21677" xr:uid="{400E0C8B-303A-457F-9480-3F71D9847ADB}"/>
    <cellStyle name="SAPBEXexcCritical4 15 5" xfId="10143" xr:uid="{94654A55-CA89-475F-ACF6-D4B58706B91C}"/>
    <cellStyle name="SAPBEXexcCritical4 15 5 2" xfId="21678" xr:uid="{40C3B9D9-BE15-4D52-852D-302559BE16EA}"/>
    <cellStyle name="SAPBEXexcCritical4 15 6" xfId="10144" xr:uid="{6FE68D1A-3122-43BF-9C10-A4C3CDDB8CD3}"/>
    <cellStyle name="SAPBEXexcCritical4 15 6 2" xfId="21679" xr:uid="{D4C51E0E-5849-4C2F-AA27-B45B90E449BE}"/>
    <cellStyle name="SAPBEXexcCritical4 15 7" xfId="21670" xr:uid="{D0FA4A91-914A-48EA-9133-055B91F285F6}"/>
    <cellStyle name="SAPBEXexcCritical4 16" xfId="10145" xr:uid="{3F5DDE8D-3682-4BAE-8FD3-79BD0074F32A}"/>
    <cellStyle name="SAPBEXexcCritical4 16 2" xfId="21680" xr:uid="{63A97A5A-6C50-4C73-89FF-88C40B109CF3}"/>
    <cellStyle name="SAPBEXexcCritical4 17" xfId="10146" xr:uid="{FBE95699-7390-4FED-BD48-04BDF4AD38DC}"/>
    <cellStyle name="SAPBEXexcCritical4 17 2" xfId="21681" xr:uid="{2F169BF7-1365-41AF-8CC9-C482C51C0CC5}"/>
    <cellStyle name="SAPBEXexcCritical4 18" xfId="10147" xr:uid="{A28C947A-234A-45B9-BC02-B55BBC0D048D}"/>
    <cellStyle name="SAPBEXexcCritical4 18 2" xfId="21682" xr:uid="{5B7CD673-6006-4165-BCA1-32747834C8E7}"/>
    <cellStyle name="SAPBEXexcCritical4 19" xfId="10148" xr:uid="{C124C924-B6B8-46AC-8959-95FE64DA4251}"/>
    <cellStyle name="SAPBEXexcCritical4 19 2" xfId="21683" xr:uid="{84E1B518-311A-4D73-9CB8-02533EB0A9F1}"/>
    <cellStyle name="SAPBEXexcCritical4 2" xfId="10149" xr:uid="{3D1A7C5D-0648-4D11-8FD0-86C3C7F87A3A}"/>
    <cellStyle name="SAPBEXexcCritical4 2 2" xfId="10150" xr:uid="{D2770E03-9990-4ABF-8C56-C417C298D6E0}"/>
    <cellStyle name="SAPBEXexcCritical4 2 2 2" xfId="10151" xr:uid="{EC55B82F-5273-4034-8226-24DFF2D45272}"/>
    <cellStyle name="SAPBEXexcCritical4 2 2 2 2" xfId="21686" xr:uid="{DD807CF1-764A-4B22-AA98-B7CAD116D9ED}"/>
    <cellStyle name="SAPBEXexcCritical4 2 2 3" xfId="10152" xr:uid="{0162588E-8EFA-449E-B134-3773F544B1A6}"/>
    <cellStyle name="SAPBEXexcCritical4 2 2 3 2" xfId="21687" xr:uid="{1647EBE2-28B7-446C-8597-DFF3118A4E46}"/>
    <cellStyle name="SAPBEXexcCritical4 2 2 4" xfId="10153" xr:uid="{6DC05D63-91D0-4168-9CCF-55466D7314A2}"/>
    <cellStyle name="SAPBEXexcCritical4 2 2 4 2" xfId="21688" xr:uid="{1CA5704F-E1A9-4937-84F9-33C03071DE39}"/>
    <cellStyle name="SAPBEXexcCritical4 2 2 5" xfId="10154" xr:uid="{4762144B-3E93-476A-B966-F3EEEE622809}"/>
    <cellStyle name="SAPBEXexcCritical4 2 2 5 2" xfId="21689" xr:uid="{C7DD90BE-5EAE-4DDD-AE00-6B42D166C653}"/>
    <cellStyle name="SAPBEXexcCritical4 2 2 6" xfId="21685" xr:uid="{76CA6EB0-E804-4367-B7C8-781124F0E928}"/>
    <cellStyle name="SAPBEXexcCritical4 2 3" xfId="10155" xr:uid="{C226E321-81D1-447D-85D0-CC4AEA55B64B}"/>
    <cellStyle name="SAPBEXexcCritical4 2 3 2" xfId="21690" xr:uid="{41EE0C71-9DF3-4AEE-8851-85D724FEB8D2}"/>
    <cellStyle name="SAPBEXexcCritical4 2 4" xfId="10156" xr:uid="{003E6A02-0E5B-4BA5-A649-80799B511E8E}"/>
    <cellStyle name="SAPBEXexcCritical4 2 4 2" xfId="21691" xr:uid="{CB2DF897-DBEA-41FC-A628-2D562E87824F}"/>
    <cellStyle name="SAPBEXexcCritical4 2 5" xfId="10157" xr:uid="{757F43EA-B4B5-4AAD-B4F4-A42DE48B9711}"/>
    <cellStyle name="SAPBEXexcCritical4 2 5 2" xfId="21692" xr:uid="{EA08B016-AD28-4622-B090-8A1D0F8A127C}"/>
    <cellStyle name="SAPBEXexcCritical4 2 6" xfId="10158" xr:uid="{AE0A8B76-399D-49E2-8CF5-FFE0A63474DA}"/>
    <cellStyle name="SAPBEXexcCritical4 2 6 2" xfId="21693" xr:uid="{E6A1DF39-1220-4711-8450-E3551BE939AC}"/>
    <cellStyle name="SAPBEXexcCritical4 2 7" xfId="21684" xr:uid="{2B142974-DAD3-42B7-AC72-5FC207152CB3}"/>
    <cellStyle name="SAPBEXexcCritical4 20" xfId="15168" xr:uid="{FE186CE0-D663-407E-BB45-F9B1C658A501}"/>
    <cellStyle name="SAPBEXexcCritical4 3" xfId="10159" xr:uid="{C3E88879-75C6-4C61-AC41-2098CD369E76}"/>
    <cellStyle name="SAPBEXexcCritical4 3 2" xfId="10160" xr:uid="{F6A0CF9F-E4E6-43C1-B9CE-F316D64E0216}"/>
    <cellStyle name="SAPBEXexcCritical4 3 2 2" xfId="10161" xr:uid="{DC497995-7D03-490F-8486-13A61972AD61}"/>
    <cellStyle name="SAPBEXexcCritical4 3 2 2 2" xfId="21696" xr:uid="{A189C2D8-8CF3-4DC8-9AF6-5647E58B3253}"/>
    <cellStyle name="SAPBEXexcCritical4 3 2 3" xfId="10162" xr:uid="{602A1D7A-AD73-4A57-BF4B-B890679582A1}"/>
    <cellStyle name="SAPBEXexcCritical4 3 2 3 2" xfId="21697" xr:uid="{6EF79DCC-6E96-4BCA-AF09-167ED2171D08}"/>
    <cellStyle name="SAPBEXexcCritical4 3 2 4" xfId="10163" xr:uid="{4F711C92-0121-41BF-81B8-00F22025BB16}"/>
    <cellStyle name="SAPBEXexcCritical4 3 2 4 2" xfId="21698" xr:uid="{3D827390-B55C-41AF-A5D5-70A75E009E38}"/>
    <cellStyle name="SAPBEXexcCritical4 3 2 5" xfId="10164" xr:uid="{73D66203-9958-4531-9C65-BE4F3855F130}"/>
    <cellStyle name="SAPBEXexcCritical4 3 2 5 2" xfId="21699" xr:uid="{F3C3AA3C-32DA-4F45-A129-1A4FCDB56835}"/>
    <cellStyle name="SAPBEXexcCritical4 3 2 6" xfId="21695" xr:uid="{BAB4DC85-AB24-4E93-868A-0149BF292A8C}"/>
    <cellStyle name="SAPBEXexcCritical4 3 3" xfId="10165" xr:uid="{9A06EBD3-7537-4A80-ADF4-3F32E3928E3F}"/>
    <cellStyle name="SAPBEXexcCritical4 3 3 2" xfId="21700" xr:uid="{FF9E8CB3-2A9C-4BD6-A3BD-6F2C59CCC070}"/>
    <cellStyle name="SAPBEXexcCritical4 3 4" xfId="10166" xr:uid="{A912EEB7-DA4B-46A4-BA89-9318FA683453}"/>
    <cellStyle name="SAPBEXexcCritical4 3 4 2" xfId="21701" xr:uid="{302518B0-E6D8-416F-A6DB-11769E803308}"/>
    <cellStyle name="SAPBEXexcCritical4 3 5" xfId="10167" xr:uid="{5DCC85F6-AE20-41D6-9DF0-EB4D867A8598}"/>
    <cellStyle name="SAPBEXexcCritical4 3 5 2" xfId="21702" xr:uid="{ACB0BA50-17DC-4C6F-BF2E-A1D621ADA7D8}"/>
    <cellStyle name="SAPBEXexcCritical4 3 6" xfId="10168" xr:uid="{B1177DA9-C185-47F7-9D09-5C1055CCE252}"/>
    <cellStyle name="SAPBEXexcCritical4 3 6 2" xfId="21703" xr:uid="{9CEC5A1B-0095-45DB-8E39-AE02593DA705}"/>
    <cellStyle name="SAPBEXexcCritical4 3 7" xfId="21694" xr:uid="{CC739DE4-7360-44C7-B602-793CF5542435}"/>
    <cellStyle name="SAPBEXexcCritical4 4" xfId="10169" xr:uid="{7A46508A-FF8C-4FD2-900D-4EED7D079BB9}"/>
    <cellStyle name="SAPBEXexcCritical4 4 2" xfId="10170" xr:uid="{E1FF56B5-69CA-41A4-8CA8-EF195F71135A}"/>
    <cellStyle name="SAPBEXexcCritical4 4 2 2" xfId="10171" xr:uid="{1AC03863-4B54-47B4-8124-B523DE5403F0}"/>
    <cellStyle name="SAPBEXexcCritical4 4 2 2 2" xfId="21706" xr:uid="{44DB2662-5425-47C8-BB4B-06BEE527CCBA}"/>
    <cellStyle name="SAPBEXexcCritical4 4 2 3" xfId="10172" xr:uid="{82C6B7F1-33FB-495C-9DE2-B06C1321DCB3}"/>
    <cellStyle name="SAPBEXexcCritical4 4 2 3 2" xfId="21707" xr:uid="{11D558B4-4A32-49CB-87C3-666F5118F733}"/>
    <cellStyle name="SAPBEXexcCritical4 4 2 4" xfId="10173" xr:uid="{5704970C-2755-4277-B6F7-FE990A2C3724}"/>
    <cellStyle name="SAPBEXexcCritical4 4 2 4 2" xfId="21708" xr:uid="{BD1DDDFD-5637-4BDA-AAE2-40BF78CDF755}"/>
    <cellStyle name="SAPBEXexcCritical4 4 2 5" xfId="10174" xr:uid="{ED954B90-90CC-42B9-8A11-84FC1B5EF8CB}"/>
    <cellStyle name="SAPBEXexcCritical4 4 2 5 2" xfId="21709" xr:uid="{201A65AB-9E1C-49B0-9A42-10CD3935B24F}"/>
    <cellStyle name="SAPBEXexcCritical4 4 2 6" xfId="21705" xr:uid="{527341D8-8D23-4CAF-8CA5-0C307BA462BA}"/>
    <cellStyle name="SAPBEXexcCritical4 4 3" xfId="10175" xr:uid="{C75F9CFA-3A9F-4124-99F8-DC8D6176D7DB}"/>
    <cellStyle name="SAPBEXexcCritical4 4 3 2" xfId="21710" xr:uid="{912A3B7D-BCBA-4B22-925F-6F49CE8175D4}"/>
    <cellStyle name="SAPBEXexcCritical4 4 4" xfId="10176" xr:uid="{53595025-95AE-4674-8769-622BCC1AECCC}"/>
    <cellStyle name="SAPBEXexcCritical4 4 4 2" xfId="21711" xr:uid="{562FB08B-61A5-4B82-95D8-D56C21236CC9}"/>
    <cellStyle name="SAPBEXexcCritical4 4 5" xfId="10177" xr:uid="{D2C40C65-0D9E-4888-8CFE-FA32CB93FC16}"/>
    <cellStyle name="SAPBEXexcCritical4 4 5 2" xfId="21712" xr:uid="{B4C8BCF1-D73A-4065-8CE6-FB29A3FC1534}"/>
    <cellStyle name="SAPBEXexcCritical4 4 6" xfId="10178" xr:uid="{B94926F5-342F-4064-9167-308FF9E04888}"/>
    <cellStyle name="SAPBEXexcCritical4 4 6 2" xfId="21713" xr:uid="{64601ACF-3AFA-4FCC-B661-A426D4E773C8}"/>
    <cellStyle name="SAPBEXexcCritical4 4 7" xfId="21704" xr:uid="{0FED0207-2D9A-40E8-8FC4-C4FA4EB73D2E}"/>
    <cellStyle name="SAPBEXexcCritical4 5" xfId="10179" xr:uid="{A34BAD24-3C04-48BF-8332-035FB6795293}"/>
    <cellStyle name="SAPBEXexcCritical4 5 2" xfId="10180" xr:uid="{8E5A2F8D-1142-46D2-B44D-AC9F641F7016}"/>
    <cellStyle name="SAPBEXexcCritical4 5 2 2" xfId="10181" xr:uid="{6FDDD4C5-8421-4096-A25F-EB02F09D60C5}"/>
    <cellStyle name="SAPBEXexcCritical4 5 2 2 2" xfId="21716" xr:uid="{89CB61A2-45C0-4B95-9A61-FB149F833E1F}"/>
    <cellStyle name="SAPBEXexcCritical4 5 2 3" xfId="10182" xr:uid="{F135DB85-7FD1-4076-97F6-CA5F8D8C20FD}"/>
    <cellStyle name="SAPBEXexcCritical4 5 2 3 2" xfId="21717" xr:uid="{79CBF197-F33E-4F4F-BE54-83E964C41701}"/>
    <cellStyle name="SAPBEXexcCritical4 5 2 4" xfId="10183" xr:uid="{CD4C8118-885F-46F4-BE9B-5A106740D6A1}"/>
    <cellStyle name="SAPBEXexcCritical4 5 2 4 2" xfId="21718" xr:uid="{ABE418AD-00BA-496B-B1C3-B68759F3F4A5}"/>
    <cellStyle name="SAPBEXexcCritical4 5 2 5" xfId="10184" xr:uid="{783EC4BE-EC07-4BBD-AEE4-19DD4531185A}"/>
    <cellStyle name="SAPBEXexcCritical4 5 2 5 2" xfId="21719" xr:uid="{8AE8FA09-52F5-4452-9A65-131CECC2DF75}"/>
    <cellStyle name="SAPBEXexcCritical4 5 2 6" xfId="21715" xr:uid="{E89BE753-9C4F-4FC5-9660-10CB1289D7A8}"/>
    <cellStyle name="SAPBEXexcCritical4 5 3" xfId="10185" xr:uid="{58E79B6A-12F2-4D0C-AAAF-089D97E4AC0A}"/>
    <cellStyle name="SAPBEXexcCritical4 5 3 2" xfId="21720" xr:uid="{EC754355-F98D-4C28-89E1-AA3924BBBB98}"/>
    <cellStyle name="SAPBEXexcCritical4 5 4" xfId="10186" xr:uid="{021F66AC-6434-4BA1-ACFB-22EB7BB61BFB}"/>
    <cellStyle name="SAPBEXexcCritical4 5 4 2" xfId="21721" xr:uid="{AAED133B-A3BB-48E4-B471-489EC9726634}"/>
    <cellStyle name="SAPBEXexcCritical4 5 5" xfId="10187" xr:uid="{AC733BCE-DF71-4ED8-80A7-26EF3F64B918}"/>
    <cellStyle name="SAPBEXexcCritical4 5 5 2" xfId="21722" xr:uid="{CDB7E3E8-B593-4713-B3D6-5C2B3D7C84C2}"/>
    <cellStyle name="SAPBEXexcCritical4 5 6" xfId="10188" xr:uid="{38F8B28D-FC63-4BD6-8F8D-705D58CF0BCE}"/>
    <cellStyle name="SAPBEXexcCritical4 5 6 2" xfId="21723" xr:uid="{2659F155-1433-4EC9-94FF-ADB70D5229F7}"/>
    <cellStyle name="SAPBEXexcCritical4 5 7" xfId="21714" xr:uid="{6C93DDE9-B75B-4B40-A54D-5860045900F9}"/>
    <cellStyle name="SAPBEXexcCritical4 6" xfId="10189" xr:uid="{C9EB3BBD-45C6-46B7-8129-7719E594407D}"/>
    <cellStyle name="SAPBEXexcCritical4 6 2" xfId="10190" xr:uid="{9BCA88D9-ABAB-41FD-838C-6B69ECBA3C1F}"/>
    <cellStyle name="SAPBEXexcCritical4 6 2 2" xfId="10191" xr:uid="{39422973-2EEA-478B-8197-D9952AD8C4DB}"/>
    <cellStyle name="SAPBEXexcCritical4 6 2 2 2" xfId="21726" xr:uid="{024FD8E3-30CF-4DFE-85CA-92A750A42BB6}"/>
    <cellStyle name="SAPBEXexcCritical4 6 2 3" xfId="10192" xr:uid="{C9318875-59DB-4768-982F-863FE54BAF96}"/>
    <cellStyle name="SAPBEXexcCritical4 6 2 3 2" xfId="21727" xr:uid="{9C005B9B-88E5-4F10-972B-47DC48F6A55D}"/>
    <cellStyle name="SAPBEXexcCritical4 6 2 4" xfId="10193" xr:uid="{D6FE7724-DCCB-45D6-B824-15C413B0A13D}"/>
    <cellStyle name="SAPBEXexcCritical4 6 2 4 2" xfId="21728" xr:uid="{2B16C527-25C0-4B80-9F72-9A1E6E53E063}"/>
    <cellStyle name="SAPBEXexcCritical4 6 2 5" xfId="10194" xr:uid="{A2C52FE7-6B08-4909-8C93-9F9BDDF8768E}"/>
    <cellStyle name="SAPBEXexcCritical4 6 2 5 2" xfId="21729" xr:uid="{418D7F94-9291-4403-A335-4158EE64C479}"/>
    <cellStyle name="SAPBEXexcCritical4 6 2 6" xfId="21725" xr:uid="{B22217BA-2518-4C69-8DD3-4F578F35B3BD}"/>
    <cellStyle name="SAPBEXexcCritical4 6 3" xfId="10195" xr:uid="{FF1DC2E2-E4DB-4957-9B81-053370438A1F}"/>
    <cellStyle name="SAPBEXexcCritical4 6 3 2" xfId="21730" xr:uid="{5649A2C4-83AF-453B-8798-BF37C6E1FAA8}"/>
    <cellStyle name="SAPBEXexcCritical4 6 4" xfId="10196" xr:uid="{E11652A9-F052-487B-9D88-97CCB428A355}"/>
    <cellStyle name="SAPBEXexcCritical4 6 4 2" xfId="21731" xr:uid="{5DBAD731-9F06-4869-AF2B-A726BA0DAF5C}"/>
    <cellStyle name="SAPBEXexcCritical4 6 5" xfId="10197" xr:uid="{ABF1BD37-8800-4944-9B0C-7B9CEF7A4664}"/>
    <cellStyle name="SAPBEXexcCritical4 6 5 2" xfId="21732" xr:uid="{3BA75867-F4A4-4313-9204-5816C593875B}"/>
    <cellStyle name="SAPBEXexcCritical4 6 6" xfId="10198" xr:uid="{9DEF2412-5053-4643-8496-9E30E8050859}"/>
    <cellStyle name="SAPBEXexcCritical4 6 6 2" xfId="21733" xr:uid="{D1DDB541-D3DE-4AAC-B86B-3AEEF2364111}"/>
    <cellStyle name="SAPBEXexcCritical4 6 7" xfId="21724" xr:uid="{0205CA41-3413-4009-8864-F9FC5B92F9EC}"/>
    <cellStyle name="SAPBEXexcCritical4 7" xfId="10199" xr:uid="{627C9057-034B-4838-9ADB-7013269F8298}"/>
    <cellStyle name="SAPBEXexcCritical4 7 2" xfId="10200" xr:uid="{E9DCA1C8-557F-439B-B0E0-A9242181FA39}"/>
    <cellStyle name="SAPBEXexcCritical4 7 2 2" xfId="10201" xr:uid="{E6A64E13-D4CF-44CC-8BE6-3C025786934D}"/>
    <cellStyle name="SAPBEXexcCritical4 7 2 2 2" xfId="21736" xr:uid="{333A1545-BA1F-448A-8E4C-D93F10A1A832}"/>
    <cellStyle name="SAPBEXexcCritical4 7 2 3" xfId="10202" xr:uid="{FDA196A0-5D77-4661-9A39-1CF771C46C20}"/>
    <cellStyle name="SAPBEXexcCritical4 7 2 3 2" xfId="21737" xr:uid="{A6D136A6-D152-46A8-8F6C-D0E1264E63E9}"/>
    <cellStyle name="SAPBEXexcCritical4 7 2 4" xfId="10203" xr:uid="{B47451E6-7B13-4DBF-852E-C6C5A553E72F}"/>
    <cellStyle name="SAPBEXexcCritical4 7 2 4 2" xfId="21738" xr:uid="{687C8B5E-822E-4327-8311-1DA45CF9BA5B}"/>
    <cellStyle name="SAPBEXexcCritical4 7 2 5" xfId="10204" xr:uid="{FBF84DF9-683A-4162-8FC3-6ACC8C616AB0}"/>
    <cellStyle name="SAPBEXexcCritical4 7 2 5 2" xfId="21739" xr:uid="{022D0862-005D-43BC-B348-03170F882140}"/>
    <cellStyle name="SAPBEXexcCritical4 7 2 6" xfId="21735" xr:uid="{874D062F-6D5D-4760-B055-FBB4580FD881}"/>
    <cellStyle name="SAPBEXexcCritical4 7 3" xfId="10205" xr:uid="{7B9B021E-3D35-40B0-A1BA-4A2A1574ED3F}"/>
    <cellStyle name="SAPBEXexcCritical4 7 3 2" xfId="21740" xr:uid="{C950869C-FF33-4A61-9BB6-3361BE923433}"/>
    <cellStyle name="SAPBEXexcCritical4 7 4" xfId="10206" xr:uid="{488C1888-2017-46EC-8C8E-5D74A9575ADA}"/>
    <cellStyle name="SAPBEXexcCritical4 7 4 2" xfId="21741" xr:uid="{E23BB604-FDC2-4725-BDE3-1C73B88424CA}"/>
    <cellStyle name="SAPBEXexcCritical4 7 5" xfId="10207" xr:uid="{4E62214F-0AD2-42C1-9690-20AD6911F485}"/>
    <cellStyle name="SAPBEXexcCritical4 7 5 2" xfId="21742" xr:uid="{7DED03BC-7255-4B7B-BFEB-65C36831808D}"/>
    <cellStyle name="SAPBEXexcCritical4 7 6" xfId="10208" xr:uid="{AFEFC8F4-15A9-41F0-9A47-C06D640D8188}"/>
    <cellStyle name="SAPBEXexcCritical4 7 6 2" xfId="21743" xr:uid="{39FF26BC-6894-40FA-BEB0-0E9163BB0461}"/>
    <cellStyle name="SAPBEXexcCritical4 7 7" xfId="21734" xr:uid="{AE7B79C8-8468-450F-A6AF-C0DE4B940470}"/>
    <cellStyle name="SAPBEXexcCritical4 8" xfId="10209" xr:uid="{52D3A736-38EE-4485-B6BB-ACFFD10F9F2F}"/>
    <cellStyle name="SAPBEXexcCritical4 8 2" xfId="10210" xr:uid="{F56C6625-E300-4E34-95DF-F360F167D39A}"/>
    <cellStyle name="SAPBEXexcCritical4 8 2 2" xfId="10211" xr:uid="{8070D1E0-BCDB-4938-A9D8-72C5DD815CC4}"/>
    <cellStyle name="SAPBEXexcCritical4 8 2 2 2" xfId="21746" xr:uid="{13B2E42F-20BE-422B-A1AB-72972A3DB352}"/>
    <cellStyle name="SAPBEXexcCritical4 8 2 3" xfId="10212" xr:uid="{959CEF18-765B-408E-B811-363646D141CF}"/>
    <cellStyle name="SAPBEXexcCritical4 8 2 3 2" xfId="21747" xr:uid="{B966B49C-0F68-4387-A084-9B9A6171E361}"/>
    <cellStyle name="SAPBEXexcCritical4 8 2 4" xfId="10213" xr:uid="{B71CECAB-4CA7-4A5B-91CF-DFB8E0C2A7E4}"/>
    <cellStyle name="SAPBEXexcCritical4 8 2 4 2" xfId="21748" xr:uid="{DCB500C9-E447-45A1-B8D4-099B8B6F76A2}"/>
    <cellStyle name="SAPBEXexcCritical4 8 2 5" xfId="10214" xr:uid="{098E3807-D7F9-48F9-9CDC-AE8578348A77}"/>
    <cellStyle name="SAPBEXexcCritical4 8 2 5 2" xfId="21749" xr:uid="{5E5C9AAD-8C59-4F97-9B17-7B579ACF3B79}"/>
    <cellStyle name="SAPBEXexcCritical4 8 2 6" xfId="21745" xr:uid="{16AB7F9E-A4C4-420C-928A-683F52FBD055}"/>
    <cellStyle name="SAPBEXexcCritical4 8 3" xfId="10215" xr:uid="{BFB7BA48-3B88-4BE8-85DD-DAF41CA90406}"/>
    <cellStyle name="SAPBEXexcCritical4 8 3 2" xfId="21750" xr:uid="{FD028720-F99A-4683-8671-F970480BA8D1}"/>
    <cellStyle name="SAPBEXexcCritical4 8 4" xfId="10216" xr:uid="{13E67CDB-0059-479D-A0C5-71ED060CFF69}"/>
    <cellStyle name="SAPBEXexcCritical4 8 4 2" xfId="21751" xr:uid="{D5904422-59AF-4EE7-92F9-C19305E66194}"/>
    <cellStyle name="SAPBEXexcCritical4 8 5" xfId="10217" xr:uid="{9D32ECAE-2EEE-4046-BEFC-60E2A9BF177A}"/>
    <cellStyle name="SAPBEXexcCritical4 8 5 2" xfId="21752" xr:uid="{82063498-58AE-4F2C-8FBC-640897D6A18E}"/>
    <cellStyle name="SAPBEXexcCritical4 8 6" xfId="10218" xr:uid="{088182F5-829B-4D57-8878-8A903B55FE07}"/>
    <cellStyle name="SAPBEXexcCritical4 8 6 2" xfId="21753" xr:uid="{FB23481B-66D0-43AA-8851-D5CD3B2972A5}"/>
    <cellStyle name="SAPBEXexcCritical4 8 7" xfId="21744" xr:uid="{828B189F-9EB2-4FF6-B8BA-00E262CBE205}"/>
    <cellStyle name="SAPBEXexcCritical4 9" xfId="10219" xr:uid="{26296245-4FBB-4FF5-8933-251A8796B884}"/>
    <cellStyle name="SAPBEXexcCritical4 9 2" xfId="10220" xr:uid="{A9DD903E-0849-4088-B10A-DA9142C61952}"/>
    <cellStyle name="SAPBEXexcCritical4 9 2 2" xfId="10221" xr:uid="{169F0899-D8AF-46E1-A288-1227450AA731}"/>
    <cellStyle name="SAPBEXexcCritical4 9 2 2 2" xfId="21756" xr:uid="{EFE44338-6C42-486D-90E7-3C804C64E82C}"/>
    <cellStyle name="SAPBEXexcCritical4 9 2 3" xfId="10222" xr:uid="{1FA85287-3033-43ED-959C-3AB831764ADA}"/>
    <cellStyle name="SAPBEXexcCritical4 9 2 3 2" xfId="21757" xr:uid="{9211B7A2-1CD8-4A7A-956F-37F015F63720}"/>
    <cellStyle name="SAPBEXexcCritical4 9 2 4" xfId="10223" xr:uid="{59B448DB-D510-499B-91C0-7C9945199D4E}"/>
    <cellStyle name="SAPBEXexcCritical4 9 2 4 2" xfId="21758" xr:uid="{66DF0C15-86FF-43A8-8612-590D0F419973}"/>
    <cellStyle name="SAPBEXexcCritical4 9 2 5" xfId="10224" xr:uid="{D16756D5-A83B-4F01-80A0-99946649C7C5}"/>
    <cellStyle name="SAPBEXexcCritical4 9 2 5 2" xfId="21759" xr:uid="{EADCBE26-142A-42B6-BDC8-98D87EF36540}"/>
    <cellStyle name="SAPBEXexcCritical4 9 2 6" xfId="21755" xr:uid="{DCF6DB20-C30A-4B6E-9438-558C736EAF4C}"/>
    <cellStyle name="SAPBEXexcCritical4 9 3" xfId="10225" xr:uid="{D344EA33-1786-440D-AD3E-C624692A9E56}"/>
    <cellStyle name="SAPBEXexcCritical4 9 3 2" xfId="21760" xr:uid="{B83EBA84-39D9-4E35-A186-57CF55269A09}"/>
    <cellStyle name="SAPBEXexcCritical4 9 4" xfId="10226" xr:uid="{1A735443-FB8E-4DD6-879D-A5309A133CE5}"/>
    <cellStyle name="SAPBEXexcCritical4 9 4 2" xfId="21761" xr:uid="{D5DC7AA7-AFE2-4EA1-A70D-5824F0737312}"/>
    <cellStyle name="SAPBEXexcCritical4 9 5" xfId="10227" xr:uid="{4A22F7EA-192C-4895-AEF4-9CF60B87851F}"/>
    <cellStyle name="SAPBEXexcCritical4 9 5 2" xfId="21762" xr:uid="{7E4A9ACD-54F9-4350-836E-A90ACF788782}"/>
    <cellStyle name="SAPBEXexcCritical4 9 6" xfId="10228" xr:uid="{36134D92-A97D-4D40-AC91-5EEA1CF02B3F}"/>
    <cellStyle name="SAPBEXexcCritical4 9 6 2" xfId="21763" xr:uid="{9811ED4C-CC49-4F89-9484-F56B060EF149}"/>
    <cellStyle name="SAPBEXexcCritical4 9 7" xfId="21754" xr:uid="{EC1D0606-B676-48AA-8125-7738FCC33D4C}"/>
    <cellStyle name="SAPBEXexcCritical4_KTR An-Abflug" xfId="14887" xr:uid="{DDA06948-A0C4-4C37-8253-7059B396B8D9}"/>
    <cellStyle name="SAPBEXexcCritical5" xfId="10229" xr:uid="{4D449BF0-285A-4E10-ACD0-2AA5AC370DAE}"/>
    <cellStyle name="SAPBEXexcCritical5 10" xfId="10230" xr:uid="{90A3D909-19EF-44F9-A383-E8E55F7BFC8F}"/>
    <cellStyle name="SAPBEXexcCritical5 10 2" xfId="10231" xr:uid="{A541FAC6-FBC9-456A-9303-F5B90C03D77A}"/>
    <cellStyle name="SAPBEXexcCritical5 10 2 2" xfId="10232" xr:uid="{1F476EAA-3D72-4206-8F4E-2BB0722415FE}"/>
    <cellStyle name="SAPBEXexcCritical5 10 2 2 2" xfId="21766" xr:uid="{D94BE633-D77C-47B7-96AD-2089266F6739}"/>
    <cellStyle name="SAPBEXexcCritical5 10 2 3" xfId="10233" xr:uid="{3D384712-B032-46CC-B67D-A2C1BFE99B50}"/>
    <cellStyle name="SAPBEXexcCritical5 10 2 3 2" xfId="21767" xr:uid="{129C75FE-9080-4224-BC77-0D0DA66E22EE}"/>
    <cellStyle name="SAPBEXexcCritical5 10 2 4" xfId="10234" xr:uid="{8B13F310-8D8D-440C-ADEF-51BABB043232}"/>
    <cellStyle name="SAPBEXexcCritical5 10 2 4 2" xfId="21768" xr:uid="{F2422676-7E02-49C8-91D6-EEB310F0E740}"/>
    <cellStyle name="SAPBEXexcCritical5 10 2 5" xfId="10235" xr:uid="{04F66C57-2939-4FDB-8FAF-B0D1F5A3334D}"/>
    <cellStyle name="SAPBEXexcCritical5 10 2 5 2" xfId="21769" xr:uid="{29EEC76F-8B27-4E6D-8D0F-8FC7E0FE4E71}"/>
    <cellStyle name="SAPBEXexcCritical5 10 2 6" xfId="21765" xr:uid="{133226C8-291D-4663-BD3B-A4DB0A843E43}"/>
    <cellStyle name="SAPBEXexcCritical5 10 3" xfId="10236" xr:uid="{35D663C9-F6EA-424B-B519-A2D77B795DA9}"/>
    <cellStyle name="SAPBEXexcCritical5 10 3 2" xfId="21770" xr:uid="{13A26EDE-9BF3-4422-A8C7-6FA07348285E}"/>
    <cellStyle name="SAPBEXexcCritical5 10 4" xfId="10237" xr:uid="{6D9C6085-6A95-4D32-8D9E-0CB06AD091DA}"/>
    <cellStyle name="SAPBEXexcCritical5 10 4 2" xfId="21771" xr:uid="{0624D354-A669-4E18-AA56-3FAA73D6589D}"/>
    <cellStyle name="SAPBEXexcCritical5 10 5" xfId="10238" xr:uid="{41DF35A2-3AFC-4F23-AFFD-5ED5BC2C6061}"/>
    <cellStyle name="SAPBEXexcCritical5 10 5 2" xfId="21772" xr:uid="{3E30D4BC-CD17-4A83-B23C-71DE0FCDEC94}"/>
    <cellStyle name="SAPBEXexcCritical5 10 6" xfId="10239" xr:uid="{BAAB09E0-6B6A-49EC-8202-B3F2B2AF9EE4}"/>
    <cellStyle name="SAPBEXexcCritical5 10 6 2" xfId="21773" xr:uid="{BA973F1E-5ED6-46AF-A89C-729461E9DD09}"/>
    <cellStyle name="SAPBEXexcCritical5 10 7" xfId="21764" xr:uid="{EC9C35BC-DAD7-46D9-9B28-3E59C0EE1E01}"/>
    <cellStyle name="SAPBEXexcCritical5 11" xfId="10240" xr:uid="{9CD0B502-7873-46D2-AFBB-5C1A345F080F}"/>
    <cellStyle name="SAPBEXexcCritical5 11 2" xfId="10241" xr:uid="{91A4E8FC-398E-47B0-93EE-F2A8E3D2D6AC}"/>
    <cellStyle name="SAPBEXexcCritical5 11 2 2" xfId="10242" xr:uid="{E93879EC-2F07-48EE-8836-DEC420DE5D67}"/>
    <cellStyle name="SAPBEXexcCritical5 11 2 2 2" xfId="21776" xr:uid="{BAF615CD-B64A-4040-9EAD-B94DCB41AD4A}"/>
    <cellStyle name="SAPBEXexcCritical5 11 2 3" xfId="10243" xr:uid="{A3832C5D-E754-4482-87D0-BB74A6B072DD}"/>
    <cellStyle name="SAPBEXexcCritical5 11 2 3 2" xfId="21777" xr:uid="{58AFA4EE-8605-4DD8-A1E0-64E9820B9748}"/>
    <cellStyle name="SAPBEXexcCritical5 11 2 4" xfId="10244" xr:uid="{98B19823-58AA-451D-B845-04DEFB590833}"/>
    <cellStyle name="SAPBEXexcCritical5 11 2 4 2" xfId="21778" xr:uid="{1D578FF0-CBB4-4772-A398-C8BCFDCC68D5}"/>
    <cellStyle name="SAPBEXexcCritical5 11 2 5" xfId="10245" xr:uid="{1A3298CD-A154-4819-BF73-35534E5EB91B}"/>
    <cellStyle name="SAPBEXexcCritical5 11 2 5 2" xfId="21779" xr:uid="{8FA9227E-C28D-4CD4-90D9-02AC6329103B}"/>
    <cellStyle name="SAPBEXexcCritical5 11 2 6" xfId="21775" xr:uid="{4AEC24A4-0F90-4392-89D8-BF0367745B1F}"/>
    <cellStyle name="SAPBEXexcCritical5 11 3" xfId="10246" xr:uid="{107757C5-34B0-4D3A-8887-CE75FAA3B478}"/>
    <cellStyle name="SAPBEXexcCritical5 11 3 2" xfId="21780" xr:uid="{DE21BFAB-F34A-44FE-80D6-EC0E6A632726}"/>
    <cellStyle name="SAPBEXexcCritical5 11 4" xfId="10247" xr:uid="{EF5A20E9-0052-4839-9129-B6E2E33DD09F}"/>
    <cellStyle name="SAPBEXexcCritical5 11 4 2" xfId="21781" xr:uid="{99308181-2525-4E25-91F9-8A6F779AF779}"/>
    <cellStyle name="SAPBEXexcCritical5 11 5" xfId="10248" xr:uid="{275E6D30-EA33-4823-BBA5-64BCB4D7C159}"/>
    <cellStyle name="SAPBEXexcCritical5 11 5 2" xfId="21782" xr:uid="{BCB14F16-A464-418A-A88D-AF13DFE18410}"/>
    <cellStyle name="SAPBEXexcCritical5 11 6" xfId="10249" xr:uid="{B2510379-C67D-49D3-AA64-9B33987E00E2}"/>
    <cellStyle name="SAPBEXexcCritical5 11 6 2" xfId="21783" xr:uid="{618A0F99-9A7B-48D0-8F36-E765BE2A6B6B}"/>
    <cellStyle name="SAPBEXexcCritical5 11 7" xfId="21774" xr:uid="{63277C63-2307-4851-A2BB-14EB042F7308}"/>
    <cellStyle name="SAPBEXexcCritical5 12" xfId="10250" xr:uid="{477488A2-7EC8-4B05-84D7-2EA6070B96ED}"/>
    <cellStyle name="SAPBEXexcCritical5 12 2" xfId="10251" xr:uid="{08A91FCB-18C1-480F-9B05-579C185F3B53}"/>
    <cellStyle name="SAPBEXexcCritical5 12 2 2" xfId="10252" xr:uid="{E10AC72F-F691-4B32-AB66-E08DE13070F0}"/>
    <cellStyle name="SAPBEXexcCritical5 12 2 2 2" xfId="21786" xr:uid="{1DED57DA-DAEF-478D-A8BF-16C393F14C33}"/>
    <cellStyle name="SAPBEXexcCritical5 12 2 3" xfId="10253" xr:uid="{E4637A3D-CD17-4420-B1CF-5C2D3BD637C9}"/>
    <cellStyle name="SAPBEXexcCritical5 12 2 3 2" xfId="21787" xr:uid="{EC70F59A-92B5-4BC2-9E7E-DFD023F6AC6C}"/>
    <cellStyle name="SAPBEXexcCritical5 12 2 4" xfId="10254" xr:uid="{89FF1945-13F0-4119-89A3-CD9659B1DBA7}"/>
    <cellStyle name="SAPBEXexcCritical5 12 2 4 2" xfId="21788" xr:uid="{BCE0FC68-EEDC-4790-A4B6-4FADA399A28F}"/>
    <cellStyle name="SAPBEXexcCritical5 12 2 5" xfId="10255" xr:uid="{1383AFC1-45FA-41F7-8D0C-422B636239A3}"/>
    <cellStyle name="SAPBEXexcCritical5 12 2 5 2" xfId="21789" xr:uid="{C1C8F8EE-0589-4BC3-8E5C-1BB1ACA2E843}"/>
    <cellStyle name="SAPBEXexcCritical5 12 2 6" xfId="21785" xr:uid="{DDA81619-2177-4BE8-9EEA-60454B12ABDD}"/>
    <cellStyle name="SAPBEXexcCritical5 12 3" xfId="10256" xr:uid="{817382F5-9DF6-40E8-A654-0776CB138E9B}"/>
    <cellStyle name="SAPBEXexcCritical5 12 3 2" xfId="21790" xr:uid="{3BF74A16-7F71-4832-888A-B98A1DA42F91}"/>
    <cellStyle name="SAPBEXexcCritical5 12 4" xfId="10257" xr:uid="{7F84D622-5997-4A5F-A981-C2BCA36E61FA}"/>
    <cellStyle name="SAPBEXexcCritical5 12 4 2" xfId="21791" xr:uid="{27D8DF37-B7A8-4A3B-88E7-1B331497068C}"/>
    <cellStyle name="SAPBEXexcCritical5 12 5" xfId="10258" xr:uid="{F055703C-6939-4770-B24A-5BF3B38BA7BF}"/>
    <cellStyle name="SAPBEXexcCritical5 12 5 2" xfId="21792" xr:uid="{4E35AC44-C313-4219-AEAA-BEA75A88BF60}"/>
    <cellStyle name="SAPBEXexcCritical5 12 6" xfId="10259" xr:uid="{33C8AAAF-A2A5-42AD-AAB1-7ACD8B098313}"/>
    <cellStyle name="SAPBEXexcCritical5 12 6 2" xfId="21793" xr:uid="{1E0DFBE3-0BED-43B4-A3E2-34A2B8B45D23}"/>
    <cellStyle name="SAPBEXexcCritical5 12 7" xfId="21784" xr:uid="{E8BA96BC-9D15-42E7-9A5D-C25CC775EC56}"/>
    <cellStyle name="SAPBEXexcCritical5 13" xfId="10260" xr:uid="{03AB0D33-7EC3-4535-A861-0BCF7DAEEE3E}"/>
    <cellStyle name="SAPBEXexcCritical5 13 2" xfId="10261" xr:uid="{FD2AC3E5-B347-4C9E-8C9A-5007B04BCA32}"/>
    <cellStyle name="SAPBEXexcCritical5 13 2 2" xfId="10262" xr:uid="{4BB4C818-653F-48BC-82B6-E10B99C02B59}"/>
    <cellStyle name="SAPBEXexcCritical5 13 2 2 2" xfId="21796" xr:uid="{E686C1A2-D20B-4A26-A6AD-634B347D177D}"/>
    <cellStyle name="SAPBEXexcCritical5 13 2 3" xfId="10263" xr:uid="{64A31271-7251-4A44-9C57-E4E050D00D7C}"/>
    <cellStyle name="SAPBEXexcCritical5 13 2 3 2" xfId="21797" xr:uid="{89C1BA67-0183-4E42-9ACA-682096E07D0A}"/>
    <cellStyle name="SAPBEXexcCritical5 13 2 4" xfId="10264" xr:uid="{0CB1E94D-AF5B-4E4F-A208-8BE01CA8B38E}"/>
    <cellStyle name="SAPBEXexcCritical5 13 2 4 2" xfId="21798" xr:uid="{6F2463DB-EE58-4C19-8EA2-1C4D2996975F}"/>
    <cellStyle name="SAPBEXexcCritical5 13 2 5" xfId="10265" xr:uid="{340D16AD-A47C-45A1-8DA9-27510166CFBB}"/>
    <cellStyle name="SAPBEXexcCritical5 13 2 5 2" xfId="21799" xr:uid="{77D6D3A2-CFE8-421A-B07C-D0BFF15838B9}"/>
    <cellStyle name="SAPBEXexcCritical5 13 2 6" xfId="21795" xr:uid="{1E10B066-195C-43DC-9C67-4BCB6065A8C9}"/>
    <cellStyle name="SAPBEXexcCritical5 13 3" xfId="10266" xr:uid="{14F464AF-A88B-4BB6-9729-CFB127C77E19}"/>
    <cellStyle name="SAPBEXexcCritical5 13 3 2" xfId="21800" xr:uid="{8E0D7413-8078-4CEB-B1A5-1F13C4FB46CB}"/>
    <cellStyle name="SAPBEXexcCritical5 13 4" xfId="10267" xr:uid="{FBEF1A2C-E6B5-47FA-9765-F2EC666D66F6}"/>
    <cellStyle name="SAPBEXexcCritical5 13 4 2" xfId="21801" xr:uid="{BAFCDEB0-EC8B-41CE-8DA7-A68B162815FB}"/>
    <cellStyle name="SAPBEXexcCritical5 13 5" xfId="10268" xr:uid="{5D5EE74D-D66E-458D-92FB-B9DF9F287F5D}"/>
    <cellStyle name="SAPBEXexcCritical5 13 5 2" xfId="21802" xr:uid="{770ED7D1-8B53-4816-8443-8896ECFA31D2}"/>
    <cellStyle name="SAPBEXexcCritical5 13 6" xfId="10269" xr:uid="{B5C3F1F7-FE1B-4F76-A506-5D3E37243551}"/>
    <cellStyle name="SAPBEXexcCritical5 13 6 2" xfId="21803" xr:uid="{55BF6B9C-44A8-417C-AA2E-33A1EF9D2EAD}"/>
    <cellStyle name="SAPBEXexcCritical5 13 7" xfId="21794" xr:uid="{D69DFC5D-EBD1-4F55-8003-CEC312C9A3BB}"/>
    <cellStyle name="SAPBEXexcCritical5 14" xfId="10270" xr:uid="{32E414D5-DD04-46F4-BA28-E781212BE4E1}"/>
    <cellStyle name="SAPBEXexcCritical5 14 2" xfId="10271" xr:uid="{BA4B34CA-985A-45D7-816B-31CD59DCF310}"/>
    <cellStyle name="SAPBEXexcCritical5 14 2 2" xfId="10272" xr:uid="{794DF2C3-A0DF-459B-A203-083DDCA7D493}"/>
    <cellStyle name="SAPBEXexcCritical5 14 2 2 2" xfId="21806" xr:uid="{1655D696-028E-48AB-92A7-CB86CBFC32B6}"/>
    <cellStyle name="SAPBEXexcCritical5 14 2 3" xfId="10273" xr:uid="{1F603E18-A667-46E0-8F5C-627767E70849}"/>
    <cellStyle name="SAPBEXexcCritical5 14 2 3 2" xfId="21807" xr:uid="{3C28E788-5CD6-4154-A7BA-708D26C0D095}"/>
    <cellStyle name="SAPBEXexcCritical5 14 2 4" xfId="10274" xr:uid="{0240D017-E73C-448F-A920-78363D60DBA1}"/>
    <cellStyle name="SAPBEXexcCritical5 14 2 4 2" xfId="21808" xr:uid="{AE90E824-AE1B-42CD-ACF9-F2D288440674}"/>
    <cellStyle name="SAPBEXexcCritical5 14 2 5" xfId="10275" xr:uid="{0B5BE985-DD2F-44D4-BF2C-9D9BB5D813C9}"/>
    <cellStyle name="SAPBEXexcCritical5 14 2 5 2" xfId="21809" xr:uid="{7A8AA73D-ACE8-491F-A508-1B08DCCFEEF1}"/>
    <cellStyle name="SAPBEXexcCritical5 14 2 6" xfId="21805" xr:uid="{10B83B9F-44B0-4A4D-9F71-339B2F119B69}"/>
    <cellStyle name="SAPBEXexcCritical5 14 3" xfId="10276" xr:uid="{757E6BE5-1F39-4E3F-A245-1655AB9EAD28}"/>
    <cellStyle name="SAPBEXexcCritical5 14 3 2" xfId="21810" xr:uid="{5DD8F2A5-1ABA-4C06-A4F8-0A854C34D583}"/>
    <cellStyle name="SAPBEXexcCritical5 14 4" xfId="10277" xr:uid="{1B981A2B-2DEB-4893-9092-F0A0027CD1C0}"/>
    <cellStyle name="SAPBEXexcCritical5 14 4 2" xfId="21811" xr:uid="{68D1EAB5-3788-4A07-AB7C-AAF5D61CC815}"/>
    <cellStyle name="SAPBEXexcCritical5 14 5" xfId="10278" xr:uid="{A59B7D10-7884-4774-B4E9-F25E9798CC60}"/>
    <cellStyle name="SAPBEXexcCritical5 14 5 2" xfId="21812" xr:uid="{769533B8-FF03-4F7B-9246-5B77A56A6B30}"/>
    <cellStyle name="SAPBEXexcCritical5 14 6" xfId="10279" xr:uid="{6CAE4E9F-FB27-484B-9A57-2755EF39C43B}"/>
    <cellStyle name="SAPBEXexcCritical5 14 6 2" xfId="21813" xr:uid="{4CF7FFCC-8313-4EE1-92AF-3085A5920E7C}"/>
    <cellStyle name="SAPBEXexcCritical5 14 7" xfId="21804" xr:uid="{34455A89-00E5-4B6B-8501-E2029504026B}"/>
    <cellStyle name="SAPBEXexcCritical5 15" xfId="10280" xr:uid="{BEFE0FD6-E65D-491D-B68A-E419CA4F22B9}"/>
    <cellStyle name="SAPBEXexcCritical5 15 2" xfId="10281" xr:uid="{4BA1F4FC-1FBF-416F-A8D9-4CC5F6226C13}"/>
    <cellStyle name="SAPBEXexcCritical5 15 2 2" xfId="10282" xr:uid="{F51CAC0B-C08C-4D04-8CDB-9284CC801839}"/>
    <cellStyle name="SAPBEXexcCritical5 15 2 2 2" xfId="21816" xr:uid="{5D453D51-D268-4EF2-A1F5-D95B1403863B}"/>
    <cellStyle name="SAPBEXexcCritical5 15 2 3" xfId="10283" xr:uid="{B7A18E41-1C23-4CA5-99DE-F17450BE67EC}"/>
    <cellStyle name="SAPBEXexcCritical5 15 2 3 2" xfId="21817" xr:uid="{0E3029A9-D3A4-45DC-A3E3-E9A7C10F52F7}"/>
    <cellStyle name="SAPBEXexcCritical5 15 2 4" xfId="10284" xr:uid="{5D8F25B6-71C9-45A2-BDF5-8CDBE4E1844A}"/>
    <cellStyle name="SAPBEXexcCritical5 15 2 4 2" xfId="21818" xr:uid="{DDE34E56-1C20-451A-847F-5CA0AF0F5486}"/>
    <cellStyle name="SAPBEXexcCritical5 15 2 5" xfId="10285" xr:uid="{F5C51280-852C-40A4-9F16-1B5799B4F458}"/>
    <cellStyle name="SAPBEXexcCritical5 15 2 5 2" xfId="21819" xr:uid="{D93F078C-70F7-4A04-9976-9E03BA4B6844}"/>
    <cellStyle name="SAPBEXexcCritical5 15 2 6" xfId="21815" xr:uid="{197935F0-DABB-4D08-B1C9-1223B6C3BEBB}"/>
    <cellStyle name="SAPBEXexcCritical5 15 3" xfId="10286" xr:uid="{66F7B856-C2AF-4636-AA7A-215A05B3245D}"/>
    <cellStyle name="SAPBEXexcCritical5 15 3 2" xfId="21820" xr:uid="{7D85D4B0-B35F-437E-9DD1-166FFDBFD7C6}"/>
    <cellStyle name="SAPBEXexcCritical5 15 4" xfId="10287" xr:uid="{5E0734D0-5498-423E-82F1-A951370ACA7C}"/>
    <cellStyle name="SAPBEXexcCritical5 15 4 2" xfId="21821" xr:uid="{4F0CDCE8-82E2-46A0-BE1F-88AC65D66B41}"/>
    <cellStyle name="SAPBEXexcCritical5 15 5" xfId="10288" xr:uid="{EA6360A5-9719-4DCD-AC44-15DC88F5FF7D}"/>
    <cellStyle name="SAPBEXexcCritical5 15 5 2" xfId="21822" xr:uid="{B47C05A0-0142-4403-920F-920955C2FC8D}"/>
    <cellStyle name="SAPBEXexcCritical5 15 6" xfId="10289" xr:uid="{D0ACD03B-59A8-4D9B-9692-BE0E66EF54EB}"/>
    <cellStyle name="SAPBEXexcCritical5 15 6 2" xfId="21823" xr:uid="{3D91EDCF-0EC1-485D-9FC5-0C919A506E4C}"/>
    <cellStyle name="SAPBEXexcCritical5 15 7" xfId="21814" xr:uid="{370AA51F-F046-497B-84B9-6A598B0F41B2}"/>
    <cellStyle name="SAPBEXexcCritical5 16" xfId="10290" xr:uid="{7EA0AE1A-C712-484C-9238-ED231B046891}"/>
    <cellStyle name="SAPBEXexcCritical5 16 2" xfId="21824" xr:uid="{7D7D6D4F-5E17-437C-8735-69370D703932}"/>
    <cellStyle name="SAPBEXexcCritical5 17" xfId="10291" xr:uid="{36252D93-60DC-4094-946C-14F086ECB8DB}"/>
    <cellStyle name="SAPBEXexcCritical5 17 2" xfId="21825" xr:uid="{B6705E39-A9AE-4F2F-8475-AD1271FE7207}"/>
    <cellStyle name="SAPBEXexcCritical5 18" xfId="10292" xr:uid="{0716C67D-F315-40E9-88C7-6D395D4477D8}"/>
    <cellStyle name="SAPBEXexcCritical5 18 2" xfId="21826" xr:uid="{CEBE6ADF-AC3D-4322-B1D3-5942A177F2FD}"/>
    <cellStyle name="SAPBEXexcCritical5 19" xfId="10293" xr:uid="{DD0B956A-93F1-479E-B6F7-4F3CA33BD2AD}"/>
    <cellStyle name="SAPBEXexcCritical5 19 2" xfId="21827" xr:uid="{31EE5960-9257-4A7B-81A8-F0FA817270FF}"/>
    <cellStyle name="SAPBEXexcCritical5 2" xfId="10294" xr:uid="{4F92D7C4-51D7-4E38-A105-4837912029FB}"/>
    <cellStyle name="SAPBEXexcCritical5 2 2" xfId="10295" xr:uid="{27C6C24A-23E7-4FEA-ADED-E0EEEE3A12B4}"/>
    <cellStyle name="SAPBEXexcCritical5 2 2 2" xfId="10296" xr:uid="{DB1E6195-B206-48FB-8863-FE0B9E59C3E5}"/>
    <cellStyle name="SAPBEXexcCritical5 2 2 2 2" xfId="21830" xr:uid="{2CF7685B-7F61-460D-AB49-AF083D969F1A}"/>
    <cellStyle name="SAPBEXexcCritical5 2 2 3" xfId="10297" xr:uid="{9A6A4592-3275-436F-B619-49E969471D10}"/>
    <cellStyle name="SAPBEXexcCritical5 2 2 3 2" xfId="21831" xr:uid="{464FBB80-5C5B-478C-AAF2-2BB7517E4730}"/>
    <cellStyle name="SAPBEXexcCritical5 2 2 4" xfId="10298" xr:uid="{D0F0D15D-A125-446D-A854-85309DB88775}"/>
    <cellStyle name="SAPBEXexcCritical5 2 2 4 2" xfId="21832" xr:uid="{15921C80-0550-450E-909F-93C6A616745C}"/>
    <cellStyle name="SAPBEXexcCritical5 2 2 5" xfId="10299" xr:uid="{62069CC3-C2C5-4337-BD7D-EBD1041B5ED6}"/>
    <cellStyle name="SAPBEXexcCritical5 2 2 5 2" xfId="21833" xr:uid="{04944CE6-DBCC-482B-B246-9123896A5C0E}"/>
    <cellStyle name="SAPBEXexcCritical5 2 2 6" xfId="21829" xr:uid="{11D4877E-35BB-43D9-A9E1-A8F5903809FE}"/>
    <cellStyle name="SAPBEXexcCritical5 2 3" xfId="10300" xr:uid="{6DCEDE8B-552D-45DF-B753-EE9C9D46597E}"/>
    <cellStyle name="SAPBEXexcCritical5 2 3 2" xfId="21834" xr:uid="{8521DF2E-7287-4110-9068-974EABC35A74}"/>
    <cellStyle name="SAPBEXexcCritical5 2 4" xfId="10301" xr:uid="{BA8618F1-0B70-4DBB-A6E8-F46D54CB9C83}"/>
    <cellStyle name="SAPBEXexcCritical5 2 4 2" xfId="21835" xr:uid="{41EDE060-40EA-4398-B568-6ABD60FB18CA}"/>
    <cellStyle name="SAPBEXexcCritical5 2 5" xfId="10302" xr:uid="{1E0B64E8-9F72-4861-AAB8-07CB35C878E3}"/>
    <cellStyle name="SAPBEXexcCritical5 2 5 2" xfId="21836" xr:uid="{BFAAE7DB-95BA-4F0E-BF66-F7863001B7AD}"/>
    <cellStyle name="SAPBEXexcCritical5 2 6" xfId="10303" xr:uid="{F4346916-AE35-4BA0-A79A-0AB53EE5F9C3}"/>
    <cellStyle name="SAPBEXexcCritical5 2 6 2" xfId="21837" xr:uid="{FFF30609-D952-4FA3-AD8B-87CCC4AFB92A}"/>
    <cellStyle name="SAPBEXexcCritical5 2 7" xfId="21828" xr:uid="{BD533C5F-7CAC-4DCD-8D20-2972748B1672}"/>
    <cellStyle name="SAPBEXexcCritical5 20" xfId="15169" xr:uid="{CF36E4C5-934B-49B8-81EB-F9CE729E481F}"/>
    <cellStyle name="SAPBEXexcCritical5 3" xfId="10304" xr:uid="{2A38605A-0170-4534-831F-7816D00242F2}"/>
    <cellStyle name="SAPBEXexcCritical5 3 2" xfId="10305" xr:uid="{AE71F283-C1A5-452F-87AE-51F89EEA12F1}"/>
    <cellStyle name="SAPBEXexcCritical5 3 2 2" xfId="10306" xr:uid="{06D2743B-C4CB-4AB8-9A5F-4A1520ACE16D}"/>
    <cellStyle name="SAPBEXexcCritical5 3 2 2 2" xfId="21840" xr:uid="{C77F51FD-13C7-4C6A-BA19-3080BC7A65C2}"/>
    <cellStyle name="SAPBEXexcCritical5 3 2 3" xfId="10307" xr:uid="{BAE0FBF8-7CC0-400A-B6F3-658CAF43D59C}"/>
    <cellStyle name="SAPBEXexcCritical5 3 2 3 2" xfId="21841" xr:uid="{52A46412-9C3E-4AF5-A0E1-7535DAD095FD}"/>
    <cellStyle name="SAPBEXexcCritical5 3 2 4" xfId="10308" xr:uid="{0EC25718-CC9A-463B-952D-93689D587570}"/>
    <cellStyle name="SAPBEXexcCritical5 3 2 4 2" xfId="21842" xr:uid="{914FF3F7-47D4-4277-A35C-66D49AD53034}"/>
    <cellStyle name="SAPBEXexcCritical5 3 2 5" xfId="10309" xr:uid="{B25465B6-8E57-4A33-B1BF-1525BF84E094}"/>
    <cellStyle name="SAPBEXexcCritical5 3 2 5 2" xfId="21843" xr:uid="{752E22D3-7244-454D-88E7-537F98D7632E}"/>
    <cellStyle name="SAPBEXexcCritical5 3 2 6" xfId="21839" xr:uid="{617A13AC-44B2-4F5A-8BD3-D2F8420AD3A2}"/>
    <cellStyle name="SAPBEXexcCritical5 3 3" xfId="10310" xr:uid="{426B9C68-1A4E-4454-8B9C-287A7597277C}"/>
    <cellStyle name="SAPBEXexcCritical5 3 3 2" xfId="21844" xr:uid="{B92D83B0-30BC-43B0-850D-0183CA3B7F1A}"/>
    <cellStyle name="SAPBEXexcCritical5 3 4" xfId="10311" xr:uid="{4BB2EC9F-6870-4F81-BEF3-BD52EA336A3F}"/>
    <cellStyle name="SAPBEXexcCritical5 3 4 2" xfId="21845" xr:uid="{E5CACBC6-EB00-4FDF-9445-6881C02624D9}"/>
    <cellStyle name="SAPBEXexcCritical5 3 5" xfId="10312" xr:uid="{EA687715-C2DC-4709-9210-25C3C050A3F4}"/>
    <cellStyle name="SAPBEXexcCritical5 3 5 2" xfId="21846" xr:uid="{B957E1E1-F305-4377-882A-8BCC77B2E37B}"/>
    <cellStyle name="SAPBEXexcCritical5 3 6" xfId="10313" xr:uid="{70C6E5AE-55A7-487E-ADC6-375D39455661}"/>
    <cellStyle name="SAPBEXexcCritical5 3 6 2" xfId="21847" xr:uid="{829121B9-E0C1-49D5-A4B1-9FA0EC0AE26C}"/>
    <cellStyle name="SAPBEXexcCritical5 3 7" xfId="21838" xr:uid="{22E0FE42-1CE4-4AA7-8219-DD7692D08732}"/>
    <cellStyle name="SAPBEXexcCritical5 4" xfId="10314" xr:uid="{7DD7D336-3480-4E70-BE3A-907CD5E70056}"/>
    <cellStyle name="SAPBEXexcCritical5 4 2" xfId="10315" xr:uid="{AFCB3B9F-2745-4AFF-85E4-16FFD9653484}"/>
    <cellStyle name="SAPBEXexcCritical5 4 2 2" xfId="10316" xr:uid="{CFDA6CFD-B9C2-498B-9BAE-398CFECB698D}"/>
    <cellStyle name="SAPBEXexcCritical5 4 2 2 2" xfId="21850" xr:uid="{2084C8DE-BC72-40FE-AD33-B616FFDFB113}"/>
    <cellStyle name="SAPBEXexcCritical5 4 2 3" xfId="10317" xr:uid="{01D2763E-016D-42AA-8F33-F2B67AA46949}"/>
    <cellStyle name="SAPBEXexcCritical5 4 2 3 2" xfId="21851" xr:uid="{2EEBDAA9-D0A9-4BAF-B9A4-5B6650E857FB}"/>
    <cellStyle name="SAPBEXexcCritical5 4 2 4" xfId="10318" xr:uid="{44410A64-E983-4274-A540-A3651AA9AB39}"/>
    <cellStyle name="SAPBEXexcCritical5 4 2 4 2" xfId="21852" xr:uid="{1CF7A124-7C6C-4AEE-B406-9C02469F599A}"/>
    <cellStyle name="SAPBEXexcCritical5 4 2 5" xfId="10319" xr:uid="{6C95EABD-E2F5-463D-9778-F7DF39F7DD37}"/>
    <cellStyle name="SAPBEXexcCritical5 4 2 5 2" xfId="21853" xr:uid="{A2013E82-C885-4DC8-81B8-D45CEF5BDD0C}"/>
    <cellStyle name="SAPBEXexcCritical5 4 2 6" xfId="21849" xr:uid="{ACA57279-CA65-402E-A336-ADD7DD6715BF}"/>
    <cellStyle name="SAPBEXexcCritical5 4 3" xfId="10320" xr:uid="{40117B56-4170-43FD-B4BC-D442807FCEB6}"/>
    <cellStyle name="SAPBEXexcCritical5 4 3 2" xfId="21854" xr:uid="{E8AC4923-E935-4FD6-A3CD-9058AC960A73}"/>
    <cellStyle name="SAPBEXexcCritical5 4 4" xfId="10321" xr:uid="{0EA44E12-93D3-4AE8-89BD-1F1E9F880F7F}"/>
    <cellStyle name="SAPBEXexcCritical5 4 4 2" xfId="21855" xr:uid="{7CB1DDE9-6E61-4AB9-AF1F-5FB30B5E6967}"/>
    <cellStyle name="SAPBEXexcCritical5 4 5" xfId="10322" xr:uid="{4DDA1C5A-ECCD-4A55-876A-9830D68CCCD7}"/>
    <cellStyle name="SAPBEXexcCritical5 4 5 2" xfId="21856" xr:uid="{74E0E5C0-849D-4CF0-B302-1988CC2B4FD7}"/>
    <cellStyle name="SAPBEXexcCritical5 4 6" xfId="10323" xr:uid="{8C05A46E-5498-4188-9C47-22F84603700D}"/>
    <cellStyle name="SAPBEXexcCritical5 4 6 2" xfId="21857" xr:uid="{AF5C8BFD-0E38-4BCB-AAAE-FCB133B3B082}"/>
    <cellStyle name="SAPBEXexcCritical5 4 7" xfId="21848" xr:uid="{45859514-D5B2-41D5-9875-7C49FFE2B2B7}"/>
    <cellStyle name="SAPBEXexcCritical5 5" xfId="10324" xr:uid="{F9997CFE-C222-42E1-AD42-A8A10F8FA8B3}"/>
    <cellStyle name="SAPBEXexcCritical5 5 2" xfId="10325" xr:uid="{AEC37E09-08AA-4EB0-877C-FD40EF9406E1}"/>
    <cellStyle name="SAPBEXexcCritical5 5 2 2" xfId="10326" xr:uid="{9FDE2641-76F2-4604-AF05-D340588A798F}"/>
    <cellStyle name="SAPBEXexcCritical5 5 2 2 2" xfId="21860" xr:uid="{42783121-1043-44DF-B82A-DCA407EE7DF7}"/>
    <cellStyle name="SAPBEXexcCritical5 5 2 3" xfId="10327" xr:uid="{CEC6D0B6-BEDA-49CC-9F59-464744D330EF}"/>
    <cellStyle name="SAPBEXexcCritical5 5 2 3 2" xfId="21861" xr:uid="{5F9C738C-0EDF-43CE-8867-CC9969DD97F9}"/>
    <cellStyle name="SAPBEXexcCritical5 5 2 4" xfId="10328" xr:uid="{21D8FE10-63F6-4F8B-9EB9-13E9A0CAEF0B}"/>
    <cellStyle name="SAPBEXexcCritical5 5 2 4 2" xfId="21862" xr:uid="{2835F4E0-D791-4879-962B-5DF4CC0BF96F}"/>
    <cellStyle name="SAPBEXexcCritical5 5 2 5" xfId="10329" xr:uid="{8A308ABD-B6BF-4F67-83E1-73B3FA549B82}"/>
    <cellStyle name="SAPBEXexcCritical5 5 2 5 2" xfId="21863" xr:uid="{2689591B-7373-4596-91F9-BDD540E29539}"/>
    <cellStyle name="SAPBEXexcCritical5 5 2 6" xfId="21859" xr:uid="{3E55C60A-85AD-4E4D-B6ED-F50F73B6D445}"/>
    <cellStyle name="SAPBEXexcCritical5 5 3" xfId="10330" xr:uid="{176703B7-260F-4824-9871-4EA030E7BA89}"/>
    <cellStyle name="SAPBEXexcCritical5 5 3 2" xfId="21864" xr:uid="{C4DA65C6-5AFF-40A8-A02F-DC8A66E67E2C}"/>
    <cellStyle name="SAPBEXexcCritical5 5 4" xfId="10331" xr:uid="{E6BDA261-7283-4FF1-B98C-4B010256D9B6}"/>
    <cellStyle name="SAPBEXexcCritical5 5 4 2" xfId="21865" xr:uid="{BE307A82-147D-4D96-A3B2-CD2B33C5F584}"/>
    <cellStyle name="SAPBEXexcCritical5 5 5" xfId="10332" xr:uid="{B99D204D-A487-431A-9607-F5E8BA64DAC3}"/>
    <cellStyle name="SAPBEXexcCritical5 5 5 2" xfId="21866" xr:uid="{34BA36D0-ADC7-4094-AE6D-EA4CFC5123D0}"/>
    <cellStyle name="SAPBEXexcCritical5 5 6" xfId="10333" xr:uid="{6C0192A5-B27E-413B-9DF7-0D078545F30B}"/>
    <cellStyle name="SAPBEXexcCritical5 5 6 2" xfId="21867" xr:uid="{85640CB6-3152-47A0-B2E1-2A2723855B69}"/>
    <cellStyle name="SAPBEXexcCritical5 5 7" xfId="21858" xr:uid="{7779E253-E58F-4B7F-87BC-A9E0D582F9E6}"/>
    <cellStyle name="SAPBEXexcCritical5 6" xfId="10334" xr:uid="{138C4AB2-0F0F-4FBB-885A-17DE0E51F748}"/>
    <cellStyle name="SAPBEXexcCritical5 6 2" xfId="10335" xr:uid="{46C889BF-9AD3-4439-99AC-736877C274DB}"/>
    <cellStyle name="SAPBEXexcCritical5 6 2 2" xfId="10336" xr:uid="{25FF1A32-2B67-4B01-84E6-76EAAFA97AF1}"/>
    <cellStyle name="SAPBEXexcCritical5 6 2 2 2" xfId="21870" xr:uid="{C8ECD64E-900B-4DB8-B1C0-64FB92E52E31}"/>
    <cellStyle name="SAPBEXexcCritical5 6 2 3" xfId="10337" xr:uid="{CC090D5E-F9FF-47DC-8210-11AABC661C0A}"/>
    <cellStyle name="SAPBEXexcCritical5 6 2 3 2" xfId="21871" xr:uid="{BA890A3D-35F9-46D6-9864-65741CB71BE0}"/>
    <cellStyle name="SAPBEXexcCritical5 6 2 4" xfId="10338" xr:uid="{CFD5663C-A513-4ED7-8CF1-C3AA22700970}"/>
    <cellStyle name="SAPBEXexcCritical5 6 2 4 2" xfId="21872" xr:uid="{B440A488-5DD7-433A-A910-03B91044C229}"/>
    <cellStyle name="SAPBEXexcCritical5 6 2 5" xfId="10339" xr:uid="{F0049E57-F85A-4C90-BC45-7A14A6B3572A}"/>
    <cellStyle name="SAPBEXexcCritical5 6 2 5 2" xfId="21873" xr:uid="{00183050-574E-433F-ACDC-BE25ACD8DC14}"/>
    <cellStyle name="SAPBEXexcCritical5 6 2 6" xfId="21869" xr:uid="{1B1CDA06-8925-46E6-B428-DBC601708EF9}"/>
    <cellStyle name="SAPBEXexcCritical5 6 3" xfId="10340" xr:uid="{3A30BCEB-54BD-4730-B29E-3BDB60712CA8}"/>
    <cellStyle name="SAPBEXexcCritical5 6 3 2" xfId="21874" xr:uid="{90823207-EC42-40F8-B648-3BFF15477F24}"/>
    <cellStyle name="SAPBEXexcCritical5 6 4" xfId="10341" xr:uid="{6BB1E0DC-6843-4548-9B85-6217A1428DA9}"/>
    <cellStyle name="SAPBEXexcCritical5 6 4 2" xfId="21875" xr:uid="{7B72EEC7-A5CA-4259-B739-76E6BB491F40}"/>
    <cellStyle name="SAPBEXexcCritical5 6 5" xfId="10342" xr:uid="{EFF50FF5-C4CB-4096-9A32-3B582E51BD42}"/>
    <cellStyle name="SAPBEXexcCritical5 6 5 2" xfId="21876" xr:uid="{125482DE-D92B-40EC-8B4A-6753816823A3}"/>
    <cellStyle name="SAPBEXexcCritical5 6 6" xfId="10343" xr:uid="{65F6E83C-F5FC-49FB-9F27-941AEA58466B}"/>
    <cellStyle name="SAPBEXexcCritical5 6 6 2" xfId="21877" xr:uid="{75A8F768-018E-4244-B0D9-F9D3B4A61141}"/>
    <cellStyle name="SAPBEXexcCritical5 6 7" xfId="21868" xr:uid="{FC120E96-9B50-4127-8C22-EEE5FB0A5CE2}"/>
    <cellStyle name="SAPBEXexcCritical5 7" xfId="10344" xr:uid="{B67D50F4-9535-4EFD-B0BC-37A560EE995E}"/>
    <cellStyle name="SAPBEXexcCritical5 7 2" xfId="10345" xr:uid="{2AD818F1-884F-4611-B9DE-ADB0322674C4}"/>
    <cellStyle name="SAPBEXexcCritical5 7 2 2" xfId="10346" xr:uid="{C895D1C9-220A-4DC8-A843-190FA179C7D1}"/>
    <cellStyle name="SAPBEXexcCritical5 7 2 2 2" xfId="21880" xr:uid="{A54496BF-2DCC-42BF-BEB1-87D7BAA2CF2A}"/>
    <cellStyle name="SAPBEXexcCritical5 7 2 3" xfId="10347" xr:uid="{0389AD86-5636-4AC6-9CB8-EDFD21096000}"/>
    <cellStyle name="SAPBEXexcCritical5 7 2 3 2" xfId="21881" xr:uid="{2F40A0C8-F1DE-4568-8E5C-50651E3E817E}"/>
    <cellStyle name="SAPBEXexcCritical5 7 2 4" xfId="10348" xr:uid="{5DDF1EFC-671E-4DBE-B7B8-6F0FAF1C5143}"/>
    <cellStyle name="SAPBEXexcCritical5 7 2 4 2" xfId="21882" xr:uid="{E42DC6C7-9E0A-4D1E-851D-B57C61D7F5D6}"/>
    <cellStyle name="SAPBEXexcCritical5 7 2 5" xfId="10349" xr:uid="{D5A7375B-A58B-400D-A037-E46964ED87FD}"/>
    <cellStyle name="SAPBEXexcCritical5 7 2 5 2" xfId="21883" xr:uid="{0DDEB1B8-A9BE-4C76-B38A-B386C8ADD44E}"/>
    <cellStyle name="SAPBEXexcCritical5 7 2 6" xfId="21879" xr:uid="{4D9CB178-5E52-4EDB-9BFF-40B14DA9F0B1}"/>
    <cellStyle name="SAPBEXexcCritical5 7 3" xfId="10350" xr:uid="{AF117FA3-4FBF-4AAC-A1D6-A18EA9D6380A}"/>
    <cellStyle name="SAPBEXexcCritical5 7 3 2" xfId="21884" xr:uid="{4F440492-06BE-44D9-85DC-7A2DA827162E}"/>
    <cellStyle name="SAPBEXexcCritical5 7 4" xfId="10351" xr:uid="{1A9D2F57-3CD4-449F-BC51-0A81C8DDBDE8}"/>
    <cellStyle name="SAPBEXexcCritical5 7 4 2" xfId="21885" xr:uid="{7C10774E-8D8C-4979-81F4-32974B09D7B7}"/>
    <cellStyle name="SAPBEXexcCritical5 7 5" xfId="10352" xr:uid="{A6E85320-0845-4B73-8BA7-9A1EC1508E76}"/>
    <cellStyle name="SAPBEXexcCritical5 7 5 2" xfId="21886" xr:uid="{60773B56-AA00-4EE4-AD0B-846A471DC65A}"/>
    <cellStyle name="SAPBEXexcCritical5 7 6" xfId="10353" xr:uid="{26615788-06CE-4863-87A5-2913DDE5EE56}"/>
    <cellStyle name="SAPBEXexcCritical5 7 6 2" xfId="21887" xr:uid="{F856A132-E916-4269-AADB-F3EC1F833CF0}"/>
    <cellStyle name="SAPBEXexcCritical5 7 7" xfId="21878" xr:uid="{7B4041EE-00D8-4A11-BAB3-96D834C61B08}"/>
    <cellStyle name="SAPBEXexcCritical5 8" xfId="10354" xr:uid="{4D8157DD-991F-4601-AD57-493AA4C89047}"/>
    <cellStyle name="SAPBEXexcCritical5 8 2" xfId="10355" xr:uid="{E1058861-2C91-4588-918E-01D601A4F1CB}"/>
    <cellStyle name="SAPBEXexcCritical5 8 2 2" xfId="10356" xr:uid="{60BFB2E6-FD6F-46E4-870C-CF99D0488371}"/>
    <cellStyle name="SAPBEXexcCritical5 8 2 2 2" xfId="21890" xr:uid="{A6C52548-7503-4685-920B-6D5BACF9CA92}"/>
    <cellStyle name="SAPBEXexcCritical5 8 2 3" xfId="10357" xr:uid="{F5AEE1F3-FE9B-4BC6-AAA6-F4C78ABC8F74}"/>
    <cellStyle name="SAPBEXexcCritical5 8 2 3 2" xfId="21891" xr:uid="{FE4DDD11-BECD-4A52-BD54-C485AF8CAC5F}"/>
    <cellStyle name="SAPBEXexcCritical5 8 2 4" xfId="10358" xr:uid="{D6AECB8F-CE3E-4712-8AF4-8ACBE5291F51}"/>
    <cellStyle name="SAPBEXexcCritical5 8 2 4 2" xfId="21892" xr:uid="{911FFFD9-B4C5-4EEC-969E-91DA1C061510}"/>
    <cellStyle name="SAPBEXexcCritical5 8 2 5" xfId="10359" xr:uid="{5B80B932-029B-4375-8260-54542CD93E18}"/>
    <cellStyle name="SAPBEXexcCritical5 8 2 5 2" xfId="21893" xr:uid="{D5F96F0F-D904-435D-99E2-04CBCCBC82DA}"/>
    <cellStyle name="SAPBEXexcCritical5 8 2 6" xfId="21889" xr:uid="{8B4C6C4A-5CB0-4751-8F81-BC2DA458276B}"/>
    <cellStyle name="SAPBEXexcCritical5 8 3" xfId="10360" xr:uid="{44B9F54C-59DD-4587-BBC8-AA34C000B458}"/>
    <cellStyle name="SAPBEXexcCritical5 8 3 2" xfId="21894" xr:uid="{238B5519-6A88-462A-92D7-6A733F5A1860}"/>
    <cellStyle name="SAPBEXexcCritical5 8 4" xfId="10361" xr:uid="{EA840916-BDA9-4BAB-9C26-A457C31C5441}"/>
    <cellStyle name="SAPBEXexcCritical5 8 4 2" xfId="21895" xr:uid="{F9902D3E-D409-4C48-960E-CE2D9D441FC8}"/>
    <cellStyle name="SAPBEXexcCritical5 8 5" xfId="10362" xr:uid="{679D77F0-8B6E-4043-AFAE-74078A6F0867}"/>
    <cellStyle name="SAPBEXexcCritical5 8 5 2" xfId="21896" xr:uid="{24FFC794-B696-466E-8CF5-6B6D026960ED}"/>
    <cellStyle name="SAPBEXexcCritical5 8 6" xfId="10363" xr:uid="{DDD6B6F6-416B-4C5F-BA74-F1FD18F5A8D8}"/>
    <cellStyle name="SAPBEXexcCritical5 8 6 2" xfId="21897" xr:uid="{B71176CF-783F-43AC-AA3B-69081458DF21}"/>
    <cellStyle name="SAPBEXexcCritical5 8 7" xfId="21888" xr:uid="{D151BDFC-FBEC-478D-8068-A49F98BE7059}"/>
    <cellStyle name="SAPBEXexcCritical5 9" xfId="10364" xr:uid="{CF30020E-F7D6-4552-BAD1-C7F10ADBD0B7}"/>
    <cellStyle name="SAPBEXexcCritical5 9 2" xfId="10365" xr:uid="{96F876D7-DA3C-48EC-92AF-62331A2BDD18}"/>
    <cellStyle name="SAPBEXexcCritical5 9 2 2" xfId="10366" xr:uid="{36B777EE-F6E6-4BBE-A6F8-EB59A033AA71}"/>
    <cellStyle name="SAPBEXexcCritical5 9 2 2 2" xfId="21900" xr:uid="{1172A3EA-3500-40D4-931B-37C2D6DAC0B7}"/>
    <cellStyle name="SAPBEXexcCritical5 9 2 3" xfId="10367" xr:uid="{BCE2575F-1ACA-47F7-9700-2E90DC88E6F7}"/>
    <cellStyle name="SAPBEXexcCritical5 9 2 3 2" xfId="21901" xr:uid="{9BD9BD97-D69A-46AC-8A35-2A6A072FA9AD}"/>
    <cellStyle name="SAPBEXexcCritical5 9 2 4" xfId="10368" xr:uid="{552D8C18-F986-449E-982A-9DEE251B9C13}"/>
    <cellStyle name="SAPBEXexcCritical5 9 2 4 2" xfId="21902" xr:uid="{46DC322F-A016-44EE-903C-A63CD273EB67}"/>
    <cellStyle name="SAPBEXexcCritical5 9 2 5" xfId="10369" xr:uid="{4599DFFC-F9C9-49F8-9C90-D95DBEC2A400}"/>
    <cellStyle name="SAPBEXexcCritical5 9 2 5 2" xfId="21903" xr:uid="{E7DDFB21-6D29-48A8-BCF1-3F44AE03B000}"/>
    <cellStyle name="SAPBEXexcCritical5 9 2 6" xfId="21899" xr:uid="{00F390B9-BD7B-4220-B7C0-F198B892DD9B}"/>
    <cellStyle name="SAPBEXexcCritical5 9 3" xfId="10370" xr:uid="{114AA684-18D4-47AA-96D2-E725319FF7D4}"/>
    <cellStyle name="SAPBEXexcCritical5 9 3 2" xfId="21904" xr:uid="{99F6C675-F1C9-411C-A415-3F8D52EB563E}"/>
    <cellStyle name="SAPBEXexcCritical5 9 4" xfId="10371" xr:uid="{0EDC957C-8928-4BE8-B834-0BD1D51D9BEA}"/>
    <cellStyle name="SAPBEXexcCritical5 9 4 2" xfId="21905" xr:uid="{B9B8C77F-8D31-48BC-865B-238E6B466DBB}"/>
    <cellStyle name="SAPBEXexcCritical5 9 5" xfId="10372" xr:uid="{E6884D5C-A838-4C84-9661-5622479FECF0}"/>
    <cellStyle name="SAPBEXexcCritical5 9 5 2" xfId="21906" xr:uid="{1EA148ED-288F-494B-8AE3-A1ECF4DB2C28}"/>
    <cellStyle name="SAPBEXexcCritical5 9 6" xfId="10373" xr:uid="{64EB5E24-87E5-431F-85ED-6CE585402BC2}"/>
    <cellStyle name="SAPBEXexcCritical5 9 6 2" xfId="21907" xr:uid="{6D6F6E68-4348-45F4-B9A5-48686A4550E8}"/>
    <cellStyle name="SAPBEXexcCritical5 9 7" xfId="21898" xr:uid="{F4844625-0CA4-4B4F-A43F-1BA75CC7CF82}"/>
    <cellStyle name="SAPBEXexcCritical5_KTR An-Abflug" xfId="14895" xr:uid="{F338255A-8155-43A6-B133-610628B65E92}"/>
    <cellStyle name="SAPBEXexcCritical6" xfId="10374" xr:uid="{6E3AD2EF-BDB8-4EB2-A858-799E0A76845C}"/>
    <cellStyle name="SAPBEXexcCritical6 10" xfId="10375" xr:uid="{E7195CC4-D9F1-4A25-A338-51A08D11C1D3}"/>
    <cellStyle name="SAPBEXexcCritical6 10 2" xfId="10376" xr:uid="{BC7B579F-0FA7-4655-9FBA-9876CAB1B6A1}"/>
    <cellStyle name="SAPBEXexcCritical6 10 2 2" xfId="10377" xr:uid="{71B2E273-AE11-47E9-B919-02805BB775E1}"/>
    <cellStyle name="SAPBEXexcCritical6 10 2 2 2" xfId="21910" xr:uid="{DCE91C73-C9AA-48F8-AB6A-5038410CAD7F}"/>
    <cellStyle name="SAPBEXexcCritical6 10 2 3" xfId="10378" xr:uid="{FBD9DE77-375D-4703-A8D0-689C554DF682}"/>
    <cellStyle name="SAPBEXexcCritical6 10 2 3 2" xfId="21911" xr:uid="{D8959362-893E-402D-A6FA-8432BACA5314}"/>
    <cellStyle name="SAPBEXexcCritical6 10 2 4" xfId="10379" xr:uid="{10EC2EB1-6BD5-4849-98AE-E542693B8132}"/>
    <cellStyle name="SAPBEXexcCritical6 10 2 4 2" xfId="21912" xr:uid="{AFCBDA07-D343-4012-8A42-75390B37CAAA}"/>
    <cellStyle name="SAPBEXexcCritical6 10 2 5" xfId="10380" xr:uid="{5EBE54F5-B05D-40E1-8EFE-0AD98C3DE0CE}"/>
    <cellStyle name="SAPBEXexcCritical6 10 2 5 2" xfId="21913" xr:uid="{6AA3C5F0-8BB5-4969-94CE-A15C9F20884C}"/>
    <cellStyle name="SAPBEXexcCritical6 10 2 6" xfId="21909" xr:uid="{06BD4ED7-304C-45BF-BAB4-7B32A6F13DF3}"/>
    <cellStyle name="SAPBEXexcCritical6 10 3" xfId="10381" xr:uid="{5FBEF43E-3A45-43B6-85E0-1D05129C8E43}"/>
    <cellStyle name="SAPBEXexcCritical6 10 3 2" xfId="21914" xr:uid="{A3AE154E-FC7F-4029-8A91-004003FAE287}"/>
    <cellStyle name="SAPBEXexcCritical6 10 4" xfId="10382" xr:uid="{0FE78322-8C37-4700-A0D6-D992C122B89C}"/>
    <cellStyle name="SAPBEXexcCritical6 10 4 2" xfId="21915" xr:uid="{5A3CB7F4-0CA6-49F2-9BC3-621AABB59D6E}"/>
    <cellStyle name="SAPBEXexcCritical6 10 5" xfId="10383" xr:uid="{AF4C279A-1C86-41DC-846E-B485DE618015}"/>
    <cellStyle name="SAPBEXexcCritical6 10 5 2" xfId="21916" xr:uid="{F360E2ED-DA19-4F58-9253-46D76731FEA3}"/>
    <cellStyle name="SAPBEXexcCritical6 10 6" xfId="10384" xr:uid="{75484FCA-541A-44D9-82B1-2E8E12B2E02B}"/>
    <cellStyle name="SAPBEXexcCritical6 10 6 2" xfId="21917" xr:uid="{72111CAB-BC51-4B5F-A87A-02066113FE2C}"/>
    <cellStyle name="SAPBEXexcCritical6 10 7" xfId="21908" xr:uid="{EE9A1B3E-8215-4076-911B-B752C072C93A}"/>
    <cellStyle name="SAPBEXexcCritical6 11" xfId="10385" xr:uid="{C7752D9D-C590-4AF0-8E21-0C17D0C30D8E}"/>
    <cellStyle name="SAPBEXexcCritical6 11 2" xfId="10386" xr:uid="{9A85D3E1-6DD8-4280-96D8-14C5E2830196}"/>
    <cellStyle name="SAPBEXexcCritical6 11 2 2" xfId="10387" xr:uid="{7EBD72C6-D002-4C88-A445-E67FA706F79A}"/>
    <cellStyle name="SAPBEXexcCritical6 11 2 2 2" xfId="21920" xr:uid="{3828D1E1-31AB-4DD2-8F09-2E487F7A284C}"/>
    <cellStyle name="SAPBEXexcCritical6 11 2 3" xfId="10388" xr:uid="{9B65534A-42AC-4361-9C15-A1637667E034}"/>
    <cellStyle name="SAPBEXexcCritical6 11 2 3 2" xfId="21921" xr:uid="{975CE99F-9738-43A2-A741-5BDB29E5BB76}"/>
    <cellStyle name="SAPBEXexcCritical6 11 2 4" xfId="10389" xr:uid="{9DF56F95-74DD-47EE-A788-E397973CDB13}"/>
    <cellStyle name="SAPBEXexcCritical6 11 2 4 2" xfId="21922" xr:uid="{F2B1086E-033F-4935-9E4A-07BA8F1A9F10}"/>
    <cellStyle name="SAPBEXexcCritical6 11 2 5" xfId="10390" xr:uid="{735D98FA-CB79-4FA3-9197-5415A859A625}"/>
    <cellStyle name="SAPBEXexcCritical6 11 2 5 2" xfId="21923" xr:uid="{B106F764-887F-448D-948E-56F7DC98704A}"/>
    <cellStyle name="SAPBEXexcCritical6 11 2 6" xfId="21919" xr:uid="{B227976D-F0AE-45AD-A31F-C04276BB4785}"/>
    <cellStyle name="SAPBEXexcCritical6 11 3" xfId="10391" xr:uid="{39ADA3B5-C710-4A12-BABC-35717D09EBA1}"/>
    <cellStyle name="SAPBEXexcCritical6 11 3 2" xfId="21924" xr:uid="{DD688765-EC30-42D2-8FC8-287B6A311A13}"/>
    <cellStyle name="SAPBEXexcCritical6 11 4" xfId="10392" xr:uid="{3AEA33C5-E167-4FED-BA0E-23F054AE65EB}"/>
    <cellStyle name="SAPBEXexcCritical6 11 4 2" xfId="21925" xr:uid="{19C6985C-FA9B-43A9-A4FD-3DF8D2F791F9}"/>
    <cellStyle name="SAPBEXexcCritical6 11 5" xfId="10393" xr:uid="{31665D28-4F93-49D1-A684-226B40007E3F}"/>
    <cellStyle name="SAPBEXexcCritical6 11 5 2" xfId="21926" xr:uid="{CE89312F-78AF-43F2-95FD-A0AD80934BCE}"/>
    <cellStyle name="SAPBEXexcCritical6 11 6" xfId="10394" xr:uid="{72760181-C04F-4A83-A5EC-30DBCB05B993}"/>
    <cellStyle name="SAPBEXexcCritical6 11 6 2" xfId="21927" xr:uid="{72415382-EF3C-40D1-831A-2872BAF00FFC}"/>
    <cellStyle name="SAPBEXexcCritical6 11 7" xfId="21918" xr:uid="{59CFA4D5-8F89-4FCA-A6FC-FDEC84C7B9CB}"/>
    <cellStyle name="SAPBEXexcCritical6 12" xfId="10395" xr:uid="{3AEBE483-95CA-42AF-9A58-88D33C653D63}"/>
    <cellStyle name="SAPBEXexcCritical6 12 2" xfId="10396" xr:uid="{FC492BD2-8FF1-436F-B8CA-07CEB98D5637}"/>
    <cellStyle name="SAPBEXexcCritical6 12 2 2" xfId="10397" xr:uid="{AB683446-2856-4FA8-88D7-C05654383F03}"/>
    <cellStyle name="SAPBEXexcCritical6 12 2 2 2" xfId="21930" xr:uid="{2E1FDE98-80E4-49C8-B793-FDBB7C7A4100}"/>
    <cellStyle name="SAPBEXexcCritical6 12 2 3" xfId="10398" xr:uid="{9134202B-B095-4E3A-A8CA-210BA7E1EE29}"/>
    <cellStyle name="SAPBEXexcCritical6 12 2 3 2" xfId="21931" xr:uid="{20130A35-CA18-4A00-A698-551198113757}"/>
    <cellStyle name="SAPBEXexcCritical6 12 2 4" xfId="10399" xr:uid="{01085243-516D-4DC3-801D-EB57234872C5}"/>
    <cellStyle name="SAPBEXexcCritical6 12 2 4 2" xfId="21932" xr:uid="{8BC7BD8A-A4F4-4DE8-9848-18181A9ED6C8}"/>
    <cellStyle name="SAPBEXexcCritical6 12 2 5" xfId="10400" xr:uid="{DBE25C54-F899-4190-8C77-3C6BABDCB9BA}"/>
    <cellStyle name="SAPBEXexcCritical6 12 2 5 2" xfId="21933" xr:uid="{C60DF8B1-B49B-4B99-83AE-0242AEADB42B}"/>
    <cellStyle name="SAPBEXexcCritical6 12 2 6" xfId="21929" xr:uid="{87000C49-08FB-4736-A4B8-8D55C46B8804}"/>
    <cellStyle name="SAPBEXexcCritical6 12 3" xfId="10401" xr:uid="{DB75AFAE-DC0E-4FA2-9847-588702D86A1C}"/>
    <cellStyle name="SAPBEXexcCritical6 12 3 2" xfId="21934" xr:uid="{63470E81-A53A-4F93-99BA-375CA9A40C03}"/>
    <cellStyle name="SAPBEXexcCritical6 12 4" xfId="10402" xr:uid="{50EA05EC-2E57-48C5-9A51-C713B7066000}"/>
    <cellStyle name="SAPBEXexcCritical6 12 4 2" xfId="21935" xr:uid="{8A0AE59A-45FF-4651-A04D-A631DC393461}"/>
    <cellStyle name="SAPBEXexcCritical6 12 5" xfId="10403" xr:uid="{E2F2FFBB-3EC5-4E72-82CE-30C23B1D6F23}"/>
    <cellStyle name="SAPBEXexcCritical6 12 5 2" xfId="21936" xr:uid="{D0275F01-5AEB-4B3A-A084-2B30DB6ED360}"/>
    <cellStyle name="SAPBEXexcCritical6 12 6" xfId="10404" xr:uid="{72DAFCE2-1769-4678-A9AF-36DB45A8AFF4}"/>
    <cellStyle name="SAPBEXexcCritical6 12 6 2" xfId="21937" xr:uid="{E685A763-81B0-4764-8AD4-829CFC0CD51B}"/>
    <cellStyle name="SAPBEXexcCritical6 12 7" xfId="21928" xr:uid="{D75DA10B-A79C-4266-BCC5-76D1323CC1D9}"/>
    <cellStyle name="SAPBEXexcCritical6 13" xfId="10405" xr:uid="{6D1BB917-1D1F-4672-AB39-DD540DE979BF}"/>
    <cellStyle name="SAPBEXexcCritical6 13 2" xfId="10406" xr:uid="{D9031981-A44B-4E2A-A853-AA2AA6B8C67A}"/>
    <cellStyle name="SAPBEXexcCritical6 13 2 2" xfId="10407" xr:uid="{B2F2260C-8DBA-42F2-A580-E84CC21243F7}"/>
    <cellStyle name="SAPBEXexcCritical6 13 2 2 2" xfId="21940" xr:uid="{E63D8DF4-E803-46C4-963F-21306B134445}"/>
    <cellStyle name="SAPBEXexcCritical6 13 2 3" xfId="10408" xr:uid="{33930DC6-A956-49F9-B4E0-F5B3BC3722CE}"/>
    <cellStyle name="SAPBEXexcCritical6 13 2 3 2" xfId="21941" xr:uid="{A21E2651-ECDA-4F27-94F8-14C551236981}"/>
    <cellStyle name="SAPBEXexcCritical6 13 2 4" xfId="10409" xr:uid="{977BC835-28A4-4FF0-92AE-79E9FD6C7838}"/>
    <cellStyle name="SAPBEXexcCritical6 13 2 4 2" xfId="21942" xr:uid="{F0290224-89FF-481D-BC3C-E10560CFFF22}"/>
    <cellStyle name="SAPBEXexcCritical6 13 2 5" xfId="10410" xr:uid="{46A0D194-2449-4680-9298-F58C56DEA03B}"/>
    <cellStyle name="SAPBEXexcCritical6 13 2 5 2" xfId="21943" xr:uid="{2349F37F-6C29-4D7C-A9EB-931D3A4E882E}"/>
    <cellStyle name="SAPBEXexcCritical6 13 2 6" xfId="21939" xr:uid="{1E279D02-0E8C-4EBB-AF7B-BF1C001B0569}"/>
    <cellStyle name="SAPBEXexcCritical6 13 3" xfId="10411" xr:uid="{4990CAB6-27BE-4E35-9F6A-8A21B6540619}"/>
    <cellStyle name="SAPBEXexcCritical6 13 3 2" xfId="21944" xr:uid="{EB13BA48-3ED8-4583-B7A7-B25844E66152}"/>
    <cellStyle name="SAPBEXexcCritical6 13 4" xfId="10412" xr:uid="{1DDA92CC-4822-493E-8E18-EB8C85039B29}"/>
    <cellStyle name="SAPBEXexcCritical6 13 4 2" xfId="21945" xr:uid="{AE011D2D-2E0D-4797-903F-1C7D72B00DD0}"/>
    <cellStyle name="SAPBEXexcCritical6 13 5" xfId="10413" xr:uid="{E86D23B2-5466-4AAB-AFDE-592C931C6281}"/>
    <cellStyle name="SAPBEXexcCritical6 13 5 2" xfId="21946" xr:uid="{0102597F-4DBF-4B51-894C-BDE1541D7B47}"/>
    <cellStyle name="SAPBEXexcCritical6 13 6" xfId="10414" xr:uid="{B0E7EB6D-9D81-4758-B055-980050FB843A}"/>
    <cellStyle name="SAPBEXexcCritical6 13 6 2" xfId="21947" xr:uid="{62169672-6EBA-4F5F-BDDA-CE01D797786E}"/>
    <cellStyle name="SAPBEXexcCritical6 13 7" xfId="21938" xr:uid="{084F5799-CFBD-41EF-960F-FE02B00D501B}"/>
    <cellStyle name="SAPBEXexcCritical6 14" xfId="10415" xr:uid="{AA433C42-A758-4591-9385-A75985EE2A1E}"/>
    <cellStyle name="SAPBEXexcCritical6 14 2" xfId="10416" xr:uid="{B5950774-BA49-4B49-96AB-0565024DC0BB}"/>
    <cellStyle name="SAPBEXexcCritical6 14 2 2" xfId="10417" xr:uid="{48CFB422-9188-454C-95B9-AE62B280D8C6}"/>
    <cellStyle name="SAPBEXexcCritical6 14 2 2 2" xfId="21950" xr:uid="{BECCA9E1-5BF7-4704-A184-B4C85E75E046}"/>
    <cellStyle name="SAPBEXexcCritical6 14 2 3" xfId="10418" xr:uid="{6F18C7E2-7A9E-47C5-ADD9-C7009188215A}"/>
    <cellStyle name="SAPBEXexcCritical6 14 2 3 2" xfId="21951" xr:uid="{E586EDAC-B742-4286-8031-B8E953DF6AC5}"/>
    <cellStyle name="SAPBEXexcCritical6 14 2 4" xfId="10419" xr:uid="{6785558A-54A9-4A90-B797-A5AEAD02043E}"/>
    <cellStyle name="SAPBEXexcCritical6 14 2 4 2" xfId="21952" xr:uid="{BBD6D0F4-F867-455B-8AC7-71774F7D6CA1}"/>
    <cellStyle name="SAPBEXexcCritical6 14 2 5" xfId="10420" xr:uid="{7DD45C75-22AE-4503-987C-F01B05D31989}"/>
    <cellStyle name="SAPBEXexcCritical6 14 2 5 2" xfId="21953" xr:uid="{766F58B5-7AA0-40E4-B87E-36D9EA5C6EA2}"/>
    <cellStyle name="SAPBEXexcCritical6 14 2 6" xfId="21949" xr:uid="{8F707EC2-14D8-4BA1-B8BF-379DB335B9B9}"/>
    <cellStyle name="SAPBEXexcCritical6 14 3" xfId="10421" xr:uid="{DDAB9923-5E28-4566-8F0B-13BA9B74B8E2}"/>
    <cellStyle name="SAPBEXexcCritical6 14 3 2" xfId="21954" xr:uid="{FF2CFBD0-3595-44FD-8A1C-462F397409DC}"/>
    <cellStyle name="SAPBEXexcCritical6 14 4" xfId="10422" xr:uid="{12C6B6C2-946D-4103-AACD-DC5BC93968C4}"/>
    <cellStyle name="SAPBEXexcCritical6 14 4 2" xfId="21955" xr:uid="{C55FA416-2955-4554-83AA-69AC975840B4}"/>
    <cellStyle name="SAPBEXexcCritical6 14 5" xfId="10423" xr:uid="{94E8A17B-D83D-4AAE-AD5A-B3F18C91F3FF}"/>
    <cellStyle name="SAPBEXexcCritical6 14 5 2" xfId="21956" xr:uid="{D170165C-A543-49F7-8518-D3886DDA0246}"/>
    <cellStyle name="SAPBEXexcCritical6 14 6" xfId="10424" xr:uid="{036E4650-9384-41C8-BA2F-0DFBB2AA7A75}"/>
    <cellStyle name="SAPBEXexcCritical6 14 6 2" xfId="21957" xr:uid="{C60ABE03-BDB0-4F9F-844B-5103DD4B7E5F}"/>
    <cellStyle name="SAPBEXexcCritical6 14 7" xfId="21948" xr:uid="{FDAAAF52-9C8F-4B0B-97B2-4FE53FA3EC6A}"/>
    <cellStyle name="SAPBEXexcCritical6 15" xfId="10425" xr:uid="{DB4DE3DB-5EAF-46EA-99B8-0D01E2F5D449}"/>
    <cellStyle name="SAPBEXexcCritical6 15 2" xfId="10426" xr:uid="{69C27B00-F2FC-4FED-B791-4D775198B60A}"/>
    <cellStyle name="SAPBEXexcCritical6 15 2 2" xfId="10427" xr:uid="{37A4FF64-D983-41D2-BE0E-60CD3E669C8A}"/>
    <cellStyle name="SAPBEXexcCritical6 15 2 2 2" xfId="21960" xr:uid="{572B818A-A5CA-4748-8600-FE06EE5A4A47}"/>
    <cellStyle name="SAPBEXexcCritical6 15 2 3" xfId="10428" xr:uid="{5CC7C5EF-86C8-4B9B-81D0-7E740FE824E6}"/>
    <cellStyle name="SAPBEXexcCritical6 15 2 3 2" xfId="21961" xr:uid="{AA80E292-A8E9-4C7C-8158-F1A0B9E93E5B}"/>
    <cellStyle name="SAPBEXexcCritical6 15 2 4" xfId="10429" xr:uid="{676B9F08-4993-41B5-ADFB-2461BD9B20D0}"/>
    <cellStyle name="SAPBEXexcCritical6 15 2 4 2" xfId="21962" xr:uid="{1A0BF421-CC07-4811-8FAD-DC9D9A86E0A6}"/>
    <cellStyle name="SAPBEXexcCritical6 15 2 5" xfId="10430" xr:uid="{2E5A59B4-AD2E-4D17-B180-78E09F770EFE}"/>
    <cellStyle name="SAPBEXexcCritical6 15 2 5 2" xfId="21963" xr:uid="{D3198B4D-9821-4308-80D3-EE9A3AE86DAA}"/>
    <cellStyle name="SAPBEXexcCritical6 15 2 6" xfId="21959" xr:uid="{F4C7AEFB-4893-47FE-B1DC-A23231513D74}"/>
    <cellStyle name="SAPBEXexcCritical6 15 3" xfId="10431" xr:uid="{B8C93441-C238-4C4F-B2FC-2402B88EE674}"/>
    <cellStyle name="SAPBEXexcCritical6 15 3 2" xfId="21964" xr:uid="{A71A8068-07E3-4E1D-99E1-8BF039DD5A40}"/>
    <cellStyle name="SAPBEXexcCritical6 15 4" xfId="10432" xr:uid="{BE955741-0D93-4B9E-89F0-277ECADAC4D5}"/>
    <cellStyle name="SAPBEXexcCritical6 15 4 2" xfId="21965" xr:uid="{8970ED91-395E-49D0-89B6-C9171E775A18}"/>
    <cellStyle name="SAPBEXexcCritical6 15 5" xfId="10433" xr:uid="{C6C7A9D2-DF9F-4353-8BCC-C9543C8F89EC}"/>
    <cellStyle name="SAPBEXexcCritical6 15 5 2" xfId="21966" xr:uid="{1A2A99D6-2236-48BA-BB77-BD0ECFB73DD1}"/>
    <cellStyle name="SAPBEXexcCritical6 15 6" xfId="10434" xr:uid="{4364F467-7D7D-4AB9-9451-3EE3BB651D4C}"/>
    <cellStyle name="SAPBEXexcCritical6 15 6 2" xfId="21967" xr:uid="{EAD51AA8-ED59-4E86-8086-61B29AA0F9E4}"/>
    <cellStyle name="SAPBEXexcCritical6 15 7" xfId="21958" xr:uid="{F0D8E541-945C-45A4-9142-38BADD4DCE9A}"/>
    <cellStyle name="SAPBEXexcCritical6 16" xfId="10435" xr:uid="{7A8BE7FD-76F8-4359-A376-F55331E2F6D3}"/>
    <cellStyle name="SAPBEXexcCritical6 16 2" xfId="21968" xr:uid="{E8506AB6-77E5-4E28-801B-4A1CB3B140A0}"/>
    <cellStyle name="SAPBEXexcCritical6 17" xfId="10436" xr:uid="{4239CD53-31C6-453A-BC2C-522FF986A954}"/>
    <cellStyle name="SAPBEXexcCritical6 17 2" xfId="21969" xr:uid="{D3F12611-353A-4E0F-BD3D-2D08B9DE3F08}"/>
    <cellStyle name="SAPBEXexcCritical6 18" xfId="10437" xr:uid="{9E5A0EE7-9814-46ED-86C5-F844812771BF}"/>
    <cellStyle name="SAPBEXexcCritical6 18 2" xfId="21970" xr:uid="{80353F92-E396-48DA-B04B-D3E265A54451}"/>
    <cellStyle name="SAPBEXexcCritical6 19" xfId="10438" xr:uid="{376175B6-320D-44AF-8F1E-F9746CC979DC}"/>
    <cellStyle name="SAPBEXexcCritical6 19 2" xfId="21971" xr:uid="{3DAE8E92-B068-4206-A8E9-1DCF51B6F75E}"/>
    <cellStyle name="SAPBEXexcCritical6 2" xfId="10439" xr:uid="{D28C0ACF-6588-4F2F-8AEA-324CB46A9B4B}"/>
    <cellStyle name="SAPBEXexcCritical6 2 2" xfId="10440" xr:uid="{CDE25FA3-0A59-48F8-B22E-21BC20721245}"/>
    <cellStyle name="SAPBEXexcCritical6 2 2 2" xfId="10441" xr:uid="{2CC019F1-843C-4DB0-AE39-593F169CB6AC}"/>
    <cellStyle name="SAPBEXexcCritical6 2 2 2 2" xfId="21974" xr:uid="{087FD00F-F697-4062-9C76-DC86A8CC64B5}"/>
    <cellStyle name="SAPBEXexcCritical6 2 2 3" xfId="10442" xr:uid="{83FA2089-2597-467B-BBAD-1DC8CB0D79CA}"/>
    <cellStyle name="SAPBEXexcCritical6 2 2 3 2" xfId="21975" xr:uid="{8B0B7152-7E8B-4871-AAF0-19C3CD6ABEA2}"/>
    <cellStyle name="SAPBEXexcCritical6 2 2 4" xfId="10443" xr:uid="{A859DEDA-7169-4CD0-BA84-B1D6EEDDA409}"/>
    <cellStyle name="SAPBEXexcCritical6 2 2 4 2" xfId="21976" xr:uid="{A5B77C54-4479-4CA2-9BF1-0CB53FDDAE64}"/>
    <cellStyle name="SAPBEXexcCritical6 2 2 5" xfId="10444" xr:uid="{76004892-D735-4D6B-9654-AE3A9F28207E}"/>
    <cellStyle name="SAPBEXexcCritical6 2 2 5 2" xfId="21977" xr:uid="{9C65E5B2-4348-4520-9ECA-6C12AC852553}"/>
    <cellStyle name="SAPBEXexcCritical6 2 2 6" xfId="21973" xr:uid="{D5E9A08C-96E8-4466-81DB-FD0E1C85113F}"/>
    <cellStyle name="SAPBEXexcCritical6 2 3" xfId="10445" xr:uid="{B3E0DE85-8FA5-4650-A030-1B61F54AD3FA}"/>
    <cellStyle name="SAPBEXexcCritical6 2 3 2" xfId="21978" xr:uid="{4BA91AFE-28E2-4137-A33A-D7B7865951B1}"/>
    <cellStyle name="SAPBEXexcCritical6 2 4" xfId="10446" xr:uid="{605760EA-3D2D-4723-8A96-046634F562C2}"/>
    <cellStyle name="SAPBEXexcCritical6 2 4 2" xfId="21979" xr:uid="{E9708EAC-57DC-49D2-A8D5-CA8911EBEC77}"/>
    <cellStyle name="SAPBEXexcCritical6 2 5" xfId="10447" xr:uid="{FCD2F3C0-41CE-40CF-8E86-BD0E441F7A23}"/>
    <cellStyle name="SAPBEXexcCritical6 2 5 2" xfId="21980" xr:uid="{1EEB6BB7-DCE6-4BA3-90AD-1198E301B3DF}"/>
    <cellStyle name="SAPBEXexcCritical6 2 6" xfId="10448" xr:uid="{860703CD-B4BC-468C-B1AE-BB37DF8259B0}"/>
    <cellStyle name="SAPBEXexcCritical6 2 6 2" xfId="21981" xr:uid="{81F03204-FBEC-4312-AEDE-91AB5D18926F}"/>
    <cellStyle name="SAPBEXexcCritical6 2 7" xfId="21972" xr:uid="{7CA4BA23-9E71-4868-934B-2FD94DD0D640}"/>
    <cellStyle name="SAPBEXexcCritical6 20" xfId="15170" xr:uid="{1326831E-D125-447F-A671-690C5E8EC379}"/>
    <cellStyle name="SAPBEXexcCritical6 3" xfId="10449" xr:uid="{6E0017C9-E74E-4CE6-A016-DC62EE04B978}"/>
    <cellStyle name="SAPBEXexcCritical6 3 2" xfId="10450" xr:uid="{8F436D37-033B-46F8-8339-AAC32066D508}"/>
    <cellStyle name="SAPBEXexcCritical6 3 2 2" xfId="10451" xr:uid="{0A176C2E-BFAF-47B1-949E-1683CD843AF6}"/>
    <cellStyle name="SAPBEXexcCritical6 3 2 2 2" xfId="21984" xr:uid="{B9E6FAB9-3828-4362-8698-609D32A44707}"/>
    <cellStyle name="SAPBEXexcCritical6 3 2 3" xfId="10452" xr:uid="{506D0F83-302F-4488-8FB0-1B743AFC7CDB}"/>
    <cellStyle name="SAPBEXexcCritical6 3 2 3 2" xfId="21985" xr:uid="{70AE1110-00BD-4535-A597-B5A7A01C8EFD}"/>
    <cellStyle name="SAPBEXexcCritical6 3 2 4" xfId="10453" xr:uid="{3ED5EA45-DF71-4D32-A1A0-62872D091928}"/>
    <cellStyle name="SAPBEXexcCritical6 3 2 4 2" xfId="21986" xr:uid="{1D617426-E629-4A62-9C26-9E5B8DBA0F0B}"/>
    <cellStyle name="SAPBEXexcCritical6 3 2 5" xfId="10454" xr:uid="{3D43A58B-8CDF-4DA0-8C1C-1F4ACB5C15B2}"/>
    <cellStyle name="SAPBEXexcCritical6 3 2 5 2" xfId="21987" xr:uid="{83023B1F-51DF-46B9-991A-AB64EC008C37}"/>
    <cellStyle name="SAPBEXexcCritical6 3 2 6" xfId="21983" xr:uid="{90FD43A6-5791-467E-942C-2A07B5FDCE50}"/>
    <cellStyle name="SAPBEXexcCritical6 3 3" xfId="10455" xr:uid="{B6B35F96-69AC-4D7B-BAD6-E4EAA01F883E}"/>
    <cellStyle name="SAPBEXexcCritical6 3 3 2" xfId="21988" xr:uid="{E629246F-FF5F-403C-8659-1220579648F9}"/>
    <cellStyle name="SAPBEXexcCritical6 3 4" xfId="10456" xr:uid="{EF90DB9F-8579-4BD0-BB63-18DBC18F74BE}"/>
    <cellStyle name="SAPBEXexcCritical6 3 4 2" xfId="21989" xr:uid="{968E82DB-39A9-418D-B0E1-ED906C6A4C12}"/>
    <cellStyle name="SAPBEXexcCritical6 3 5" xfId="10457" xr:uid="{97A02B34-9531-4659-A298-4E61DBD7D03C}"/>
    <cellStyle name="SAPBEXexcCritical6 3 5 2" xfId="21990" xr:uid="{464C7D6C-E674-4984-93B3-490B32029978}"/>
    <cellStyle name="SAPBEXexcCritical6 3 6" xfId="10458" xr:uid="{945A2E1E-E65C-4C5C-A5F1-EC6E6F5C103C}"/>
    <cellStyle name="SAPBEXexcCritical6 3 6 2" xfId="21991" xr:uid="{09A814B8-F1C3-46D0-9613-F34A2E347D39}"/>
    <cellStyle name="SAPBEXexcCritical6 3 7" xfId="21982" xr:uid="{57F77C6E-F126-40DF-9FA7-DBF667D768E2}"/>
    <cellStyle name="SAPBEXexcCritical6 4" xfId="10459" xr:uid="{DC0718BA-26C7-4AC2-BF7D-5903D98B4E92}"/>
    <cellStyle name="SAPBEXexcCritical6 4 2" xfId="10460" xr:uid="{91A53912-26BA-4633-8BFB-FC30B8A1EB7B}"/>
    <cellStyle name="SAPBEXexcCritical6 4 2 2" xfId="10461" xr:uid="{33FC534B-F22B-4B45-A4B6-4C90949E5939}"/>
    <cellStyle name="SAPBEXexcCritical6 4 2 2 2" xfId="21994" xr:uid="{F6782A66-5BF2-41F5-85A4-C17D9D81B7CF}"/>
    <cellStyle name="SAPBEXexcCritical6 4 2 3" xfId="10462" xr:uid="{6AA6A0C0-B839-4593-B0E6-02787A85C8FF}"/>
    <cellStyle name="SAPBEXexcCritical6 4 2 3 2" xfId="21995" xr:uid="{FC31E128-37D5-4592-866A-0EA207A6C952}"/>
    <cellStyle name="SAPBEXexcCritical6 4 2 4" xfId="10463" xr:uid="{54953BC9-4D08-4E26-9CB5-E35F3D43AD89}"/>
    <cellStyle name="SAPBEXexcCritical6 4 2 4 2" xfId="21996" xr:uid="{96DA512D-A1D7-4035-BACE-74A16DF08FEE}"/>
    <cellStyle name="SAPBEXexcCritical6 4 2 5" xfId="10464" xr:uid="{50CDA9B7-AF57-4626-9B4B-4A1E0C34903D}"/>
    <cellStyle name="SAPBEXexcCritical6 4 2 5 2" xfId="21997" xr:uid="{792F2CB9-0414-4075-9D35-643031DF7FDF}"/>
    <cellStyle name="SAPBEXexcCritical6 4 2 6" xfId="21993" xr:uid="{F83F9595-17D8-41A5-826F-75B920AE898A}"/>
    <cellStyle name="SAPBEXexcCritical6 4 3" xfId="10465" xr:uid="{7FFC3676-5165-46CD-A35A-EA1194586F95}"/>
    <cellStyle name="SAPBEXexcCritical6 4 3 2" xfId="21998" xr:uid="{C605C5AC-1D07-465E-9A11-2BED2E7984F4}"/>
    <cellStyle name="SAPBEXexcCritical6 4 4" xfId="10466" xr:uid="{1CDD3C70-3266-44DE-BFEA-8298D659DE06}"/>
    <cellStyle name="SAPBEXexcCritical6 4 4 2" xfId="21999" xr:uid="{BA79DAC5-EB75-4399-9AB4-0CE482DC1827}"/>
    <cellStyle name="SAPBEXexcCritical6 4 5" xfId="10467" xr:uid="{A70706D3-553C-433D-A9FC-936653C43557}"/>
    <cellStyle name="SAPBEXexcCritical6 4 5 2" xfId="22000" xr:uid="{F2701A42-4003-476F-A7CE-9FF78E886D92}"/>
    <cellStyle name="SAPBEXexcCritical6 4 6" xfId="10468" xr:uid="{42765BB9-ECD0-442A-BCB0-E76A77861B94}"/>
    <cellStyle name="SAPBEXexcCritical6 4 6 2" xfId="22001" xr:uid="{B9E94E27-755B-44F5-92F8-04FB51BE83DE}"/>
    <cellStyle name="SAPBEXexcCritical6 4 7" xfId="21992" xr:uid="{B1C33563-A78D-4725-BB42-5E545D4D198C}"/>
    <cellStyle name="SAPBEXexcCritical6 5" xfId="10469" xr:uid="{F42280C4-0D63-40A4-B366-7B1AED642818}"/>
    <cellStyle name="SAPBEXexcCritical6 5 2" xfId="10470" xr:uid="{D70A1FFA-02A9-4D0E-B35A-9B37D28406FB}"/>
    <cellStyle name="SAPBEXexcCritical6 5 2 2" xfId="10471" xr:uid="{5D997ED0-3D43-4B3D-87DE-A6F8D6EB01C6}"/>
    <cellStyle name="SAPBEXexcCritical6 5 2 2 2" xfId="22004" xr:uid="{1BA79A83-4C8D-40C5-97F2-7496CE8B35A2}"/>
    <cellStyle name="SAPBEXexcCritical6 5 2 3" xfId="10472" xr:uid="{13CB5DE6-31D4-430B-A07F-FD0B65F6424D}"/>
    <cellStyle name="SAPBEXexcCritical6 5 2 3 2" xfId="22005" xr:uid="{FB6103F5-8FD7-4B0C-8B07-186B604D4EEE}"/>
    <cellStyle name="SAPBEXexcCritical6 5 2 4" xfId="10473" xr:uid="{C891B6E6-61BD-4EA5-B488-6ED5B02B3386}"/>
    <cellStyle name="SAPBEXexcCritical6 5 2 4 2" xfId="22006" xr:uid="{E1A1C8BC-F03B-423E-8BF5-0A3B1ACF5ECF}"/>
    <cellStyle name="SAPBEXexcCritical6 5 2 5" xfId="10474" xr:uid="{EA18250C-92F0-45F6-AA1E-183190506EB4}"/>
    <cellStyle name="SAPBEXexcCritical6 5 2 5 2" xfId="22007" xr:uid="{4A59199C-ECCA-4913-9E17-55E3714F5B18}"/>
    <cellStyle name="SAPBEXexcCritical6 5 2 6" xfId="22003" xr:uid="{CDF5849B-0948-47DD-B9EA-978AADE3DF92}"/>
    <cellStyle name="SAPBEXexcCritical6 5 3" xfId="10475" xr:uid="{6495A170-05EF-4F9C-8DB3-5A841BD49793}"/>
    <cellStyle name="SAPBEXexcCritical6 5 3 2" xfId="22008" xr:uid="{DEB4EBDA-F3CE-4887-96FA-0FDAC4E72961}"/>
    <cellStyle name="SAPBEXexcCritical6 5 4" xfId="10476" xr:uid="{376B8483-4B2D-45F3-A2E9-9FCD747C6AC8}"/>
    <cellStyle name="SAPBEXexcCritical6 5 4 2" xfId="22009" xr:uid="{7F0FE4FD-AEE5-42DA-8A96-148DAB17D6C5}"/>
    <cellStyle name="SAPBEXexcCritical6 5 5" xfId="10477" xr:uid="{EBAC4AFB-962C-4CCF-8217-4CAB85D78C75}"/>
    <cellStyle name="SAPBEXexcCritical6 5 5 2" xfId="22010" xr:uid="{67BF4C22-4BCD-4909-980F-FBAC03660771}"/>
    <cellStyle name="SAPBEXexcCritical6 5 6" xfId="10478" xr:uid="{665F1A68-01E4-4398-9B1E-B4DE44218DF2}"/>
    <cellStyle name="SAPBEXexcCritical6 5 6 2" xfId="22011" xr:uid="{348CB9DC-7331-411F-AF2A-BD4ADF76AA4C}"/>
    <cellStyle name="SAPBEXexcCritical6 5 7" xfId="22002" xr:uid="{6665491B-2E1D-49D9-8D84-D75D887BE053}"/>
    <cellStyle name="SAPBEXexcCritical6 6" xfId="10479" xr:uid="{CBCF2C0E-1022-43DB-A33B-FC67A877B879}"/>
    <cellStyle name="SAPBEXexcCritical6 6 2" xfId="10480" xr:uid="{A244C7A4-E42F-4DF4-BF44-B9FBA4A4A3C6}"/>
    <cellStyle name="SAPBEXexcCritical6 6 2 2" xfId="10481" xr:uid="{0F39C66B-D84F-4291-8B2E-5CE99DE673B9}"/>
    <cellStyle name="SAPBEXexcCritical6 6 2 2 2" xfId="22014" xr:uid="{E5701E72-74D2-4E60-9B9D-18CC0CD26560}"/>
    <cellStyle name="SAPBEXexcCritical6 6 2 3" xfId="10482" xr:uid="{6AF3492E-A051-458D-8C6C-1E332E1A4559}"/>
    <cellStyle name="SAPBEXexcCritical6 6 2 3 2" xfId="22015" xr:uid="{94763ED9-F345-4FFE-AA1F-FEACE458E4A5}"/>
    <cellStyle name="SAPBEXexcCritical6 6 2 4" xfId="10483" xr:uid="{D6D400DE-BE5D-471E-9501-CFDE496F74B2}"/>
    <cellStyle name="SAPBEXexcCritical6 6 2 4 2" xfId="22016" xr:uid="{E28AE0EC-016C-4A90-AABB-BCBF531C6409}"/>
    <cellStyle name="SAPBEXexcCritical6 6 2 5" xfId="10484" xr:uid="{969DD4B1-C1C5-4EBB-B2FE-B62A77421893}"/>
    <cellStyle name="SAPBEXexcCritical6 6 2 5 2" xfId="22017" xr:uid="{30494473-AD89-4EE9-B783-48583AEA9339}"/>
    <cellStyle name="SAPBEXexcCritical6 6 2 6" xfId="22013" xr:uid="{453F64E6-1C03-4DCA-93B7-695722776D40}"/>
    <cellStyle name="SAPBEXexcCritical6 6 3" xfId="10485" xr:uid="{870A6E1F-0473-41BE-B20F-3BBE6D6C4313}"/>
    <cellStyle name="SAPBEXexcCritical6 6 3 2" xfId="22018" xr:uid="{23101DB6-3F91-4477-943F-761465C8173E}"/>
    <cellStyle name="SAPBEXexcCritical6 6 4" xfId="10486" xr:uid="{C493BD0B-032F-484E-89DC-6390560FE30B}"/>
    <cellStyle name="SAPBEXexcCritical6 6 4 2" xfId="22019" xr:uid="{63DA436F-F712-4897-8900-74A7EF313444}"/>
    <cellStyle name="SAPBEXexcCritical6 6 5" xfId="10487" xr:uid="{680C641B-7343-4584-8124-D35A5FF8857B}"/>
    <cellStyle name="SAPBEXexcCritical6 6 5 2" xfId="22020" xr:uid="{A5437B9D-955C-43C6-A3F9-65DFCEFA2F0F}"/>
    <cellStyle name="SAPBEXexcCritical6 6 6" xfId="10488" xr:uid="{4A7A1E6C-4C8A-48B9-BAFD-1DD39140431A}"/>
    <cellStyle name="SAPBEXexcCritical6 6 6 2" xfId="22021" xr:uid="{86BF51CD-436D-4B9B-9EBE-0A3152A54AF1}"/>
    <cellStyle name="SAPBEXexcCritical6 6 7" xfId="22012" xr:uid="{2FE28D32-BFC4-4E2D-92F7-DB72C34F00DE}"/>
    <cellStyle name="SAPBEXexcCritical6 7" xfId="10489" xr:uid="{A74BCBFD-11EB-4A03-B877-A6A0D0EA37DF}"/>
    <cellStyle name="SAPBEXexcCritical6 7 2" xfId="10490" xr:uid="{769B20E6-5231-4CD5-B9E9-2B8FDB884514}"/>
    <cellStyle name="SAPBEXexcCritical6 7 2 2" xfId="10491" xr:uid="{91BDBE6A-2E85-4CFC-86CC-BBF566C52EEB}"/>
    <cellStyle name="SAPBEXexcCritical6 7 2 2 2" xfId="22024" xr:uid="{3A937BA0-40BA-4EFF-BAAA-82FB08E3BA47}"/>
    <cellStyle name="SAPBEXexcCritical6 7 2 3" xfId="10492" xr:uid="{659D03D8-BB06-4621-80BF-52FFC457A25C}"/>
    <cellStyle name="SAPBEXexcCritical6 7 2 3 2" xfId="22025" xr:uid="{CDB73510-E637-4E58-A13E-0984EE627D4A}"/>
    <cellStyle name="SAPBEXexcCritical6 7 2 4" xfId="10493" xr:uid="{F5ED8250-BE69-4D6A-A010-4F0C39086108}"/>
    <cellStyle name="SAPBEXexcCritical6 7 2 4 2" xfId="22026" xr:uid="{4A0709EA-416F-45E7-A582-35A124EC362B}"/>
    <cellStyle name="SAPBEXexcCritical6 7 2 5" xfId="10494" xr:uid="{222F5700-2D02-4139-A9D1-AA2C08584FBE}"/>
    <cellStyle name="SAPBEXexcCritical6 7 2 5 2" xfId="22027" xr:uid="{937623C2-5B2E-40C3-8D58-44E612681A38}"/>
    <cellStyle name="SAPBEXexcCritical6 7 2 6" xfId="22023" xr:uid="{8E3532F4-810B-45DF-8FC8-99BD6EE4916D}"/>
    <cellStyle name="SAPBEXexcCritical6 7 3" xfId="10495" xr:uid="{307E3AAD-1EA9-4B66-A54F-D193A26BBE52}"/>
    <cellStyle name="SAPBEXexcCritical6 7 3 2" xfId="22028" xr:uid="{F1002FF5-E63A-4DE1-84B2-12C2A1074DC4}"/>
    <cellStyle name="SAPBEXexcCritical6 7 4" xfId="10496" xr:uid="{D3FE38EB-8270-4747-8A5B-7B45CDD977FC}"/>
    <cellStyle name="SAPBEXexcCritical6 7 4 2" xfId="22029" xr:uid="{9CF07BC5-7605-4E98-B385-FADEE4B958F2}"/>
    <cellStyle name="SAPBEXexcCritical6 7 5" xfId="10497" xr:uid="{84BE971B-2915-4FB2-8816-D62A4A5FBAD6}"/>
    <cellStyle name="SAPBEXexcCritical6 7 5 2" xfId="22030" xr:uid="{85F68ED9-1843-4496-ABE1-E513F461D5CC}"/>
    <cellStyle name="SAPBEXexcCritical6 7 6" xfId="10498" xr:uid="{CD6DF132-445A-4F98-BAD0-0945DAA8E901}"/>
    <cellStyle name="SAPBEXexcCritical6 7 6 2" xfId="22031" xr:uid="{C43663D2-4173-4450-B018-214DC720046E}"/>
    <cellStyle name="SAPBEXexcCritical6 7 7" xfId="22022" xr:uid="{2A7C6388-D7DB-4291-83F5-637011D1F1A3}"/>
    <cellStyle name="SAPBEXexcCritical6 8" xfId="10499" xr:uid="{5DD245FD-82FE-423C-A3BE-5E5EABB9B022}"/>
    <cellStyle name="SAPBEXexcCritical6 8 2" xfId="10500" xr:uid="{84396FC5-53B6-4421-8E4B-9557F9A71EBA}"/>
    <cellStyle name="SAPBEXexcCritical6 8 2 2" xfId="10501" xr:uid="{7E691F4C-3689-4E07-925F-E720DB2C9908}"/>
    <cellStyle name="SAPBEXexcCritical6 8 2 2 2" xfId="22034" xr:uid="{3D0C055E-8F8A-4E84-9B54-21B34B1CDE44}"/>
    <cellStyle name="SAPBEXexcCritical6 8 2 3" xfId="10502" xr:uid="{B1F524B3-AC7E-4FAA-BD0F-F930AEE79E18}"/>
    <cellStyle name="SAPBEXexcCritical6 8 2 3 2" xfId="22035" xr:uid="{7B6665BD-FC41-4D7A-8E51-D48EAD503CFB}"/>
    <cellStyle name="SAPBEXexcCritical6 8 2 4" xfId="10503" xr:uid="{8491DE08-D518-457D-8D7D-DF1FEA3AC60C}"/>
    <cellStyle name="SAPBEXexcCritical6 8 2 4 2" xfId="22036" xr:uid="{DF427326-47D2-4944-B689-05C9F76C265D}"/>
    <cellStyle name="SAPBEXexcCritical6 8 2 5" xfId="10504" xr:uid="{010B8D85-A640-4166-81FD-3BAA6F5E309B}"/>
    <cellStyle name="SAPBEXexcCritical6 8 2 5 2" xfId="22037" xr:uid="{33DB4B6D-9806-4C8F-893C-C1F928812211}"/>
    <cellStyle name="SAPBEXexcCritical6 8 2 6" xfId="22033" xr:uid="{6BF6B7F8-D0E7-446B-B8CA-5554E0CD3526}"/>
    <cellStyle name="SAPBEXexcCritical6 8 3" xfId="10505" xr:uid="{03E84DCF-655D-4233-AB77-D16004798B07}"/>
    <cellStyle name="SAPBEXexcCritical6 8 3 2" xfId="22038" xr:uid="{8359BCDC-DBB5-42CD-9589-D4A610A94963}"/>
    <cellStyle name="SAPBEXexcCritical6 8 4" xfId="10506" xr:uid="{56229C4D-699E-4F92-B871-D14AD1FB16B2}"/>
    <cellStyle name="SAPBEXexcCritical6 8 4 2" xfId="22039" xr:uid="{5C3E14FF-5311-427E-AC77-FCDAD32E939B}"/>
    <cellStyle name="SAPBEXexcCritical6 8 5" xfId="10507" xr:uid="{451219CB-36C5-44BF-BC3E-9B1A723C87DD}"/>
    <cellStyle name="SAPBEXexcCritical6 8 5 2" xfId="22040" xr:uid="{029D5936-F3FB-43BC-94FE-3A32C07115C7}"/>
    <cellStyle name="SAPBEXexcCritical6 8 6" xfId="10508" xr:uid="{39C23E2F-5016-4ED4-A513-415A6E9C0381}"/>
    <cellStyle name="SAPBEXexcCritical6 8 6 2" xfId="22041" xr:uid="{C5CF202F-B085-406B-9A16-F0793136084A}"/>
    <cellStyle name="SAPBEXexcCritical6 8 7" xfId="22032" xr:uid="{3F816AE2-234F-43D5-9271-86C0B0ABB1D4}"/>
    <cellStyle name="SAPBEXexcCritical6 9" xfId="10509" xr:uid="{27AEC336-4312-4960-8C55-5DF3CC6F59ED}"/>
    <cellStyle name="SAPBEXexcCritical6 9 2" xfId="10510" xr:uid="{6EF0FA19-0502-4D33-B21C-E01193500C46}"/>
    <cellStyle name="SAPBEXexcCritical6 9 2 2" xfId="10511" xr:uid="{8C6DCFB6-84C6-47C0-8D19-6A576CA3C3DD}"/>
    <cellStyle name="SAPBEXexcCritical6 9 2 2 2" xfId="22044" xr:uid="{35147E59-4647-4965-84FA-52F25313ECFF}"/>
    <cellStyle name="SAPBEXexcCritical6 9 2 3" xfId="10512" xr:uid="{23BDCE45-0ADF-402C-9258-AC442F2E3175}"/>
    <cellStyle name="SAPBEXexcCritical6 9 2 3 2" xfId="22045" xr:uid="{846C93B4-A414-4EED-987D-5BBB081556A7}"/>
    <cellStyle name="SAPBEXexcCritical6 9 2 4" xfId="10513" xr:uid="{31A93C6F-4C34-483E-BF80-D34F2E88C901}"/>
    <cellStyle name="SAPBEXexcCritical6 9 2 4 2" xfId="22046" xr:uid="{277A6143-FB6D-4A2D-B5A4-C102016D21A7}"/>
    <cellStyle name="SAPBEXexcCritical6 9 2 5" xfId="10514" xr:uid="{F87B0B43-EBCD-4D28-BB07-161A8F16EF87}"/>
    <cellStyle name="SAPBEXexcCritical6 9 2 5 2" xfId="22047" xr:uid="{AEC57B6F-878C-4BE3-B1B9-923B7CE7EEF6}"/>
    <cellStyle name="SAPBEXexcCritical6 9 2 6" xfId="22043" xr:uid="{77EE1670-6EDB-4D93-BACC-93AABE586ED5}"/>
    <cellStyle name="SAPBEXexcCritical6 9 3" xfId="10515" xr:uid="{7C4DE7E0-8FAD-48EF-A6AF-95BF8FDADCCF}"/>
    <cellStyle name="SAPBEXexcCritical6 9 3 2" xfId="22048" xr:uid="{642D4F4A-BD6A-4419-AF6E-3E1D83934ADA}"/>
    <cellStyle name="SAPBEXexcCritical6 9 4" xfId="10516" xr:uid="{C4A69523-DEEB-4AFB-B820-56FC44AA9F67}"/>
    <cellStyle name="SAPBEXexcCritical6 9 4 2" xfId="22049" xr:uid="{D3E17BF9-9372-4FE7-B749-D6A500802E80}"/>
    <cellStyle name="SAPBEXexcCritical6 9 5" xfId="10517" xr:uid="{A14444EF-829C-4925-8F35-1735DDBC917C}"/>
    <cellStyle name="SAPBEXexcCritical6 9 5 2" xfId="22050" xr:uid="{0606653E-25E6-46F5-8E15-C2351D43E4EA}"/>
    <cellStyle name="SAPBEXexcCritical6 9 6" xfId="10518" xr:uid="{3CF781F2-71BC-43BB-BEE1-66DE48AE825E}"/>
    <cellStyle name="SAPBEXexcCritical6 9 6 2" xfId="22051" xr:uid="{0B36B652-7B57-4CDD-8904-E6DA96ABAF68}"/>
    <cellStyle name="SAPBEXexcCritical6 9 7" xfId="22042" xr:uid="{35CB2282-19BF-4089-B41C-5E716912A24F}"/>
    <cellStyle name="SAPBEXexcCritical6_KTR An-Abflug" xfId="14896" xr:uid="{6696A85E-D2FA-4DE1-A9A7-24412E6E25C8}"/>
    <cellStyle name="SAPBEXexcGood1" xfId="10519" xr:uid="{9DAC3714-2FF0-4EF4-ADEE-AD767AEED59E}"/>
    <cellStyle name="SAPBEXexcGood1 10" xfId="10520" xr:uid="{D7CAF4E9-061A-4E2C-90C6-6E8D4F028377}"/>
    <cellStyle name="SAPBEXexcGood1 10 2" xfId="10521" xr:uid="{DB5F40F9-16D9-4664-887F-F37A4B982387}"/>
    <cellStyle name="SAPBEXexcGood1 10 2 2" xfId="10522" xr:uid="{825E1049-9202-4CC6-A42B-C515997CD0D1}"/>
    <cellStyle name="SAPBEXexcGood1 10 2 2 2" xfId="22054" xr:uid="{D2FF7078-C9CF-4D89-A91E-C4943589A9DB}"/>
    <cellStyle name="SAPBEXexcGood1 10 2 3" xfId="10523" xr:uid="{6E9F84BA-780C-46BD-8B08-1B51FFEC91CF}"/>
    <cellStyle name="SAPBEXexcGood1 10 2 3 2" xfId="22055" xr:uid="{CDC34EC8-6DBA-46D7-8725-9E49950C1A1B}"/>
    <cellStyle name="SAPBEXexcGood1 10 2 4" xfId="10524" xr:uid="{FEBEB4CB-D0CC-4532-87E7-8E6477571593}"/>
    <cellStyle name="SAPBEXexcGood1 10 2 4 2" xfId="22056" xr:uid="{5330AD7B-539E-4C11-BDB7-57C0638D2306}"/>
    <cellStyle name="SAPBEXexcGood1 10 2 5" xfId="10525" xr:uid="{54825D87-D067-4D7C-AB27-D69C48F60043}"/>
    <cellStyle name="SAPBEXexcGood1 10 2 5 2" xfId="22057" xr:uid="{E9A5DB4F-B698-4469-AF06-4417C690C07A}"/>
    <cellStyle name="SAPBEXexcGood1 10 2 6" xfId="22053" xr:uid="{B628DC5D-2171-492A-B4A4-6488B68C5629}"/>
    <cellStyle name="SAPBEXexcGood1 10 3" xfId="10526" xr:uid="{978C4BAB-40B6-43D5-8557-6DF308FAABFD}"/>
    <cellStyle name="SAPBEXexcGood1 10 3 2" xfId="22058" xr:uid="{1C07D449-7A1C-4A7F-8224-A567873693C8}"/>
    <cellStyle name="SAPBEXexcGood1 10 4" xfId="10527" xr:uid="{4C3F6AA2-F2B7-4675-B0B9-CE8B178AB31F}"/>
    <cellStyle name="SAPBEXexcGood1 10 4 2" xfId="22059" xr:uid="{544E9DCC-B092-4EE6-9C00-810DFD3E38C8}"/>
    <cellStyle name="SAPBEXexcGood1 10 5" xfId="10528" xr:uid="{9CBCB710-BA8B-4654-9E66-68C22EF0A9B3}"/>
    <cellStyle name="SAPBEXexcGood1 10 5 2" xfId="22060" xr:uid="{5FAE8DB1-6AED-4D7D-86B7-8B59B01349EB}"/>
    <cellStyle name="SAPBEXexcGood1 10 6" xfId="10529" xr:uid="{BF95B999-917E-4D11-A356-B5D03D77A8FF}"/>
    <cellStyle name="SAPBEXexcGood1 10 6 2" xfId="22061" xr:uid="{57B32C4C-A6EF-4C9D-BECD-B9B0C2638167}"/>
    <cellStyle name="SAPBEXexcGood1 10 7" xfId="22052" xr:uid="{235D0857-4820-4706-8F57-E18807349469}"/>
    <cellStyle name="SAPBEXexcGood1 11" xfId="10530" xr:uid="{56AF7E8D-B6F8-4E29-AB93-7CAB41A343D5}"/>
    <cellStyle name="SAPBEXexcGood1 11 2" xfId="10531" xr:uid="{43C86936-23F5-4DD4-9E8F-EE291D21CA93}"/>
    <cellStyle name="SAPBEXexcGood1 11 2 2" xfId="10532" xr:uid="{F6D6E61F-7867-4F24-8897-4A38B248E1D0}"/>
    <cellStyle name="SAPBEXexcGood1 11 2 2 2" xfId="22064" xr:uid="{CD74671D-0462-4BBA-BE6C-B9F8638C4485}"/>
    <cellStyle name="SAPBEXexcGood1 11 2 3" xfId="10533" xr:uid="{3F427539-6050-4C62-9242-8BBA003BAEB5}"/>
    <cellStyle name="SAPBEXexcGood1 11 2 3 2" xfId="22065" xr:uid="{2FA21AEA-5A99-4D87-8991-8591DECDE1AD}"/>
    <cellStyle name="SAPBEXexcGood1 11 2 4" xfId="10534" xr:uid="{ABB8F600-8326-40A2-8009-17EF49E1FDE9}"/>
    <cellStyle name="SAPBEXexcGood1 11 2 4 2" xfId="22066" xr:uid="{7E5D923D-5D6C-489F-8BEF-6F002E3C848D}"/>
    <cellStyle name="SAPBEXexcGood1 11 2 5" xfId="10535" xr:uid="{E1EED77D-5A28-4D82-9C3D-37060E3B71AE}"/>
    <cellStyle name="SAPBEXexcGood1 11 2 5 2" xfId="22067" xr:uid="{A378A755-6C95-4FEC-8509-7ED0A2F30E95}"/>
    <cellStyle name="SAPBEXexcGood1 11 2 6" xfId="22063" xr:uid="{3C07D4B1-9AD9-4117-9F8F-9F95C588BAE1}"/>
    <cellStyle name="SAPBEXexcGood1 11 3" xfId="10536" xr:uid="{D2E4FCA5-3361-4D06-82E6-5AAF7BF86D9A}"/>
    <cellStyle name="SAPBEXexcGood1 11 3 2" xfId="22068" xr:uid="{4A6C270C-C3F9-4215-BA32-F46436DC9998}"/>
    <cellStyle name="SAPBEXexcGood1 11 4" xfId="10537" xr:uid="{4459CABD-51EB-4BA5-A8E9-AB6D328ED5D1}"/>
    <cellStyle name="SAPBEXexcGood1 11 4 2" xfId="22069" xr:uid="{0DDE091D-9CC2-48EA-96AF-28311DF6D235}"/>
    <cellStyle name="SAPBEXexcGood1 11 5" xfId="10538" xr:uid="{46357901-6005-42D6-9DD8-F3582C93F2EA}"/>
    <cellStyle name="SAPBEXexcGood1 11 5 2" xfId="22070" xr:uid="{D6DF690A-7620-4FC6-9515-30E58F8E6963}"/>
    <cellStyle name="SAPBEXexcGood1 11 6" xfId="10539" xr:uid="{41AC75A7-7597-464A-BE5F-FE29A38B3B02}"/>
    <cellStyle name="SAPBEXexcGood1 11 6 2" xfId="22071" xr:uid="{0283E2C7-B42D-47DC-8163-DE8F29E54E6B}"/>
    <cellStyle name="SAPBEXexcGood1 11 7" xfId="22062" xr:uid="{30DC8E6E-8699-4A41-8454-4468D295D808}"/>
    <cellStyle name="SAPBEXexcGood1 12" xfId="10540" xr:uid="{96DE0740-95AD-47E4-B670-80F7822AB6A6}"/>
    <cellStyle name="SAPBEXexcGood1 12 2" xfId="10541" xr:uid="{48B7D707-0DA5-4B2D-92A3-57256889D66F}"/>
    <cellStyle name="SAPBEXexcGood1 12 2 2" xfId="10542" xr:uid="{CAAE9F85-7105-4E2D-BDEB-965CCE1692DF}"/>
    <cellStyle name="SAPBEXexcGood1 12 2 2 2" xfId="22074" xr:uid="{C89C22EE-4CCB-466E-9C4B-0C7B5AF0C239}"/>
    <cellStyle name="SAPBEXexcGood1 12 2 3" xfId="10543" xr:uid="{AFA5E95B-A4B7-4AF9-8F3B-5FF04B851B4D}"/>
    <cellStyle name="SAPBEXexcGood1 12 2 3 2" xfId="22075" xr:uid="{7810449D-403C-47BC-BD32-67FFD685139A}"/>
    <cellStyle name="SAPBEXexcGood1 12 2 4" xfId="10544" xr:uid="{C0BAC65B-4518-4F05-970C-926BC3145A9B}"/>
    <cellStyle name="SAPBEXexcGood1 12 2 4 2" xfId="22076" xr:uid="{71AEF9B9-D5EA-400A-AEFD-D4128929A2B3}"/>
    <cellStyle name="SAPBEXexcGood1 12 2 5" xfId="10545" xr:uid="{8B493334-9F71-4499-ADF3-4F4008412998}"/>
    <cellStyle name="SAPBEXexcGood1 12 2 5 2" xfId="22077" xr:uid="{5FC4DAED-29E4-4B16-990A-6B64B0AE0735}"/>
    <cellStyle name="SAPBEXexcGood1 12 2 6" xfId="22073" xr:uid="{CDF1C8B5-A219-4816-8FA0-B3A9EA34E02B}"/>
    <cellStyle name="SAPBEXexcGood1 12 3" xfId="10546" xr:uid="{3608A785-D125-4219-910B-96E077334317}"/>
    <cellStyle name="SAPBEXexcGood1 12 3 2" xfId="22078" xr:uid="{4DF4C974-E43C-4496-9A8E-5DCCC9FC93E0}"/>
    <cellStyle name="SAPBEXexcGood1 12 4" xfId="10547" xr:uid="{F4A4FAD6-F510-4C66-BE01-6FB7F6E1DBC1}"/>
    <cellStyle name="SAPBEXexcGood1 12 4 2" xfId="22079" xr:uid="{9E4AD96A-64AF-40A5-AF3A-1AEBD30E21D8}"/>
    <cellStyle name="SAPBEXexcGood1 12 5" xfId="10548" xr:uid="{42CC3745-DAEB-4D43-9178-524B6093E2DA}"/>
    <cellStyle name="SAPBEXexcGood1 12 5 2" xfId="22080" xr:uid="{D4BA7455-E2FA-418B-97E4-A35574A7577F}"/>
    <cellStyle name="SAPBEXexcGood1 12 6" xfId="10549" xr:uid="{9F5F149C-5742-4820-A55B-D90B0DBA6838}"/>
    <cellStyle name="SAPBEXexcGood1 12 6 2" xfId="22081" xr:uid="{2F4B1A04-55F5-43D3-A9B8-C64DD42A0570}"/>
    <cellStyle name="SAPBEXexcGood1 12 7" xfId="22072" xr:uid="{8A15234A-0B10-4667-861A-34B6F473E242}"/>
    <cellStyle name="SAPBEXexcGood1 13" xfId="10550" xr:uid="{99FA1BC5-1473-4981-AC14-87201BBFA266}"/>
    <cellStyle name="SAPBEXexcGood1 13 2" xfId="10551" xr:uid="{67CCEC9F-F35C-4DE0-9ACB-BD272142C32F}"/>
    <cellStyle name="SAPBEXexcGood1 13 2 2" xfId="10552" xr:uid="{06C25D29-A872-4250-AFE5-73337AB8445D}"/>
    <cellStyle name="SAPBEXexcGood1 13 2 2 2" xfId="22084" xr:uid="{F9F5DF81-626B-47A6-A48D-47CA50F305C9}"/>
    <cellStyle name="SAPBEXexcGood1 13 2 3" xfId="10553" xr:uid="{314DD9F6-F086-4C8A-B1EE-947CC7C81F35}"/>
    <cellStyle name="SAPBEXexcGood1 13 2 3 2" xfId="22085" xr:uid="{B4EAAF5C-551E-41E5-B776-447CBBD04C6D}"/>
    <cellStyle name="SAPBEXexcGood1 13 2 4" xfId="10554" xr:uid="{5062EDC6-D080-4C76-B91D-C55E7D6846AC}"/>
    <cellStyle name="SAPBEXexcGood1 13 2 4 2" xfId="22086" xr:uid="{5C5225D9-D56B-4350-A654-7E3938BBA590}"/>
    <cellStyle name="SAPBEXexcGood1 13 2 5" xfId="10555" xr:uid="{67CE1C1B-EA3C-4BC1-AC7A-521B2DC93137}"/>
    <cellStyle name="SAPBEXexcGood1 13 2 5 2" xfId="22087" xr:uid="{090AD15E-48D8-4F6D-81D0-D4E372819B3F}"/>
    <cellStyle name="SAPBEXexcGood1 13 2 6" xfId="22083" xr:uid="{13135E72-8575-4286-A6EB-30A8C9274E4D}"/>
    <cellStyle name="SAPBEXexcGood1 13 3" xfId="10556" xr:uid="{627CF7C0-CC28-432A-9E2A-5441D4E527F6}"/>
    <cellStyle name="SAPBEXexcGood1 13 3 2" xfId="22088" xr:uid="{119987B0-B9CB-4A34-92B1-DE5D772D3F16}"/>
    <cellStyle name="SAPBEXexcGood1 13 4" xfId="10557" xr:uid="{5A4EEE8D-1BB5-49D1-8547-771A79D0AE09}"/>
    <cellStyle name="SAPBEXexcGood1 13 4 2" xfId="22089" xr:uid="{0DD6916D-6ECC-46D7-A1DB-129FC7F6DF6E}"/>
    <cellStyle name="SAPBEXexcGood1 13 5" xfId="10558" xr:uid="{5CF168EF-3141-42D0-B5F4-B3714F9E58D1}"/>
    <cellStyle name="SAPBEXexcGood1 13 5 2" xfId="22090" xr:uid="{0FEB1A29-054E-4DA7-A9C2-6D3D9E0A8D23}"/>
    <cellStyle name="SAPBEXexcGood1 13 6" xfId="10559" xr:uid="{F7A80854-F132-4073-BB96-19BFFDFEF154}"/>
    <cellStyle name="SAPBEXexcGood1 13 6 2" xfId="22091" xr:uid="{1C8007F4-100B-4CDB-859F-8A1E2ADE802D}"/>
    <cellStyle name="SAPBEXexcGood1 13 7" xfId="22082" xr:uid="{DC645C9B-2058-448C-BCFB-D52669D1A466}"/>
    <cellStyle name="SAPBEXexcGood1 14" xfId="10560" xr:uid="{47AFB4A1-7CC6-4743-8A2B-08B180C30A01}"/>
    <cellStyle name="SAPBEXexcGood1 14 2" xfId="10561" xr:uid="{1D9B98AF-71F7-482D-8E37-DC7DD4D83209}"/>
    <cellStyle name="SAPBEXexcGood1 14 2 2" xfId="10562" xr:uid="{EE5806B5-130C-4CBB-9A30-0E49BCCA9263}"/>
    <cellStyle name="SAPBEXexcGood1 14 2 2 2" xfId="22094" xr:uid="{5F03CDAC-16F1-4A4B-AACD-D90E3E20D237}"/>
    <cellStyle name="SAPBEXexcGood1 14 2 3" xfId="10563" xr:uid="{01354537-2597-478E-BC80-C3BF4484447D}"/>
    <cellStyle name="SAPBEXexcGood1 14 2 3 2" xfId="22095" xr:uid="{F91018D5-7DCA-482D-8095-E60793D5C5C3}"/>
    <cellStyle name="SAPBEXexcGood1 14 2 4" xfId="10564" xr:uid="{816112DF-E912-4B83-BAF6-0BECE6E498AC}"/>
    <cellStyle name="SAPBEXexcGood1 14 2 4 2" xfId="22096" xr:uid="{A9629C60-A52B-4B5B-886A-0FF8642FA1F1}"/>
    <cellStyle name="SAPBEXexcGood1 14 2 5" xfId="10565" xr:uid="{20E6A853-F2F6-40EB-AAEE-8F8D5FB9CCE7}"/>
    <cellStyle name="SAPBEXexcGood1 14 2 5 2" xfId="22097" xr:uid="{0592D265-4CC3-4E4C-AED0-F25869D9902D}"/>
    <cellStyle name="SAPBEXexcGood1 14 2 6" xfId="22093" xr:uid="{3C6CA165-EE53-4C1A-97C2-0C788B257C4C}"/>
    <cellStyle name="SAPBEXexcGood1 14 3" xfId="10566" xr:uid="{B0B2BD59-2E94-46DD-91DA-340B19A32BCD}"/>
    <cellStyle name="SAPBEXexcGood1 14 3 2" xfId="22098" xr:uid="{7FDCE167-0867-4D59-A5F0-17DEA106395F}"/>
    <cellStyle name="SAPBEXexcGood1 14 4" xfId="10567" xr:uid="{A2E4E9F5-EF07-40F1-90BA-EE761E1AFCE2}"/>
    <cellStyle name="SAPBEXexcGood1 14 4 2" xfId="22099" xr:uid="{BDD08BAE-EEFC-4ADB-92FB-2BE2DEEE57F2}"/>
    <cellStyle name="SAPBEXexcGood1 14 5" xfId="10568" xr:uid="{1A27B60D-2C16-4777-A9C3-D765CC18343F}"/>
    <cellStyle name="SAPBEXexcGood1 14 5 2" xfId="22100" xr:uid="{95CCEC6C-744D-42F8-B332-C1EE0AFCF8B9}"/>
    <cellStyle name="SAPBEXexcGood1 14 6" xfId="10569" xr:uid="{3EF2E22B-3BE7-4CAF-AAE7-92F579D9BC89}"/>
    <cellStyle name="SAPBEXexcGood1 14 6 2" xfId="22101" xr:uid="{039699A7-5CB8-4088-BA86-4600D85F8B80}"/>
    <cellStyle name="SAPBEXexcGood1 14 7" xfId="22092" xr:uid="{2149CA7A-CE04-45B0-A3AC-BDE3C2C69348}"/>
    <cellStyle name="SAPBEXexcGood1 15" xfId="10570" xr:uid="{E8FAC25A-794F-4CEB-9318-10B9074C517C}"/>
    <cellStyle name="SAPBEXexcGood1 15 2" xfId="10571" xr:uid="{AEDAF197-826E-4481-AD26-31BA0C788B66}"/>
    <cellStyle name="SAPBEXexcGood1 15 2 2" xfId="10572" xr:uid="{28496CA2-D537-44E2-B9B8-9187B626BE97}"/>
    <cellStyle name="SAPBEXexcGood1 15 2 2 2" xfId="22104" xr:uid="{081327C5-3D4E-43F6-BD80-A4772E8E4E3B}"/>
    <cellStyle name="SAPBEXexcGood1 15 2 3" xfId="10573" xr:uid="{EAE025DD-1946-49F7-8CC3-1AA72536ED17}"/>
    <cellStyle name="SAPBEXexcGood1 15 2 3 2" xfId="22105" xr:uid="{98A5B801-0A71-4986-BBC6-8FF98290AEE0}"/>
    <cellStyle name="SAPBEXexcGood1 15 2 4" xfId="10574" xr:uid="{250CD525-AC81-4CD0-A2F0-B00BBBE1739D}"/>
    <cellStyle name="SAPBEXexcGood1 15 2 4 2" xfId="22106" xr:uid="{89E2C0B7-C6F9-4A2C-9EAE-709723B15134}"/>
    <cellStyle name="SAPBEXexcGood1 15 2 5" xfId="10575" xr:uid="{FF1026A1-BD92-48B6-880B-BBD5289805E1}"/>
    <cellStyle name="SAPBEXexcGood1 15 2 5 2" xfId="22107" xr:uid="{AA77FC0E-7350-461B-9FBF-9C5C60FF6CC2}"/>
    <cellStyle name="SAPBEXexcGood1 15 2 6" xfId="22103" xr:uid="{F6D21AE2-18E1-40BA-B5C8-2D9FE5682F42}"/>
    <cellStyle name="SAPBEXexcGood1 15 3" xfId="10576" xr:uid="{63B844D0-CB47-42DD-A0E6-91AE97EE2562}"/>
    <cellStyle name="SAPBEXexcGood1 15 3 2" xfId="22108" xr:uid="{11BEF05E-D478-4288-BD41-CAAADA7F1514}"/>
    <cellStyle name="SAPBEXexcGood1 15 4" xfId="10577" xr:uid="{A0A84172-2F55-4C12-88BD-61F50504CC45}"/>
    <cellStyle name="SAPBEXexcGood1 15 4 2" xfId="22109" xr:uid="{D646DCB7-5636-4689-8C24-CB556C56EAD4}"/>
    <cellStyle name="SAPBEXexcGood1 15 5" xfId="10578" xr:uid="{92AAC63A-22CE-45BE-91A9-66A5791964B1}"/>
    <cellStyle name="SAPBEXexcGood1 15 5 2" xfId="22110" xr:uid="{7D37184A-52E9-44B2-AD50-93146ED8C4E5}"/>
    <cellStyle name="SAPBEXexcGood1 15 6" xfId="10579" xr:uid="{806571BA-3DF4-4481-978C-31B2441D01AD}"/>
    <cellStyle name="SAPBEXexcGood1 15 6 2" xfId="22111" xr:uid="{F19A46D0-7B76-4C56-8C0C-5FE4E9477A35}"/>
    <cellStyle name="SAPBEXexcGood1 15 7" xfId="22102" xr:uid="{8434FD10-2604-4C4E-BFED-B487940CB40C}"/>
    <cellStyle name="SAPBEXexcGood1 16" xfId="10580" xr:uid="{F0E37972-BAC8-4B10-A869-E94CC278D72D}"/>
    <cellStyle name="SAPBEXexcGood1 16 2" xfId="22112" xr:uid="{44918D32-7D45-4060-B4A4-C570D1850668}"/>
    <cellStyle name="SAPBEXexcGood1 17" xfId="10581" xr:uid="{70300BFA-7F1A-41C7-B7AA-F6EDD4586F60}"/>
    <cellStyle name="SAPBEXexcGood1 17 2" xfId="22113" xr:uid="{5DD6F32F-B58F-4EE8-93E8-63255D15CD1D}"/>
    <cellStyle name="SAPBEXexcGood1 18" xfId="10582" xr:uid="{D489D1D5-22CA-4C93-942C-119204D68D41}"/>
    <cellStyle name="SAPBEXexcGood1 18 2" xfId="22114" xr:uid="{76529703-5672-4FCD-B316-F4F0E057D78F}"/>
    <cellStyle name="SAPBEXexcGood1 19" xfId="10583" xr:uid="{460A05C9-3AD8-42F4-AD52-5E5F5D801AA2}"/>
    <cellStyle name="SAPBEXexcGood1 19 2" xfId="22115" xr:uid="{9509DAC0-2C34-4ACF-B208-A97ECF0C8B98}"/>
    <cellStyle name="SAPBEXexcGood1 2" xfId="10584" xr:uid="{FEF14C9B-1EEB-49A1-B149-82419A2D118B}"/>
    <cellStyle name="SAPBEXexcGood1 2 2" xfId="10585" xr:uid="{24072207-7E8C-43FB-AAE7-CBB067491566}"/>
    <cellStyle name="SAPBEXexcGood1 2 2 2" xfId="10586" xr:uid="{E20BE6B7-0174-4844-97C0-CC08AFA5399E}"/>
    <cellStyle name="SAPBEXexcGood1 2 2 2 2" xfId="22118" xr:uid="{28FAA5D6-E1DD-4AB3-AD31-437CD3953E26}"/>
    <cellStyle name="SAPBEXexcGood1 2 2 3" xfId="10587" xr:uid="{14C5A70F-8E0D-4FAE-9ABA-128AD4D546BF}"/>
    <cellStyle name="SAPBEXexcGood1 2 2 3 2" xfId="22119" xr:uid="{E102E474-A69A-413E-8AFD-AD5027949CA1}"/>
    <cellStyle name="SAPBEXexcGood1 2 2 4" xfId="10588" xr:uid="{8FEFCB55-1B67-48BC-93A7-7AD02E1A0A2A}"/>
    <cellStyle name="SAPBEXexcGood1 2 2 4 2" xfId="22120" xr:uid="{B5ED1347-EDC3-493A-95B0-54F29F5CC10A}"/>
    <cellStyle name="SAPBEXexcGood1 2 2 5" xfId="10589" xr:uid="{3F9659D1-DD58-48B3-843B-5DCA853E9A49}"/>
    <cellStyle name="SAPBEXexcGood1 2 2 5 2" xfId="22121" xr:uid="{606B3673-A2A3-409D-95E2-4151963DF1BA}"/>
    <cellStyle name="SAPBEXexcGood1 2 2 6" xfId="22117" xr:uid="{B7AAC8C8-FBF1-4A04-9A78-0BA27B70FF28}"/>
    <cellStyle name="SAPBEXexcGood1 2 3" xfId="10590" xr:uid="{9170175D-01FA-4B0D-9977-D8A4859705F3}"/>
    <cellStyle name="SAPBEXexcGood1 2 3 2" xfId="22122" xr:uid="{51C01F9B-66FE-4EE5-AACA-89DF74436E84}"/>
    <cellStyle name="SAPBEXexcGood1 2 4" xfId="10591" xr:uid="{7760EBB4-DF6E-4C13-AF65-B44063493A8A}"/>
    <cellStyle name="SAPBEXexcGood1 2 4 2" xfId="22123" xr:uid="{272EAF51-330D-438E-8EB1-10B03353C974}"/>
    <cellStyle name="SAPBEXexcGood1 2 5" xfId="10592" xr:uid="{A96F034B-E16A-40CB-B5C6-E78C106D562B}"/>
    <cellStyle name="SAPBEXexcGood1 2 5 2" xfId="22124" xr:uid="{78BE88F0-8252-46B0-A8E6-7D630F3B6C01}"/>
    <cellStyle name="SAPBEXexcGood1 2 6" xfId="10593" xr:uid="{2159A9D3-6891-4DE6-A7B3-8ADDC844E68D}"/>
    <cellStyle name="SAPBEXexcGood1 2 6 2" xfId="22125" xr:uid="{083F1695-8E5B-4A0A-B098-98C5A9E55086}"/>
    <cellStyle name="SAPBEXexcGood1 2 7" xfId="22116" xr:uid="{B2912720-E9CE-433C-9B54-82AB8FF5E6F2}"/>
    <cellStyle name="SAPBEXexcGood1 20" xfId="15171" xr:uid="{3F726074-CB81-4BDF-ADB3-FEBF6E62F678}"/>
    <cellStyle name="SAPBEXexcGood1 3" xfId="10594" xr:uid="{7876FEA0-F1D3-4B6F-921C-CC6031262615}"/>
    <cellStyle name="SAPBEXexcGood1 3 2" xfId="10595" xr:uid="{2A5CCD02-333A-4D90-B6E3-DC4FF5B825BF}"/>
    <cellStyle name="SAPBEXexcGood1 3 2 2" xfId="10596" xr:uid="{B2D9C648-7DEE-4816-A80B-4CF370ABD843}"/>
    <cellStyle name="SAPBEXexcGood1 3 2 2 2" xfId="22128" xr:uid="{689127F4-0802-4343-8698-D22BA9288BAA}"/>
    <cellStyle name="SAPBEXexcGood1 3 2 3" xfId="10597" xr:uid="{BCB21C9D-AF60-49E8-B363-61ECBBF4E7F9}"/>
    <cellStyle name="SAPBEXexcGood1 3 2 3 2" xfId="22129" xr:uid="{D4B767F5-CFCF-46D8-829C-4ED9024CF403}"/>
    <cellStyle name="SAPBEXexcGood1 3 2 4" xfId="10598" xr:uid="{6FE7AF3C-24EF-4C55-A5B1-7456E0E75D6B}"/>
    <cellStyle name="SAPBEXexcGood1 3 2 4 2" xfId="22130" xr:uid="{C0CE9A14-BEC3-4B89-8F78-549D271E5680}"/>
    <cellStyle name="SAPBEXexcGood1 3 2 5" xfId="10599" xr:uid="{151F850B-8D5A-4C13-9787-994D9FF8FDEE}"/>
    <cellStyle name="SAPBEXexcGood1 3 2 5 2" xfId="22131" xr:uid="{C4FBA765-84AE-40C5-AFDD-13AE0979FFBE}"/>
    <cellStyle name="SAPBEXexcGood1 3 2 6" xfId="22127" xr:uid="{73775CF5-0089-4716-A694-5956721AA020}"/>
    <cellStyle name="SAPBEXexcGood1 3 3" xfId="10600" xr:uid="{12426196-6FF6-4E50-BAEF-08EBEDE9D006}"/>
    <cellStyle name="SAPBEXexcGood1 3 3 2" xfId="22132" xr:uid="{741E32BF-D874-4D82-BF82-CC1922E80FB5}"/>
    <cellStyle name="SAPBEXexcGood1 3 4" xfId="10601" xr:uid="{9B560726-2298-4FB2-A904-1CA5A22E9926}"/>
    <cellStyle name="SAPBEXexcGood1 3 4 2" xfId="22133" xr:uid="{A88FF723-857A-43A0-B93F-CD960A5C6DD8}"/>
    <cellStyle name="SAPBEXexcGood1 3 5" xfId="10602" xr:uid="{58AC7745-129E-4104-974A-37CCB017085E}"/>
    <cellStyle name="SAPBEXexcGood1 3 5 2" xfId="22134" xr:uid="{AE158E13-8155-46F2-9213-5CCD38761444}"/>
    <cellStyle name="SAPBEXexcGood1 3 6" xfId="10603" xr:uid="{EFA40EFC-05D9-4A54-85C7-797F3A58E935}"/>
    <cellStyle name="SAPBEXexcGood1 3 6 2" xfId="22135" xr:uid="{C36EC964-54EF-40E8-8667-C660DA80A6EF}"/>
    <cellStyle name="SAPBEXexcGood1 3 7" xfId="22126" xr:uid="{09151C98-A262-423A-8834-E75BB1172619}"/>
    <cellStyle name="SAPBEXexcGood1 4" xfId="10604" xr:uid="{723896DA-1041-4394-A9B0-0222D7EDEA3B}"/>
    <cellStyle name="SAPBEXexcGood1 4 2" xfId="10605" xr:uid="{E08864CB-AB13-46B7-9EA3-F166F9F04B7C}"/>
    <cellStyle name="SAPBEXexcGood1 4 2 2" xfId="10606" xr:uid="{9E5E630F-7CC9-4FB5-9D56-F9EBBA2F18BE}"/>
    <cellStyle name="SAPBEXexcGood1 4 2 2 2" xfId="22138" xr:uid="{3107C113-B8FF-4753-AE7A-9FEB4A948BD1}"/>
    <cellStyle name="SAPBEXexcGood1 4 2 3" xfId="10607" xr:uid="{E73FD7C1-F2C2-4CA8-BF43-E501CB2C4CAE}"/>
    <cellStyle name="SAPBEXexcGood1 4 2 3 2" xfId="22139" xr:uid="{E5DA5B87-9D04-4532-A3B6-DFC5FCCC0FA3}"/>
    <cellStyle name="SAPBEXexcGood1 4 2 4" xfId="10608" xr:uid="{AB89D345-A9AD-4138-A61A-1231FFCA5526}"/>
    <cellStyle name="SAPBEXexcGood1 4 2 4 2" xfId="22140" xr:uid="{8D613BEE-1F38-4569-AEF3-FDE54F9D6167}"/>
    <cellStyle name="SAPBEXexcGood1 4 2 5" xfId="10609" xr:uid="{2BCD3CAF-CE7C-461E-9547-96C1145D84B2}"/>
    <cellStyle name="SAPBEXexcGood1 4 2 5 2" xfId="22141" xr:uid="{01E124A7-F3A7-4E7F-BA18-4470DE2DF7A4}"/>
    <cellStyle name="SAPBEXexcGood1 4 2 6" xfId="22137" xr:uid="{17B15644-0B39-4586-8B42-6A7724636968}"/>
    <cellStyle name="SAPBEXexcGood1 4 3" xfId="10610" xr:uid="{AB81B00A-DAE1-4F69-96C6-3EDA12CCB5A0}"/>
    <cellStyle name="SAPBEXexcGood1 4 3 2" xfId="22142" xr:uid="{7DDABFD7-DC9F-4B35-B03B-00C8F0F24F02}"/>
    <cellStyle name="SAPBEXexcGood1 4 4" xfId="10611" xr:uid="{352478B9-C453-435F-85A5-96E84D8A58B4}"/>
    <cellStyle name="SAPBEXexcGood1 4 4 2" xfId="22143" xr:uid="{5DFC5E55-13C2-4A63-A6F7-B81EC1C0835A}"/>
    <cellStyle name="SAPBEXexcGood1 4 5" xfId="10612" xr:uid="{493D7F97-6630-4DF8-BF3B-29D950D2A75A}"/>
    <cellStyle name="SAPBEXexcGood1 4 5 2" xfId="22144" xr:uid="{26610951-FB2D-423C-B7C8-2C9117AB74EC}"/>
    <cellStyle name="SAPBEXexcGood1 4 6" xfId="10613" xr:uid="{8BD0A233-6B27-4E8E-8E94-C206043A32A5}"/>
    <cellStyle name="SAPBEXexcGood1 4 6 2" xfId="22145" xr:uid="{842897D4-3B08-4B6E-8822-2060D8B17F7F}"/>
    <cellStyle name="SAPBEXexcGood1 4 7" xfId="22136" xr:uid="{46BB7BC6-D859-4FEF-BFE6-36225BCFD91C}"/>
    <cellStyle name="SAPBEXexcGood1 5" xfId="10614" xr:uid="{2981BF5E-482C-44CF-BF49-8E1F37069453}"/>
    <cellStyle name="SAPBEXexcGood1 5 2" xfId="10615" xr:uid="{8D5953D6-8381-422B-B981-DFDB4A4284AD}"/>
    <cellStyle name="SAPBEXexcGood1 5 2 2" xfId="10616" xr:uid="{AC1C4862-AEDB-4E65-9D9D-1B041AD06D76}"/>
    <cellStyle name="SAPBEXexcGood1 5 2 2 2" xfId="22148" xr:uid="{AA0470FD-AB7B-4F5C-8E07-D783466F273E}"/>
    <cellStyle name="SAPBEXexcGood1 5 2 3" xfId="10617" xr:uid="{C9ED497B-B68B-4DC5-A355-6F35115B7630}"/>
    <cellStyle name="SAPBEXexcGood1 5 2 3 2" xfId="22149" xr:uid="{CD803218-C568-413D-9A5D-5F9D3FD1EA5A}"/>
    <cellStyle name="SAPBEXexcGood1 5 2 4" xfId="10618" xr:uid="{F1029DD1-36A9-4324-B5B8-2D9AA3C6A300}"/>
    <cellStyle name="SAPBEXexcGood1 5 2 4 2" xfId="22150" xr:uid="{9F257E6F-B04D-4424-84DE-10653794F00C}"/>
    <cellStyle name="SAPBEXexcGood1 5 2 5" xfId="10619" xr:uid="{809DBF4D-5FE2-4EAB-8380-80D72F08DEE6}"/>
    <cellStyle name="SAPBEXexcGood1 5 2 5 2" xfId="22151" xr:uid="{8C1AFB17-2339-464F-A031-79AFFE37E51D}"/>
    <cellStyle name="SAPBEXexcGood1 5 2 6" xfId="22147" xr:uid="{3F2570BE-0328-4705-8FD6-D374B1013C49}"/>
    <cellStyle name="SAPBEXexcGood1 5 3" xfId="10620" xr:uid="{94B52877-E28F-42FE-920B-A6CEDBBA7E38}"/>
    <cellStyle name="SAPBEXexcGood1 5 3 2" xfId="22152" xr:uid="{94084A43-9C7B-45FF-B140-C3DD681A1B87}"/>
    <cellStyle name="SAPBEXexcGood1 5 4" xfId="10621" xr:uid="{36C3C38C-D486-4FB2-9500-F644A358A240}"/>
    <cellStyle name="SAPBEXexcGood1 5 4 2" xfId="22153" xr:uid="{3CA34EBB-A48E-457C-B5EF-55DCEB8DD98A}"/>
    <cellStyle name="SAPBEXexcGood1 5 5" xfId="10622" xr:uid="{F3993FE6-3093-4482-B867-173454426B19}"/>
    <cellStyle name="SAPBEXexcGood1 5 5 2" xfId="22154" xr:uid="{E238E558-FF06-40D7-BBA2-36DAFE3435E8}"/>
    <cellStyle name="SAPBEXexcGood1 5 6" xfId="10623" xr:uid="{4B869FDE-BB8B-4E60-A460-CD4FB7FAB955}"/>
    <cellStyle name="SAPBEXexcGood1 5 6 2" xfId="22155" xr:uid="{2928815C-0B92-4285-AEBE-A5F3D279EDF4}"/>
    <cellStyle name="SAPBEXexcGood1 5 7" xfId="22146" xr:uid="{A08E659B-4525-4DB0-905A-54D40B2B033E}"/>
    <cellStyle name="SAPBEXexcGood1 6" xfId="10624" xr:uid="{32012917-8A33-4A02-A439-A98FE6AF120E}"/>
    <cellStyle name="SAPBEXexcGood1 6 2" xfId="10625" xr:uid="{431CEB07-D04E-4EE4-B9B3-65E6A5A63CFD}"/>
    <cellStyle name="SAPBEXexcGood1 6 2 2" xfId="10626" xr:uid="{E06D7C56-4A99-442A-B0A8-C87377C51DE0}"/>
    <cellStyle name="SAPBEXexcGood1 6 2 2 2" xfId="22158" xr:uid="{D66F0086-72DB-41E0-ACC6-96E0E25FDAE6}"/>
    <cellStyle name="SAPBEXexcGood1 6 2 3" xfId="10627" xr:uid="{C2C50974-0849-4C9A-8E7A-E711EA6AE5AD}"/>
    <cellStyle name="SAPBEXexcGood1 6 2 3 2" xfId="22159" xr:uid="{C308CE1B-BC84-4C37-9A3B-106CE5EDAC35}"/>
    <cellStyle name="SAPBEXexcGood1 6 2 4" xfId="10628" xr:uid="{79120CD9-DB0A-46E7-B809-A3FC202A46D7}"/>
    <cellStyle name="SAPBEXexcGood1 6 2 4 2" xfId="22160" xr:uid="{ADECBAF6-D890-48F7-8D31-7051323753C0}"/>
    <cellStyle name="SAPBEXexcGood1 6 2 5" xfId="10629" xr:uid="{49EE60DF-655A-446E-B739-5A19A806053E}"/>
    <cellStyle name="SAPBEXexcGood1 6 2 5 2" xfId="22161" xr:uid="{9BE4FDC0-BA48-451F-B3EE-CFBFE25ADEAA}"/>
    <cellStyle name="SAPBEXexcGood1 6 2 6" xfId="22157" xr:uid="{6541BACD-2C69-4002-A067-556889CC2990}"/>
    <cellStyle name="SAPBEXexcGood1 6 3" xfId="10630" xr:uid="{C6296D80-37AD-48E9-AD82-D2CE2D66ABAB}"/>
    <cellStyle name="SAPBEXexcGood1 6 3 2" xfId="22162" xr:uid="{D302AAD4-24BD-48FE-90E1-8A5A351F31EA}"/>
    <cellStyle name="SAPBEXexcGood1 6 4" xfId="10631" xr:uid="{7EB8A6CA-062C-401B-A3AB-9DD50D891F2D}"/>
    <cellStyle name="SAPBEXexcGood1 6 4 2" xfId="22163" xr:uid="{8CD4D117-A1A2-4B94-8E6B-F3F15C5E7805}"/>
    <cellStyle name="SAPBEXexcGood1 6 5" xfId="10632" xr:uid="{3A249DB4-AFC0-4FE8-B99A-02DE3910FF46}"/>
    <cellStyle name="SAPBEXexcGood1 6 5 2" xfId="22164" xr:uid="{3BAA4B8C-98EF-48E2-8383-2395090BD269}"/>
    <cellStyle name="SAPBEXexcGood1 6 6" xfId="10633" xr:uid="{E5168739-734E-40AE-9B4C-7C7D4724125B}"/>
    <cellStyle name="SAPBEXexcGood1 6 6 2" xfId="22165" xr:uid="{91737D9E-09D0-4579-8555-482D25CC1015}"/>
    <cellStyle name="SAPBEXexcGood1 6 7" xfId="22156" xr:uid="{0F17BEA2-1A6D-493C-B9BE-68FB17D112C8}"/>
    <cellStyle name="SAPBEXexcGood1 7" xfId="10634" xr:uid="{EA5ED623-097C-4A70-97FD-8140BA928A39}"/>
    <cellStyle name="SAPBEXexcGood1 7 2" xfId="10635" xr:uid="{01CC84B4-EE8D-4867-8F2D-BF2C70A25508}"/>
    <cellStyle name="SAPBEXexcGood1 7 2 2" xfId="10636" xr:uid="{26574B4A-4CF3-4121-A30C-BAD718F18135}"/>
    <cellStyle name="SAPBEXexcGood1 7 2 2 2" xfId="22168" xr:uid="{2022C8C5-F0F5-4814-889D-38AB66657889}"/>
    <cellStyle name="SAPBEXexcGood1 7 2 3" xfId="10637" xr:uid="{1B16BC3C-5FF9-4888-8844-59D8F7603D8E}"/>
    <cellStyle name="SAPBEXexcGood1 7 2 3 2" xfId="22169" xr:uid="{03BADED3-920A-45F6-9E8F-05A3D755D2A0}"/>
    <cellStyle name="SAPBEXexcGood1 7 2 4" xfId="10638" xr:uid="{2C4CEA66-1776-43B8-A02F-B0C80A6791B1}"/>
    <cellStyle name="SAPBEXexcGood1 7 2 4 2" xfId="22170" xr:uid="{9FEB3B18-7C98-446C-B84A-BAA175F1DDF3}"/>
    <cellStyle name="SAPBEXexcGood1 7 2 5" xfId="10639" xr:uid="{F0D93AE0-C1B4-49A8-A457-CD1DEB93B824}"/>
    <cellStyle name="SAPBEXexcGood1 7 2 5 2" xfId="22171" xr:uid="{831AF2F7-628B-4E14-866C-3DD93AAB68BE}"/>
    <cellStyle name="SAPBEXexcGood1 7 2 6" xfId="22167" xr:uid="{77AB3EB0-3A40-4FDE-BE57-8FFD3451CD39}"/>
    <cellStyle name="SAPBEXexcGood1 7 3" xfId="10640" xr:uid="{C0777A0C-DEC4-4062-BBB2-662E508C97AE}"/>
    <cellStyle name="SAPBEXexcGood1 7 3 2" xfId="22172" xr:uid="{9732E48A-1C8B-4422-895F-FDD6BF1053A5}"/>
    <cellStyle name="SAPBEXexcGood1 7 4" xfId="10641" xr:uid="{5AA83C33-F4C2-4685-A3C5-03442EDF46EE}"/>
    <cellStyle name="SAPBEXexcGood1 7 4 2" xfId="22173" xr:uid="{6FFCC978-4A7E-426E-8987-913C59384686}"/>
    <cellStyle name="SAPBEXexcGood1 7 5" xfId="10642" xr:uid="{E43A6838-CF4C-4C1F-B869-81ED52CE71CA}"/>
    <cellStyle name="SAPBEXexcGood1 7 5 2" xfId="22174" xr:uid="{D6C1F061-63C6-4B0F-B55A-64CF95D1C3E8}"/>
    <cellStyle name="SAPBEXexcGood1 7 6" xfId="10643" xr:uid="{EBF8DEAA-285F-419C-B2B3-829BE370F315}"/>
    <cellStyle name="SAPBEXexcGood1 7 6 2" xfId="22175" xr:uid="{E3722DE1-7C95-4B09-8945-F0B3F3FA62B2}"/>
    <cellStyle name="SAPBEXexcGood1 7 7" xfId="22166" xr:uid="{421FBC7A-1F34-40CC-88FA-5A896717A73B}"/>
    <cellStyle name="SAPBEXexcGood1 8" xfId="10644" xr:uid="{50638B08-F9B2-4011-B432-C97E1DA2A429}"/>
    <cellStyle name="SAPBEXexcGood1 8 2" xfId="10645" xr:uid="{5F3202BC-4014-499E-9146-57AAD90B55F0}"/>
    <cellStyle name="SAPBEXexcGood1 8 2 2" xfId="10646" xr:uid="{1ADE71FD-4C18-4C21-B634-4FEA56FCC752}"/>
    <cellStyle name="SAPBEXexcGood1 8 2 2 2" xfId="22178" xr:uid="{8A4B6FF5-6AF9-466D-905F-202F764625B4}"/>
    <cellStyle name="SAPBEXexcGood1 8 2 3" xfId="10647" xr:uid="{80D97AFF-1944-49EE-9F13-BA1E2A74CE2F}"/>
    <cellStyle name="SAPBEXexcGood1 8 2 3 2" xfId="22179" xr:uid="{030BEBD1-F4F8-41C3-A033-C0D47AC594C4}"/>
    <cellStyle name="SAPBEXexcGood1 8 2 4" xfId="10648" xr:uid="{213E162B-B7BF-478F-9D82-907B3D44B93D}"/>
    <cellStyle name="SAPBEXexcGood1 8 2 4 2" xfId="22180" xr:uid="{0B95C302-3E12-4209-A32F-8B56D86F53AD}"/>
    <cellStyle name="SAPBEXexcGood1 8 2 5" xfId="10649" xr:uid="{C4E766D7-05DA-471E-B763-2B7B24392669}"/>
    <cellStyle name="SAPBEXexcGood1 8 2 5 2" xfId="22181" xr:uid="{DC539B38-3FE0-4CA0-9FEB-3CE4698DC3A2}"/>
    <cellStyle name="SAPBEXexcGood1 8 2 6" xfId="22177" xr:uid="{5690DDE5-C167-486B-B554-4C489A71EA71}"/>
    <cellStyle name="SAPBEXexcGood1 8 3" xfId="10650" xr:uid="{A0C610A6-09B1-487F-872B-821DA5358259}"/>
    <cellStyle name="SAPBEXexcGood1 8 3 2" xfId="22182" xr:uid="{DB79BF13-D16C-4622-A489-224390FCB639}"/>
    <cellStyle name="SAPBEXexcGood1 8 4" xfId="10651" xr:uid="{7ADC0523-5A7F-4E3A-A6A1-3F166ADB96B1}"/>
    <cellStyle name="SAPBEXexcGood1 8 4 2" xfId="22183" xr:uid="{808D43B0-D4CC-45B5-A2D5-EDFBDA0127ED}"/>
    <cellStyle name="SAPBEXexcGood1 8 5" xfId="10652" xr:uid="{94EB960C-C86B-4455-ABA5-09F101387733}"/>
    <cellStyle name="SAPBEXexcGood1 8 5 2" xfId="22184" xr:uid="{0E015BA3-12B3-42AB-BC09-A3A7BFD1CA8E}"/>
    <cellStyle name="SAPBEXexcGood1 8 6" xfId="10653" xr:uid="{6E2738BB-6932-46DA-A5C8-2C240C7F36DF}"/>
    <cellStyle name="SAPBEXexcGood1 8 6 2" xfId="22185" xr:uid="{59E27C9E-9553-40B3-ABEE-56A225F9CE4F}"/>
    <cellStyle name="SAPBEXexcGood1 8 7" xfId="22176" xr:uid="{763C17DE-4F3C-4010-B408-716428BB255E}"/>
    <cellStyle name="SAPBEXexcGood1 9" xfId="10654" xr:uid="{FDA940EE-648E-43F4-BA69-D516B4084D07}"/>
    <cellStyle name="SAPBEXexcGood1 9 2" xfId="10655" xr:uid="{D61E5DEB-907D-431D-9F26-BC70B4A875DC}"/>
    <cellStyle name="SAPBEXexcGood1 9 2 2" xfId="10656" xr:uid="{55E7CA53-0A6D-46E1-AD93-F428C7C47413}"/>
    <cellStyle name="SAPBEXexcGood1 9 2 2 2" xfId="22188" xr:uid="{656C7A1B-7B26-44E7-A512-91300BD0A64C}"/>
    <cellStyle name="SAPBEXexcGood1 9 2 3" xfId="10657" xr:uid="{7F4471E6-DD30-4639-A317-21D5B26F2053}"/>
    <cellStyle name="SAPBEXexcGood1 9 2 3 2" xfId="22189" xr:uid="{002BBA2B-09C1-4614-B873-6909B9F90C8D}"/>
    <cellStyle name="SAPBEXexcGood1 9 2 4" xfId="10658" xr:uid="{6A4ADF8F-2691-4B8B-B3F4-CFE18043C299}"/>
    <cellStyle name="SAPBEXexcGood1 9 2 4 2" xfId="22190" xr:uid="{043326CA-BE64-4B5B-AA3B-12DB795C792D}"/>
    <cellStyle name="SAPBEXexcGood1 9 2 5" xfId="10659" xr:uid="{78CF380B-4D11-4E6C-9F7F-3417A557AE40}"/>
    <cellStyle name="SAPBEXexcGood1 9 2 5 2" xfId="22191" xr:uid="{735B6BC1-8F78-439A-8252-2B218C86B07D}"/>
    <cellStyle name="SAPBEXexcGood1 9 2 6" xfId="22187" xr:uid="{518D31E9-F005-498B-A5C8-A2805161C300}"/>
    <cellStyle name="SAPBEXexcGood1 9 3" xfId="10660" xr:uid="{E4570970-613A-4541-9EF9-927D56FE3FBD}"/>
    <cellStyle name="SAPBEXexcGood1 9 3 2" xfId="22192" xr:uid="{595BCFBD-E42B-4516-915A-0EEE20346636}"/>
    <cellStyle name="SAPBEXexcGood1 9 4" xfId="10661" xr:uid="{FEB967D4-504F-4545-98BA-9929592F43C7}"/>
    <cellStyle name="SAPBEXexcGood1 9 4 2" xfId="22193" xr:uid="{0671E032-01AB-4C43-A2FD-BA36D536D26B}"/>
    <cellStyle name="SAPBEXexcGood1 9 5" xfId="10662" xr:uid="{5627468F-34D6-4990-BD9F-E7567A3005EE}"/>
    <cellStyle name="SAPBEXexcGood1 9 5 2" xfId="22194" xr:uid="{F35955E0-603F-40BC-8269-55F34C6C65C9}"/>
    <cellStyle name="SAPBEXexcGood1 9 6" xfId="10663" xr:uid="{CEE4ED16-791E-44F9-8A50-FD3AA35C27B2}"/>
    <cellStyle name="SAPBEXexcGood1 9 6 2" xfId="22195" xr:uid="{34EB3034-B1D1-46ED-B5F4-CAD57146E086}"/>
    <cellStyle name="SAPBEXexcGood1 9 7" xfId="22186" xr:uid="{6BD4B234-9F7B-4D6E-A63F-191955E7B529}"/>
    <cellStyle name="SAPBEXexcGood1_KTR An-Abflug" xfId="14844" xr:uid="{0BFF5727-2EBB-4615-ADC4-7CFD19251E67}"/>
    <cellStyle name="SAPBEXexcGood2" xfId="10664" xr:uid="{BD426271-0A6E-491E-BA11-70A8ED403434}"/>
    <cellStyle name="SAPBEXexcGood2 10" xfId="10665" xr:uid="{A669A3F3-128B-4024-A272-5F48FAB4FF3E}"/>
    <cellStyle name="SAPBEXexcGood2 10 2" xfId="10666" xr:uid="{16A4AED5-A34E-44AF-9B85-7172F44B60E0}"/>
    <cellStyle name="SAPBEXexcGood2 10 2 2" xfId="10667" xr:uid="{D5DCE21A-8713-49B0-B2AF-0AE0B256B00D}"/>
    <cellStyle name="SAPBEXexcGood2 10 2 2 2" xfId="22198" xr:uid="{427D6CC6-6420-49FD-87FB-77A671B2E16A}"/>
    <cellStyle name="SAPBEXexcGood2 10 2 3" xfId="10668" xr:uid="{E03363F6-2306-4997-8C40-2EBC8DB03EF1}"/>
    <cellStyle name="SAPBEXexcGood2 10 2 3 2" xfId="22199" xr:uid="{3CA45462-0782-4C1C-B336-E4A945024837}"/>
    <cellStyle name="SAPBEXexcGood2 10 2 4" xfId="10669" xr:uid="{4C70C30B-DFC6-4E75-AC4D-D680497C4B61}"/>
    <cellStyle name="SAPBEXexcGood2 10 2 4 2" xfId="22200" xr:uid="{85B383BE-6563-46EB-99BA-1DAD881B3556}"/>
    <cellStyle name="SAPBEXexcGood2 10 2 5" xfId="10670" xr:uid="{7BC870C0-00F4-442B-BC69-778B8431889E}"/>
    <cellStyle name="SAPBEXexcGood2 10 2 5 2" xfId="22201" xr:uid="{B8B55291-03D8-4A95-BA01-AB40CB713140}"/>
    <cellStyle name="SAPBEXexcGood2 10 2 6" xfId="22197" xr:uid="{E8DB2135-FFC6-4E62-B971-4F92042EAB00}"/>
    <cellStyle name="SAPBEXexcGood2 10 3" xfId="10671" xr:uid="{5C056913-9DBA-4A55-9218-0999A2CD0D46}"/>
    <cellStyle name="SAPBEXexcGood2 10 3 2" xfId="22202" xr:uid="{C7733927-9210-45DD-A368-C8491941DC61}"/>
    <cellStyle name="SAPBEXexcGood2 10 4" xfId="10672" xr:uid="{3B985EA0-890B-4209-B136-F2154CA8EFBE}"/>
    <cellStyle name="SAPBEXexcGood2 10 4 2" xfId="22203" xr:uid="{8BC84EA4-E82F-4CF6-B03D-8B351EBB0363}"/>
    <cellStyle name="SAPBEXexcGood2 10 5" xfId="10673" xr:uid="{A5D25128-0F1F-4DEF-8F00-D12CD9B9A09B}"/>
    <cellStyle name="SAPBEXexcGood2 10 5 2" xfId="22204" xr:uid="{E7DE02CB-110E-4F47-B154-D1D98CE40A6F}"/>
    <cellStyle name="SAPBEXexcGood2 10 6" xfId="10674" xr:uid="{E9EB36D8-2E5F-4729-8D48-29D23282E040}"/>
    <cellStyle name="SAPBEXexcGood2 10 6 2" xfId="22205" xr:uid="{4B2AF423-DCBE-4924-9E13-3407598C5826}"/>
    <cellStyle name="SAPBEXexcGood2 10 7" xfId="22196" xr:uid="{7AF76604-D5E5-4E49-9A24-FA34481ED286}"/>
    <cellStyle name="SAPBEXexcGood2 11" xfId="10675" xr:uid="{EC049376-462A-4200-9169-9C1379F0526F}"/>
    <cellStyle name="SAPBEXexcGood2 11 2" xfId="10676" xr:uid="{FA691E82-FC2D-48D2-ABCE-60D52A86B9C1}"/>
    <cellStyle name="SAPBEXexcGood2 11 2 2" xfId="10677" xr:uid="{69BD18C8-1538-42D0-851D-723F28B96798}"/>
    <cellStyle name="SAPBEXexcGood2 11 2 2 2" xfId="22208" xr:uid="{6D062627-A742-46D1-9633-7AEBC21AC965}"/>
    <cellStyle name="SAPBEXexcGood2 11 2 3" xfId="10678" xr:uid="{FC378F4A-AB47-4DE3-9304-24CE33F7B027}"/>
    <cellStyle name="SAPBEXexcGood2 11 2 3 2" xfId="22209" xr:uid="{D3DAFC96-7808-4FCD-AC11-D439F2EDB11D}"/>
    <cellStyle name="SAPBEXexcGood2 11 2 4" xfId="10679" xr:uid="{E4E95EDE-F377-4B1F-8F8B-3F928978D81A}"/>
    <cellStyle name="SAPBEXexcGood2 11 2 4 2" xfId="22210" xr:uid="{4D639B44-2EE2-480C-8F2B-AC6FF55BE2EE}"/>
    <cellStyle name="SAPBEXexcGood2 11 2 5" xfId="10680" xr:uid="{F1A2BA06-6F84-4590-81FE-6B87F191B59D}"/>
    <cellStyle name="SAPBEXexcGood2 11 2 5 2" xfId="22211" xr:uid="{8F2B0CF0-3FD5-4F4D-9D6D-98038B30BA04}"/>
    <cellStyle name="SAPBEXexcGood2 11 2 6" xfId="22207" xr:uid="{CBB83912-4171-4054-ADE7-083583589693}"/>
    <cellStyle name="SAPBEXexcGood2 11 3" xfId="10681" xr:uid="{74531182-5E58-4BAF-9B64-550E61B204CC}"/>
    <cellStyle name="SAPBEXexcGood2 11 3 2" xfId="22212" xr:uid="{5CBC9E9C-816F-4C01-82E8-EBA6A0542875}"/>
    <cellStyle name="SAPBEXexcGood2 11 4" xfId="10682" xr:uid="{4244C054-54EE-4C2B-A3D8-3390C2C6D63E}"/>
    <cellStyle name="SAPBEXexcGood2 11 4 2" xfId="22213" xr:uid="{C6811313-0B28-489C-9A85-5BEE57DF5791}"/>
    <cellStyle name="SAPBEXexcGood2 11 5" xfId="10683" xr:uid="{87D94859-E41B-49E9-8027-B23F808A1189}"/>
    <cellStyle name="SAPBEXexcGood2 11 5 2" xfId="22214" xr:uid="{1896EBC4-E947-4D7F-855C-DF3ACD04FBC1}"/>
    <cellStyle name="SAPBEXexcGood2 11 6" xfId="10684" xr:uid="{FA2EEBB3-CE1D-442C-A48D-595BA27F2E8B}"/>
    <cellStyle name="SAPBEXexcGood2 11 6 2" xfId="22215" xr:uid="{69B7FFBC-8A0D-4486-9244-3801CA8AB98F}"/>
    <cellStyle name="SAPBEXexcGood2 11 7" xfId="22206" xr:uid="{1C604725-9B5C-4D03-885F-3CB72483401A}"/>
    <cellStyle name="SAPBEXexcGood2 12" xfId="10685" xr:uid="{9772D31A-80F7-48D2-BC59-EC983D1FBE4F}"/>
    <cellStyle name="SAPBEXexcGood2 12 2" xfId="10686" xr:uid="{896C76EA-DBDC-4C88-91C3-EB477AD7C09B}"/>
    <cellStyle name="SAPBEXexcGood2 12 2 2" xfId="10687" xr:uid="{D8513954-E38A-41C9-B8D1-AA5BF2EFCCC0}"/>
    <cellStyle name="SAPBEXexcGood2 12 2 2 2" xfId="22218" xr:uid="{F37460D6-2963-4B51-964E-4A194A4B877E}"/>
    <cellStyle name="SAPBEXexcGood2 12 2 3" xfId="10688" xr:uid="{66F4BCAC-2132-4A7B-BED5-E16D57275F2F}"/>
    <cellStyle name="SAPBEXexcGood2 12 2 3 2" xfId="22219" xr:uid="{9684AEE7-442F-485E-A17E-96DD9559D789}"/>
    <cellStyle name="SAPBEXexcGood2 12 2 4" xfId="10689" xr:uid="{30923E8D-092E-4335-BF3B-7FBCB61A9CA7}"/>
    <cellStyle name="SAPBEXexcGood2 12 2 4 2" xfId="22220" xr:uid="{5DF9A6D3-EFBA-41CA-BF7A-4DA190847711}"/>
    <cellStyle name="SAPBEXexcGood2 12 2 5" xfId="10690" xr:uid="{8110E4FA-C6AB-46B0-80E8-33A6ADF1FB41}"/>
    <cellStyle name="SAPBEXexcGood2 12 2 5 2" xfId="22221" xr:uid="{A3FA6094-3ECF-4B96-91B1-55163B120193}"/>
    <cellStyle name="SAPBEXexcGood2 12 2 6" xfId="22217" xr:uid="{2EFA21E8-672F-4FC6-ACB7-6D55535412B6}"/>
    <cellStyle name="SAPBEXexcGood2 12 3" xfId="10691" xr:uid="{190D199D-A8AB-4013-A731-770228F0256B}"/>
    <cellStyle name="SAPBEXexcGood2 12 3 2" xfId="22222" xr:uid="{6EE4CDFF-4946-4410-8C84-B347DCCC3180}"/>
    <cellStyle name="SAPBEXexcGood2 12 4" xfId="10692" xr:uid="{F3673162-DF7D-4460-84EF-D7E2259F8894}"/>
    <cellStyle name="SAPBEXexcGood2 12 4 2" xfId="22223" xr:uid="{FF4A02BE-D695-4E01-8DA3-3431A2E8D180}"/>
    <cellStyle name="SAPBEXexcGood2 12 5" xfId="10693" xr:uid="{6D6B7D08-9E1A-4687-8E8D-D28F63EFD8D9}"/>
    <cellStyle name="SAPBEXexcGood2 12 5 2" xfId="22224" xr:uid="{88E172FE-B208-4DA1-BA44-C10D947FB497}"/>
    <cellStyle name="SAPBEXexcGood2 12 6" xfId="10694" xr:uid="{AF624F44-D5D3-45B5-AABB-0136424B1D11}"/>
    <cellStyle name="SAPBEXexcGood2 12 6 2" xfId="22225" xr:uid="{1A08CC25-207F-432E-9A77-0A09012CE26A}"/>
    <cellStyle name="SAPBEXexcGood2 12 7" xfId="22216" xr:uid="{A5CC60E2-AE74-41D9-8C83-4100CDDB7DA4}"/>
    <cellStyle name="SAPBEXexcGood2 13" xfId="10695" xr:uid="{E59F3CF1-A0B1-40E9-B7FA-A20D1D75CBA9}"/>
    <cellStyle name="SAPBEXexcGood2 13 2" xfId="10696" xr:uid="{B195BAF2-86ED-4C39-AB35-17150FB1446F}"/>
    <cellStyle name="SAPBEXexcGood2 13 2 2" xfId="10697" xr:uid="{99375995-84DD-47EF-81F1-3A0C48D00862}"/>
    <cellStyle name="SAPBEXexcGood2 13 2 2 2" xfId="22228" xr:uid="{B7D95632-47ED-4F0E-B9AB-1495D9ABBFF2}"/>
    <cellStyle name="SAPBEXexcGood2 13 2 3" xfId="10698" xr:uid="{C9C2F763-FD5E-4C92-B453-26D31B9C5352}"/>
    <cellStyle name="SAPBEXexcGood2 13 2 3 2" xfId="22229" xr:uid="{761567C0-1B42-44C5-98AC-1D4B72820758}"/>
    <cellStyle name="SAPBEXexcGood2 13 2 4" xfId="10699" xr:uid="{F3E909EA-9FD0-4F14-A1FC-71E5B3A67FCD}"/>
    <cellStyle name="SAPBEXexcGood2 13 2 4 2" xfId="22230" xr:uid="{5398B311-0025-463B-8AB6-4A5001A4F7FF}"/>
    <cellStyle name="SAPBEXexcGood2 13 2 5" xfId="10700" xr:uid="{5568D1EA-90F4-4393-9E1C-A9C5D6E6088A}"/>
    <cellStyle name="SAPBEXexcGood2 13 2 5 2" xfId="22231" xr:uid="{4FFF98BD-D456-45B9-905E-EF0ED10A8D8E}"/>
    <cellStyle name="SAPBEXexcGood2 13 2 6" xfId="22227" xr:uid="{67A468EA-82E5-4DCA-859A-F7513206CFE8}"/>
    <cellStyle name="SAPBEXexcGood2 13 3" xfId="10701" xr:uid="{A4FC8B84-3698-4D9F-B341-547765A439C5}"/>
    <cellStyle name="SAPBEXexcGood2 13 3 2" xfId="22232" xr:uid="{25769061-4D60-46D5-9916-2C1697F0951B}"/>
    <cellStyle name="SAPBEXexcGood2 13 4" xfId="10702" xr:uid="{991C1AC7-B956-44AB-B03B-A8382EE685DA}"/>
    <cellStyle name="SAPBEXexcGood2 13 4 2" xfId="22233" xr:uid="{8E13F426-5E44-4506-9C1B-5050685AD216}"/>
    <cellStyle name="SAPBEXexcGood2 13 5" xfId="10703" xr:uid="{857812FA-D9A2-4881-8849-C31E7B35A8A5}"/>
    <cellStyle name="SAPBEXexcGood2 13 5 2" xfId="22234" xr:uid="{423A429E-DD8A-4C5B-9A28-1B88A9B785E8}"/>
    <cellStyle name="SAPBEXexcGood2 13 6" xfId="10704" xr:uid="{5DFD031F-09DC-4B75-8AE9-8FFD0DDA8FCD}"/>
    <cellStyle name="SAPBEXexcGood2 13 6 2" xfId="22235" xr:uid="{BA00B706-9493-4CA3-B0C1-2A999B0671AC}"/>
    <cellStyle name="SAPBEXexcGood2 13 7" xfId="22226" xr:uid="{A5391248-5A9B-4B4B-9416-EC8926D89D4C}"/>
    <cellStyle name="SAPBEXexcGood2 14" xfId="10705" xr:uid="{28AA3FD8-DED9-4063-95A0-929CFAAD7D23}"/>
    <cellStyle name="SAPBEXexcGood2 14 2" xfId="10706" xr:uid="{9C15444E-7157-4741-91E9-04F91E5A4E19}"/>
    <cellStyle name="SAPBEXexcGood2 14 2 2" xfId="10707" xr:uid="{7CEF83B0-CAF8-44AF-800E-DE5230D94E71}"/>
    <cellStyle name="SAPBEXexcGood2 14 2 2 2" xfId="22238" xr:uid="{FACE479B-FF94-4A81-9977-B96AE659E8E1}"/>
    <cellStyle name="SAPBEXexcGood2 14 2 3" xfId="10708" xr:uid="{C0E30D5B-3C29-4018-9998-273AC558915A}"/>
    <cellStyle name="SAPBEXexcGood2 14 2 3 2" xfId="22239" xr:uid="{F29689B5-53C1-4C75-862D-D1006895FCFE}"/>
    <cellStyle name="SAPBEXexcGood2 14 2 4" xfId="10709" xr:uid="{AE0CA04D-20E4-4676-B6AE-E5002F9D092F}"/>
    <cellStyle name="SAPBEXexcGood2 14 2 4 2" xfId="22240" xr:uid="{ABF74882-B032-49C1-9F01-040F6BC3F624}"/>
    <cellStyle name="SAPBEXexcGood2 14 2 5" xfId="10710" xr:uid="{744087A5-D04C-4F44-9DE6-09A818323FCF}"/>
    <cellStyle name="SAPBEXexcGood2 14 2 5 2" xfId="22241" xr:uid="{860F9670-2C1E-48A3-A6A3-94EF8E06DCCB}"/>
    <cellStyle name="SAPBEXexcGood2 14 2 6" xfId="22237" xr:uid="{B715DD69-7E03-4E09-A121-909D4DFC20EC}"/>
    <cellStyle name="SAPBEXexcGood2 14 3" xfId="10711" xr:uid="{55D4C3A1-970D-4886-9957-7E5C9299DF5D}"/>
    <cellStyle name="SAPBEXexcGood2 14 3 2" xfId="22242" xr:uid="{60E1385B-BFD8-4B19-9160-16F526FB6C28}"/>
    <cellStyle name="SAPBEXexcGood2 14 4" xfId="10712" xr:uid="{E9EEA10D-5035-4678-AC64-9CCF42791453}"/>
    <cellStyle name="SAPBEXexcGood2 14 4 2" xfId="22243" xr:uid="{2093CC3F-10B8-489F-B5CF-6CFB9F7BD708}"/>
    <cellStyle name="SAPBEXexcGood2 14 5" xfId="10713" xr:uid="{D520E19E-C043-432B-9930-F63CA3151F6E}"/>
    <cellStyle name="SAPBEXexcGood2 14 5 2" xfId="22244" xr:uid="{309EFD40-3EE9-4415-860B-98CED74D70A5}"/>
    <cellStyle name="SAPBEXexcGood2 14 6" xfId="10714" xr:uid="{929D5822-83B9-4D5F-9CA6-21EA27F050BE}"/>
    <cellStyle name="SAPBEXexcGood2 14 6 2" xfId="22245" xr:uid="{064F5F1D-E055-4107-ACE0-BD493A5C1DF5}"/>
    <cellStyle name="SAPBEXexcGood2 14 7" xfId="22236" xr:uid="{02E3514B-A9E0-429B-BE8A-91271C94853B}"/>
    <cellStyle name="SAPBEXexcGood2 15" xfId="10715" xr:uid="{3526969A-2D68-4401-93F3-85623701EDA8}"/>
    <cellStyle name="SAPBEXexcGood2 15 2" xfId="10716" xr:uid="{5CDA2C36-1BB3-42AB-BE98-4FA71FA68206}"/>
    <cellStyle name="SAPBEXexcGood2 15 2 2" xfId="10717" xr:uid="{22F9A2EF-56E0-4C47-A5A8-B768CEC22D5D}"/>
    <cellStyle name="SAPBEXexcGood2 15 2 2 2" xfId="22248" xr:uid="{543EF369-9BB2-489E-947A-7E4B7D6380CC}"/>
    <cellStyle name="SAPBEXexcGood2 15 2 3" xfId="10718" xr:uid="{8A23D8CA-7DEB-44A7-8E76-F66F95A2519D}"/>
    <cellStyle name="SAPBEXexcGood2 15 2 3 2" xfId="22249" xr:uid="{9D2D65F7-BA2C-44A0-97EB-81FDFAFE7011}"/>
    <cellStyle name="SAPBEXexcGood2 15 2 4" xfId="10719" xr:uid="{DFE47177-C252-4BE9-826A-A2A462450120}"/>
    <cellStyle name="SAPBEXexcGood2 15 2 4 2" xfId="22250" xr:uid="{53738C6F-A2B4-42E2-BE0D-17E42BCFCE57}"/>
    <cellStyle name="SAPBEXexcGood2 15 2 5" xfId="10720" xr:uid="{5D5F9346-192F-45E7-813F-117DCBCCF06D}"/>
    <cellStyle name="SAPBEXexcGood2 15 2 5 2" xfId="22251" xr:uid="{AE202418-A291-48AC-BC17-0997992CDF39}"/>
    <cellStyle name="SAPBEXexcGood2 15 2 6" xfId="22247" xr:uid="{EA6FB5F0-8513-484A-A217-0DF9C1DD6219}"/>
    <cellStyle name="SAPBEXexcGood2 15 3" xfId="10721" xr:uid="{058D572C-F887-45A2-B89F-404CF78CF7B4}"/>
    <cellStyle name="SAPBEXexcGood2 15 3 2" xfId="22252" xr:uid="{76644F81-63DA-438A-B1CD-445C2F43D801}"/>
    <cellStyle name="SAPBEXexcGood2 15 4" xfId="10722" xr:uid="{737B9ED2-FDF4-4F04-B1B8-679DB1E17990}"/>
    <cellStyle name="SAPBEXexcGood2 15 4 2" xfId="22253" xr:uid="{39F87519-ECA8-47C3-8037-6A37CE7CC58E}"/>
    <cellStyle name="SAPBEXexcGood2 15 5" xfId="10723" xr:uid="{A8DEE8EF-A08D-413A-8477-3F0BE3529A44}"/>
    <cellStyle name="SAPBEXexcGood2 15 5 2" xfId="22254" xr:uid="{088C021A-BE67-4109-9A7E-694209EB4EB0}"/>
    <cellStyle name="SAPBEXexcGood2 15 6" xfId="10724" xr:uid="{2FD7199E-2D7E-48DF-83CF-6C04E4D70912}"/>
    <cellStyle name="SAPBEXexcGood2 15 6 2" xfId="22255" xr:uid="{D181A550-7246-4772-8C21-D1AEBBB6BC26}"/>
    <cellStyle name="SAPBEXexcGood2 15 7" xfId="22246" xr:uid="{359A8D53-45A0-4047-B43F-0798F0353DD7}"/>
    <cellStyle name="SAPBEXexcGood2 16" xfId="10725" xr:uid="{66A06376-7608-4E0A-AC2C-9C77D4AC95B5}"/>
    <cellStyle name="SAPBEXexcGood2 16 2" xfId="22256" xr:uid="{EEB2A6B8-03C3-4395-9311-D95ADCBB7ACF}"/>
    <cellStyle name="SAPBEXexcGood2 17" xfId="10726" xr:uid="{51338C8E-DF3C-4B15-9381-989C5B330F59}"/>
    <cellStyle name="SAPBEXexcGood2 17 2" xfId="22257" xr:uid="{2ECB080A-8728-482A-85A8-BBF83CA98B37}"/>
    <cellStyle name="SAPBEXexcGood2 18" xfId="10727" xr:uid="{4B2DC8C4-A00C-4DD8-AC53-E048231C7880}"/>
    <cellStyle name="SAPBEXexcGood2 18 2" xfId="22258" xr:uid="{5DE82BD8-C738-4B06-88FC-905C208D7926}"/>
    <cellStyle name="SAPBEXexcGood2 19" xfId="10728" xr:uid="{CF372962-2695-498C-B1E0-064F6CE6CE87}"/>
    <cellStyle name="SAPBEXexcGood2 19 2" xfId="22259" xr:uid="{2556C740-2E47-400B-9C68-61B2116E56D8}"/>
    <cellStyle name="SAPBEXexcGood2 2" xfId="10729" xr:uid="{B065BA1C-531D-4D3F-A599-343AFE436C01}"/>
    <cellStyle name="SAPBEXexcGood2 2 2" xfId="10730" xr:uid="{3F14A7A3-6642-4985-A5DA-182BD06E9F94}"/>
    <cellStyle name="SAPBEXexcGood2 2 2 2" xfId="10731" xr:uid="{94A9E3BB-7B76-4397-A521-3824EE2272D4}"/>
    <cellStyle name="SAPBEXexcGood2 2 2 2 2" xfId="22262" xr:uid="{E3F63959-ADB4-462A-86CB-22A3B5A868C3}"/>
    <cellStyle name="SAPBEXexcGood2 2 2 3" xfId="10732" xr:uid="{5669F97A-31B3-4DC4-A37B-9280454633B3}"/>
    <cellStyle name="SAPBEXexcGood2 2 2 3 2" xfId="22263" xr:uid="{47AF0DC1-C4B1-4B72-828B-C274ED44DA5D}"/>
    <cellStyle name="SAPBEXexcGood2 2 2 4" xfId="10733" xr:uid="{1A34D12D-8F59-4ADE-A3D0-7E933B889DA2}"/>
    <cellStyle name="SAPBEXexcGood2 2 2 4 2" xfId="22264" xr:uid="{53F2B44A-7D59-4E3F-AC29-A1F9F697C6A3}"/>
    <cellStyle name="SAPBEXexcGood2 2 2 5" xfId="10734" xr:uid="{D2AC4758-717C-409D-B84D-370EBAD171FE}"/>
    <cellStyle name="SAPBEXexcGood2 2 2 5 2" xfId="22265" xr:uid="{283D2E9B-ACF3-421C-A884-02202371E602}"/>
    <cellStyle name="SAPBEXexcGood2 2 2 6" xfId="22261" xr:uid="{9BCDA6ED-DC39-4C0D-B46B-CD457FD20AC8}"/>
    <cellStyle name="SAPBEXexcGood2 2 3" xfId="10735" xr:uid="{2C9559E5-3FB4-4BA3-BFB6-31C124C9D1DE}"/>
    <cellStyle name="SAPBEXexcGood2 2 3 2" xfId="22266" xr:uid="{ABF6A6A3-63E8-45F8-B552-B3CCB1D92330}"/>
    <cellStyle name="SAPBEXexcGood2 2 4" xfId="10736" xr:uid="{70594A5E-3A3E-41A4-B533-6BF880F855A7}"/>
    <cellStyle name="SAPBEXexcGood2 2 4 2" xfId="22267" xr:uid="{8AD957D5-568B-4439-9CBD-A0ECAE4DA504}"/>
    <cellStyle name="SAPBEXexcGood2 2 5" xfId="10737" xr:uid="{1526AF50-F146-4BD1-A91C-AE18DC766126}"/>
    <cellStyle name="SAPBEXexcGood2 2 5 2" xfId="22268" xr:uid="{4A8D56C0-348F-4EEF-89EC-25FED64A0E08}"/>
    <cellStyle name="SAPBEXexcGood2 2 6" xfId="10738" xr:uid="{82436097-6583-40AC-980C-70B297A0A57C}"/>
    <cellStyle name="SAPBEXexcGood2 2 6 2" xfId="22269" xr:uid="{8EC46DC5-E06E-4544-A6CB-03E6EE4D74E8}"/>
    <cellStyle name="SAPBEXexcGood2 2 7" xfId="22260" xr:uid="{D83139E3-ED36-4614-87BC-3DA4E2D82701}"/>
    <cellStyle name="SAPBEXexcGood2 20" xfId="15172" xr:uid="{E5072CC5-62F7-46E1-904E-3CB2CC5EA0AD}"/>
    <cellStyle name="SAPBEXexcGood2 3" xfId="10739" xr:uid="{4793FED7-5F69-4669-A7F2-74A2FD076834}"/>
    <cellStyle name="SAPBEXexcGood2 3 2" xfId="10740" xr:uid="{DA559DC5-65C8-4BE2-8B5F-1898FD2D3008}"/>
    <cellStyle name="SAPBEXexcGood2 3 2 2" xfId="10741" xr:uid="{94CEA336-933C-4CCC-B9B4-679591582111}"/>
    <cellStyle name="SAPBEXexcGood2 3 2 2 2" xfId="22272" xr:uid="{894D2FB2-210E-43C0-8270-FDBD3A7333F6}"/>
    <cellStyle name="SAPBEXexcGood2 3 2 3" xfId="10742" xr:uid="{2D312F05-B3ED-4BC2-8AB5-759447E99BF0}"/>
    <cellStyle name="SAPBEXexcGood2 3 2 3 2" xfId="22273" xr:uid="{535435D4-C584-438C-8DEC-81DB2FF99A76}"/>
    <cellStyle name="SAPBEXexcGood2 3 2 4" xfId="10743" xr:uid="{877FBA36-0B9C-462F-B941-F038A6BE4E38}"/>
    <cellStyle name="SAPBEXexcGood2 3 2 4 2" xfId="22274" xr:uid="{D143CF3F-CFA3-45B1-A314-58900E1C875B}"/>
    <cellStyle name="SAPBEXexcGood2 3 2 5" xfId="10744" xr:uid="{8156AC87-1794-41C3-989D-17498A283C59}"/>
    <cellStyle name="SAPBEXexcGood2 3 2 5 2" xfId="22275" xr:uid="{87787E36-6692-4B6C-9C2D-06691F5A5752}"/>
    <cellStyle name="SAPBEXexcGood2 3 2 6" xfId="22271" xr:uid="{D2E6D706-C1AD-4798-8B0B-36977B4A077E}"/>
    <cellStyle name="SAPBEXexcGood2 3 3" xfId="10745" xr:uid="{656743DF-6915-4D52-824D-7F7685C9EFA7}"/>
    <cellStyle name="SAPBEXexcGood2 3 3 2" xfId="22276" xr:uid="{A2CEBF09-3DD4-40BA-8A6C-3013D255E352}"/>
    <cellStyle name="SAPBEXexcGood2 3 4" xfId="10746" xr:uid="{2EB40C5E-4CB8-4490-A180-9016953510C8}"/>
    <cellStyle name="SAPBEXexcGood2 3 4 2" xfId="22277" xr:uid="{D8BD7850-125D-4149-911E-21515BA70306}"/>
    <cellStyle name="SAPBEXexcGood2 3 5" xfId="10747" xr:uid="{AE80D843-EA87-4D96-92CD-5D2E8C29B463}"/>
    <cellStyle name="SAPBEXexcGood2 3 5 2" xfId="22278" xr:uid="{58963A29-E1A0-4814-80B9-4417BE9B9EAD}"/>
    <cellStyle name="SAPBEXexcGood2 3 6" xfId="10748" xr:uid="{4BF36AF8-DAB2-415F-BFC1-2A3420483C9A}"/>
    <cellStyle name="SAPBEXexcGood2 3 6 2" xfId="22279" xr:uid="{2A6C6EF0-4684-4B6E-9259-27976F9A473B}"/>
    <cellStyle name="SAPBEXexcGood2 3 7" xfId="22270" xr:uid="{00BE3696-ED65-450D-815A-47B4BE7D99FC}"/>
    <cellStyle name="SAPBEXexcGood2 4" xfId="10749" xr:uid="{F9F62312-AC36-4187-BBA6-359ACDF05D18}"/>
    <cellStyle name="SAPBEXexcGood2 4 2" xfId="10750" xr:uid="{1F2F9107-325E-4840-B505-5CE3A8464CF8}"/>
    <cellStyle name="SAPBEXexcGood2 4 2 2" xfId="10751" xr:uid="{089311BB-9B9B-4DB1-BC9B-C819B735D0BB}"/>
    <cellStyle name="SAPBEXexcGood2 4 2 2 2" xfId="22282" xr:uid="{495125D1-25B5-487E-AAD7-82163971FC6F}"/>
    <cellStyle name="SAPBEXexcGood2 4 2 3" xfId="10752" xr:uid="{5413EEBA-5036-40FE-B947-E11B498BDA03}"/>
    <cellStyle name="SAPBEXexcGood2 4 2 3 2" xfId="22283" xr:uid="{550E6E36-BC59-4A93-A40C-9CDE436E8600}"/>
    <cellStyle name="SAPBEXexcGood2 4 2 4" xfId="10753" xr:uid="{E14151D7-D70C-4037-A552-D4E635F4F68C}"/>
    <cellStyle name="SAPBEXexcGood2 4 2 4 2" xfId="22284" xr:uid="{71613444-FB13-45D5-BC07-F0802518CF63}"/>
    <cellStyle name="SAPBEXexcGood2 4 2 5" xfId="10754" xr:uid="{102E80E0-059D-4DC3-978A-E4E28F93A8D1}"/>
    <cellStyle name="SAPBEXexcGood2 4 2 5 2" xfId="22285" xr:uid="{D5880532-BF55-4039-8838-F06213150A31}"/>
    <cellStyle name="SAPBEXexcGood2 4 2 6" xfId="22281" xr:uid="{E11DBD64-0646-4BAB-8978-A4C65ADB24B8}"/>
    <cellStyle name="SAPBEXexcGood2 4 3" xfId="10755" xr:uid="{D624215F-44C0-4416-8DCD-A6E48846305A}"/>
    <cellStyle name="SAPBEXexcGood2 4 3 2" xfId="22286" xr:uid="{6DDA1F69-EA29-4A05-89B5-EEE34BFCE946}"/>
    <cellStyle name="SAPBEXexcGood2 4 4" xfId="10756" xr:uid="{EC754CB5-547F-4146-94D6-67911D7C2793}"/>
    <cellStyle name="SAPBEXexcGood2 4 4 2" xfId="22287" xr:uid="{76E8058F-0C7A-49CA-A699-1109BD2E1C3E}"/>
    <cellStyle name="SAPBEXexcGood2 4 5" xfId="10757" xr:uid="{7BF3E602-06D0-4D9C-8666-0F5885A392ED}"/>
    <cellStyle name="SAPBEXexcGood2 4 5 2" xfId="22288" xr:uid="{3986D966-9581-4005-A421-59E28088C04E}"/>
    <cellStyle name="SAPBEXexcGood2 4 6" xfId="10758" xr:uid="{A03D6E1B-E031-471A-AF71-F2433D7764F3}"/>
    <cellStyle name="SAPBEXexcGood2 4 6 2" xfId="22289" xr:uid="{3A5D06AC-1E0E-4222-A36A-1899E870AE45}"/>
    <cellStyle name="SAPBEXexcGood2 4 7" xfId="22280" xr:uid="{6960566A-2BFA-41F7-8624-6424E7DBFE94}"/>
    <cellStyle name="SAPBEXexcGood2 5" xfId="10759" xr:uid="{165A9A84-97C6-436A-8EA9-4307492E7422}"/>
    <cellStyle name="SAPBEXexcGood2 5 2" xfId="10760" xr:uid="{8AFB0E11-95F3-4234-ABE1-5EE4646A3BEA}"/>
    <cellStyle name="SAPBEXexcGood2 5 2 2" xfId="10761" xr:uid="{B07348C1-EF86-4AEB-A11B-177422ED5E98}"/>
    <cellStyle name="SAPBEXexcGood2 5 2 2 2" xfId="22292" xr:uid="{93D023C0-1829-405D-BDF2-351F7CD4A6EF}"/>
    <cellStyle name="SAPBEXexcGood2 5 2 3" xfId="10762" xr:uid="{D73B7C19-95D5-4848-97DD-BE1BE0B62FB2}"/>
    <cellStyle name="SAPBEXexcGood2 5 2 3 2" xfId="22293" xr:uid="{6C048A1F-C522-40B4-8DDD-C05A3A85D4CD}"/>
    <cellStyle name="SAPBEXexcGood2 5 2 4" xfId="10763" xr:uid="{15B7BCED-45A3-479E-9E01-C428DA144127}"/>
    <cellStyle name="SAPBEXexcGood2 5 2 4 2" xfId="22294" xr:uid="{E5DF9C39-3386-4881-9667-FD50CECAD670}"/>
    <cellStyle name="SAPBEXexcGood2 5 2 5" xfId="10764" xr:uid="{E6BC1287-C753-405B-BC4E-E604BC2F8F9F}"/>
    <cellStyle name="SAPBEXexcGood2 5 2 5 2" xfId="22295" xr:uid="{54A199BF-12EF-4309-B853-EC1F4AD4A816}"/>
    <cellStyle name="SAPBEXexcGood2 5 2 6" xfId="22291" xr:uid="{CD3A9930-44AD-4A9E-96C3-F7B2AD280BB3}"/>
    <cellStyle name="SAPBEXexcGood2 5 3" xfId="10765" xr:uid="{A380DDB6-63E5-491F-B239-9DD3ACC6056F}"/>
    <cellStyle name="SAPBEXexcGood2 5 3 2" xfId="22296" xr:uid="{424499B7-E38C-4BDD-AE63-6A1CAF8BACEE}"/>
    <cellStyle name="SAPBEXexcGood2 5 4" xfId="10766" xr:uid="{D5D23DA3-1CDE-40CB-89AB-9957913873A4}"/>
    <cellStyle name="SAPBEXexcGood2 5 4 2" xfId="22297" xr:uid="{252930E9-F82A-4C4A-9DD6-1F1DFBCB0273}"/>
    <cellStyle name="SAPBEXexcGood2 5 5" xfId="10767" xr:uid="{F9DA656D-FAE4-49A1-A6F2-65270CC76112}"/>
    <cellStyle name="SAPBEXexcGood2 5 5 2" xfId="22298" xr:uid="{EA889877-0AD0-42A5-9115-1AAB61642336}"/>
    <cellStyle name="SAPBEXexcGood2 5 6" xfId="10768" xr:uid="{E3FC9249-F197-43C4-BBAF-49FE239FB498}"/>
    <cellStyle name="SAPBEXexcGood2 5 6 2" xfId="22299" xr:uid="{C340DE3F-DBB5-4943-95E0-32E30B323A21}"/>
    <cellStyle name="SAPBEXexcGood2 5 7" xfId="22290" xr:uid="{2DFC70BB-D5EA-4BC3-A6C1-774DC73D2107}"/>
    <cellStyle name="SAPBEXexcGood2 6" xfId="10769" xr:uid="{2CE5F6AA-53C6-42D0-8F8E-431B88FB3C8E}"/>
    <cellStyle name="SAPBEXexcGood2 6 2" xfId="10770" xr:uid="{ED77B660-D5DC-42FA-B3E3-CDB5D06B7FEE}"/>
    <cellStyle name="SAPBEXexcGood2 6 2 2" xfId="10771" xr:uid="{B941171F-C689-4E93-B973-18249AB5BFDF}"/>
    <cellStyle name="SAPBEXexcGood2 6 2 2 2" xfId="22302" xr:uid="{52FB5EED-C99D-40DA-BE12-4DA8BF7A80B7}"/>
    <cellStyle name="SAPBEXexcGood2 6 2 3" xfId="10772" xr:uid="{CB51947F-F2F6-4B81-8651-EB529841A3CD}"/>
    <cellStyle name="SAPBEXexcGood2 6 2 3 2" xfId="22303" xr:uid="{722407E0-462B-40ED-8648-D759855F2072}"/>
    <cellStyle name="SAPBEXexcGood2 6 2 4" xfId="10773" xr:uid="{747B5E0C-52C6-40A2-B7C1-67A4CC83CED9}"/>
    <cellStyle name="SAPBEXexcGood2 6 2 4 2" xfId="22304" xr:uid="{31B8BF5C-9244-47AF-A18B-20CEC1934A76}"/>
    <cellStyle name="SAPBEXexcGood2 6 2 5" xfId="10774" xr:uid="{598A3F94-7CA8-4057-A9C1-CF3C4191A0F2}"/>
    <cellStyle name="SAPBEXexcGood2 6 2 5 2" xfId="22305" xr:uid="{AA02FDB7-2D08-410F-B12C-660A8F9520ED}"/>
    <cellStyle name="SAPBEXexcGood2 6 2 6" xfId="22301" xr:uid="{C608304A-45E5-4793-9C88-33136B4612B3}"/>
    <cellStyle name="SAPBEXexcGood2 6 3" xfId="10775" xr:uid="{457F14FB-C7AE-40C0-9AA7-D945414A190C}"/>
    <cellStyle name="SAPBEXexcGood2 6 3 2" xfId="22306" xr:uid="{C74083E8-E07E-4F46-8A7A-B87143F5AA5A}"/>
    <cellStyle name="SAPBEXexcGood2 6 4" xfId="10776" xr:uid="{71E38194-4D2D-426A-9E6F-183F09730C6A}"/>
    <cellStyle name="SAPBEXexcGood2 6 4 2" xfId="22307" xr:uid="{FA78995C-2231-4D70-AA70-76E3A8AAFD81}"/>
    <cellStyle name="SAPBEXexcGood2 6 5" xfId="10777" xr:uid="{B036D857-00CA-4AFC-9045-E42361EB1481}"/>
    <cellStyle name="SAPBEXexcGood2 6 5 2" xfId="22308" xr:uid="{ED30E8AA-6A2A-4C1D-B720-3F6D034BE0C3}"/>
    <cellStyle name="SAPBEXexcGood2 6 6" xfId="10778" xr:uid="{7C4FB978-0E51-497E-915C-B19D8F807D82}"/>
    <cellStyle name="SAPBEXexcGood2 6 6 2" xfId="22309" xr:uid="{1A96F902-00F3-4949-840F-2A2E56075072}"/>
    <cellStyle name="SAPBEXexcGood2 6 7" xfId="22300" xr:uid="{EF74C816-02EE-446E-B5B3-E6BA02C6BACF}"/>
    <cellStyle name="SAPBEXexcGood2 7" xfId="10779" xr:uid="{77C7EAD6-EC99-41B1-A817-42B796730F2C}"/>
    <cellStyle name="SAPBEXexcGood2 7 2" xfId="10780" xr:uid="{05F4BE6D-DCE0-4774-A294-AB80F29577F4}"/>
    <cellStyle name="SAPBEXexcGood2 7 2 2" xfId="10781" xr:uid="{D99AC555-BC3C-435A-B1C8-D2FC130F59AD}"/>
    <cellStyle name="SAPBEXexcGood2 7 2 2 2" xfId="22312" xr:uid="{681FB1E2-B0B4-43D1-940B-32445063846D}"/>
    <cellStyle name="SAPBEXexcGood2 7 2 3" xfId="10782" xr:uid="{1F13CE67-960E-4B90-9EB9-B40C7448E531}"/>
    <cellStyle name="SAPBEXexcGood2 7 2 3 2" xfId="22313" xr:uid="{7C6BC074-0FED-48BC-A0BA-68160B9FE526}"/>
    <cellStyle name="SAPBEXexcGood2 7 2 4" xfId="10783" xr:uid="{A461CB25-CEF2-45E6-A69C-C6418DD99A6F}"/>
    <cellStyle name="SAPBEXexcGood2 7 2 4 2" xfId="22314" xr:uid="{26237F8D-D864-4819-9199-0F39CA4490BB}"/>
    <cellStyle name="SAPBEXexcGood2 7 2 5" xfId="10784" xr:uid="{B5C16C39-D948-4E2C-8461-35EF79751C4D}"/>
    <cellStyle name="SAPBEXexcGood2 7 2 5 2" xfId="22315" xr:uid="{3932C74A-0B1F-4E3B-AD0E-C193C798E17E}"/>
    <cellStyle name="SAPBEXexcGood2 7 2 6" xfId="22311" xr:uid="{509EA1E5-88FB-4A73-9BA4-1D9E73E90E5B}"/>
    <cellStyle name="SAPBEXexcGood2 7 3" xfId="10785" xr:uid="{B0DE857D-8742-4D47-8979-28A5CDF2C61C}"/>
    <cellStyle name="SAPBEXexcGood2 7 3 2" xfId="22316" xr:uid="{7F809415-0D0A-492F-B081-9FE4149D3E6C}"/>
    <cellStyle name="SAPBEXexcGood2 7 4" xfId="10786" xr:uid="{18B7EF92-61A7-4EFC-B9F9-6444E4FEE4B2}"/>
    <cellStyle name="SAPBEXexcGood2 7 4 2" xfId="22317" xr:uid="{B47158A0-CD58-48FC-8119-31E4FFC9A186}"/>
    <cellStyle name="SAPBEXexcGood2 7 5" xfId="10787" xr:uid="{32F6E9B7-29E1-4428-8616-0DD3E7BA3655}"/>
    <cellStyle name="SAPBEXexcGood2 7 5 2" xfId="22318" xr:uid="{7DF3A170-65DB-469F-9901-552E88E8A44D}"/>
    <cellStyle name="SAPBEXexcGood2 7 6" xfId="10788" xr:uid="{11B2AC94-C089-4AF4-A3D4-AF7A79F0DE12}"/>
    <cellStyle name="SAPBEXexcGood2 7 6 2" xfId="22319" xr:uid="{5C673209-A783-46D2-9965-DCC9EBBD9E57}"/>
    <cellStyle name="SAPBEXexcGood2 7 7" xfId="22310" xr:uid="{EAE472F1-FED1-4605-AF93-0227B31DD588}"/>
    <cellStyle name="SAPBEXexcGood2 8" xfId="10789" xr:uid="{85AC9314-EBDA-4894-BD97-06F485EE4D96}"/>
    <cellStyle name="SAPBEXexcGood2 8 2" xfId="10790" xr:uid="{2CEE2092-9022-4D08-BF95-E984D51BBB2F}"/>
    <cellStyle name="SAPBEXexcGood2 8 2 2" xfId="10791" xr:uid="{9C3B12AC-F7AC-4AB7-8369-FF95A0BE98E5}"/>
    <cellStyle name="SAPBEXexcGood2 8 2 2 2" xfId="22322" xr:uid="{4C4EF54B-FDC5-47EB-B9F0-F8B6B76BCC08}"/>
    <cellStyle name="SAPBEXexcGood2 8 2 3" xfId="10792" xr:uid="{C4DCFB09-C7F3-4D7B-8169-130CD9DCD839}"/>
    <cellStyle name="SAPBEXexcGood2 8 2 3 2" xfId="22323" xr:uid="{88E5359A-ADA5-473D-B613-E33FE2B39749}"/>
    <cellStyle name="SAPBEXexcGood2 8 2 4" xfId="10793" xr:uid="{6A26502E-0FD2-408E-8E44-3FC245F01327}"/>
    <cellStyle name="SAPBEXexcGood2 8 2 4 2" xfId="22324" xr:uid="{A75951DA-AD28-4D2C-8605-D14581536EE9}"/>
    <cellStyle name="SAPBEXexcGood2 8 2 5" xfId="10794" xr:uid="{00088C1C-A26F-4231-9A65-61A4ACA4AB31}"/>
    <cellStyle name="SAPBEXexcGood2 8 2 5 2" xfId="22325" xr:uid="{1CA6EBEF-A2C9-4869-9055-8497053374DA}"/>
    <cellStyle name="SAPBEXexcGood2 8 2 6" xfId="22321" xr:uid="{89A665FC-2755-4979-A917-D9A65BD7484C}"/>
    <cellStyle name="SAPBEXexcGood2 8 3" xfId="10795" xr:uid="{373B3959-612D-4764-8FAB-186BF6B450EA}"/>
    <cellStyle name="SAPBEXexcGood2 8 3 2" xfId="22326" xr:uid="{66A1BF70-C60B-4A44-B9D9-A0617CFD09B2}"/>
    <cellStyle name="SAPBEXexcGood2 8 4" xfId="10796" xr:uid="{23C365AE-2079-40C1-A3C4-7A9928FC0F5E}"/>
    <cellStyle name="SAPBEXexcGood2 8 4 2" xfId="22327" xr:uid="{15A70790-BB1B-46A7-82F9-ABC43B831E2E}"/>
    <cellStyle name="SAPBEXexcGood2 8 5" xfId="10797" xr:uid="{FC901C2B-8A0F-4442-A2BB-44D81DF9D17A}"/>
    <cellStyle name="SAPBEXexcGood2 8 5 2" xfId="22328" xr:uid="{F5C28254-0568-44ED-B3A1-4E14500C5964}"/>
    <cellStyle name="SAPBEXexcGood2 8 6" xfId="10798" xr:uid="{543874F6-FA93-48FA-8C96-8B14928E2116}"/>
    <cellStyle name="SAPBEXexcGood2 8 6 2" xfId="22329" xr:uid="{D33A7632-1D6D-4E4F-A9FE-5499591715CB}"/>
    <cellStyle name="SAPBEXexcGood2 8 7" xfId="22320" xr:uid="{83E8DCCA-E581-47B0-A4F4-A50B005782A7}"/>
    <cellStyle name="SAPBEXexcGood2 9" xfId="10799" xr:uid="{DC688473-4BA6-4C14-ADDE-D8B0A53AEF4C}"/>
    <cellStyle name="SAPBEXexcGood2 9 2" xfId="10800" xr:uid="{A25AA530-1B41-4B7E-843A-1FC5EFFE1611}"/>
    <cellStyle name="SAPBEXexcGood2 9 2 2" xfId="10801" xr:uid="{A5272937-125F-4DEC-85A0-0D7E23ED754F}"/>
    <cellStyle name="SAPBEXexcGood2 9 2 2 2" xfId="22332" xr:uid="{E948AB24-61CC-4BCC-A75B-F92D75455E92}"/>
    <cellStyle name="SAPBEXexcGood2 9 2 3" xfId="10802" xr:uid="{08C4781E-E46C-4658-8A1B-727D5A8167EE}"/>
    <cellStyle name="SAPBEXexcGood2 9 2 3 2" xfId="22333" xr:uid="{7430104C-8B28-4F71-ABA4-6ED99C586F6A}"/>
    <cellStyle name="SAPBEXexcGood2 9 2 4" xfId="10803" xr:uid="{A5D69A38-DD8C-4B87-AAC0-EB6F1EC94B66}"/>
    <cellStyle name="SAPBEXexcGood2 9 2 4 2" xfId="22334" xr:uid="{5049FA74-F067-4F30-A868-2422B4105F69}"/>
    <cellStyle name="SAPBEXexcGood2 9 2 5" xfId="10804" xr:uid="{0B288DFA-F2A4-4C45-A25B-709C88E3BCDF}"/>
    <cellStyle name="SAPBEXexcGood2 9 2 5 2" xfId="22335" xr:uid="{7031B491-620B-4EA5-A455-F944B07CD8BC}"/>
    <cellStyle name="SAPBEXexcGood2 9 2 6" xfId="22331" xr:uid="{051CE6B6-3B56-4480-BF96-6ABA93E9C521}"/>
    <cellStyle name="SAPBEXexcGood2 9 3" xfId="10805" xr:uid="{79BA51E2-F147-4376-87CD-9A7078681CB0}"/>
    <cellStyle name="SAPBEXexcGood2 9 3 2" xfId="22336" xr:uid="{478A38DE-46AD-4D86-BC95-1C9F8B59993E}"/>
    <cellStyle name="SAPBEXexcGood2 9 4" xfId="10806" xr:uid="{00DD5375-34B5-4624-AE17-D8223171F6DF}"/>
    <cellStyle name="SAPBEXexcGood2 9 4 2" xfId="22337" xr:uid="{99722ADB-E92F-4641-B57D-B56DE7CF2A55}"/>
    <cellStyle name="SAPBEXexcGood2 9 5" xfId="10807" xr:uid="{594B0C51-DA24-41F0-BEFB-EF1E98BFCEEF}"/>
    <cellStyle name="SAPBEXexcGood2 9 5 2" xfId="22338" xr:uid="{5D747AEE-B284-4DEB-B006-C79012EAC46E}"/>
    <cellStyle name="SAPBEXexcGood2 9 6" xfId="10808" xr:uid="{77337BCD-C547-4440-A968-88356DD00D2F}"/>
    <cellStyle name="SAPBEXexcGood2 9 6 2" xfId="22339" xr:uid="{2F35B6D4-FB2A-4143-AD3A-0E3E811BFFC4}"/>
    <cellStyle name="SAPBEXexcGood2 9 7" xfId="22330" xr:uid="{57343359-D3E6-47D9-9535-DD20A052A0C8}"/>
    <cellStyle name="SAPBEXexcGood2_KTR An-Abflug" xfId="14905" xr:uid="{3BEC3645-B545-4A28-9C40-7411D587B6E3}"/>
    <cellStyle name="SAPBEXexcGood3" xfId="10809" xr:uid="{9576C48E-5782-46D3-8ADA-CBA86EA9CFD7}"/>
    <cellStyle name="SAPBEXexcGood3 10" xfId="10810" xr:uid="{2B51C683-32E1-40F4-B3EE-C8976F246DEE}"/>
    <cellStyle name="SAPBEXexcGood3 10 2" xfId="10811" xr:uid="{76318C95-CD5F-4B18-9F9C-AE0015F9D34F}"/>
    <cellStyle name="SAPBEXexcGood3 10 2 2" xfId="10812" xr:uid="{7E77488F-D0E6-48C3-A6C5-CB27DEBB727E}"/>
    <cellStyle name="SAPBEXexcGood3 10 2 2 2" xfId="22342" xr:uid="{B8F5BB9D-4F70-4F58-9578-66D2D31647E3}"/>
    <cellStyle name="SAPBEXexcGood3 10 2 3" xfId="10813" xr:uid="{1421DBDB-64FD-4AD0-A7BF-0FD58F3A77B6}"/>
    <cellStyle name="SAPBEXexcGood3 10 2 3 2" xfId="22343" xr:uid="{8DEF5066-6F8E-4C96-9C61-3934859480F2}"/>
    <cellStyle name="SAPBEXexcGood3 10 2 4" xfId="10814" xr:uid="{87AEE553-ACB6-4BC6-881B-23223926FF99}"/>
    <cellStyle name="SAPBEXexcGood3 10 2 4 2" xfId="22344" xr:uid="{536614CC-F4C1-44A8-8717-6768DCCD4974}"/>
    <cellStyle name="SAPBEXexcGood3 10 2 5" xfId="10815" xr:uid="{40F2EE4C-308A-43AA-9271-31D20EDD87EC}"/>
    <cellStyle name="SAPBEXexcGood3 10 2 5 2" xfId="22345" xr:uid="{2A90CA11-AEAA-4270-A402-06D6F5733BD6}"/>
    <cellStyle name="SAPBEXexcGood3 10 2 6" xfId="22341" xr:uid="{2B675150-37AF-4D4F-B013-0E91FE0B0AE6}"/>
    <cellStyle name="SAPBEXexcGood3 10 3" xfId="10816" xr:uid="{7D8E8416-7B33-4A35-B87A-7F127772CFAC}"/>
    <cellStyle name="SAPBEXexcGood3 10 3 2" xfId="22346" xr:uid="{274A94CE-19F9-4F54-9D0B-84ADD54D798C}"/>
    <cellStyle name="SAPBEXexcGood3 10 4" xfId="10817" xr:uid="{76AA52F3-8D9B-436B-A63B-C05A72BAC0AF}"/>
    <cellStyle name="SAPBEXexcGood3 10 4 2" xfId="22347" xr:uid="{C30DBFA0-0D25-4AA7-A245-45DB5B2A3D3F}"/>
    <cellStyle name="SAPBEXexcGood3 10 5" xfId="10818" xr:uid="{318CA841-6DA9-46BC-A9EF-DA2956117E99}"/>
    <cellStyle name="SAPBEXexcGood3 10 5 2" xfId="22348" xr:uid="{6EEBC06F-97AD-4B7A-A7F5-A18E16A33F68}"/>
    <cellStyle name="SAPBEXexcGood3 10 6" xfId="10819" xr:uid="{A5C48AD9-51D2-4B4B-A343-9E784487C8F4}"/>
    <cellStyle name="SAPBEXexcGood3 10 6 2" xfId="22349" xr:uid="{65A2D026-1BF4-495E-9737-172F5F2568D1}"/>
    <cellStyle name="SAPBEXexcGood3 10 7" xfId="22340" xr:uid="{5C98D62D-916F-4B06-ABAB-7BFE2953C8BC}"/>
    <cellStyle name="SAPBEXexcGood3 11" xfId="10820" xr:uid="{EFDBA2DB-D85B-44D3-BBC5-F07F5D45C729}"/>
    <cellStyle name="SAPBEXexcGood3 11 2" xfId="10821" xr:uid="{985B6D9F-14B3-431F-9E51-76D251C6C23D}"/>
    <cellStyle name="SAPBEXexcGood3 11 2 2" xfId="10822" xr:uid="{8917188D-2052-40E8-9556-36E6BE58E288}"/>
    <cellStyle name="SAPBEXexcGood3 11 2 2 2" xfId="22352" xr:uid="{ABE159CD-C238-4E93-B9EC-1E8B3209AFBC}"/>
    <cellStyle name="SAPBEXexcGood3 11 2 3" xfId="10823" xr:uid="{2A609D05-7B0B-4ED7-B46C-D4021DD26994}"/>
    <cellStyle name="SAPBEXexcGood3 11 2 3 2" xfId="22353" xr:uid="{7B4707E6-8D71-4380-A37F-7B244F6E7A12}"/>
    <cellStyle name="SAPBEXexcGood3 11 2 4" xfId="10824" xr:uid="{C869F3A0-A650-4B6B-B03C-3DF02D045CCA}"/>
    <cellStyle name="SAPBEXexcGood3 11 2 4 2" xfId="22354" xr:uid="{FAA9A22C-D5AD-45BE-AE37-9C057CF4D8BA}"/>
    <cellStyle name="SAPBEXexcGood3 11 2 5" xfId="10825" xr:uid="{F36303D4-9EBC-47E0-8555-A3D0B63D2EF9}"/>
    <cellStyle name="SAPBEXexcGood3 11 2 5 2" xfId="22355" xr:uid="{6DDAB711-E917-4ACF-9712-9BC590EEEB65}"/>
    <cellStyle name="SAPBEXexcGood3 11 2 6" xfId="22351" xr:uid="{2AF482CD-4B21-476A-BD3F-B5ADC234A736}"/>
    <cellStyle name="SAPBEXexcGood3 11 3" xfId="10826" xr:uid="{211B9464-C284-43EE-9B0F-C41A92765004}"/>
    <cellStyle name="SAPBEXexcGood3 11 3 2" xfId="22356" xr:uid="{E713725E-A8ED-4E37-AB0B-95AFCED4BF5B}"/>
    <cellStyle name="SAPBEXexcGood3 11 4" xfId="10827" xr:uid="{30979DD9-47F0-4054-BCA7-F020B5A76BBC}"/>
    <cellStyle name="SAPBEXexcGood3 11 4 2" xfId="22357" xr:uid="{6BD784BD-428B-48C8-B877-3AA661D38E4A}"/>
    <cellStyle name="SAPBEXexcGood3 11 5" xfId="10828" xr:uid="{8A1DE52A-D2D3-4669-BBC6-DB9D5F8120EE}"/>
    <cellStyle name="SAPBEXexcGood3 11 5 2" xfId="22358" xr:uid="{CA98C7CE-02E3-4FDB-922D-B9DA67F536D6}"/>
    <cellStyle name="SAPBEXexcGood3 11 6" xfId="10829" xr:uid="{E053C4C7-8959-4BDB-8ED6-2C83AF127424}"/>
    <cellStyle name="SAPBEXexcGood3 11 6 2" xfId="22359" xr:uid="{ECAEB44F-3099-4D80-ABB5-26F50E5D0D5D}"/>
    <cellStyle name="SAPBEXexcGood3 11 7" xfId="22350" xr:uid="{060E444E-D45E-4D2C-B203-689023CBF6EE}"/>
    <cellStyle name="SAPBEXexcGood3 12" xfId="10830" xr:uid="{7FB99925-A944-47DA-812B-0FDEB1CD3654}"/>
    <cellStyle name="SAPBEXexcGood3 12 2" xfId="10831" xr:uid="{6882EC4D-3896-4E12-9EBF-EC4F0F6C01B2}"/>
    <cellStyle name="SAPBEXexcGood3 12 2 2" xfId="10832" xr:uid="{27713CE3-6AE9-4B00-A2DB-347955E9F11C}"/>
    <cellStyle name="SAPBEXexcGood3 12 2 2 2" xfId="22362" xr:uid="{7C060B72-14A6-4CF1-8E68-EB32257DC8B3}"/>
    <cellStyle name="SAPBEXexcGood3 12 2 3" xfId="10833" xr:uid="{15A76B3F-62D4-4315-8B0A-06D9FFAD6E6C}"/>
    <cellStyle name="SAPBEXexcGood3 12 2 3 2" xfId="22363" xr:uid="{D59CB6D8-9A2F-44C9-B906-F448F8F67303}"/>
    <cellStyle name="SAPBEXexcGood3 12 2 4" xfId="10834" xr:uid="{3D58C19F-4ABC-4524-ACBA-43B8364D0603}"/>
    <cellStyle name="SAPBEXexcGood3 12 2 4 2" xfId="22364" xr:uid="{C1CE66D2-EA2C-4A6A-B785-0B6D2B8DBBDD}"/>
    <cellStyle name="SAPBEXexcGood3 12 2 5" xfId="10835" xr:uid="{660D4E1A-1F1E-4483-B27E-D1BC70BDADEC}"/>
    <cellStyle name="SAPBEXexcGood3 12 2 5 2" xfId="22365" xr:uid="{25C87A15-6680-4C11-A16A-8F7E20751A97}"/>
    <cellStyle name="SAPBEXexcGood3 12 2 6" xfId="22361" xr:uid="{E6D78772-5DB0-4631-A7B8-4E9DA242F3F2}"/>
    <cellStyle name="SAPBEXexcGood3 12 3" xfId="10836" xr:uid="{C45FD0DC-3011-47D7-AC9D-08D75AC80836}"/>
    <cellStyle name="SAPBEXexcGood3 12 3 2" xfId="22366" xr:uid="{7B8587B3-C540-41A8-BF85-262BFCA213EE}"/>
    <cellStyle name="SAPBEXexcGood3 12 4" xfId="10837" xr:uid="{36D93F73-667E-40C9-9AA8-4594D4B347F8}"/>
    <cellStyle name="SAPBEXexcGood3 12 4 2" xfId="22367" xr:uid="{AEA0ACDA-203D-4A2B-BE21-28C3E24E5494}"/>
    <cellStyle name="SAPBEXexcGood3 12 5" xfId="10838" xr:uid="{4A042C53-F470-4229-A60D-41616D505F88}"/>
    <cellStyle name="SAPBEXexcGood3 12 5 2" xfId="22368" xr:uid="{1F6A3FC7-2A1E-49DA-8240-E24066C84B72}"/>
    <cellStyle name="SAPBEXexcGood3 12 6" xfId="10839" xr:uid="{A17C666F-D668-4F78-9B51-A54AD859F4A4}"/>
    <cellStyle name="SAPBEXexcGood3 12 6 2" xfId="22369" xr:uid="{CDEF7333-D882-48FC-A19C-FF2EF148F92A}"/>
    <cellStyle name="SAPBEXexcGood3 12 7" xfId="22360" xr:uid="{E15DDA78-504F-4FA6-A4B1-2AF8EF3EC2E2}"/>
    <cellStyle name="SAPBEXexcGood3 13" xfId="10840" xr:uid="{B0537910-0C89-4E87-82F8-137DD8593774}"/>
    <cellStyle name="SAPBEXexcGood3 13 2" xfId="10841" xr:uid="{E9979166-98D5-428C-940C-9D7873216405}"/>
    <cellStyle name="SAPBEXexcGood3 13 2 2" xfId="10842" xr:uid="{2AB17726-5714-4C02-BBF8-019F15A0B56D}"/>
    <cellStyle name="SAPBEXexcGood3 13 2 2 2" xfId="22372" xr:uid="{EEDF703D-62A4-4AE6-ABDF-3188A113F067}"/>
    <cellStyle name="SAPBEXexcGood3 13 2 3" xfId="10843" xr:uid="{2149AAB6-7C3B-4790-888A-5EC3FDCEFA11}"/>
    <cellStyle name="SAPBEXexcGood3 13 2 3 2" xfId="22373" xr:uid="{22EEFEB0-F803-42DA-98F1-702FCD9CDCAD}"/>
    <cellStyle name="SAPBEXexcGood3 13 2 4" xfId="10844" xr:uid="{9D53A4D9-41D1-4A52-AEBE-E5964446F949}"/>
    <cellStyle name="SAPBEXexcGood3 13 2 4 2" xfId="22374" xr:uid="{70C5EA46-6903-4A52-8452-CD0318E3F440}"/>
    <cellStyle name="SAPBEXexcGood3 13 2 5" xfId="10845" xr:uid="{6A63DE61-A575-41A4-9CA5-1FD8A6BD3384}"/>
    <cellStyle name="SAPBEXexcGood3 13 2 5 2" xfId="22375" xr:uid="{CAF8040A-AE5B-40EF-826A-1CB386DADC2D}"/>
    <cellStyle name="SAPBEXexcGood3 13 2 6" xfId="22371" xr:uid="{8CD9B771-921F-4843-9692-FAB79DED020A}"/>
    <cellStyle name="SAPBEXexcGood3 13 3" xfId="10846" xr:uid="{F8C0C538-563F-4584-BE55-CE628371613A}"/>
    <cellStyle name="SAPBEXexcGood3 13 3 2" xfId="22376" xr:uid="{E6C77EEA-A3DC-4D59-8606-4A73AA00C91B}"/>
    <cellStyle name="SAPBEXexcGood3 13 4" xfId="10847" xr:uid="{52484399-2CBB-4E00-8D3C-52D6232FAFD3}"/>
    <cellStyle name="SAPBEXexcGood3 13 4 2" xfId="22377" xr:uid="{93DB99D7-3A8C-43CB-8D06-752752BE5667}"/>
    <cellStyle name="SAPBEXexcGood3 13 5" xfId="10848" xr:uid="{494989AD-947F-453B-A651-21EF51BA9AFC}"/>
    <cellStyle name="SAPBEXexcGood3 13 5 2" xfId="22378" xr:uid="{858275B1-63FB-4DB2-A31C-5808949BE633}"/>
    <cellStyle name="SAPBEXexcGood3 13 6" xfId="10849" xr:uid="{8D18A3AE-561E-4C21-969D-931E2C1DA303}"/>
    <cellStyle name="SAPBEXexcGood3 13 6 2" xfId="22379" xr:uid="{5E83951C-33DD-4C17-91D0-685C17068794}"/>
    <cellStyle name="SAPBEXexcGood3 13 7" xfId="22370" xr:uid="{97E05CC1-247D-484B-B7B6-C0DF02D7B9D6}"/>
    <cellStyle name="SAPBEXexcGood3 14" xfId="10850" xr:uid="{56875DFB-7E56-47F9-937A-36C97612DA1F}"/>
    <cellStyle name="SAPBEXexcGood3 14 2" xfId="10851" xr:uid="{08A77B46-78E1-48A4-9DDE-D272EB4F689D}"/>
    <cellStyle name="SAPBEXexcGood3 14 2 2" xfId="10852" xr:uid="{777EF590-D345-4600-BEA3-4D7015CE390A}"/>
    <cellStyle name="SAPBEXexcGood3 14 2 2 2" xfId="22382" xr:uid="{8497CC5E-83AB-4CC0-9C33-D2E5F3EBCDC7}"/>
    <cellStyle name="SAPBEXexcGood3 14 2 3" xfId="10853" xr:uid="{1E202AB4-6BC7-47D2-859F-4EAB2520CE37}"/>
    <cellStyle name="SAPBEXexcGood3 14 2 3 2" xfId="22383" xr:uid="{FA8DD566-3D38-48EE-93FD-24B183BDE6D4}"/>
    <cellStyle name="SAPBEXexcGood3 14 2 4" xfId="10854" xr:uid="{38BDFDB1-9893-4A73-B01A-38AAAC1B6A58}"/>
    <cellStyle name="SAPBEXexcGood3 14 2 4 2" xfId="22384" xr:uid="{B140BD7E-ACCB-4A8C-9522-C1367D58BD08}"/>
    <cellStyle name="SAPBEXexcGood3 14 2 5" xfId="10855" xr:uid="{1E90D139-7B5E-477D-A42B-B08C051D4EF8}"/>
    <cellStyle name="SAPBEXexcGood3 14 2 5 2" xfId="22385" xr:uid="{3DE65618-C71E-4D61-A387-9B6F5ECA772F}"/>
    <cellStyle name="SAPBEXexcGood3 14 2 6" xfId="22381" xr:uid="{028AAC3B-BEBA-46B6-A2AB-DAB3E9E09708}"/>
    <cellStyle name="SAPBEXexcGood3 14 3" xfId="10856" xr:uid="{96558224-6FD4-4EBE-A027-11F988035553}"/>
    <cellStyle name="SAPBEXexcGood3 14 3 2" xfId="22386" xr:uid="{F9508B2A-0263-4CC8-B35F-DE3955717FFF}"/>
    <cellStyle name="SAPBEXexcGood3 14 4" xfId="10857" xr:uid="{01FD3E97-22FB-4ADC-89DC-3B092C0F65ED}"/>
    <cellStyle name="SAPBEXexcGood3 14 4 2" xfId="22387" xr:uid="{C856E926-FB4A-4E6D-BA21-4EC8DD84C861}"/>
    <cellStyle name="SAPBEXexcGood3 14 5" xfId="10858" xr:uid="{24300266-14FC-44E0-9605-C28C736DCC8C}"/>
    <cellStyle name="SAPBEXexcGood3 14 5 2" xfId="22388" xr:uid="{60616967-AE33-46EE-A630-FB5A670DA2D4}"/>
    <cellStyle name="SAPBEXexcGood3 14 6" xfId="10859" xr:uid="{E8F36D42-606D-4B16-9118-745E6988D97C}"/>
    <cellStyle name="SAPBEXexcGood3 14 6 2" xfId="22389" xr:uid="{3AF4343D-906C-4F81-AF9A-F320DEAA408C}"/>
    <cellStyle name="SAPBEXexcGood3 14 7" xfId="22380" xr:uid="{751E2CFA-1470-4ED8-AFEE-91712F4BB837}"/>
    <cellStyle name="SAPBEXexcGood3 15" xfId="10860" xr:uid="{C2F35B3E-5B21-4F29-A01D-48C021F949ED}"/>
    <cellStyle name="SAPBEXexcGood3 15 2" xfId="10861" xr:uid="{5D006909-A4F4-4941-A2CC-A7A89880BBDD}"/>
    <cellStyle name="SAPBEXexcGood3 15 2 2" xfId="10862" xr:uid="{7B2B949F-B90B-4C23-9DE7-BB080EBF3635}"/>
    <cellStyle name="SAPBEXexcGood3 15 2 2 2" xfId="22392" xr:uid="{6FF46EFA-1CD6-4BE7-89C7-277701F2E9AA}"/>
    <cellStyle name="SAPBEXexcGood3 15 2 3" xfId="10863" xr:uid="{2794C44A-820B-484C-9BF4-8161374F2E51}"/>
    <cellStyle name="SAPBEXexcGood3 15 2 3 2" xfId="22393" xr:uid="{98A5E632-8AF8-4E4E-9862-7B37C8166328}"/>
    <cellStyle name="SAPBEXexcGood3 15 2 4" xfId="10864" xr:uid="{7E907443-85D0-4170-9AC1-B0CFF28CF6B5}"/>
    <cellStyle name="SAPBEXexcGood3 15 2 4 2" xfId="22394" xr:uid="{D3E036A6-E40E-4109-8ADD-96AFCFD8552C}"/>
    <cellStyle name="SAPBEXexcGood3 15 2 5" xfId="10865" xr:uid="{AE717304-0AD8-491B-8DB1-AD796A021069}"/>
    <cellStyle name="SAPBEXexcGood3 15 2 5 2" xfId="22395" xr:uid="{2DA45B11-6753-416D-A1D1-11D295615CAA}"/>
    <cellStyle name="SAPBEXexcGood3 15 2 6" xfId="22391" xr:uid="{965D7C11-683C-48DB-BC34-52282B62DFF3}"/>
    <cellStyle name="SAPBEXexcGood3 15 3" xfId="10866" xr:uid="{1357265B-450E-4C9F-AB4E-D705B7947656}"/>
    <cellStyle name="SAPBEXexcGood3 15 3 2" xfId="22396" xr:uid="{6B48AD09-7054-4651-AEB2-9617CC561222}"/>
    <cellStyle name="SAPBEXexcGood3 15 4" xfId="10867" xr:uid="{9A0D72F4-B033-4B97-A797-AF99284EDD86}"/>
    <cellStyle name="SAPBEXexcGood3 15 4 2" xfId="22397" xr:uid="{E01AB137-A20F-4DA5-929F-D7BACEF4EE9C}"/>
    <cellStyle name="SAPBEXexcGood3 15 5" xfId="10868" xr:uid="{3D2A66EA-387A-40AF-B1DE-934DFABC7CEC}"/>
    <cellStyle name="SAPBEXexcGood3 15 5 2" xfId="22398" xr:uid="{468F943C-7365-4FA0-B436-F47D94B88B8E}"/>
    <cellStyle name="SAPBEXexcGood3 15 6" xfId="10869" xr:uid="{2E691646-653E-4F0E-AC3D-B16660FC691C}"/>
    <cellStyle name="SAPBEXexcGood3 15 6 2" xfId="22399" xr:uid="{7DF5C750-9311-4866-B878-8EBEB75F5EEE}"/>
    <cellStyle name="SAPBEXexcGood3 15 7" xfId="22390" xr:uid="{7FEF5FE3-13A4-4B7D-BEA9-F46D3A95842E}"/>
    <cellStyle name="SAPBEXexcGood3 16" xfId="10870" xr:uid="{0740A56A-53B9-44C4-88D8-FE60E65C4AF5}"/>
    <cellStyle name="SAPBEXexcGood3 16 2" xfId="22400" xr:uid="{0B935B6C-BD1C-4A87-B956-42263EF4F1E6}"/>
    <cellStyle name="SAPBEXexcGood3 17" xfId="10871" xr:uid="{CFFC470F-A432-448D-B499-3CD5AC4288E1}"/>
    <cellStyle name="SAPBEXexcGood3 17 2" xfId="22401" xr:uid="{9E27B928-CC7C-409B-970B-6CED07FCE28D}"/>
    <cellStyle name="SAPBEXexcGood3 18" xfId="10872" xr:uid="{87B92E9D-7D30-4072-8CD2-6CDC9720779D}"/>
    <cellStyle name="SAPBEXexcGood3 18 2" xfId="22402" xr:uid="{46C9BA71-D787-4E39-AE93-3420CA9BDA89}"/>
    <cellStyle name="SAPBEXexcGood3 19" xfId="10873" xr:uid="{F5BBD45B-A588-49D8-BFCE-F23C73A8D406}"/>
    <cellStyle name="SAPBEXexcGood3 19 2" xfId="22403" xr:uid="{3740FB76-F84B-4FD0-B8B0-9480420220F3}"/>
    <cellStyle name="SAPBEXexcGood3 2" xfId="10874" xr:uid="{65316158-2F03-4690-852E-300D30C46BE1}"/>
    <cellStyle name="SAPBEXexcGood3 2 2" xfId="10875" xr:uid="{AD16863F-EF6B-43F8-A6F3-E0C9D1C3A25F}"/>
    <cellStyle name="SAPBEXexcGood3 2 2 2" xfId="10876" xr:uid="{77838083-0539-4704-B0C7-8DECC5FA87DB}"/>
    <cellStyle name="SAPBEXexcGood3 2 2 2 2" xfId="22406" xr:uid="{BF4FF18D-3293-448F-9FD0-F2E298B0CD76}"/>
    <cellStyle name="SAPBEXexcGood3 2 2 3" xfId="10877" xr:uid="{31FDBCD1-A737-4914-99F1-8ED23ED63B68}"/>
    <cellStyle name="SAPBEXexcGood3 2 2 3 2" xfId="22407" xr:uid="{BB595127-0873-4EBC-B5F4-9041041266BC}"/>
    <cellStyle name="SAPBEXexcGood3 2 2 4" xfId="10878" xr:uid="{A353B30E-0671-4F8F-9940-B9F7DDCD1801}"/>
    <cellStyle name="SAPBEXexcGood3 2 2 4 2" xfId="22408" xr:uid="{101CDC8E-7A18-4D1C-B39E-A777F7EE69C4}"/>
    <cellStyle name="SAPBEXexcGood3 2 2 5" xfId="10879" xr:uid="{A2DB7ACE-8D1C-4421-9C8E-C65156737C7D}"/>
    <cellStyle name="SAPBEXexcGood3 2 2 5 2" xfId="22409" xr:uid="{055CF607-B492-4BC1-A592-57DD36C98186}"/>
    <cellStyle name="SAPBEXexcGood3 2 2 6" xfId="22405" xr:uid="{BEFA64DF-B6BA-4FD7-891F-C046C17C4547}"/>
    <cellStyle name="SAPBEXexcGood3 2 3" xfId="10880" xr:uid="{BC59BE05-9DED-4AC8-821E-468ABE6F5317}"/>
    <cellStyle name="SAPBEXexcGood3 2 3 2" xfId="22410" xr:uid="{878DEF47-242B-40E8-AA11-E6FC2FF7CF12}"/>
    <cellStyle name="SAPBEXexcGood3 2 4" xfId="10881" xr:uid="{92721B41-0D0C-41CB-8607-B7E395086CE2}"/>
    <cellStyle name="SAPBEXexcGood3 2 4 2" xfId="22411" xr:uid="{A85F75B4-C413-4E15-A147-01B3406DA180}"/>
    <cellStyle name="SAPBEXexcGood3 2 5" xfId="10882" xr:uid="{A8914727-83FA-4BCB-8A67-5E544166A477}"/>
    <cellStyle name="SAPBEXexcGood3 2 5 2" xfId="22412" xr:uid="{88340BAE-8CEE-452A-A762-E88B42D148FB}"/>
    <cellStyle name="SAPBEXexcGood3 2 6" xfId="10883" xr:uid="{811B00AC-1009-49DE-9DAE-83CDE5BA499E}"/>
    <cellStyle name="SAPBEXexcGood3 2 6 2" xfId="22413" xr:uid="{76598744-3E37-458E-8966-8748736434EB}"/>
    <cellStyle name="SAPBEXexcGood3 2 7" xfId="22404" xr:uid="{27B79656-B574-4DE4-9397-F2081FFC1190}"/>
    <cellStyle name="SAPBEXexcGood3 20" xfId="15173" xr:uid="{D9544BA0-DC72-4BD1-BB72-ADFE128F10A6}"/>
    <cellStyle name="SAPBEXexcGood3 3" xfId="10884" xr:uid="{44F3D47C-8CC3-4C2D-AC45-E27A147F400D}"/>
    <cellStyle name="SAPBEXexcGood3 3 2" xfId="10885" xr:uid="{A38291B7-5DD9-44EA-81B2-7EA383EC2365}"/>
    <cellStyle name="SAPBEXexcGood3 3 2 2" xfId="10886" xr:uid="{77F8BF4C-AB59-45FD-BCE3-E232BED00057}"/>
    <cellStyle name="SAPBEXexcGood3 3 2 2 2" xfId="22416" xr:uid="{37A8FFCE-B051-4711-9BEA-C0B1392706F6}"/>
    <cellStyle name="SAPBEXexcGood3 3 2 3" xfId="10887" xr:uid="{4DC8EC4F-AC4E-4CA2-BB65-810546785885}"/>
    <cellStyle name="SAPBEXexcGood3 3 2 3 2" xfId="22417" xr:uid="{F428E704-CD8F-4B53-BFE5-DAFF8B3104C6}"/>
    <cellStyle name="SAPBEXexcGood3 3 2 4" xfId="10888" xr:uid="{EE1A665A-DD22-4BE7-901A-FB8978CB0431}"/>
    <cellStyle name="SAPBEXexcGood3 3 2 4 2" xfId="22418" xr:uid="{4C140DD8-00ED-4DDE-9A54-DBE0F4EAA9A5}"/>
    <cellStyle name="SAPBEXexcGood3 3 2 5" xfId="10889" xr:uid="{7B1657B4-2454-49E6-BEE1-1D19F7A89FDE}"/>
    <cellStyle name="SAPBEXexcGood3 3 2 5 2" xfId="22419" xr:uid="{58273E6F-B62C-46A7-9988-BAEB9DDB2521}"/>
    <cellStyle name="SAPBEXexcGood3 3 2 6" xfId="22415" xr:uid="{49B36EE4-8AA5-4EFF-BEBD-5D9952C0C0D8}"/>
    <cellStyle name="SAPBEXexcGood3 3 3" xfId="10890" xr:uid="{DDBAF089-5867-496B-B586-0D3AE32EA83A}"/>
    <cellStyle name="SAPBEXexcGood3 3 3 2" xfId="22420" xr:uid="{ADCEE9BF-E32B-407C-81F5-4CA319891556}"/>
    <cellStyle name="SAPBEXexcGood3 3 4" xfId="10891" xr:uid="{0BEE351A-0AFA-4CEF-977F-96568530F7C3}"/>
    <cellStyle name="SAPBEXexcGood3 3 4 2" xfId="22421" xr:uid="{9CEF2EA2-988C-40EA-AB2E-032313E70DE1}"/>
    <cellStyle name="SAPBEXexcGood3 3 5" xfId="10892" xr:uid="{1EBFC563-39CD-4D35-9409-CE8BBD8E2C34}"/>
    <cellStyle name="SAPBEXexcGood3 3 5 2" xfId="22422" xr:uid="{40B44EFD-C742-4EC7-9842-50332EAB1CBC}"/>
    <cellStyle name="SAPBEXexcGood3 3 6" xfId="10893" xr:uid="{869E9BBA-3DFA-4E5B-9FB1-582A1375400E}"/>
    <cellStyle name="SAPBEXexcGood3 3 6 2" xfId="22423" xr:uid="{74AF00B5-02A1-4BB0-A410-5E48563F13D4}"/>
    <cellStyle name="SAPBEXexcGood3 3 7" xfId="22414" xr:uid="{371BE6B3-1969-4365-AFF1-65FC4CB8C1E1}"/>
    <cellStyle name="SAPBEXexcGood3 4" xfId="10894" xr:uid="{263842FF-C7AA-417D-8E05-39C6B697A53A}"/>
    <cellStyle name="SAPBEXexcGood3 4 2" xfId="10895" xr:uid="{6961F9FB-A803-4569-A727-6F5B1E19A5E5}"/>
    <cellStyle name="SAPBEXexcGood3 4 2 2" xfId="10896" xr:uid="{F97AF257-9A04-4A9C-8F5B-2CCAF7C6CDCA}"/>
    <cellStyle name="SAPBEXexcGood3 4 2 2 2" xfId="22426" xr:uid="{956C24B8-D54B-4F42-A580-90AC89398412}"/>
    <cellStyle name="SAPBEXexcGood3 4 2 3" xfId="10897" xr:uid="{D5D34586-7C7E-4858-A1C9-CA3AAF881985}"/>
    <cellStyle name="SAPBEXexcGood3 4 2 3 2" xfId="22427" xr:uid="{B7FA8E06-0A2E-41B4-BBCB-DB50F4C8AF1E}"/>
    <cellStyle name="SAPBEXexcGood3 4 2 4" xfId="10898" xr:uid="{EA32FC53-E598-4346-9809-96ED1E01268A}"/>
    <cellStyle name="SAPBEXexcGood3 4 2 4 2" xfId="22428" xr:uid="{D4AE3803-DB6D-4E61-AE3A-C1731BF6A0F1}"/>
    <cellStyle name="SAPBEXexcGood3 4 2 5" xfId="10899" xr:uid="{F949F511-5352-4927-87F6-F392AD1264C7}"/>
    <cellStyle name="SAPBEXexcGood3 4 2 5 2" xfId="22429" xr:uid="{39775522-655B-41CC-94F4-444D1567451A}"/>
    <cellStyle name="SAPBEXexcGood3 4 2 6" xfId="22425" xr:uid="{6051225F-3510-4CBF-B417-A5D4E1B82DF4}"/>
    <cellStyle name="SAPBEXexcGood3 4 3" xfId="10900" xr:uid="{7E477CFD-D0ED-4347-88F6-E13174B34B78}"/>
    <cellStyle name="SAPBEXexcGood3 4 3 2" xfId="22430" xr:uid="{FA9C8D71-18FF-4B5A-8552-1F63DE1F7B0B}"/>
    <cellStyle name="SAPBEXexcGood3 4 4" xfId="10901" xr:uid="{3BCE7793-3AC1-45E0-BE1C-B04CEAAACEB6}"/>
    <cellStyle name="SAPBEXexcGood3 4 4 2" xfId="22431" xr:uid="{2DD7E691-5CE2-41F2-AF4C-5700ABD46A97}"/>
    <cellStyle name="SAPBEXexcGood3 4 5" xfId="10902" xr:uid="{481D31C9-E897-40A6-A241-F6A4924300D7}"/>
    <cellStyle name="SAPBEXexcGood3 4 5 2" xfId="22432" xr:uid="{2D92EC5B-0A09-41F4-AD64-113D9104B90B}"/>
    <cellStyle name="SAPBEXexcGood3 4 6" xfId="10903" xr:uid="{B20F2119-6A6E-4FE4-BC10-6C94001B4C38}"/>
    <cellStyle name="SAPBEXexcGood3 4 6 2" xfId="22433" xr:uid="{84399D9A-CAC5-4BCB-9870-74050536664B}"/>
    <cellStyle name="SAPBEXexcGood3 4 7" xfId="22424" xr:uid="{15269461-FB81-4B67-8758-EC9D0F46CBAA}"/>
    <cellStyle name="SAPBEXexcGood3 5" xfId="10904" xr:uid="{1616A37B-AABB-470F-948E-2DE4E3980991}"/>
    <cellStyle name="SAPBEXexcGood3 5 2" xfId="10905" xr:uid="{21D48292-D772-4DA8-8DE2-E4C1DC503FB0}"/>
    <cellStyle name="SAPBEXexcGood3 5 2 2" xfId="10906" xr:uid="{CD0A9EB9-FE9D-484E-9FEB-9347C7A8DA49}"/>
    <cellStyle name="SAPBEXexcGood3 5 2 2 2" xfId="22436" xr:uid="{119867AA-ADC3-4523-BB48-ACAF965BD082}"/>
    <cellStyle name="SAPBEXexcGood3 5 2 3" xfId="10907" xr:uid="{FB19FB8C-6591-4A61-86E4-8890572DF5E2}"/>
    <cellStyle name="SAPBEXexcGood3 5 2 3 2" xfId="22437" xr:uid="{05F1F794-DAC3-481D-908F-8F78F7995D97}"/>
    <cellStyle name="SAPBEXexcGood3 5 2 4" xfId="10908" xr:uid="{5254299B-6649-4E85-A2D0-7902A369D154}"/>
    <cellStyle name="SAPBEXexcGood3 5 2 4 2" xfId="22438" xr:uid="{7E636E26-0F47-4353-946C-6A70ACD74782}"/>
    <cellStyle name="SAPBEXexcGood3 5 2 5" xfId="10909" xr:uid="{52E3AC1A-3280-4301-897D-F872BEEE9278}"/>
    <cellStyle name="SAPBEXexcGood3 5 2 5 2" xfId="22439" xr:uid="{1E146F3C-0A98-41C8-BDC4-AA6641B9313C}"/>
    <cellStyle name="SAPBEXexcGood3 5 2 6" xfId="22435" xr:uid="{5449E019-5CBA-4039-B3B0-24AE934FC5FD}"/>
    <cellStyle name="SAPBEXexcGood3 5 3" xfId="10910" xr:uid="{9F06EF09-12DB-4FEB-B22E-F79A7435AD91}"/>
    <cellStyle name="SAPBEXexcGood3 5 3 2" xfId="22440" xr:uid="{46C853A6-6F9B-43C2-9444-82CDCF598D4C}"/>
    <cellStyle name="SAPBEXexcGood3 5 4" xfId="10911" xr:uid="{E0A1E369-EA8B-4102-AD7B-DDF66609AEBC}"/>
    <cellStyle name="SAPBEXexcGood3 5 4 2" xfId="22441" xr:uid="{E40E1C91-C9C5-4118-99AC-F279367DD3EF}"/>
    <cellStyle name="SAPBEXexcGood3 5 5" xfId="10912" xr:uid="{5FF72C22-2388-489E-9402-1B57D10D9BD5}"/>
    <cellStyle name="SAPBEXexcGood3 5 5 2" xfId="22442" xr:uid="{F97062D4-9FDB-4A63-97CF-F88531A7000A}"/>
    <cellStyle name="SAPBEXexcGood3 5 6" xfId="10913" xr:uid="{390409D8-F8FD-4080-807B-E17ECB961AF5}"/>
    <cellStyle name="SAPBEXexcGood3 5 6 2" xfId="22443" xr:uid="{6EBEAFAA-928A-495B-9A03-984511E81194}"/>
    <cellStyle name="SAPBEXexcGood3 5 7" xfId="22434" xr:uid="{E16B6DB4-7497-4A5F-ABA9-80948067E2F9}"/>
    <cellStyle name="SAPBEXexcGood3 6" xfId="10914" xr:uid="{EB1A2576-7205-44AB-B519-141E718809A8}"/>
    <cellStyle name="SAPBEXexcGood3 6 2" xfId="10915" xr:uid="{88AA0973-CF3A-4186-B085-CF47A323A26D}"/>
    <cellStyle name="SAPBEXexcGood3 6 2 2" xfId="10916" xr:uid="{E593582D-B012-4BC6-9507-6B9AAD8FC337}"/>
    <cellStyle name="SAPBEXexcGood3 6 2 2 2" xfId="22446" xr:uid="{3109C5E8-FE4B-4C5A-977A-979BB2222C63}"/>
    <cellStyle name="SAPBEXexcGood3 6 2 3" xfId="10917" xr:uid="{91527704-841C-4A0B-9B9E-4E6A65A750F5}"/>
    <cellStyle name="SAPBEXexcGood3 6 2 3 2" xfId="22447" xr:uid="{99161902-ED0A-4D05-8C0F-1C14071DF20E}"/>
    <cellStyle name="SAPBEXexcGood3 6 2 4" xfId="10918" xr:uid="{19790DAA-E09B-4FBE-AEE8-FB94CC346EB0}"/>
    <cellStyle name="SAPBEXexcGood3 6 2 4 2" xfId="22448" xr:uid="{556047E1-EF69-4BCC-8BEA-F0EC8CB67E25}"/>
    <cellStyle name="SAPBEXexcGood3 6 2 5" xfId="10919" xr:uid="{6ABC7E3E-15EE-4ED7-8687-D1739AC61903}"/>
    <cellStyle name="SAPBEXexcGood3 6 2 5 2" xfId="22449" xr:uid="{C9762C87-4101-4F8E-BA20-5BAA70FD0DAF}"/>
    <cellStyle name="SAPBEXexcGood3 6 2 6" xfId="22445" xr:uid="{9ACAAF16-844D-4FFF-B55E-250ECCC0E8CE}"/>
    <cellStyle name="SAPBEXexcGood3 6 3" xfId="10920" xr:uid="{70DE0361-79FE-4903-AB73-968B2546AC19}"/>
    <cellStyle name="SAPBEXexcGood3 6 3 2" xfId="22450" xr:uid="{60C132DE-FCA4-4ABC-9CFF-4533AEF2A0BB}"/>
    <cellStyle name="SAPBEXexcGood3 6 4" xfId="10921" xr:uid="{FA0E9A52-B7A0-4D01-BE91-3D019C1AA0BC}"/>
    <cellStyle name="SAPBEXexcGood3 6 4 2" xfId="22451" xr:uid="{0BAA436C-747D-42BD-AFCE-D9B7237C3C10}"/>
    <cellStyle name="SAPBEXexcGood3 6 5" xfId="10922" xr:uid="{03297198-72B8-46B9-BDBD-FF264EB5DC9C}"/>
    <cellStyle name="SAPBEXexcGood3 6 5 2" xfId="22452" xr:uid="{D8AE325A-49FE-4BE0-921F-46BC8448DF1D}"/>
    <cellStyle name="SAPBEXexcGood3 6 6" xfId="10923" xr:uid="{1804BBC5-AE5F-41C5-BD51-96BE7E98BCC2}"/>
    <cellStyle name="SAPBEXexcGood3 6 6 2" xfId="22453" xr:uid="{AE60F164-4B32-48CC-970C-2520EFBA50FB}"/>
    <cellStyle name="SAPBEXexcGood3 6 7" xfId="22444" xr:uid="{10C0999C-3AC8-4395-834A-133D83814415}"/>
    <cellStyle name="SAPBEXexcGood3 7" xfId="10924" xr:uid="{6AF3FF2B-8AE2-4DDB-9861-22B877850D16}"/>
    <cellStyle name="SAPBEXexcGood3 7 2" xfId="10925" xr:uid="{94541A98-4A14-46E5-AC17-075E61DD3886}"/>
    <cellStyle name="SAPBEXexcGood3 7 2 2" xfId="10926" xr:uid="{6858E95A-FB4F-4861-A099-EBC409596B74}"/>
    <cellStyle name="SAPBEXexcGood3 7 2 2 2" xfId="22456" xr:uid="{AB367BC1-5599-4DC7-8D3A-8230D0A23763}"/>
    <cellStyle name="SAPBEXexcGood3 7 2 3" xfId="10927" xr:uid="{5A70D3E9-4E09-4BC0-95E6-86A734181FC0}"/>
    <cellStyle name="SAPBEXexcGood3 7 2 3 2" xfId="22457" xr:uid="{4EFD9FAA-319C-4682-9DDB-509069E8F548}"/>
    <cellStyle name="SAPBEXexcGood3 7 2 4" xfId="10928" xr:uid="{74E4EB5C-CD77-458F-AB85-77204268FA46}"/>
    <cellStyle name="SAPBEXexcGood3 7 2 4 2" xfId="22458" xr:uid="{B1425519-C025-4E39-A924-532E0387515A}"/>
    <cellStyle name="SAPBEXexcGood3 7 2 5" xfId="10929" xr:uid="{7BCA92D6-AC91-41DC-AEF9-F963FFEAEBD2}"/>
    <cellStyle name="SAPBEXexcGood3 7 2 5 2" xfId="22459" xr:uid="{4CE50D8F-E0B4-422A-A064-42D6B6254276}"/>
    <cellStyle name="SAPBEXexcGood3 7 2 6" xfId="22455" xr:uid="{B55C3CEA-C7B9-4CE7-BF34-D75148B57325}"/>
    <cellStyle name="SAPBEXexcGood3 7 3" xfId="10930" xr:uid="{EE0DDBB0-06FE-4A90-9E15-674A94100ED4}"/>
    <cellStyle name="SAPBEXexcGood3 7 3 2" xfId="22460" xr:uid="{4F0C438D-F0C0-4CE1-924F-188DB0587756}"/>
    <cellStyle name="SAPBEXexcGood3 7 4" xfId="10931" xr:uid="{7D611814-980D-484E-A87E-BBB2E3A4808C}"/>
    <cellStyle name="SAPBEXexcGood3 7 4 2" xfId="22461" xr:uid="{B9538CCA-90DE-4BF6-B4E4-311890B90D36}"/>
    <cellStyle name="SAPBEXexcGood3 7 5" xfId="10932" xr:uid="{6BA46899-E693-45FB-844B-AB994D1C2DDA}"/>
    <cellStyle name="SAPBEXexcGood3 7 5 2" xfId="22462" xr:uid="{2382A88D-059E-4A6A-8DC0-F9BA56F933B2}"/>
    <cellStyle name="SAPBEXexcGood3 7 6" xfId="10933" xr:uid="{FFE70C5C-0154-4034-B19D-930AFE6250D3}"/>
    <cellStyle name="SAPBEXexcGood3 7 6 2" xfId="22463" xr:uid="{AB84D79C-B22B-4B1F-A3E8-20B5AC9ED780}"/>
    <cellStyle name="SAPBEXexcGood3 7 7" xfId="22454" xr:uid="{3CDBF9F8-0059-4859-B618-4460B76DFDAA}"/>
    <cellStyle name="SAPBEXexcGood3 8" xfId="10934" xr:uid="{DC42777A-1B31-4FE4-B0EF-EC8E2D759799}"/>
    <cellStyle name="SAPBEXexcGood3 8 2" xfId="10935" xr:uid="{5B718127-77EA-48A7-A7EC-551593BADD62}"/>
    <cellStyle name="SAPBEXexcGood3 8 2 2" xfId="10936" xr:uid="{27CE783A-3264-49C2-81B0-E64CD444D158}"/>
    <cellStyle name="SAPBEXexcGood3 8 2 2 2" xfId="22466" xr:uid="{AD8588BF-3614-4915-A693-F31B53F3B261}"/>
    <cellStyle name="SAPBEXexcGood3 8 2 3" xfId="10937" xr:uid="{FB1ACC20-DC81-4F30-ADF1-D63FF06BDC39}"/>
    <cellStyle name="SAPBEXexcGood3 8 2 3 2" xfId="22467" xr:uid="{CF618B07-84E8-40AE-B2D7-43C06B2791F9}"/>
    <cellStyle name="SAPBEXexcGood3 8 2 4" xfId="10938" xr:uid="{05DCA5BA-DA99-4E2D-9FD1-441976E9FEA9}"/>
    <cellStyle name="SAPBEXexcGood3 8 2 4 2" xfId="22468" xr:uid="{E9677FAB-8D83-4318-921F-C01C92A9F749}"/>
    <cellStyle name="SAPBEXexcGood3 8 2 5" xfId="10939" xr:uid="{D5C7E5B7-FEA7-4299-930D-B57D64EA5D13}"/>
    <cellStyle name="SAPBEXexcGood3 8 2 5 2" xfId="22469" xr:uid="{42C7E853-EEE1-4655-B42E-E9BA980CD522}"/>
    <cellStyle name="SAPBEXexcGood3 8 2 6" xfId="22465" xr:uid="{300828BB-5A3E-46DA-900E-04BD5077D3B1}"/>
    <cellStyle name="SAPBEXexcGood3 8 3" xfId="10940" xr:uid="{0EF4AABB-F51E-4EB2-88E6-6327FB9CD11F}"/>
    <cellStyle name="SAPBEXexcGood3 8 3 2" xfId="22470" xr:uid="{E73A2B82-7DAB-4837-BB07-4BA1D1E90F91}"/>
    <cellStyle name="SAPBEXexcGood3 8 4" xfId="10941" xr:uid="{E24D8B97-3FCA-4A77-843B-377828494BA1}"/>
    <cellStyle name="SAPBEXexcGood3 8 4 2" xfId="22471" xr:uid="{A9D688AB-7250-4942-B3ED-9828A2301B17}"/>
    <cellStyle name="SAPBEXexcGood3 8 5" xfId="10942" xr:uid="{FEDFBF41-CF0B-44B2-B0B6-1F7874C4DF90}"/>
    <cellStyle name="SAPBEXexcGood3 8 5 2" xfId="22472" xr:uid="{87255552-9467-4D95-BBD4-105B3F14D9E4}"/>
    <cellStyle name="SAPBEXexcGood3 8 6" xfId="10943" xr:uid="{B24CB6E3-10AF-4E3B-811A-6F1A8E653F71}"/>
    <cellStyle name="SAPBEXexcGood3 8 6 2" xfId="22473" xr:uid="{839722BA-6D18-40F5-A111-4496925FA7C6}"/>
    <cellStyle name="SAPBEXexcGood3 8 7" xfId="22464" xr:uid="{81905977-3C73-4AD1-AD00-96FD2318FA84}"/>
    <cellStyle name="SAPBEXexcGood3 9" xfId="10944" xr:uid="{22D25C8E-66B6-4A05-8707-9CBAEF4DF609}"/>
    <cellStyle name="SAPBEXexcGood3 9 2" xfId="10945" xr:uid="{958E6031-B78B-49FD-8493-303CFBDA100C}"/>
    <cellStyle name="SAPBEXexcGood3 9 2 2" xfId="10946" xr:uid="{09AABC4A-C259-438B-9F0B-9B9B63CD26CE}"/>
    <cellStyle name="SAPBEXexcGood3 9 2 2 2" xfId="22476" xr:uid="{281C64D3-D7D8-4679-9AE3-77F0F5C0A948}"/>
    <cellStyle name="SAPBEXexcGood3 9 2 3" xfId="10947" xr:uid="{60E69763-8625-470C-B815-FED801E6C656}"/>
    <cellStyle name="SAPBEXexcGood3 9 2 3 2" xfId="22477" xr:uid="{5ED60FBE-74C2-41C2-BFE8-0803E57D38A2}"/>
    <cellStyle name="SAPBEXexcGood3 9 2 4" xfId="10948" xr:uid="{C4D5FACE-774A-478F-8D9D-898C18C9129E}"/>
    <cellStyle name="SAPBEXexcGood3 9 2 4 2" xfId="22478" xr:uid="{A1FA1825-3209-47DA-94E9-FEE5299DAFD0}"/>
    <cellStyle name="SAPBEXexcGood3 9 2 5" xfId="10949" xr:uid="{5020E5AA-FCCD-409E-9DD2-CE7D04BEB257}"/>
    <cellStyle name="SAPBEXexcGood3 9 2 5 2" xfId="22479" xr:uid="{E9137F08-7C2B-4427-BAB5-7219CFC4FD10}"/>
    <cellStyle name="SAPBEXexcGood3 9 2 6" xfId="22475" xr:uid="{B0BE4477-BC2A-4DCA-AC84-FA30EDF48255}"/>
    <cellStyle name="SAPBEXexcGood3 9 3" xfId="10950" xr:uid="{EFCB7FC7-B15A-4DB2-9E6B-8C1941903111}"/>
    <cellStyle name="SAPBEXexcGood3 9 3 2" xfId="22480" xr:uid="{819321AC-7E1E-44B3-8351-55400520DBA7}"/>
    <cellStyle name="SAPBEXexcGood3 9 4" xfId="10951" xr:uid="{B8CFBDAF-5DBA-4C32-BC60-B44720762065}"/>
    <cellStyle name="SAPBEXexcGood3 9 4 2" xfId="22481" xr:uid="{F8CEE93B-913A-4CC7-87AD-E9E7839A528E}"/>
    <cellStyle name="SAPBEXexcGood3 9 5" xfId="10952" xr:uid="{2318F514-FE0F-4613-B17B-502E4FFDB7FB}"/>
    <cellStyle name="SAPBEXexcGood3 9 5 2" xfId="22482" xr:uid="{F449059E-0DEA-4E70-B1A5-43E7A6DB59EF}"/>
    <cellStyle name="SAPBEXexcGood3 9 6" xfId="10953" xr:uid="{A353972E-2004-44FF-BD27-C125895D71A2}"/>
    <cellStyle name="SAPBEXexcGood3 9 6 2" xfId="22483" xr:uid="{6E69CB8D-E53E-4C54-B0A9-3ACD29789382}"/>
    <cellStyle name="SAPBEXexcGood3 9 7" xfId="22474" xr:uid="{A0EAA0DA-8E23-4C9B-BB4D-717802B609D5}"/>
    <cellStyle name="SAPBEXexcGood3_KTR An-Abflug" xfId="14901" xr:uid="{006FD6D6-694B-4F37-B4E1-395BBD76DF3F}"/>
    <cellStyle name="SAPBEXfilterDrill" xfId="10954" xr:uid="{E6E7E4A3-8042-40EC-A464-CDF1334C3B11}"/>
    <cellStyle name="SAPBEXfilterDrill 10" xfId="10955" xr:uid="{A177508C-750C-4E43-8C5D-B52EAA4F1228}"/>
    <cellStyle name="SAPBEXfilterDrill 10 2" xfId="10956" xr:uid="{2153420A-DD0A-4B3E-8400-3B7E39AC1AAC}"/>
    <cellStyle name="SAPBEXfilterDrill 10 2 2" xfId="10957" xr:uid="{0E837374-F185-47BF-8040-E50A5A98BA71}"/>
    <cellStyle name="SAPBEXfilterDrill 10 2 2 2" xfId="22486" xr:uid="{6E18E140-003C-477A-B91E-1D9EA7DF21D2}"/>
    <cellStyle name="SAPBEXfilterDrill 10 2 3" xfId="10958" xr:uid="{C23DBDB8-0CBE-44CD-A165-95D6570D2D8E}"/>
    <cellStyle name="SAPBEXfilterDrill 10 2 3 2" xfId="22487" xr:uid="{26537BB9-5B28-42F0-BB80-CBD45D11D05D}"/>
    <cellStyle name="SAPBEXfilterDrill 10 2 4" xfId="10959" xr:uid="{25973E1D-BEF5-45D6-AEC3-FFC5DDFB3048}"/>
    <cellStyle name="SAPBEXfilterDrill 10 2 4 2" xfId="22488" xr:uid="{0A655E5F-E17B-46E1-8BC5-4261514BD5DE}"/>
    <cellStyle name="SAPBEXfilterDrill 10 2 5" xfId="10960" xr:uid="{3AFDF2FD-678E-4969-805F-9BAF124787DB}"/>
    <cellStyle name="SAPBEXfilterDrill 10 2 5 2" xfId="22489" xr:uid="{63241E4C-AB7B-4AF5-9641-706D174705BE}"/>
    <cellStyle name="SAPBEXfilterDrill 10 2 6" xfId="22485" xr:uid="{081DC8BF-327B-4AE9-839B-651E376FFCE4}"/>
    <cellStyle name="SAPBEXfilterDrill 10 3" xfId="10961" xr:uid="{BD046686-60C5-49F1-B50C-AF27FFA58FFC}"/>
    <cellStyle name="SAPBEXfilterDrill 10 3 2" xfId="22490" xr:uid="{2C275573-81B8-4B78-A59C-71BF4CD9C214}"/>
    <cellStyle name="SAPBEXfilterDrill 10 4" xfId="10962" xr:uid="{AC390F46-C37C-490A-81B1-080C22E0B597}"/>
    <cellStyle name="SAPBEXfilterDrill 10 4 2" xfId="22491" xr:uid="{B0966132-6659-4430-BFE3-8E1BFB57175A}"/>
    <cellStyle name="SAPBEXfilterDrill 10 5" xfId="10963" xr:uid="{A8EED731-70F4-4AF1-B36B-D4A9AC08D94E}"/>
    <cellStyle name="SAPBEXfilterDrill 10 5 2" xfId="22492" xr:uid="{DEA1A9E7-99BB-4F60-B98B-E1D911A0BD86}"/>
    <cellStyle name="SAPBEXfilterDrill 10 6" xfId="10964" xr:uid="{4F224197-D971-49D4-90A4-71A91F455668}"/>
    <cellStyle name="SAPBEXfilterDrill 10 6 2" xfId="22493" xr:uid="{D88A002B-F768-42D2-9CAD-BAF451F0A779}"/>
    <cellStyle name="SAPBEXfilterDrill 10 7" xfId="22484" xr:uid="{2ADD23EA-2C3C-47EB-8F09-A79479CAA51E}"/>
    <cellStyle name="SAPBEXfilterDrill 11" xfId="10965" xr:uid="{A2F71425-C1F5-4056-B8C6-62409A6F1D00}"/>
    <cellStyle name="SAPBEXfilterDrill 11 2" xfId="10966" xr:uid="{02C7B9B8-F687-44A3-A90A-961B087CDE7E}"/>
    <cellStyle name="SAPBEXfilterDrill 11 2 2" xfId="10967" xr:uid="{1DCA0E77-31CF-42A0-A16E-CD4A0B067EE5}"/>
    <cellStyle name="SAPBEXfilterDrill 11 2 2 2" xfId="22496" xr:uid="{0B95F9F6-09C6-4F39-A270-AF217F1E5D81}"/>
    <cellStyle name="SAPBEXfilterDrill 11 2 3" xfId="10968" xr:uid="{3B09B46D-FEA5-4EA5-BF08-BA7DC60ECD09}"/>
    <cellStyle name="SAPBEXfilterDrill 11 2 3 2" xfId="22497" xr:uid="{A4020A10-739B-49E5-AF7C-63F22051DACF}"/>
    <cellStyle name="SAPBEXfilterDrill 11 2 4" xfId="10969" xr:uid="{07139612-2501-4A0A-95FC-2736715CD6A2}"/>
    <cellStyle name="SAPBEXfilterDrill 11 2 4 2" xfId="22498" xr:uid="{71BE7DFE-9B8E-464F-9235-B8164DD6B223}"/>
    <cellStyle name="SAPBEXfilterDrill 11 2 5" xfId="10970" xr:uid="{92DCA734-CB3B-4826-9335-85E14E00C0D7}"/>
    <cellStyle name="SAPBEXfilterDrill 11 2 5 2" xfId="22499" xr:uid="{4B0F7E3F-890D-4513-9FB5-CEFD7F31ECA4}"/>
    <cellStyle name="SAPBEXfilterDrill 11 2 6" xfId="22495" xr:uid="{4C2560DA-C2EA-4E45-B5CA-A6BE5AF6342A}"/>
    <cellStyle name="SAPBEXfilterDrill 11 3" xfId="10971" xr:uid="{99029731-A86E-4B08-AB0C-5EEBF30475F1}"/>
    <cellStyle name="SAPBEXfilterDrill 11 3 2" xfId="22500" xr:uid="{921A181E-3B48-451D-8464-69EA3E45BAED}"/>
    <cellStyle name="SAPBEXfilterDrill 11 4" xfId="10972" xr:uid="{84081F8A-E568-430A-86D5-1308EBCC34A8}"/>
    <cellStyle name="SAPBEXfilterDrill 11 4 2" xfId="22501" xr:uid="{261C00AB-292B-409F-8E91-BEDD27CA22FA}"/>
    <cellStyle name="SAPBEXfilterDrill 11 5" xfId="10973" xr:uid="{F8047F75-AE77-4B9B-9A78-52450E04292A}"/>
    <cellStyle name="SAPBEXfilterDrill 11 5 2" xfId="22502" xr:uid="{2B2E5C8F-8361-4343-8EFC-0A9BB921B566}"/>
    <cellStyle name="SAPBEXfilterDrill 11 6" xfId="10974" xr:uid="{E0DAA00A-B926-48AE-930D-5DA4051AC7DD}"/>
    <cellStyle name="SAPBEXfilterDrill 11 6 2" xfId="22503" xr:uid="{A93BE608-C3BE-46D4-A1EE-967D22EBEE72}"/>
    <cellStyle name="SAPBEXfilterDrill 11 7" xfId="22494" xr:uid="{7A78FA28-3C0E-4C03-9718-658B46A88D78}"/>
    <cellStyle name="SAPBEXfilterDrill 12" xfId="10975" xr:uid="{D044A810-1ADA-4D43-B58B-F462CD336DA9}"/>
    <cellStyle name="SAPBEXfilterDrill 12 2" xfId="10976" xr:uid="{C6C64785-A0C7-4BE9-9DA0-B6CFF3505CE1}"/>
    <cellStyle name="SAPBEXfilterDrill 12 2 2" xfId="10977" xr:uid="{1E97DBBA-59E2-444F-88C6-EDE47F10833B}"/>
    <cellStyle name="SAPBEXfilterDrill 12 2 2 2" xfId="22506" xr:uid="{42B901C9-BDF4-40CC-9275-AA0A7AB4A238}"/>
    <cellStyle name="SAPBEXfilterDrill 12 2 3" xfId="10978" xr:uid="{2CC9E9F2-41D6-46CF-8E4A-D83E1820913B}"/>
    <cellStyle name="SAPBEXfilterDrill 12 2 3 2" xfId="22507" xr:uid="{6FA05459-391C-4865-8E2F-68540B50ED0C}"/>
    <cellStyle name="SAPBEXfilterDrill 12 2 4" xfId="10979" xr:uid="{1FE93ADA-4A02-46CD-B004-9FBC1D7EFD88}"/>
    <cellStyle name="SAPBEXfilterDrill 12 2 4 2" xfId="22508" xr:uid="{28010337-4F79-4EEA-A169-FC39D3864EBD}"/>
    <cellStyle name="SAPBEXfilterDrill 12 2 5" xfId="10980" xr:uid="{C74C4FF3-9A6B-419E-BF32-176A85F9D40B}"/>
    <cellStyle name="SAPBEXfilterDrill 12 2 5 2" xfId="22509" xr:uid="{42382942-A077-482F-A165-1F4A8AC3866D}"/>
    <cellStyle name="SAPBEXfilterDrill 12 2 6" xfId="22505" xr:uid="{D1AFD1B5-935A-41A5-8B00-7FFCA3039A25}"/>
    <cellStyle name="SAPBEXfilterDrill 12 3" xfId="10981" xr:uid="{4CE69C38-D5CC-41EE-8C66-D0FAEE07B587}"/>
    <cellStyle name="SAPBEXfilterDrill 12 3 2" xfId="22510" xr:uid="{A03E5D4F-4E16-48FD-AEE0-DEB11506BBE1}"/>
    <cellStyle name="SAPBEXfilterDrill 12 4" xfId="10982" xr:uid="{5980C852-B518-4BDA-9E6C-BE3D7598C4B1}"/>
    <cellStyle name="SAPBEXfilterDrill 12 4 2" xfId="22511" xr:uid="{E98D4247-EF17-4FDE-B71A-42DCAA63B9FB}"/>
    <cellStyle name="SAPBEXfilterDrill 12 5" xfId="10983" xr:uid="{903FACFC-878D-4377-827D-A8A7281AC351}"/>
    <cellStyle name="SAPBEXfilterDrill 12 5 2" xfId="22512" xr:uid="{9CA35372-29D6-481E-9939-39E63E43C250}"/>
    <cellStyle name="SAPBEXfilterDrill 12 6" xfId="10984" xr:uid="{859D7EE5-999D-4B5C-A29E-858B0E423015}"/>
    <cellStyle name="SAPBEXfilterDrill 12 6 2" xfId="22513" xr:uid="{E5883EFA-BBE9-497D-9BDA-E840F989A801}"/>
    <cellStyle name="SAPBEXfilterDrill 12 7" xfId="22504" xr:uid="{F4109934-2CD9-4CFF-8425-A9A6D04EEDDC}"/>
    <cellStyle name="SAPBEXfilterDrill 13" xfId="10985" xr:uid="{18D95C38-E9A9-44F6-A50B-8F0A3153CDCA}"/>
    <cellStyle name="SAPBEXfilterDrill 13 2" xfId="10986" xr:uid="{BD7744A5-609E-4A86-A6AB-8E1349A0E7DF}"/>
    <cellStyle name="SAPBEXfilterDrill 13 2 2" xfId="10987" xr:uid="{912F3833-7019-487F-90EF-36E1F68EDD91}"/>
    <cellStyle name="SAPBEXfilterDrill 13 2 2 2" xfId="22516" xr:uid="{E6BD6AB7-4762-4948-BC50-2D7A19C1E953}"/>
    <cellStyle name="SAPBEXfilterDrill 13 2 3" xfId="10988" xr:uid="{DF02C915-24CC-49F6-9C92-7E83B41D510C}"/>
    <cellStyle name="SAPBEXfilterDrill 13 2 3 2" xfId="22517" xr:uid="{2726829F-C650-400D-8EFE-9D262A3F2E45}"/>
    <cellStyle name="SAPBEXfilterDrill 13 2 4" xfId="10989" xr:uid="{2E3A04FE-871F-488E-A0A0-8D1D224BB0DC}"/>
    <cellStyle name="SAPBEXfilterDrill 13 2 4 2" xfId="22518" xr:uid="{05931990-DC79-4E20-8581-571A72235060}"/>
    <cellStyle name="SAPBEXfilterDrill 13 2 5" xfId="10990" xr:uid="{DC98973C-87D2-447B-A457-57A1990754F3}"/>
    <cellStyle name="SAPBEXfilterDrill 13 2 5 2" xfId="22519" xr:uid="{ED2DD47C-6DEB-413B-B124-8445D696D12D}"/>
    <cellStyle name="SAPBEXfilterDrill 13 2 6" xfId="22515" xr:uid="{9AE9D120-B36C-49BA-9AA0-48201D3A9811}"/>
    <cellStyle name="SAPBEXfilterDrill 13 3" xfId="10991" xr:uid="{A110AEFC-C00C-42DB-BB93-2205CB547264}"/>
    <cellStyle name="SAPBEXfilterDrill 13 3 2" xfId="22520" xr:uid="{F2248E07-E790-4056-BCEA-D89772661218}"/>
    <cellStyle name="SAPBEXfilterDrill 13 4" xfId="10992" xr:uid="{F1CC09E1-6D3D-482E-B633-4FE3EC32CF0B}"/>
    <cellStyle name="SAPBEXfilterDrill 13 4 2" xfId="22521" xr:uid="{9FA778E4-ED24-477A-A110-7839A02FCEA1}"/>
    <cellStyle name="SAPBEXfilterDrill 13 5" xfId="10993" xr:uid="{145E9F6C-C159-4EDF-BDB8-E222FAE4FA1A}"/>
    <cellStyle name="SAPBEXfilterDrill 13 5 2" xfId="22522" xr:uid="{00944369-4A18-415A-8435-D27869D2CB30}"/>
    <cellStyle name="SAPBEXfilterDrill 13 6" xfId="10994" xr:uid="{73969061-38D2-4A26-A9AC-E1BE6E6474E4}"/>
    <cellStyle name="SAPBEXfilterDrill 13 6 2" xfId="22523" xr:uid="{0AF8AF6D-77F7-415D-A1FF-06D134BFA6D4}"/>
    <cellStyle name="SAPBEXfilterDrill 13 7" xfId="22514" xr:uid="{C3BCB54B-60FB-43ED-A462-37DF35A8652D}"/>
    <cellStyle name="SAPBEXfilterDrill 14" xfId="10995" xr:uid="{4C77D824-674B-4C90-B674-CDF65E4EF33E}"/>
    <cellStyle name="SAPBEXfilterDrill 14 2" xfId="10996" xr:uid="{CA7E33A4-6260-464A-95E1-D5B324691182}"/>
    <cellStyle name="SAPBEXfilterDrill 14 2 2" xfId="10997" xr:uid="{B82008C3-A9B5-49BC-BA5A-5C00CDE8FCCC}"/>
    <cellStyle name="SAPBEXfilterDrill 14 2 2 2" xfId="22526" xr:uid="{CAA67108-3453-40CB-878B-8E126A81553F}"/>
    <cellStyle name="SAPBEXfilterDrill 14 2 3" xfId="10998" xr:uid="{FDE165F2-5A8A-4723-94C6-518792D53D2B}"/>
    <cellStyle name="SAPBEXfilterDrill 14 2 3 2" xfId="22527" xr:uid="{46382BAB-4336-444B-80F8-EFC3D3075291}"/>
    <cellStyle name="SAPBEXfilterDrill 14 2 4" xfId="10999" xr:uid="{C6A6D117-BF79-4A1A-902B-02EECD4A5D93}"/>
    <cellStyle name="SAPBEXfilterDrill 14 2 4 2" xfId="22528" xr:uid="{0D5F7EC8-492C-4344-9712-3B6065BF841C}"/>
    <cellStyle name="SAPBEXfilterDrill 14 2 5" xfId="11000" xr:uid="{EDD4C5EC-A5F6-49A2-8C1F-D4B1CFD17EB6}"/>
    <cellStyle name="SAPBEXfilterDrill 14 2 5 2" xfId="22529" xr:uid="{04BC9D40-BD8C-400E-A0F7-3947FDCB5B32}"/>
    <cellStyle name="SAPBEXfilterDrill 14 2 6" xfId="22525" xr:uid="{94D99FF2-C3EF-4E62-80D5-B712410552EF}"/>
    <cellStyle name="SAPBEXfilterDrill 14 3" xfId="11001" xr:uid="{7F41269F-C585-4DBE-9635-F20904984B36}"/>
    <cellStyle name="SAPBEXfilterDrill 14 3 2" xfId="22530" xr:uid="{8EFF72AF-FBF2-4420-8365-0E622194470F}"/>
    <cellStyle name="SAPBEXfilterDrill 14 4" xfId="11002" xr:uid="{12795543-703F-4401-8E0F-097074C6EAD5}"/>
    <cellStyle name="SAPBEXfilterDrill 14 4 2" xfId="22531" xr:uid="{9C96EFFD-4428-4F6E-8AFF-098CBAEAD349}"/>
    <cellStyle name="SAPBEXfilterDrill 14 5" xfId="11003" xr:uid="{086E82BE-AFBD-4BF0-9BFC-D70EC39A6128}"/>
    <cellStyle name="SAPBEXfilterDrill 14 5 2" xfId="22532" xr:uid="{01957998-873E-4E39-8ABB-76BE22AC1841}"/>
    <cellStyle name="SAPBEXfilterDrill 14 6" xfId="11004" xr:uid="{34B4872F-F75F-41C8-9C6A-C6178D1243D8}"/>
    <cellStyle name="SAPBEXfilterDrill 14 6 2" xfId="22533" xr:uid="{0B0EB838-57A2-4059-9A9F-CBA377675626}"/>
    <cellStyle name="SAPBEXfilterDrill 14 7" xfId="22524" xr:uid="{087CF9E4-6EB6-4D78-8DDA-E57BC7ACF269}"/>
    <cellStyle name="SAPBEXfilterDrill 15" xfId="11005" xr:uid="{19A298AC-BB0E-4276-A6DB-DC2A0BE50E53}"/>
    <cellStyle name="SAPBEXfilterDrill 15 2" xfId="11006" xr:uid="{8E2C8754-2209-4EFB-81E6-6AC3F52ED9AA}"/>
    <cellStyle name="SAPBEXfilterDrill 15 2 2" xfId="11007" xr:uid="{A63673DA-225D-43BD-8142-08E249AA9EFC}"/>
    <cellStyle name="SAPBEXfilterDrill 15 2 2 2" xfId="22536" xr:uid="{45AC1F80-71DD-4D98-A445-47F1AFE91987}"/>
    <cellStyle name="SAPBEXfilterDrill 15 2 3" xfId="11008" xr:uid="{539010DD-DBB8-407A-BD58-3208D615DDB6}"/>
    <cellStyle name="SAPBEXfilterDrill 15 2 3 2" xfId="22537" xr:uid="{E50389F9-A3A0-40D1-B937-7F666EA3CE20}"/>
    <cellStyle name="SAPBEXfilterDrill 15 2 4" xfId="11009" xr:uid="{9867BC38-5380-4FAE-85E0-7775D72A6299}"/>
    <cellStyle name="SAPBEXfilterDrill 15 2 4 2" xfId="22538" xr:uid="{CE27C06D-E35B-4500-AD1B-F623D23DA33F}"/>
    <cellStyle name="SAPBEXfilterDrill 15 2 5" xfId="11010" xr:uid="{501DD427-A019-4581-86E8-F77D74262409}"/>
    <cellStyle name="SAPBEXfilterDrill 15 2 5 2" xfId="22539" xr:uid="{F3E340F0-3AC7-4662-85AA-EA10A5BC3E3E}"/>
    <cellStyle name="SAPBEXfilterDrill 15 2 6" xfId="22535" xr:uid="{A291449D-3FE0-4258-B49D-5BF3038D751E}"/>
    <cellStyle name="SAPBEXfilterDrill 15 3" xfId="11011" xr:uid="{C4E68BE4-3C15-45C3-B8D6-163BF9654488}"/>
    <cellStyle name="SAPBEXfilterDrill 15 3 2" xfId="22540" xr:uid="{5757CA42-3C45-464C-A7FB-6D90FD1FABA6}"/>
    <cellStyle name="SAPBEXfilterDrill 15 4" xfId="11012" xr:uid="{3396A637-6D34-4159-A3BA-538DB09EE224}"/>
    <cellStyle name="SAPBEXfilterDrill 15 4 2" xfId="22541" xr:uid="{BBF2446C-A16B-4158-A64D-2DE39CD16DDB}"/>
    <cellStyle name="SAPBEXfilterDrill 15 5" xfId="11013" xr:uid="{792DCA96-E9A9-407A-9757-530BC16728FA}"/>
    <cellStyle name="SAPBEXfilterDrill 15 5 2" xfId="22542" xr:uid="{9E5563BB-42B1-4DB5-88B1-173F39C40608}"/>
    <cellStyle name="SAPBEXfilterDrill 15 6" xfId="11014" xr:uid="{81D55390-EFFC-49B8-9BE2-911E2112E036}"/>
    <cellStyle name="SAPBEXfilterDrill 15 6 2" xfId="22543" xr:uid="{09343924-54E7-4DFD-B22E-9B02017269F6}"/>
    <cellStyle name="SAPBEXfilterDrill 15 7" xfId="22534" xr:uid="{6AE864C6-DD31-4BCF-807D-57165D6EE60F}"/>
    <cellStyle name="SAPBEXfilterDrill 16" xfId="11015" xr:uid="{8DCF9A72-EC50-4B6A-B140-A9B5641ED592}"/>
    <cellStyle name="SAPBEXfilterDrill 16 2" xfId="22544" xr:uid="{34B10494-7780-4916-8751-2BE1AD365EA1}"/>
    <cellStyle name="SAPBEXfilterDrill 17" xfId="11016" xr:uid="{CA23EBB2-D4B1-4F82-9E5A-0D29BBCF9071}"/>
    <cellStyle name="SAPBEXfilterDrill 17 2" xfId="22545" xr:uid="{4B3BF7BC-699B-4C02-AD37-5B023BF1565E}"/>
    <cellStyle name="SAPBEXfilterDrill 18" xfId="11017" xr:uid="{30CE3A98-316C-40C9-A866-92B6DCBED190}"/>
    <cellStyle name="SAPBEXfilterDrill 18 2" xfId="22546" xr:uid="{EBCFDC6C-F578-4542-BE2E-4E1CD4504405}"/>
    <cellStyle name="SAPBEXfilterDrill 19" xfId="11018" xr:uid="{C377D475-D250-42DE-8A38-2AB7E90A6199}"/>
    <cellStyle name="SAPBEXfilterDrill 19 2" xfId="22547" xr:uid="{EBAD6CEE-3CEC-4567-855B-2C4605E8FBD5}"/>
    <cellStyle name="SAPBEXfilterDrill 2" xfId="11019" xr:uid="{84607992-AD9B-4614-A341-D7AE51F8BF07}"/>
    <cellStyle name="SAPBEXfilterDrill 2 2" xfId="11020" xr:uid="{0F44E0A4-9551-4735-B002-57E3258C4DB1}"/>
    <cellStyle name="SAPBEXfilterDrill 2 2 2" xfId="11021" xr:uid="{406484FE-F5D6-47A1-9594-3AA29A112CC6}"/>
    <cellStyle name="SAPBEXfilterDrill 2 2 2 2" xfId="22550" xr:uid="{27313C2A-9F36-455F-8DDD-86DB7B0AE38C}"/>
    <cellStyle name="SAPBEXfilterDrill 2 2 3" xfId="11022" xr:uid="{FE21715E-ED3C-454D-B3E8-8C72FFCF737C}"/>
    <cellStyle name="SAPBEXfilterDrill 2 2 3 2" xfId="22551" xr:uid="{9C854684-2693-4083-9C75-041EBB9DBBD7}"/>
    <cellStyle name="SAPBEXfilterDrill 2 2 4" xfId="11023" xr:uid="{5277D4A9-C48F-4DF4-A812-0187EE4D0333}"/>
    <cellStyle name="SAPBEXfilterDrill 2 2 4 2" xfId="22552" xr:uid="{34731313-A183-4730-A153-2D0696BC4E3E}"/>
    <cellStyle name="SAPBEXfilterDrill 2 2 5" xfId="11024" xr:uid="{19A15198-FB29-4EAF-922E-D478D21677E2}"/>
    <cellStyle name="SAPBEXfilterDrill 2 2 5 2" xfId="22553" xr:uid="{604555D2-1CD5-4E45-A69F-29BFC0450A83}"/>
    <cellStyle name="SAPBEXfilterDrill 2 2 6" xfId="22549" xr:uid="{83ADAAAB-56AD-4E2A-AC6E-CC90C33276C9}"/>
    <cellStyle name="SAPBEXfilterDrill 2 3" xfId="11025" xr:uid="{9E0E1374-2EA2-449F-8E05-EC6FA4C7072D}"/>
    <cellStyle name="SAPBEXfilterDrill 2 3 2" xfId="22554" xr:uid="{4E90042A-EA1F-43AD-AC30-0A98F87400D6}"/>
    <cellStyle name="SAPBEXfilterDrill 2 4" xfId="11026" xr:uid="{F96C7399-B05E-47AB-8716-24051732263A}"/>
    <cellStyle name="SAPBEXfilterDrill 2 4 2" xfId="22555" xr:uid="{6812E7BB-6507-40C7-818B-1F834766B879}"/>
    <cellStyle name="SAPBEXfilterDrill 2 5" xfId="11027" xr:uid="{91F1CF93-89DB-4AEA-A6E5-C5FAAC0F2A25}"/>
    <cellStyle name="SAPBEXfilterDrill 2 5 2" xfId="22556" xr:uid="{0E902FD8-5CB0-4E27-BF7F-198DE736DAA7}"/>
    <cellStyle name="SAPBEXfilterDrill 2 6" xfId="11028" xr:uid="{3AC4A8EC-BA57-49B7-802D-EC581F0C0AE2}"/>
    <cellStyle name="SAPBEXfilterDrill 2 6 2" xfId="22557" xr:uid="{D4A90A94-C1E1-408C-A267-E47F3E7F29A3}"/>
    <cellStyle name="SAPBEXfilterDrill 2 7" xfId="22548" xr:uid="{F74C43BB-4916-4BF2-9762-A794AA29A639}"/>
    <cellStyle name="SAPBEXfilterDrill 20" xfId="15174" xr:uid="{EAC7EF41-6071-49C3-A67A-7288E7E2A639}"/>
    <cellStyle name="SAPBEXfilterDrill 3" xfId="11029" xr:uid="{F213AB29-59C9-4FCF-BDC6-359736B4A16B}"/>
    <cellStyle name="SAPBEXfilterDrill 3 2" xfId="11030" xr:uid="{838D001E-5C2C-4203-BD2E-A7BFD4F941FE}"/>
    <cellStyle name="SAPBEXfilterDrill 3 2 2" xfId="11031" xr:uid="{70A4BE95-92A2-4EA6-9C49-64B0605A5EB1}"/>
    <cellStyle name="SAPBEXfilterDrill 3 2 2 2" xfId="22560" xr:uid="{E993B4D0-7002-4CA8-BF3C-5645468359D2}"/>
    <cellStyle name="SAPBEXfilterDrill 3 2 3" xfId="11032" xr:uid="{816F93EF-EACB-436E-9240-8348F427A44C}"/>
    <cellStyle name="SAPBEXfilterDrill 3 2 3 2" xfId="22561" xr:uid="{3FE5CE77-1F9A-45BC-BD76-A18545E0709F}"/>
    <cellStyle name="SAPBEXfilterDrill 3 2 4" xfId="11033" xr:uid="{814897D9-1318-4684-94AF-6A9A8148242C}"/>
    <cellStyle name="SAPBEXfilterDrill 3 2 4 2" xfId="22562" xr:uid="{A298B91C-3A50-44E1-A381-4F5B6A599455}"/>
    <cellStyle name="SAPBEXfilterDrill 3 2 5" xfId="11034" xr:uid="{BDD4F7B4-1E6E-4C95-AECA-ADB393B0042B}"/>
    <cellStyle name="SAPBEXfilterDrill 3 2 5 2" xfId="22563" xr:uid="{E91CB3A4-2B74-423F-8924-356F6CA1EB00}"/>
    <cellStyle name="SAPBEXfilterDrill 3 2 6" xfId="22559" xr:uid="{4D63BF4D-18A8-4CB4-AFC7-A61C4F7BF020}"/>
    <cellStyle name="SAPBEXfilterDrill 3 3" xfId="11035" xr:uid="{3F4F711E-0CDB-4C34-9F2D-22D9D52DD2DE}"/>
    <cellStyle name="SAPBEXfilterDrill 3 3 2" xfId="22564" xr:uid="{19C6AFED-10E5-4BCE-BC90-B6F54ED395F0}"/>
    <cellStyle name="SAPBEXfilterDrill 3 4" xfId="11036" xr:uid="{984E4E38-8759-408F-A309-8C1BE38A3347}"/>
    <cellStyle name="SAPBEXfilterDrill 3 4 2" xfId="22565" xr:uid="{FDE9C8C1-8B9D-4423-BFAA-BD6373E17FFE}"/>
    <cellStyle name="SAPBEXfilterDrill 3 5" xfId="11037" xr:uid="{A05AD42D-F78E-45B0-9BD6-A74841A07102}"/>
    <cellStyle name="SAPBEXfilterDrill 3 5 2" xfId="22566" xr:uid="{2864237C-BF92-491E-9291-616B6B6FA384}"/>
    <cellStyle name="SAPBEXfilterDrill 3 6" xfId="11038" xr:uid="{9F49A9D9-6347-4B51-8B5A-DB71FC284C79}"/>
    <cellStyle name="SAPBEXfilterDrill 3 6 2" xfId="22567" xr:uid="{FEAB5B71-A516-4D5A-8D9E-A513527C5471}"/>
    <cellStyle name="SAPBEXfilterDrill 3 7" xfId="22558" xr:uid="{49286D5E-AE5A-4BAA-913B-1C4B477266AD}"/>
    <cellStyle name="SAPBEXfilterDrill 4" xfId="11039" xr:uid="{A48732BB-0A22-4ACB-BF1E-E9DFAAAFB43A}"/>
    <cellStyle name="SAPBEXfilterDrill 4 2" xfId="11040" xr:uid="{7A3006EF-625F-4B42-A4A7-C1457A1A5C15}"/>
    <cellStyle name="SAPBEXfilterDrill 4 2 2" xfId="11041" xr:uid="{5DEF263E-B9E8-412F-B6C9-20705B4A164C}"/>
    <cellStyle name="SAPBEXfilterDrill 4 2 2 2" xfId="22570" xr:uid="{CBB6870C-353B-4E91-AEFF-7F9FDFA08951}"/>
    <cellStyle name="SAPBEXfilterDrill 4 2 3" xfId="11042" xr:uid="{53AC52BC-82AF-49A4-B5F4-AA48EC6BFAFD}"/>
    <cellStyle name="SAPBEXfilterDrill 4 2 3 2" xfId="22571" xr:uid="{015513F5-9AC4-4249-8442-CD5B45E387B0}"/>
    <cellStyle name="SAPBEXfilterDrill 4 2 4" xfId="11043" xr:uid="{3814F22F-AA0C-4BF9-80C6-68541BF8A3CC}"/>
    <cellStyle name="SAPBEXfilterDrill 4 2 4 2" xfId="22572" xr:uid="{56088E04-B0AA-4696-A6C3-B2B9D2032F97}"/>
    <cellStyle name="SAPBEXfilterDrill 4 2 5" xfId="11044" xr:uid="{BA63D84E-2F0E-40B0-AA9A-9BF19736E551}"/>
    <cellStyle name="SAPBEXfilterDrill 4 2 5 2" xfId="22573" xr:uid="{C169D578-39F0-4AB6-8C3B-EAACAAFF0D10}"/>
    <cellStyle name="SAPBEXfilterDrill 4 2 6" xfId="22569" xr:uid="{2D3386E7-A28D-4C54-9997-60887869AED1}"/>
    <cellStyle name="SAPBEXfilterDrill 4 3" xfId="11045" xr:uid="{9E1DC34D-499A-45C7-8234-38457896069D}"/>
    <cellStyle name="SAPBEXfilterDrill 4 3 2" xfId="22574" xr:uid="{53136D75-3BF8-422C-A8E7-5E632D48CE37}"/>
    <cellStyle name="SAPBEXfilterDrill 4 4" xfId="11046" xr:uid="{C8C9422E-A079-45E9-A61D-041943BCABD9}"/>
    <cellStyle name="SAPBEXfilterDrill 4 4 2" xfId="22575" xr:uid="{C547DDC5-ED61-4618-A58B-26FAF7EF8F26}"/>
    <cellStyle name="SAPBEXfilterDrill 4 5" xfId="11047" xr:uid="{2EC64AF9-4B2E-4BDB-9111-2C20D63404FE}"/>
    <cellStyle name="SAPBEXfilterDrill 4 5 2" xfId="22576" xr:uid="{4BEBA054-CB93-4A44-9764-1FB201C0B2DC}"/>
    <cellStyle name="SAPBEXfilterDrill 4 6" xfId="11048" xr:uid="{BFAD5579-8463-472C-8111-4104D9839043}"/>
    <cellStyle name="SAPBEXfilterDrill 4 6 2" xfId="22577" xr:uid="{C29B9B2B-49CB-428B-BFDA-4BB299E4B1DF}"/>
    <cellStyle name="SAPBEXfilterDrill 4 7" xfId="22568" xr:uid="{79540F05-2D7E-47BD-9941-D7DE570273E3}"/>
    <cellStyle name="SAPBEXfilterDrill 5" xfId="11049" xr:uid="{EF1C24FC-8DEC-4DF4-8DFF-6233A3C13546}"/>
    <cellStyle name="SAPBEXfilterDrill 5 2" xfId="11050" xr:uid="{5895AB5C-1D8E-4070-8294-55C46E6ABFF1}"/>
    <cellStyle name="SAPBEXfilterDrill 5 2 2" xfId="11051" xr:uid="{7B3B2812-94CC-43BB-9F76-1852B612A77F}"/>
    <cellStyle name="SAPBEXfilterDrill 5 2 2 2" xfId="22580" xr:uid="{83100E69-3DAD-4A2E-87DA-7EA2541FEB04}"/>
    <cellStyle name="SAPBEXfilterDrill 5 2 3" xfId="11052" xr:uid="{8AD1AE61-1BAB-4127-B1A0-82B2F25324FF}"/>
    <cellStyle name="SAPBEXfilterDrill 5 2 3 2" xfId="22581" xr:uid="{7CC8A051-A74A-4826-93BE-E9A8BE5C680B}"/>
    <cellStyle name="SAPBEXfilterDrill 5 2 4" xfId="11053" xr:uid="{D35C73A2-9E7B-4A32-B05E-DB3FF36C8187}"/>
    <cellStyle name="SAPBEXfilterDrill 5 2 4 2" xfId="22582" xr:uid="{C2578E72-1434-4FEB-B61E-DC2483853DC9}"/>
    <cellStyle name="SAPBEXfilterDrill 5 2 5" xfId="11054" xr:uid="{12355BB0-C0C8-4121-9F14-F12C1640FFEF}"/>
    <cellStyle name="SAPBEXfilterDrill 5 2 5 2" xfId="22583" xr:uid="{8B01B007-A8C5-4E43-9331-7B2FE048D6E7}"/>
    <cellStyle name="SAPBEXfilterDrill 5 2 6" xfId="22579" xr:uid="{93087150-C2D4-494E-ABCF-10C0D7876456}"/>
    <cellStyle name="SAPBEXfilterDrill 5 3" xfId="11055" xr:uid="{9A7FDB1F-30A6-4E8B-9F21-A8D14B23FE96}"/>
    <cellStyle name="SAPBEXfilterDrill 5 3 2" xfId="22584" xr:uid="{5AD09D94-5E73-4DBE-AE5A-3442D6117414}"/>
    <cellStyle name="SAPBEXfilterDrill 5 4" xfId="11056" xr:uid="{99672E68-2454-4ED9-9BB0-8F5FF6E4B64D}"/>
    <cellStyle name="SAPBEXfilterDrill 5 4 2" xfId="22585" xr:uid="{8FB76DA5-9E26-4494-9408-DE3E0070C7A9}"/>
    <cellStyle name="SAPBEXfilterDrill 5 5" xfId="11057" xr:uid="{D3BF8E7C-45AC-4438-92F7-695DF479AD2F}"/>
    <cellStyle name="SAPBEXfilterDrill 5 5 2" xfId="22586" xr:uid="{5DB25A43-99B0-4ECC-8884-A7ACEA4BB849}"/>
    <cellStyle name="SAPBEXfilterDrill 5 6" xfId="11058" xr:uid="{69A89B33-CFEA-4AF4-B26A-B5B881BA4993}"/>
    <cellStyle name="SAPBEXfilterDrill 5 6 2" xfId="22587" xr:uid="{0DEA6AB1-9DDF-469D-BECE-F8A4BABF046C}"/>
    <cellStyle name="SAPBEXfilterDrill 5 7" xfId="22578" xr:uid="{3DE8DAB8-F021-46F4-8367-AD58D5E433F3}"/>
    <cellStyle name="SAPBEXfilterDrill 6" xfId="11059" xr:uid="{2596B78C-9DFB-450A-B45F-75D15EE62667}"/>
    <cellStyle name="SAPBEXfilterDrill 6 2" xfId="11060" xr:uid="{F31CE9C5-5568-4FA3-A035-E2E232FF1DF9}"/>
    <cellStyle name="SAPBEXfilterDrill 6 2 2" xfId="11061" xr:uid="{CC41FD69-29B8-4B3E-8EF8-2BC27BF15DFB}"/>
    <cellStyle name="SAPBEXfilterDrill 6 2 2 2" xfId="22590" xr:uid="{A5880A8C-45A9-4BAD-9B6E-0EE0E91B08F4}"/>
    <cellStyle name="SAPBEXfilterDrill 6 2 3" xfId="11062" xr:uid="{76A0F069-412C-4E93-83ED-08BCB7583623}"/>
    <cellStyle name="SAPBEXfilterDrill 6 2 3 2" xfId="22591" xr:uid="{85BF0EFD-C6A4-40E1-96AB-40B281309FD8}"/>
    <cellStyle name="SAPBEXfilterDrill 6 2 4" xfId="11063" xr:uid="{04E4FED2-5D4F-4889-8BF8-F7682E275204}"/>
    <cellStyle name="SAPBEXfilterDrill 6 2 4 2" xfId="22592" xr:uid="{B4260901-C82A-462F-9216-58884F438470}"/>
    <cellStyle name="SAPBEXfilterDrill 6 2 5" xfId="11064" xr:uid="{F8BC1FA6-F673-4F31-B1DB-7EBDA3BD18C4}"/>
    <cellStyle name="SAPBEXfilterDrill 6 2 5 2" xfId="22593" xr:uid="{6AA2636E-CF2D-43D9-8B78-A119D1D472EF}"/>
    <cellStyle name="SAPBEXfilterDrill 6 2 6" xfId="22589" xr:uid="{AE1B683D-1C3E-4C07-9500-2F2A9DB5C1A0}"/>
    <cellStyle name="SAPBEXfilterDrill 6 3" xfId="11065" xr:uid="{A139A76E-1F52-47B5-AA48-3336896B4F4C}"/>
    <cellStyle name="SAPBEXfilterDrill 6 3 2" xfId="22594" xr:uid="{DBBFA71E-8B05-4062-9F3A-78B4EBE0AA57}"/>
    <cellStyle name="SAPBEXfilterDrill 6 4" xfId="11066" xr:uid="{19C3ABF3-5029-4AD5-855D-E5080387AABA}"/>
    <cellStyle name="SAPBEXfilterDrill 6 4 2" xfId="22595" xr:uid="{F23DD089-6553-4EBB-8DD6-97192A9A5E6E}"/>
    <cellStyle name="SAPBEXfilterDrill 6 5" xfId="11067" xr:uid="{343731DB-C707-4512-90D8-E53F2B4ED5EF}"/>
    <cellStyle name="SAPBEXfilterDrill 6 5 2" xfId="22596" xr:uid="{5927DFB4-3B57-436E-AFDD-0300EA6501B2}"/>
    <cellStyle name="SAPBEXfilterDrill 6 6" xfId="11068" xr:uid="{5503852F-8000-49D6-B577-E55282C3F706}"/>
    <cellStyle name="SAPBEXfilterDrill 6 6 2" xfId="22597" xr:uid="{B26029B4-E2DF-43DF-A865-44574900DC90}"/>
    <cellStyle name="SAPBEXfilterDrill 6 7" xfId="22588" xr:uid="{E026BD2C-A457-486C-BD1E-7929A5AAD788}"/>
    <cellStyle name="SAPBEXfilterDrill 7" xfId="11069" xr:uid="{EE0E7677-B7D7-4E05-98E3-03854D75A2C4}"/>
    <cellStyle name="SAPBEXfilterDrill 7 2" xfId="11070" xr:uid="{9FE3EB64-0D1E-4EAE-863E-8530A3C01075}"/>
    <cellStyle name="SAPBEXfilterDrill 7 2 2" xfId="11071" xr:uid="{834738D0-653D-4631-980E-E31F4FAF93C4}"/>
    <cellStyle name="SAPBEXfilterDrill 7 2 2 2" xfId="22600" xr:uid="{3AC701D7-2A74-4469-A78B-3E5E8D48757D}"/>
    <cellStyle name="SAPBEXfilterDrill 7 2 3" xfId="11072" xr:uid="{1259F224-1FE0-45CA-BF45-5E04AA3B118E}"/>
    <cellStyle name="SAPBEXfilterDrill 7 2 3 2" xfId="22601" xr:uid="{36B7F108-3672-46C1-BA15-5865ABB13109}"/>
    <cellStyle name="SAPBEXfilterDrill 7 2 4" xfId="11073" xr:uid="{68EF4D37-0B57-49CB-8F4E-165DD77FCE6D}"/>
    <cellStyle name="SAPBEXfilterDrill 7 2 4 2" xfId="22602" xr:uid="{96357CC4-6337-45EF-A7E0-5FEBA2FBAFF3}"/>
    <cellStyle name="SAPBEXfilterDrill 7 2 5" xfId="11074" xr:uid="{4C3EBFAE-14F9-443C-BA96-26CF6CA7AE56}"/>
    <cellStyle name="SAPBEXfilterDrill 7 2 5 2" xfId="22603" xr:uid="{575FF9E0-20D5-4708-9902-4B10B602E0BE}"/>
    <cellStyle name="SAPBEXfilterDrill 7 2 6" xfId="22599" xr:uid="{1A5C8657-C68C-4930-A5DE-5AC45D4CAE6F}"/>
    <cellStyle name="SAPBEXfilterDrill 7 3" xfId="11075" xr:uid="{308245EC-AF15-4A6C-926A-273B89181061}"/>
    <cellStyle name="SAPBEXfilterDrill 7 3 2" xfId="22604" xr:uid="{3022580A-F286-4FB8-8F9F-868BBA8FB4C9}"/>
    <cellStyle name="SAPBEXfilterDrill 7 4" xfId="11076" xr:uid="{5AA0D600-3F76-4D5C-87AD-FABD647780EF}"/>
    <cellStyle name="SAPBEXfilterDrill 7 4 2" xfId="22605" xr:uid="{0B7E4998-5806-4C1D-BD3F-CDBBB300D365}"/>
    <cellStyle name="SAPBEXfilterDrill 7 5" xfId="11077" xr:uid="{3B35A1C0-AAF8-476B-AB83-B6E433D26BEC}"/>
    <cellStyle name="SAPBEXfilterDrill 7 5 2" xfId="22606" xr:uid="{020519A9-0A3A-43B6-BCAE-6D7DAE5914FC}"/>
    <cellStyle name="SAPBEXfilterDrill 7 6" xfId="11078" xr:uid="{C2615AB4-D663-457A-A494-71D2E53B55FF}"/>
    <cellStyle name="SAPBEXfilterDrill 7 6 2" xfId="22607" xr:uid="{EE72EC8B-BB70-4EA4-9546-9E4148E75806}"/>
    <cellStyle name="SAPBEXfilterDrill 7 7" xfId="22598" xr:uid="{D7628A4C-962F-4A68-A183-E1AB00F5CB50}"/>
    <cellStyle name="SAPBEXfilterDrill 8" xfId="11079" xr:uid="{98E15A95-D94B-4DD8-AA35-BFAB681EAAFF}"/>
    <cellStyle name="SAPBEXfilterDrill 8 2" xfId="11080" xr:uid="{791A70B3-5E5A-4C44-BED6-4A77294396E8}"/>
    <cellStyle name="SAPBEXfilterDrill 8 2 2" xfId="11081" xr:uid="{D1642925-4C9E-4842-98D9-283D0854718F}"/>
    <cellStyle name="SAPBEXfilterDrill 8 2 2 2" xfId="22610" xr:uid="{AFA8A20A-9BFC-435C-8173-8A149CB86696}"/>
    <cellStyle name="SAPBEXfilterDrill 8 2 3" xfId="11082" xr:uid="{FB56C20A-B2E6-4D95-8319-A7CEFEE077DC}"/>
    <cellStyle name="SAPBEXfilterDrill 8 2 3 2" xfId="22611" xr:uid="{54150BC7-AD64-45AA-8BA6-598B7719568D}"/>
    <cellStyle name="SAPBEXfilterDrill 8 2 4" xfId="11083" xr:uid="{F4799253-DF5F-485F-9157-FD0B03F8C93C}"/>
    <cellStyle name="SAPBEXfilterDrill 8 2 4 2" xfId="22612" xr:uid="{E3ABD2C7-47D3-475F-A7E5-1471B7CFCB7E}"/>
    <cellStyle name="SAPBEXfilterDrill 8 2 5" xfId="11084" xr:uid="{6AABA915-D006-4065-AE60-158101BC5267}"/>
    <cellStyle name="SAPBEXfilterDrill 8 2 5 2" xfId="22613" xr:uid="{26BF0D4A-971D-4749-9DDB-350FFA53A258}"/>
    <cellStyle name="SAPBEXfilterDrill 8 2 6" xfId="22609" xr:uid="{871909A3-B813-4675-9388-022E48B03BBD}"/>
    <cellStyle name="SAPBEXfilterDrill 8 3" xfId="11085" xr:uid="{1E58C1F8-C190-4CF7-9162-0DEB01C43A1B}"/>
    <cellStyle name="SAPBEXfilterDrill 8 3 2" xfId="22614" xr:uid="{EE8A31A0-6C24-49AA-9A71-51FDDB976351}"/>
    <cellStyle name="SAPBEXfilterDrill 8 4" xfId="11086" xr:uid="{A397EBC2-9DF7-4983-9E58-CCC2157136B6}"/>
    <cellStyle name="SAPBEXfilterDrill 8 4 2" xfId="22615" xr:uid="{211ECCBB-F7EE-4CFB-9F35-CA70BB5E2E90}"/>
    <cellStyle name="SAPBEXfilterDrill 8 5" xfId="11087" xr:uid="{79E87EEB-AE4F-4481-8BF8-BCF0729C104D}"/>
    <cellStyle name="SAPBEXfilterDrill 8 5 2" xfId="22616" xr:uid="{15A98724-B3E8-4568-B254-1C3AE1BB767F}"/>
    <cellStyle name="SAPBEXfilterDrill 8 6" xfId="11088" xr:uid="{E00B9362-C63B-457C-B9D6-46FB2EDB9543}"/>
    <cellStyle name="SAPBEXfilterDrill 8 6 2" xfId="22617" xr:uid="{46BBDF46-5482-40DC-9340-A9CC24848B11}"/>
    <cellStyle name="SAPBEXfilterDrill 8 7" xfId="22608" xr:uid="{0D7736DD-E9C8-4C83-A91A-8BFC6A3F8B10}"/>
    <cellStyle name="SAPBEXfilterDrill 9" xfId="11089" xr:uid="{DADB1CFD-AC5C-4D97-9BF9-814604E45BF6}"/>
    <cellStyle name="SAPBEXfilterDrill 9 2" xfId="11090" xr:uid="{D88C19F3-FCD2-4C1F-89C8-031E2ADC277E}"/>
    <cellStyle name="SAPBEXfilterDrill 9 2 2" xfId="11091" xr:uid="{825C080B-F787-4496-9763-A23C34207B70}"/>
    <cellStyle name="SAPBEXfilterDrill 9 2 2 2" xfId="22620" xr:uid="{F8C16F75-70A2-4950-88FC-A452F4807199}"/>
    <cellStyle name="SAPBEXfilterDrill 9 2 3" xfId="11092" xr:uid="{C859A5E3-2521-4A52-9B96-8C3ECC3E63FF}"/>
    <cellStyle name="SAPBEXfilterDrill 9 2 3 2" xfId="22621" xr:uid="{4D59558F-58D1-4EAD-8119-E65BEB2AA708}"/>
    <cellStyle name="SAPBEXfilterDrill 9 2 4" xfId="11093" xr:uid="{8DF18C84-C7F5-4C71-869E-AD7346A6D7A8}"/>
    <cellStyle name="SAPBEXfilterDrill 9 2 4 2" xfId="22622" xr:uid="{20D0981E-29AB-4752-91D3-4E1D37FD9514}"/>
    <cellStyle name="SAPBEXfilterDrill 9 2 5" xfId="11094" xr:uid="{5B596E33-951B-446B-9AD1-7DDC834AAB41}"/>
    <cellStyle name="SAPBEXfilterDrill 9 2 5 2" xfId="22623" xr:uid="{86A12F4A-E883-43BA-B824-8B0F3233D6CB}"/>
    <cellStyle name="SAPBEXfilterDrill 9 2 6" xfId="22619" xr:uid="{910C2216-CF65-4B58-872A-F976489100F4}"/>
    <cellStyle name="SAPBEXfilterDrill 9 3" xfId="11095" xr:uid="{6F38926C-85A7-4E96-A11F-A318F1FCD402}"/>
    <cellStyle name="SAPBEXfilterDrill 9 3 2" xfId="22624" xr:uid="{EBE07076-2202-4087-B9E6-C26DD05BA63D}"/>
    <cellStyle name="SAPBEXfilterDrill 9 4" xfId="11096" xr:uid="{A88FA314-36BC-463B-8EE6-05A18E450625}"/>
    <cellStyle name="SAPBEXfilterDrill 9 4 2" xfId="22625" xr:uid="{CCEBD20D-AB83-4255-88EC-21B768BE1A9E}"/>
    <cellStyle name="SAPBEXfilterDrill 9 5" xfId="11097" xr:uid="{58215409-D8BC-4B56-9260-03B0BFFDBBB8}"/>
    <cellStyle name="SAPBEXfilterDrill 9 5 2" xfId="22626" xr:uid="{441F7F34-8835-4856-A208-4364A986E2DF}"/>
    <cellStyle name="SAPBEXfilterDrill 9 6" xfId="11098" xr:uid="{128DEA71-E701-4E86-95EF-602772E5FB78}"/>
    <cellStyle name="SAPBEXfilterDrill 9 6 2" xfId="22627" xr:uid="{597A4AC0-6B9C-4934-82F4-3CF25F035FBB}"/>
    <cellStyle name="SAPBEXfilterDrill 9 7" xfId="22618" xr:uid="{DC720AE0-4514-4073-933D-F35B19AE49F8}"/>
    <cellStyle name="SAPBEXfilterDrill_KTR An-Abflug" xfId="14846" xr:uid="{98F47759-BFBC-435E-8099-E582135B44BA}"/>
    <cellStyle name="SAPBEXfilterItem" xfId="11099" xr:uid="{3A352656-AD46-4FDE-A586-532FFE1FC928}"/>
    <cellStyle name="SAPBEXfilterItem 10" xfId="11100" xr:uid="{9A982FC8-5853-4048-8179-C471E57E4F2F}"/>
    <cellStyle name="SAPBEXfilterItem 10 2" xfId="11101" xr:uid="{CFC69B15-99FF-4ACA-8449-253718EDF27D}"/>
    <cellStyle name="SAPBEXfilterItem 11" xfId="11102" xr:uid="{7595614F-6F73-4617-BB55-EE474E7AAF6A}"/>
    <cellStyle name="SAPBEXfilterItem 2" xfId="11103" xr:uid="{7D9E7C25-D91C-4CDC-8A44-399BEA98E517}"/>
    <cellStyle name="SAPBEXfilterItem 2 2" xfId="11104" xr:uid="{73804865-A481-46EA-95BC-D06DAB69E979}"/>
    <cellStyle name="SAPBEXfilterItem 3" xfId="11105" xr:uid="{E7C68F17-E809-4068-8224-A72D9D9597CD}"/>
    <cellStyle name="SAPBEXfilterItem 3 2" xfId="11106" xr:uid="{1484AC5D-52FC-42B3-9A4E-3808DA688DA3}"/>
    <cellStyle name="SAPBEXfilterItem 4" xfId="11107" xr:uid="{130D26E8-A617-4A4E-8B0D-89AEEE0F4223}"/>
    <cellStyle name="SAPBEXfilterItem 4 2" xfId="11108" xr:uid="{22E07543-2D8B-4036-BC9D-6C042767A902}"/>
    <cellStyle name="SAPBEXfilterItem 5" xfId="11109" xr:uid="{A40DC6CE-0B5F-46AA-8561-2122FB704935}"/>
    <cellStyle name="SAPBEXfilterItem 5 2" xfId="11110" xr:uid="{DF9A024C-AF96-4A75-BC21-84099DCBD3BC}"/>
    <cellStyle name="SAPBEXfilterItem 6" xfId="11111" xr:uid="{F8DEA309-29F1-4FBD-83B6-9E62BF06D2E1}"/>
    <cellStyle name="SAPBEXfilterItem 6 2" xfId="11112" xr:uid="{AA294162-3355-4BD6-8C4B-868E0E9F58BE}"/>
    <cellStyle name="SAPBEXfilterItem 7" xfId="11113" xr:uid="{1F58545C-235B-489A-B53F-11A07E5A8D19}"/>
    <cellStyle name="SAPBEXfilterItem 7 2" xfId="11114" xr:uid="{B52EE660-79E3-4E27-8FBE-43E35A4B3B9D}"/>
    <cellStyle name="SAPBEXfilterItem 8" xfId="11115" xr:uid="{B96F2EFC-E026-41BB-A7A8-52A08E8A57AE}"/>
    <cellStyle name="SAPBEXfilterItem 8 2" xfId="11116" xr:uid="{EB874FD1-0B25-41D3-9A2A-9467051B8D36}"/>
    <cellStyle name="SAPBEXfilterItem 9" xfId="11117" xr:uid="{373D595C-8AB0-46E4-BA5E-4B654DA5DE49}"/>
    <cellStyle name="SAPBEXfilterItem 9 2" xfId="11118" xr:uid="{A35DBA45-3CD2-44A6-9741-7FB784A218D9}"/>
    <cellStyle name="SAPBEXfilterText" xfId="11119" xr:uid="{3F85BD65-E7CC-48A1-B17D-F20AFDBF6194}"/>
    <cellStyle name="SAPBEXformats" xfId="11120" xr:uid="{5866D9FF-4DCA-4755-AAC7-D7A90FB647EB}"/>
    <cellStyle name="SAPBEXformats 10" xfId="11121" xr:uid="{C33CAB16-3938-4B79-92EC-AE52DC486720}"/>
    <cellStyle name="SAPBEXformats 10 2" xfId="11122" xr:uid="{9BE947CD-93D4-485C-8B2A-BCF8C25DAE1F}"/>
    <cellStyle name="SAPBEXformats 10 2 2" xfId="11123" xr:uid="{D6F786EE-C7FD-400C-B525-86339946B03F}"/>
    <cellStyle name="SAPBEXformats 10 2 2 2" xfId="22630" xr:uid="{5CAB1260-8943-4B06-A8E0-43746CE9F051}"/>
    <cellStyle name="SAPBEXformats 10 2 3" xfId="11124" xr:uid="{6F7ECB49-4817-4E91-B404-E334DEFB46A2}"/>
    <cellStyle name="SAPBEXformats 10 2 3 2" xfId="22631" xr:uid="{719A1A6A-AE11-4CE7-BF03-D4E3FB740C6E}"/>
    <cellStyle name="SAPBEXformats 10 2 4" xfId="11125" xr:uid="{D880695C-DA8C-470B-A6CE-6D331EA06101}"/>
    <cellStyle name="SAPBEXformats 10 2 4 2" xfId="22632" xr:uid="{5C25FFB2-6690-42C8-AAF6-77AB967EE0EC}"/>
    <cellStyle name="SAPBEXformats 10 2 5" xfId="11126" xr:uid="{739D1F73-0631-4999-8D27-DD8B0601F110}"/>
    <cellStyle name="SAPBEXformats 10 2 5 2" xfId="22633" xr:uid="{F97BDF20-91C7-4FDA-B612-65D2B20FAA12}"/>
    <cellStyle name="SAPBEXformats 10 2 6" xfId="22629" xr:uid="{7FBE5EA1-EB00-469D-9BB7-E61E63A3DC21}"/>
    <cellStyle name="SAPBEXformats 10 3" xfId="11127" xr:uid="{E0002882-CB77-47AF-BABB-B7A4D5F19F37}"/>
    <cellStyle name="SAPBEXformats 10 3 2" xfId="22634" xr:uid="{0889DC55-8E6A-4647-8BF1-46544895CB3C}"/>
    <cellStyle name="SAPBEXformats 10 4" xfId="11128" xr:uid="{961F03DF-F6D4-4215-987A-01CA618CA396}"/>
    <cellStyle name="SAPBEXformats 10 4 2" xfId="22635" xr:uid="{72D91894-B3C3-4E0E-A737-0B6E69EC2B0F}"/>
    <cellStyle name="SAPBEXformats 10 5" xfId="11129" xr:uid="{1A7A6429-C63E-4E25-B52D-64210A179372}"/>
    <cellStyle name="SAPBEXformats 10 5 2" xfId="22636" xr:uid="{EB7CF177-9B80-4184-891E-ED488D68A290}"/>
    <cellStyle name="SAPBEXformats 10 6" xfId="11130" xr:uid="{EEF7B2F5-A00E-4B0E-B11C-58B04A6B479D}"/>
    <cellStyle name="SAPBEXformats 10 6 2" xfId="22637" xr:uid="{B8478EC7-91F0-469F-9E1C-97A6B2E6022A}"/>
    <cellStyle name="SAPBEXformats 10 7" xfId="22628" xr:uid="{EE258259-965C-4A8D-8B39-FABD49A04BC0}"/>
    <cellStyle name="SAPBEXformats 11" xfId="11131" xr:uid="{EDEFB46C-97AB-4D7F-8F5B-75E529AE1683}"/>
    <cellStyle name="SAPBEXformats 11 2" xfId="11132" xr:uid="{89AB1E65-399B-4166-AF7D-E3FDA2B626B3}"/>
    <cellStyle name="SAPBEXformats 11 2 2" xfId="11133" xr:uid="{AE95C894-6419-4158-B487-9AE35B2FB1AD}"/>
    <cellStyle name="SAPBEXformats 11 2 2 2" xfId="22640" xr:uid="{F7055304-0EA6-4D88-A535-B4543C4E087D}"/>
    <cellStyle name="SAPBEXformats 11 2 3" xfId="11134" xr:uid="{930CE739-83E8-4437-9055-A9A1F9EB006F}"/>
    <cellStyle name="SAPBEXformats 11 2 3 2" xfId="22641" xr:uid="{9B93BF5B-CFCA-4426-9BBE-15AB85247B3D}"/>
    <cellStyle name="SAPBEXformats 11 2 4" xfId="11135" xr:uid="{FB94D909-B32E-4F10-8DF3-C10807485201}"/>
    <cellStyle name="SAPBEXformats 11 2 4 2" xfId="22642" xr:uid="{0AB0F706-D4B3-4346-A60F-DD21494AB4A5}"/>
    <cellStyle name="SAPBEXformats 11 2 5" xfId="11136" xr:uid="{2D14D8C1-DADE-443D-8FCB-14558D8E5EEF}"/>
    <cellStyle name="SAPBEXformats 11 2 5 2" xfId="22643" xr:uid="{EBDA4591-3156-40EC-950B-FAAC66AC8578}"/>
    <cellStyle name="SAPBEXformats 11 2 6" xfId="22639" xr:uid="{FDF9C654-986A-4242-BA82-27D3DD362FB7}"/>
    <cellStyle name="SAPBEXformats 11 3" xfId="11137" xr:uid="{9DC69B01-2528-4CCB-8AB3-A91B455AE352}"/>
    <cellStyle name="SAPBEXformats 11 3 2" xfId="22644" xr:uid="{472CDA3E-902E-4541-8998-46BFC72CE867}"/>
    <cellStyle name="SAPBEXformats 11 4" xfId="11138" xr:uid="{81AC2719-ADB2-4AD4-87F5-559ACE898C24}"/>
    <cellStyle name="SAPBEXformats 11 4 2" xfId="22645" xr:uid="{584CF878-65C3-4E33-A045-44B0E635852C}"/>
    <cellStyle name="SAPBEXformats 11 5" xfId="11139" xr:uid="{D2F8F9FB-F77B-4E88-B5EC-1F405174E7D5}"/>
    <cellStyle name="SAPBEXformats 11 5 2" xfId="22646" xr:uid="{EBAFEABF-D9F9-4A79-875B-741A005FFD9A}"/>
    <cellStyle name="SAPBEXformats 11 6" xfId="11140" xr:uid="{3102A701-CBC8-4341-8846-8CBB47BA3CAA}"/>
    <cellStyle name="SAPBEXformats 11 6 2" xfId="22647" xr:uid="{3D6325FA-14F3-4961-87A3-D5D5CC241132}"/>
    <cellStyle name="SAPBEXformats 11 7" xfId="22638" xr:uid="{FA95AA1E-9AA4-49C4-B067-E9BD5293E004}"/>
    <cellStyle name="SAPBEXformats 12" xfId="11141" xr:uid="{F18AF4FE-74EF-4235-9CD0-990570D5FEFE}"/>
    <cellStyle name="SAPBEXformats 12 2" xfId="11142" xr:uid="{D9988492-BEA2-4749-96E7-EE41AC781BC3}"/>
    <cellStyle name="SAPBEXformats 12 2 2" xfId="11143" xr:uid="{830AA68A-0177-487A-BC4F-BD152A6D186F}"/>
    <cellStyle name="SAPBEXformats 12 2 2 2" xfId="22650" xr:uid="{5C7A295D-D5F7-47FF-AD3B-66F2D80A68FD}"/>
    <cellStyle name="SAPBEXformats 12 2 3" xfId="11144" xr:uid="{B2793768-3FCD-4D89-8E6C-773076140862}"/>
    <cellStyle name="SAPBEXformats 12 2 3 2" xfId="22651" xr:uid="{91E6CE1C-AF89-4981-BB79-5EB8F186B409}"/>
    <cellStyle name="SAPBEXformats 12 2 4" xfId="11145" xr:uid="{C580FEA7-88E8-4333-B478-5275009DB591}"/>
    <cellStyle name="SAPBEXformats 12 2 4 2" xfId="22652" xr:uid="{F999B0D7-E933-425C-B63D-BD4D8B311BE5}"/>
    <cellStyle name="SAPBEXformats 12 2 5" xfId="11146" xr:uid="{93B4C9F6-FDF1-4CC8-BADC-88B12E69C8AA}"/>
    <cellStyle name="SAPBEXformats 12 2 5 2" xfId="22653" xr:uid="{0D39B34D-02AE-4A93-87D3-F55DF0D8694F}"/>
    <cellStyle name="SAPBEXformats 12 2 6" xfId="22649" xr:uid="{BB9F0FB7-1A02-4D78-8BBA-4330D7452E7E}"/>
    <cellStyle name="SAPBEXformats 12 3" xfId="11147" xr:uid="{1ABF8EEC-D570-445C-9F95-67451EE9314A}"/>
    <cellStyle name="SAPBEXformats 12 3 2" xfId="22654" xr:uid="{FE5BAA09-5038-47EE-9B6D-EC99A0E66506}"/>
    <cellStyle name="SAPBEXformats 12 4" xfId="11148" xr:uid="{6D02DC04-05C1-405A-A4B6-914EE792D1F8}"/>
    <cellStyle name="SAPBEXformats 12 4 2" xfId="22655" xr:uid="{AB468CF2-4154-48D6-86B2-5D6CE3BF6576}"/>
    <cellStyle name="SAPBEXformats 12 5" xfId="11149" xr:uid="{EC3F81AA-4BDB-4C46-8FC1-EC2C07930448}"/>
    <cellStyle name="SAPBEXformats 12 5 2" xfId="22656" xr:uid="{B300C38C-24CC-4187-A825-8593CE380239}"/>
    <cellStyle name="SAPBEXformats 12 6" xfId="11150" xr:uid="{D6AD1BB3-6A56-481A-8CA6-EA2A80B0B5CF}"/>
    <cellStyle name="SAPBEXformats 12 6 2" xfId="22657" xr:uid="{76ABE709-42B2-403D-ADE5-33D663BC8460}"/>
    <cellStyle name="SAPBEXformats 12 7" xfId="22648" xr:uid="{A7A66BB1-3E58-4105-B41C-4559DAE27041}"/>
    <cellStyle name="SAPBEXformats 13" xfId="11151" xr:uid="{3AD3CB89-3D85-4F1D-8460-BB10531DEC14}"/>
    <cellStyle name="SAPBEXformats 13 2" xfId="11152" xr:uid="{45C7E243-10BE-458A-92E5-1D18153F15BB}"/>
    <cellStyle name="SAPBEXformats 13 2 2" xfId="11153" xr:uid="{BA783C58-D702-4EA8-93B6-FA8E4D791005}"/>
    <cellStyle name="SAPBEXformats 13 2 2 2" xfId="22660" xr:uid="{174A63FF-5DB0-4CEA-8051-BD10C19E3503}"/>
    <cellStyle name="SAPBEXformats 13 2 3" xfId="11154" xr:uid="{A3DCF7AC-B77F-49FA-A93A-21E4C29DDFD1}"/>
    <cellStyle name="SAPBEXformats 13 2 3 2" xfId="22661" xr:uid="{D997E2FB-9B75-4D9C-B96C-BCADAB70DC23}"/>
    <cellStyle name="SAPBEXformats 13 2 4" xfId="11155" xr:uid="{B84DFC8E-F3CB-4B71-9E71-3CFEA105C20A}"/>
    <cellStyle name="SAPBEXformats 13 2 4 2" xfId="22662" xr:uid="{F90806B5-B919-48F1-B501-F8A56476042F}"/>
    <cellStyle name="SAPBEXformats 13 2 5" xfId="11156" xr:uid="{5AB663EA-AA4B-4CF8-AA6A-AE3C934F420E}"/>
    <cellStyle name="SAPBEXformats 13 2 5 2" xfId="22663" xr:uid="{F1D5577C-5C59-4EA3-9860-8AFE2493164D}"/>
    <cellStyle name="SAPBEXformats 13 2 6" xfId="22659" xr:uid="{0B5B93DB-2462-421D-8C90-0DC1C8901789}"/>
    <cellStyle name="SAPBEXformats 13 3" xfId="11157" xr:uid="{A721C900-5263-4D08-B0BE-D81100FB0552}"/>
    <cellStyle name="SAPBEXformats 13 3 2" xfId="22664" xr:uid="{20B50E9D-35AE-4D4C-B944-8E54277BAD1E}"/>
    <cellStyle name="SAPBEXformats 13 4" xfId="11158" xr:uid="{769C32E7-E907-4C86-8B77-087FF9EADF6F}"/>
    <cellStyle name="SAPBEXformats 13 4 2" xfId="22665" xr:uid="{C01ACA67-F6DA-4506-B895-43F4622B5A86}"/>
    <cellStyle name="SAPBEXformats 13 5" xfId="11159" xr:uid="{31AA06F8-B107-4044-8A00-2E604C8DB20C}"/>
    <cellStyle name="SAPBEXformats 13 5 2" xfId="22666" xr:uid="{1AAB12FB-474A-43D3-896C-E4BC64B49562}"/>
    <cellStyle name="SAPBEXformats 13 6" xfId="11160" xr:uid="{8E7DCB03-DEF8-4CA5-B091-D020FB636E1D}"/>
    <cellStyle name="SAPBEXformats 13 6 2" xfId="22667" xr:uid="{90097BBA-E556-4FDB-9984-71828A85D4BA}"/>
    <cellStyle name="SAPBEXformats 13 7" xfId="22658" xr:uid="{3C881B84-F5B5-4A27-8F83-C0E8495CDEDD}"/>
    <cellStyle name="SAPBEXformats 14" xfId="11161" xr:uid="{FF0CD933-1238-4420-9955-C05CC4219D05}"/>
    <cellStyle name="SAPBEXformats 14 2" xfId="11162" xr:uid="{DF7EB2B5-A9E3-4037-9C99-DEC2FC4744CA}"/>
    <cellStyle name="SAPBEXformats 14 2 2" xfId="11163" xr:uid="{625E1815-7F80-417D-89D1-F0044BDB7A62}"/>
    <cellStyle name="SAPBEXformats 14 2 2 2" xfId="22670" xr:uid="{DF0DEA09-F61F-4900-BE9D-52B31C44F052}"/>
    <cellStyle name="SAPBEXformats 14 2 3" xfId="11164" xr:uid="{1BCEDAFC-FEFB-4D42-8A68-E62F3A2C7260}"/>
    <cellStyle name="SAPBEXformats 14 2 3 2" xfId="22671" xr:uid="{6F9535AF-F0AB-40B8-BFB0-1B86FE4BAC04}"/>
    <cellStyle name="SAPBEXformats 14 2 4" xfId="11165" xr:uid="{F42314B4-33C8-4CAE-AF6A-C5A3D25E1C1E}"/>
    <cellStyle name="SAPBEXformats 14 2 4 2" xfId="22672" xr:uid="{CB4B828E-8B16-4E12-A59A-A23DD775AEAB}"/>
    <cellStyle name="SAPBEXformats 14 2 5" xfId="11166" xr:uid="{05EC6CEE-DDFB-4C14-BBAA-F2242D1FCE1D}"/>
    <cellStyle name="SAPBEXformats 14 2 5 2" xfId="22673" xr:uid="{3EBBBEA9-2F41-4690-96B6-75645E6C1EBF}"/>
    <cellStyle name="SAPBEXformats 14 2 6" xfId="22669" xr:uid="{0F61C50A-51A2-4BA5-9BC1-339D838F77E3}"/>
    <cellStyle name="SAPBEXformats 14 3" xfId="11167" xr:uid="{9F1386E5-7EB4-4F91-8C74-DA2C36D1E56D}"/>
    <cellStyle name="SAPBEXformats 14 3 2" xfId="22674" xr:uid="{CD01B511-615D-4710-B213-62A62D5CB62C}"/>
    <cellStyle name="SAPBEXformats 14 4" xfId="11168" xr:uid="{AB33A24A-B852-4A25-9B76-B80D877FF9C8}"/>
    <cellStyle name="SAPBEXformats 14 4 2" xfId="22675" xr:uid="{35349974-9E50-474D-906F-A90CBE67C534}"/>
    <cellStyle name="SAPBEXformats 14 5" xfId="11169" xr:uid="{1045B51E-A474-43C3-B529-953FE9B08E9E}"/>
    <cellStyle name="SAPBEXformats 14 5 2" xfId="22676" xr:uid="{8E14AA5D-7EF8-4387-AB16-80BE2A0294B4}"/>
    <cellStyle name="SAPBEXformats 14 6" xfId="11170" xr:uid="{4D55FCDA-70F4-4563-ABAA-A70A96491622}"/>
    <cellStyle name="SAPBEXformats 14 6 2" xfId="22677" xr:uid="{D5AED9EF-05B6-4258-8CB3-166B5EE8D23F}"/>
    <cellStyle name="SAPBEXformats 14 7" xfId="22668" xr:uid="{F7BFE9B5-A822-4AC3-A67E-FEDD359FEFFC}"/>
    <cellStyle name="SAPBEXformats 15" xfId="11171" xr:uid="{19F1EE08-9AEF-40FB-A2AB-0D790E7379AA}"/>
    <cellStyle name="SAPBEXformats 15 2" xfId="11172" xr:uid="{7EC10CBF-F6B8-43E4-BFCB-A4BB8A564F73}"/>
    <cellStyle name="SAPBEXformats 15 2 2" xfId="11173" xr:uid="{A4EFA43A-7E95-47C4-8973-6C526D847A4E}"/>
    <cellStyle name="SAPBEXformats 15 2 2 2" xfId="22680" xr:uid="{1AB75A34-D6A3-477F-AB6A-B480C55060D0}"/>
    <cellStyle name="SAPBEXformats 15 2 3" xfId="11174" xr:uid="{60EA5733-82AF-4E1C-A9FE-C8CC79082B6B}"/>
    <cellStyle name="SAPBEXformats 15 2 3 2" xfId="22681" xr:uid="{2E55B77A-FDF8-4278-B52E-07AA7D88153D}"/>
    <cellStyle name="SAPBEXformats 15 2 4" xfId="11175" xr:uid="{B08B8213-03D6-4CD8-AF4E-578FE8E28682}"/>
    <cellStyle name="SAPBEXformats 15 2 4 2" xfId="22682" xr:uid="{E463EAEA-6066-4CDD-B6B1-1AF5CB3B6151}"/>
    <cellStyle name="SAPBEXformats 15 2 5" xfId="11176" xr:uid="{1255E0AE-0E1B-4755-A4DE-8F69AB9A57B3}"/>
    <cellStyle name="SAPBEXformats 15 2 5 2" xfId="22683" xr:uid="{9A0AD805-B2A0-4CF8-A423-2AF27D65FBA3}"/>
    <cellStyle name="SAPBEXformats 15 2 6" xfId="22679" xr:uid="{5472DCDD-7DA6-4EE3-A08F-CAC9C2615716}"/>
    <cellStyle name="SAPBEXformats 15 3" xfId="11177" xr:uid="{39BF1DB3-8E0C-455A-86C2-B412CD567007}"/>
    <cellStyle name="SAPBEXformats 15 3 2" xfId="22684" xr:uid="{5DE2257A-C11D-4F93-A13C-94827F7311B4}"/>
    <cellStyle name="SAPBEXformats 15 4" xfId="11178" xr:uid="{88280B4C-F608-43A6-9DE2-F6960516D834}"/>
    <cellStyle name="SAPBEXformats 15 4 2" xfId="22685" xr:uid="{3554499B-4041-41CB-8186-936A7C5A7413}"/>
    <cellStyle name="SAPBEXformats 15 5" xfId="11179" xr:uid="{62BE5E1D-8C5F-4F67-B2FB-C1A5B31737F9}"/>
    <cellStyle name="SAPBEXformats 15 5 2" xfId="22686" xr:uid="{FF8089EF-AFA5-4AB0-84DB-C21BBE1E8440}"/>
    <cellStyle name="SAPBEXformats 15 6" xfId="11180" xr:uid="{92770A23-2860-4BF1-8B56-096CA44B0498}"/>
    <cellStyle name="SAPBEXformats 15 6 2" xfId="22687" xr:uid="{710FBB20-9F7B-4CE7-B25A-F0DCACF50B17}"/>
    <cellStyle name="SAPBEXformats 15 7" xfId="22678" xr:uid="{84CCF629-7ACF-496F-9FDA-E74DE068FBC8}"/>
    <cellStyle name="SAPBEXformats 16" xfId="11181" xr:uid="{3875CBA8-600A-4E99-90AE-B2501D501910}"/>
    <cellStyle name="SAPBEXformats 16 2" xfId="22688" xr:uid="{B91551E7-3BBB-439E-AB60-297919A8DA4D}"/>
    <cellStyle name="SAPBEXformats 17" xfId="11182" xr:uid="{2870CB05-8911-45D3-99BF-6534EAC0F382}"/>
    <cellStyle name="SAPBEXformats 17 2" xfId="22689" xr:uid="{C96A0B3C-6032-40D4-A508-42063A6489D0}"/>
    <cellStyle name="SAPBEXformats 18" xfId="11183" xr:uid="{EF82EB00-0F4F-475B-A4DB-16B8FE22FDEC}"/>
    <cellStyle name="SAPBEXformats 18 2" xfId="22690" xr:uid="{C00BF905-A16F-455C-A034-B7F744A04D91}"/>
    <cellStyle name="SAPBEXformats 19" xfId="11184" xr:uid="{0EFBE440-97B6-4EDB-BF5E-6CEF2B5C18D2}"/>
    <cellStyle name="SAPBEXformats 19 2" xfId="22691" xr:uid="{0BE59363-9402-47C4-84B8-8EC59DA8BE49}"/>
    <cellStyle name="SAPBEXformats 2" xfId="11185" xr:uid="{39B55E5E-5AC0-4B8A-B8F8-21C20375D60A}"/>
    <cellStyle name="SAPBEXformats 2 2" xfId="11186" xr:uid="{EA14CED9-E3E3-4AD2-8881-956393F4052B}"/>
    <cellStyle name="SAPBEXformats 2 2 2" xfId="11187" xr:uid="{27D589A9-F55D-4675-8FC3-5FCB6B0BFCDB}"/>
    <cellStyle name="SAPBEXformats 2 2 2 2" xfId="22694" xr:uid="{2D140A7F-CFBF-40B6-9065-085FD0F65CAE}"/>
    <cellStyle name="SAPBEXformats 2 2 3" xfId="11188" xr:uid="{33001E5B-3D28-45EC-B8A7-C8946C6BE52D}"/>
    <cellStyle name="SAPBEXformats 2 2 3 2" xfId="22695" xr:uid="{BD11E0CE-C2B5-4A1B-AC1D-250B38E726DB}"/>
    <cellStyle name="SAPBEXformats 2 2 4" xfId="11189" xr:uid="{74DF04C1-E2D6-432C-8DFD-7EBA98234DEB}"/>
    <cellStyle name="SAPBEXformats 2 2 4 2" xfId="22696" xr:uid="{9E658B40-8884-4121-B157-F7588C9D2CE2}"/>
    <cellStyle name="SAPBEXformats 2 2 5" xfId="11190" xr:uid="{A5154743-0CC4-4B25-943F-91B005A618DF}"/>
    <cellStyle name="SAPBEXformats 2 2 5 2" xfId="22697" xr:uid="{A37942EA-3254-45AF-835B-6F7C0D3B9E70}"/>
    <cellStyle name="SAPBEXformats 2 2 6" xfId="22693" xr:uid="{CB1A0654-7A54-4A60-B90C-AFD9DC4C7BF9}"/>
    <cellStyle name="SAPBEXformats 2 3" xfId="11191" xr:uid="{D3E17DAB-7891-4DA7-B779-C2FF126F8E2A}"/>
    <cellStyle name="SAPBEXformats 2 3 2" xfId="22698" xr:uid="{72C46BAE-D5AD-4B53-B090-17A4972D8DF1}"/>
    <cellStyle name="SAPBEXformats 2 4" xfId="11192" xr:uid="{40A86891-B4AA-44E9-9AC7-3B7F71D16D63}"/>
    <cellStyle name="SAPBEXformats 2 4 2" xfId="22699" xr:uid="{029B4D1B-231C-4DF3-889A-2C7366C2604F}"/>
    <cellStyle name="SAPBEXformats 2 5" xfId="11193" xr:uid="{7BDCD7C5-DFE1-4FC5-8126-A13B18ECBDC2}"/>
    <cellStyle name="SAPBEXformats 2 5 2" xfId="22700" xr:uid="{F374A41B-B353-4B73-9E86-99B50220EE71}"/>
    <cellStyle name="SAPBEXformats 2 6" xfId="11194" xr:uid="{BA519CC2-5B37-4FD8-A597-B42992C14BB6}"/>
    <cellStyle name="SAPBEXformats 2 6 2" xfId="22701" xr:uid="{3DECA54F-78DA-4592-A4E2-880F46D834B7}"/>
    <cellStyle name="SAPBEXformats 2 7" xfId="22692" xr:uid="{44A4206E-FC78-4A90-B737-CD7284795370}"/>
    <cellStyle name="SAPBEXformats 20" xfId="15177" xr:uid="{06EA07F2-2164-4CB7-9F50-20A5D35689D1}"/>
    <cellStyle name="SAPBEXformats 3" xfId="11195" xr:uid="{E34C8FA5-4433-422C-AB42-F986984A9D1D}"/>
    <cellStyle name="SAPBEXformats 3 2" xfId="11196" xr:uid="{71F44A9F-63F4-41CF-9A0D-201AD3146BBA}"/>
    <cellStyle name="SAPBEXformats 3 2 2" xfId="11197" xr:uid="{4E342372-6B03-4193-857B-418B32CA5B93}"/>
    <cellStyle name="SAPBEXformats 3 2 2 2" xfId="22704" xr:uid="{03BC0D19-5B5D-402C-B89F-6D070CD5387E}"/>
    <cellStyle name="SAPBEXformats 3 2 3" xfId="11198" xr:uid="{BA020D3F-C115-47C0-87AC-A2FE3BC14A1E}"/>
    <cellStyle name="SAPBEXformats 3 2 3 2" xfId="22705" xr:uid="{D7152F9D-59DB-4300-8C09-492EF29F9C05}"/>
    <cellStyle name="SAPBEXformats 3 2 4" xfId="11199" xr:uid="{40B86DA8-245E-44AE-A249-4591B9025466}"/>
    <cellStyle name="SAPBEXformats 3 2 4 2" xfId="22706" xr:uid="{674A7CD0-80B8-400B-9F2D-72022F7206CA}"/>
    <cellStyle name="SAPBEXformats 3 2 5" xfId="11200" xr:uid="{2F071F51-A0E6-4990-BD29-2FFB074526D3}"/>
    <cellStyle name="SAPBEXformats 3 2 5 2" xfId="22707" xr:uid="{E1D24D17-4ED6-45D2-A930-3EF14614CACF}"/>
    <cellStyle name="SAPBEXformats 3 2 6" xfId="22703" xr:uid="{370BFF9B-BAF4-4AC8-9111-1636C1466EDD}"/>
    <cellStyle name="SAPBEXformats 3 3" xfId="11201" xr:uid="{B220B8AC-7264-4B37-93D5-D8C04AAC0395}"/>
    <cellStyle name="SAPBEXformats 3 3 2" xfId="22708" xr:uid="{191E43FA-B224-4E16-B0C0-59A2CFF2FD13}"/>
    <cellStyle name="SAPBEXformats 3 4" xfId="11202" xr:uid="{E5CD4ACE-1B1E-4D69-8490-FE98248C717A}"/>
    <cellStyle name="SAPBEXformats 3 4 2" xfId="22709" xr:uid="{672EB22E-DDAA-45A6-A485-85F4C235076D}"/>
    <cellStyle name="SAPBEXformats 3 5" xfId="11203" xr:uid="{327A4F23-E864-4E5D-8FDA-8EA555AC2FB7}"/>
    <cellStyle name="SAPBEXformats 3 5 2" xfId="22710" xr:uid="{8C019C26-16D5-45F3-9318-3E6C71DEF3A4}"/>
    <cellStyle name="SAPBEXformats 3 6" xfId="11204" xr:uid="{A737DBD7-9264-40F1-94FD-7FB5695D89F8}"/>
    <cellStyle name="SAPBEXformats 3 6 2" xfId="22711" xr:uid="{925763EA-4D96-43B3-A324-928954F226D9}"/>
    <cellStyle name="SAPBEXformats 3 7" xfId="22702" xr:uid="{2FB6E7C2-7980-43EE-B0B5-B69BBD8C2624}"/>
    <cellStyle name="SAPBEXformats 4" xfId="11205" xr:uid="{BE1886B7-6572-4A15-8DB1-0F7E3C961A52}"/>
    <cellStyle name="SAPBEXformats 4 2" xfId="11206" xr:uid="{7AAB2959-423C-411A-B1DE-3ADB958166D1}"/>
    <cellStyle name="SAPBEXformats 4 2 2" xfId="11207" xr:uid="{7809A8A2-3494-44E1-B256-7C5E21566AD0}"/>
    <cellStyle name="SAPBEXformats 4 2 2 2" xfId="22714" xr:uid="{732DD992-8AAA-458E-86CF-2BABE8D7A0F8}"/>
    <cellStyle name="SAPBEXformats 4 2 3" xfId="11208" xr:uid="{00A08241-8973-4899-9407-CFE345120E7E}"/>
    <cellStyle name="SAPBEXformats 4 2 3 2" xfId="22715" xr:uid="{C4C711BC-31E6-4392-9114-C01F5CA63AF6}"/>
    <cellStyle name="SAPBEXformats 4 2 4" xfId="11209" xr:uid="{A8B58874-03FA-44FD-8CEC-7F818DAF50E9}"/>
    <cellStyle name="SAPBEXformats 4 2 4 2" xfId="22716" xr:uid="{04C8281B-3CF8-4471-B6A5-2835FCDB92FC}"/>
    <cellStyle name="SAPBEXformats 4 2 5" xfId="11210" xr:uid="{94C39344-452D-498B-A544-BD863F92BE2F}"/>
    <cellStyle name="SAPBEXformats 4 2 5 2" xfId="22717" xr:uid="{43E914DA-852A-443A-9051-793F96CA9129}"/>
    <cellStyle name="SAPBEXformats 4 2 6" xfId="22713" xr:uid="{B9E5985F-5D5D-4CE9-9555-6FB0F6E6FD4D}"/>
    <cellStyle name="SAPBEXformats 4 3" xfId="11211" xr:uid="{92232D32-1A9A-4BFB-8396-9BEFB327093E}"/>
    <cellStyle name="SAPBEXformats 4 3 2" xfId="22718" xr:uid="{CA8C9963-ABA0-4EA8-97B2-62B5F679344C}"/>
    <cellStyle name="SAPBEXformats 4 4" xfId="11212" xr:uid="{802F7D58-77A8-4D94-9ECC-2D4964E41887}"/>
    <cellStyle name="SAPBEXformats 4 4 2" xfId="22719" xr:uid="{D16690D8-1EEE-4B47-B2FB-64E14FA56FAE}"/>
    <cellStyle name="SAPBEXformats 4 5" xfId="11213" xr:uid="{AFC7D368-8606-4444-86ED-D6BF2BA8CEC9}"/>
    <cellStyle name="SAPBEXformats 4 5 2" xfId="22720" xr:uid="{7178B86B-0A8F-4E2E-9740-E2AA7B70C349}"/>
    <cellStyle name="SAPBEXformats 4 6" xfId="11214" xr:uid="{66E2FA56-4BD6-48C1-AE2A-D8194783060A}"/>
    <cellStyle name="SAPBEXformats 4 6 2" xfId="22721" xr:uid="{8355BA02-776F-4DB6-A715-85AA7C324C7A}"/>
    <cellStyle name="SAPBEXformats 4 7" xfId="22712" xr:uid="{969ABF94-342A-4D44-B522-4424F0198EC8}"/>
    <cellStyle name="SAPBEXformats 5" xfId="11215" xr:uid="{E4408FB5-8EE8-48F3-A881-D1E912072125}"/>
    <cellStyle name="SAPBEXformats 5 2" xfId="11216" xr:uid="{6031776F-1D8F-47EC-B151-5EB44250334D}"/>
    <cellStyle name="SAPBEXformats 5 2 2" xfId="11217" xr:uid="{C94DB80D-E076-4F9A-BD7C-560811AD4FB8}"/>
    <cellStyle name="SAPBEXformats 5 2 2 2" xfId="22724" xr:uid="{221A6B0D-417C-4494-B830-32DD8EBDACCC}"/>
    <cellStyle name="SAPBEXformats 5 2 3" xfId="11218" xr:uid="{C9383AC8-B8C0-46A5-9D5F-2C44236E1844}"/>
    <cellStyle name="SAPBEXformats 5 2 3 2" xfId="22725" xr:uid="{EFCD0829-187C-49BC-953A-62A98C3222C0}"/>
    <cellStyle name="SAPBEXformats 5 2 4" xfId="11219" xr:uid="{ACDD153E-CC2C-431A-91C5-5F90ED171583}"/>
    <cellStyle name="SAPBEXformats 5 2 4 2" xfId="22726" xr:uid="{A9FF5F41-7E06-47AC-9DBA-5EC31DECF915}"/>
    <cellStyle name="SAPBEXformats 5 2 5" xfId="11220" xr:uid="{7E3CBCDE-71B2-4CF3-93BF-DCEFA4802B26}"/>
    <cellStyle name="SAPBEXformats 5 2 5 2" xfId="22727" xr:uid="{E15E96F7-E9AB-4259-B3D9-BE438B833251}"/>
    <cellStyle name="SAPBEXformats 5 2 6" xfId="22723" xr:uid="{84C43059-3A46-41F7-8EBD-2A4C1CACB3DE}"/>
    <cellStyle name="SAPBEXformats 5 3" xfId="11221" xr:uid="{F8148A6B-8F81-4F96-80A2-4B04C9602147}"/>
    <cellStyle name="SAPBEXformats 5 3 2" xfId="22728" xr:uid="{515B0DC1-4400-4E37-B21B-78A71E35925C}"/>
    <cellStyle name="SAPBEXformats 5 4" xfId="11222" xr:uid="{BE110A1F-7DA6-453E-8FFE-D5AA1C1FA5D9}"/>
    <cellStyle name="SAPBEXformats 5 4 2" xfId="22729" xr:uid="{DE6A37DF-5F8C-4A6F-83FF-8D5FDE560BB1}"/>
    <cellStyle name="SAPBEXformats 5 5" xfId="11223" xr:uid="{E84E30DB-6473-48D9-A7C9-ACCDF1AEEBCA}"/>
    <cellStyle name="SAPBEXformats 5 5 2" xfId="22730" xr:uid="{0655797C-5956-4638-85DA-E42A23D066FC}"/>
    <cellStyle name="SAPBEXformats 5 6" xfId="11224" xr:uid="{7DEF282B-E83D-4D66-95E6-85D601C9DF33}"/>
    <cellStyle name="SAPBEXformats 5 6 2" xfId="22731" xr:uid="{03A78BAF-BBE3-4CC4-BA14-544630A28EA5}"/>
    <cellStyle name="SAPBEXformats 5 7" xfId="22722" xr:uid="{131F5A0F-63FB-44DB-8D53-414689E88057}"/>
    <cellStyle name="SAPBEXformats 6" xfId="11225" xr:uid="{7621D53C-44D6-4C01-897C-91C15F5F3583}"/>
    <cellStyle name="SAPBEXformats 6 2" xfId="11226" xr:uid="{CC5B56F7-1AAF-4527-9C5C-98FDDF7B88AC}"/>
    <cellStyle name="SAPBEXformats 6 2 2" xfId="11227" xr:uid="{9A7DA246-E3B1-479A-AFC0-A75028393BD8}"/>
    <cellStyle name="SAPBEXformats 6 2 2 2" xfId="22734" xr:uid="{DF9A819F-8C52-4C37-A5DF-0CD67DB5D715}"/>
    <cellStyle name="SAPBEXformats 6 2 3" xfId="11228" xr:uid="{755AA6BD-AF89-442C-B126-8241EE177273}"/>
    <cellStyle name="SAPBEXformats 6 2 3 2" xfId="22735" xr:uid="{42BDC2C2-BC24-47B0-84DA-B6E476BB9A20}"/>
    <cellStyle name="SAPBEXformats 6 2 4" xfId="11229" xr:uid="{2B3AFA14-3038-438F-B98F-CE79E9F046FA}"/>
    <cellStyle name="SAPBEXformats 6 2 4 2" xfId="22736" xr:uid="{16D125C0-494E-4F79-A7DD-9FDB3D87D592}"/>
    <cellStyle name="SAPBEXformats 6 2 5" xfId="11230" xr:uid="{CC6515B6-1DF7-4660-B0E1-AD48EB8CC7BE}"/>
    <cellStyle name="SAPBEXformats 6 2 5 2" xfId="22737" xr:uid="{06BADB43-7426-4895-9DBE-2D4224C27AFA}"/>
    <cellStyle name="SAPBEXformats 6 2 6" xfId="22733" xr:uid="{4B051814-BC73-430A-A677-555E714AB203}"/>
    <cellStyle name="SAPBEXformats 6 3" xfId="11231" xr:uid="{1D4924BC-A653-4390-AF43-7B1F9667DF85}"/>
    <cellStyle name="SAPBEXformats 6 3 2" xfId="22738" xr:uid="{8DACCE40-FEB7-42B1-B1E5-032311876F74}"/>
    <cellStyle name="SAPBEXformats 6 4" xfId="11232" xr:uid="{3AA2C096-90B4-42EA-947F-11DF25FAF890}"/>
    <cellStyle name="SAPBEXformats 6 4 2" xfId="22739" xr:uid="{DF16DFAF-65C8-4549-B22E-0A41E5707649}"/>
    <cellStyle name="SAPBEXformats 6 5" xfId="11233" xr:uid="{A934E6EC-E00D-42E7-B652-CE5340FB3522}"/>
    <cellStyle name="SAPBEXformats 6 5 2" xfId="22740" xr:uid="{51BF321B-98F3-4555-9255-A65FDEE0B54F}"/>
    <cellStyle name="SAPBEXformats 6 6" xfId="11234" xr:uid="{88053723-FB39-484B-B6C5-3B219B03C09D}"/>
    <cellStyle name="SAPBEXformats 6 6 2" xfId="22741" xr:uid="{EEAAA6A2-E336-4B12-B134-DDD7A7848E54}"/>
    <cellStyle name="SAPBEXformats 6 7" xfId="22732" xr:uid="{CCD150B3-5A90-4F07-B29B-6482D6ED58B5}"/>
    <cellStyle name="SAPBEXformats 7" xfId="11235" xr:uid="{90864276-2DEA-469E-AB0C-0EAE906B0031}"/>
    <cellStyle name="SAPBEXformats 7 2" xfId="11236" xr:uid="{0FDC5EC0-6470-47B0-8C59-DBFFE63F2ABE}"/>
    <cellStyle name="SAPBEXformats 7 2 2" xfId="11237" xr:uid="{BCC60527-0265-434C-9DEC-E116429D9D38}"/>
    <cellStyle name="SAPBEXformats 7 2 2 2" xfId="22744" xr:uid="{1D17E3F1-C462-4008-B39F-74889E5E009F}"/>
    <cellStyle name="SAPBEXformats 7 2 3" xfId="11238" xr:uid="{1C549AB9-2909-4E1D-8C3F-6488F3A4D99C}"/>
    <cellStyle name="SAPBEXformats 7 2 3 2" xfId="22745" xr:uid="{29B03C5D-F25D-46B7-B774-E01C3B4CF437}"/>
    <cellStyle name="SAPBEXformats 7 2 4" xfId="11239" xr:uid="{711923EC-36E2-4732-B3F6-D7E74D39A4F7}"/>
    <cellStyle name="SAPBEXformats 7 2 4 2" xfId="22746" xr:uid="{D09D326B-CAE3-48F0-9E14-7E4A1AF19461}"/>
    <cellStyle name="SAPBEXformats 7 2 5" xfId="11240" xr:uid="{B3D9C451-5D34-491A-B871-B43194D72B6C}"/>
    <cellStyle name="SAPBEXformats 7 2 5 2" xfId="22747" xr:uid="{CFF9C000-ADD6-44BF-B3E4-D47A1096832E}"/>
    <cellStyle name="SAPBEXformats 7 2 6" xfId="22743" xr:uid="{2285C716-5B01-4BE1-8E82-9D08317E79F0}"/>
    <cellStyle name="SAPBEXformats 7 3" xfId="11241" xr:uid="{9AD28BAC-4A91-4DB1-A9A1-341251F58805}"/>
    <cellStyle name="SAPBEXformats 7 3 2" xfId="22748" xr:uid="{806B54D1-FB32-4793-9E85-A8A7AF9532FA}"/>
    <cellStyle name="SAPBEXformats 7 4" xfId="11242" xr:uid="{C1307472-DDE3-4B88-9A70-91308EAF5D69}"/>
    <cellStyle name="SAPBEXformats 7 4 2" xfId="22749" xr:uid="{82B29E16-9D2C-46F4-841E-933B520E70AE}"/>
    <cellStyle name="SAPBEXformats 7 5" xfId="11243" xr:uid="{BDC443E5-13A0-4DC4-B943-1E92827D01B7}"/>
    <cellStyle name="SAPBEXformats 7 5 2" xfId="22750" xr:uid="{14AED44F-C8AF-4903-A5B8-512489CDA972}"/>
    <cellStyle name="SAPBEXformats 7 6" xfId="11244" xr:uid="{82DFDA83-E81E-486F-9927-C366F1B673EB}"/>
    <cellStyle name="SAPBEXformats 7 6 2" xfId="22751" xr:uid="{DDEDF788-B462-46EB-8CB6-3A544F17CA6A}"/>
    <cellStyle name="SAPBEXformats 7 7" xfId="22742" xr:uid="{03942305-CF77-4987-99D3-E9B692CAA63C}"/>
    <cellStyle name="SAPBEXformats 8" xfId="11245" xr:uid="{DD29A806-3F3A-4AD5-9287-5593639CB9AE}"/>
    <cellStyle name="SAPBEXformats 8 2" xfId="11246" xr:uid="{29CCF784-FAB2-42CA-BB98-F7B2BB2B7D02}"/>
    <cellStyle name="SAPBEXformats 8 2 2" xfId="11247" xr:uid="{A02BF3F9-595E-4C2D-8E7E-7551A2D853FB}"/>
    <cellStyle name="SAPBEXformats 8 2 2 2" xfId="22754" xr:uid="{1E339A05-BC55-4083-8E61-288A731E7EFE}"/>
    <cellStyle name="SAPBEXformats 8 2 3" xfId="11248" xr:uid="{B2FB2897-FAE9-4451-A73A-33B5FBDE0C1D}"/>
    <cellStyle name="SAPBEXformats 8 2 3 2" xfId="22755" xr:uid="{8A53062E-821A-456B-A82A-340F207ABD3D}"/>
    <cellStyle name="SAPBEXformats 8 2 4" xfId="11249" xr:uid="{A33D9F5A-6DBD-425F-B5AD-59C1C456F7A5}"/>
    <cellStyle name="SAPBEXformats 8 2 4 2" xfId="22756" xr:uid="{0D253203-B1C8-460E-9445-73AD41E0EF05}"/>
    <cellStyle name="SAPBEXformats 8 2 5" xfId="11250" xr:uid="{31CBB5BA-6B1A-4005-8E38-4EE652167601}"/>
    <cellStyle name="SAPBEXformats 8 2 5 2" xfId="22757" xr:uid="{523ED487-8D1F-4407-95BC-0153B61FD07E}"/>
    <cellStyle name="SAPBEXformats 8 2 6" xfId="22753" xr:uid="{F66F6DA6-772E-4DDD-B8E7-C7BD7A914927}"/>
    <cellStyle name="SAPBEXformats 8 3" xfId="11251" xr:uid="{3271915F-D2AB-4E5A-9F25-98C329E087CF}"/>
    <cellStyle name="SAPBEXformats 8 3 2" xfId="22758" xr:uid="{86A7E997-E413-4B85-8686-9FF3CA4D59F6}"/>
    <cellStyle name="SAPBEXformats 8 4" xfId="11252" xr:uid="{9EB9F92E-5B2B-4F1A-814A-AF2F2B2FDEF7}"/>
    <cellStyle name="SAPBEXformats 8 4 2" xfId="22759" xr:uid="{F6C4F390-37EB-4CE9-B9A3-39D85BA340DE}"/>
    <cellStyle name="SAPBEXformats 8 5" xfId="11253" xr:uid="{7CD4CA7D-5B13-4F63-9586-0C9F333FA1E0}"/>
    <cellStyle name="SAPBEXformats 8 5 2" xfId="22760" xr:uid="{87093630-587F-4C2E-8C9A-3DC7B72BDBFA}"/>
    <cellStyle name="SAPBEXformats 8 6" xfId="11254" xr:uid="{919649F6-5987-4924-8EAD-AA8E1B9BD108}"/>
    <cellStyle name="SAPBEXformats 8 6 2" xfId="22761" xr:uid="{E6C333B4-EF4B-4DE5-8F71-B4E422A5C737}"/>
    <cellStyle name="SAPBEXformats 8 7" xfId="22752" xr:uid="{AA819A1F-5437-435C-826A-6A427FC9CAFE}"/>
    <cellStyle name="SAPBEXformats 9" xfId="11255" xr:uid="{3CDA27B7-65A0-45F2-9E4F-53F820316883}"/>
    <cellStyle name="SAPBEXformats 9 2" xfId="11256" xr:uid="{5ED90439-026F-4003-9366-A08FF9C5894C}"/>
    <cellStyle name="SAPBEXformats 9 2 2" xfId="11257" xr:uid="{2C46B575-94A3-4264-854E-AA2E26B38F25}"/>
    <cellStyle name="SAPBEXformats 9 2 2 2" xfId="22764" xr:uid="{2FFD2324-E668-4CFF-9E7D-7D01CCC4243F}"/>
    <cellStyle name="SAPBEXformats 9 2 3" xfId="11258" xr:uid="{3D49D9DA-ABA1-4C88-A7E8-EE98DEE9C029}"/>
    <cellStyle name="SAPBEXformats 9 2 3 2" xfId="22765" xr:uid="{C1720E0F-7795-4C4B-AFFB-891A1EA43174}"/>
    <cellStyle name="SAPBEXformats 9 2 4" xfId="11259" xr:uid="{61500A3C-8EC2-4487-A86C-74C3154BD424}"/>
    <cellStyle name="SAPBEXformats 9 2 4 2" xfId="22766" xr:uid="{C64CD312-35AC-407B-BF05-90478DFA8589}"/>
    <cellStyle name="SAPBEXformats 9 2 5" xfId="11260" xr:uid="{D289930D-2E79-489A-9209-E56B7DFE1766}"/>
    <cellStyle name="SAPBEXformats 9 2 5 2" xfId="22767" xr:uid="{6029FB72-5F14-4EBC-A525-64A9A9694D57}"/>
    <cellStyle name="SAPBEXformats 9 2 6" xfId="22763" xr:uid="{CD4681EF-70E3-4422-B776-DACBE0CED776}"/>
    <cellStyle name="SAPBEXformats 9 3" xfId="11261" xr:uid="{EDB654A2-31AC-4C05-92A0-F028547BABF1}"/>
    <cellStyle name="SAPBEXformats 9 3 2" xfId="22768" xr:uid="{94CB0714-CCEC-487C-9437-C77CA8E82DE2}"/>
    <cellStyle name="SAPBEXformats 9 4" xfId="11262" xr:uid="{EF02575D-866D-48C4-A865-0ECA9C78FC9E}"/>
    <cellStyle name="SAPBEXformats 9 4 2" xfId="22769" xr:uid="{F33A9CC1-F348-4AD2-AA90-8B5619F3976D}"/>
    <cellStyle name="SAPBEXformats 9 5" xfId="11263" xr:uid="{0FB418FE-2E80-485C-AE87-95FDA138EDAA}"/>
    <cellStyle name="SAPBEXformats 9 5 2" xfId="22770" xr:uid="{2CF243AB-0844-4B2F-A904-B2A3F71E4BF8}"/>
    <cellStyle name="SAPBEXformats 9 6" xfId="11264" xr:uid="{C7449C09-4D72-4533-8722-FCC18C65F6E4}"/>
    <cellStyle name="SAPBEXformats 9 6 2" xfId="22771" xr:uid="{4075602F-7669-4BB7-81F8-8EB78A5757A6}"/>
    <cellStyle name="SAPBEXformats 9 7" xfId="22762" xr:uid="{88F95737-3205-417F-935E-9CDAFC1CC304}"/>
    <cellStyle name="SAPBEXformats_KTR An-Abflug" xfId="14900" xr:uid="{6AD611D3-9E23-4C89-97B8-9C5F91D862A5}"/>
    <cellStyle name="SAPBEXheaderItem" xfId="11265" xr:uid="{DB57C110-2973-48F8-A0D8-291CF50A6D02}"/>
    <cellStyle name="SAPBEXheaderItem 10" xfId="11266" xr:uid="{92BEA7E6-F3C6-4FEE-8365-5685DD2C7F09}"/>
    <cellStyle name="SAPBEXheaderItem 10 2" xfId="11267" xr:uid="{B9A497CA-E18C-4131-999F-2CB204D29ADD}"/>
    <cellStyle name="SAPBEXheaderItem 10 2 2" xfId="11268" xr:uid="{3D324507-C141-4AE5-B06E-CAB33352A02A}"/>
    <cellStyle name="SAPBEXheaderItem 10 2 2 2" xfId="22774" xr:uid="{B844CF2C-F6F7-4A31-A21D-D9D2D0ACE6B9}"/>
    <cellStyle name="SAPBEXheaderItem 10 2 3" xfId="11269" xr:uid="{6020F63D-1D55-411D-BF72-AF18F2663B86}"/>
    <cellStyle name="SAPBEXheaderItem 10 2 3 2" xfId="22775" xr:uid="{4D28BD07-4B92-4E94-B500-CBB21C1B0374}"/>
    <cellStyle name="SAPBEXheaderItem 10 2 4" xfId="11270" xr:uid="{281593D0-67AD-46FC-A9FA-75A62D157440}"/>
    <cellStyle name="SAPBEXheaderItem 10 2 4 2" xfId="22776" xr:uid="{CEE1FD5D-4C94-448E-9F96-121E29045C0C}"/>
    <cellStyle name="SAPBEXheaderItem 10 2 5" xfId="11271" xr:uid="{9A71AEF2-4939-420D-8C69-319E0C5B9F71}"/>
    <cellStyle name="SAPBEXheaderItem 10 2 5 2" xfId="22777" xr:uid="{435AE91F-799B-4277-9F1D-FB9912182ECA}"/>
    <cellStyle name="SAPBEXheaderItem 10 2 6" xfId="22773" xr:uid="{E0A9CD0B-F621-4FA6-A404-0C4760208383}"/>
    <cellStyle name="SAPBEXheaderItem 10 3" xfId="11272" xr:uid="{830A2B8D-D8F6-4020-8566-6BFC5DF7D491}"/>
    <cellStyle name="SAPBEXheaderItem 10 3 2" xfId="22778" xr:uid="{423BBFC2-764B-4CA0-B37A-DB9848AD58F9}"/>
    <cellStyle name="SAPBEXheaderItem 10 4" xfId="11273" xr:uid="{FAECA848-ECAB-44A1-AACF-B60C9DE9F88F}"/>
    <cellStyle name="SAPBEXheaderItem 10 4 2" xfId="22779" xr:uid="{32DB63D9-27B4-4428-BE26-74BC5E74C223}"/>
    <cellStyle name="SAPBEXheaderItem 10 5" xfId="11274" xr:uid="{6D12C61B-545F-459A-BB01-7FCE00B119D2}"/>
    <cellStyle name="SAPBEXheaderItem 10 5 2" xfId="22780" xr:uid="{62283A1D-C850-4D38-A6BD-2BF2356EBE75}"/>
    <cellStyle name="SAPBEXheaderItem 10 6" xfId="11275" xr:uid="{AA32A366-4A3A-4542-A74A-053F7FC26FBD}"/>
    <cellStyle name="SAPBEXheaderItem 10 6 2" xfId="22781" xr:uid="{C6DD3CE0-4BED-4E33-A57A-92BC2B2743AC}"/>
    <cellStyle name="SAPBEXheaderItem 10 7" xfId="22772" xr:uid="{4DF2292B-891C-4100-816A-05B8B1963B45}"/>
    <cellStyle name="SAPBEXheaderItem 11" xfId="11276" xr:uid="{A354A34E-77EE-4D37-88C0-A29D15C66DDC}"/>
    <cellStyle name="SAPBEXheaderItem 11 2" xfId="11277" xr:uid="{01AD8633-862A-487E-B478-4C8B2FD81B06}"/>
    <cellStyle name="SAPBEXheaderItem 11 2 2" xfId="11278" xr:uid="{1A569BE2-21C2-4131-B595-3DBCB76F4C23}"/>
    <cellStyle name="SAPBEXheaderItem 11 2 2 2" xfId="22784" xr:uid="{F9E22DBA-6C5F-44B1-BFC4-980DDC5CD2EF}"/>
    <cellStyle name="SAPBEXheaderItem 11 2 3" xfId="11279" xr:uid="{58CAED7F-5CFD-4A51-B02F-C6DA07CAD01D}"/>
    <cellStyle name="SAPBEXheaderItem 11 2 3 2" xfId="22785" xr:uid="{83503833-30C3-45FA-92CB-A02F9159AB63}"/>
    <cellStyle name="SAPBEXheaderItem 11 2 4" xfId="11280" xr:uid="{79BE1950-0B9D-4B2C-83C8-559C270B1DEC}"/>
    <cellStyle name="SAPBEXheaderItem 11 2 4 2" xfId="22786" xr:uid="{BCA4EBFF-D720-4F5F-8B08-8A57CDCA78F1}"/>
    <cellStyle name="SAPBEXheaderItem 11 2 5" xfId="11281" xr:uid="{5A21B117-74AF-490F-9075-793B499E6C1F}"/>
    <cellStyle name="SAPBEXheaderItem 11 2 5 2" xfId="22787" xr:uid="{BBFF49E8-9128-4615-B398-C69ED704E688}"/>
    <cellStyle name="SAPBEXheaderItem 11 2 6" xfId="22783" xr:uid="{6AD4DC8A-411F-49F0-BA9C-5B37BCB6A2DB}"/>
    <cellStyle name="SAPBEXheaderItem 11 3" xfId="11282" xr:uid="{3200AFBF-BC13-4149-9641-A542FC66EC10}"/>
    <cellStyle name="SAPBEXheaderItem 11 3 2" xfId="22788" xr:uid="{ACDC832D-41A7-42C2-9705-797B82DDA0CA}"/>
    <cellStyle name="SAPBEXheaderItem 11 4" xfId="11283" xr:uid="{22696EEF-86B1-406A-AAA3-15F221AA697B}"/>
    <cellStyle name="SAPBEXheaderItem 11 4 2" xfId="22789" xr:uid="{BC637C25-467E-4321-ACAF-B9AF60F7429B}"/>
    <cellStyle name="SAPBEXheaderItem 11 5" xfId="11284" xr:uid="{750A3C04-5169-4E3E-A507-F6CD5FE1C9F6}"/>
    <cellStyle name="SAPBEXheaderItem 11 5 2" xfId="22790" xr:uid="{CFE4215A-AFB8-4358-9F7B-B546A9DA65CD}"/>
    <cellStyle name="SAPBEXheaderItem 11 6" xfId="11285" xr:uid="{0189937B-F3CF-4F3A-8272-A3F01F8095EB}"/>
    <cellStyle name="SAPBEXheaderItem 11 6 2" xfId="22791" xr:uid="{C3D098F6-F94E-4CFC-B461-D7AE11EE6305}"/>
    <cellStyle name="SAPBEXheaderItem 11 7" xfId="22782" xr:uid="{9E3C8EC3-0C98-44C3-A058-39B3E38F58B7}"/>
    <cellStyle name="SAPBEXheaderItem 12" xfId="11286" xr:uid="{038D101B-3D56-4268-8DCA-7EA77CB8E15D}"/>
    <cellStyle name="SAPBEXheaderItem 12 2" xfId="11287" xr:uid="{52E75564-1BC9-48A9-9AAF-995C52E8D80D}"/>
    <cellStyle name="SAPBEXheaderItem 12 2 2" xfId="11288" xr:uid="{6A08D204-4694-45F8-B5E4-A888E67896D0}"/>
    <cellStyle name="SAPBEXheaderItem 12 2 2 2" xfId="22794" xr:uid="{D2ADD670-CD0C-4ED9-A56F-E0787CC0A01B}"/>
    <cellStyle name="SAPBEXheaderItem 12 2 3" xfId="11289" xr:uid="{F299D123-F74B-4B81-A600-FF4346A6D887}"/>
    <cellStyle name="SAPBEXheaderItem 12 2 3 2" xfId="22795" xr:uid="{681EC7FD-9B67-4B99-8B4C-55E440C1F240}"/>
    <cellStyle name="SAPBEXheaderItem 12 2 4" xfId="11290" xr:uid="{CCCB0060-E7FA-4998-84CB-02913D873E81}"/>
    <cellStyle name="SAPBEXheaderItem 12 2 4 2" xfId="22796" xr:uid="{8112E827-61E7-4CE6-9C30-D305875200E2}"/>
    <cellStyle name="SAPBEXheaderItem 12 2 5" xfId="11291" xr:uid="{DBA54B77-AFEA-4EC3-8FD8-554F99C7FBCC}"/>
    <cellStyle name="SAPBEXheaderItem 12 2 5 2" xfId="22797" xr:uid="{4118E743-3D2B-4B6A-BAB8-095B2FE6D4F3}"/>
    <cellStyle name="SAPBEXheaderItem 12 2 6" xfId="22793" xr:uid="{BB9D1B2E-C0B4-4719-8673-CD2AF4236E15}"/>
    <cellStyle name="SAPBEXheaderItem 12 3" xfId="11292" xr:uid="{35CE27A5-3C41-44C9-B3D2-16B57C4A9D2B}"/>
    <cellStyle name="SAPBEXheaderItem 12 3 2" xfId="22798" xr:uid="{75A863AB-21A7-4E1D-90B5-B9CE1B806F48}"/>
    <cellStyle name="SAPBEXheaderItem 12 4" xfId="11293" xr:uid="{148C8B75-B114-4C30-8E80-CC231236D2D8}"/>
    <cellStyle name="SAPBEXheaderItem 12 4 2" xfId="22799" xr:uid="{AEC7E73D-1B17-4400-AE5F-06FEC14A259C}"/>
    <cellStyle name="SAPBEXheaderItem 12 5" xfId="11294" xr:uid="{A48B7048-5C94-4E2F-BD70-A2DC3836BFE3}"/>
    <cellStyle name="SAPBEXheaderItem 12 5 2" xfId="22800" xr:uid="{4347BEF6-CA9A-40C1-A885-E79F469D18E2}"/>
    <cellStyle name="SAPBEXheaderItem 12 6" xfId="11295" xr:uid="{5B10699C-88F6-4489-BB0D-B55DF2332EF0}"/>
    <cellStyle name="SAPBEXheaderItem 12 6 2" xfId="22801" xr:uid="{E173FDD6-AF3D-4B9D-8503-454917B7FA33}"/>
    <cellStyle name="SAPBEXheaderItem 12 7" xfId="22792" xr:uid="{7A0FFD80-A61D-48F9-8E24-EEB6A06FB4A7}"/>
    <cellStyle name="SAPBEXheaderItem 13" xfId="11296" xr:uid="{DF45A612-C5A0-47E6-B1DA-55DBA4B686CA}"/>
    <cellStyle name="SAPBEXheaderItem 13 2" xfId="11297" xr:uid="{7D7330B0-6C21-4C45-AC33-AB66C8804819}"/>
    <cellStyle name="SAPBEXheaderItem 13 2 2" xfId="11298" xr:uid="{EE2C2F99-EDE0-4DFC-B868-D498EF9AB854}"/>
    <cellStyle name="SAPBEXheaderItem 13 2 2 2" xfId="22804" xr:uid="{BA0A3905-6AC0-43D4-A066-C62FAE10C2B8}"/>
    <cellStyle name="SAPBEXheaderItem 13 2 3" xfId="11299" xr:uid="{85A1FBD4-D06A-423B-9408-1485FE6FE228}"/>
    <cellStyle name="SAPBEXheaderItem 13 2 3 2" xfId="22805" xr:uid="{38E3666F-953A-45D6-B3CA-25DB94FF7F51}"/>
    <cellStyle name="SAPBEXheaderItem 13 2 4" xfId="11300" xr:uid="{21EF5229-F1DD-49BF-AAA6-AC18AFCD9637}"/>
    <cellStyle name="SAPBEXheaderItem 13 2 4 2" xfId="22806" xr:uid="{D5A0F769-867A-4955-B420-B60311BEDEFF}"/>
    <cellStyle name="SAPBEXheaderItem 13 2 5" xfId="11301" xr:uid="{FD957984-5436-42B9-AE01-546A8F2E79F5}"/>
    <cellStyle name="SAPBEXheaderItem 13 2 5 2" xfId="22807" xr:uid="{D6D424EE-3359-4F96-A054-AE047D75193D}"/>
    <cellStyle name="SAPBEXheaderItem 13 2 6" xfId="22803" xr:uid="{BD061E05-EC40-4B12-9A7E-5C9E8EE4604A}"/>
    <cellStyle name="SAPBEXheaderItem 13 3" xfId="11302" xr:uid="{614FBC23-0B80-4821-8B36-FC605B5DED3B}"/>
    <cellStyle name="SAPBEXheaderItem 13 3 2" xfId="22808" xr:uid="{CED46361-2995-4CCC-97C3-91AB9B4F6108}"/>
    <cellStyle name="SAPBEXheaderItem 13 4" xfId="11303" xr:uid="{E3AEE72D-4F58-4A52-A12E-C978397D16E1}"/>
    <cellStyle name="SAPBEXheaderItem 13 4 2" xfId="22809" xr:uid="{1A5C2170-F8B9-4C63-B917-01E3748A57F1}"/>
    <cellStyle name="SAPBEXheaderItem 13 5" xfId="11304" xr:uid="{DE84A859-0CE6-4630-BE1E-9F10657936F9}"/>
    <cellStyle name="SAPBEXheaderItem 13 5 2" xfId="22810" xr:uid="{07825591-2DAB-4BFB-9114-BC92E07B5F24}"/>
    <cellStyle name="SAPBEXheaderItem 13 6" xfId="11305" xr:uid="{444A7AA2-4B60-4717-94E7-7488686F73CE}"/>
    <cellStyle name="SAPBEXheaderItem 13 6 2" xfId="22811" xr:uid="{A395AC19-442D-4C28-9F83-A087E5FB6C4A}"/>
    <cellStyle name="SAPBEXheaderItem 13 7" xfId="22802" xr:uid="{D8295887-3D19-457C-A386-8BD68D687A9F}"/>
    <cellStyle name="SAPBEXheaderItem 14" xfId="11306" xr:uid="{71091C44-B795-48F4-8491-2E3D20F4C40F}"/>
    <cellStyle name="SAPBEXheaderItem 14 2" xfId="11307" xr:uid="{202D3180-D948-4548-B5A8-4D5E4C51BE9C}"/>
    <cellStyle name="SAPBEXheaderItem 14 2 2" xfId="11308" xr:uid="{31B456B1-A7FB-4806-AF25-B5CBB2A58300}"/>
    <cellStyle name="SAPBEXheaderItem 14 2 2 2" xfId="22814" xr:uid="{E144A2C7-A7D6-4708-8E54-AF5EF30FA2C3}"/>
    <cellStyle name="SAPBEXheaderItem 14 2 3" xfId="11309" xr:uid="{0D7FFE92-3BE6-4B79-AC9A-E1791A50D4E7}"/>
    <cellStyle name="SAPBEXheaderItem 14 2 3 2" xfId="22815" xr:uid="{1AF7F00C-C51D-4775-8784-DE3204AE3218}"/>
    <cellStyle name="SAPBEXheaderItem 14 2 4" xfId="11310" xr:uid="{35D5474E-12A0-4850-B56C-34C1BBD5A2CF}"/>
    <cellStyle name="SAPBEXheaderItem 14 2 4 2" xfId="22816" xr:uid="{E669F30D-184D-4973-9A56-B767F639939C}"/>
    <cellStyle name="SAPBEXheaderItem 14 2 5" xfId="11311" xr:uid="{28A1189B-8F7F-4372-82FA-5C10DF5291F6}"/>
    <cellStyle name="SAPBEXheaderItem 14 2 5 2" xfId="22817" xr:uid="{9B8469E2-DCB5-4E79-8A57-875E8D8DF514}"/>
    <cellStyle name="SAPBEXheaderItem 14 2 6" xfId="22813" xr:uid="{6EF471BD-1B97-4CC9-A3CA-E6EB376D10A5}"/>
    <cellStyle name="SAPBEXheaderItem 14 3" xfId="11312" xr:uid="{6A3CD1D0-33F1-4704-B822-67EA88140F9A}"/>
    <cellStyle name="SAPBEXheaderItem 14 3 2" xfId="22818" xr:uid="{13400487-7FF9-4577-998C-0B0B3EE501F6}"/>
    <cellStyle name="SAPBEXheaderItem 14 4" xfId="11313" xr:uid="{A3315504-6169-4FAA-86E5-A681F53320D7}"/>
    <cellStyle name="SAPBEXheaderItem 14 4 2" xfId="22819" xr:uid="{0BDB9E88-F1C4-4ECF-AC4C-2880EE08B88D}"/>
    <cellStyle name="SAPBEXheaderItem 14 5" xfId="11314" xr:uid="{8084407A-A150-437E-9C2C-0B47A911D743}"/>
    <cellStyle name="SAPBEXheaderItem 14 5 2" xfId="22820" xr:uid="{E495826A-DAB8-4A85-B6FD-025CBB1BB916}"/>
    <cellStyle name="SAPBEXheaderItem 14 6" xfId="11315" xr:uid="{019144B8-1E56-4562-8631-91D46989AC9D}"/>
    <cellStyle name="SAPBEXheaderItem 14 6 2" xfId="22821" xr:uid="{CAFBD115-BFDC-4399-8DE4-1CC3F51CBE64}"/>
    <cellStyle name="SAPBEXheaderItem 14 7" xfId="22812" xr:uid="{BE235268-75C7-4E62-B1F7-6E93D1CECD84}"/>
    <cellStyle name="SAPBEXheaderItem 15" xfId="11316" xr:uid="{C4171686-2369-458C-8989-AECA885D5C62}"/>
    <cellStyle name="SAPBEXheaderItem 15 2" xfId="11317" xr:uid="{5DDAA105-D3EF-4A9B-9202-1162D26B0A12}"/>
    <cellStyle name="SAPBEXheaderItem 15 2 2" xfId="11318" xr:uid="{09FD119A-A096-4C0B-8907-654BDBA076A0}"/>
    <cellStyle name="SAPBEXheaderItem 15 2 2 2" xfId="22824" xr:uid="{EF7BE4D4-4326-46E6-8842-19F24C6823E8}"/>
    <cellStyle name="SAPBEXheaderItem 15 2 3" xfId="11319" xr:uid="{EAA63801-E439-442B-A17C-3F0E8485F2D0}"/>
    <cellStyle name="SAPBEXheaderItem 15 2 3 2" xfId="22825" xr:uid="{4D23DF5E-A918-4540-88D9-1F4D77A13C23}"/>
    <cellStyle name="SAPBEXheaderItem 15 2 4" xfId="11320" xr:uid="{DC5BB8D6-7CEF-498D-9FD0-565AF0046ACB}"/>
    <cellStyle name="SAPBEXheaderItem 15 2 4 2" xfId="22826" xr:uid="{EE7DA889-7167-4F6B-9B6C-45F9A264FA38}"/>
    <cellStyle name="SAPBEXheaderItem 15 2 5" xfId="11321" xr:uid="{B5008479-CEB9-4768-BEE0-572A2D54AFBF}"/>
    <cellStyle name="SAPBEXheaderItem 15 2 5 2" xfId="22827" xr:uid="{62E8A714-580C-41AB-B349-FC0326B6D1EF}"/>
    <cellStyle name="SAPBEXheaderItem 15 2 6" xfId="22823" xr:uid="{657358AC-5F12-47DA-8AA2-F45867DA9E01}"/>
    <cellStyle name="SAPBEXheaderItem 15 3" xfId="11322" xr:uid="{88D7A186-8421-4959-9F54-33FFA47EB128}"/>
    <cellStyle name="SAPBEXheaderItem 15 3 2" xfId="22828" xr:uid="{EBCEE742-5CB4-43EE-94AF-79AD3491F1EC}"/>
    <cellStyle name="SAPBEXheaderItem 15 4" xfId="11323" xr:uid="{C0713730-2A91-4EC6-B750-20D4880ED437}"/>
    <cellStyle name="SAPBEXheaderItem 15 4 2" xfId="22829" xr:uid="{B1DD5631-B23B-4E29-9D18-20C0BCCA0713}"/>
    <cellStyle name="SAPBEXheaderItem 15 5" xfId="11324" xr:uid="{69943204-C4D9-44A5-8C66-6E214C335E5E}"/>
    <cellStyle name="SAPBEXheaderItem 15 5 2" xfId="22830" xr:uid="{8F4F99B5-312C-45BD-B662-6D0A642573C4}"/>
    <cellStyle name="SAPBEXheaderItem 15 6" xfId="11325" xr:uid="{387B6537-E6AF-4E46-9C55-E2EA7A88D803}"/>
    <cellStyle name="SAPBEXheaderItem 15 6 2" xfId="22831" xr:uid="{7453D7D5-5DA3-4F35-BF7A-6947E38668B7}"/>
    <cellStyle name="SAPBEXheaderItem 15 7" xfId="22822" xr:uid="{951FBC91-8E90-499A-A0A3-68C5549E8C8C}"/>
    <cellStyle name="SAPBEXheaderItem 16" xfId="11326" xr:uid="{31F97BD9-60AC-49A1-A491-6B216736AA6E}"/>
    <cellStyle name="SAPBEXheaderItem 16 2" xfId="22832" xr:uid="{30E26248-0ADA-4257-867E-D39F5A6087F2}"/>
    <cellStyle name="SAPBEXheaderItem 17" xfId="11327" xr:uid="{2145D3E0-E9E0-4E78-B394-84BA1FB282AB}"/>
    <cellStyle name="SAPBEXheaderItem 17 2" xfId="22833" xr:uid="{B2A1E8D8-9457-4A6D-B708-713A55CCAE67}"/>
    <cellStyle name="SAPBEXheaderItem 18" xfId="11328" xr:uid="{8E945DEE-043B-4AE9-AB3C-0EA463129679}"/>
    <cellStyle name="SAPBEXheaderItem 18 2" xfId="22834" xr:uid="{E3603B75-F7A2-4FC4-832D-9C3F9FACED7D}"/>
    <cellStyle name="SAPBEXheaderItem 19" xfId="11329" xr:uid="{07F35C01-6CA4-4B2C-9ED6-253A900A027F}"/>
    <cellStyle name="SAPBEXheaderItem 19 2" xfId="22835" xr:uid="{B1DB2C68-44FF-4618-8C05-5FC701794F35}"/>
    <cellStyle name="SAPBEXheaderItem 2" xfId="11330" xr:uid="{23CD84D4-8F2A-4330-A73D-B82781775541}"/>
    <cellStyle name="SAPBEXheaderItem 2 2" xfId="11331" xr:uid="{4BBB57C7-7AD4-4568-AB42-CAE7AF9A7524}"/>
    <cellStyle name="SAPBEXheaderItem 2 2 2" xfId="11332" xr:uid="{EA374F0B-7F40-45DE-8732-5372EC7211DB}"/>
    <cellStyle name="SAPBEXheaderItem 2 2 2 2" xfId="22838" xr:uid="{2F948636-312F-4863-964C-F07B348198D7}"/>
    <cellStyle name="SAPBEXheaderItem 2 2 3" xfId="11333" xr:uid="{493B8188-C033-4263-B896-5B86CF8818F1}"/>
    <cellStyle name="SAPBEXheaderItem 2 2 3 2" xfId="22839" xr:uid="{C815D5CC-D00A-4363-8BA9-B7EF7607506C}"/>
    <cellStyle name="SAPBEXheaderItem 2 2 4" xfId="11334" xr:uid="{563CA4C3-0016-478F-B8D6-B4596764632E}"/>
    <cellStyle name="SAPBEXheaderItem 2 2 4 2" xfId="22840" xr:uid="{6DDC9FEA-1051-42E7-BFD6-F0DD0DE21980}"/>
    <cellStyle name="SAPBEXheaderItem 2 2 5" xfId="11335" xr:uid="{359D9ECB-D86C-486E-9965-0E4276821C32}"/>
    <cellStyle name="SAPBEXheaderItem 2 2 5 2" xfId="22841" xr:uid="{5F3553F7-9FAA-46A7-ABF7-F6B4FBEBDF82}"/>
    <cellStyle name="SAPBEXheaderItem 2 2 6" xfId="22837" xr:uid="{EFE9B4A1-845E-436F-9F43-A161166274A7}"/>
    <cellStyle name="SAPBEXheaderItem 2 3" xfId="11336" xr:uid="{9736058D-55EB-4CC4-B47A-91C3E5F91C23}"/>
    <cellStyle name="SAPBEXheaderItem 2 3 2" xfId="22842" xr:uid="{E03B04B0-E680-4742-8086-562973C89B0B}"/>
    <cellStyle name="SAPBEXheaderItem 2 4" xfId="11337" xr:uid="{D5964210-B74C-4B83-A42E-B67E61458929}"/>
    <cellStyle name="SAPBEXheaderItem 2 4 2" xfId="22843" xr:uid="{E1CCE077-4D23-4B9B-AF5C-57EB811D5AE8}"/>
    <cellStyle name="SAPBEXheaderItem 2 5" xfId="11338" xr:uid="{3AB869C7-19E0-4C86-B44F-E83DD7558FA8}"/>
    <cellStyle name="SAPBEXheaderItem 2 5 2" xfId="22844" xr:uid="{942112C8-DDEA-4FD3-A1C8-B791B48A0730}"/>
    <cellStyle name="SAPBEXheaderItem 2 6" xfId="11339" xr:uid="{BF3FAE20-4B88-4BE9-8CB0-FC863503C6C5}"/>
    <cellStyle name="SAPBEXheaderItem 2 6 2" xfId="22845" xr:uid="{A464DD90-EA31-4B9C-8218-73BFA92193B1}"/>
    <cellStyle name="SAPBEXheaderItem 2 7" xfId="22836" xr:uid="{38239A96-6DCD-40BD-8E71-19C33D34518C}"/>
    <cellStyle name="SAPBEXheaderItem 20" xfId="15178" xr:uid="{BA3B1B9F-CD86-49B6-B767-DC7F167E5DB3}"/>
    <cellStyle name="SAPBEXheaderItem 3" xfId="11340" xr:uid="{544DF1FF-30C2-414D-BDD8-128F4B6F1E90}"/>
    <cellStyle name="SAPBEXheaderItem 3 2" xfId="11341" xr:uid="{AE177C52-7550-4F67-92B0-4D582EE07D97}"/>
    <cellStyle name="SAPBEXheaderItem 3 2 2" xfId="11342" xr:uid="{D8A4E23B-7D71-41AA-A87F-F05D857B9027}"/>
    <cellStyle name="SAPBEXheaderItem 3 2 2 2" xfId="22848" xr:uid="{E956A7DA-0A02-4D88-A1F8-4878445D6291}"/>
    <cellStyle name="SAPBEXheaderItem 3 2 3" xfId="11343" xr:uid="{41E4C521-9FB0-44B5-85DC-140B7488FC78}"/>
    <cellStyle name="SAPBEXheaderItem 3 2 3 2" xfId="22849" xr:uid="{A4E504A1-0FD7-4D2F-975A-F94025180387}"/>
    <cellStyle name="SAPBEXheaderItem 3 2 4" xfId="11344" xr:uid="{6D683DEE-7B1C-4716-B525-C3DEB05AB281}"/>
    <cellStyle name="SAPBEXheaderItem 3 2 4 2" xfId="22850" xr:uid="{ACFFBBBA-D63C-4E58-A33C-DE30DB8D5389}"/>
    <cellStyle name="SAPBEXheaderItem 3 2 5" xfId="11345" xr:uid="{5EF710D5-E9BD-42DA-9868-902A182FBAE2}"/>
    <cellStyle name="SAPBEXheaderItem 3 2 5 2" xfId="22851" xr:uid="{C8481568-6C7D-4CBE-B862-1616209C3D02}"/>
    <cellStyle name="SAPBEXheaderItem 3 2 6" xfId="22847" xr:uid="{CF22ED0B-FDC3-488C-99F2-5A766063611C}"/>
    <cellStyle name="SAPBEXheaderItem 3 3" xfId="11346" xr:uid="{E9B51380-D4E5-4295-A2C5-D72A6542AE17}"/>
    <cellStyle name="SAPBEXheaderItem 3 3 2" xfId="22852" xr:uid="{B19A9D2E-C3A1-4036-804C-301E24A4474D}"/>
    <cellStyle name="SAPBEXheaderItem 3 4" xfId="11347" xr:uid="{93486A55-4BC6-40D9-AFA5-084B52C0D54D}"/>
    <cellStyle name="SAPBEXheaderItem 3 4 2" xfId="22853" xr:uid="{8574F603-1925-48C3-B294-4FA7A87FBC2E}"/>
    <cellStyle name="SAPBEXheaderItem 3 5" xfId="11348" xr:uid="{AB0D1D98-F2DE-4C73-86E8-AD6E09F2D4EE}"/>
    <cellStyle name="SAPBEXheaderItem 3 5 2" xfId="22854" xr:uid="{AF30C97A-3B90-42CC-9827-F19547D622BC}"/>
    <cellStyle name="SAPBEXheaderItem 3 6" xfId="11349" xr:uid="{113F1363-A5BB-442A-902D-3B9F9D2B7665}"/>
    <cellStyle name="SAPBEXheaderItem 3 6 2" xfId="22855" xr:uid="{4847B95C-1D36-4098-A71C-091987C3A491}"/>
    <cellStyle name="SAPBEXheaderItem 3 7" xfId="22846" xr:uid="{D9721581-1C70-4B9D-8B9F-B5D6DEBE384D}"/>
    <cellStyle name="SAPBEXheaderItem 4" xfId="11350" xr:uid="{2905CC6D-F93E-48F6-BC05-10273E27A07C}"/>
    <cellStyle name="SAPBEXheaderItem 4 2" xfId="11351" xr:uid="{47728124-8CD0-430C-9888-C569BB306D7B}"/>
    <cellStyle name="SAPBEXheaderItem 4 2 2" xfId="11352" xr:uid="{CD58E4BF-9758-408D-A4E6-6BDA7A9EEC04}"/>
    <cellStyle name="SAPBEXheaderItem 4 2 2 2" xfId="22858" xr:uid="{A50E8360-0874-4B2E-8C48-749D3DA35F24}"/>
    <cellStyle name="SAPBEXheaderItem 4 2 3" xfId="11353" xr:uid="{7CDCAC8A-1F50-4CFA-B7E9-CFE23DC5C431}"/>
    <cellStyle name="SAPBEXheaderItem 4 2 3 2" xfId="22859" xr:uid="{256B73FF-E93E-422A-B6F1-E062E82681C9}"/>
    <cellStyle name="SAPBEXheaderItem 4 2 4" xfId="11354" xr:uid="{20DFF1BA-79B9-45A6-A37D-3745B862F250}"/>
    <cellStyle name="SAPBEXheaderItem 4 2 4 2" xfId="22860" xr:uid="{5935D766-8DDF-4F17-AEAF-7C06AC7C36CA}"/>
    <cellStyle name="SAPBEXheaderItem 4 2 5" xfId="11355" xr:uid="{7BD02799-1CAB-4BA8-835A-914ECF0F3F05}"/>
    <cellStyle name="SAPBEXheaderItem 4 2 5 2" xfId="22861" xr:uid="{7DB5D004-7AF9-4055-9E6A-E28E8EBD1F57}"/>
    <cellStyle name="SAPBEXheaderItem 4 2 6" xfId="22857" xr:uid="{728C266E-498B-4480-85D4-7F3937E39CFF}"/>
    <cellStyle name="SAPBEXheaderItem 4 3" xfId="11356" xr:uid="{E6C79A5F-B66E-4744-9CB8-957D6A08CC5C}"/>
    <cellStyle name="SAPBEXheaderItem 4 3 2" xfId="22862" xr:uid="{845154F5-93C1-4DB1-9F2E-BBFCBDE66053}"/>
    <cellStyle name="SAPBEXheaderItem 4 4" xfId="11357" xr:uid="{2D6E64E2-E149-4045-ACD0-1B41EC76A2FA}"/>
    <cellStyle name="SAPBEXheaderItem 4 4 2" xfId="22863" xr:uid="{4F57127E-CBDA-46E0-AF8A-D3D59C5B4C56}"/>
    <cellStyle name="SAPBEXheaderItem 4 5" xfId="11358" xr:uid="{2BDFF191-1E56-4BB9-A8CF-CCFE43B299FB}"/>
    <cellStyle name="SAPBEXheaderItem 4 5 2" xfId="22864" xr:uid="{AB62B27B-ACB4-4257-8838-36B2189E2D41}"/>
    <cellStyle name="SAPBEXheaderItem 4 6" xfId="11359" xr:uid="{45B8B71B-405F-4BA2-8D24-08B107186F2E}"/>
    <cellStyle name="SAPBEXheaderItem 4 6 2" xfId="22865" xr:uid="{11B7CC5B-957C-4154-8A1E-5F4374B57B9D}"/>
    <cellStyle name="SAPBEXheaderItem 4 7" xfId="22856" xr:uid="{53D77EA4-B5E7-449D-A5A7-002757AFBD14}"/>
    <cellStyle name="SAPBEXheaderItem 5" xfId="11360" xr:uid="{0C556574-5AD1-4287-979B-F58BF2A5F3DC}"/>
    <cellStyle name="SAPBEXheaderItem 5 2" xfId="11361" xr:uid="{21E5DF9C-4C9A-48E3-8EE4-9CF33FE6F632}"/>
    <cellStyle name="SAPBEXheaderItem 5 2 2" xfId="11362" xr:uid="{C33C4AD6-0488-474E-9592-20BBEDCDA022}"/>
    <cellStyle name="SAPBEXheaderItem 5 2 2 2" xfId="22868" xr:uid="{5927600D-FE65-4AD2-8B0F-8ABECB81A22F}"/>
    <cellStyle name="SAPBEXheaderItem 5 2 3" xfId="11363" xr:uid="{879E1269-6B6B-4658-A4D2-DCFF225B0A15}"/>
    <cellStyle name="SAPBEXheaderItem 5 2 3 2" xfId="22869" xr:uid="{AB3A26B0-EE11-436E-B26C-A4E727FD542B}"/>
    <cellStyle name="SAPBEXheaderItem 5 2 4" xfId="11364" xr:uid="{A0561459-7F17-4957-BFFB-7DBA2DC1A9FE}"/>
    <cellStyle name="SAPBEXheaderItem 5 2 4 2" xfId="22870" xr:uid="{937F8C09-46A5-43A2-945B-F4B0CE661128}"/>
    <cellStyle name="SAPBEXheaderItem 5 2 5" xfId="11365" xr:uid="{4EABBDE5-CA6B-44D6-B644-5B6299CF4CE1}"/>
    <cellStyle name="SAPBEXheaderItem 5 2 5 2" xfId="22871" xr:uid="{A113BD99-C6A0-4FBA-AE81-377E5131E68C}"/>
    <cellStyle name="SAPBEXheaderItem 5 2 6" xfId="22867" xr:uid="{7B8B7572-FE88-4E95-8CB9-19084EC7B6DF}"/>
    <cellStyle name="SAPBEXheaderItem 5 3" xfId="11366" xr:uid="{414B9FE7-C500-4378-A4C0-FB3B68CAE82F}"/>
    <cellStyle name="SAPBEXheaderItem 5 3 2" xfId="22872" xr:uid="{4893DB78-26B3-45C6-8E61-5596EA56B5F0}"/>
    <cellStyle name="SAPBEXheaderItem 5 4" xfId="11367" xr:uid="{C4D262E1-A2BE-4417-91F8-8DFC1BFEFFEC}"/>
    <cellStyle name="SAPBEXheaderItem 5 4 2" xfId="22873" xr:uid="{6562302E-B699-40FA-87A2-A38AC796B137}"/>
    <cellStyle name="SAPBEXheaderItem 5 5" xfId="11368" xr:uid="{F2C1EC9C-581F-4EB2-966F-A334A37556DC}"/>
    <cellStyle name="SAPBEXheaderItem 5 5 2" xfId="22874" xr:uid="{56660E9D-FA9B-4D07-8289-015AD2B61A43}"/>
    <cellStyle name="SAPBEXheaderItem 5 6" xfId="11369" xr:uid="{8E17602C-F347-4754-A032-7A49084D93C1}"/>
    <cellStyle name="SAPBEXheaderItem 5 6 2" xfId="22875" xr:uid="{9F984E50-A3AD-46AD-940E-70908BF1CBBD}"/>
    <cellStyle name="SAPBEXheaderItem 5 7" xfId="22866" xr:uid="{E3B794B5-1483-4946-93F5-0FA6BBA087FC}"/>
    <cellStyle name="SAPBEXheaderItem 6" xfId="11370" xr:uid="{181D7D19-B5A5-4AF3-8659-F6ADD03AEA2A}"/>
    <cellStyle name="SAPBEXheaderItem 6 2" xfId="11371" xr:uid="{6A3660FA-909A-4858-8E2F-D3B72ACF9844}"/>
    <cellStyle name="SAPBEXheaderItem 6 2 2" xfId="11372" xr:uid="{B58B8CBA-3F19-4207-A99D-939522018E4C}"/>
    <cellStyle name="SAPBEXheaderItem 6 2 2 2" xfId="22878" xr:uid="{1091F8A9-EDF5-4976-9863-317545385288}"/>
    <cellStyle name="SAPBEXheaderItem 6 2 3" xfId="11373" xr:uid="{2422801A-BDA2-4984-93AC-636EBCF5AEC7}"/>
    <cellStyle name="SAPBEXheaderItem 6 2 3 2" xfId="22879" xr:uid="{1F191990-F167-44C1-9276-2B1FA3CEB24F}"/>
    <cellStyle name="SAPBEXheaderItem 6 2 4" xfId="11374" xr:uid="{CE9D1BA0-20A8-4FB6-A3BD-0A5E05118CFC}"/>
    <cellStyle name="SAPBEXheaderItem 6 2 4 2" xfId="22880" xr:uid="{E3E9DB14-A74C-4F28-AAD0-B9C13DE4160A}"/>
    <cellStyle name="SAPBEXheaderItem 6 2 5" xfId="11375" xr:uid="{10E6BD6F-C3B7-4231-8C3F-2A66E8CBA65A}"/>
    <cellStyle name="SAPBEXheaderItem 6 2 5 2" xfId="22881" xr:uid="{4B5F0C82-69A1-45A1-85D5-A8B2851EE68C}"/>
    <cellStyle name="SAPBEXheaderItem 6 2 6" xfId="22877" xr:uid="{37B19A2A-5D33-41F1-8F33-61132BF29339}"/>
    <cellStyle name="SAPBEXheaderItem 6 3" xfId="11376" xr:uid="{43F24A74-FA3A-4BAD-90FA-F320528E4A24}"/>
    <cellStyle name="SAPBEXheaderItem 6 3 2" xfId="22882" xr:uid="{25DED274-1C7E-4369-A814-65F22645732E}"/>
    <cellStyle name="SAPBEXheaderItem 6 4" xfId="11377" xr:uid="{869025CF-8346-468F-A15F-60E42655E425}"/>
    <cellStyle name="SAPBEXheaderItem 6 4 2" xfId="22883" xr:uid="{FF9C3E44-FB7E-4D53-8A35-2953D106C5DA}"/>
    <cellStyle name="SAPBEXheaderItem 6 5" xfId="11378" xr:uid="{D6D0D21F-690A-4172-9565-D7922AE0448C}"/>
    <cellStyle name="SAPBEXheaderItem 6 5 2" xfId="22884" xr:uid="{AC509877-8238-4D04-AAFE-3B5F44739B75}"/>
    <cellStyle name="SAPBEXheaderItem 6 6" xfId="11379" xr:uid="{18838700-554D-4B67-B42E-BDBB21851C22}"/>
    <cellStyle name="SAPBEXheaderItem 6 6 2" xfId="22885" xr:uid="{5A806F2A-EBAE-4138-A251-C698B9CA2103}"/>
    <cellStyle name="SAPBEXheaderItem 6 7" xfId="22876" xr:uid="{8928DB73-1EE6-45ED-B187-383E41D18ABC}"/>
    <cellStyle name="SAPBEXheaderItem 7" xfId="11380" xr:uid="{09A61457-B401-463A-A849-6EA5865FEEB2}"/>
    <cellStyle name="SAPBEXheaderItem 7 2" xfId="11381" xr:uid="{14576C5B-DBEF-4197-B4A2-C2CB924EDE6B}"/>
    <cellStyle name="SAPBEXheaderItem 7 2 2" xfId="11382" xr:uid="{725F0F76-4BB0-493B-835A-7C69C83FA9B9}"/>
    <cellStyle name="SAPBEXheaderItem 7 2 2 2" xfId="22888" xr:uid="{CB2DBF7E-2F6F-4AEB-A3DC-0FB8CC551607}"/>
    <cellStyle name="SAPBEXheaderItem 7 2 3" xfId="11383" xr:uid="{8B49C4D1-7545-439B-8071-32F360F03A6A}"/>
    <cellStyle name="SAPBEXheaderItem 7 2 3 2" xfId="22889" xr:uid="{B912E6EC-7727-4C21-A3B7-4211514502D3}"/>
    <cellStyle name="SAPBEXheaderItem 7 2 4" xfId="11384" xr:uid="{FEBC8628-3E1D-4E4F-B320-2115C128CC89}"/>
    <cellStyle name="SAPBEXheaderItem 7 2 4 2" xfId="22890" xr:uid="{7B4F9594-211A-42DF-9A1B-B4B9FDCF8467}"/>
    <cellStyle name="SAPBEXheaderItem 7 2 5" xfId="11385" xr:uid="{67F7C81E-C951-416A-9EA4-F72730F5C73E}"/>
    <cellStyle name="SAPBEXheaderItem 7 2 5 2" xfId="22891" xr:uid="{A6200321-C9D9-4230-9DCF-0964163E1ABF}"/>
    <cellStyle name="SAPBEXheaderItem 7 2 6" xfId="22887" xr:uid="{93292485-D7C7-4237-8130-2E0E1A80988F}"/>
    <cellStyle name="SAPBEXheaderItem 7 3" xfId="11386" xr:uid="{F8C68F5F-53D8-467B-9053-AE44DBB8435C}"/>
    <cellStyle name="SAPBEXheaderItem 7 3 2" xfId="22892" xr:uid="{8357A746-9985-4424-B16B-11EB1A03F279}"/>
    <cellStyle name="SAPBEXheaderItem 7 4" xfId="11387" xr:uid="{D3C5E198-7658-499F-880F-094179F32A6D}"/>
    <cellStyle name="SAPBEXheaderItem 7 4 2" xfId="22893" xr:uid="{3709B213-55C4-4F3C-9DD5-DC9D65FF2C80}"/>
    <cellStyle name="SAPBEXheaderItem 7 5" xfId="11388" xr:uid="{8C9570AF-0D67-4BD9-B147-A77286A4031C}"/>
    <cellStyle name="SAPBEXheaderItem 7 5 2" xfId="22894" xr:uid="{0731444F-A2F5-4181-A63B-A8E003C69C34}"/>
    <cellStyle name="SAPBEXheaderItem 7 6" xfId="11389" xr:uid="{5A5C6D91-3C1F-44E1-93F4-D81CD00B59BD}"/>
    <cellStyle name="SAPBEXheaderItem 7 6 2" xfId="22895" xr:uid="{2716F192-FC17-460D-A9CE-8CBF9386126E}"/>
    <cellStyle name="SAPBEXheaderItem 7 7" xfId="22886" xr:uid="{59E605CC-E88E-443D-BCCB-3A39FBE9A5B0}"/>
    <cellStyle name="SAPBEXheaderItem 8" xfId="11390" xr:uid="{0F406960-8D5C-4248-9A46-0858352A9937}"/>
    <cellStyle name="SAPBEXheaderItem 8 2" xfId="11391" xr:uid="{BD660719-DD05-46B2-9629-8426C17158F0}"/>
    <cellStyle name="SAPBEXheaderItem 8 2 2" xfId="11392" xr:uid="{1D660C3F-D6D1-4CA9-8E2F-5D0FB995892B}"/>
    <cellStyle name="SAPBEXheaderItem 8 2 2 2" xfId="22898" xr:uid="{F1ACD7CC-10BB-4919-9478-218FBAFBB6D2}"/>
    <cellStyle name="SAPBEXheaderItem 8 2 3" xfId="11393" xr:uid="{61D118F8-713C-4B15-B4C4-131A235260C3}"/>
    <cellStyle name="SAPBEXheaderItem 8 2 3 2" xfId="22899" xr:uid="{C05E90D8-AD3C-4A4E-BB78-40A6230F01E5}"/>
    <cellStyle name="SAPBEXheaderItem 8 2 4" xfId="11394" xr:uid="{A8C83AC6-E6E8-4088-B8B1-8D411E1513E3}"/>
    <cellStyle name="SAPBEXheaderItem 8 2 4 2" xfId="22900" xr:uid="{AAE67826-342F-4441-AF56-8B3C69772715}"/>
    <cellStyle name="SAPBEXheaderItem 8 2 5" xfId="11395" xr:uid="{77E17D2F-AE12-492F-B395-DDE9BBE7E888}"/>
    <cellStyle name="SAPBEXheaderItem 8 2 5 2" xfId="22901" xr:uid="{E15C4053-FD31-4EDF-8199-7B4945481E61}"/>
    <cellStyle name="SAPBEXheaderItem 8 2 6" xfId="22897" xr:uid="{C6CCD873-873A-4E20-B14A-FFA25D35A6DB}"/>
    <cellStyle name="SAPBEXheaderItem 8 3" xfId="11396" xr:uid="{73E9BDF7-2976-40AB-89D8-3BE8D6703120}"/>
    <cellStyle name="SAPBEXheaderItem 8 3 2" xfId="22902" xr:uid="{348ACF88-4DC7-4EFB-A3E5-6EC05BDB2272}"/>
    <cellStyle name="SAPBEXheaderItem 8 4" xfId="11397" xr:uid="{B6B9B994-D4CF-4097-B586-FAFC9B9F4C84}"/>
    <cellStyle name="SAPBEXheaderItem 8 4 2" xfId="22903" xr:uid="{00A53243-1355-474A-96FE-F5D83F62004A}"/>
    <cellStyle name="SAPBEXheaderItem 8 5" xfId="11398" xr:uid="{F3D2D059-105A-49CE-9FAC-BEC98338B245}"/>
    <cellStyle name="SAPBEXheaderItem 8 5 2" xfId="22904" xr:uid="{6A6AB91B-A299-435A-BA3A-58CBFB436357}"/>
    <cellStyle name="SAPBEXheaderItem 8 6" xfId="11399" xr:uid="{FF987FEB-0E25-4BCB-9954-3CCEF386FA78}"/>
    <cellStyle name="SAPBEXheaderItem 8 6 2" xfId="22905" xr:uid="{C611706B-DF70-41CE-B611-B00B60269DAF}"/>
    <cellStyle name="SAPBEXheaderItem 8 7" xfId="22896" xr:uid="{BC2F0D2D-E245-4384-B91C-77FA126DEC83}"/>
    <cellStyle name="SAPBEXheaderItem 9" xfId="11400" xr:uid="{A27ADC08-3EA1-4984-8784-0AD3D554053E}"/>
    <cellStyle name="SAPBEXheaderItem 9 2" xfId="11401" xr:uid="{BCE54C8B-E175-461C-81EE-6A56298684F8}"/>
    <cellStyle name="SAPBEXheaderItem 9 2 2" xfId="11402" xr:uid="{24E27AB0-F34C-4EF5-9AFA-875C99C07B5A}"/>
    <cellStyle name="SAPBEXheaderItem 9 2 2 2" xfId="22908" xr:uid="{81D771A3-45D6-4546-B519-B122452F76E6}"/>
    <cellStyle name="SAPBEXheaderItem 9 2 3" xfId="11403" xr:uid="{3F5666FE-47EE-499A-9970-9020A4DF316C}"/>
    <cellStyle name="SAPBEXheaderItem 9 2 3 2" xfId="22909" xr:uid="{4B5B7911-C2B6-448C-AF23-C1AECB7D672B}"/>
    <cellStyle name="SAPBEXheaderItem 9 2 4" xfId="11404" xr:uid="{498744DD-C425-4FDC-8450-94737A72E161}"/>
    <cellStyle name="SAPBEXheaderItem 9 2 4 2" xfId="22910" xr:uid="{93BDEE26-480E-4C61-B2DC-097C5030798C}"/>
    <cellStyle name="SAPBEXheaderItem 9 2 5" xfId="11405" xr:uid="{26B2E515-4AA1-4BDF-B529-4F9E1C10710A}"/>
    <cellStyle name="SAPBEXheaderItem 9 2 5 2" xfId="22911" xr:uid="{670CEF4B-2881-4C82-9915-EE4ABA72E2ED}"/>
    <cellStyle name="SAPBEXheaderItem 9 2 6" xfId="22907" xr:uid="{66A43B3A-F9EF-49E1-A22B-E3323E7EDA11}"/>
    <cellStyle name="SAPBEXheaderItem 9 3" xfId="11406" xr:uid="{DB83A477-402C-406B-95EB-48183289C7B4}"/>
    <cellStyle name="SAPBEXheaderItem 9 3 2" xfId="22912" xr:uid="{53CF338E-5C09-4ADF-B7FE-054D23E65959}"/>
    <cellStyle name="SAPBEXheaderItem 9 4" xfId="11407" xr:uid="{FECD830A-6743-435C-9A1E-8A59B2646A57}"/>
    <cellStyle name="SAPBEXheaderItem 9 4 2" xfId="22913" xr:uid="{755F0E75-3D49-4B82-8E85-31F49F7307D2}"/>
    <cellStyle name="SAPBEXheaderItem 9 5" xfId="11408" xr:uid="{B1C6C222-8C80-4F84-A92C-40A351A08BEE}"/>
    <cellStyle name="SAPBEXheaderItem 9 5 2" xfId="22914" xr:uid="{682E9C57-F982-49A4-99FC-D23D5965591B}"/>
    <cellStyle name="SAPBEXheaderItem 9 6" xfId="11409" xr:uid="{88C175FF-FDDB-4B9C-87C4-4311C215AFD8}"/>
    <cellStyle name="SAPBEXheaderItem 9 6 2" xfId="22915" xr:uid="{B4064E67-2582-4BE2-BB2F-D8F52CF18CB1}"/>
    <cellStyle name="SAPBEXheaderItem 9 7" xfId="22906" xr:uid="{2EF96F40-8323-4968-A5A0-3B60FB9BC94A}"/>
    <cellStyle name="SAPBEXheaderItem_KTR An-Abflug" xfId="14904" xr:uid="{6D8E2EB0-39E2-4760-AE43-7C824CA50C11}"/>
    <cellStyle name="SAPBEXheaderText" xfId="11410" xr:uid="{8AF8B1E5-10A9-4B76-B8A2-03AEC496B5BA}"/>
    <cellStyle name="SAPBEXheaderText 10" xfId="11411" xr:uid="{4AEBE0D1-6C42-4C16-AA2A-E5234BD1975F}"/>
    <cellStyle name="SAPBEXheaderText 10 2" xfId="11412" xr:uid="{0A100798-F706-443C-AE14-FD081F66FC5C}"/>
    <cellStyle name="SAPBEXheaderText 10 2 2" xfId="11413" xr:uid="{39D385D8-A457-4CF7-90C1-797517EB559D}"/>
    <cellStyle name="SAPBEXheaderText 10 2 2 2" xfId="22918" xr:uid="{CE7A652A-B387-425D-8E51-794703332E6C}"/>
    <cellStyle name="SAPBEXheaderText 10 2 3" xfId="11414" xr:uid="{E003D646-4489-4BB1-8700-4F2FCA26EF33}"/>
    <cellStyle name="SAPBEXheaderText 10 2 3 2" xfId="22919" xr:uid="{10E7735E-29A4-4702-AA21-CB207FBA1567}"/>
    <cellStyle name="SAPBEXheaderText 10 2 4" xfId="11415" xr:uid="{7628D806-87AF-4F6E-BAA4-444D70EB34D9}"/>
    <cellStyle name="SAPBEXheaderText 10 2 4 2" xfId="22920" xr:uid="{D13F6AD3-76D2-403D-88E4-1C2BCB41E34F}"/>
    <cellStyle name="SAPBEXheaderText 10 2 5" xfId="11416" xr:uid="{402FD646-334A-4797-A8F6-75D429DE9370}"/>
    <cellStyle name="SAPBEXheaderText 10 2 5 2" xfId="22921" xr:uid="{755A0078-4C03-4A4B-BBA4-C4ECE8A42088}"/>
    <cellStyle name="SAPBEXheaderText 10 2 6" xfId="22917" xr:uid="{6D792E3D-8EDA-47AF-AFE5-9E484C35F1F6}"/>
    <cellStyle name="SAPBEXheaderText 10 3" xfId="11417" xr:uid="{E4CCDBD0-934F-4DD5-B79C-FF4855DE965C}"/>
    <cellStyle name="SAPBEXheaderText 10 3 2" xfId="22922" xr:uid="{FD601D0F-7552-41BA-9680-D90A1037F0AE}"/>
    <cellStyle name="SAPBEXheaderText 10 4" xfId="11418" xr:uid="{9294BD1E-4D00-4835-B9A4-617AF364CA22}"/>
    <cellStyle name="SAPBEXheaderText 10 4 2" xfId="22923" xr:uid="{2258ED5D-FCB8-45CD-8D71-E478B1F12A57}"/>
    <cellStyle name="SAPBEXheaderText 10 5" xfId="11419" xr:uid="{4A8CF1F5-903E-4DDD-A647-28658D8B51CD}"/>
    <cellStyle name="SAPBEXheaderText 10 5 2" xfId="22924" xr:uid="{42A9971D-1294-48F5-9C23-4837D8482E36}"/>
    <cellStyle name="SAPBEXheaderText 10 6" xfId="11420" xr:uid="{ABCFA2B9-6F57-4421-B4FE-56D1676FE320}"/>
    <cellStyle name="SAPBEXheaderText 10 6 2" xfId="22925" xr:uid="{A05BFE78-2264-4CE2-AF77-D2EF58FD0532}"/>
    <cellStyle name="SAPBEXheaderText 10 7" xfId="22916" xr:uid="{B5C37F65-57B4-4184-9F21-14BC3172345F}"/>
    <cellStyle name="SAPBEXheaderText 11" xfId="11421" xr:uid="{453AE2F0-988C-49C5-B5E0-F7EBC0B08767}"/>
    <cellStyle name="SAPBEXheaderText 11 2" xfId="11422" xr:uid="{EB75373B-C937-4FE3-BAE0-8DFDFF7B0976}"/>
    <cellStyle name="SAPBEXheaderText 11 2 2" xfId="11423" xr:uid="{81C6E1D2-23A0-410A-92C0-DF4E6D0C1584}"/>
    <cellStyle name="SAPBEXheaderText 11 2 2 2" xfId="22928" xr:uid="{500BFF2E-2A5E-408D-9201-AF736D76853C}"/>
    <cellStyle name="SAPBEXheaderText 11 2 3" xfId="11424" xr:uid="{82BC1DBD-6B1B-4B7C-B286-5D76D6466739}"/>
    <cellStyle name="SAPBEXheaderText 11 2 3 2" xfId="22929" xr:uid="{C5C174F8-9318-485E-90DF-224F1E21C93C}"/>
    <cellStyle name="SAPBEXheaderText 11 2 4" xfId="11425" xr:uid="{2462CF28-7E00-47EB-A8FC-6C04544CB282}"/>
    <cellStyle name="SAPBEXheaderText 11 2 4 2" xfId="22930" xr:uid="{87ED78B7-F380-413C-AD50-5DB0EF308AA1}"/>
    <cellStyle name="SAPBEXheaderText 11 2 5" xfId="11426" xr:uid="{B97B04D3-B114-4452-8D81-0E1A4720C3B7}"/>
    <cellStyle name="SAPBEXheaderText 11 2 5 2" xfId="22931" xr:uid="{AE01A012-404C-49EB-B51A-0F1CBBD7C177}"/>
    <cellStyle name="SAPBEXheaderText 11 2 6" xfId="22927" xr:uid="{B5D4E7F9-0B09-4150-890D-358E134458F2}"/>
    <cellStyle name="SAPBEXheaderText 11 3" xfId="11427" xr:uid="{42F14F62-D050-4B29-8B0B-82EC7E6FE4C8}"/>
    <cellStyle name="SAPBEXheaderText 11 3 2" xfId="22932" xr:uid="{EC580C17-0975-49F2-9048-309F3773334D}"/>
    <cellStyle name="SAPBEXheaderText 11 4" xfId="11428" xr:uid="{0386115F-76BD-4370-8003-19496AA3BA91}"/>
    <cellStyle name="SAPBEXheaderText 11 4 2" xfId="22933" xr:uid="{FDB6F88E-D193-45F8-A4C5-7572E634FD3B}"/>
    <cellStyle name="SAPBEXheaderText 11 5" xfId="11429" xr:uid="{B47A904D-B92A-4EE8-9738-0B13D3055275}"/>
    <cellStyle name="SAPBEXheaderText 11 5 2" xfId="22934" xr:uid="{5891ED63-4E7A-4A36-B990-72E2A718742E}"/>
    <cellStyle name="SAPBEXheaderText 11 6" xfId="11430" xr:uid="{160A7D75-B3DB-4BD0-B289-13A9CF6E9083}"/>
    <cellStyle name="SAPBEXheaderText 11 6 2" xfId="22935" xr:uid="{2C166FEC-4471-4381-B549-723B8DC37822}"/>
    <cellStyle name="SAPBEXheaderText 11 7" xfId="22926" xr:uid="{580087B1-A2D1-4D46-9F40-BE93199D4B7D}"/>
    <cellStyle name="SAPBEXheaderText 12" xfId="11431" xr:uid="{168D0296-3382-429C-967D-22B8181AE2BE}"/>
    <cellStyle name="SAPBEXheaderText 12 2" xfId="11432" xr:uid="{F5F4CCAE-95BD-4738-B866-788D347A6964}"/>
    <cellStyle name="SAPBEXheaderText 12 2 2" xfId="11433" xr:uid="{5B150AD3-6EF6-4421-9773-92C3354F827A}"/>
    <cellStyle name="SAPBEXheaderText 12 2 2 2" xfId="22938" xr:uid="{171A7315-2E3B-49B5-852B-9067D67F57C0}"/>
    <cellStyle name="SAPBEXheaderText 12 2 3" xfId="11434" xr:uid="{A6F921CD-3B47-40A9-B184-C1A768993FF3}"/>
    <cellStyle name="SAPBEXheaderText 12 2 3 2" xfId="22939" xr:uid="{5D11EB01-DD2B-44C7-AAD7-C9C2C308DA3E}"/>
    <cellStyle name="SAPBEXheaderText 12 2 4" xfId="11435" xr:uid="{B47B2AE1-E71B-4278-820B-1EB21147BCDB}"/>
    <cellStyle name="SAPBEXheaderText 12 2 4 2" xfId="22940" xr:uid="{56628570-D95D-4DE4-9514-0AB536F07A6D}"/>
    <cellStyle name="SAPBEXheaderText 12 2 5" xfId="11436" xr:uid="{06209AFE-3F16-43ED-9952-4DC6A4A55E9F}"/>
    <cellStyle name="SAPBEXheaderText 12 2 5 2" xfId="22941" xr:uid="{A0CAE89B-7F64-456C-A036-B1B0B3F4AEF1}"/>
    <cellStyle name="SAPBEXheaderText 12 2 6" xfId="22937" xr:uid="{97604C22-F86C-4ADE-8D63-ED8DE968CB0F}"/>
    <cellStyle name="SAPBEXheaderText 12 3" xfId="11437" xr:uid="{5FB8DB7F-E4E4-45BB-8DDB-E9FCAA7E5A1B}"/>
    <cellStyle name="SAPBEXheaderText 12 3 2" xfId="22942" xr:uid="{9BA8799E-3BEE-46E0-817F-1F4080356D95}"/>
    <cellStyle name="SAPBEXheaderText 12 4" xfId="11438" xr:uid="{DCE5BC00-1069-4798-B19B-D954F154DBB2}"/>
    <cellStyle name="SAPBEXheaderText 12 4 2" xfId="22943" xr:uid="{B65C99F3-9862-49E0-AE04-1D058DE2FDE6}"/>
    <cellStyle name="SAPBEXheaderText 12 5" xfId="11439" xr:uid="{079FF9B6-73E9-4C2B-B846-5BF5BF82F68D}"/>
    <cellStyle name="SAPBEXheaderText 12 5 2" xfId="22944" xr:uid="{EFE9C8AC-2B3C-46C0-AD8E-8E73CA40182F}"/>
    <cellStyle name="SAPBEXheaderText 12 6" xfId="11440" xr:uid="{0CDC3CCD-FD6C-4B40-AE0A-3E214D723BA7}"/>
    <cellStyle name="SAPBEXheaderText 12 6 2" xfId="22945" xr:uid="{FA179D75-70AC-4740-B01D-40FC2D89340E}"/>
    <cellStyle name="SAPBEXheaderText 12 7" xfId="22936" xr:uid="{06D1E335-E6F7-4A74-A016-FB3D58C02C6B}"/>
    <cellStyle name="SAPBEXheaderText 13" xfId="11441" xr:uid="{F9041776-8C97-41A0-8BEC-CBBF30519E9B}"/>
    <cellStyle name="SAPBEXheaderText 13 2" xfId="11442" xr:uid="{FCD1AB88-9155-42A0-ADF1-BC5529B8BF84}"/>
    <cellStyle name="SAPBEXheaderText 13 2 2" xfId="11443" xr:uid="{AA413F19-9855-45A6-BF1C-9B7ECDDBAA3B}"/>
    <cellStyle name="SAPBEXheaderText 13 2 2 2" xfId="22948" xr:uid="{BD70BB90-933D-4233-8266-855414FAEDB7}"/>
    <cellStyle name="SAPBEXheaderText 13 2 3" xfId="11444" xr:uid="{CD4C2B41-237F-4851-9A29-0C3599EA53F1}"/>
    <cellStyle name="SAPBEXheaderText 13 2 3 2" xfId="22949" xr:uid="{5727DF5C-E8B6-48DA-AF88-862F166B9CC5}"/>
    <cellStyle name="SAPBEXheaderText 13 2 4" xfId="11445" xr:uid="{5FA3DB87-3293-4C86-A70F-B42AFEA2AAF9}"/>
    <cellStyle name="SAPBEXheaderText 13 2 4 2" xfId="22950" xr:uid="{CCB2AAC8-D249-405C-8F62-C02DF523B720}"/>
    <cellStyle name="SAPBEXheaderText 13 2 5" xfId="11446" xr:uid="{F02ADA98-5DC8-48F9-8AED-A729F791048F}"/>
    <cellStyle name="SAPBEXheaderText 13 2 5 2" xfId="22951" xr:uid="{DD5C536E-DC67-4D4D-9333-361B14859DB1}"/>
    <cellStyle name="SAPBEXheaderText 13 2 6" xfId="22947" xr:uid="{0DDA00D5-229B-44BB-B4AE-2B7EB9BFD6E2}"/>
    <cellStyle name="SAPBEXheaderText 13 3" xfId="11447" xr:uid="{73124BC4-2157-45A1-9244-2B25DDB9750A}"/>
    <cellStyle name="SAPBEXheaderText 13 3 2" xfId="22952" xr:uid="{4ACD227E-3845-4C9E-8B48-1348869E0BE8}"/>
    <cellStyle name="SAPBEXheaderText 13 4" xfId="11448" xr:uid="{D55DA4BB-C592-42AE-96D1-D2D46A1858FC}"/>
    <cellStyle name="SAPBEXheaderText 13 4 2" xfId="22953" xr:uid="{E77A301F-99A9-4387-8CCD-FA4773336246}"/>
    <cellStyle name="SAPBEXheaderText 13 5" xfId="11449" xr:uid="{9231D717-43E3-4AB7-AAA5-431F018E1047}"/>
    <cellStyle name="SAPBEXheaderText 13 5 2" xfId="22954" xr:uid="{12CAEEBB-9EB7-43E8-B16B-F7B054BC1A93}"/>
    <cellStyle name="SAPBEXheaderText 13 6" xfId="11450" xr:uid="{B1554A42-E2C4-4054-83BB-17840F3479F7}"/>
    <cellStyle name="SAPBEXheaderText 13 6 2" xfId="22955" xr:uid="{C89F0CE6-5A9A-4DF4-AB28-E846FB3B1A14}"/>
    <cellStyle name="SAPBEXheaderText 13 7" xfId="22946" xr:uid="{23002375-0064-4D68-88EE-5882CA91FA92}"/>
    <cellStyle name="SAPBEXheaderText 14" xfId="11451" xr:uid="{ACF5C47B-EA60-4A73-9849-35619EC494C5}"/>
    <cellStyle name="SAPBEXheaderText 14 2" xfId="11452" xr:uid="{024C1EDE-08EA-4BCD-B87A-2F514349C6C9}"/>
    <cellStyle name="SAPBEXheaderText 14 2 2" xfId="11453" xr:uid="{1460115D-02C3-4CF1-AB12-EE61ECBF5F16}"/>
    <cellStyle name="SAPBEXheaderText 14 2 2 2" xfId="22958" xr:uid="{216A89D2-D246-4C8A-99D1-59F8F22861F5}"/>
    <cellStyle name="SAPBEXheaderText 14 2 3" xfId="11454" xr:uid="{9EDAB35A-3525-4E29-96B2-098C50B55816}"/>
    <cellStyle name="SAPBEXheaderText 14 2 3 2" xfId="22959" xr:uid="{58E6E264-9A05-4435-ABF7-1407FC48CF92}"/>
    <cellStyle name="SAPBEXheaderText 14 2 4" xfId="11455" xr:uid="{1A447BAA-EDC4-46EB-82ED-38001A3A9F15}"/>
    <cellStyle name="SAPBEXheaderText 14 2 4 2" xfId="22960" xr:uid="{CBA57FCF-2E0C-4AC6-9374-B3E2A99073C8}"/>
    <cellStyle name="SAPBEXheaderText 14 2 5" xfId="11456" xr:uid="{C18F9313-14D5-4168-A3A5-E3B2451CDCCF}"/>
    <cellStyle name="SAPBEXheaderText 14 2 5 2" xfId="22961" xr:uid="{26C8175F-4285-40A2-ACF8-6B49DF683734}"/>
    <cellStyle name="SAPBEXheaderText 14 2 6" xfId="22957" xr:uid="{9E480D0E-61A2-4192-83CC-E7E4F4CD0B8A}"/>
    <cellStyle name="SAPBEXheaderText 14 3" xfId="11457" xr:uid="{AE087D17-DCD9-4DBD-B1D7-C9ACBF2DC574}"/>
    <cellStyle name="SAPBEXheaderText 14 3 2" xfId="22962" xr:uid="{EECA5679-482C-4973-9900-8143368D4BA8}"/>
    <cellStyle name="SAPBEXheaderText 14 4" xfId="11458" xr:uid="{D345FEB4-4245-4C24-9D74-C3C3E1620D50}"/>
    <cellStyle name="SAPBEXheaderText 14 4 2" xfId="22963" xr:uid="{A7964155-4882-4244-B4D5-205D682A013E}"/>
    <cellStyle name="SAPBEXheaderText 14 5" xfId="11459" xr:uid="{CC4F7988-EB31-42CC-B4DF-CF8971B93F62}"/>
    <cellStyle name="SAPBEXheaderText 14 5 2" xfId="22964" xr:uid="{E3B6FB05-F301-48FD-8C6A-ACA64C35194C}"/>
    <cellStyle name="SAPBEXheaderText 14 6" xfId="11460" xr:uid="{3A459F5C-B230-4E56-BAD9-E5DA6F3710BE}"/>
    <cellStyle name="SAPBEXheaderText 14 6 2" xfId="22965" xr:uid="{101A09BD-89EB-4621-BDE4-62E6396C4D46}"/>
    <cellStyle name="SAPBEXheaderText 14 7" xfId="22956" xr:uid="{C96B8B82-58FC-4C29-9DBB-F2D506700181}"/>
    <cellStyle name="SAPBEXheaderText 15" xfId="11461" xr:uid="{10F420EF-D5EA-4383-B506-0A35D1E95700}"/>
    <cellStyle name="SAPBEXheaderText 15 2" xfId="11462" xr:uid="{7F0F714B-AC3C-47A4-B70F-6119E1DD8EE4}"/>
    <cellStyle name="SAPBEXheaderText 15 2 2" xfId="11463" xr:uid="{FA93B8A6-91A5-452F-B6A1-B01C9225291A}"/>
    <cellStyle name="SAPBEXheaderText 15 2 2 2" xfId="22968" xr:uid="{B9459B2D-6721-49AB-A53D-9A4BA23F139F}"/>
    <cellStyle name="SAPBEXheaderText 15 2 3" xfId="11464" xr:uid="{AEE1AFE4-289C-4912-9010-8E53C0E9F867}"/>
    <cellStyle name="SAPBEXheaderText 15 2 3 2" xfId="22969" xr:uid="{628A1C53-0041-4092-BEAB-79B51969A689}"/>
    <cellStyle name="SAPBEXheaderText 15 2 4" xfId="11465" xr:uid="{F65F27DF-4933-4F86-B36A-386FC5054A0B}"/>
    <cellStyle name="SAPBEXheaderText 15 2 4 2" xfId="22970" xr:uid="{E266887B-6738-464E-B26C-CF8F08A7CD4E}"/>
    <cellStyle name="SAPBEXheaderText 15 2 5" xfId="11466" xr:uid="{54CAB480-F2A8-48B1-9357-13949BA457F3}"/>
    <cellStyle name="SAPBEXheaderText 15 2 5 2" xfId="22971" xr:uid="{B01FA6B8-55DB-46A2-B010-9FDB2CC8714F}"/>
    <cellStyle name="SAPBEXheaderText 15 2 6" xfId="22967" xr:uid="{7799DB06-2FFE-4BF5-B56E-0B67E09263D8}"/>
    <cellStyle name="SAPBEXheaderText 15 3" xfId="11467" xr:uid="{21267418-01F0-4E84-A120-BA38F7C2F47F}"/>
    <cellStyle name="SAPBEXheaderText 15 3 2" xfId="22972" xr:uid="{2BB9CF40-079E-4B2A-9627-4ED315076926}"/>
    <cellStyle name="SAPBEXheaderText 15 4" xfId="11468" xr:uid="{3399231F-7E7D-4AFB-B4B3-B3045B4CE9DB}"/>
    <cellStyle name="SAPBEXheaderText 15 4 2" xfId="22973" xr:uid="{4E548093-501E-440A-B6B0-4B4864B9FE92}"/>
    <cellStyle name="SAPBEXheaderText 15 5" xfId="11469" xr:uid="{6B1EC75D-6140-4582-B463-A6358471CC32}"/>
    <cellStyle name="SAPBEXheaderText 15 5 2" xfId="22974" xr:uid="{3DA007EA-228C-4DFF-B438-FC4BC26A2CD2}"/>
    <cellStyle name="SAPBEXheaderText 15 6" xfId="11470" xr:uid="{C0A87F35-6E9E-4788-85DD-6C2B2D47401D}"/>
    <cellStyle name="SAPBEXheaderText 15 6 2" xfId="22975" xr:uid="{4F2644DD-1D28-4ACC-96BE-F024703DDD10}"/>
    <cellStyle name="SAPBEXheaderText 15 7" xfId="22966" xr:uid="{5B1BEAEE-C9AF-415E-AAF8-51DEC083781C}"/>
    <cellStyle name="SAPBEXheaderText 16" xfId="11471" xr:uid="{4FE80936-DB18-4ABC-B539-C89B69DCA229}"/>
    <cellStyle name="SAPBEXheaderText 16 2" xfId="22976" xr:uid="{D8922120-8EC4-4064-95FB-579B229EF7F3}"/>
    <cellStyle name="SAPBEXheaderText 17" xfId="11472" xr:uid="{744567E5-011C-4A1C-97CA-683CCAF451B4}"/>
    <cellStyle name="SAPBEXheaderText 17 2" xfId="22977" xr:uid="{DCFBE8BB-6D3D-4BE0-AE23-76DC7738EA4F}"/>
    <cellStyle name="SAPBEXheaderText 18" xfId="11473" xr:uid="{A532AA49-A36B-43C8-88D9-293FBE1BA9FB}"/>
    <cellStyle name="SAPBEXheaderText 18 2" xfId="22978" xr:uid="{541DF895-70A4-4D0B-99A9-CBC07261E12D}"/>
    <cellStyle name="SAPBEXheaderText 19" xfId="11474" xr:uid="{71699BCD-A126-4FAC-89A1-D663B8F99B87}"/>
    <cellStyle name="SAPBEXheaderText 19 2" xfId="22979" xr:uid="{340ED659-17C8-4775-8C12-588C2D54C586}"/>
    <cellStyle name="SAPBEXheaderText 2" xfId="11475" xr:uid="{028515BA-FE9A-4978-9B96-4EDDEA958418}"/>
    <cellStyle name="SAPBEXheaderText 2 2" xfId="11476" xr:uid="{74568493-E3A1-404D-B8BD-77247EEE8DE5}"/>
    <cellStyle name="SAPBEXheaderText 2 2 2" xfId="11477" xr:uid="{645A894C-E720-47D7-91E4-24ADEBD2D883}"/>
    <cellStyle name="SAPBEXheaderText 2 2 2 2" xfId="22982" xr:uid="{43BDDBF4-FB70-4C61-B4AC-8730113BB8AB}"/>
    <cellStyle name="SAPBEXheaderText 2 2 3" xfId="11478" xr:uid="{7E6340E6-A1FE-42B1-AFFD-9F6B663F3EE6}"/>
    <cellStyle name="SAPBEXheaderText 2 2 3 2" xfId="22983" xr:uid="{5B677666-7184-4FDB-9943-63321CE26C7C}"/>
    <cellStyle name="SAPBEXheaderText 2 2 4" xfId="11479" xr:uid="{1780EE1C-F3D3-40C3-A6E6-BF9D6439E848}"/>
    <cellStyle name="SAPBEXheaderText 2 2 4 2" xfId="22984" xr:uid="{21430646-2039-422C-B692-2BC3CBA36B7D}"/>
    <cellStyle name="SAPBEXheaderText 2 2 5" xfId="11480" xr:uid="{09C7A796-E7DC-41B6-A2BE-E756E1147D36}"/>
    <cellStyle name="SAPBEXheaderText 2 2 5 2" xfId="22985" xr:uid="{D31E1E83-D6F1-4374-BCBC-B83E834534FF}"/>
    <cellStyle name="SAPBEXheaderText 2 2 6" xfId="22981" xr:uid="{836FD03A-7D8F-48C3-9FAB-2E9D340E9894}"/>
    <cellStyle name="SAPBEXheaderText 2 3" xfId="11481" xr:uid="{A9F5BA6A-A372-45B6-A1CC-8748281E2BCE}"/>
    <cellStyle name="SAPBEXheaderText 2 3 2" xfId="22986" xr:uid="{01345EC7-3157-49DF-AB49-05D15479A7CF}"/>
    <cellStyle name="SAPBEXheaderText 2 4" xfId="11482" xr:uid="{4B5279A4-AAD2-4B41-BE1E-F09780E1A18E}"/>
    <cellStyle name="SAPBEXheaderText 2 4 2" xfId="22987" xr:uid="{E5DD57CA-3FE2-4BAB-BDBB-314EF94D090E}"/>
    <cellStyle name="SAPBEXheaderText 2 5" xfId="11483" xr:uid="{A21550D6-F1F5-418A-9C38-9B36D3A0C4A2}"/>
    <cellStyle name="SAPBEXheaderText 2 5 2" xfId="22988" xr:uid="{DF95131A-583D-48C6-9219-7550EB0DCF45}"/>
    <cellStyle name="SAPBEXheaderText 2 6" xfId="11484" xr:uid="{84D84024-BC04-4579-9C35-2456FB62294C}"/>
    <cellStyle name="SAPBEXheaderText 2 6 2" xfId="22989" xr:uid="{D5D8A3D8-AD13-491D-BCB2-0F7E57051897}"/>
    <cellStyle name="SAPBEXheaderText 2 7" xfId="22980" xr:uid="{B2E8FC1B-6370-460A-AFBA-61C17ABD3272}"/>
    <cellStyle name="SAPBEXheaderText 20" xfId="15179" xr:uid="{2C39A199-FC4C-47CE-8618-11E085D4E91B}"/>
    <cellStyle name="SAPBEXheaderText 3" xfId="11485" xr:uid="{FB4E462A-B8A9-48D0-A063-068B62F5C9BF}"/>
    <cellStyle name="SAPBEXheaderText 3 2" xfId="11486" xr:uid="{5C37DB8C-27C6-4CA5-8065-51A8CB09DD21}"/>
    <cellStyle name="SAPBEXheaderText 3 2 2" xfId="11487" xr:uid="{14929C4C-ACCB-4EBB-9FBA-2E6F933E306A}"/>
    <cellStyle name="SAPBEXheaderText 3 2 2 2" xfId="22992" xr:uid="{BB11B6ED-EC28-4C49-AE38-3C0EF88BC8D7}"/>
    <cellStyle name="SAPBEXheaderText 3 2 3" xfId="11488" xr:uid="{9992E767-F1BD-4B1B-A65D-736FD98E547A}"/>
    <cellStyle name="SAPBEXheaderText 3 2 3 2" xfId="22993" xr:uid="{5BC259F8-842E-475E-8F62-AE9D30F54BF3}"/>
    <cellStyle name="SAPBEXheaderText 3 2 4" xfId="11489" xr:uid="{11FE06EF-7B3F-4C0B-AB2B-FD592303FC43}"/>
    <cellStyle name="SAPBEXheaderText 3 2 4 2" xfId="22994" xr:uid="{1397E53E-39BE-41CB-8388-5BB036BEBE8A}"/>
    <cellStyle name="SAPBEXheaderText 3 2 5" xfId="11490" xr:uid="{9CE79F61-01B8-4905-8D5A-42943A897125}"/>
    <cellStyle name="SAPBEXheaderText 3 2 5 2" xfId="22995" xr:uid="{47EA1B08-AB58-4B9F-8C78-8B61D162AAC1}"/>
    <cellStyle name="SAPBEXheaderText 3 2 6" xfId="22991" xr:uid="{9306355C-134A-4A86-BC15-C13DE43EC069}"/>
    <cellStyle name="SAPBEXheaderText 3 3" xfId="11491" xr:uid="{4BCDED84-3CFA-4D76-AEAD-F2030BE08F37}"/>
    <cellStyle name="SAPBEXheaderText 3 3 2" xfId="22996" xr:uid="{9C62250D-6740-4CBB-BBA5-3C18DE67CB91}"/>
    <cellStyle name="SAPBEXheaderText 3 4" xfId="11492" xr:uid="{95E8E38B-9E9F-404B-BA45-EC5EE8BF3CD2}"/>
    <cellStyle name="SAPBEXheaderText 3 4 2" xfId="22997" xr:uid="{46B91E1A-A8D7-4A86-8659-EE7B3AF95638}"/>
    <cellStyle name="SAPBEXheaderText 3 5" xfId="11493" xr:uid="{CA749E42-C90E-4D88-A455-1BB45C18BA82}"/>
    <cellStyle name="SAPBEXheaderText 3 5 2" xfId="22998" xr:uid="{9F67812B-F150-4FF9-BF99-F6D27BC31216}"/>
    <cellStyle name="SAPBEXheaderText 3 6" xfId="11494" xr:uid="{CFE38F0B-3E5B-4418-AE3D-75D40E5BBF2A}"/>
    <cellStyle name="SAPBEXheaderText 3 6 2" xfId="22999" xr:uid="{AEB7E914-BF31-43A9-AEFA-4213E3E05685}"/>
    <cellStyle name="SAPBEXheaderText 3 7" xfId="22990" xr:uid="{38A416DC-7672-4D7E-A83F-EE872EECCEC8}"/>
    <cellStyle name="SAPBEXheaderText 4" xfId="11495" xr:uid="{D27E9D18-971F-4131-AC73-E36EC85BFE57}"/>
    <cellStyle name="SAPBEXheaderText 4 2" xfId="11496" xr:uid="{466045FB-837D-4526-91F9-E7F45D57A9E3}"/>
    <cellStyle name="SAPBEXheaderText 4 2 2" xfId="11497" xr:uid="{CB364C1A-A83F-4175-A927-3A58481AB7B0}"/>
    <cellStyle name="SAPBEXheaderText 4 2 2 2" xfId="23002" xr:uid="{99007958-52ED-4751-8582-55604977BF1F}"/>
    <cellStyle name="SAPBEXheaderText 4 2 3" xfId="11498" xr:uid="{CEB9CB7F-C859-47C4-A369-4A372FA51F42}"/>
    <cellStyle name="SAPBEXheaderText 4 2 3 2" xfId="23003" xr:uid="{32E290F9-F1C4-42AF-BB1F-C7B3DFE5B02A}"/>
    <cellStyle name="SAPBEXheaderText 4 2 4" xfId="11499" xr:uid="{BF898C6B-EC9C-4E54-BE8F-0E1A9A233C00}"/>
    <cellStyle name="SAPBEXheaderText 4 2 4 2" xfId="23004" xr:uid="{9853C720-35CF-41F7-948C-3A10DA43D6C5}"/>
    <cellStyle name="SAPBEXheaderText 4 2 5" xfId="11500" xr:uid="{E3938373-2017-4DA7-8C75-DC666BB25874}"/>
    <cellStyle name="SAPBEXheaderText 4 2 5 2" xfId="23005" xr:uid="{7B4B2364-4126-47AE-B7F3-FF1B4388DA94}"/>
    <cellStyle name="SAPBEXheaderText 4 2 6" xfId="23001" xr:uid="{624EB8D4-E3CC-4CF9-9940-2916EB7ED39A}"/>
    <cellStyle name="SAPBEXheaderText 4 3" xfId="11501" xr:uid="{1D75E0E3-B506-4CB5-BFA4-CA63281E8BA9}"/>
    <cellStyle name="SAPBEXheaderText 4 3 2" xfId="23006" xr:uid="{90E69356-5479-47B3-AF87-31718BEC388C}"/>
    <cellStyle name="SAPBEXheaderText 4 4" xfId="11502" xr:uid="{63F2DCC8-2B33-4805-B1D4-846231F08CDF}"/>
    <cellStyle name="SAPBEXheaderText 4 4 2" xfId="23007" xr:uid="{FC8B7BA0-7E5C-463B-A468-74B9BD500D77}"/>
    <cellStyle name="SAPBEXheaderText 4 5" xfId="11503" xr:uid="{CA9E8383-F3C3-45A3-8283-9FCB6E64EEF3}"/>
    <cellStyle name="SAPBEXheaderText 4 5 2" xfId="23008" xr:uid="{5D4F9F6F-DD88-44F1-87D5-F752BD3F1D3D}"/>
    <cellStyle name="SAPBEXheaderText 4 6" xfId="11504" xr:uid="{135B1E12-33EF-4A8A-B0BD-19402B4F037C}"/>
    <cellStyle name="SAPBEXheaderText 4 6 2" xfId="23009" xr:uid="{A289E447-1EF0-4037-9714-247C994226FA}"/>
    <cellStyle name="SAPBEXheaderText 4 7" xfId="23000" xr:uid="{7D6A8E0C-2A38-40F8-91AE-2A183DFA66A0}"/>
    <cellStyle name="SAPBEXheaderText 5" xfId="11505" xr:uid="{17F3C1E8-54CE-4830-887C-51BDDB24D4F1}"/>
    <cellStyle name="SAPBEXheaderText 5 2" xfId="11506" xr:uid="{80ACF800-B8ED-451A-A83E-F9F43076D1D9}"/>
    <cellStyle name="SAPBEXheaderText 5 2 2" xfId="11507" xr:uid="{F93C7647-CD2E-44BE-8DFE-70D197A96D99}"/>
    <cellStyle name="SAPBEXheaderText 5 2 2 2" xfId="23012" xr:uid="{1B52FE52-065A-4DDF-BCE7-B8D1223E5193}"/>
    <cellStyle name="SAPBEXheaderText 5 2 3" xfId="11508" xr:uid="{8E3FC5C5-8215-4F59-AB31-0856EA4BEC3B}"/>
    <cellStyle name="SAPBEXheaderText 5 2 3 2" xfId="23013" xr:uid="{6BF67C61-4099-4031-B4EA-B39F87E61620}"/>
    <cellStyle name="SAPBEXheaderText 5 2 4" xfId="11509" xr:uid="{550D860E-53A9-4505-8AEE-8E619151900D}"/>
    <cellStyle name="SAPBEXheaderText 5 2 4 2" xfId="23014" xr:uid="{3D03248E-FF76-4199-A558-233076233F17}"/>
    <cellStyle name="SAPBEXheaderText 5 2 5" xfId="11510" xr:uid="{30457CD0-79C5-4765-8AEF-8431B84DD787}"/>
    <cellStyle name="SAPBEXheaderText 5 2 5 2" xfId="23015" xr:uid="{B5F7EB6A-873C-407B-8F0C-337C9949CB3F}"/>
    <cellStyle name="SAPBEXheaderText 5 2 6" xfId="23011" xr:uid="{D2469F78-6064-4BFF-B6B3-35E5735A6B75}"/>
    <cellStyle name="SAPBEXheaderText 5 3" xfId="11511" xr:uid="{9B49449D-D29F-4901-A8EA-F329DA832BE7}"/>
    <cellStyle name="SAPBEXheaderText 5 3 2" xfId="23016" xr:uid="{5416869A-5273-4A7B-A8E8-2F703E8353FD}"/>
    <cellStyle name="SAPBEXheaderText 5 4" xfId="11512" xr:uid="{FD3A5CE2-E248-4A43-A141-CD29EE021852}"/>
    <cellStyle name="SAPBEXheaderText 5 4 2" xfId="23017" xr:uid="{8A32BE84-0253-4A7C-AFEE-6C4D331A47E6}"/>
    <cellStyle name="SAPBEXheaderText 5 5" xfId="11513" xr:uid="{56F39A85-080E-4F7E-9FAE-BEC81B7BD518}"/>
    <cellStyle name="SAPBEXheaderText 5 5 2" xfId="23018" xr:uid="{202F655A-B2FE-4733-8050-26B109C2AA26}"/>
    <cellStyle name="SAPBEXheaderText 5 6" xfId="11514" xr:uid="{405C981B-6483-4EEA-81DE-90ABEB886453}"/>
    <cellStyle name="SAPBEXheaderText 5 6 2" xfId="23019" xr:uid="{C0229064-EFA3-4AF1-A461-895D8EF826D9}"/>
    <cellStyle name="SAPBEXheaderText 5 7" xfId="23010" xr:uid="{2A227E52-906C-4E3E-9F6B-C8BC53DDDAC4}"/>
    <cellStyle name="SAPBEXheaderText 6" xfId="11515" xr:uid="{FE6216A3-DE96-4C10-A67E-0A406BDF7D0E}"/>
    <cellStyle name="SAPBEXheaderText 6 2" xfId="11516" xr:uid="{D814AA95-03D0-47C9-9A25-94656E933CE5}"/>
    <cellStyle name="SAPBEXheaderText 6 2 2" xfId="11517" xr:uid="{7166AC50-4764-434A-901F-F493CC724C9F}"/>
    <cellStyle name="SAPBEXheaderText 6 2 2 2" xfId="23022" xr:uid="{EF49D0A7-3B6A-4EF8-AA74-A2905760C780}"/>
    <cellStyle name="SAPBEXheaderText 6 2 3" xfId="11518" xr:uid="{1B0CFBF0-A47E-4904-A1D4-5B4583654C2F}"/>
    <cellStyle name="SAPBEXheaderText 6 2 3 2" xfId="23023" xr:uid="{4886B45A-02DC-492B-89EE-4140C9CED722}"/>
    <cellStyle name="SAPBEXheaderText 6 2 4" xfId="23021" xr:uid="{FB47891D-1402-4306-B681-9E1F03B94C26}"/>
    <cellStyle name="SAPBEXheaderText 6 3" xfId="11519" xr:uid="{23C8A6CE-D01A-4CC8-803B-0B531A0942D7}"/>
    <cellStyle name="SAPBEXheaderText 6 3 2" xfId="23024" xr:uid="{C23E498C-3F95-4E86-BEF5-82B43621CADC}"/>
    <cellStyle name="SAPBEXheaderText 6 4" xfId="11520" xr:uid="{47B5F15F-57CB-4DA0-96AE-C04685A0B7DC}"/>
    <cellStyle name="SAPBEXheaderText 6 4 2" xfId="23025" xr:uid="{1B671B43-43FD-44C2-832C-2A1285515898}"/>
    <cellStyle name="SAPBEXheaderText 6 5" xfId="23020" xr:uid="{1AA74F56-6DC1-4AC2-9C1A-C1A8FACEDA1E}"/>
    <cellStyle name="SAPBEXheaderText 7" xfId="11521" xr:uid="{2E30887C-6B16-49A8-932B-4D249AC7E2CC}"/>
    <cellStyle name="SAPBEXheaderText 7 2" xfId="11522" xr:uid="{2A41CE90-5683-4AC8-B417-948B81D4D860}"/>
    <cellStyle name="SAPBEXheaderText 7 2 2" xfId="11523" xr:uid="{EE5BE014-27DB-44F0-BFB7-52D1BA48DA03}"/>
    <cellStyle name="SAPBEXheaderText 7 2 2 2" xfId="23028" xr:uid="{25E1BE2A-49C3-47C4-B4EE-6EB4B1155D26}"/>
    <cellStyle name="SAPBEXheaderText 7 2 3" xfId="11524" xr:uid="{E0F7CE05-14D6-41D1-BDEF-B0A81B98DA94}"/>
    <cellStyle name="SAPBEXheaderText 7 2 3 2" xfId="23029" xr:uid="{41C4A76D-CA10-4633-B253-12311220CE59}"/>
    <cellStyle name="SAPBEXheaderText 7 2 4" xfId="23027" xr:uid="{99AD06DB-D371-4318-B50E-E4C5D3E09DD6}"/>
    <cellStyle name="SAPBEXheaderText 7 3" xfId="11525" xr:uid="{AF9F6C09-20E4-4990-B3FC-56E22E2A5045}"/>
    <cellStyle name="SAPBEXheaderText 7 3 2" xfId="23030" xr:uid="{9B1EDEC0-2488-4DD1-88A8-5C88598A6D60}"/>
    <cellStyle name="SAPBEXheaderText 7 4" xfId="11526" xr:uid="{59D10C5F-4C12-442A-A012-A426ED590BF9}"/>
    <cellStyle name="SAPBEXheaderText 7 4 2" xfId="23031" xr:uid="{B67876C5-FAE2-4C52-B4C1-94EEC9EDA24D}"/>
    <cellStyle name="SAPBEXheaderText 7 5" xfId="23026" xr:uid="{E01F3F88-A8F8-4DDA-A514-4978D41D99A7}"/>
    <cellStyle name="SAPBEXheaderText 8" xfId="11527" xr:uid="{7446CF6B-1B1D-4CEA-8C09-C6CCD3455863}"/>
    <cellStyle name="SAPBEXheaderText 8 2" xfId="11528" xr:uid="{58608F0C-2896-4D02-B818-83828C359CCF}"/>
    <cellStyle name="SAPBEXheaderText 8 2 2" xfId="11529" xr:uid="{8C12A55D-DD92-4943-A8B8-4BB996901CF6}"/>
    <cellStyle name="SAPBEXheaderText 8 2 2 2" xfId="23034" xr:uid="{C7B40F36-E2F0-4F31-982A-37AC5578F8CC}"/>
    <cellStyle name="SAPBEXheaderText 8 2 3" xfId="11530" xr:uid="{39994610-4F6C-4E07-BC79-B442D7620EA2}"/>
    <cellStyle name="SAPBEXheaderText 8 2 3 2" xfId="23035" xr:uid="{FEE3C3DF-E967-40D3-A77A-5FAEF3AA8AD0}"/>
    <cellStyle name="SAPBEXheaderText 8 2 4" xfId="23033" xr:uid="{B6AD7DB8-C759-4F2B-894C-1DE390689CA1}"/>
    <cellStyle name="SAPBEXheaderText 8 3" xfId="11531" xr:uid="{1E46446C-D180-40A4-9534-8E1D9F3EFD5C}"/>
    <cellStyle name="SAPBEXheaderText 8 3 2" xfId="23036" xr:uid="{97386632-5D82-45CC-AA9F-EB6817F4C870}"/>
    <cellStyle name="SAPBEXheaderText 8 4" xfId="11532" xr:uid="{884AF1E1-53DE-42BC-85FA-8AACD3B4E4DE}"/>
    <cellStyle name="SAPBEXheaderText 8 4 2" xfId="23037" xr:uid="{4C73F4D9-00BA-496C-B8F0-16C0514F5A64}"/>
    <cellStyle name="SAPBEXheaderText 8 5" xfId="23032" xr:uid="{6611FFCD-FAA2-4ECF-882C-ABBB2403B8E7}"/>
    <cellStyle name="SAPBEXheaderText 9" xfId="11533" xr:uid="{ECBCB000-C008-419A-B42A-FEECABD3992B}"/>
    <cellStyle name="SAPBEXheaderText 9 2" xfId="11534" xr:uid="{F48ED295-C735-4E0E-87B6-0A9B56F604E3}"/>
    <cellStyle name="SAPBEXheaderText 9 2 2" xfId="11535" xr:uid="{412E4BAE-A46F-4C1B-A3A5-D48902ED123A}"/>
    <cellStyle name="SAPBEXheaderText 9 2 2 2" xfId="23040" xr:uid="{632D8C71-22C5-4F3F-83BA-45B6A5709BDE}"/>
    <cellStyle name="SAPBEXheaderText 9 2 3" xfId="11536" xr:uid="{A96E920C-5A82-4EEA-88F3-C12379C70B96}"/>
    <cellStyle name="SAPBEXheaderText 9 2 3 2" xfId="23041" xr:uid="{11036036-3A7D-4606-BB8B-CD02587380C2}"/>
    <cellStyle name="SAPBEXheaderText 9 2 4" xfId="23039" xr:uid="{F3E673C1-6BCF-4405-BE7C-6F313E83ADF4}"/>
    <cellStyle name="SAPBEXheaderText 9 3" xfId="11537" xr:uid="{C359B36F-3C5B-42B5-82F0-6F03006BEBBB}"/>
    <cellStyle name="SAPBEXheaderText 9 3 2" xfId="23042" xr:uid="{24D8C7D6-8259-452F-BE08-F6BA2664B93A}"/>
    <cellStyle name="SAPBEXheaderText 9 4" xfId="11538" xr:uid="{8951BDDF-7554-4394-87DC-4B39D0E088BF}"/>
    <cellStyle name="SAPBEXheaderText 9 4 2" xfId="23043" xr:uid="{27442CD1-C12E-44F7-B6AD-13CD80110987}"/>
    <cellStyle name="SAPBEXheaderText 9 5" xfId="23038" xr:uid="{1BD508EC-D4BD-4B18-A66B-CAE03069137F}"/>
    <cellStyle name="SAPBEXheaderText_KTR An-Abflug" xfId="14891" xr:uid="{D4CECAAC-B99B-46C5-87F4-C552CD14B61C}"/>
    <cellStyle name="SAPBEXHLevel0" xfId="11539" xr:uid="{7B2FFC88-C913-4348-8BC8-D4CDDB551B5F}"/>
    <cellStyle name="SAPBEXHLevel0 10" xfId="11540" xr:uid="{91F3C848-92BB-4B5C-A40B-22103281A05C}"/>
    <cellStyle name="SAPBEXHLevel0 10 2" xfId="11541" xr:uid="{DA3D5271-E40D-42E0-8F21-E69B4474E5C7}"/>
    <cellStyle name="SAPBEXHLevel0 10 2 2" xfId="11542" xr:uid="{438A173C-F8D6-420E-8B46-830DBE0C7085}"/>
    <cellStyle name="SAPBEXHLevel0 10 2 2 2" xfId="23046" xr:uid="{AB646081-4C78-4911-8F23-A47D17DB5D6B}"/>
    <cellStyle name="SAPBEXHLevel0 10 2 3" xfId="11543" xr:uid="{A1991B79-CDCC-449B-8B9A-DC16B95F2350}"/>
    <cellStyle name="SAPBEXHLevel0 10 2 3 2" xfId="23047" xr:uid="{93203AFD-A914-4386-A68D-DCB6D45D6A11}"/>
    <cellStyle name="SAPBEXHLevel0 10 2 4" xfId="23045" xr:uid="{7E8EC335-FCD1-4204-945D-7BF22BEA3178}"/>
    <cellStyle name="SAPBEXHLevel0 10 3" xfId="11544" xr:uid="{724E064C-2FF7-4410-9C75-2FF1741A6193}"/>
    <cellStyle name="SAPBEXHLevel0 10 3 2" xfId="23048" xr:uid="{A2EF4D03-4C0A-4E49-B6DE-57CD53F28CBC}"/>
    <cellStyle name="SAPBEXHLevel0 10 4" xfId="11545" xr:uid="{DA029CEA-7BDE-4F02-989A-0BC44196A949}"/>
    <cellStyle name="SAPBEXHLevel0 10 4 2" xfId="23049" xr:uid="{8D2EF316-0637-4958-9E48-EDDF5C8E5AC9}"/>
    <cellStyle name="SAPBEXHLevel0 10 5" xfId="23044" xr:uid="{256F832C-5A09-4934-9095-CE3C02FB1AFD}"/>
    <cellStyle name="SAPBEXHLevel0 11" xfId="11546" xr:uid="{F05A8234-848A-4073-AD41-69BEF9562815}"/>
    <cellStyle name="SAPBEXHLevel0 11 2" xfId="11547" xr:uid="{BF87BC59-526D-4719-9DB6-3C792DDE5017}"/>
    <cellStyle name="SAPBEXHLevel0 11 2 2" xfId="11548" xr:uid="{D0AEA209-5702-4DF2-81C9-55EEEED6914B}"/>
    <cellStyle name="SAPBEXHLevel0 11 2 2 2" xfId="23052" xr:uid="{6341533C-0D92-4227-B7E7-E04C60AAD4E4}"/>
    <cellStyle name="SAPBEXHLevel0 11 2 3" xfId="11549" xr:uid="{96FAB9C4-AAAE-4A9C-A069-C32310ED5AF8}"/>
    <cellStyle name="SAPBEXHLevel0 11 2 3 2" xfId="23053" xr:uid="{A36BDF17-4DF5-4E41-B763-99FE3C47CB46}"/>
    <cellStyle name="SAPBEXHLevel0 11 2 4" xfId="23051" xr:uid="{2B9CFD68-4D3B-4C8D-BD6D-8B9E0E58AF74}"/>
    <cellStyle name="SAPBEXHLevel0 11 3" xfId="11550" xr:uid="{BC79CC5A-E1D6-4DEE-80D7-4634BE48F385}"/>
    <cellStyle name="SAPBEXHLevel0 11 3 2" xfId="23054" xr:uid="{EC89EC3B-F0BD-41F6-97A8-BA68F8D85C47}"/>
    <cellStyle name="SAPBEXHLevel0 11 4" xfId="11551" xr:uid="{454D27D2-4898-4AE5-A7BB-F0BADA925FBD}"/>
    <cellStyle name="SAPBEXHLevel0 11 4 2" xfId="23055" xr:uid="{2728909C-5D45-41C5-8FDE-17A464113E48}"/>
    <cellStyle name="SAPBEXHLevel0 11 5" xfId="23050" xr:uid="{A1B595B7-6D9E-4945-8469-1E52829455A4}"/>
    <cellStyle name="SAPBEXHLevel0 12" xfId="11552" xr:uid="{C2CFB7A6-BC9A-41D5-A19A-6B4512E508D5}"/>
    <cellStyle name="SAPBEXHLevel0 12 2" xfId="11553" xr:uid="{38D80B97-99B2-4569-A7B8-458B6BCAF891}"/>
    <cellStyle name="SAPBEXHLevel0 12 2 2" xfId="11554" xr:uid="{CD2A63B8-801E-4A6F-B426-6AC193CA98EE}"/>
    <cellStyle name="SAPBEXHLevel0 12 2 2 2" xfId="23058" xr:uid="{88533AA8-1DF1-4F80-A1A9-B2969CA6F4BF}"/>
    <cellStyle name="SAPBEXHLevel0 12 2 3" xfId="11555" xr:uid="{F72E008C-9D4E-49A6-AF1C-98881F12F388}"/>
    <cellStyle name="SAPBEXHLevel0 12 2 3 2" xfId="23059" xr:uid="{AD12E7F3-FAD1-43C6-B735-8CBBC98826DB}"/>
    <cellStyle name="SAPBEXHLevel0 12 2 4" xfId="23057" xr:uid="{2C7968F9-292A-40FD-84D1-2038FFFE601A}"/>
    <cellStyle name="SAPBEXHLevel0 12 3" xfId="11556" xr:uid="{0B356917-3051-4A11-B4E0-AD4FE9D876E6}"/>
    <cellStyle name="SAPBEXHLevel0 12 3 2" xfId="23060" xr:uid="{BB878914-B122-42A7-9E26-DF2EE2AD2F83}"/>
    <cellStyle name="SAPBEXHLevel0 12 4" xfId="11557" xr:uid="{D160F1E1-1170-4A66-8B92-683DA735DF2B}"/>
    <cellStyle name="SAPBEXHLevel0 12 4 2" xfId="23061" xr:uid="{93F40E26-015B-425D-A76E-66277A0F6968}"/>
    <cellStyle name="SAPBEXHLevel0 12 5" xfId="23056" xr:uid="{242B8C46-E145-4164-9684-94064CDE09F8}"/>
    <cellStyle name="SAPBEXHLevel0 13" xfId="11558" xr:uid="{9E93D112-009C-4008-90F8-48ACB206710D}"/>
    <cellStyle name="SAPBEXHLevel0 13 2" xfId="11559" xr:uid="{859F6355-5504-425E-849E-2DE887F493B0}"/>
    <cellStyle name="SAPBEXHLevel0 13 2 2" xfId="11560" xr:uid="{C9556940-E231-45F4-91F7-1B03A486D773}"/>
    <cellStyle name="SAPBEXHLevel0 13 2 2 2" xfId="23064" xr:uid="{3B7EC0A2-103C-4B12-9EAA-AB7B3F537BBF}"/>
    <cellStyle name="SAPBEXHLevel0 13 2 3" xfId="11561" xr:uid="{41767AB1-0D08-420F-A7DC-A6C90561D4CC}"/>
    <cellStyle name="SAPBEXHLevel0 13 2 3 2" xfId="23065" xr:uid="{6BB40651-AB1E-41B7-85BC-93F6F908C27C}"/>
    <cellStyle name="SAPBEXHLevel0 13 2 4" xfId="23063" xr:uid="{24331F5B-9949-405B-B923-8D4716A82394}"/>
    <cellStyle name="SAPBEXHLevel0 13 3" xfId="11562" xr:uid="{B615720D-4BEB-4CF1-83EB-E92F78EBEFF2}"/>
    <cellStyle name="SAPBEXHLevel0 13 3 2" xfId="23066" xr:uid="{154ED11A-9417-437A-8829-E167C4EBB8E1}"/>
    <cellStyle name="SAPBEXHLevel0 13 4" xfId="11563" xr:uid="{C46D02B2-18DF-4500-B660-398DF027478D}"/>
    <cellStyle name="SAPBEXHLevel0 13 4 2" xfId="23067" xr:uid="{BCB0E670-1801-483C-84C6-E1511F2AFD6F}"/>
    <cellStyle name="SAPBEXHLevel0 13 5" xfId="23062" xr:uid="{A943530A-9E9F-4185-A96F-F11B1B16C22E}"/>
    <cellStyle name="SAPBEXHLevel0 14" xfId="11564" xr:uid="{80BA216A-3C4B-4FCB-B2FC-20B1B1BF38BE}"/>
    <cellStyle name="SAPBEXHLevel0 14 2" xfId="11565" xr:uid="{B981899E-F7F2-4C9C-8AAD-D3892AB356DF}"/>
    <cellStyle name="SAPBEXHLevel0 14 2 2" xfId="11566" xr:uid="{F3B090D1-C4FF-4EF2-8F56-039A169B13BE}"/>
    <cellStyle name="SAPBEXHLevel0 14 2 2 2" xfId="23070" xr:uid="{1FB2DD7E-3DA2-414C-8708-39B730F2E3A3}"/>
    <cellStyle name="SAPBEXHLevel0 14 2 3" xfId="11567" xr:uid="{3AD89C7A-070E-4C64-A238-2355F1E19FD7}"/>
    <cellStyle name="SAPBEXHLevel0 14 2 3 2" xfId="23071" xr:uid="{6F58EC45-4440-4AEA-8605-92E10DBA9D56}"/>
    <cellStyle name="SAPBEXHLevel0 14 2 4" xfId="23069" xr:uid="{F422D237-33EE-4A25-A3C3-C285F2E21787}"/>
    <cellStyle name="SAPBEXHLevel0 14 3" xfId="11568" xr:uid="{BFD60248-26E4-4C3F-95A3-E200292FF9BC}"/>
    <cellStyle name="SAPBEXHLevel0 14 3 2" xfId="23072" xr:uid="{722D1C40-A02F-40B0-B257-DF265D01D6EC}"/>
    <cellStyle name="SAPBEXHLevel0 14 4" xfId="11569" xr:uid="{98C59BDF-ABC6-44B7-B6E6-05B60FCE4312}"/>
    <cellStyle name="SAPBEXHLevel0 14 4 2" xfId="23073" xr:uid="{7973E711-71C4-4122-8D67-51B24E110E74}"/>
    <cellStyle name="SAPBEXHLevel0 14 5" xfId="23068" xr:uid="{1F5B9F24-4823-4B73-B23E-525B0C9E1FC4}"/>
    <cellStyle name="SAPBEXHLevel0 15" xfId="11570" xr:uid="{4542DBEE-E019-417D-836B-27F9F75D40C8}"/>
    <cellStyle name="SAPBEXHLevel0 15 2" xfId="11571" xr:uid="{7150AAF9-621B-4720-B1C2-FF38A8D58171}"/>
    <cellStyle name="SAPBEXHLevel0 15 2 2" xfId="11572" xr:uid="{9C82406E-B4DA-4E83-B51E-0CF566AC8ED0}"/>
    <cellStyle name="SAPBEXHLevel0 15 2 2 2" xfId="23076" xr:uid="{5F5EA745-8301-419D-96F4-019D9336F0E0}"/>
    <cellStyle name="SAPBEXHLevel0 15 2 3" xfId="11573" xr:uid="{B62973D3-91EF-424F-934E-7B2874AE1DE2}"/>
    <cellStyle name="SAPBEXHLevel0 15 2 3 2" xfId="23077" xr:uid="{63473A64-3435-49E7-81D5-CE5894ACA181}"/>
    <cellStyle name="SAPBEXHLevel0 15 2 4" xfId="23075" xr:uid="{A245F4BB-D600-4257-886D-BCF2CC5A9BFB}"/>
    <cellStyle name="SAPBEXHLevel0 15 3" xfId="11574" xr:uid="{3B9A536D-34A8-4893-9318-91EC28994368}"/>
    <cellStyle name="SAPBEXHLevel0 15 3 2" xfId="23078" xr:uid="{F56125D0-7FC5-4C73-8582-08712C1C05CB}"/>
    <cellStyle name="SAPBEXHLevel0 15 4" xfId="11575" xr:uid="{32E8B00D-DC86-46F7-B378-4A79A27DD718}"/>
    <cellStyle name="SAPBEXHLevel0 15 4 2" xfId="23079" xr:uid="{2EB49A96-9F00-4455-9590-7101CDDF373D}"/>
    <cellStyle name="SAPBEXHLevel0 15 5" xfId="23074" xr:uid="{E59EAC42-8071-42A1-AB3C-649ECAF6A14C}"/>
    <cellStyle name="SAPBEXHLevel0 16" xfId="11576" xr:uid="{39743495-0321-4ABD-BEC9-430560AC2CD4}"/>
    <cellStyle name="SAPBEXHLevel0 16 2" xfId="23080" xr:uid="{D2D47B16-238A-40EA-8E83-0A8D70546A5E}"/>
    <cellStyle name="SAPBEXHLevel0 17" xfId="11577" xr:uid="{9FFB87AA-8426-4D06-827C-B3772A913AE6}"/>
    <cellStyle name="SAPBEXHLevel0 17 2" xfId="23081" xr:uid="{67C6F58C-CE3D-4329-970E-CF820999A3D0}"/>
    <cellStyle name="SAPBEXHLevel0 18" xfId="11578" xr:uid="{8187442E-BC47-4A91-8735-355F02D806F4}"/>
    <cellStyle name="SAPBEXHLevel0 18 2" xfId="23082" xr:uid="{46F7A4F4-5703-4768-858F-F5E2CE313067}"/>
    <cellStyle name="SAPBEXHLevel0 19" xfId="11579" xr:uid="{88755FA8-5944-4713-9710-60F18FE23B6D}"/>
    <cellStyle name="SAPBEXHLevel0 19 2" xfId="23083" xr:uid="{E94775FB-F35D-4A85-BBD9-EB942BEDE788}"/>
    <cellStyle name="SAPBEXHLevel0 2" xfId="11580" xr:uid="{B80BFF8D-C2FA-4435-AA1A-D7540B615523}"/>
    <cellStyle name="SAPBEXHLevel0 2 2" xfId="11581" xr:uid="{B1BBF0DB-2530-4A15-8392-744E155850CF}"/>
    <cellStyle name="SAPBEXHLevel0 2 2 2" xfId="11582" xr:uid="{DF175AEC-2EB7-4797-A7EF-2FF68D58224E}"/>
    <cellStyle name="SAPBEXHLevel0 2 2 2 2" xfId="23086" xr:uid="{8B31DCA0-A139-41EF-8E81-C23AC3D16E94}"/>
    <cellStyle name="SAPBEXHLevel0 2 2 3" xfId="11583" xr:uid="{32E429A4-C086-427B-97D4-3FF87DD6400F}"/>
    <cellStyle name="SAPBEXHLevel0 2 2 3 2" xfId="23087" xr:uid="{31C1FB24-69B8-4AA5-AE7D-20A0DB773F0D}"/>
    <cellStyle name="SAPBEXHLevel0 2 2 4" xfId="23085" xr:uid="{2AB24A1D-AA8E-4F84-9CB4-C7A438722F48}"/>
    <cellStyle name="SAPBEXHLevel0 2 3" xfId="11584" xr:uid="{9DFAAEC7-A1EA-4017-A8FA-F8A5F1095757}"/>
    <cellStyle name="SAPBEXHLevel0 2 3 2" xfId="23088" xr:uid="{D713DDD0-1285-4FCB-BEB0-49F18617F463}"/>
    <cellStyle name="SAPBEXHLevel0 2 4" xfId="11585" xr:uid="{994D2136-3F53-4A1F-AA39-E55DE638A60D}"/>
    <cellStyle name="SAPBEXHLevel0 2 4 2" xfId="23089" xr:uid="{134C69F6-4BD7-4F88-8C2C-096E70CFECE3}"/>
    <cellStyle name="SAPBEXHLevel0 2 5" xfId="23084" xr:uid="{31AE4305-2BC1-4897-A5C9-3B5C46A5DA11}"/>
    <cellStyle name="SAPBEXHLevel0 20" xfId="15180" xr:uid="{32A99131-0F3E-43E4-813F-2AD3C4836292}"/>
    <cellStyle name="SAPBEXHLevel0 3" xfId="11586" xr:uid="{A7EE590F-B6C5-4F44-B6D6-98F53EBE9000}"/>
    <cellStyle name="SAPBEXHLevel0 3 2" xfId="11587" xr:uid="{5916B410-7C53-4877-8FCA-23DE134A5722}"/>
    <cellStyle name="SAPBEXHLevel0 3 2 2" xfId="11588" xr:uid="{E767B43B-DFA1-4B60-BD11-03E844D4ACB3}"/>
    <cellStyle name="SAPBEXHLevel0 3 2 2 2" xfId="23092" xr:uid="{61EF3AEB-C5A5-403F-A678-4B2AC8677792}"/>
    <cellStyle name="SAPBEXHLevel0 3 2 3" xfId="11589" xr:uid="{C5839E9C-4810-4AC2-84B6-80BEAAB8FD0D}"/>
    <cellStyle name="SAPBEXHLevel0 3 2 3 2" xfId="23093" xr:uid="{D5D98433-4918-4D52-80AB-D0532B88876E}"/>
    <cellStyle name="SAPBEXHLevel0 3 2 4" xfId="23091" xr:uid="{A21ED59C-4BCB-460F-8D37-5F251C887C66}"/>
    <cellStyle name="SAPBEXHLevel0 3 3" xfId="11590" xr:uid="{D2B7C165-E7DF-4920-84F7-2EA664FCD656}"/>
    <cellStyle name="SAPBEXHLevel0 3 3 2" xfId="23094" xr:uid="{C3EF404C-15EA-46FA-8B4D-3DC8F3CB5959}"/>
    <cellStyle name="SAPBEXHLevel0 3 4" xfId="11591" xr:uid="{4473AE5E-C42D-4E35-A560-8CE0F9972A47}"/>
    <cellStyle name="SAPBEXHLevel0 3 4 2" xfId="23095" xr:uid="{A0D4D326-0D77-42BA-915C-503833F2C00F}"/>
    <cellStyle name="SAPBEXHLevel0 3 5" xfId="23090" xr:uid="{41A57098-B08B-46CD-AF10-9FD8A9E75789}"/>
    <cellStyle name="SAPBEXHLevel0 4" xfId="11592" xr:uid="{887084A5-0C73-4695-A0BC-65671DC5E9DA}"/>
    <cellStyle name="SAPBEXHLevel0 4 2" xfId="11593" xr:uid="{A3D6FA68-601B-4FDC-9F50-1ECC0BF12E5E}"/>
    <cellStyle name="SAPBEXHLevel0 4 2 2" xfId="11594" xr:uid="{A198DA68-196C-4354-8EEE-4E269AB1E48A}"/>
    <cellStyle name="SAPBEXHLevel0 4 2 2 2" xfId="23098" xr:uid="{E4ACA56D-2AF5-4BE5-81BA-549C49D9AFEA}"/>
    <cellStyle name="SAPBEXHLevel0 4 2 3" xfId="11595" xr:uid="{3F389CF6-6D44-44FE-8D5F-D18278D041D8}"/>
    <cellStyle name="SAPBEXHLevel0 4 2 3 2" xfId="23099" xr:uid="{113FC91A-29FA-4B84-8D1D-4144C430ED65}"/>
    <cellStyle name="SAPBEXHLevel0 4 2 4" xfId="23097" xr:uid="{861DDF3B-CE80-47CD-977A-5378968BA9FE}"/>
    <cellStyle name="SAPBEXHLevel0 4 3" xfId="11596" xr:uid="{8161BA2A-E19B-4428-920D-B22BCB1ACCDD}"/>
    <cellStyle name="SAPBEXHLevel0 4 3 2" xfId="23100" xr:uid="{BC684B88-B626-456C-BDD5-58E1AACF0505}"/>
    <cellStyle name="SAPBEXHLevel0 4 4" xfId="11597" xr:uid="{9172EA73-2789-43C4-AA08-75E010F3099B}"/>
    <cellStyle name="SAPBEXHLevel0 4 4 2" xfId="23101" xr:uid="{6A47DD21-A953-4B10-8E98-D45450625D5A}"/>
    <cellStyle name="SAPBEXHLevel0 4 5" xfId="23096" xr:uid="{D954CD0B-11E5-453E-8B37-3F5375E6557C}"/>
    <cellStyle name="SAPBEXHLevel0 5" xfId="11598" xr:uid="{BEEAAFD4-5426-452A-8734-2E6A51538D4B}"/>
    <cellStyle name="SAPBEXHLevel0 5 2" xfId="11599" xr:uid="{17CB4079-EEC7-4A9A-B97D-9474471A88DD}"/>
    <cellStyle name="SAPBEXHLevel0 5 2 2" xfId="11600" xr:uid="{65B4B244-BD77-41F8-8118-528BEF303918}"/>
    <cellStyle name="SAPBEXHLevel0 5 2 2 2" xfId="23104" xr:uid="{1DC36636-ED5B-4827-84E8-7C65E6C3C849}"/>
    <cellStyle name="SAPBEXHLevel0 5 2 3" xfId="11601" xr:uid="{72E84C03-90F9-45BD-AA18-AE60F4C68506}"/>
    <cellStyle name="SAPBEXHLevel0 5 2 3 2" xfId="23105" xr:uid="{7B7951F0-6CF8-4CEE-8CF8-F54C10DA899D}"/>
    <cellStyle name="SAPBEXHLevel0 5 2 4" xfId="23103" xr:uid="{B8384A3C-9880-42CF-AD39-08EBCE41C7EE}"/>
    <cellStyle name="SAPBEXHLevel0 5 3" xfId="11602" xr:uid="{F8608A56-0C37-4AE9-92D8-713DB35DF48A}"/>
    <cellStyle name="SAPBEXHLevel0 5 3 2" xfId="23106" xr:uid="{F47F397C-DAB5-4EB7-A20E-D1FE40994661}"/>
    <cellStyle name="SAPBEXHLevel0 5 4" xfId="11603" xr:uid="{290C12DF-DE43-455C-B11F-465AA28F5879}"/>
    <cellStyle name="SAPBEXHLevel0 5 4 2" xfId="23107" xr:uid="{86716571-C6D1-4360-B0ED-7FFBA8C53054}"/>
    <cellStyle name="SAPBEXHLevel0 5 5" xfId="23102" xr:uid="{6F994235-ADB7-449E-978A-03C152A64B7F}"/>
    <cellStyle name="SAPBEXHLevel0 6" xfId="11604" xr:uid="{0A442F90-576C-4DB5-ABC0-BB84F882FF89}"/>
    <cellStyle name="SAPBEXHLevel0 6 2" xfId="11605" xr:uid="{AF99D637-FBB8-4CCF-A6A2-628BD34372DA}"/>
    <cellStyle name="SAPBEXHLevel0 6 2 2" xfId="11606" xr:uid="{4F9D6AEA-B5F8-4096-A92D-2F33A2E2323C}"/>
    <cellStyle name="SAPBEXHLevel0 6 2 2 2" xfId="23110" xr:uid="{B4D2F1DE-F755-4F01-AD4B-C36B74D513A3}"/>
    <cellStyle name="SAPBEXHLevel0 6 2 3" xfId="11607" xr:uid="{CAA0C5AC-B967-46CB-8098-6DBEEDA82988}"/>
    <cellStyle name="SAPBEXHLevel0 6 2 3 2" xfId="23111" xr:uid="{EFDA2787-8E96-4CAD-AB73-31DE1E68C13E}"/>
    <cellStyle name="SAPBEXHLevel0 6 2 4" xfId="23109" xr:uid="{6BF88B53-86F4-47AC-8505-74B6F1B6306D}"/>
    <cellStyle name="SAPBEXHLevel0 6 3" xfId="11608" xr:uid="{202D17F9-DEA8-426D-A88B-19E9C7F2EDBE}"/>
    <cellStyle name="SAPBEXHLevel0 6 3 2" xfId="23112" xr:uid="{0F7103D7-CFF9-4DC2-897D-E9A740F88781}"/>
    <cellStyle name="SAPBEXHLevel0 6 4" xfId="11609" xr:uid="{6FF23E5A-B11D-4706-AB24-0C6E39340F05}"/>
    <cellStyle name="SAPBEXHLevel0 6 4 2" xfId="23113" xr:uid="{C0E6A40D-5AD9-4BB2-9F97-287995A5AAEF}"/>
    <cellStyle name="SAPBEXHLevel0 6 5" xfId="23108" xr:uid="{991262FD-0E44-44E2-9499-AE35D8C51CB9}"/>
    <cellStyle name="SAPBEXHLevel0 7" xfId="11610" xr:uid="{E4F39874-1F7B-4D69-8809-9549531B5723}"/>
    <cellStyle name="SAPBEXHLevel0 7 2" xfId="11611" xr:uid="{954991D5-95A3-45A9-B048-AD191FC5732B}"/>
    <cellStyle name="SAPBEXHLevel0 7 2 2" xfId="11612" xr:uid="{14144583-9A85-4A7B-B6B5-E79069AD8BF3}"/>
    <cellStyle name="SAPBEXHLevel0 7 2 2 2" xfId="23116" xr:uid="{3C648BCC-AE3B-435B-A204-CDB7B733D274}"/>
    <cellStyle name="SAPBEXHLevel0 7 2 3" xfId="11613" xr:uid="{E5A5AC37-BDB5-4F8A-8AFC-72C0B08D1C8D}"/>
    <cellStyle name="SAPBEXHLevel0 7 2 3 2" xfId="23117" xr:uid="{EF3BEADB-D9D1-4A18-AC54-B932B5D39285}"/>
    <cellStyle name="SAPBEXHLevel0 7 2 4" xfId="23115" xr:uid="{4B15D3B0-93DB-4C57-9B22-B4576FF2ACA2}"/>
    <cellStyle name="SAPBEXHLevel0 7 3" xfId="11614" xr:uid="{D3D55E2B-76C6-4857-BF13-0740D1B86BD2}"/>
    <cellStyle name="SAPBEXHLevel0 7 3 2" xfId="23118" xr:uid="{28856AB1-F1F2-4999-AC31-1D763C45352F}"/>
    <cellStyle name="SAPBEXHLevel0 7 4" xfId="11615" xr:uid="{90150F9F-AD33-4977-899F-5D11670D543A}"/>
    <cellStyle name="SAPBEXHLevel0 7 4 2" xfId="23119" xr:uid="{8086229A-5659-409C-A6BB-41CF69D261BC}"/>
    <cellStyle name="SAPBEXHLevel0 7 5" xfId="23114" xr:uid="{851993E9-C41C-439D-A90B-50FB16CF3969}"/>
    <cellStyle name="SAPBEXHLevel0 8" xfId="11616" xr:uid="{11F2020B-7414-4A83-8222-824FE8BFD51A}"/>
    <cellStyle name="SAPBEXHLevel0 8 2" xfId="11617" xr:uid="{2392FBD7-1CAB-41C9-A03F-0F04B6830C08}"/>
    <cellStyle name="SAPBEXHLevel0 8 2 2" xfId="11618" xr:uid="{7578E7D2-D988-4298-B1EB-6F18397DC72F}"/>
    <cellStyle name="SAPBEXHLevel0 8 2 2 2" xfId="23122" xr:uid="{D776724F-3E32-423F-B63E-6BA5BF5A6748}"/>
    <cellStyle name="SAPBEXHLevel0 8 2 3" xfId="11619" xr:uid="{68658430-DF27-4A92-85D8-9C5EFFC2D6B5}"/>
    <cellStyle name="SAPBEXHLevel0 8 2 3 2" xfId="23123" xr:uid="{D62ED9E7-574C-4324-99B5-2D0B9319358E}"/>
    <cellStyle name="SAPBEXHLevel0 8 2 4" xfId="23121" xr:uid="{B3384C85-E130-47BE-8A9A-85B68AA03173}"/>
    <cellStyle name="SAPBEXHLevel0 8 3" xfId="11620" xr:uid="{1AF58A01-08A9-44CB-B9A9-8E3325F8DD97}"/>
    <cellStyle name="SAPBEXHLevel0 8 3 2" xfId="23124" xr:uid="{7667CA13-FAFD-44A5-8134-A974026A6D01}"/>
    <cellStyle name="SAPBEXHLevel0 8 4" xfId="11621" xr:uid="{997A5BA3-85EF-4373-8BCB-7B6DCE43BA86}"/>
    <cellStyle name="SAPBEXHLevel0 8 4 2" xfId="23125" xr:uid="{1EC7E56C-0691-4345-9529-737DB6554430}"/>
    <cellStyle name="SAPBEXHLevel0 8 5" xfId="23120" xr:uid="{A371A579-E30C-4897-AE8E-B2F71992D274}"/>
    <cellStyle name="SAPBEXHLevel0 9" xfId="11622" xr:uid="{95331921-7DF4-456D-8B0B-ECD166F94677}"/>
    <cellStyle name="SAPBEXHLevel0 9 2" xfId="11623" xr:uid="{FE451D75-EBB8-4005-ADE1-17114330D40D}"/>
    <cellStyle name="SAPBEXHLevel0 9 2 2" xfId="11624" xr:uid="{5235EBD6-B090-4E08-B682-67188B98D14C}"/>
    <cellStyle name="SAPBEXHLevel0 9 2 2 2" xfId="23128" xr:uid="{8221A8C5-5DB5-4165-B109-51F717A160A8}"/>
    <cellStyle name="SAPBEXHLevel0 9 2 3" xfId="11625" xr:uid="{3782C118-BC90-441D-8A5A-FC3196C96824}"/>
    <cellStyle name="SAPBEXHLevel0 9 2 3 2" xfId="23129" xr:uid="{35707228-D9E8-43BB-9AD8-8B9B86DF54C0}"/>
    <cellStyle name="SAPBEXHLevel0 9 2 4" xfId="23127" xr:uid="{3AD57F0A-4F22-4787-B9F5-920FB0BDCC47}"/>
    <cellStyle name="SAPBEXHLevel0 9 3" xfId="11626" xr:uid="{43E51579-206E-4EF2-B60B-CD97CEC2A6C5}"/>
    <cellStyle name="SAPBEXHLevel0 9 3 2" xfId="23130" xr:uid="{89250119-AD0F-4827-8429-01B5CC8F5BB1}"/>
    <cellStyle name="SAPBEXHLevel0 9 4" xfId="11627" xr:uid="{FCA8DDDC-9660-46D4-BE31-898D9BEECFE7}"/>
    <cellStyle name="SAPBEXHLevel0 9 4 2" xfId="23131" xr:uid="{DD9D0208-E211-4971-A5AF-F043A49E2B2A}"/>
    <cellStyle name="SAPBEXHLevel0 9 5" xfId="23126" xr:uid="{BBD56F2D-4FDB-407E-B32D-CC89253FA4EB}"/>
    <cellStyle name="SAPBEXHLevel0_RP3 PP revised" xfId="15067" xr:uid="{A5167F39-5021-49D7-BFE4-46D74B85E566}"/>
    <cellStyle name="SAPBEXHLevel0X" xfId="11628" xr:uid="{6C51F410-1361-48F4-804A-CC72E5E7233B}"/>
    <cellStyle name="SAPBEXHLevel0X 10" xfId="11629" xr:uid="{EFE8D57D-5B2A-4830-B78E-40A8BCF57B47}"/>
    <cellStyle name="SAPBEXHLevel0X 10 2" xfId="11630" xr:uid="{BEA3893B-9FF3-4380-BF91-15E9C8402174}"/>
    <cellStyle name="SAPBEXHLevel0X 10 2 2" xfId="11631" xr:uid="{A4C31682-9E4A-4C25-926E-A095EDE77184}"/>
    <cellStyle name="SAPBEXHLevel0X 10 2 2 2" xfId="23134" xr:uid="{96369A8B-1BA0-4A0E-AE1D-14F5BC04E248}"/>
    <cellStyle name="SAPBEXHLevel0X 10 2 3" xfId="11632" xr:uid="{D88EB26C-DF27-4234-9A79-E747FB642334}"/>
    <cellStyle name="SAPBEXHLevel0X 10 2 3 2" xfId="23135" xr:uid="{E51F3E1E-365C-47BD-A813-D0B27A3782DA}"/>
    <cellStyle name="SAPBEXHLevel0X 10 2 4" xfId="23133" xr:uid="{5ACD395B-775C-470D-AFE7-2CF6E9F43BB2}"/>
    <cellStyle name="SAPBEXHLevel0X 10 3" xfId="11633" xr:uid="{BF423E94-4D1F-408A-BBAB-E2540B0CB4F5}"/>
    <cellStyle name="SAPBEXHLevel0X 10 3 2" xfId="23136" xr:uid="{B526CE56-C1B3-44E3-ADE1-0F77CF564629}"/>
    <cellStyle name="SAPBEXHLevel0X 10 4" xfId="11634" xr:uid="{576F7BF4-453B-4D27-80BA-97DB7E1C12E4}"/>
    <cellStyle name="SAPBEXHLevel0X 10 4 2" xfId="23137" xr:uid="{E51D30AE-8EB9-4310-8DCD-41542BEA45CD}"/>
    <cellStyle name="SAPBEXHLevel0X 10 5" xfId="23132" xr:uid="{D90FEB71-7441-42BA-AD8E-C8FE297CF4D0}"/>
    <cellStyle name="SAPBEXHLevel0X 11" xfId="11635" xr:uid="{53BF2E21-5E08-4DE5-8267-08DA76E14993}"/>
    <cellStyle name="SAPBEXHLevel0X 11 2" xfId="11636" xr:uid="{C222CB0A-F3B1-4A15-A5CC-E3F2F963CD01}"/>
    <cellStyle name="SAPBEXHLevel0X 11 2 2" xfId="11637" xr:uid="{9C3FEF67-FCE5-498F-968D-DC36B4EA24C3}"/>
    <cellStyle name="SAPBEXHLevel0X 11 2 2 2" xfId="23140" xr:uid="{EB2ABBC4-6787-400D-AEFE-2C4C2FA62BC2}"/>
    <cellStyle name="SAPBEXHLevel0X 11 2 3" xfId="11638" xr:uid="{81B5F23A-38A7-4E5B-A9FE-CCB74E36FA61}"/>
    <cellStyle name="SAPBEXHLevel0X 11 2 3 2" xfId="23141" xr:uid="{5EAFF37A-079A-4C01-89E8-8557C3D4F397}"/>
    <cellStyle name="SAPBEXHLevel0X 11 2 4" xfId="23139" xr:uid="{380CD1C0-1422-4F80-AD5C-9A70BA6434C7}"/>
    <cellStyle name="SAPBEXHLevel0X 11 3" xfId="11639" xr:uid="{41281A5D-678A-438F-B32D-3E2B1F0E85C5}"/>
    <cellStyle name="SAPBEXHLevel0X 11 3 2" xfId="23142" xr:uid="{9BE1A00C-9778-42F5-AAB3-9DA6D287ED1F}"/>
    <cellStyle name="SAPBEXHLevel0X 11 4" xfId="11640" xr:uid="{2D62D9DA-3A9C-45C8-B563-4489A749DB50}"/>
    <cellStyle name="SAPBEXHLevel0X 11 4 2" xfId="23143" xr:uid="{4C5F29FA-0776-45DA-89CB-0B023C355F6F}"/>
    <cellStyle name="SAPBEXHLevel0X 11 5" xfId="23138" xr:uid="{84F0A78A-8B56-4897-B6A4-97247B249B9D}"/>
    <cellStyle name="SAPBEXHLevel0X 12" xfId="11641" xr:uid="{17DAC6F5-8543-4071-B026-4D44388F20FA}"/>
    <cellStyle name="SAPBEXHLevel0X 12 2" xfId="11642" xr:uid="{4A3848BD-C189-4DB7-B4B5-70B7808195E3}"/>
    <cellStyle name="SAPBEXHLevel0X 12 2 2" xfId="11643" xr:uid="{07B66D1F-7B44-4005-AE72-8A96049DCD53}"/>
    <cellStyle name="SAPBEXHLevel0X 12 2 2 2" xfId="23146" xr:uid="{1B1DDB2A-EADC-4FDE-92E6-315FDA6C26B3}"/>
    <cellStyle name="SAPBEXHLevel0X 12 2 3" xfId="11644" xr:uid="{0B4AA2DD-2D5C-4290-B22A-6E0F072C336A}"/>
    <cellStyle name="SAPBEXHLevel0X 12 2 3 2" xfId="23147" xr:uid="{7DABE5E8-2513-42F3-9D28-3E6F00AA5A77}"/>
    <cellStyle name="SAPBEXHLevel0X 12 2 4" xfId="23145" xr:uid="{6D11C9E4-41C3-4CAF-BB26-A39CB94EE953}"/>
    <cellStyle name="SAPBEXHLevel0X 12 3" xfId="11645" xr:uid="{5C9491B6-011F-425B-B32F-809627B50107}"/>
    <cellStyle name="SAPBEXHLevel0X 12 3 2" xfId="23148" xr:uid="{388FD8D1-508B-41BF-81AF-27F70C2A0252}"/>
    <cellStyle name="SAPBEXHLevel0X 12 4" xfId="11646" xr:uid="{DBE74A35-A7D9-4B40-A619-734E5688C317}"/>
    <cellStyle name="SAPBEXHLevel0X 12 4 2" xfId="23149" xr:uid="{47A4A1D7-31FC-44EA-A414-599567B5B044}"/>
    <cellStyle name="SAPBEXHLevel0X 12 5" xfId="23144" xr:uid="{9FC2A337-038D-48DB-8CA0-8B1AEA6D9FB4}"/>
    <cellStyle name="SAPBEXHLevel0X 13" xfId="11647" xr:uid="{69ABCAF4-4603-4D84-92ED-8E80C30C6CE1}"/>
    <cellStyle name="SAPBEXHLevel0X 13 2" xfId="11648" xr:uid="{6133AD15-1EE2-49A9-AFE3-4FB28783F636}"/>
    <cellStyle name="SAPBEXHLevel0X 13 2 2" xfId="11649" xr:uid="{2C8CE791-BEBC-4EA8-9D4C-B472DFBE6ADC}"/>
    <cellStyle name="SAPBEXHLevel0X 13 2 2 2" xfId="23152" xr:uid="{F3BFE8F5-94B9-4BC1-91D3-09732134026E}"/>
    <cellStyle name="SAPBEXHLevel0X 13 2 3" xfId="11650" xr:uid="{E36B049F-33F4-4F85-AC36-010E637D9175}"/>
    <cellStyle name="SAPBEXHLevel0X 13 2 3 2" xfId="23153" xr:uid="{07A349F0-E5DE-46A7-9E78-340134986ED7}"/>
    <cellStyle name="SAPBEXHLevel0X 13 2 4" xfId="23151" xr:uid="{04EF73DC-99AF-4810-8116-C3F1F9963400}"/>
    <cellStyle name="SAPBEXHLevel0X 13 3" xfId="11651" xr:uid="{52CF00E3-40DA-4D1F-9350-5E375D92A5E4}"/>
    <cellStyle name="SAPBEXHLevel0X 13 3 2" xfId="23154" xr:uid="{79BB041D-5070-4EA5-9DB8-F6E11B6AB396}"/>
    <cellStyle name="SAPBEXHLevel0X 13 4" xfId="11652" xr:uid="{BA2B7989-5B51-477B-8D1D-577F96E5FC73}"/>
    <cellStyle name="SAPBEXHLevel0X 13 4 2" xfId="23155" xr:uid="{BB4EF168-4313-44FF-9C4F-AA892750E5EB}"/>
    <cellStyle name="SAPBEXHLevel0X 13 5" xfId="23150" xr:uid="{050E4EB3-B9CB-415B-B4B2-485E9E290364}"/>
    <cellStyle name="SAPBEXHLevel0X 14" xfId="11653" xr:uid="{76F3BACB-EACD-4799-A4D4-DD26A54878AF}"/>
    <cellStyle name="SAPBEXHLevel0X 14 2" xfId="11654" xr:uid="{0340A34A-8D28-4375-9E1C-B27380A18E57}"/>
    <cellStyle name="SAPBEXHLevel0X 14 2 2" xfId="11655" xr:uid="{954B1CD5-8C33-49C1-95EA-8A46F53F7D77}"/>
    <cellStyle name="SAPBEXHLevel0X 14 2 2 2" xfId="23158" xr:uid="{A3D05CEE-766E-4EE3-ABBF-8A2D0A04A19A}"/>
    <cellStyle name="SAPBEXHLevel0X 14 2 3" xfId="11656" xr:uid="{09659208-42B8-4669-B4A9-861B580D0BEB}"/>
    <cellStyle name="SAPBEXHLevel0X 14 2 3 2" xfId="23159" xr:uid="{D66BAA18-2732-449A-8AA5-43E0C6FFDA89}"/>
    <cellStyle name="SAPBEXHLevel0X 14 2 4" xfId="23157" xr:uid="{94FDAAE1-4A48-4FF6-81B3-E3C207343B88}"/>
    <cellStyle name="SAPBEXHLevel0X 14 3" xfId="11657" xr:uid="{73078921-B346-4B8B-A265-89A928ED4843}"/>
    <cellStyle name="SAPBEXHLevel0X 14 3 2" xfId="23160" xr:uid="{975EFBFE-933F-4709-9B8F-90D7B2EB1F49}"/>
    <cellStyle name="SAPBEXHLevel0X 14 4" xfId="11658" xr:uid="{035107FB-6EA5-43B3-BB6C-5CD24B8D760C}"/>
    <cellStyle name="SAPBEXHLevel0X 14 4 2" xfId="23161" xr:uid="{FFEA7C07-52A3-4199-87FB-01A8C8BD00B0}"/>
    <cellStyle name="SAPBEXHLevel0X 14 5" xfId="23156" xr:uid="{6F57ED44-269E-46D6-9F36-D6CD7E7F307E}"/>
    <cellStyle name="SAPBEXHLevel0X 15" xfId="11659" xr:uid="{85B55AE7-A797-4594-A3F3-A84987C05276}"/>
    <cellStyle name="SAPBEXHLevel0X 15 2" xfId="11660" xr:uid="{86092688-755F-4F28-996F-64E5FFC071BA}"/>
    <cellStyle name="SAPBEXHLevel0X 15 2 2" xfId="11661" xr:uid="{4481C7AA-6FAD-4943-BDEE-9C81A8EB5796}"/>
    <cellStyle name="SAPBEXHLevel0X 15 2 2 2" xfId="23164" xr:uid="{8059460F-D7F6-462E-AB5A-2D3A8550A3F0}"/>
    <cellStyle name="SAPBEXHLevel0X 15 2 3" xfId="11662" xr:uid="{352010F2-C328-4552-A876-D2B72F9F21BA}"/>
    <cellStyle name="SAPBEXHLevel0X 15 2 3 2" xfId="23165" xr:uid="{23F3DCA8-425B-4205-B5D4-DFCA2127F3D7}"/>
    <cellStyle name="SAPBEXHLevel0X 15 2 4" xfId="23163" xr:uid="{42C9308C-6BDF-4B32-A719-7BD60DD67381}"/>
    <cellStyle name="SAPBEXHLevel0X 15 3" xfId="11663" xr:uid="{2515DEF1-935B-4610-9E70-38EFF6A19414}"/>
    <cellStyle name="SAPBEXHLevel0X 15 3 2" xfId="23166" xr:uid="{DD336244-ABF2-4259-AEED-23EDD047EE77}"/>
    <cellStyle name="SAPBEXHLevel0X 15 4" xfId="11664" xr:uid="{07423D9C-C926-47E2-9B9B-21FCC5E040AC}"/>
    <cellStyle name="SAPBEXHLevel0X 15 4 2" xfId="23167" xr:uid="{44213F6E-9696-4FB6-B023-B9F26EDB8232}"/>
    <cellStyle name="SAPBEXHLevel0X 15 5" xfId="23162" xr:uid="{586F64B0-683D-45EB-B40F-9D370970D2E6}"/>
    <cellStyle name="SAPBEXHLevel0X 16" xfId="11665" xr:uid="{617016B6-A3A6-45E7-83BF-4C012EAFFC6C}"/>
    <cellStyle name="SAPBEXHLevel0X 16 2" xfId="23168" xr:uid="{3A7DA9FD-F0B2-4234-8C31-D38B2A5EF11A}"/>
    <cellStyle name="SAPBEXHLevel0X 17" xfId="11666" xr:uid="{7D36F2A3-92FA-4F25-86A2-18B5AA02DA3E}"/>
    <cellStyle name="SAPBEXHLevel0X 17 2" xfId="23169" xr:uid="{86BE300A-D77C-454A-8BE3-82E3FF44428C}"/>
    <cellStyle name="SAPBEXHLevel0X 18" xfId="11667" xr:uid="{F41E493F-6E65-4FD1-A4D0-F65F6FC6D918}"/>
    <cellStyle name="SAPBEXHLevel0X 18 2" xfId="23170" xr:uid="{7CCB7D67-65B1-4B21-9A0D-50F8FAB0A348}"/>
    <cellStyle name="SAPBEXHLevel0X 19" xfId="11668" xr:uid="{E77D543E-079C-44F3-A6A8-86FAD84F6767}"/>
    <cellStyle name="SAPBEXHLevel0X 19 2" xfId="23171" xr:uid="{61A88C75-FF5F-406B-8A77-A29D80294536}"/>
    <cellStyle name="SAPBEXHLevel0X 2" xfId="11669" xr:uid="{2D641942-6795-4134-8F3B-14541CF7F234}"/>
    <cellStyle name="SAPBEXHLevel0X 2 2" xfId="11670" xr:uid="{20D94DCF-62B6-45D4-BD8B-C8BBC45F8B5B}"/>
    <cellStyle name="SAPBEXHLevel0X 2 2 2" xfId="11671" xr:uid="{E99A7B79-9F12-4E0A-A826-2E3CF9E28EEF}"/>
    <cellStyle name="SAPBEXHLevel0X 2 2 2 2" xfId="23174" xr:uid="{1C8A0882-1445-4E39-A20F-B1BCCCA0B0C6}"/>
    <cellStyle name="SAPBEXHLevel0X 2 2 3" xfId="11672" xr:uid="{F8414DC6-9557-4DAD-93F1-5DD59D569F91}"/>
    <cellStyle name="SAPBEXHLevel0X 2 2 3 2" xfId="23175" xr:uid="{9270F94E-4313-4BFB-B664-B207CE495690}"/>
    <cellStyle name="SAPBEXHLevel0X 2 2 4" xfId="23173" xr:uid="{7FD5FEE6-62CC-4BE7-BDF6-E5B2879C09D5}"/>
    <cellStyle name="SAPBEXHLevel0X 2 3" xfId="11673" xr:uid="{85364FEE-DD09-424E-A42E-68888D844AE2}"/>
    <cellStyle name="SAPBEXHLevel0X 2 3 2" xfId="23176" xr:uid="{46662365-A225-4C26-AAA3-BA735F1DE285}"/>
    <cellStyle name="SAPBEXHLevel0X 2 4" xfId="11674" xr:uid="{CBD1EE21-5550-4B82-80C8-3954452C4663}"/>
    <cellStyle name="SAPBEXHLevel0X 2 4 2" xfId="23177" xr:uid="{2674159D-B2A8-4758-A373-50D81DE228A5}"/>
    <cellStyle name="SAPBEXHLevel0X 2 5" xfId="23172" xr:uid="{0A384C80-E424-4907-8FB0-206FFDF189C4}"/>
    <cellStyle name="SAPBEXHLevel0X 20" xfId="15181" xr:uid="{CAE81D91-6B86-4A70-8ED8-B99BA205F42F}"/>
    <cellStyle name="SAPBEXHLevel0X 3" xfId="11675" xr:uid="{1681352F-39CF-4751-B36D-1978B2B5E05B}"/>
    <cellStyle name="SAPBEXHLevel0X 3 2" xfId="11676" xr:uid="{8A99ACD7-BEC5-4AC1-9000-F20634C81489}"/>
    <cellStyle name="SAPBEXHLevel0X 3 2 2" xfId="11677" xr:uid="{15D2DC1D-BFA2-4227-BD71-E850DC582593}"/>
    <cellStyle name="SAPBEXHLevel0X 3 2 2 2" xfId="23180" xr:uid="{2C59190C-BA46-4736-B8F6-5CBEDAE0533E}"/>
    <cellStyle name="SAPBEXHLevel0X 3 2 3" xfId="11678" xr:uid="{5445653D-A760-4858-B053-BFF01290758E}"/>
    <cellStyle name="SAPBEXHLevel0X 3 2 3 2" xfId="23181" xr:uid="{D7EB53E8-C877-454A-9A8C-825BEAF3EA1F}"/>
    <cellStyle name="SAPBEXHLevel0X 3 2 4" xfId="23179" xr:uid="{899172E0-23E7-4942-961C-B1E471B910A0}"/>
    <cellStyle name="SAPBEXHLevel0X 3 3" xfId="11679" xr:uid="{C38EC058-A31E-480A-A20F-7A77786BA112}"/>
    <cellStyle name="SAPBEXHLevel0X 3 3 2" xfId="23182" xr:uid="{DBD7F62E-85E1-4E57-8423-53A9BE83DCE1}"/>
    <cellStyle name="SAPBEXHLevel0X 3 4" xfId="11680" xr:uid="{31C45086-4FB2-4C96-895F-4A14E4CCA56D}"/>
    <cellStyle name="SAPBEXHLevel0X 3 4 2" xfId="23183" xr:uid="{164468A3-C56F-475F-8079-8EC3D3816D8F}"/>
    <cellStyle name="SAPBEXHLevel0X 3 5" xfId="23178" xr:uid="{39C427CC-0202-4CB7-9505-258BFC96CA76}"/>
    <cellStyle name="SAPBEXHLevel0X 4" xfId="11681" xr:uid="{E14D4E5E-10ED-4806-9A24-3B71CBA0AE06}"/>
    <cellStyle name="SAPBEXHLevel0X 4 2" xfId="11682" xr:uid="{729C53A3-2797-4805-9615-E5CE6145D97A}"/>
    <cellStyle name="SAPBEXHLevel0X 4 2 2" xfId="11683" xr:uid="{7A1DB018-9B35-4D91-8BD5-9CAB9456B6B4}"/>
    <cellStyle name="SAPBEXHLevel0X 4 2 2 2" xfId="23186" xr:uid="{DEAF0EF2-91AC-463C-996F-C50CD5C26202}"/>
    <cellStyle name="SAPBEXHLevel0X 4 2 3" xfId="11684" xr:uid="{1343F1BC-2679-4018-9654-450A2BD1B06A}"/>
    <cellStyle name="SAPBEXHLevel0X 4 2 3 2" xfId="23187" xr:uid="{8B2BBE59-A7DC-43FD-B26E-5F9BD0775510}"/>
    <cellStyle name="SAPBEXHLevel0X 4 2 4" xfId="23185" xr:uid="{239449B9-1297-4536-BB0B-7EA1523ECAE5}"/>
    <cellStyle name="SAPBEXHLevel0X 4 3" xfId="11685" xr:uid="{DF5AA2FD-61F3-4D95-8037-A6FAA0D3DE77}"/>
    <cellStyle name="SAPBEXHLevel0X 4 3 2" xfId="23188" xr:uid="{0EE86B71-C9AE-4B0A-A06A-E9D82EA5D4D2}"/>
    <cellStyle name="SAPBEXHLevel0X 4 4" xfId="11686" xr:uid="{B725D7EE-4523-4B35-9485-2FD1D949B5FC}"/>
    <cellStyle name="SAPBEXHLevel0X 4 4 2" xfId="23189" xr:uid="{CC34D55A-6800-4B74-B822-E1FA6DD355CE}"/>
    <cellStyle name="SAPBEXHLevel0X 4 5" xfId="23184" xr:uid="{C48F5CE5-6BCF-4A26-B190-830F906B8212}"/>
    <cellStyle name="SAPBEXHLevel0X 5" xfId="11687" xr:uid="{E9955C2A-55C6-4331-B86A-07AA21D6D358}"/>
    <cellStyle name="SAPBEXHLevel0X 5 2" xfId="11688" xr:uid="{877905A8-B6D3-4208-AC6F-FDE06AF59885}"/>
    <cellStyle name="SAPBEXHLevel0X 5 2 2" xfId="11689" xr:uid="{9349EC7C-5D87-4C37-AFBC-6F4CDED68E45}"/>
    <cellStyle name="SAPBEXHLevel0X 5 2 2 2" xfId="23192" xr:uid="{9137748A-EB56-4C77-BB00-1065C96B3D71}"/>
    <cellStyle name="SAPBEXHLevel0X 5 2 3" xfId="11690" xr:uid="{36121FBB-6896-46BC-953D-8208F56F0B22}"/>
    <cellStyle name="SAPBEXHLevel0X 5 2 3 2" xfId="23193" xr:uid="{CDBD8E42-E5FC-4FFF-91FF-88FE80997B97}"/>
    <cellStyle name="SAPBEXHLevel0X 5 2 4" xfId="23191" xr:uid="{7BAB94F7-7DA1-47AF-88D8-90B8A104FE8C}"/>
    <cellStyle name="SAPBEXHLevel0X 5 3" xfId="11691" xr:uid="{A1BF1830-E6E1-4836-846B-C0C17EB2AF5B}"/>
    <cellStyle name="SAPBEXHLevel0X 5 3 2" xfId="23194" xr:uid="{00FB6F58-C53A-49BA-8761-6B232A7F65F4}"/>
    <cellStyle name="SAPBEXHLevel0X 5 4" xfId="11692" xr:uid="{5A9C1D5D-16A1-4BB4-A58C-9D81E44FDCF6}"/>
    <cellStyle name="SAPBEXHLevel0X 5 4 2" xfId="23195" xr:uid="{E375DC0B-BD10-4AC9-ADE4-612784147A72}"/>
    <cellStyle name="SAPBEXHLevel0X 5 5" xfId="23190" xr:uid="{7AC1FF60-1BCD-415C-AFAD-27CFA731A730}"/>
    <cellStyle name="SAPBEXHLevel0X 6" xfId="11693" xr:uid="{7825743B-F753-43D9-AF71-DBCEB4736EC7}"/>
    <cellStyle name="SAPBEXHLevel0X 6 2" xfId="11694" xr:uid="{A1985208-A930-4DD3-BEBB-ABD5134A83E9}"/>
    <cellStyle name="SAPBEXHLevel0X 6 2 2" xfId="11695" xr:uid="{860649B7-0355-4E9C-89F9-7471A60733B2}"/>
    <cellStyle name="SAPBEXHLevel0X 6 2 2 2" xfId="23198" xr:uid="{F5A0687C-9B79-472D-80CF-2FF42E53297D}"/>
    <cellStyle name="SAPBEXHLevel0X 6 2 3" xfId="11696" xr:uid="{93E0FD28-D34D-48A5-B4FD-BED88749DB0F}"/>
    <cellStyle name="SAPBEXHLevel0X 6 2 3 2" xfId="23199" xr:uid="{33573873-AAC6-48D9-B27B-C0350389A107}"/>
    <cellStyle name="SAPBEXHLevel0X 6 2 4" xfId="23197" xr:uid="{01E9E868-1112-42CD-BD8F-77E4E89CD078}"/>
    <cellStyle name="SAPBEXHLevel0X 6 3" xfId="11697" xr:uid="{6E627C1A-DBE5-48F4-8FE4-768DB4CFC49D}"/>
    <cellStyle name="SAPBEXHLevel0X 6 3 2" xfId="23200" xr:uid="{B55689F8-A7FE-4D1E-A50C-0FE7776D30CD}"/>
    <cellStyle name="SAPBEXHLevel0X 6 4" xfId="11698" xr:uid="{BC07916E-E1B1-4C3C-BDBE-C43EEC92954A}"/>
    <cellStyle name="SAPBEXHLevel0X 6 4 2" xfId="23201" xr:uid="{78520D1A-08C5-4F9C-8939-2CBD82FE64FF}"/>
    <cellStyle name="SAPBEXHLevel0X 6 5" xfId="23196" xr:uid="{F3BD0EA1-9E86-4BEE-A86E-CE081AFD700A}"/>
    <cellStyle name="SAPBEXHLevel0X 7" xfId="11699" xr:uid="{5E4F55FC-8B3F-4761-BA6A-8C454BCBB9FA}"/>
    <cellStyle name="SAPBEXHLevel0X 7 2" xfId="11700" xr:uid="{5A615A78-0895-436E-AF5A-E5E2C11ADF36}"/>
    <cellStyle name="SAPBEXHLevel0X 7 2 2" xfId="11701" xr:uid="{666370ED-B698-48FD-87BE-97A39BAED171}"/>
    <cellStyle name="SAPBEXHLevel0X 7 2 2 2" xfId="23204" xr:uid="{353DAD3B-4931-47BB-95F1-AF7F1260C6F1}"/>
    <cellStyle name="SAPBEXHLevel0X 7 2 3" xfId="11702" xr:uid="{A5C09E26-6F68-416A-B541-C118CA5D25EF}"/>
    <cellStyle name="SAPBEXHLevel0X 7 2 3 2" xfId="23205" xr:uid="{9193BC32-A526-4B10-8691-6FEE5811BF29}"/>
    <cellStyle name="SAPBEXHLevel0X 7 2 4" xfId="23203" xr:uid="{FD20E904-B56B-4291-B8DD-8BCE8A6C9E97}"/>
    <cellStyle name="SAPBEXHLevel0X 7 3" xfId="11703" xr:uid="{27059B4E-0078-4135-8074-16E87695F015}"/>
    <cellStyle name="SAPBEXHLevel0X 7 3 2" xfId="23206" xr:uid="{34C22F98-F43A-4055-92FA-9B203BFF0E09}"/>
    <cellStyle name="SAPBEXHLevel0X 7 4" xfId="11704" xr:uid="{9D0B9A87-9889-43EF-9A96-8AE753B0B450}"/>
    <cellStyle name="SAPBEXHLevel0X 7 4 2" xfId="23207" xr:uid="{DACB28EA-1F72-4353-9BC2-52B2B3C13E86}"/>
    <cellStyle name="SAPBEXHLevel0X 7 5" xfId="23202" xr:uid="{E5592855-2F72-45BE-A4B4-C1352F538088}"/>
    <cellStyle name="SAPBEXHLevel0X 8" xfId="11705" xr:uid="{375C39C5-15EA-4228-B391-92D183BE43EF}"/>
    <cellStyle name="SAPBEXHLevel0X 8 2" xfId="11706" xr:uid="{3DCF2BFF-6749-484E-9867-38EB68687D51}"/>
    <cellStyle name="SAPBEXHLevel0X 8 2 2" xfId="11707" xr:uid="{3EAE1BF1-3C86-46BD-A990-13035E4213DD}"/>
    <cellStyle name="SAPBEXHLevel0X 8 2 2 2" xfId="23210" xr:uid="{2EE206C6-AA8A-4040-BA0E-894C202A88C3}"/>
    <cellStyle name="SAPBEXHLevel0X 8 2 3" xfId="11708" xr:uid="{0772729D-0D07-49E3-9BF5-CEF14FD421A7}"/>
    <cellStyle name="SAPBEXHLevel0X 8 2 3 2" xfId="23211" xr:uid="{EB088B66-21B1-459C-8A2D-465D4670E41D}"/>
    <cellStyle name="SAPBEXHLevel0X 8 2 4" xfId="23209" xr:uid="{8985B795-B7C9-4E7E-8B9B-EEE2D18AE53C}"/>
    <cellStyle name="SAPBEXHLevel0X 8 3" xfId="11709" xr:uid="{D0952536-1B30-47DC-B4DA-A3747CCE7F2F}"/>
    <cellStyle name="SAPBEXHLevel0X 8 3 2" xfId="23212" xr:uid="{4AA0FEB2-B653-42B5-A84E-9CB59A32DAC5}"/>
    <cellStyle name="SAPBEXHLevel0X 8 4" xfId="11710" xr:uid="{071280D2-FD9D-4995-AC88-EE24B9DDCD36}"/>
    <cellStyle name="SAPBEXHLevel0X 8 4 2" xfId="23213" xr:uid="{77676AB5-2A5C-4C64-8FC3-D89BAF48F977}"/>
    <cellStyle name="SAPBEXHLevel0X 8 5" xfId="23208" xr:uid="{90B1562F-8284-477D-B28B-BC73D1219763}"/>
    <cellStyle name="SAPBEXHLevel0X 9" xfId="11711" xr:uid="{F421508E-F246-441A-8851-910195DBFC18}"/>
    <cellStyle name="SAPBEXHLevel0X 9 2" xfId="11712" xr:uid="{64793E49-A6CB-4F29-A32E-00A2BACEE976}"/>
    <cellStyle name="SAPBEXHLevel0X 9 2 2" xfId="11713" xr:uid="{81674735-85C0-4E3C-BE42-902C5FBFEF8E}"/>
    <cellStyle name="SAPBEXHLevel0X 9 2 2 2" xfId="23216" xr:uid="{D62704C5-66F8-4080-8FA8-19921B4E351D}"/>
    <cellStyle name="SAPBEXHLevel0X 9 2 3" xfId="11714" xr:uid="{52240B8E-5CFD-4CE4-8962-72E47FEDF1F8}"/>
    <cellStyle name="SAPBEXHLevel0X 9 2 3 2" xfId="23217" xr:uid="{AE30E901-C831-40C9-8D66-0DF36AE38A29}"/>
    <cellStyle name="SAPBEXHLevel0X 9 2 4" xfId="23215" xr:uid="{79210E5B-527E-4535-B2B3-135A536EF6B0}"/>
    <cellStyle name="SAPBEXHLevel0X 9 3" xfId="11715" xr:uid="{A48399BE-FC02-44B9-BC17-FAE01A95B552}"/>
    <cellStyle name="SAPBEXHLevel0X 9 3 2" xfId="23218" xr:uid="{4C0CF56E-1B94-4C39-8837-DB959DD20E24}"/>
    <cellStyle name="SAPBEXHLevel0X 9 4" xfId="11716" xr:uid="{ABDAC8B7-96E6-4C66-B796-51AD7FD12669}"/>
    <cellStyle name="SAPBEXHLevel0X 9 4 2" xfId="23219" xr:uid="{9FEF7881-6FD7-4F46-BB18-334913529D02}"/>
    <cellStyle name="SAPBEXHLevel0X 9 5" xfId="23214" xr:uid="{2CC70939-3224-4261-BACA-9821EC988765}"/>
    <cellStyle name="SAPBEXHLevel0X_RP3 PP revised" xfId="15326" xr:uid="{91B31D71-A8F9-424B-9243-A3EC97F25953}"/>
    <cellStyle name="SAPBEXHLevel1" xfId="11717" xr:uid="{48F391C1-6C82-4132-8308-069AD8FF2514}"/>
    <cellStyle name="SAPBEXHLevel1 10" xfId="11718" xr:uid="{3CFABF2D-523B-48CB-A94F-8D5138D85067}"/>
    <cellStyle name="SAPBEXHLevel1 10 2" xfId="11719" xr:uid="{04814DBE-CA74-4376-B81E-375B5223A351}"/>
    <cellStyle name="SAPBEXHLevel1 10 2 2" xfId="11720" xr:uid="{AF9A3ECB-2357-4D06-BE5D-13737030AC8F}"/>
    <cellStyle name="SAPBEXHLevel1 10 2 2 2" xfId="23222" xr:uid="{18CBD441-F6E1-4B10-8B2B-B36F3DF4EF7E}"/>
    <cellStyle name="SAPBEXHLevel1 10 2 3" xfId="11721" xr:uid="{77500E49-CCFD-49E2-90D1-7F6A0B0043FB}"/>
    <cellStyle name="SAPBEXHLevel1 10 2 3 2" xfId="23223" xr:uid="{1A9650B0-DF47-440C-A830-6533F2A2B026}"/>
    <cellStyle name="SAPBEXHLevel1 10 2 4" xfId="23221" xr:uid="{3092090B-3D3E-43EF-B514-2D5A97A46193}"/>
    <cellStyle name="SAPBEXHLevel1 10 3" xfId="11722" xr:uid="{A439EC49-4D3A-4D69-8717-59AB6C0678CF}"/>
    <cellStyle name="SAPBEXHLevel1 10 3 2" xfId="23224" xr:uid="{31A07F7D-9A09-46D3-A411-AF4EE03DBB81}"/>
    <cellStyle name="SAPBEXHLevel1 10 4" xfId="11723" xr:uid="{AD695B05-DE76-409B-8A38-5A2433DB830A}"/>
    <cellStyle name="SAPBEXHLevel1 10 4 2" xfId="23225" xr:uid="{9C3859D8-7D03-4931-BC80-03E3FACAE35C}"/>
    <cellStyle name="SAPBEXHLevel1 10 5" xfId="23220" xr:uid="{F08CF809-912E-43EC-A3CB-5C5FB7296554}"/>
    <cellStyle name="SAPBEXHLevel1 11" xfId="11724" xr:uid="{9F406ADB-2C79-44DD-B768-9FE266F38A37}"/>
    <cellStyle name="SAPBEXHLevel1 11 2" xfId="11725" xr:uid="{D40A3C5D-4AD4-4F3F-9CDA-911F218228EA}"/>
    <cellStyle name="SAPBEXHLevel1 11 2 2" xfId="11726" xr:uid="{F30017D5-99CE-4457-9F0F-E1F3D48C36EA}"/>
    <cellStyle name="SAPBEXHLevel1 11 2 2 2" xfId="23228" xr:uid="{536452A4-F0E1-4661-AFBB-88EF922D760C}"/>
    <cellStyle name="SAPBEXHLevel1 11 2 3" xfId="11727" xr:uid="{FB17BA20-1EB6-480E-9B7A-12E412970C99}"/>
    <cellStyle name="SAPBEXHLevel1 11 2 3 2" xfId="23229" xr:uid="{DFAC9261-435E-4E99-AAE1-09B19165614B}"/>
    <cellStyle name="SAPBEXHLevel1 11 2 4" xfId="23227" xr:uid="{DC37D302-EDF0-4A73-9A54-792E983CCD2B}"/>
    <cellStyle name="SAPBEXHLevel1 11 3" xfId="11728" xr:uid="{7A3F70B1-3FD6-4704-A953-7DB375D98B21}"/>
    <cellStyle name="SAPBEXHLevel1 11 3 2" xfId="23230" xr:uid="{77CE38D7-CB9B-4702-BC44-4B29EBBCD941}"/>
    <cellStyle name="SAPBEXHLevel1 11 4" xfId="11729" xr:uid="{7239D5DE-0D6E-44AF-BF54-18F59A9E2E6F}"/>
    <cellStyle name="SAPBEXHLevel1 11 4 2" xfId="23231" xr:uid="{4AF196A0-03A2-4AE8-A4ED-174C431F94BC}"/>
    <cellStyle name="SAPBEXHLevel1 11 5" xfId="23226" xr:uid="{8BBC4919-8C96-4912-9258-6BC2AC6DCF22}"/>
    <cellStyle name="SAPBEXHLevel1 12" xfId="11730" xr:uid="{28FF26E9-5C3A-41B8-AA32-8C45103CE5AF}"/>
    <cellStyle name="SAPBEXHLevel1 12 2" xfId="11731" xr:uid="{A42CACF8-21B0-430E-9B79-6FEDA71AEDE9}"/>
    <cellStyle name="SAPBEXHLevel1 12 2 2" xfId="11732" xr:uid="{E5B3C247-2665-43B1-AEA8-42419A0FEAA4}"/>
    <cellStyle name="SAPBEXHLevel1 12 2 2 2" xfId="23234" xr:uid="{49938F46-4B50-445E-8A22-4639F2671DE6}"/>
    <cellStyle name="SAPBEXHLevel1 12 2 3" xfId="11733" xr:uid="{9EE7E55A-37AF-4274-9BB6-A38AD297530E}"/>
    <cellStyle name="SAPBEXHLevel1 12 2 3 2" xfId="23235" xr:uid="{9C74455E-105E-4186-A1A8-5D303390D13F}"/>
    <cellStyle name="SAPBEXHLevel1 12 2 4" xfId="23233" xr:uid="{CA24CA4A-5E54-4B5E-A570-FFB865FC60C5}"/>
    <cellStyle name="SAPBEXHLevel1 12 3" xfId="11734" xr:uid="{5EB02D95-8561-46B7-8F65-179525D85332}"/>
    <cellStyle name="SAPBEXHLevel1 12 3 2" xfId="23236" xr:uid="{EE6A8F80-C03E-4CD5-A1C8-ACCAE53DBA53}"/>
    <cellStyle name="SAPBEXHLevel1 12 4" xfId="11735" xr:uid="{5C377885-5B71-4D46-93F1-7197E05BD86C}"/>
    <cellStyle name="SAPBEXHLevel1 12 4 2" xfId="23237" xr:uid="{79B2F779-569C-4779-9B58-23518B63DE93}"/>
    <cellStyle name="SAPBEXHLevel1 12 5" xfId="23232" xr:uid="{6B585651-EE06-4E27-A750-D2311C77CA6E}"/>
    <cellStyle name="SAPBEXHLevel1 13" xfId="11736" xr:uid="{606AF68A-881D-42E4-943A-6D5A3822968B}"/>
    <cellStyle name="SAPBEXHLevel1 13 2" xfId="11737" xr:uid="{A7E97E42-212D-43AE-8165-ED558C9E9909}"/>
    <cellStyle name="SAPBEXHLevel1 13 2 2" xfId="11738" xr:uid="{6F317F74-45CF-4621-AF97-DCBC2D3F3878}"/>
    <cellStyle name="SAPBEXHLevel1 13 2 2 2" xfId="23240" xr:uid="{98C018DF-3133-4ADD-92FF-595CA86E3088}"/>
    <cellStyle name="SAPBEXHLevel1 13 2 3" xfId="11739" xr:uid="{AC562DDD-F86A-4BC8-B60D-05D1CECAD1DC}"/>
    <cellStyle name="SAPBEXHLevel1 13 2 3 2" xfId="23241" xr:uid="{0A0D1D04-901D-48D3-A0B7-01380801B88B}"/>
    <cellStyle name="SAPBEXHLevel1 13 2 4" xfId="23239" xr:uid="{AF98F68D-7B0C-4BDA-9798-E517A64CA62E}"/>
    <cellStyle name="SAPBEXHLevel1 13 3" xfId="11740" xr:uid="{BB0A1415-F107-4D9D-B500-CC3250FEF37E}"/>
    <cellStyle name="SAPBEXHLevel1 13 3 2" xfId="23242" xr:uid="{BF7CD08E-71BF-4CB7-AF16-970916824996}"/>
    <cellStyle name="SAPBEXHLevel1 13 4" xfId="11741" xr:uid="{9101BB2C-0660-475F-96D2-C8138FA08701}"/>
    <cellStyle name="SAPBEXHLevel1 13 4 2" xfId="23243" xr:uid="{6A0DABE6-0A6F-472F-9FBF-EFFA6241E242}"/>
    <cellStyle name="SAPBEXHLevel1 13 5" xfId="23238" xr:uid="{462DE151-E6F5-4AA3-86D8-26EEEE9F6751}"/>
    <cellStyle name="SAPBEXHLevel1 14" xfId="11742" xr:uid="{430B91AE-A4AA-4772-99A3-ACF15DEDAA99}"/>
    <cellStyle name="SAPBEXHLevel1 14 2" xfId="11743" xr:uid="{A51CBBA9-7FF9-4603-9FDA-B641887C4B7E}"/>
    <cellStyle name="SAPBEXHLevel1 14 2 2" xfId="11744" xr:uid="{3BDC6F72-65C5-4834-A057-CBCF70E5A7BC}"/>
    <cellStyle name="SAPBEXHLevel1 14 2 2 2" xfId="23246" xr:uid="{FBD918A0-F1C8-452A-B24A-C3991D2E5429}"/>
    <cellStyle name="SAPBEXHLevel1 14 2 3" xfId="11745" xr:uid="{B52D01D3-8FBD-43AB-94BE-EDA0EE373D20}"/>
    <cellStyle name="SAPBEXHLevel1 14 2 3 2" xfId="23247" xr:uid="{7084E689-3406-4DCB-9315-6543C623DDEC}"/>
    <cellStyle name="SAPBEXHLevel1 14 2 4" xfId="23245" xr:uid="{2FFC66C1-61E9-484D-BA62-AD618563DDE7}"/>
    <cellStyle name="SAPBEXHLevel1 14 3" xfId="11746" xr:uid="{9E3BDE58-9DFA-4125-B2C1-8CEA60DC4AFA}"/>
    <cellStyle name="SAPBEXHLevel1 14 3 2" xfId="23248" xr:uid="{3EB5BF8D-C66F-4851-8BE6-4C4C48B124BE}"/>
    <cellStyle name="SAPBEXHLevel1 14 4" xfId="11747" xr:uid="{E982A2A3-020C-421C-985C-67C015E4996C}"/>
    <cellStyle name="SAPBEXHLevel1 14 4 2" xfId="23249" xr:uid="{78FD966D-B06D-45FA-AD98-1E9FA923E0D0}"/>
    <cellStyle name="SAPBEXHLevel1 14 5" xfId="23244" xr:uid="{EAEDE482-1BD5-4FAD-9927-429650EDCB1C}"/>
    <cellStyle name="SAPBEXHLevel1 15" xfId="11748" xr:uid="{879512B8-755E-495D-9F10-DEDBD65EB4A2}"/>
    <cellStyle name="SAPBEXHLevel1 15 2" xfId="11749" xr:uid="{A2A9D2A8-F5D3-4101-BF3C-F0D748EA2AEE}"/>
    <cellStyle name="SAPBEXHLevel1 15 2 2" xfId="11750" xr:uid="{75A822E0-1FA5-4AB2-A10C-7D9A6CF2C709}"/>
    <cellStyle name="SAPBEXHLevel1 15 2 2 2" xfId="23252" xr:uid="{3B0222DE-3E60-420D-8957-07DB21771967}"/>
    <cellStyle name="SAPBEXHLevel1 15 2 3" xfId="11751" xr:uid="{63106225-DC22-472D-A096-A41C4DCCE2D4}"/>
    <cellStyle name="SAPBEXHLevel1 15 2 3 2" xfId="23253" xr:uid="{8C928907-B31D-4AA0-B2C1-3273A92EE15B}"/>
    <cellStyle name="SAPBEXHLevel1 15 2 4" xfId="23251" xr:uid="{5698BAA2-C88B-44C7-B211-F0A4D978D52D}"/>
    <cellStyle name="SAPBEXHLevel1 15 3" xfId="11752" xr:uid="{BC18A2C0-8780-4573-991A-65D22BB642A5}"/>
    <cellStyle name="SAPBEXHLevel1 15 3 2" xfId="23254" xr:uid="{5D4E4E4F-0DD2-4305-9DF2-03DA750F2F6F}"/>
    <cellStyle name="SAPBEXHLevel1 15 4" xfId="11753" xr:uid="{C5A3AEB9-DAB7-4F54-B352-4C09384520B4}"/>
    <cellStyle name="SAPBEXHLevel1 15 4 2" xfId="23255" xr:uid="{71F5BF97-D4EC-4247-B5DF-3C5B646F4481}"/>
    <cellStyle name="SAPBEXHLevel1 15 5" xfId="23250" xr:uid="{30356A60-C780-4753-8BB5-8F13899FEA2C}"/>
    <cellStyle name="SAPBEXHLevel1 16" xfId="11754" xr:uid="{14F9CB0A-0AEE-44AE-A1E0-180A5A26F412}"/>
    <cellStyle name="SAPBEXHLevel1 16 2" xfId="23256" xr:uid="{813FDC2C-E1CE-4E70-846E-1358CA62CF68}"/>
    <cellStyle name="SAPBEXHLevel1 17" xfId="11755" xr:uid="{AA57E5FB-08B2-4F13-A0B6-22824D24F69D}"/>
    <cellStyle name="SAPBEXHLevel1 17 2" xfId="23257" xr:uid="{FB096FE4-D54E-41A4-B508-CB0434E0D1E9}"/>
    <cellStyle name="SAPBEXHLevel1 18" xfId="11756" xr:uid="{0909A32A-2F8F-4016-B94F-E5A96D9BEF10}"/>
    <cellStyle name="SAPBEXHLevel1 18 2" xfId="23258" xr:uid="{8BD15AAA-ECAD-4DD1-8B65-523A5821A92B}"/>
    <cellStyle name="SAPBEXHLevel1 19" xfId="11757" xr:uid="{79DDDDB0-044A-49C3-870C-F0C1AA295881}"/>
    <cellStyle name="SAPBEXHLevel1 19 2" xfId="23259" xr:uid="{5E550384-74BB-4685-96F2-807A83FE0F8E}"/>
    <cellStyle name="SAPBEXHLevel1 2" xfId="11758" xr:uid="{26F86396-A3C4-4C38-BF23-FA2371969DB0}"/>
    <cellStyle name="SAPBEXHLevel1 2 2" xfId="11759" xr:uid="{7D669FEE-4C22-4544-8BFC-AD9547A1D153}"/>
    <cellStyle name="SAPBEXHLevel1 2 2 2" xfId="11760" xr:uid="{2CB5F899-6422-4607-9734-C5105D2BA7B6}"/>
    <cellStyle name="SAPBEXHLevel1 2 2 2 2" xfId="23262" xr:uid="{D79D151B-02B3-41F6-A8E7-68B68BE5CDB7}"/>
    <cellStyle name="SAPBEXHLevel1 2 2 3" xfId="11761" xr:uid="{9C7D1FCC-CA7E-4F2E-B582-0407095C1754}"/>
    <cellStyle name="SAPBEXHLevel1 2 2 3 2" xfId="23263" xr:uid="{823143C8-30AC-426C-A5B7-5EC963DBA7B4}"/>
    <cellStyle name="SAPBEXHLevel1 2 2 4" xfId="23261" xr:uid="{7AE7447B-EA1E-4832-9CDF-4C3F6FC64A5D}"/>
    <cellStyle name="SAPBEXHLevel1 2 3" xfId="11762" xr:uid="{C8AED72B-C1E5-4485-B962-9AD0C397E344}"/>
    <cellStyle name="SAPBEXHLevel1 2 3 2" xfId="23264" xr:uid="{EA548FB4-600C-4952-AE7E-2E829C1B9DD0}"/>
    <cellStyle name="SAPBEXHLevel1 2 4" xfId="11763" xr:uid="{E6B30DBD-BB4D-413B-AF01-08424089F318}"/>
    <cellStyle name="SAPBEXHLevel1 2 4 2" xfId="23265" xr:uid="{A63C4B84-845B-41CB-8F8D-CDB3B7029D9B}"/>
    <cellStyle name="SAPBEXHLevel1 2 5" xfId="23260" xr:uid="{357026CA-A5FA-44B1-8055-57A789635DB9}"/>
    <cellStyle name="SAPBEXHLevel1 20" xfId="15182" xr:uid="{672EC1E6-4937-406B-8393-52288853DF32}"/>
    <cellStyle name="SAPBEXHLevel1 3" xfId="11764" xr:uid="{F9C8120F-E4D0-465C-A6D3-5D272FD8DD0B}"/>
    <cellStyle name="SAPBEXHLevel1 3 2" xfId="11765" xr:uid="{EFA8089D-57A2-4AED-BC4D-87200338AB07}"/>
    <cellStyle name="SAPBEXHLevel1 3 2 2" xfId="11766" xr:uid="{E4772F1E-5DC2-4306-9502-E0B401EDD346}"/>
    <cellStyle name="SAPBEXHLevel1 3 2 2 2" xfId="23268" xr:uid="{D19C4728-E0A2-4957-B5B3-F03BD2426304}"/>
    <cellStyle name="SAPBEXHLevel1 3 2 3" xfId="11767" xr:uid="{3BD59A25-FA29-4FB4-8C13-CCE4B8EB2DF8}"/>
    <cellStyle name="SAPBEXHLevel1 3 2 3 2" xfId="23269" xr:uid="{07A4B7B8-98FD-453B-96D5-87BD462301FC}"/>
    <cellStyle name="SAPBEXHLevel1 3 2 4" xfId="23267" xr:uid="{162612E6-3405-47DD-B8A4-C97A8D067D2B}"/>
    <cellStyle name="SAPBEXHLevel1 3 3" xfId="11768" xr:uid="{49A64386-E820-4D12-A379-914DB0BCBD24}"/>
    <cellStyle name="SAPBEXHLevel1 3 3 2" xfId="23270" xr:uid="{30C7ABC9-926C-43BB-8EC9-1F36BB17F012}"/>
    <cellStyle name="SAPBEXHLevel1 3 4" xfId="11769" xr:uid="{760668E0-C7EC-4F15-9779-8123490A590C}"/>
    <cellStyle name="SAPBEXHLevel1 3 4 2" xfId="23271" xr:uid="{9AF71711-5828-4B08-94EC-C7B33E0160EF}"/>
    <cellStyle name="SAPBEXHLevel1 3 5" xfId="23266" xr:uid="{F8D6BEE9-3C34-4626-8428-06601882E52D}"/>
    <cellStyle name="SAPBEXHLevel1 4" xfId="11770" xr:uid="{677D05B2-3035-4697-9275-E2C0738F36F9}"/>
    <cellStyle name="SAPBEXHLevel1 4 2" xfId="11771" xr:uid="{CB1D3E64-BCC9-4DE4-AF9C-4D57F0DB0D36}"/>
    <cellStyle name="SAPBEXHLevel1 4 2 2" xfId="11772" xr:uid="{A3D1E362-00D7-47BE-B826-1E74F9FC09C9}"/>
    <cellStyle name="SAPBEXHLevel1 4 2 2 2" xfId="23274" xr:uid="{46DCC770-0A53-4FB2-BCD5-391D31BFD62F}"/>
    <cellStyle name="SAPBEXHLevel1 4 2 3" xfId="11773" xr:uid="{A4C9C002-CCDD-4A94-A653-6C367AA92141}"/>
    <cellStyle name="SAPBEXHLevel1 4 2 3 2" xfId="23275" xr:uid="{DCCACA59-37C6-4E87-A976-D533B496B59E}"/>
    <cellStyle name="SAPBEXHLevel1 4 2 4" xfId="23273" xr:uid="{0404B092-5DC7-492C-82E5-3EEB297852F5}"/>
    <cellStyle name="SAPBEXHLevel1 4 3" xfId="11774" xr:uid="{922A440B-650D-4880-B802-433F0ACB879E}"/>
    <cellStyle name="SAPBEXHLevel1 4 3 2" xfId="23276" xr:uid="{D290E5F3-7674-4A9E-8795-C5A04A134848}"/>
    <cellStyle name="SAPBEXHLevel1 4 4" xfId="11775" xr:uid="{4BFFFBD5-204B-4F60-8A3C-4DB80FCE6011}"/>
    <cellStyle name="SAPBEXHLevel1 4 4 2" xfId="23277" xr:uid="{A9FC0213-BE56-44CC-B010-E3037AA072A1}"/>
    <cellStyle name="SAPBEXHLevel1 4 5" xfId="23272" xr:uid="{DB2AF570-C9BC-4F63-A1C3-163F2502E3C9}"/>
    <cellStyle name="SAPBEXHLevel1 5" xfId="11776" xr:uid="{5483F0ED-559C-4A00-A11F-21B1C2985525}"/>
    <cellStyle name="SAPBEXHLevel1 5 2" xfId="11777" xr:uid="{BEC91B35-6F5F-49F3-9FB4-B0F43DDB0BFD}"/>
    <cellStyle name="SAPBEXHLevel1 5 2 2" xfId="11778" xr:uid="{3CDE350A-5B05-4FBA-9AB3-55B5A6C39D5C}"/>
    <cellStyle name="SAPBEXHLevel1 5 2 2 2" xfId="23280" xr:uid="{0E97160F-18CC-4B23-A239-66D0B0BF074A}"/>
    <cellStyle name="SAPBEXHLevel1 5 2 3" xfId="11779" xr:uid="{5BD9BBE3-604B-4ECC-B48D-51EBBF112A83}"/>
    <cellStyle name="SAPBEXHLevel1 5 2 3 2" xfId="23281" xr:uid="{AE91AABC-B5A8-4E34-9260-B158C119E833}"/>
    <cellStyle name="SAPBEXHLevel1 5 2 4" xfId="23279" xr:uid="{C0D6ECCC-816F-4EFD-965C-E94FDAFF8EA0}"/>
    <cellStyle name="SAPBEXHLevel1 5 3" xfId="11780" xr:uid="{B31BC252-2BFE-475A-8578-5E201BE70CBB}"/>
    <cellStyle name="SAPBEXHLevel1 5 3 2" xfId="23282" xr:uid="{08C5C975-5FA7-453A-B5EB-CA6CB52D08AD}"/>
    <cellStyle name="SAPBEXHLevel1 5 4" xfId="11781" xr:uid="{EBCDEFB6-F11A-4E34-9DD6-1851B2B471E1}"/>
    <cellStyle name="SAPBEXHLevel1 5 4 2" xfId="23283" xr:uid="{DE65FDC6-D769-4C02-8709-3D946CE717C8}"/>
    <cellStyle name="SAPBEXHLevel1 5 5" xfId="23278" xr:uid="{39A40634-98C4-4328-8F19-3634720684E9}"/>
    <cellStyle name="SAPBEXHLevel1 6" xfId="11782" xr:uid="{2E0C13AB-B4A6-49F7-BE84-FCDA940BC5BA}"/>
    <cellStyle name="SAPBEXHLevel1 6 2" xfId="11783" xr:uid="{6BB5F995-DAED-4360-8D86-31264CE57389}"/>
    <cellStyle name="SAPBEXHLevel1 6 2 2" xfId="11784" xr:uid="{7A31BD0B-13E7-4775-A839-6427A3BDACD8}"/>
    <cellStyle name="SAPBEXHLevel1 6 2 2 2" xfId="23286" xr:uid="{4E3EC272-D450-41D4-81B2-472AC0DDBA7C}"/>
    <cellStyle name="SAPBEXHLevel1 6 2 3" xfId="11785" xr:uid="{BB029F45-FF18-41FC-9550-98A12A0ED9F6}"/>
    <cellStyle name="SAPBEXHLevel1 6 2 3 2" xfId="23287" xr:uid="{A36B365C-B721-4C3C-ABA3-0BC00DC2FB02}"/>
    <cellStyle name="SAPBEXHLevel1 6 2 4" xfId="23285" xr:uid="{78B8BB72-296E-453B-A8B8-3157C79F4382}"/>
    <cellStyle name="SAPBEXHLevel1 6 3" xfId="11786" xr:uid="{77308806-B73C-4C8A-B3AF-D1F2C4FFE3A0}"/>
    <cellStyle name="SAPBEXHLevel1 6 3 2" xfId="23288" xr:uid="{CD7416DD-A228-4ECF-9B6D-773A1DDA0AA0}"/>
    <cellStyle name="SAPBEXHLevel1 6 4" xfId="11787" xr:uid="{B7D49FEB-8408-47BA-A189-98ED188FC9F5}"/>
    <cellStyle name="SAPBEXHLevel1 6 4 2" xfId="23289" xr:uid="{B758D455-3594-4E3E-81B7-A099620D3310}"/>
    <cellStyle name="SAPBEXHLevel1 6 5" xfId="23284" xr:uid="{C2EA87BC-E1C4-4570-A6B4-17BA1532594C}"/>
    <cellStyle name="SAPBEXHLevel1 7" xfId="11788" xr:uid="{136DBBC6-0809-4CB1-8A75-6EF82B449CDB}"/>
    <cellStyle name="SAPBEXHLevel1 7 2" xfId="11789" xr:uid="{8AF61403-EEF4-4309-9858-7F02967D3E80}"/>
    <cellStyle name="SAPBEXHLevel1 7 2 2" xfId="11790" xr:uid="{C4B6171C-785B-42D0-A9C9-900A33608B93}"/>
    <cellStyle name="SAPBEXHLevel1 7 2 2 2" xfId="23292" xr:uid="{4A9B48F5-1DDE-42F0-87B7-64C5D24E4167}"/>
    <cellStyle name="SAPBEXHLevel1 7 2 3" xfId="11791" xr:uid="{361D2187-86FE-430C-94C0-4823C4E2BD16}"/>
    <cellStyle name="SAPBEXHLevel1 7 2 3 2" xfId="23293" xr:uid="{53727890-E799-411F-B7C6-AB40B135DC7F}"/>
    <cellStyle name="SAPBEXHLevel1 7 2 4" xfId="23291" xr:uid="{3C559D24-F6AC-4AD7-B9B3-9CFF3E285134}"/>
    <cellStyle name="SAPBEXHLevel1 7 3" xfId="11792" xr:uid="{0F3F8CCF-68A6-4DF8-9E23-4E2C5027679D}"/>
    <cellStyle name="SAPBEXHLevel1 7 3 2" xfId="23294" xr:uid="{539BBFD8-A0A2-497F-BDB9-8C619D21A7D8}"/>
    <cellStyle name="SAPBEXHLevel1 7 4" xfId="11793" xr:uid="{D4A7C0C4-F6A9-4FE8-AFE5-EF2FB682716D}"/>
    <cellStyle name="SAPBEXHLevel1 7 4 2" xfId="23295" xr:uid="{D0553F42-5B0E-4F59-A791-45CEA9D3634F}"/>
    <cellStyle name="SAPBEXHLevel1 7 5" xfId="23290" xr:uid="{05628B4C-2312-4302-89FE-16D59BB492A8}"/>
    <cellStyle name="SAPBEXHLevel1 8" xfId="11794" xr:uid="{3A1D7725-CCE5-4A3F-AB45-5562CAD53F3F}"/>
    <cellStyle name="SAPBEXHLevel1 8 2" xfId="11795" xr:uid="{B34E8D64-AE96-4590-850D-70C16EA92886}"/>
    <cellStyle name="SAPBEXHLevel1 8 2 2" xfId="11796" xr:uid="{7AA446C8-986B-4E81-BAB4-B1D8571D40E3}"/>
    <cellStyle name="SAPBEXHLevel1 8 2 2 2" xfId="23298" xr:uid="{1F5DB25A-F914-4EA0-9A91-FBE81CF01156}"/>
    <cellStyle name="SAPBEXHLevel1 8 2 3" xfId="11797" xr:uid="{7EA2F44C-BD30-4D25-8CBD-3A72A08358C5}"/>
    <cellStyle name="SAPBEXHLevel1 8 2 3 2" xfId="23299" xr:uid="{C6A39D57-A0EB-456A-B343-D288DF005FE8}"/>
    <cellStyle name="SAPBEXHLevel1 8 2 4" xfId="23297" xr:uid="{71A05FC9-B333-4992-8FE4-AB37D4172CA9}"/>
    <cellStyle name="SAPBEXHLevel1 8 3" xfId="11798" xr:uid="{80D6E4F7-A0E2-493F-AC37-295065FAC12D}"/>
    <cellStyle name="SAPBEXHLevel1 8 3 2" xfId="23300" xr:uid="{773E3F67-4EC7-479F-B28B-E7A8B7CE12EF}"/>
    <cellStyle name="SAPBEXHLevel1 8 4" xfId="11799" xr:uid="{CB435D54-08E1-4ABA-BCA2-18FA9336B748}"/>
    <cellStyle name="SAPBEXHLevel1 8 4 2" xfId="23301" xr:uid="{9CDF5FD8-DA8D-40AC-80BC-1CAD89165933}"/>
    <cellStyle name="SAPBEXHLevel1 8 5" xfId="23296" xr:uid="{64831D55-2E88-49A5-8A9C-0D2C28757AD9}"/>
    <cellStyle name="SAPBEXHLevel1 9" xfId="11800" xr:uid="{B28D0FA8-1E22-4A9F-B234-949A72E0DABB}"/>
    <cellStyle name="SAPBEXHLevel1 9 2" xfId="11801" xr:uid="{C6490590-F523-4801-8EEA-EF8302173A81}"/>
    <cellStyle name="SAPBEXHLevel1 9 2 2" xfId="11802" xr:uid="{F5E999AF-54EC-4BC9-AD28-56AFB3938089}"/>
    <cellStyle name="SAPBEXHLevel1 9 2 2 2" xfId="23304" xr:uid="{DFE41772-FF04-4507-A86C-E4CB62848291}"/>
    <cellStyle name="SAPBEXHLevel1 9 2 3" xfId="11803" xr:uid="{AFE1D31E-92EF-45B8-ACE1-3A962408CAA2}"/>
    <cellStyle name="SAPBEXHLevel1 9 2 3 2" xfId="23305" xr:uid="{BA284BF9-FF21-43BC-A32E-6D78FD3562D9}"/>
    <cellStyle name="SAPBEXHLevel1 9 2 4" xfId="23303" xr:uid="{03691AB6-6328-423C-9299-707362B4EDFF}"/>
    <cellStyle name="SAPBEXHLevel1 9 3" xfId="11804" xr:uid="{D7A174EF-05D8-43E5-A28E-B1938B5C70B2}"/>
    <cellStyle name="SAPBEXHLevel1 9 3 2" xfId="23306" xr:uid="{B9C4DC0A-1959-473A-BEE1-ACBE9FB1AEC3}"/>
    <cellStyle name="SAPBEXHLevel1 9 4" xfId="11805" xr:uid="{1F4740C6-A165-4B8C-9D3D-B10FDE8557C5}"/>
    <cellStyle name="SAPBEXHLevel1 9 4 2" xfId="23307" xr:uid="{D5DA1C71-E2BB-440A-88CB-3BEF88E8D879}"/>
    <cellStyle name="SAPBEXHLevel1 9 5" xfId="23302" xr:uid="{BC07F25B-790A-422A-AEDE-DDA4207DFB99}"/>
    <cellStyle name="SAPBEXHLevel1_RP3 PP revised" xfId="15066" xr:uid="{78550ED9-0F09-47A1-9F27-F1FFCB1F8B6E}"/>
    <cellStyle name="SAPBEXHLevel1X" xfId="11806" xr:uid="{DE66E30D-4CE2-46B5-B75B-1A88662E1629}"/>
    <cellStyle name="SAPBEXHLevel1X 10" xfId="11807" xr:uid="{CB839652-0BDB-4778-A700-C51A9AD60353}"/>
    <cellStyle name="SAPBEXHLevel1X 10 2" xfId="11808" xr:uid="{17ADAE81-7B00-409B-818D-9913866C4DB9}"/>
    <cellStyle name="SAPBEXHLevel1X 10 2 2" xfId="11809" xr:uid="{1FE0D709-208F-470F-9900-994E9731A661}"/>
    <cellStyle name="SAPBEXHLevel1X 10 2 2 2" xfId="23310" xr:uid="{1495E9FD-8408-4D30-BEA1-EFA621184FE5}"/>
    <cellStyle name="SAPBEXHLevel1X 10 2 3" xfId="11810" xr:uid="{B5242C39-64E4-41C1-95EB-28FFE3A89F92}"/>
    <cellStyle name="SAPBEXHLevel1X 10 2 3 2" xfId="23311" xr:uid="{6A12BFC2-75FD-4507-8A5F-0746B01FAF4E}"/>
    <cellStyle name="SAPBEXHLevel1X 10 2 4" xfId="23309" xr:uid="{259DDC82-5C91-473C-A978-2EF50E760386}"/>
    <cellStyle name="SAPBEXHLevel1X 10 3" xfId="11811" xr:uid="{8BB3FE9A-B7C2-4378-B761-3F8D817A12BB}"/>
    <cellStyle name="SAPBEXHLevel1X 10 3 2" xfId="23312" xr:uid="{554F2741-B239-4AC4-AB71-B5A66D42B12B}"/>
    <cellStyle name="SAPBEXHLevel1X 10 4" xfId="11812" xr:uid="{1F50DD55-432B-49E1-9DB1-B88D2D9E1D59}"/>
    <cellStyle name="SAPBEXHLevel1X 10 4 2" xfId="23313" xr:uid="{36E5B412-13AD-4AA4-ABA9-DB185E485DC0}"/>
    <cellStyle name="SAPBEXHLevel1X 10 5" xfId="23308" xr:uid="{9F2CF023-6B2D-41A7-8699-D830D3D3F529}"/>
    <cellStyle name="SAPBEXHLevel1X 11" xfId="11813" xr:uid="{FF513129-6FB5-4FD5-A863-B39F2C7E424E}"/>
    <cellStyle name="SAPBEXHLevel1X 11 2" xfId="11814" xr:uid="{CA1B9CDC-DD60-4D49-9DAB-E92E0EBA1E42}"/>
    <cellStyle name="SAPBEXHLevel1X 11 2 2" xfId="11815" xr:uid="{2C71FE59-9805-483E-9467-3C440D36EE4E}"/>
    <cellStyle name="SAPBEXHLevel1X 11 2 2 2" xfId="23316" xr:uid="{C0B43807-357D-44C6-AF04-D830DDCEA2D6}"/>
    <cellStyle name="SAPBEXHLevel1X 11 2 3" xfId="11816" xr:uid="{D54358C7-7499-45EF-AF0F-4F85EBC71E21}"/>
    <cellStyle name="SAPBEXHLevel1X 11 2 3 2" xfId="23317" xr:uid="{2C3B1F2E-E60D-4D97-81FB-0A13CEE2A7D6}"/>
    <cellStyle name="SAPBEXHLevel1X 11 2 4" xfId="23315" xr:uid="{574926EF-EC05-4289-BBF7-5F617F5F4B77}"/>
    <cellStyle name="SAPBEXHLevel1X 11 3" xfId="11817" xr:uid="{F74714DD-C3AF-4E1F-BBBE-846993DA3AB2}"/>
    <cellStyle name="SAPBEXHLevel1X 11 3 2" xfId="23318" xr:uid="{66ED625D-E910-4033-B47B-78709415EA83}"/>
    <cellStyle name="SAPBEXHLevel1X 11 4" xfId="11818" xr:uid="{7A16673A-DF9A-4F19-8D7C-FA688B10E942}"/>
    <cellStyle name="SAPBEXHLevel1X 11 4 2" xfId="23319" xr:uid="{5BDEEE1F-F65E-4889-A66D-25928CF2214E}"/>
    <cellStyle name="SAPBEXHLevel1X 11 5" xfId="23314" xr:uid="{E27E7FF6-5CB7-438C-96CC-D72BB2A08787}"/>
    <cellStyle name="SAPBEXHLevel1X 12" xfId="11819" xr:uid="{F386A150-2606-4768-88B6-FE59DF515E59}"/>
    <cellStyle name="SAPBEXHLevel1X 12 2" xfId="11820" xr:uid="{3BDE2928-7CAE-4E38-9CC4-8BE8130903AE}"/>
    <cellStyle name="SAPBEXHLevel1X 12 2 2" xfId="11821" xr:uid="{8404D8DE-8625-4025-86B8-7D66FD1D0BEB}"/>
    <cellStyle name="SAPBEXHLevel1X 12 2 2 2" xfId="23322" xr:uid="{65B4EE73-B43D-4BD4-9B19-744764C6A027}"/>
    <cellStyle name="SAPBEXHLevel1X 12 2 3" xfId="11822" xr:uid="{CA339EA8-51C2-44BC-8B0E-F39494EFDFEB}"/>
    <cellStyle name="SAPBEXHLevel1X 12 2 3 2" xfId="23323" xr:uid="{D1E13370-298B-48A7-BA48-5C3DE26F017D}"/>
    <cellStyle name="SAPBEXHLevel1X 12 2 4" xfId="23321" xr:uid="{07F02723-AA5E-4F42-AF27-F79BDA18C00F}"/>
    <cellStyle name="SAPBEXHLevel1X 12 3" xfId="11823" xr:uid="{5BB6CADA-DA4C-48C7-BA31-F26A786F5D7B}"/>
    <cellStyle name="SAPBEXHLevel1X 12 3 2" xfId="23324" xr:uid="{83EC9D00-50C5-478D-BB56-8D630E7DFFD8}"/>
    <cellStyle name="SAPBEXHLevel1X 12 4" xfId="11824" xr:uid="{91E6F5A4-0DCA-4E2F-B896-AC379B573E21}"/>
    <cellStyle name="SAPBEXHLevel1X 12 4 2" xfId="23325" xr:uid="{E792C498-155C-41BE-AC74-2B741FA2A670}"/>
    <cellStyle name="SAPBEXHLevel1X 12 5" xfId="23320" xr:uid="{71BC476D-8657-43BC-B5F4-3B98C1529AC8}"/>
    <cellStyle name="SAPBEXHLevel1X 13" xfId="11825" xr:uid="{E35FC474-5E94-4302-B872-C8C0C4865346}"/>
    <cellStyle name="SAPBEXHLevel1X 13 2" xfId="11826" xr:uid="{44627168-8CFB-4F53-9BF0-386260681EE7}"/>
    <cellStyle name="SAPBEXHLevel1X 13 2 2" xfId="11827" xr:uid="{9640547E-7560-4580-9C48-5612EEFBF0AD}"/>
    <cellStyle name="SAPBEXHLevel1X 13 2 2 2" xfId="23328" xr:uid="{CEDC6723-D4EC-4D68-935D-53784B75020B}"/>
    <cellStyle name="SAPBEXHLevel1X 13 2 3" xfId="11828" xr:uid="{9AB83FD2-985C-42EF-ADB3-599CB10975CA}"/>
    <cellStyle name="SAPBEXHLevel1X 13 2 3 2" xfId="23329" xr:uid="{CCC789B7-5566-4414-8BD6-1A6E7BC90075}"/>
    <cellStyle name="SAPBEXHLevel1X 13 2 4" xfId="23327" xr:uid="{83306C1A-354E-4B5B-AFC6-7A494784AB4B}"/>
    <cellStyle name="SAPBEXHLevel1X 13 3" xfId="11829" xr:uid="{7D54A2D6-8C8D-457C-A3B2-806967F28DF1}"/>
    <cellStyle name="SAPBEXHLevel1X 13 3 2" xfId="23330" xr:uid="{DF7E3AD4-A330-4FFD-8B93-D4348431A697}"/>
    <cellStyle name="SAPBEXHLevel1X 13 4" xfId="11830" xr:uid="{760C1154-6436-4EB4-8AF4-63FD97AA2CA7}"/>
    <cellStyle name="SAPBEXHLevel1X 13 4 2" xfId="23331" xr:uid="{FAC5A517-885F-4C7D-BF67-E95757051929}"/>
    <cellStyle name="SAPBEXHLevel1X 13 5" xfId="23326" xr:uid="{8A90ED89-DB72-453B-988D-7686510CDBFA}"/>
    <cellStyle name="SAPBEXHLevel1X 14" xfId="11831" xr:uid="{0BE991F1-C3D6-4A3E-9E7D-5E3CF01AD5D3}"/>
    <cellStyle name="SAPBEXHLevel1X 14 2" xfId="11832" xr:uid="{6C03BE95-530D-45EC-A96D-C1E84EA3C0A1}"/>
    <cellStyle name="SAPBEXHLevel1X 14 2 2" xfId="11833" xr:uid="{6156206A-0BE5-413E-B8B8-9A13391A6511}"/>
    <cellStyle name="SAPBEXHLevel1X 14 2 2 2" xfId="23334" xr:uid="{CD76C909-054F-44C8-A525-3A82F9631626}"/>
    <cellStyle name="SAPBEXHLevel1X 14 2 3" xfId="11834" xr:uid="{D395D0DD-BE06-4451-AB7C-2E03BCBAD0C6}"/>
    <cellStyle name="SAPBEXHLevel1X 14 2 3 2" xfId="23335" xr:uid="{32A37F73-A48D-4D07-AE06-863AD3C8C24A}"/>
    <cellStyle name="SAPBEXHLevel1X 14 2 4" xfId="23333" xr:uid="{A57AB3FA-96FC-406A-9A90-4905D50A3C40}"/>
    <cellStyle name="SAPBEXHLevel1X 14 3" xfId="11835" xr:uid="{B88D7541-4429-4007-A84C-644D361ECCE2}"/>
    <cellStyle name="SAPBEXHLevel1X 14 3 2" xfId="23336" xr:uid="{57AA76FB-CE3A-4FB2-96F2-D65F722D3D87}"/>
    <cellStyle name="SAPBEXHLevel1X 14 4" xfId="11836" xr:uid="{01C49D01-8299-492A-9CE7-275D9C4D164E}"/>
    <cellStyle name="SAPBEXHLevel1X 14 4 2" xfId="23337" xr:uid="{88B50606-1975-4656-9A6B-D0FFF70A87E8}"/>
    <cellStyle name="SAPBEXHLevel1X 14 5" xfId="23332" xr:uid="{8FA6F0B5-7E6E-4A43-AAF5-90D782F67DA3}"/>
    <cellStyle name="SAPBEXHLevel1X 15" xfId="11837" xr:uid="{9D3281C0-0B12-4835-BDAC-0A4EBB95C1D3}"/>
    <cellStyle name="SAPBEXHLevel1X 15 2" xfId="11838" xr:uid="{C62B3F65-52DC-4203-8E2F-7E6702A64BB2}"/>
    <cellStyle name="SAPBEXHLevel1X 15 2 2" xfId="11839" xr:uid="{3634D68B-FBB1-493F-B4C8-3F289B6BE323}"/>
    <cellStyle name="SAPBEXHLevel1X 15 2 2 2" xfId="23340" xr:uid="{6EA800A8-5BB9-45DD-A452-8D58209E4149}"/>
    <cellStyle name="SAPBEXHLevel1X 15 2 3" xfId="11840" xr:uid="{567C725D-5E39-4A8A-B31B-ED68CA70D485}"/>
    <cellStyle name="SAPBEXHLevel1X 15 2 3 2" xfId="23341" xr:uid="{C086881E-B635-47E7-9AFE-98006311281F}"/>
    <cellStyle name="SAPBEXHLevel1X 15 2 4" xfId="23339" xr:uid="{1E9AA609-7BFB-4FE8-88CC-32F573272CE3}"/>
    <cellStyle name="SAPBEXHLevel1X 15 3" xfId="11841" xr:uid="{6227B172-D211-4599-893D-608E4F2E024A}"/>
    <cellStyle name="SAPBEXHLevel1X 15 3 2" xfId="23342" xr:uid="{937F937A-8F13-4A96-8D7E-5AA513E3FD79}"/>
    <cellStyle name="SAPBEXHLevel1X 15 4" xfId="11842" xr:uid="{7214C7D7-CDF2-454A-8A44-1D69DBD20F04}"/>
    <cellStyle name="SAPBEXHLevel1X 15 4 2" xfId="23343" xr:uid="{42F3445E-712B-43AF-B0F7-023867826045}"/>
    <cellStyle name="SAPBEXHLevel1X 15 5" xfId="23338" xr:uid="{5BA72AAC-B2CC-499F-BE66-0B7E53E59833}"/>
    <cellStyle name="SAPBEXHLevel1X 16" xfId="11843" xr:uid="{509E311C-69F1-413A-8CB3-8E4FD1662149}"/>
    <cellStyle name="SAPBEXHLevel1X 16 2" xfId="23344" xr:uid="{9A0F0CBA-5D56-4D0F-9862-E7D0FD891B97}"/>
    <cellStyle name="SAPBEXHLevel1X 17" xfId="11844" xr:uid="{01A74CBD-B2F9-48E1-A4AA-9AD62A2BE110}"/>
    <cellStyle name="SAPBEXHLevel1X 17 2" xfId="23345" xr:uid="{DEB9FE25-74D7-4049-B660-636815D1CD96}"/>
    <cellStyle name="SAPBEXHLevel1X 18" xfId="11845" xr:uid="{8B9813B4-8A01-4F2B-B216-A6590EF58AE2}"/>
    <cellStyle name="SAPBEXHLevel1X 18 2" xfId="23346" xr:uid="{64CC42DA-74D9-47C2-8CF5-8D5895B944A4}"/>
    <cellStyle name="SAPBEXHLevel1X 19" xfId="11846" xr:uid="{F530CC70-26AB-433C-9CDE-749086ACE43B}"/>
    <cellStyle name="SAPBEXHLevel1X 19 2" xfId="23347" xr:uid="{DFF48667-99D2-4ADA-994E-7B3CD851D31B}"/>
    <cellStyle name="SAPBEXHLevel1X 2" xfId="11847" xr:uid="{9DADC3FB-4BE9-46C4-8ADA-F6461DC7167C}"/>
    <cellStyle name="SAPBEXHLevel1X 2 2" xfId="11848" xr:uid="{CE01BE0D-5867-4B82-93C7-1A78A61AA079}"/>
    <cellStyle name="SAPBEXHLevel1X 2 2 2" xfId="11849" xr:uid="{E2F10CAD-99FE-45C1-9BDD-37D08A71B0C2}"/>
    <cellStyle name="SAPBEXHLevel1X 2 2 2 2" xfId="23350" xr:uid="{21543E5E-598D-4664-BAB7-1FF3ECD2B8BC}"/>
    <cellStyle name="SAPBEXHLevel1X 2 2 3" xfId="11850" xr:uid="{96DD98E2-E5F1-4BFC-87BD-B10FC4C73B74}"/>
    <cellStyle name="SAPBEXHLevel1X 2 2 3 2" xfId="23351" xr:uid="{289182DF-073E-4FA0-A923-B011100867ED}"/>
    <cellStyle name="SAPBEXHLevel1X 2 2 4" xfId="23349" xr:uid="{E62E863D-78B8-447F-99D1-1FB3F1C336D5}"/>
    <cellStyle name="SAPBEXHLevel1X 2 3" xfId="11851" xr:uid="{A9133E00-7343-4753-932F-E6B506D8F485}"/>
    <cellStyle name="SAPBEXHLevel1X 2 3 2" xfId="23352" xr:uid="{E3952328-223C-4C15-9B14-0BED6AF659E4}"/>
    <cellStyle name="SAPBEXHLevel1X 2 4" xfId="11852" xr:uid="{41A933FE-D4E2-46A5-993D-F10F90E1ECB8}"/>
    <cellStyle name="SAPBEXHLevel1X 2 4 2" xfId="23353" xr:uid="{623958B3-6252-4D21-9340-9215AF607813}"/>
    <cellStyle name="SAPBEXHLevel1X 2 5" xfId="23348" xr:uid="{29DD8482-CA54-4A7A-ABFD-9A1C2D44FFCE}"/>
    <cellStyle name="SAPBEXHLevel1X 20" xfId="15183" xr:uid="{F5B44865-F23D-4325-8A73-C67D7BC4F1DD}"/>
    <cellStyle name="SAPBEXHLevel1X 3" xfId="11853" xr:uid="{FCBEC46C-5D79-4385-8EBA-7F5BE564E1FC}"/>
    <cellStyle name="SAPBEXHLevel1X 3 2" xfId="11854" xr:uid="{0864314F-A713-4900-A7AE-39F32916A42B}"/>
    <cellStyle name="SAPBEXHLevel1X 3 2 2" xfId="11855" xr:uid="{4DAD1433-1416-4CD2-9B47-0D848AFDAA19}"/>
    <cellStyle name="SAPBEXHLevel1X 3 2 2 2" xfId="23356" xr:uid="{A8AE8117-CC2C-4290-ABC1-A9F93447133F}"/>
    <cellStyle name="SAPBEXHLevel1X 3 2 3" xfId="11856" xr:uid="{665AA7F9-8489-4672-9B5C-2482ECA078B9}"/>
    <cellStyle name="SAPBEXHLevel1X 3 2 3 2" xfId="23357" xr:uid="{274D3067-13BD-4CE3-A842-2AD36BA87D0D}"/>
    <cellStyle name="SAPBEXHLevel1X 3 2 4" xfId="23355" xr:uid="{CC2AFE9D-9D2E-450E-951A-C4094DBE4E0D}"/>
    <cellStyle name="SAPBEXHLevel1X 3 3" xfId="11857" xr:uid="{7291F924-5E1A-4F5A-BC6D-7F67DCD902C8}"/>
    <cellStyle name="SAPBEXHLevel1X 3 3 2" xfId="23358" xr:uid="{74B95372-4CC4-4061-82D7-EEB705BEDC57}"/>
    <cellStyle name="SAPBEXHLevel1X 3 4" xfId="11858" xr:uid="{DA543B2F-631A-470D-89F3-746B34C26727}"/>
    <cellStyle name="SAPBEXHLevel1X 3 4 2" xfId="23359" xr:uid="{82A8CDDB-8988-482F-931B-086D39B31599}"/>
    <cellStyle name="SAPBEXHLevel1X 3 5" xfId="23354" xr:uid="{80272058-D827-4B28-99F0-46275EA50953}"/>
    <cellStyle name="SAPBEXHLevel1X 4" xfId="11859" xr:uid="{096ACD1C-6E33-413D-8EA0-14623EB0B274}"/>
    <cellStyle name="SAPBEXHLevel1X 4 2" xfId="11860" xr:uid="{EB423241-9C54-4931-AFEE-A4B69B470BC3}"/>
    <cellStyle name="SAPBEXHLevel1X 4 2 2" xfId="11861" xr:uid="{EAC2331F-B0B4-40AB-A771-FCD94A21697B}"/>
    <cellStyle name="SAPBEXHLevel1X 4 2 2 2" xfId="23362" xr:uid="{240AEA72-860A-4F7B-86C9-EB0CD0814106}"/>
    <cellStyle name="SAPBEXHLevel1X 4 2 3" xfId="11862" xr:uid="{8601F34C-C13F-499B-9787-C5E783E8512B}"/>
    <cellStyle name="SAPBEXHLevel1X 4 2 3 2" xfId="23363" xr:uid="{C1B73698-3962-49D0-8542-2C401378733C}"/>
    <cellStyle name="SAPBEXHLevel1X 4 2 4" xfId="23361" xr:uid="{880B082B-849F-484D-812D-E28FF6791776}"/>
    <cellStyle name="SAPBEXHLevel1X 4 3" xfId="11863" xr:uid="{54751E07-22C3-4ED2-9145-325706099669}"/>
    <cellStyle name="SAPBEXHLevel1X 4 3 2" xfId="23364" xr:uid="{A31C49D6-2157-4FE0-AEE1-2C3EA726064F}"/>
    <cellStyle name="SAPBEXHLevel1X 4 4" xfId="11864" xr:uid="{2FC75584-3B62-4B0A-A602-B753F77F467B}"/>
    <cellStyle name="SAPBEXHLevel1X 4 4 2" xfId="23365" xr:uid="{105B8B84-0AEB-47AC-A828-0099E3DD5770}"/>
    <cellStyle name="SAPBEXHLevel1X 4 5" xfId="23360" xr:uid="{9C94045F-41C9-40EE-AE13-ACCC70F059AB}"/>
    <cellStyle name="SAPBEXHLevel1X 5" xfId="11865" xr:uid="{547F1CC7-58BF-4AA4-AF41-21FB2058CB7B}"/>
    <cellStyle name="SAPBEXHLevel1X 5 2" xfId="11866" xr:uid="{4C6DCDA8-320F-4A61-86F0-1399AAEDC805}"/>
    <cellStyle name="SAPBEXHLevel1X 5 2 2" xfId="11867" xr:uid="{50D8A200-05CE-4523-9C86-E9AC0631B810}"/>
    <cellStyle name="SAPBEXHLevel1X 5 2 2 2" xfId="23368" xr:uid="{580CF953-2A56-482C-913B-230A7E83C6BB}"/>
    <cellStyle name="SAPBEXHLevel1X 5 2 3" xfId="11868" xr:uid="{0E474139-6A3A-47A5-AD2C-3D39420D8D89}"/>
    <cellStyle name="SAPBEXHLevel1X 5 2 3 2" xfId="23369" xr:uid="{649DCBC9-EFB7-4E55-A45E-E5CB4DEB551E}"/>
    <cellStyle name="SAPBEXHLevel1X 5 2 4" xfId="23367" xr:uid="{3C483D4C-AC57-4179-ABD8-4408ACF32F9B}"/>
    <cellStyle name="SAPBEXHLevel1X 5 3" xfId="11869" xr:uid="{6D493481-226A-486F-B471-69F381545E4C}"/>
    <cellStyle name="SAPBEXHLevel1X 5 3 2" xfId="23370" xr:uid="{83AEB480-DF95-4BC0-A89C-9E37196B06AF}"/>
    <cellStyle name="SAPBEXHLevel1X 5 4" xfId="11870" xr:uid="{1E7E8452-2A4E-4D87-A4B1-58ED2A967589}"/>
    <cellStyle name="SAPBEXHLevel1X 5 4 2" xfId="23371" xr:uid="{8B4DF82B-2044-4F02-94E0-3B6958757BA8}"/>
    <cellStyle name="SAPBEXHLevel1X 5 5" xfId="23366" xr:uid="{A091CDA5-C96C-4B4E-9CEE-5B0AED9CB78E}"/>
    <cellStyle name="SAPBEXHLevel1X 6" xfId="11871" xr:uid="{6952C85D-1A6C-4D01-9885-EDA198D40E3A}"/>
    <cellStyle name="SAPBEXHLevel1X 6 2" xfId="11872" xr:uid="{17C6D564-FB9F-42B1-8E8C-018EF3BD0790}"/>
    <cellStyle name="SAPBEXHLevel1X 6 2 2" xfId="11873" xr:uid="{228D1E05-D5A9-4ADD-9386-3AD9C040F118}"/>
    <cellStyle name="SAPBEXHLevel1X 6 2 2 2" xfId="23374" xr:uid="{53177AC5-6EBD-435B-8B79-919CDE43C974}"/>
    <cellStyle name="SAPBEXHLevel1X 6 2 3" xfId="11874" xr:uid="{DD6A3379-A017-4F84-A900-1CF826782E64}"/>
    <cellStyle name="SAPBEXHLevel1X 6 2 3 2" xfId="23375" xr:uid="{E134E40B-A942-4751-92F2-7EE08B11865B}"/>
    <cellStyle name="SAPBEXHLevel1X 6 2 4" xfId="23373" xr:uid="{FFE655AD-DCD2-43A6-B81E-82C16255C5AD}"/>
    <cellStyle name="SAPBEXHLevel1X 6 3" xfId="11875" xr:uid="{AC17E62F-8395-4F78-AF38-F2F650A8169F}"/>
    <cellStyle name="SAPBEXHLevel1X 6 3 2" xfId="23376" xr:uid="{0E28985A-FB05-4A22-8082-3C1596BA3159}"/>
    <cellStyle name="SAPBEXHLevel1X 6 4" xfId="11876" xr:uid="{AC3857C0-E787-4119-85CC-9E8A18CF5435}"/>
    <cellStyle name="SAPBEXHLevel1X 6 4 2" xfId="23377" xr:uid="{8C414869-7C3F-4877-BFB5-F53F1E6AFDA5}"/>
    <cellStyle name="SAPBEXHLevel1X 6 5" xfId="23372" xr:uid="{7BC3A260-F03C-468F-99FF-03367D4E60DE}"/>
    <cellStyle name="SAPBEXHLevel1X 7" xfId="11877" xr:uid="{012F7DC1-E3A7-4FB4-B5F2-FB90AABDCF5C}"/>
    <cellStyle name="SAPBEXHLevel1X 7 2" xfId="11878" xr:uid="{ADC65B22-3BA0-42D8-8209-88CA92F9522C}"/>
    <cellStyle name="SAPBEXHLevel1X 7 2 2" xfId="11879" xr:uid="{C96EACA5-F4A7-42A5-B5D7-4D07167E5E68}"/>
    <cellStyle name="SAPBEXHLevel1X 7 2 2 2" xfId="23380" xr:uid="{FE826EB1-B0B4-445A-8BB4-5F7C0E75BF1A}"/>
    <cellStyle name="SAPBEXHLevel1X 7 2 3" xfId="11880" xr:uid="{F2688773-635C-462E-BFA1-12B979DC67A0}"/>
    <cellStyle name="SAPBEXHLevel1X 7 2 3 2" xfId="23381" xr:uid="{D2098D1B-11E6-420D-87D9-F05B9F3AEACB}"/>
    <cellStyle name="SAPBEXHLevel1X 7 2 4" xfId="23379" xr:uid="{C4C0E126-F0D3-4DDA-B216-DE231D3FFFD8}"/>
    <cellStyle name="SAPBEXHLevel1X 7 3" xfId="11881" xr:uid="{539EB4A4-EF4A-4036-B08C-3D0037041CB7}"/>
    <cellStyle name="SAPBEXHLevel1X 7 3 2" xfId="23382" xr:uid="{CE7B2D8D-206C-479F-9B39-AF18CDD968DE}"/>
    <cellStyle name="SAPBEXHLevel1X 7 4" xfId="11882" xr:uid="{C060294B-F2AA-4377-BD24-4FD3B4F4B9A5}"/>
    <cellStyle name="SAPBEXHLevel1X 7 4 2" xfId="23383" xr:uid="{8A5C8560-6FD5-4FD6-999F-0DAB7A669272}"/>
    <cellStyle name="SAPBEXHLevel1X 7 5" xfId="23378" xr:uid="{E074EE88-D06D-4E64-ACB0-6CE08915A374}"/>
    <cellStyle name="SAPBEXHLevel1X 8" xfId="11883" xr:uid="{74030B6D-6537-4A14-B500-7010EC9468E0}"/>
    <cellStyle name="SAPBEXHLevel1X 8 2" xfId="11884" xr:uid="{E1784D07-5F1D-43FD-8A98-17C199F65D5C}"/>
    <cellStyle name="SAPBEXHLevel1X 8 2 2" xfId="11885" xr:uid="{AE4B12B5-66DF-4D7C-880D-EC52E838190A}"/>
    <cellStyle name="SAPBEXHLevel1X 8 2 2 2" xfId="23386" xr:uid="{AAAECADE-3CC1-4779-AD91-283C5F26C503}"/>
    <cellStyle name="SAPBEXHLevel1X 8 2 3" xfId="11886" xr:uid="{913692C1-4D00-4FA9-A041-2AC7EE4530A8}"/>
    <cellStyle name="SAPBEXHLevel1X 8 2 3 2" xfId="23387" xr:uid="{EB64EB52-469C-418C-A352-472951141A49}"/>
    <cellStyle name="SAPBEXHLevel1X 8 2 4" xfId="23385" xr:uid="{E7BD3773-0EC2-453F-BFB3-527DD4797454}"/>
    <cellStyle name="SAPBEXHLevel1X 8 3" xfId="11887" xr:uid="{7A5535FA-0AFC-4A29-A323-1BF58C517E4A}"/>
    <cellStyle name="SAPBEXHLevel1X 8 3 2" xfId="23388" xr:uid="{E24B64B1-25E6-4627-AFA6-9056DADAE81F}"/>
    <cellStyle name="SAPBEXHLevel1X 8 4" xfId="11888" xr:uid="{6261209D-4F44-41DF-8EDE-5AA9554AA7DD}"/>
    <cellStyle name="SAPBEXHLevel1X 8 4 2" xfId="23389" xr:uid="{87A0C818-2381-407F-A1D4-DCE7AB8F8952}"/>
    <cellStyle name="SAPBEXHLevel1X 8 5" xfId="23384" xr:uid="{4E2BB9ED-97C7-4526-B261-456D36896B98}"/>
    <cellStyle name="SAPBEXHLevel1X 9" xfId="11889" xr:uid="{BAD45727-3C4D-4DEE-BACF-985EE76EC0E7}"/>
    <cellStyle name="SAPBEXHLevel1X 9 2" xfId="11890" xr:uid="{CE51D98D-F262-4EBD-9E74-548111CC5E66}"/>
    <cellStyle name="SAPBEXHLevel1X 9 2 2" xfId="11891" xr:uid="{A4EF7FC6-68F7-45CA-8212-7316D74B5FE2}"/>
    <cellStyle name="SAPBEXHLevel1X 9 2 2 2" xfId="23392" xr:uid="{BFACDFD5-A675-407C-8227-E3CBB96618E3}"/>
    <cellStyle name="SAPBEXHLevel1X 9 2 3" xfId="11892" xr:uid="{BBDB35D3-DA38-413B-B836-FAA39EA43709}"/>
    <cellStyle name="SAPBEXHLevel1X 9 2 3 2" xfId="23393" xr:uid="{BC31E143-F847-4862-BF78-91008C684996}"/>
    <cellStyle name="SAPBEXHLevel1X 9 2 4" xfId="23391" xr:uid="{C893593F-6BB1-4E0C-84BC-07D023DD0FDD}"/>
    <cellStyle name="SAPBEXHLevel1X 9 3" xfId="11893" xr:uid="{25F520A2-F0ED-4636-9FC3-F93ABBB6C1BE}"/>
    <cellStyle name="SAPBEXHLevel1X 9 3 2" xfId="23394" xr:uid="{2165A550-A427-4E2F-B33A-F65D7E7B8B3C}"/>
    <cellStyle name="SAPBEXHLevel1X 9 4" xfId="11894" xr:uid="{B3817B0A-519A-4D7A-9241-67388F6127C1}"/>
    <cellStyle name="SAPBEXHLevel1X 9 4 2" xfId="23395" xr:uid="{9161F971-8E65-4DDE-8E8E-2A5884758E43}"/>
    <cellStyle name="SAPBEXHLevel1X 9 5" xfId="23390" xr:uid="{E1D1DBC8-381A-41B4-86A2-47CDCBF1E87C}"/>
    <cellStyle name="SAPBEXHLevel1X_RP3 PP revised" xfId="15325" xr:uid="{95E84C47-5CA4-4567-9D06-B9D8875720BA}"/>
    <cellStyle name="SAPBEXHLevel2" xfId="11895" xr:uid="{AAEC78ED-19A2-4DD8-9325-D1BDA5F0052A}"/>
    <cellStyle name="SAPBEXHLevel2 10" xfId="11896" xr:uid="{50E23CDA-71D5-4868-AFCB-6910642392D0}"/>
    <cellStyle name="SAPBEXHLevel2 10 2" xfId="11897" xr:uid="{28555D28-F349-47A6-9B19-A69106BA39BA}"/>
    <cellStyle name="SAPBEXHLevel2 10 2 2" xfId="11898" xr:uid="{F455F9FA-2AA7-4506-B2D8-59D7B055F71D}"/>
    <cellStyle name="SAPBEXHLevel2 10 2 2 2" xfId="23398" xr:uid="{A43AE587-C60A-4E48-B7EE-3FEEC8BEDCCC}"/>
    <cellStyle name="SAPBEXHLevel2 10 2 3" xfId="11899" xr:uid="{7723A869-EC2C-4020-BD9F-96AFAB17F750}"/>
    <cellStyle name="SAPBEXHLevel2 10 2 3 2" xfId="23399" xr:uid="{FD1853CA-7D24-481A-9BD8-28DAD269897C}"/>
    <cellStyle name="SAPBEXHLevel2 10 2 4" xfId="23397" xr:uid="{0DC07954-3A83-4DFF-847C-7235F328CFE6}"/>
    <cellStyle name="SAPBEXHLevel2 10 3" xfId="11900" xr:uid="{C57FC043-0AA4-4E26-949A-C6FE1716FB95}"/>
    <cellStyle name="SAPBEXHLevel2 10 3 2" xfId="23400" xr:uid="{06F5D4D7-2780-49FD-90B5-44FF1AD14F14}"/>
    <cellStyle name="SAPBEXHLevel2 10 4" xfId="11901" xr:uid="{C73D456B-FA48-41E8-8AB1-53EEB08F5040}"/>
    <cellStyle name="SAPBEXHLevel2 10 4 2" xfId="23401" xr:uid="{E3A7E0B6-4779-4CDA-908D-11435ADE9B37}"/>
    <cellStyle name="SAPBEXHLevel2 10 5" xfId="23396" xr:uid="{3724C63A-B6DF-48CA-9765-5F1F9A5658DB}"/>
    <cellStyle name="SAPBEXHLevel2 11" xfId="11902" xr:uid="{F998D1FB-8299-4378-BCED-B2E53ADE3ED3}"/>
    <cellStyle name="SAPBEXHLevel2 11 2" xfId="11903" xr:uid="{7B8C948E-6CA5-45FF-BE00-C7DA16D24C0E}"/>
    <cellStyle name="SAPBEXHLevel2 11 2 2" xfId="11904" xr:uid="{3BECAC2E-3AFD-4578-B801-20EF0B2A1BB6}"/>
    <cellStyle name="SAPBEXHLevel2 11 2 2 2" xfId="23404" xr:uid="{D4FCBC42-8196-4240-BB97-11B577B0CDB1}"/>
    <cellStyle name="SAPBEXHLevel2 11 2 3" xfId="11905" xr:uid="{52C54C45-A0FF-4C31-85DC-730894F86320}"/>
    <cellStyle name="SAPBEXHLevel2 11 2 3 2" xfId="23405" xr:uid="{8982DF4B-9108-4BA3-8B63-56CE795626BB}"/>
    <cellStyle name="SAPBEXHLevel2 11 2 4" xfId="23403" xr:uid="{6261E76F-AAC8-43F6-B65C-5408DA040D68}"/>
    <cellStyle name="SAPBEXHLevel2 11 3" xfId="11906" xr:uid="{B08BA515-95B5-44FA-B3E6-7FADEFC309B5}"/>
    <cellStyle name="SAPBEXHLevel2 11 3 2" xfId="23406" xr:uid="{DF34E571-CA59-441F-A1DA-EFB6F1A7A012}"/>
    <cellStyle name="SAPBEXHLevel2 11 4" xfId="11907" xr:uid="{9F2FDFB0-EA75-4A96-BF5C-DA24E3F18FFD}"/>
    <cellStyle name="SAPBEXHLevel2 11 4 2" xfId="23407" xr:uid="{B482B4A7-F1B3-491F-BDD5-7FA3EF7213A2}"/>
    <cellStyle name="SAPBEXHLevel2 11 5" xfId="23402" xr:uid="{B98CB4D3-D32B-453A-81AD-464F11EE1364}"/>
    <cellStyle name="SAPBEXHLevel2 12" xfId="11908" xr:uid="{FC04514D-9CC5-4724-A70D-D4170BB66019}"/>
    <cellStyle name="SAPBEXHLevel2 12 2" xfId="11909" xr:uid="{1071FF42-5497-446B-BF55-8C52E27E2F28}"/>
    <cellStyle name="SAPBEXHLevel2 12 2 2" xfId="11910" xr:uid="{3002823F-9F03-4814-B693-E7B96E7EB97C}"/>
    <cellStyle name="SAPBEXHLevel2 12 2 2 2" xfId="23410" xr:uid="{57FF1BEC-0C29-4C90-9743-D35E9C8365DB}"/>
    <cellStyle name="SAPBEXHLevel2 12 2 3" xfId="11911" xr:uid="{0E6811ED-24E8-43DF-AC75-EABC10394B7A}"/>
    <cellStyle name="SAPBEXHLevel2 12 2 3 2" xfId="23411" xr:uid="{D3587F31-2217-411C-957E-EA7C833458D7}"/>
    <cellStyle name="SAPBEXHLevel2 12 2 4" xfId="23409" xr:uid="{211BDF0D-F7AB-41DD-B0CD-92825EC508C0}"/>
    <cellStyle name="SAPBEXHLevel2 12 3" xfId="11912" xr:uid="{04E937AC-0C69-432A-9507-2834C959C8E9}"/>
    <cellStyle name="SAPBEXHLevel2 12 3 2" xfId="23412" xr:uid="{C059F523-C4CF-469D-AE8F-306296A98C80}"/>
    <cellStyle name="SAPBEXHLevel2 12 4" xfId="11913" xr:uid="{979447B9-6426-4CEF-AA65-DA7CCD2E5DB1}"/>
    <cellStyle name="SAPBEXHLevel2 12 4 2" xfId="23413" xr:uid="{592E6B60-95FE-4D2C-AD92-63208385E6C7}"/>
    <cellStyle name="SAPBEXHLevel2 12 5" xfId="23408" xr:uid="{9EAAC888-29F5-4F23-83F8-FEB391B8F16D}"/>
    <cellStyle name="SAPBEXHLevel2 13" xfId="11914" xr:uid="{64D2DCEC-2671-459A-9D07-38B8B845C287}"/>
    <cellStyle name="SAPBEXHLevel2 13 2" xfId="11915" xr:uid="{3A19904A-77E0-4B72-AB17-4ECDBC91E77B}"/>
    <cellStyle name="SAPBEXHLevel2 13 2 2" xfId="11916" xr:uid="{6C5C6B67-4465-4F39-A8F5-F4BB3CCF9A28}"/>
    <cellStyle name="SAPBEXHLevel2 13 2 2 2" xfId="23416" xr:uid="{B6109103-77A6-4812-9448-99B4C2FB23E2}"/>
    <cellStyle name="SAPBEXHLevel2 13 2 3" xfId="11917" xr:uid="{CD62D94C-B9EB-46AD-BB48-8CED35AAE150}"/>
    <cellStyle name="SAPBEXHLevel2 13 2 3 2" xfId="23417" xr:uid="{C03B6C0B-B03F-41F0-A7AF-044367711074}"/>
    <cellStyle name="SAPBEXHLevel2 13 2 4" xfId="23415" xr:uid="{2F778882-E738-427C-BD91-ED5A5F980252}"/>
    <cellStyle name="SAPBEXHLevel2 13 3" xfId="11918" xr:uid="{8D8CE3FE-5F0E-4D3B-9A06-AEA144834766}"/>
    <cellStyle name="SAPBEXHLevel2 13 3 2" xfId="23418" xr:uid="{F62DAF11-2CBD-4927-AF98-F2DD0DD35F28}"/>
    <cellStyle name="SAPBEXHLevel2 13 4" xfId="11919" xr:uid="{8C96D5F1-FC33-4733-BA3D-DCFCA1A28512}"/>
    <cellStyle name="SAPBEXHLevel2 13 4 2" xfId="23419" xr:uid="{D773703F-7828-4404-B688-682199D19F53}"/>
    <cellStyle name="SAPBEXHLevel2 13 5" xfId="23414" xr:uid="{20A6B2D5-B88A-493A-9A9B-D69F580FE7B9}"/>
    <cellStyle name="SAPBEXHLevel2 14" xfId="11920" xr:uid="{D8362F08-6C13-4795-A9E3-2C0E2500E5DB}"/>
    <cellStyle name="SAPBEXHLevel2 14 2" xfId="11921" xr:uid="{506A88C6-89DB-4041-88BA-6305208E9698}"/>
    <cellStyle name="SAPBEXHLevel2 14 2 2" xfId="11922" xr:uid="{DFA58AB7-3362-4C1B-90CD-AC01B153B754}"/>
    <cellStyle name="SAPBEXHLevel2 14 2 2 2" xfId="23422" xr:uid="{6A3CACF6-C102-4686-BCA9-8AFBBEFACD96}"/>
    <cellStyle name="SAPBEXHLevel2 14 2 3" xfId="11923" xr:uid="{9D0D3F46-DDF3-45BC-AAB0-8C8130929958}"/>
    <cellStyle name="SAPBEXHLevel2 14 2 3 2" xfId="23423" xr:uid="{934CA3F6-0617-4F05-BAB3-BF8F5FB58279}"/>
    <cellStyle name="SAPBEXHLevel2 14 2 4" xfId="23421" xr:uid="{4140D495-5628-4E68-93C4-3D46F3A115E6}"/>
    <cellStyle name="SAPBEXHLevel2 14 3" xfId="11924" xr:uid="{0218D925-D9E6-421E-9401-0B3C9511B550}"/>
    <cellStyle name="SAPBEXHLevel2 14 3 2" xfId="23424" xr:uid="{0E8660BE-D158-47B6-ADFC-57AD91DE0CFC}"/>
    <cellStyle name="SAPBEXHLevel2 14 4" xfId="11925" xr:uid="{1A3F16A0-FF92-4492-9199-518373AEC451}"/>
    <cellStyle name="SAPBEXHLevel2 14 4 2" xfId="23425" xr:uid="{C3B2B298-9D33-4B74-AA25-5033CFEBED72}"/>
    <cellStyle name="SAPBEXHLevel2 14 5" xfId="23420" xr:uid="{844D10C5-9D4D-4CFB-8D83-5569E860773E}"/>
    <cellStyle name="SAPBEXHLevel2 15" xfId="11926" xr:uid="{8EB00B32-46F9-488E-A383-A2858D013994}"/>
    <cellStyle name="SAPBEXHLevel2 15 2" xfId="11927" xr:uid="{E4074C4C-681F-4D13-BD7A-21B03C137D07}"/>
    <cellStyle name="SAPBEXHLevel2 15 2 2" xfId="11928" xr:uid="{BD572B6C-3CD2-4585-9DDD-E0D95E2AB683}"/>
    <cellStyle name="SAPBEXHLevel2 15 2 2 2" xfId="23428" xr:uid="{4516A0E9-2269-4AD2-B74A-9AB8583A4305}"/>
    <cellStyle name="SAPBEXHLevel2 15 2 3" xfId="11929" xr:uid="{253DC89D-02C6-4AC9-AD86-14605D3DAB5F}"/>
    <cellStyle name="SAPBEXHLevel2 15 2 3 2" xfId="23429" xr:uid="{8534FF8F-F696-4C55-A983-3F7678E8D729}"/>
    <cellStyle name="SAPBEXHLevel2 15 2 4" xfId="23427" xr:uid="{C524E22B-B047-48C2-82F3-3C8891B979B9}"/>
    <cellStyle name="SAPBEXHLevel2 15 3" xfId="11930" xr:uid="{255DEE39-2EE7-49A1-A790-FDABC83DB1BA}"/>
    <cellStyle name="SAPBEXHLevel2 15 3 2" xfId="23430" xr:uid="{E91E6CBC-F2F5-49A8-A501-5F2C6102E120}"/>
    <cellStyle name="SAPBEXHLevel2 15 4" xfId="11931" xr:uid="{EA185EE6-E533-47A9-8E5D-1F03ADF17188}"/>
    <cellStyle name="SAPBEXHLevel2 15 4 2" xfId="23431" xr:uid="{7E5E1C80-8FAA-4201-A6E1-07AE8CF4597D}"/>
    <cellStyle name="SAPBEXHLevel2 15 5" xfId="23426" xr:uid="{C8B4B06F-D96F-4920-A470-BFF3CF8BC0E0}"/>
    <cellStyle name="SAPBEXHLevel2 16" xfId="11932" xr:uid="{2F43B996-4717-4461-B8FE-A3A7C8A6CFC3}"/>
    <cellStyle name="SAPBEXHLevel2 16 2" xfId="23432" xr:uid="{638E543D-221C-40F6-B7F6-485036CB16BE}"/>
    <cellStyle name="SAPBEXHLevel2 17" xfId="11933" xr:uid="{52C88112-2904-4A62-A1B4-026C3C56E1AC}"/>
    <cellStyle name="SAPBEXHLevel2 17 2" xfId="23433" xr:uid="{0255058F-8220-4F76-BC04-57E843863F64}"/>
    <cellStyle name="SAPBEXHLevel2 18" xfId="11934" xr:uid="{B2C4F315-4972-4FCD-A63D-73CAE2E6575C}"/>
    <cellStyle name="SAPBEXHLevel2 18 2" xfId="23434" xr:uid="{725E6DC6-BE86-464A-A824-6D66E5D8F14A}"/>
    <cellStyle name="SAPBEXHLevel2 19" xfId="11935" xr:uid="{30C72622-1116-4894-A13E-4F9DB0E60F42}"/>
    <cellStyle name="SAPBEXHLevel2 19 2" xfId="23435" xr:uid="{207E9284-82F8-4558-ADBC-30E1EA286E57}"/>
    <cellStyle name="SAPBEXHLevel2 2" xfId="11936" xr:uid="{A9BD43CB-11CB-4FF9-ACB6-A55067667015}"/>
    <cellStyle name="SAPBEXHLevel2 2 2" xfId="11937" xr:uid="{37881519-193F-49A5-8C42-DF2B31563DE1}"/>
    <cellStyle name="SAPBEXHLevel2 2 2 2" xfId="11938" xr:uid="{9C2CB1AE-20A5-4032-BAFE-0B9667E183D6}"/>
    <cellStyle name="SAPBEXHLevel2 2 2 2 2" xfId="23438" xr:uid="{FD952733-856C-47BA-B075-51A7C8479453}"/>
    <cellStyle name="SAPBEXHLevel2 2 2 3" xfId="11939" xr:uid="{01D39E98-969B-4000-B8A8-DF50ECAE5564}"/>
    <cellStyle name="SAPBEXHLevel2 2 2 3 2" xfId="23439" xr:uid="{D2898E07-BB60-4D57-9867-AF603B40E90B}"/>
    <cellStyle name="SAPBEXHLevel2 2 2 4" xfId="23437" xr:uid="{92186627-02C4-4FDE-AAC5-E0AA547BBAA3}"/>
    <cellStyle name="SAPBEXHLevel2 2 3" xfId="11940" xr:uid="{3BFA9819-B402-4032-9512-FBBB848F6959}"/>
    <cellStyle name="SAPBEXHLevel2 2 3 2" xfId="23440" xr:uid="{85A677DE-A1E8-4ABA-A879-AA295242C0E6}"/>
    <cellStyle name="SAPBEXHLevel2 2 4" xfId="11941" xr:uid="{6E984062-696D-41F3-87E3-CA3E26AB33B2}"/>
    <cellStyle name="SAPBEXHLevel2 2 4 2" xfId="23441" xr:uid="{45FB92CF-2D50-4263-8C19-3374D419EBDF}"/>
    <cellStyle name="SAPBEXHLevel2 2 5" xfId="23436" xr:uid="{5ECDBB79-225A-4F90-9DD0-44673CBD3A77}"/>
    <cellStyle name="SAPBEXHLevel2 20" xfId="15184" xr:uid="{EBAA5F4E-78E5-4265-B5BA-577445DF11EB}"/>
    <cellStyle name="SAPBEXHLevel2 3" xfId="11942" xr:uid="{C9898217-8B6C-452D-BF28-5CBCA9DD4FC7}"/>
    <cellStyle name="SAPBEXHLevel2 3 2" xfId="11943" xr:uid="{D322156F-9B27-4E78-803D-C00E14EF0487}"/>
    <cellStyle name="SAPBEXHLevel2 3 2 2" xfId="11944" xr:uid="{30BA4062-398A-452E-B259-777EB3FF7CA1}"/>
    <cellStyle name="SAPBEXHLevel2 3 2 2 2" xfId="23444" xr:uid="{BAC3C653-1ABE-46C8-9CE7-32BD58F72380}"/>
    <cellStyle name="SAPBEXHLevel2 3 2 3" xfId="11945" xr:uid="{0345F0BF-0BB2-4707-9664-7C018872459D}"/>
    <cellStyle name="SAPBEXHLevel2 3 2 3 2" xfId="23445" xr:uid="{FF1928F2-CB6A-4BD6-BECF-5AD59D042C9F}"/>
    <cellStyle name="SAPBEXHLevel2 3 2 4" xfId="23443" xr:uid="{D080C7C1-CEC1-416C-9DE8-5125EF97DC2F}"/>
    <cellStyle name="SAPBEXHLevel2 3 3" xfId="11946" xr:uid="{5A8850E0-C55C-467C-8E01-5FC67D22779B}"/>
    <cellStyle name="SAPBEXHLevel2 3 3 2" xfId="23446" xr:uid="{B9003CAB-DF1E-409E-B411-C3C2639B91CE}"/>
    <cellStyle name="SAPBEXHLevel2 3 4" xfId="11947" xr:uid="{D93BD3F3-8C06-46A4-893D-F2726FC6E114}"/>
    <cellStyle name="SAPBEXHLevel2 3 4 2" xfId="23447" xr:uid="{86D190DC-B5C0-425F-B6B5-4BB5304E1988}"/>
    <cellStyle name="SAPBEXHLevel2 3 5" xfId="23442" xr:uid="{470356E6-E6AB-4BE6-83D8-61998505C64B}"/>
    <cellStyle name="SAPBEXHLevel2 4" xfId="11948" xr:uid="{EA40A34F-C0C6-46F1-9632-82A76CD83451}"/>
    <cellStyle name="SAPBEXHLevel2 4 2" xfId="11949" xr:uid="{288613FA-49DB-4AAE-8AF4-8A5E1BACE2AE}"/>
    <cellStyle name="SAPBEXHLevel2 4 2 2" xfId="11950" xr:uid="{FB1B8DF1-2D43-45B2-8E3B-1BCFA439BF19}"/>
    <cellStyle name="SAPBEXHLevel2 4 2 2 2" xfId="23450" xr:uid="{989B014B-D943-4A2F-AF1C-919353B18E3E}"/>
    <cellStyle name="SAPBEXHLevel2 4 2 3" xfId="11951" xr:uid="{27E351B4-7D32-4993-8642-13195BD59F90}"/>
    <cellStyle name="SAPBEXHLevel2 4 2 3 2" xfId="23451" xr:uid="{588A8C92-F316-4493-B4DB-3C48FE517F9E}"/>
    <cellStyle name="SAPBEXHLevel2 4 2 4" xfId="23449" xr:uid="{B90F41A7-DDCE-49F8-8856-FE5F02D92BAB}"/>
    <cellStyle name="SAPBEXHLevel2 4 3" xfId="11952" xr:uid="{0973BE84-D0D5-4269-A50C-CA6513CF7773}"/>
    <cellStyle name="SAPBEXHLevel2 4 3 2" xfId="23452" xr:uid="{1EEDCF56-3239-47DF-AC70-651A64781EFB}"/>
    <cellStyle name="SAPBEXHLevel2 4 4" xfId="11953" xr:uid="{0B2BD10E-E455-4BB6-9710-95CAA5F4B26E}"/>
    <cellStyle name="SAPBEXHLevel2 4 4 2" xfId="23453" xr:uid="{C308DFE7-3E7F-4B60-9831-C2F8B47C87A5}"/>
    <cellStyle name="SAPBEXHLevel2 4 5" xfId="23448" xr:uid="{4E40BDB0-ED0E-404D-A236-A758CDAE26AC}"/>
    <cellStyle name="SAPBEXHLevel2 5" xfId="11954" xr:uid="{30299E1E-0BE9-44ED-A075-71518063F520}"/>
    <cellStyle name="SAPBEXHLevel2 5 2" xfId="11955" xr:uid="{A696A881-6311-4858-B96E-040E7D0AA2C9}"/>
    <cellStyle name="SAPBEXHLevel2 5 2 2" xfId="11956" xr:uid="{555570C9-66CC-4F41-8B28-953FCAD67BAB}"/>
    <cellStyle name="SAPBEXHLevel2 5 2 2 2" xfId="23456" xr:uid="{1EE4C863-7A9F-4CC4-806A-4D08BF31BE65}"/>
    <cellStyle name="SAPBEXHLevel2 5 2 3" xfId="11957" xr:uid="{98E39994-5077-4405-A47B-4AC023D797CB}"/>
    <cellStyle name="SAPBEXHLevel2 5 2 3 2" xfId="23457" xr:uid="{F9F773D6-9BB8-475F-9D94-7D7D24431D11}"/>
    <cellStyle name="SAPBEXHLevel2 5 2 4" xfId="23455" xr:uid="{1ADF40F5-C630-4BBC-9395-30B8077154DE}"/>
    <cellStyle name="SAPBEXHLevel2 5 3" xfId="11958" xr:uid="{AEEB6E79-D75D-4E91-AA22-9D83D42766D7}"/>
    <cellStyle name="SAPBEXHLevel2 5 3 2" xfId="23458" xr:uid="{880D6B47-116D-482C-B6E8-9B65CA65FE11}"/>
    <cellStyle name="SAPBEXHLevel2 5 4" xfId="11959" xr:uid="{298FC902-AC1A-444E-8745-775E9F65DEE5}"/>
    <cellStyle name="SAPBEXHLevel2 5 4 2" xfId="23459" xr:uid="{10DD3969-34AF-4252-A639-AEF41EA92B76}"/>
    <cellStyle name="SAPBEXHLevel2 5 5" xfId="23454" xr:uid="{7C4CAD51-8972-40B9-8745-42E179732051}"/>
    <cellStyle name="SAPBEXHLevel2 6" xfId="11960" xr:uid="{A43E8404-0180-4C5E-AEDC-93B2840834AE}"/>
    <cellStyle name="SAPBEXHLevel2 6 2" xfId="11961" xr:uid="{CE980B4E-D142-44DF-95F6-D2CFDAE394C3}"/>
    <cellStyle name="SAPBEXHLevel2 6 2 2" xfId="11962" xr:uid="{37CA5B99-617E-4981-BD7E-7256D6817703}"/>
    <cellStyle name="SAPBEXHLevel2 6 2 2 2" xfId="23462" xr:uid="{2E45CE9D-96E6-41B5-A326-67CF492D2D03}"/>
    <cellStyle name="SAPBEXHLevel2 6 2 3" xfId="11963" xr:uid="{898F626C-861B-45A8-ABD6-944AC8964D47}"/>
    <cellStyle name="SAPBEXHLevel2 6 2 3 2" xfId="23463" xr:uid="{5B3BFDEE-5780-4870-8BD6-6DA0E43315C6}"/>
    <cellStyle name="SAPBEXHLevel2 6 2 4" xfId="23461" xr:uid="{2DBB4885-EA55-4404-B586-8E0B6A8AF3F4}"/>
    <cellStyle name="SAPBEXHLevel2 6 3" xfId="11964" xr:uid="{6C6E2EAB-1374-4449-91C7-27C8F9F0CD03}"/>
    <cellStyle name="SAPBEXHLevel2 6 3 2" xfId="23464" xr:uid="{180AA67B-B2FE-411F-A6D1-52DAC68CE891}"/>
    <cellStyle name="SAPBEXHLevel2 6 4" xfId="11965" xr:uid="{02EC149B-9E14-48B2-A4D7-E98CE6D3940A}"/>
    <cellStyle name="SAPBEXHLevel2 6 4 2" xfId="23465" xr:uid="{BD921B99-F838-4CB0-A9B9-0E43BD0CE047}"/>
    <cellStyle name="SAPBEXHLevel2 6 5" xfId="23460" xr:uid="{A6C24C79-3A42-477C-8F18-16C92C27201A}"/>
    <cellStyle name="SAPBEXHLevel2 7" xfId="11966" xr:uid="{8BB5B97B-4032-44CC-9433-A9EE47E098FD}"/>
    <cellStyle name="SAPBEXHLevel2 7 2" xfId="11967" xr:uid="{2B26BBB8-593B-475C-A573-8FF3941EACA3}"/>
    <cellStyle name="SAPBEXHLevel2 7 2 2" xfId="11968" xr:uid="{F229B2B8-10A3-464D-9AC9-349BFD867875}"/>
    <cellStyle name="SAPBEXHLevel2 7 2 2 2" xfId="23468" xr:uid="{BF39C17E-3BD2-4CBD-9822-583852E98AAC}"/>
    <cellStyle name="SAPBEXHLevel2 7 2 3" xfId="11969" xr:uid="{5287B543-84F3-4BA4-B2B4-F5756754E885}"/>
    <cellStyle name="SAPBEXHLevel2 7 2 3 2" xfId="23469" xr:uid="{63253489-1971-4FEF-8F2A-6D34565AC887}"/>
    <cellStyle name="SAPBEXHLevel2 7 2 4" xfId="23467" xr:uid="{31C93FDC-FC87-47A3-A279-E089D71443B6}"/>
    <cellStyle name="SAPBEXHLevel2 7 3" xfId="11970" xr:uid="{DD4EB6D2-477A-44C0-B231-638769A3F46A}"/>
    <cellStyle name="SAPBEXHLevel2 7 3 2" xfId="23470" xr:uid="{8D3933E4-11D1-49D0-BA9A-9B6995F60665}"/>
    <cellStyle name="SAPBEXHLevel2 7 4" xfId="11971" xr:uid="{449F33F1-2058-4EC3-80EB-336EFC5FA74E}"/>
    <cellStyle name="SAPBEXHLevel2 7 4 2" xfId="23471" xr:uid="{4E836D33-D429-421F-8CAA-362C8ED1BE16}"/>
    <cellStyle name="SAPBEXHLevel2 7 5" xfId="23466" xr:uid="{8F36B605-085B-4D4D-A1E0-F79A08285CA0}"/>
    <cellStyle name="SAPBEXHLevel2 8" xfId="11972" xr:uid="{03FDCCC3-3192-484B-B848-80933AF87289}"/>
    <cellStyle name="SAPBEXHLevel2 8 2" xfId="11973" xr:uid="{E0227B8C-07DB-4612-871A-2C8C1E191440}"/>
    <cellStyle name="SAPBEXHLevel2 8 2 2" xfId="11974" xr:uid="{F77575C1-C563-4394-96C4-2EF118711355}"/>
    <cellStyle name="SAPBEXHLevel2 8 2 2 2" xfId="23474" xr:uid="{CA977510-7513-4A37-B72D-B90EAF589AD2}"/>
    <cellStyle name="SAPBEXHLevel2 8 2 3" xfId="11975" xr:uid="{C695833B-7B95-4C84-AFB5-59183CBB2C41}"/>
    <cellStyle name="SAPBEXHLevel2 8 2 3 2" xfId="23475" xr:uid="{CFB72623-83AB-43F0-A156-27F9DD437015}"/>
    <cellStyle name="SAPBEXHLevel2 8 2 4" xfId="23473" xr:uid="{E499049D-A32E-4026-BF97-1DE0AF72BE94}"/>
    <cellStyle name="SAPBEXHLevel2 8 3" xfId="11976" xr:uid="{7901ADA4-BBD1-41FB-B160-7F14E3DBA6EA}"/>
    <cellStyle name="SAPBEXHLevel2 8 3 2" xfId="23476" xr:uid="{806B3B6E-7757-4569-B818-48387149A852}"/>
    <cellStyle name="SAPBEXHLevel2 8 4" xfId="11977" xr:uid="{96D7DBAD-A4A4-4724-8CAD-D8049D2C5AF2}"/>
    <cellStyle name="SAPBEXHLevel2 8 4 2" xfId="23477" xr:uid="{64DE1CC4-FF0B-41DC-9885-C9464F674A85}"/>
    <cellStyle name="SAPBEXHLevel2 8 5" xfId="23472" xr:uid="{A1DB2A81-50A9-4EB7-9426-95D0972E135E}"/>
    <cellStyle name="SAPBEXHLevel2 9" xfId="11978" xr:uid="{10193CA4-348C-4391-B185-B4B83777EC25}"/>
    <cellStyle name="SAPBEXHLevel2 9 2" xfId="11979" xr:uid="{5760F54F-188C-4BA8-A052-249E90F8C3A2}"/>
    <cellStyle name="SAPBEXHLevel2 9 2 2" xfId="11980" xr:uid="{DAD72B72-B65A-4625-95DC-963632A25000}"/>
    <cellStyle name="SAPBEXHLevel2 9 2 2 2" xfId="23480" xr:uid="{134810C3-F26C-44E3-B1C7-B5F1A55E1F61}"/>
    <cellStyle name="SAPBEXHLevel2 9 2 3" xfId="11981" xr:uid="{B11780D2-22F2-41CF-866A-852886A0DE20}"/>
    <cellStyle name="SAPBEXHLevel2 9 2 3 2" xfId="23481" xr:uid="{4757BD50-66BA-4569-A82A-E30A8B24B05E}"/>
    <cellStyle name="SAPBEXHLevel2 9 2 4" xfId="23479" xr:uid="{934B243B-A515-4EC9-BCEA-960B3870CBFD}"/>
    <cellStyle name="SAPBEXHLevel2 9 3" xfId="11982" xr:uid="{88698294-3FD9-4EA0-8C3D-F642FAEF5BCA}"/>
    <cellStyle name="SAPBEXHLevel2 9 3 2" xfId="23482" xr:uid="{1FC4642B-6C8C-467F-A5F0-4B66D83F0553}"/>
    <cellStyle name="SAPBEXHLevel2 9 4" xfId="11983" xr:uid="{43602635-5D69-46ED-AD5D-641BBAE0217E}"/>
    <cellStyle name="SAPBEXHLevel2 9 4 2" xfId="23483" xr:uid="{1A43ADD6-1343-4A29-B31E-8F002A590726}"/>
    <cellStyle name="SAPBEXHLevel2 9 5" xfId="23478" xr:uid="{76D12961-67A5-47EA-A861-327D7CCECF7B}"/>
    <cellStyle name="SAPBEXHLevel2_RP3 PP revised" xfId="15065" xr:uid="{F47C81DB-7A55-4452-99A6-228FEEE1D60A}"/>
    <cellStyle name="SAPBEXHLevel2X" xfId="11984" xr:uid="{951AE20D-0432-4F60-900E-7E7D44F3DC04}"/>
    <cellStyle name="SAPBEXHLevel2X 10" xfId="11985" xr:uid="{58840E41-9EB8-4725-9B91-176219A593AA}"/>
    <cellStyle name="SAPBEXHLevel2X 10 2" xfId="11986" xr:uid="{CB0B8E72-BEFC-437B-BD51-D8CD495F0E8D}"/>
    <cellStyle name="SAPBEXHLevel2X 10 2 2" xfId="11987" xr:uid="{BA22D774-EA26-40B7-B246-4A4C8281426F}"/>
    <cellStyle name="SAPBEXHLevel2X 10 2 2 2" xfId="23486" xr:uid="{60C7BD46-2508-429F-98B9-C33F1F6EC11A}"/>
    <cellStyle name="SAPBEXHLevel2X 10 2 3" xfId="11988" xr:uid="{87E719B7-05B6-48BF-895D-7B2BF56D3A1D}"/>
    <cellStyle name="SAPBEXHLevel2X 10 2 3 2" xfId="23487" xr:uid="{C12A912E-B2F0-4124-ACD6-B58AC6385441}"/>
    <cellStyle name="SAPBEXHLevel2X 10 2 4" xfId="23485" xr:uid="{49E2D1F3-7C34-446E-A742-1DF5C9FB8C84}"/>
    <cellStyle name="SAPBEXHLevel2X 10 3" xfId="11989" xr:uid="{130BC08A-0A58-4D2C-B1B9-D8C7A5F4184F}"/>
    <cellStyle name="SAPBEXHLevel2X 10 3 2" xfId="23488" xr:uid="{83F04CE7-A599-4799-881C-03C2D8A27A7D}"/>
    <cellStyle name="SAPBEXHLevel2X 10 4" xfId="11990" xr:uid="{421EFFEE-56BB-42E5-8C83-22568B4A6C39}"/>
    <cellStyle name="SAPBEXHLevel2X 10 4 2" xfId="23489" xr:uid="{57EF099F-FC88-492F-B567-C6F199023DE4}"/>
    <cellStyle name="SAPBEXHLevel2X 10 5" xfId="23484" xr:uid="{F7F48DE3-9D36-41A8-B563-F2B3CAE720CB}"/>
    <cellStyle name="SAPBEXHLevel2X 11" xfId="11991" xr:uid="{15ADCB94-447B-40C1-B96C-0FF97D062EDA}"/>
    <cellStyle name="SAPBEXHLevel2X 11 2" xfId="11992" xr:uid="{4C00EEF8-2377-4474-AA18-81588A41D8D4}"/>
    <cellStyle name="SAPBEXHLevel2X 11 2 2" xfId="11993" xr:uid="{7AB479A8-85D3-4C1E-BD34-82FD8D347024}"/>
    <cellStyle name="SAPBEXHLevel2X 11 2 2 2" xfId="23492" xr:uid="{C7939CEA-7378-4CE9-A56E-A89881CE69D4}"/>
    <cellStyle name="SAPBEXHLevel2X 11 2 3" xfId="11994" xr:uid="{E10BA313-0014-4B6C-96E6-3115E97EB1EF}"/>
    <cellStyle name="SAPBEXHLevel2X 11 2 3 2" xfId="23493" xr:uid="{105995B7-700C-4BD3-ADB9-C78463791DA4}"/>
    <cellStyle name="SAPBEXHLevel2X 11 2 4" xfId="23491" xr:uid="{92049894-997E-4A45-A930-40495DC4F72E}"/>
    <cellStyle name="SAPBEXHLevel2X 11 3" xfId="11995" xr:uid="{1F11F46D-9E79-4C71-837E-A0C169610291}"/>
    <cellStyle name="SAPBEXHLevel2X 11 3 2" xfId="23494" xr:uid="{6C96C600-BBD9-4BD9-91AA-75B1E08552C5}"/>
    <cellStyle name="SAPBEXHLevel2X 11 4" xfId="11996" xr:uid="{263078E7-CD19-44C9-B80C-9B7BDE97D196}"/>
    <cellStyle name="SAPBEXHLevel2X 11 4 2" xfId="23495" xr:uid="{FD47A379-FA91-4301-A5C3-FEE99C01D004}"/>
    <cellStyle name="SAPBEXHLevel2X 11 5" xfId="23490" xr:uid="{EC322F79-4375-43F1-B2C5-E95192A352BD}"/>
    <cellStyle name="SAPBEXHLevel2X 12" xfId="11997" xr:uid="{91CBE230-56B8-4C49-B5B0-2A88402B21A1}"/>
    <cellStyle name="SAPBEXHLevel2X 12 2" xfId="11998" xr:uid="{A5B9425B-B089-48E7-8D97-CD0EC6802D6E}"/>
    <cellStyle name="SAPBEXHLevel2X 12 2 2" xfId="11999" xr:uid="{CB65F1C5-03CF-4DF1-A92D-F0333A1A39B4}"/>
    <cellStyle name="SAPBEXHLevel2X 12 2 2 2" xfId="23498" xr:uid="{7BD8C812-6607-488E-9F82-A97D0F8A6FD2}"/>
    <cellStyle name="SAPBEXHLevel2X 12 2 3" xfId="12000" xr:uid="{53AB9DE4-4970-4E0C-99E5-25DC3FA43FB3}"/>
    <cellStyle name="SAPBEXHLevel2X 12 2 3 2" xfId="23499" xr:uid="{2D9BC6A0-E555-4CAE-9981-9BF273AD2AF0}"/>
    <cellStyle name="SAPBEXHLevel2X 12 2 4" xfId="23497" xr:uid="{E4C3C94E-2B8D-4946-894F-07203A36D54C}"/>
    <cellStyle name="SAPBEXHLevel2X 12 3" xfId="12001" xr:uid="{E8412263-F0C1-47B4-97FA-00A640CAB3CD}"/>
    <cellStyle name="SAPBEXHLevel2X 12 3 2" xfId="23500" xr:uid="{7DB75E64-8250-4E23-AB88-0DD2288D1868}"/>
    <cellStyle name="SAPBEXHLevel2X 12 4" xfId="12002" xr:uid="{88527583-59AB-4D50-A80F-E9222EC878FD}"/>
    <cellStyle name="SAPBEXHLevel2X 12 4 2" xfId="23501" xr:uid="{CBC4F9B6-5A8D-4C50-94DE-D4FD23767C05}"/>
    <cellStyle name="SAPBEXHLevel2X 12 5" xfId="23496" xr:uid="{9CBAECE7-67F2-4CC2-BDD0-9F4690B8A539}"/>
    <cellStyle name="SAPBEXHLevel2X 13" xfId="12003" xr:uid="{D769490F-E82D-4B5D-BE47-8B4E0DDA1B6F}"/>
    <cellStyle name="SAPBEXHLevel2X 13 2" xfId="12004" xr:uid="{5C56BB2D-66E0-411D-BD4A-41409FDDA93B}"/>
    <cellStyle name="SAPBEXHLevel2X 13 2 2" xfId="12005" xr:uid="{AAF625BE-6F6F-4C3D-9B4D-423B6A3A197F}"/>
    <cellStyle name="SAPBEXHLevel2X 13 2 2 2" xfId="23504" xr:uid="{28762675-7329-433D-96B8-9A7E894126FF}"/>
    <cellStyle name="SAPBEXHLevel2X 13 2 3" xfId="12006" xr:uid="{6828CD83-00F9-4EBE-BF18-AAFFA23047E5}"/>
    <cellStyle name="SAPBEXHLevel2X 13 2 3 2" xfId="23505" xr:uid="{37A23D6B-52D5-4D0D-8194-AC71203C1E92}"/>
    <cellStyle name="SAPBEXHLevel2X 13 2 4" xfId="23503" xr:uid="{B8F95FDC-A4C5-496F-AB84-53A2B796DD3E}"/>
    <cellStyle name="SAPBEXHLevel2X 13 3" xfId="12007" xr:uid="{5B508128-FFD4-431C-A7B5-D827E5BEA51A}"/>
    <cellStyle name="SAPBEXHLevel2X 13 3 2" xfId="23506" xr:uid="{09BFCCE8-E791-4FED-A2D6-F564EEB2C443}"/>
    <cellStyle name="SAPBEXHLevel2X 13 4" xfId="12008" xr:uid="{A22D4164-263A-47B0-8D95-A4AB27F9658E}"/>
    <cellStyle name="SAPBEXHLevel2X 13 4 2" xfId="23507" xr:uid="{42EF8C01-E573-4992-BCBD-EA4C007B9B89}"/>
    <cellStyle name="SAPBEXHLevel2X 13 5" xfId="23502" xr:uid="{87459EAE-D12D-41F8-A1FD-406CB4BF39D8}"/>
    <cellStyle name="SAPBEXHLevel2X 14" xfId="12009" xr:uid="{EE50D3D8-E0CD-4FC1-B830-3A81933FA57E}"/>
    <cellStyle name="SAPBEXHLevel2X 14 2" xfId="12010" xr:uid="{C6E39803-FB76-46BA-8F09-1601968223CC}"/>
    <cellStyle name="SAPBEXHLevel2X 14 2 2" xfId="12011" xr:uid="{0E8BD500-8F8A-40F6-ABAD-E1BC84A1BE47}"/>
    <cellStyle name="SAPBEXHLevel2X 14 2 2 2" xfId="23510" xr:uid="{5A6462B1-355E-4298-869B-C01F07375340}"/>
    <cellStyle name="SAPBEXHLevel2X 14 2 3" xfId="12012" xr:uid="{96CC29F3-BA34-4085-93EE-23EAB3A7D2BD}"/>
    <cellStyle name="SAPBEXHLevel2X 14 2 3 2" xfId="23511" xr:uid="{8C0DFC82-9D9A-4AED-8510-EA3F2B065D02}"/>
    <cellStyle name="SAPBEXHLevel2X 14 2 4" xfId="23509" xr:uid="{8F4B3FE6-D291-41A9-BC14-3CA9D33110CF}"/>
    <cellStyle name="SAPBEXHLevel2X 14 3" xfId="12013" xr:uid="{9D4ACA33-F416-48EB-A0BF-5FD95F7D84B3}"/>
    <cellStyle name="SAPBEXHLevel2X 14 3 2" xfId="23512" xr:uid="{7FCAFB22-CD66-4F3F-95C3-21E2A747BC4A}"/>
    <cellStyle name="SAPBEXHLevel2X 14 4" xfId="12014" xr:uid="{1691440A-407C-43AC-A365-E609CAEFB9B1}"/>
    <cellStyle name="SAPBEXHLevel2X 14 4 2" xfId="23513" xr:uid="{2AED768E-7B7E-4823-A1E8-E11F932E6655}"/>
    <cellStyle name="SAPBEXHLevel2X 14 5" xfId="23508" xr:uid="{EF29450E-7C41-4298-A96F-611600C6560C}"/>
    <cellStyle name="SAPBEXHLevel2X 15" xfId="12015" xr:uid="{A30C307D-86FF-4F6F-A727-30340C4AC595}"/>
    <cellStyle name="SAPBEXHLevel2X 15 2" xfId="12016" xr:uid="{A13B908A-03A6-427E-BBF2-F259C8B7EEB3}"/>
    <cellStyle name="SAPBEXHLevel2X 15 2 2" xfId="12017" xr:uid="{58F4C16D-E7D7-4B52-B49C-0BFBEEE52333}"/>
    <cellStyle name="SAPBEXHLevel2X 15 2 2 2" xfId="23516" xr:uid="{70BBEBB7-1687-4E2C-B35F-E6FBF1A7EA31}"/>
    <cellStyle name="SAPBEXHLevel2X 15 2 3" xfId="12018" xr:uid="{E4C0606F-2B0C-42BB-9032-FA5684E8D79A}"/>
    <cellStyle name="SAPBEXHLevel2X 15 2 3 2" xfId="23517" xr:uid="{C09D985B-8DB7-497C-AAAC-1BD7F41841B6}"/>
    <cellStyle name="SAPBEXHLevel2X 15 2 4" xfId="23515" xr:uid="{9948FFB7-0338-44EF-BD76-3165C4F07B9C}"/>
    <cellStyle name="SAPBEXHLevel2X 15 3" xfId="12019" xr:uid="{676A3A97-2DBE-455F-AF32-808450D998F0}"/>
    <cellStyle name="SAPBEXHLevel2X 15 3 2" xfId="23518" xr:uid="{2BE41CC2-973E-43C5-BCDA-DA83D8D007EF}"/>
    <cellStyle name="SAPBEXHLevel2X 15 4" xfId="12020" xr:uid="{00734C13-2CE3-4A5B-9F0A-5234FBFB4644}"/>
    <cellStyle name="SAPBEXHLevel2X 15 4 2" xfId="23519" xr:uid="{4EFC6BA7-08B9-4D15-B82F-F7208C22F308}"/>
    <cellStyle name="SAPBEXHLevel2X 15 5" xfId="23514" xr:uid="{E32EBC91-4594-47DB-AA21-A8A1211BA363}"/>
    <cellStyle name="SAPBEXHLevel2X 16" xfId="12021" xr:uid="{1CDBBEF4-6A70-4913-846F-E7E7BB92B416}"/>
    <cellStyle name="SAPBEXHLevel2X 16 2" xfId="23520" xr:uid="{8D5C2747-5B07-4B0E-BE25-4CDED7261FDC}"/>
    <cellStyle name="SAPBEXHLevel2X 17" xfId="12022" xr:uid="{6A51004F-74C2-4D74-BCA7-B62802FC3684}"/>
    <cellStyle name="SAPBEXHLevel2X 17 2" xfId="23521" xr:uid="{6BB49955-ECA1-4EC0-9941-C7E7D86DE376}"/>
    <cellStyle name="SAPBEXHLevel2X 18" xfId="12023" xr:uid="{EE208E1F-F147-40BC-AC51-0FD570A959A0}"/>
    <cellStyle name="SAPBEXHLevel2X 18 2" xfId="23522" xr:uid="{42FC40E3-65A8-44BB-898A-80972288DE51}"/>
    <cellStyle name="SAPBEXHLevel2X 19" xfId="12024" xr:uid="{BB0B901C-15B2-416B-AD44-881FD35BE01C}"/>
    <cellStyle name="SAPBEXHLevel2X 19 2" xfId="23523" xr:uid="{8FD028CB-7376-4F9D-8D9C-44DFD47006FE}"/>
    <cellStyle name="SAPBEXHLevel2X 2" xfId="12025" xr:uid="{323C2541-8B51-4B2F-9189-8629A172B79E}"/>
    <cellStyle name="SAPBEXHLevel2X 2 2" xfId="12026" xr:uid="{8CC41BF8-0B68-4DB3-9773-47A95A028DE2}"/>
    <cellStyle name="SAPBEXHLevel2X 2 2 2" xfId="12027" xr:uid="{9664BC05-0A51-407B-A1DC-2C65E082EB7B}"/>
    <cellStyle name="SAPBEXHLevel2X 2 2 2 2" xfId="23526" xr:uid="{91F04060-97E1-464F-8508-E67DE1B2802B}"/>
    <cellStyle name="SAPBEXHLevel2X 2 2 3" xfId="12028" xr:uid="{F0B8F5CB-AFD2-4FDE-BD0B-A2E58C2BF61A}"/>
    <cellStyle name="SAPBEXHLevel2X 2 2 3 2" xfId="23527" xr:uid="{4658C480-8F69-46BE-A930-0C6BCFC421AA}"/>
    <cellStyle name="SAPBEXHLevel2X 2 2 4" xfId="23525" xr:uid="{CD0BF63A-A63A-4B70-8E7F-508F36B37BAC}"/>
    <cellStyle name="SAPBEXHLevel2X 2 3" xfId="12029" xr:uid="{D5D3B8F2-03E8-4F51-B02E-9D35F5CF472E}"/>
    <cellStyle name="SAPBEXHLevel2X 2 3 2" xfId="23528" xr:uid="{664B6DBE-2CE4-4584-B70C-192F52BBC180}"/>
    <cellStyle name="SAPBEXHLevel2X 2 4" xfId="12030" xr:uid="{E304D11B-7DF9-48CD-B58C-7351A1406117}"/>
    <cellStyle name="SAPBEXHLevel2X 2 4 2" xfId="23529" xr:uid="{E4E7CEF6-6E54-4489-BCE6-1B4113B31490}"/>
    <cellStyle name="SAPBEXHLevel2X 2 5" xfId="23524" xr:uid="{F728B946-F06B-4E49-9C89-18C4265B6285}"/>
    <cellStyle name="SAPBEXHLevel2X 20" xfId="15185" xr:uid="{48F161B2-73E1-49CC-8AFD-242F6AF5A733}"/>
    <cellStyle name="SAPBEXHLevel2X 3" xfId="12031" xr:uid="{0D7BFC26-EC4B-4B50-B1A6-CAE46F3A2112}"/>
    <cellStyle name="SAPBEXHLevel2X 3 2" xfId="12032" xr:uid="{4CAD67EA-852E-4EAB-8ACB-A7B73807420F}"/>
    <cellStyle name="SAPBEXHLevel2X 3 2 2" xfId="12033" xr:uid="{7441347A-59B3-478C-8204-8ACDADCFF568}"/>
    <cellStyle name="SAPBEXHLevel2X 3 2 2 2" xfId="23532" xr:uid="{22DDB174-C573-4788-BF60-26550F008973}"/>
    <cellStyle name="SAPBEXHLevel2X 3 2 3" xfId="12034" xr:uid="{6BF16E82-7405-420E-BB36-7E21A4EE275F}"/>
    <cellStyle name="SAPBEXHLevel2X 3 2 3 2" xfId="23533" xr:uid="{9380BA49-5A70-4E22-AFA7-6D2351BAA734}"/>
    <cellStyle name="SAPBEXHLevel2X 3 2 4" xfId="23531" xr:uid="{09A16C69-BAB5-42BE-A9D1-11D5E87920DD}"/>
    <cellStyle name="SAPBEXHLevel2X 3 3" xfId="12035" xr:uid="{5BDE7285-202E-46EE-976B-E8167DCEAAC1}"/>
    <cellStyle name="SAPBEXHLevel2X 3 3 2" xfId="23534" xr:uid="{34A304F5-A912-4765-895D-CD7326602DE4}"/>
    <cellStyle name="SAPBEXHLevel2X 3 4" xfId="12036" xr:uid="{7CBA5183-8475-4C99-9691-AA89C8FA8081}"/>
    <cellStyle name="SAPBEXHLevel2X 3 4 2" xfId="23535" xr:uid="{124A395D-EC29-4527-9D0B-17673D77EE82}"/>
    <cellStyle name="SAPBEXHLevel2X 3 5" xfId="23530" xr:uid="{F76B7C3E-26CD-428B-8CB3-8D483DB3B492}"/>
    <cellStyle name="SAPBEXHLevel2X 4" xfId="12037" xr:uid="{92BB2D85-D75A-4512-83DF-AE7AF1CCD7E7}"/>
    <cellStyle name="SAPBEXHLevel2X 4 2" xfId="12038" xr:uid="{76F916FE-69FF-4DE6-8CE9-CEEC93A33B71}"/>
    <cellStyle name="SAPBEXHLevel2X 4 2 2" xfId="12039" xr:uid="{FAB830DF-4C4F-4EE3-BD92-F17752251B17}"/>
    <cellStyle name="SAPBEXHLevel2X 4 2 2 2" xfId="23538" xr:uid="{9EB06709-6898-412B-B63E-9EAEC23E1126}"/>
    <cellStyle name="SAPBEXHLevel2X 4 2 3" xfId="12040" xr:uid="{ED98C116-211E-4383-B792-81AF92E3A495}"/>
    <cellStyle name="SAPBEXHLevel2X 4 2 3 2" xfId="23539" xr:uid="{0538423D-1844-4FE1-A6C3-EB641288D4C7}"/>
    <cellStyle name="SAPBEXHLevel2X 4 2 4" xfId="23537" xr:uid="{31B9CB61-A1FF-4D99-86E7-A035DDBA75F3}"/>
    <cellStyle name="SAPBEXHLevel2X 4 3" xfId="12041" xr:uid="{4E2C761A-CDF6-43AE-B880-3B8B28BF6E09}"/>
    <cellStyle name="SAPBEXHLevel2X 4 3 2" xfId="23540" xr:uid="{F41C4337-DBB0-4F78-92D9-0964F0E82C9B}"/>
    <cellStyle name="SAPBEXHLevel2X 4 4" xfId="12042" xr:uid="{4488F3D6-7802-4EFD-AA9D-28D5B0F1D0DF}"/>
    <cellStyle name="SAPBEXHLevel2X 4 4 2" xfId="23541" xr:uid="{C7EA6531-7216-4552-A1FA-CA2B1D83D8F0}"/>
    <cellStyle name="SAPBEXHLevel2X 4 5" xfId="23536" xr:uid="{A1F0D9A7-97F0-4787-B70D-5F8594D030D7}"/>
    <cellStyle name="SAPBEXHLevel2X 5" xfId="12043" xr:uid="{0D41F0F1-C5DF-4C46-8C81-4B8791569AAE}"/>
    <cellStyle name="SAPBEXHLevel2X 5 2" xfId="12044" xr:uid="{1D0024C6-636A-4D20-8F02-C3F712189197}"/>
    <cellStyle name="SAPBEXHLevel2X 5 2 2" xfId="12045" xr:uid="{BA22FABA-EBD5-4E6D-BD5B-004E96312F27}"/>
    <cellStyle name="SAPBEXHLevel2X 5 2 2 2" xfId="23544" xr:uid="{D64E7F72-8F0B-4E13-8836-6908900DC7F9}"/>
    <cellStyle name="SAPBEXHLevel2X 5 2 3" xfId="12046" xr:uid="{CBDBBD8A-738E-4266-B680-D2A2C1FC4988}"/>
    <cellStyle name="SAPBEXHLevel2X 5 2 3 2" xfId="23545" xr:uid="{0F4E86A0-3A83-489E-8AB5-101DC5EFA989}"/>
    <cellStyle name="SAPBEXHLevel2X 5 2 4" xfId="23543" xr:uid="{77928994-07A1-42B7-8855-BE6A35A8591F}"/>
    <cellStyle name="SAPBEXHLevel2X 5 3" xfId="12047" xr:uid="{9F6E8011-BD7C-458E-AB84-59930B239ADD}"/>
    <cellStyle name="SAPBEXHLevel2X 5 3 2" xfId="23546" xr:uid="{E81431F7-4C97-4230-9861-5A98983205CB}"/>
    <cellStyle name="SAPBEXHLevel2X 5 4" xfId="12048" xr:uid="{51688016-797C-43B0-8F16-27B6E68D34C1}"/>
    <cellStyle name="SAPBEXHLevel2X 5 4 2" xfId="23547" xr:uid="{5F4EA970-373F-42C3-B52C-88B579094282}"/>
    <cellStyle name="SAPBEXHLevel2X 5 5" xfId="23542" xr:uid="{CDB473FB-C485-45A6-8C7F-F391900520C5}"/>
    <cellStyle name="SAPBEXHLevel2X 6" xfId="12049" xr:uid="{065FD5A3-7006-4CE1-A175-8E281D4C13F9}"/>
    <cellStyle name="SAPBEXHLevel2X 6 2" xfId="12050" xr:uid="{5D05A111-9620-4164-9196-9AA9449B15D5}"/>
    <cellStyle name="SAPBEXHLevel2X 6 2 2" xfId="12051" xr:uid="{0478ECC4-CD5E-4A92-A9F0-6C94EF5A4030}"/>
    <cellStyle name="SAPBEXHLevel2X 6 2 2 2" xfId="23550" xr:uid="{C63DAFE4-BF42-4132-B806-D44675ABA1E5}"/>
    <cellStyle name="SAPBEXHLevel2X 6 2 3" xfId="12052" xr:uid="{FE226902-E219-4C5C-9925-5CCA15ACB13D}"/>
    <cellStyle name="SAPBEXHLevel2X 6 2 3 2" xfId="23551" xr:uid="{29AECB97-EB3A-4CDD-A4BD-8F0B13207FCA}"/>
    <cellStyle name="SAPBEXHLevel2X 6 2 4" xfId="23549" xr:uid="{FA951C04-2CA7-4154-B08F-AF3B102F8C40}"/>
    <cellStyle name="SAPBEXHLevel2X 6 3" xfId="12053" xr:uid="{3A1E76BF-98D2-4C91-B68E-03AC9C8AEE91}"/>
    <cellStyle name="SAPBEXHLevel2X 6 3 2" xfId="23552" xr:uid="{311D58E4-46EA-4BA8-910A-988FFF725F6D}"/>
    <cellStyle name="SAPBEXHLevel2X 6 4" xfId="12054" xr:uid="{E948FC2A-9B9B-415B-A63C-6E8E09966CDE}"/>
    <cellStyle name="SAPBEXHLevel2X 6 4 2" xfId="23553" xr:uid="{750ED845-39DE-4A2F-8845-388EE62E9659}"/>
    <cellStyle name="SAPBEXHLevel2X 6 5" xfId="23548" xr:uid="{76031F0C-E750-42DD-9B42-A610FA88AE1D}"/>
    <cellStyle name="SAPBEXHLevel2X 7" xfId="12055" xr:uid="{A6A12570-1368-41E4-93E4-6444145004E1}"/>
    <cellStyle name="SAPBEXHLevel2X 7 2" xfId="12056" xr:uid="{0FD5F52B-4FBE-484E-AD22-61A6CEB928EF}"/>
    <cellStyle name="SAPBEXHLevel2X 7 2 2" xfId="12057" xr:uid="{2DD6586B-C744-4A61-BA03-CAC1AE74DCA1}"/>
    <cellStyle name="SAPBEXHLevel2X 7 2 2 2" xfId="23556" xr:uid="{F9171ACB-65FD-4876-A671-0F33074FEE9F}"/>
    <cellStyle name="SAPBEXHLevel2X 7 2 3" xfId="12058" xr:uid="{99478DD2-5BFA-44B2-A9D0-BFD64379F239}"/>
    <cellStyle name="SAPBEXHLevel2X 7 2 3 2" xfId="23557" xr:uid="{978F5A47-D455-44C4-AAA8-C9EF1F10B8D9}"/>
    <cellStyle name="SAPBEXHLevel2X 7 2 4" xfId="23555" xr:uid="{63494E06-288F-4D9D-A5A7-9CBF2502FAA9}"/>
    <cellStyle name="SAPBEXHLevel2X 7 3" xfId="12059" xr:uid="{B6C0543E-C8C2-4129-B337-B6E48749DB89}"/>
    <cellStyle name="SAPBEXHLevel2X 7 3 2" xfId="23558" xr:uid="{44941911-45E5-4084-B60F-DC20A4E30EBC}"/>
    <cellStyle name="SAPBEXHLevel2X 7 4" xfId="12060" xr:uid="{0ED24BBD-33A5-4BD9-BABD-D6FD1142ECAE}"/>
    <cellStyle name="SAPBEXHLevel2X 7 4 2" xfId="23559" xr:uid="{056ECE63-7057-4723-9B2A-B24BCB5F4BA2}"/>
    <cellStyle name="SAPBEXHLevel2X 7 5" xfId="23554" xr:uid="{A61BCACA-28B7-4FA8-AB56-7BA6BD779E43}"/>
    <cellStyle name="SAPBEXHLevel2X 8" xfId="12061" xr:uid="{D1DCF4DB-BD95-4008-AE73-7F9E519127CB}"/>
    <cellStyle name="SAPBEXHLevel2X 8 2" xfId="12062" xr:uid="{6B9862DC-1755-4676-8377-ADE873DC8ECD}"/>
    <cellStyle name="SAPBEXHLevel2X 8 2 2" xfId="12063" xr:uid="{289731DF-53B8-48CB-AE64-99D95E66A539}"/>
    <cellStyle name="SAPBEXHLevel2X 8 2 2 2" xfId="23562" xr:uid="{74F93BB5-7CA6-4AD0-B16A-9B6C4E16BBBD}"/>
    <cellStyle name="SAPBEXHLevel2X 8 2 3" xfId="12064" xr:uid="{9AC64496-DFC2-428C-8345-25644F59E6BF}"/>
    <cellStyle name="SAPBEXHLevel2X 8 2 3 2" xfId="23563" xr:uid="{162C0458-AADC-4B6C-B2AB-C70050509B2D}"/>
    <cellStyle name="SAPBEXHLevel2X 8 2 4" xfId="23561" xr:uid="{0782A79F-EAEA-43E5-B45B-7E9B8D949081}"/>
    <cellStyle name="SAPBEXHLevel2X 8 3" xfId="12065" xr:uid="{53EEE60A-E7F9-4A18-90E9-7FFF99CF2E6B}"/>
    <cellStyle name="SAPBEXHLevel2X 8 3 2" xfId="23564" xr:uid="{116B9922-14DF-4B9C-B141-567E19A386C9}"/>
    <cellStyle name="SAPBEXHLevel2X 8 4" xfId="12066" xr:uid="{0FE46387-3585-4240-BF86-83361D7AD3D8}"/>
    <cellStyle name="SAPBEXHLevel2X 8 4 2" xfId="23565" xr:uid="{B0A81F69-033F-4841-93C2-9FF090DB9E76}"/>
    <cellStyle name="SAPBEXHLevel2X 8 5" xfId="23560" xr:uid="{3EDA0A54-2221-4AD1-99BE-48290D3AF84B}"/>
    <cellStyle name="SAPBEXHLevel2X 9" xfId="12067" xr:uid="{97445DD8-2F74-4F94-8147-76A741B02B58}"/>
    <cellStyle name="SAPBEXHLevel2X 9 2" xfId="12068" xr:uid="{B94E8A27-C930-498E-B6EA-B49C8360BE06}"/>
    <cellStyle name="SAPBEXHLevel2X 9 2 2" xfId="12069" xr:uid="{664B96B8-4E9D-4B73-BA38-8AAAE54C8D55}"/>
    <cellStyle name="SAPBEXHLevel2X 9 2 2 2" xfId="23568" xr:uid="{2D8E4B6A-9B89-4410-A469-13FEB427AA1C}"/>
    <cellStyle name="SAPBEXHLevel2X 9 2 3" xfId="12070" xr:uid="{8E935949-E8E4-469C-BD4A-6BE975DA8DE2}"/>
    <cellStyle name="SAPBEXHLevel2X 9 2 3 2" xfId="23569" xr:uid="{A2899B79-436C-4258-A80B-5C0311E344FC}"/>
    <cellStyle name="SAPBEXHLevel2X 9 2 4" xfId="23567" xr:uid="{1D7FAB1A-5F54-4700-8916-B175BC90D145}"/>
    <cellStyle name="SAPBEXHLevel2X 9 3" xfId="12071" xr:uid="{E573E152-9914-4A74-B7D2-8524FD56F162}"/>
    <cellStyle name="SAPBEXHLevel2X 9 3 2" xfId="23570" xr:uid="{32579E64-8878-4323-8BE8-944137DBF01F}"/>
    <cellStyle name="SAPBEXHLevel2X 9 4" xfId="12072" xr:uid="{5C92D8A4-4BE4-4C5D-BBEA-12AB28824D42}"/>
    <cellStyle name="SAPBEXHLevel2X 9 4 2" xfId="23571" xr:uid="{38D08EF5-6EC6-48AA-9166-2408E8510611}"/>
    <cellStyle name="SAPBEXHLevel2X 9 5" xfId="23566" xr:uid="{D8385584-74E1-43E0-8A36-3C3A827475E0}"/>
    <cellStyle name="SAPBEXHLevel2X_RP3 PP revised" xfId="15324" xr:uid="{D8433C03-A628-454C-81E2-D5F9CEAD49ED}"/>
    <cellStyle name="SAPBEXHLevel3" xfId="12073" xr:uid="{A62A840A-D9EA-4653-80E3-AA1DEAA37326}"/>
    <cellStyle name="SAPBEXHLevel3 10" xfId="12074" xr:uid="{2F3A6912-5B0B-4D20-B2FD-5D766EE6F4B7}"/>
    <cellStyle name="SAPBEXHLevel3 10 2" xfId="12075" xr:uid="{278EB214-57F6-4B0D-BD07-ED7D373F529E}"/>
    <cellStyle name="SAPBEXHLevel3 10 2 2" xfId="12076" xr:uid="{025E05D6-F9DF-471D-AF28-480F6868E3C4}"/>
    <cellStyle name="SAPBEXHLevel3 10 2 2 2" xfId="23574" xr:uid="{332059E7-5400-472E-BD62-A15AB0B0F952}"/>
    <cellStyle name="SAPBEXHLevel3 10 2 3" xfId="12077" xr:uid="{80916684-85DF-4437-9962-FEC025371DC0}"/>
    <cellStyle name="SAPBEXHLevel3 10 2 3 2" xfId="23575" xr:uid="{8F1D85A0-BF25-4E68-868B-22EA569B3DAA}"/>
    <cellStyle name="SAPBEXHLevel3 10 2 4" xfId="23573" xr:uid="{F865F389-75C4-41CA-94F2-56FD581A1CA3}"/>
    <cellStyle name="SAPBEXHLevel3 10 3" xfId="12078" xr:uid="{6E2788A2-38AB-4E7C-9F43-20EFDCD53A35}"/>
    <cellStyle name="SAPBEXHLevel3 10 3 2" xfId="23576" xr:uid="{750136C2-5108-4CC7-844D-276FE5172EF9}"/>
    <cellStyle name="SAPBEXHLevel3 10 4" xfId="12079" xr:uid="{055370FF-C72F-4485-8D11-5EF36C240B1A}"/>
    <cellStyle name="SAPBEXHLevel3 10 4 2" xfId="23577" xr:uid="{A7ADAE7D-DE99-4B1E-8276-890C4935ECC4}"/>
    <cellStyle name="SAPBEXHLevel3 10 5" xfId="23572" xr:uid="{CB938E44-419D-4391-ACF1-05A9E77A087F}"/>
    <cellStyle name="SAPBEXHLevel3 11" xfId="12080" xr:uid="{B0795448-2C1B-48E0-B702-3F32684BF89B}"/>
    <cellStyle name="SAPBEXHLevel3 11 2" xfId="12081" xr:uid="{0445EF82-4468-474E-BD4C-90C6E095C085}"/>
    <cellStyle name="SAPBEXHLevel3 11 2 2" xfId="12082" xr:uid="{E56BEAD7-52CC-4E0A-A2D2-580F76E09F79}"/>
    <cellStyle name="SAPBEXHLevel3 11 2 2 2" xfId="23580" xr:uid="{58FFC4E1-FDF6-4AAA-AD91-1B306FAC43A2}"/>
    <cellStyle name="SAPBEXHLevel3 11 2 3" xfId="12083" xr:uid="{FD802574-F485-43A0-947F-74BD08C86AF6}"/>
    <cellStyle name="SAPBEXHLevel3 11 2 3 2" xfId="23581" xr:uid="{E53BC56F-8AFF-4EDC-BBFB-4F61E0FC4809}"/>
    <cellStyle name="SAPBEXHLevel3 11 2 4" xfId="23579" xr:uid="{447A4FFF-C7C9-4414-9565-9DC4D35F5A4E}"/>
    <cellStyle name="SAPBEXHLevel3 11 3" xfId="12084" xr:uid="{DA5AF9FE-5489-4ACE-AFFA-2F9454B0887A}"/>
    <cellStyle name="SAPBEXHLevel3 11 3 2" xfId="23582" xr:uid="{4C9B160B-F72E-4C5E-9DA1-88D4CB1BB5A2}"/>
    <cellStyle name="SAPBEXHLevel3 11 4" xfId="12085" xr:uid="{F493F6D7-1674-4777-BF1C-061BBC89147C}"/>
    <cellStyle name="SAPBEXHLevel3 11 4 2" xfId="23583" xr:uid="{95A101CF-2DD3-47E2-9B43-48B9ED16ED33}"/>
    <cellStyle name="SAPBEXHLevel3 11 5" xfId="23578" xr:uid="{48E18641-B51A-4615-8CB5-E04A2A5473C6}"/>
    <cellStyle name="SAPBEXHLevel3 12" xfId="12086" xr:uid="{A1A2A0A0-AFD9-4E7B-8A9D-B7292E698553}"/>
    <cellStyle name="SAPBEXHLevel3 12 2" xfId="12087" xr:uid="{8409EF30-3595-44AF-A2CA-E06F9B88ECAF}"/>
    <cellStyle name="SAPBEXHLevel3 12 2 2" xfId="12088" xr:uid="{C9B9AA26-7D4C-4615-B504-2969EB86745D}"/>
    <cellStyle name="SAPBEXHLevel3 12 2 2 2" xfId="23586" xr:uid="{BC855BCD-B3E8-416A-8D8B-2465906E7558}"/>
    <cellStyle name="SAPBEXHLevel3 12 2 3" xfId="12089" xr:uid="{D73B92E9-5A89-4926-9287-5F5EAFF4B2C2}"/>
    <cellStyle name="SAPBEXHLevel3 12 2 3 2" xfId="23587" xr:uid="{416CED8E-E01C-4723-A7A8-8BF5B5DF9F4C}"/>
    <cellStyle name="SAPBEXHLevel3 12 2 4" xfId="23585" xr:uid="{447E6063-C55D-40B0-8777-598F954CC921}"/>
    <cellStyle name="SAPBEXHLevel3 12 3" xfId="12090" xr:uid="{79C5DC91-6901-4EF6-82CA-19FB70F28DAB}"/>
    <cellStyle name="SAPBEXHLevel3 12 3 2" xfId="23588" xr:uid="{F6A21EA4-3988-46D8-BC3E-EA2920CF54A7}"/>
    <cellStyle name="SAPBEXHLevel3 12 4" xfId="12091" xr:uid="{A2103C37-13A6-4E23-AA8B-F90F27B368C2}"/>
    <cellStyle name="SAPBEXHLevel3 12 4 2" xfId="23589" xr:uid="{00526BAB-955E-44FB-B32B-38E992B6EA8C}"/>
    <cellStyle name="SAPBEXHLevel3 12 5" xfId="23584" xr:uid="{56A8CEBC-20D7-46A8-B826-835EA159C726}"/>
    <cellStyle name="SAPBEXHLevel3 13" xfId="12092" xr:uid="{207DF246-2E1D-44CA-B773-D6ED13D043B5}"/>
    <cellStyle name="SAPBEXHLevel3 13 2" xfId="12093" xr:uid="{9C3CF568-4BA3-4A9C-AACA-AF98D09B2095}"/>
    <cellStyle name="SAPBEXHLevel3 13 2 2" xfId="12094" xr:uid="{3BA3B31B-A312-4C0F-A670-1ABBA82B4BEE}"/>
    <cellStyle name="SAPBEXHLevel3 13 2 2 2" xfId="23592" xr:uid="{386EEE0F-68BF-4CFB-A055-230E3967C37D}"/>
    <cellStyle name="SAPBEXHLevel3 13 2 3" xfId="12095" xr:uid="{AF716C20-2095-4857-AA4E-66394EBFE623}"/>
    <cellStyle name="SAPBEXHLevel3 13 2 3 2" xfId="23593" xr:uid="{18A1FF92-E429-4CF1-B8BC-0E769298C1C4}"/>
    <cellStyle name="SAPBEXHLevel3 13 2 4" xfId="23591" xr:uid="{ADF0F21C-134B-47E5-ACEE-7DE16E8E9BD5}"/>
    <cellStyle name="SAPBEXHLevel3 13 3" xfId="12096" xr:uid="{3D42DD20-9EF5-4A30-9260-EC62A6D17055}"/>
    <cellStyle name="SAPBEXHLevel3 13 3 2" xfId="23594" xr:uid="{46E87D74-8233-4783-8592-37265223692E}"/>
    <cellStyle name="SAPBEXHLevel3 13 4" xfId="12097" xr:uid="{78DBA71F-4072-49DD-8A83-4133BA2DB057}"/>
    <cellStyle name="SAPBEXHLevel3 13 4 2" xfId="23595" xr:uid="{4721031F-BBDE-41C8-A00F-0291AAFD3FDF}"/>
    <cellStyle name="SAPBEXHLevel3 13 5" xfId="23590" xr:uid="{936D0EDC-735B-4B22-B241-76DE93F62C0F}"/>
    <cellStyle name="SAPBEXHLevel3 14" xfId="12098" xr:uid="{B5819F33-B68B-4CAB-B865-8AA2556715F4}"/>
    <cellStyle name="SAPBEXHLevel3 14 2" xfId="12099" xr:uid="{34E2C763-3173-4634-B9F6-B38634710788}"/>
    <cellStyle name="SAPBEXHLevel3 14 2 2" xfId="12100" xr:uid="{DA1B7EF0-EAB6-49F4-8839-51DEF0202636}"/>
    <cellStyle name="SAPBEXHLevel3 14 2 2 2" xfId="23598" xr:uid="{976AD91E-EA01-40C3-91E9-5ABC8ABE66C9}"/>
    <cellStyle name="SAPBEXHLevel3 14 2 3" xfId="12101" xr:uid="{0F86E69A-FB5C-410D-B30C-9240B2D4C201}"/>
    <cellStyle name="SAPBEXHLevel3 14 2 3 2" xfId="23599" xr:uid="{1E4B9962-5739-4BDF-8E6A-2B755721ACFD}"/>
    <cellStyle name="SAPBEXHLevel3 14 2 4" xfId="23597" xr:uid="{6D7473DF-394D-4F9E-840F-94D82B729967}"/>
    <cellStyle name="SAPBEXHLevel3 14 3" xfId="12102" xr:uid="{064D9A34-D5FB-4FC4-B35F-BCEFCA6DE632}"/>
    <cellStyle name="SAPBEXHLevel3 14 3 2" xfId="23600" xr:uid="{F6F6DB08-386F-499A-9BB6-F05942D6FE6C}"/>
    <cellStyle name="SAPBEXHLevel3 14 4" xfId="12103" xr:uid="{05016C05-3C2E-499C-990D-D6B69C5FDD43}"/>
    <cellStyle name="SAPBEXHLevel3 14 4 2" xfId="23601" xr:uid="{78044B27-620D-4C18-ABF7-96C61CC0BF58}"/>
    <cellStyle name="SAPBEXHLevel3 14 5" xfId="23596" xr:uid="{645393D9-2862-4A03-8E65-7AD57523FBE4}"/>
    <cellStyle name="SAPBEXHLevel3 15" xfId="12104" xr:uid="{8DD7B504-686E-453C-9955-195A8B54C32B}"/>
    <cellStyle name="SAPBEXHLevel3 15 2" xfId="12105" xr:uid="{C8B8671B-EDEE-4ACE-BE7F-37B04C663F70}"/>
    <cellStyle name="SAPBEXHLevel3 15 2 2" xfId="12106" xr:uid="{8947D9EA-BB3D-490C-8654-624A6941CAD0}"/>
    <cellStyle name="SAPBEXHLevel3 15 2 2 2" xfId="23604" xr:uid="{27575642-1361-48F4-89C9-6E714CD6FB4A}"/>
    <cellStyle name="SAPBEXHLevel3 15 2 3" xfId="12107" xr:uid="{F7B25903-F0BB-4C61-9817-B44D2402DB9C}"/>
    <cellStyle name="SAPBEXHLevel3 15 2 3 2" xfId="23605" xr:uid="{47DBE923-408D-4A0E-B8B5-F751B97B7842}"/>
    <cellStyle name="SAPBEXHLevel3 15 2 4" xfId="23603" xr:uid="{C047C715-3D71-4B9A-A165-32C335F35BBE}"/>
    <cellStyle name="SAPBEXHLevel3 15 3" xfId="12108" xr:uid="{7CBA7480-037B-42FB-BB3B-191C6209E036}"/>
    <cellStyle name="SAPBEXHLevel3 15 3 2" xfId="23606" xr:uid="{1B6E5B22-C9EF-48A7-8358-DA531816DD36}"/>
    <cellStyle name="SAPBEXHLevel3 15 4" xfId="12109" xr:uid="{CB4945EF-55BB-494E-964C-F2059FA32EA9}"/>
    <cellStyle name="SAPBEXHLevel3 15 4 2" xfId="23607" xr:uid="{8C6183A0-048C-442A-8FCB-C71FEF0AA1D6}"/>
    <cellStyle name="SAPBEXHLevel3 15 5" xfId="23602" xr:uid="{9E96FE72-CB28-4B00-892C-A60803E8C98D}"/>
    <cellStyle name="SAPBEXHLevel3 16" xfId="12110" xr:uid="{26482EAD-BD68-49DE-AF36-4D9C1262104F}"/>
    <cellStyle name="SAPBEXHLevel3 16 2" xfId="23608" xr:uid="{D93A723D-BC15-4CB7-95EB-D36958A28777}"/>
    <cellStyle name="SAPBEXHLevel3 17" xfId="12111" xr:uid="{28BCDDF8-A876-4D5E-9824-6AD2566B3EA0}"/>
    <cellStyle name="SAPBEXHLevel3 17 2" xfId="23609" xr:uid="{BCB1E61C-4CED-4050-9DD7-268EA2E906A6}"/>
    <cellStyle name="SAPBEXHLevel3 18" xfId="12112" xr:uid="{62550125-5F9A-465F-B19C-84CBDFD8E316}"/>
    <cellStyle name="SAPBEXHLevel3 18 2" xfId="23610" xr:uid="{B4D3933E-E91C-4C8A-8DBF-B48D15D923AD}"/>
    <cellStyle name="SAPBEXHLevel3 19" xfId="12113" xr:uid="{27643D6A-31DE-4CFF-A62F-3C41E8684171}"/>
    <cellStyle name="SAPBEXHLevel3 19 2" xfId="23611" xr:uid="{DE58E0B3-078C-408F-B10B-CF400F4221BE}"/>
    <cellStyle name="SAPBEXHLevel3 2" xfId="12114" xr:uid="{CB631CB5-54F3-441B-8E1D-DCC774981490}"/>
    <cellStyle name="SAPBEXHLevel3 2 2" xfId="12115" xr:uid="{27217DDC-15BE-4062-B0A5-B965AD7403B2}"/>
    <cellStyle name="SAPBEXHLevel3 2 2 2" xfId="12116" xr:uid="{B5C45290-5D80-4013-AD74-CE7B08D2F204}"/>
    <cellStyle name="SAPBEXHLevel3 2 2 2 2" xfId="23614" xr:uid="{91AF7202-6EED-49DD-9920-CBB9939B5552}"/>
    <cellStyle name="SAPBEXHLevel3 2 2 3" xfId="12117" xr:uid="{7D5BB9F5-D209-4160-9A43-FB1F2D5B73C3}"/>
    <cellStyle name="SAPBEXHLevel3 2 2 3 2" xfId="23615" xr:uid="{FECD5722-93DF-4862-A595-A8E5F9A717F1}"/>
    <cellStyle name="SAPBEXHLevel3 2 2 4" xfId="23613" xr:uid="{22AB9480-AD1E-4CB2-8098-40642281ED0B}"/>
    <cellStyle name="SAPBEXHLevel3 2 3" xfId="12118" xr:uid="{A537D4DB-6854-4DBC-B13C-9D369B545298}"/>
    <cellStyle name="SAPBEXHLevel3 2 3 2" xfId="23616" xr:uid="{D2DDE559-CD46-4DCA-99A4-429EA11383D2}"/>
    <cellStyle name="SAPBEXHLevel3 2 4" xfId="12119" xr:uid="{F1DCDC46-BBBC-493A-ABD6-374ACBAB06A2}"/>
    <cellStyle name="SAPBEXHLevel3 2 4 2" xfId="23617" xr:uid="{6C707212-FCC9-4314-8D93-F48F053EA814}"/>
    <cellStyle name="SAPBEXHLevel3 2 5" xfId="23612" xr:uid="{DA7FB7E6-7C1B-45E3-8CE0-2F97A0A1B890}"/>
    <cellStyle name="SAPBEXHLevel3 20" xfId="15186" xr:uid="{74843874-41F8-46D2-957C-AEF7B41444D3}"/>
    <cellStyle name="SAPBEXHLevel3 3" xfId="12120" xr:uid="{426D899D-D7F2-4069-9CAE-2377520C0540}"/>
    <cellStyle name="SAPBEXHLevel3 3 2" xfId="12121" xr:uid="{39085F54-0BAA-4544-A302-A690CE9A3918}"/>
    <cellStyle name="SAPBEXHLevel3 3 2 2" xfId="12122" xr:uid="{FAADBC63-5716-45D8-8E10-0F08F7968CF6}"/>
    <cellStyle name="SAPBEXHLevel3 3 2 2 2" xfId="23620" xr:uid="{375C33E7-F106-4DDD-A03D-E29AD7286329}"/>
    <cellStyle name="SAPBEXHLevel3 3 2 3" xfId="12123" xr:uid="{6F2B0490-C401-46EC-9092-CFB4BBBF5AB4}"/>
    <cellStyle name="SAPBEXHLevel3 3 2 3 2" xfId="23621" xr:uid="{4C1A64B5-E420-4E4E-AEB3-D24CF1849782}"/>
    <cellStyle name="SAPBEXHLevel3 3 2 4" xfId="23619" xr:uid="{EC121844-46C5-42F3-9072-6AFD08110B20}"/>
    <cellStyle name="SAPBEXHLevel3 3 3" xfId="12124" xr:uid="{4C5694F4-0E36-4981-B1AE-CB76D6DA0968}"/>
    <cellStyle name="SAPBEXHLevel3 3 3 2" xfId="23622" xr:uid="{61EB6EB4-0859-4696-8DC8-5634DC6615B1}"/>
    <cellStyle name="SAPBEXHLevel3 3 4" xfId="12125" xr:uid="{87430485-B1B2-4893-8EEE-D79F5C7533E1}"/>
    <cellStyle name="SAPBEXHLevel3 3 4 2" xfId="23623" xr:uid="{0664AFB9-9E27-4008-8F60-4DA3A64AFC7D}"/>
    <cellStyle name="SAPBEXHLevel3 3 5" xfId="23618" xr:uid="{7370F277-3072-4B14-B4DB-965176FAEAC4}"/>
    <cellStyle name="SAPBEXHLevel3 4" xfId="12126" xr:uid="{305ABA0D-EE82-43F3-A33C-95918DF11446}"/>
    <cellStyle name="SAPBEXHLevel3 4 2" xfId="12127" xr:uid="{90C82AB6-32C3-4FBF-AAEE-72515D9498D0}"/>
    <cellStyle name="SAPBEXHLevel3 4 2 2" xfId="12128" xr:uid="{DD8B77DD-72E6-45F0-9290-CD2169CB31D0}"/>
    <cellStyle name="SAPBEXHLevel3 4 2 2 2" xfId="23626" xr:uid="{395FD8C0-8DFF-4C0F-86CE-1564A04CD5EA}"/>
    <cellStyle name="SAPBEXHLevel3 4 2 3" xfId="12129" xr:uid="{FFC43F71-AB34-4138-99CC-4C3BA5BAE234}"/>
    <cellStyle name="SAPBEXHLevel3 4 2 3 2" xfId="23627" xr:uid="{08EE9A63-6CA9-4B9F-A056-44497F4A2DAD}"/>
    <cellStyle name="SAPBEXHLevel3 4 2 4" xfId="23625" xr:uid="{01B298C0-8057-4B28-92AE-31DEAC988A5D}"/>
    <cellStyle name="SAPBEXHLevel3 4 3" xfId="12130" xr:uid="{C5A538C2-AB9B-4336-AFBF-E1AD07DAE3C1}"/>
    <cellStyle name="SAPBEXHLevel3 4 3 2" xfId="23628" xr:uid="{4E8E37D3-A02E-4190-9F6C-D261096F5163}"/>
    <cellStyle name="SAPBEXHLevel3 4 4" xfId="12131" xr:uid="{75FB4C92-A9CF-418C-98E6-6BEAA3CDF7EC}"/>
    <cellStyle name="SAPBEXHLevel3 4 4 2" xfId="23629" xr:uid="{6ED9786E-2017-42ED-ACB8-DB6B71C9F216}"/>
    <cellStyle name="SAPBEXHLevel3 4 5" xfId="23624" xr:uid="{CA6673E8-94FD-4A68-AF78-F841CAB07370}"/>
    <cellStyle name="SAPBEXHLevel3 5" xfId="12132" xr:uid="{65BE15EF-BE32-42FE-98D3-2E17240CF169}"/>
    <cellStyle name="SAPBEXHLevel3 5 2" xfId="12133" xr:uid="{E9D38412-FE7D-4967-BD0F-571E75FCE140}"/>
    <cellStyle name="SAPBEXHLevel3 5 2 2" xfId="12134" xr:uid="{1776DDE7-8F3F-4922-8BF1-1C7A467180B0}"/>
    <cellStyle name="SAPBEXHLevel3 5 2 2 2" xfId="23632" xr:uid="{2E5984E9-6E50-49B2-93D9-5D44376DCFA5}"/>
    <cellStyle name="SAPBEXHLevel3 5 2 3" xfId="12135" xr:uid="{C2CB19A2-8C41-4EB2-BDC2-F03D6D766F75}"/>
    <cellStyle name="SAPBEXHLevel3 5 2 3 2" xfId="23633" xr:uid="{0ED85A72-5B34-4342-8F07-1D9E251BDBC2}"/>
    <cellStyle name="SAPBEXHLevel3 5 2 4" xfId="23631" xr:uid="{96A4614B-E0B2-4600-B229-553E41AA9BA2}"/>
    <cellStyle name="SAPBEXHLevel3 5 3" xfId="12136" xr:uid="{2F95E28A-7F27-49D2-9722-788F5922B440}"/>
    <cellStyle name="SAPBEXHLevel3 5 3 2" xfId="23634" xr:uid="{6531D226-10E9-4D37-95FC-14F8EF39CED2}"/>
    <cellStyle name="SAPBEXHLevel3 5 4" xfId="12137" xr:uid="{1A7340CA-C2BD-4755-A841-F4C659DB38B0}"/>
    <cellStyle name="SAPBEXHLevel3 5 4 2" xfId="23635" xr:uid="{0B6C7EDA-6CF6-40AE-B2F3-08659C41DB10}"/>
    <cellStyle name="SAPBEXHLevel3 5 5" xfId="23630" xr:uid="{98B76FFE-3DBD-49DB-91A1-615AF1FAA825}"/>
    <cellStyle name="SAPBEXHLevel3 6" xfId="12138" xr:uid="{6EC26AA4-984E-4133-B78A-65D3EF3DCD4F}"/>
    <cellStyle name="SAPBEXHLevel3 6 2" xfId="12139" xr:uid="{56E6F553-D81B-4299-B51C-D0BD9D8D3FB0}"/>
    <cellStyle name="SAPBEXHLevel3 6 2 2" xfId="12140" xr:uid="{4424D940-3ED7-4AE3-ABE1-9D6EBCCF6859}"/>
    <cellStyle name="SAPBEXHLevel3 6 2 2 2" xfId="23638" xr:uid="{E0EF3A32-3F35-4F7A-81C9-8FC849F3281E}"/>
    <cellStyle name="SAPBEXHLevel3 6 2 3" xfId="12141" xr:uid="{F6649D77-0F7A-4F55-BE33-186017F66B29}"/>
    <cellStyle name="SAPBEXHLevel3 6 2 3 2" xfId="23639" xr:uid="{DEFE4F2F-2D1C-4328-B9FE-CB0A66BCFCB4}"/>
    <cellStyle name="SAPBEXHLevel3 6 2 4" xfId="23637" xr:uid="{4613882F-9E12-4800-9399-1ABB4A3B2CF4}"/>
    <cellStyle name="SAPBEXHLevel3 6 3" xfId="12142" xr:uid="{4DFCD9D0-AC61-427F-9EB3-38EC19EB6327}"/>
    <cellStyle name="SAPBEXHLevel3 6 3 2" xfId="23640" xr:uid="{9A5C67CC-CF9D-4CA3-A947-FCABAD53CACD}"/>
    <cellStyle name="SAPBEXHLevel3 6 4" xfId="12143" xr:uid="{E6F7F9FC-D825-40C6-9A82-E9B9CB173F71}"/>
    <cellStyle name="SAPBEXHLevel3 6 4 2" xfId="23641" xr:uid="{BF560296-90FC-4AE0-A5DA-3186A6993AE7}"/>
    <cellStyle name="SAPBEXHLevel3 6 5" xfId="23636" xr:uid="{59E605BA-2413-4AFB-9AA8-1CE43D8AE32D}"/>
    <cellStyle name="SAPBEXHLevel3 7" xfId="12144" xr:uid="{B02A06AD-1DFE-4289-B775-0FF6B70A2073}"/>
    <cellStyle name="SAPBEXHLevel3 7 2" xfId="12145" xr:uid="{570C07EE-69EE-449D-ACE5-16BC61DD2180}"/>
    <cellStyle name="SAPBEXHLevel3 7 2 2" xfId="12146" xr:uid="{689E7C66-7FAC-4671-A796-DE1BE4A242F0}"/>
    <cellStyle name="SAPBEXHLevel3 7 2 2 2" xfId="23644" xr:uid="{0854BAE4-70F0-4BFD-BABD-F8C7CCA7CD1E}"/>
    <cellStyle name="SAPBEXHLevel3 7 2 3" xfId="12147" xr:uid="{1C895D9F-200C-4EB5-82F9-34FDE05DD6E7}"/>
    <cellStyle name="SAPBEXHLevel3 7 2 3 2" xfId="23645" xr:uid="{356517FD-781E-4C4B-A9E7-4AA36FBEB3BF}"/>
    <cellStyle name="SAPBEXHLevel3 7 2 4" xfId="23643" xr:uid="{7D917C59-AFCB-4243-86E8-65EB2C617850}"/>
    <cellStyle name="SAPBEXHLevel3 7 3" xfId="12148" xr:uid="{59D9119C-D21F-4390-8350-384F766013FA}"/>
    <cellStyle name="SAPBEXHLevel3 7 3 2" xfId="23646" xr:uid="{5D9F47BD-30FD-4696-AF9E-DE2AC63E9429}"/>
    <cellStyle name="SAPBEXHLevel3 7 4" xfId="12149" xr:uid="{0DC719E2-C884-48BE-826B-AF889A589848}"/>
    <cellStyle name="SAPBEXHLevel3 7 4 2" xfId="23647" xr:uid="{7B41CA3C-355F-4E09-B272-2E19103589C8}"/>
    <cellStyle name="SAPBEXHLevel3 7 5" xfId="23642" xr:uid="{50CAA733-9BB1-466A-9E79-F0C7D7A62CE8}"/>
    <cellStyle name="SAPBEXHLevel3 8" xfId="12150" xr:uid="{685A3404-DBA6-446E-AB4D-C18246FE8A79}"/>
    <cellStyle name="SAPBEXHLevel3 8 2" xfId="12151" xr:uid="{F00D47B5-224D-4E29-A2CB-FDA91DC12DEF}"/>
    <cellStyle name="SAPBEXHLevel3 8 2 2" xfId="12152" xr:uid="{EDE3DCFD-58AC-4421-83F7-4AC7EC2ECBA7}"/>
    <cellStyle name="SAPBEXHLevel3 8 2 2 2" xfId="23650" xr:uid="{9C138E53-D82F-416F-BA53-4D43C8658871}"/>
    <cellStyle name="SAPBEXHLevel3 8 2 3" xfId="12153" xr:uid="{7EC5A51E-1A20-42BE-A21E-6742CDE26595}"/>
    <cellStyle name="SAPBEXHLevel3 8 2 3 2" xfId="23651" xr:uid="{D00902F3-C540-4628-B420-507B7F3FA62E}"/>
    <cellStyle name="SAPBEXHLevel3 8 2 4" xfId="23649" xr:uid="{82BE36C7-1877-4BFF-A277-C0C820419BE2}"/>
    <cellStyle name="SAPBEXHLevel3 8 3" xfId="12154" xr:uid="{40DC7312-97A4-4874-92D6-DDD2549798FE}"/>
    <cellStyle name="SAPBEXHLevel3 8 3 2" xfId="23652" xr:uid="{FB7B1F8F-96E6-4851-BA1E-8CA2D810FA6A}"/>
    <cellStyle name="SAPBEXHLevel3 8 4" xfId="12155" xr:uid="{1521C097-2E8B-47BF-B4B7-6CD467C5541F}"/>
    <cellStyle name="SAPBEXHLevel3 8 4 2" xfId="23653" xr:uid="{FB4F5F73-C846-420B-A446-94715A5C4D42}"/>
    <cellStyle name="SAPBEXHLevel3 8 5" xfId="23648" xr:uid="{B16DB4AE-2F9F-4609-AAC1-61AC4E7C8211}"/>
    <cellStyle name="SAPBEXHLevel3 9" xfId="12156" xr:uid="{AA1E24A5-35D2-438E-A90F-884EE626A429}"/>
    <cellStyle name="SAPBEXHLevel3 9 2" xfId="12157" xr:uid="{33A7B81F-2038-4F17-B05C-1CD38783848A}"/>
    <cellStyle name="SAPBEXHLevel3 9 2 2" xfId="12158" xr:uid="{91A2B68B-280D-4FE9-8AED-DA7D2646873E}"/>
    <cellStyle name="SAPBEXHLevel3 9 2 2 2" xfId="23656" xr:uid="{8E93D8E0-5DCF-46BC-A493-FF217F4718D8}"/>
    <cellStyle name="SAPBEXHLevel3 9 2 3" xfId="12159" xr:uid="{D9DB7AFF-580B-49F2-AD99-B1DC0EED2C7D}"/>
    <cellStyle name="SAPBEXHLevel3 9 2 3 2" xfId="23657" xr:uid="{F77B506E-0D81-4768-9FF7-6B03F7D50C26}"/>
    <cellStyle name="SAPBEXHLevel3 9 2 4" xfId="23655" xr:uid="{3178B97C-A153-4378-9FE2-616366A409CA}"/>
    <cellStyle name="SAPBEXHLevel3 9 3" xfId="12160" xr:uid="{9082B99C-BDF6-4FFF-A7D7-937B13FC73F6}"/>
    <cellStyle name="SAPBEXHLevel3 9 3 2" xfId="23658" xr:uid="{D63EDC5E-F107-4110-98FF-3C9BDFD536D4}"/>
    <cellStyle name="SAPBEXHLevel3 9 4" xfId="12161" xr:uid="{D0019E2B-4131-42F8-A15C-F25F581B80C1}"/>
    <cellStyle name="SAPBEXHLevel3 9 4 2" xfId="23659" xr:uid="{86FC18C2-05D7-418E-99DD-10BD45403458}"/>
    <cellStyle name="SAPBEXHLevel3 9 5" xfId="23654" xr:uid="{929C351C-2449-4220-A19A-BE99AF419444}"/>
    <cellStyle name="SAPBEXHLevel3_RP3 PP revised" xfId="15064" xr:uid="{96537CE6-07E6-4235-A467-AD729CE4765E}"/>
    <cellStyle name="SAPBEXHLevel3X" xfId="12162" xr:uid="{BF16E10C-3E93-4ED4-A3C1-76123B09E5AE}"/>
    <cellStyle name="SAPBEXHLevel3X 10" xfId="12163" xr:uid="{2C09E213-200B-4BD9-B439-F3556AE89F4B}"/>
    <cellStyle name="SAPBEXHLevel3X 10 2" xfId="12164" xr:uid="{F8241A6E-4EA7-4CBC-A0CC-AF1367179F11}"/>
    <cellStyle name="SAPBEXHLevel3X 10 2 2" xfId="12165" xr:uid="{22E649E8-35F8-4EC7-B644-58A08918CCA6}"/>
    <cellStyle name="SAPBEXHLevel3X 10 2 2 2" xfId="23662" xr:uid="{51F6A828-56DA-4341-8992-1A047499BCE8}"/>
    <cellStyle name="SAPBEXHLevel3X 10 2 3" xfId="12166" xr:uid="{27D50F12-5620-4CA8-AEAF-28A590CE1DC4}"/>
    <cellStyle name="SAPBEXHLevel3X 10 2 3 2" xfId="23663" xr:uid="{3027F13E-4A93-4BFF-9F96-E3A8B390445E}"/>
    <cellStyle name="SAPBEXHLevel3X 10 2 4" xfId="23661" xr:uid="{568E65A4-D927-418F-8188-3A2C2B88302E}"/>
    <cellStyle name="SAPBEXHLevel3X 10 3" xfId="12167" xr:uid="{D564653E-B492-4947-A933-6413377C4B3E}"/>
    <cellStyle name="SAPBEXHLevel3X 10 3 2" xfId="23664" xr:uid="{963F4075-4D93-4136-8A93-EFD7CAA4FA4A}"/>
    <cellStyle name="SAPBEXHLevel3X 10 4" xfId="12168" xr:uid="{088A9F19-E604-4AFF-A7A6-EF73A16C5A59}"/>
    <cellStyle name="SAPBEXHLevel3X 10 4 2" xfId="23665" xr:uid="{3C96C4B6-1ABF-478F-BF80-9579F5F68E38}"/>
    <cellStyle name="SAPBEXHLevel3X 10 5" xfId="23660" xr:uid="{8E494B74-9727-4433-BA1F-A8005699B25A}"/>
    <cellStyle name="SAPBEXHLevel3X 11" xfId="12169" xr:uid="{86A19832-1A2E-465E-B57C-286BE37B6B4D}"/>
    <cellStyle name="SAPBEXHLevel3X 11 2" xfId="12170" xr:uid="{527415B3-FC90-4BFC-A0AD-9D3B46083397}"/>
    <cellStyle name="SAPBEXHLevel3X 11 2 2" xfId="12171" xr:uid="{948B3A47-9F83-4F7A-9F36-27755749F8C3}"/>
    <cellStyle name="SAPBEXHLevel3X 11 2 2 2" xfId="23668" xr:uid="{E0F2E21D-0928-4A5C-B980-192820DA6F0A}"/>
    <cellStyle name="SAPBEXHLevel3X 11 2 3" xfId="12172" xr:uid="{1BCB1414-D898-4CF2-8910-AF4838CFD6F4}"/>
    <cellStyle name="SAPBEXHLevel3X 11 2 3 2" xfId="23669" xr:uid="{88804847-2EC6-4C23-9823-A18143EE06BB}"/>
    <cellStyle name="SAPBEXHLevel3X 11 2 4" xfId="23667" xr:uid="{F1ED8C0B-5EE9-43F1-BE00-671D4F240C4A}"/>
    <cellStyle name="SAPBEXHLevel3X 11 3" xfId="12173" xr:uid="{05E88FCF-9900-46ED-9CF2-A2616D971D28}"/>
    <cellStyle name="SAPBEXHLevel3X 11 3 2" xfId="23670" xr:uid="{641361E7-CDA0-43E8-BBB9-CA177224B45F}"/>
    <cellStyle name="SAPBEXHLevel3X 11 4" xfId="12174" xr:uid="{788C4EE4-EEE7-4805-B08C-29E78CBB7B6B}"/>
    <cellStyle name="SAPBEXHLevel3X 11 4 2" xfId="23671" xr:uid="{74E2F121-CF77-4DEF-97AE-1C0D3EFE6C93}"/>
    <cellStyle name="SAPBEXHLevel3X 11 5" xfId="23666" xr:uid="{218A9E12-BC17-4F58-8666-1E8D37B6923A}"/>
    <cellStyle name="SAPBEXHLevel3X 12" xfId="12175" xr:uid="{9C296B14-F1A2-4028-8759-F914B99E5818}"/>
    <cellStyle name="SAPBEXHLevel3X 12 2" xfId="12176" xr:uid="{F934B6E5-0F7A-49CC-AFDE-DD9735582CD7}"/>
    <cellStyle name="SAPBEXHLevel3X 12 2 2" xfId="12177" xr:uid="{9E64ECE7-F619-4408-AD9F-E5AE96251CF4}"/>
    <cellStyle name="SAPBEXHLevel3X 12 2 2 2" xfId="23674" xr:uid="{559EAE38-7CE3-4FD5-8103-82B78BBD0D55}"/>
    <cellStyle name="SAPBEXHLevel3X 12 2 3" xfId="12178" xr:uid="{1B944BC2-3EA2-43A3-9708-41610D345C80}"/>
    <cellStyle name="SAPBEXHLevel3X 12 2 3 2" xfId="23675" xr:uid="{459227F4-98A0-4162-9209-9499757C6559}"/>
    <cellStyle name="SAPBEXHLevel3X 12 2 4" xfId="23673" xr:uid="{D64C50F1-9FBD-46D2-A84D-4FFBA80F589C}"/>
    <cellStyle name="SAPBEXHLevel3X 12 3" xfId="12179" xr:uid="{1D652972-E450-4135-BE39-F295F05518EC}"/>
    <cellStyle name="SAPBEXHLevel3X 12 3 2" xfId="23676" xr:uid="{93D6856C-B36E-4AD1-9498-EEF2E732D5E6}"/>
    <cellStyle name="SAPBEXHLevel3X 12 4" xfId="12180" xr:uid="{0605C2E0-77BF-46EF-B92C-271D53D9DDAB}"/>
    <cellStyle name="SAPBEXHLevel3X 12 4 2" xfId="23677" xr:uid="{46DBF72C-D0C3-44B2-B671-D797059FE679}"/>
    <cellStyle name="SAPBEXHLevel3X 12 5" xfId="23672" xr:uid="{7BC50C7E-85B5-4003-A66D-CD6FCE1662E6}"/>
    <cellStyle name="SAPBEXHLevel3X 13" xfId="12181" xr:uid="{AC3A3C53-71F6-453D-A002-034E5F993B50}"/>
    <cellStyle name="SAPBEXHLevel3X 13 2" xfId="12182" xr:uid="{ACA1E01F-2AE0-4377-957B-02FB7684C2F0}"/>
    <cellStyle name="SAPBEXHLevel3X 13 2 2" xfId="12183" xr:uid="{90C10351-74D4-4FDC-93AB-A899B0DC49C3}"/>
    <cellStyle name="SAPBEXHLevel3X 13 2 2 2" xfId="23680" xr:uid="{D70F0D5A-E1EC-4A01-8289-AD4F05F09DAA}"/>
    <cellStyle name="SAPBEXHLevel3X 13 2 3" xfId="12184" xr:uid="{81984537-41D2-4666-80D4-6893BBE57F14}"/>
    <cellStyle name="SAPBEXHLevel3X 13 2 3 2" xfId="23681" xr:uid="{6B09999F-7A82-4E57-A87C-2B613811441A}"/>
    <cellStyle name="SAPBEXHLevel3X 13 2 4" xfId="23679" xr:uid="{A144AD59-BCD0-4519-80D2-24AEC56F9B0D}"/>
    <cellStyle name="SAPBEXHLevel3X 13 3" xfId="12185" xr:uid="{99E7C41B-8EB8-40AF-BD18-C8492AE9C8CE}"/>
    <cellStyle name="SAPBEXHLevel3X 13 3 2" xfId="23682" xr:uid="{20BDC21B-8036-48BC-9C6A-D49F61726A6C}"/>
    <cellStyle name="SAPBEXHLevel3X 13 4" xfId="12186" xr:uid="{187452BF-C19C-42B7-B5F7-0BB87C0B964C}"/>
    <cellStyle name="SAPBEXHLevel3X 13 4 2" xfId="23683" xr:uid="{8AD75249-BEE9-47EF-817D-3DDA87D8EA35}"/>
    <cellStyle name="SAPBEXHLevel3X 13 5" xfId="23678" xr:uid="{9BE6F357-8FB2-4C99-A985-E2CE2F4157C7}"/>
    <cellStyle name="SAPBEXHLevel3X 14" xfId="12187" xr:uid="{3DD9AF18-B6BD-4DC3-8609-BC0210AE9E23}"/>
    <cellStyle name="SAPBEXHLevel3X 14 2" xfId="12188" xr:uid="{775DFE8B-F5C3-4739-BE04-CA20D4A6E8A1}"/>
    <cellStyle name="SAPBEXHLevel3X 14 2 2" xfId="12189" xr:uid="{F15367BF-504B-48A3-B99A-F515CE301531}"/>
    <cellStyle name="SAPBEXHLevel3X 14 2 2 2" xfId="23686" xr:uid="{0F68B0F2-0CA2-443B-8B6C-8AD76D9DC1FF}"/>
    <cellStyle name="SAPBEXHLevel3X 14 2 3" xfId="12190" xr:uid="{6CCC569C-A35D-4CE7-8397-11F2648190F4}"/>
    <cellStyle name="SAPBEXHLevel3X 14 2 3 2" xfId="23687" xr:uid="{EB80C236-1D5C-4461-8D37-108E75291C86}"/>
    <cellStyle name="SAPBEXHLevel3X 14 2 4" xfId="23685" xr:uid="{987910EF-F099-48F6-A67D-239C30AAD9AA}"/>
    <cellStyle name="SAPBEXHLevel3X 14 3" xfId="12191" xr:uid="{7BDD3A7E-22F6-4B83-AF36-9C6A177193B4}"/>
    <cellStyle name="SAPBEXHLevel3X 14 3 2" xfId="23688" xr:uid="{A8D2B0F3-1A36-403F-8054-F9FA88EBADDB}"/>
    <cellStyle name="SAPBEXHLevel3X 14 4" xfId="12192" xr:uid="{3D3DED80-C850-4665-BABF-B1267E4346F2}"/>
    <cellStyle name="SAPBEXHLevel3X 14 4 2" xfId="23689" xr:uid="{9619D7C0-C8A3-4ABB-A7D9-43DE24DE6EB8}"/>
    <cellStyle name="SAPBEXHLevel3X 14 5" xfId="23684" xr:uid="{C225423B-7A4D-41C6-8B74-3151BE802E57}"/>
    <cellStyle name="SAPBEXHLevel3X 15" xfId="12193" xr:uid="{4BD3CC47-4D8F-44F5-8AE6-45E3B87AA00B}"/>
    <cellStyle name="SAPBEXHLevel3X 15 2" xfId="12194" xr:uid="{6ED8FEB2-675A-409B-9D8B-271FFB620CC7}"/>
    <cellStyle name="SAPBEXHLevel3X 15 2 2" xfId="12195" xr:uid="{180DCBCF-5231-4E8F-AF26-14353F9A16F8}"/>
    <cellStyle name="SAPBEXHLevel3X 15 2 2 2" xfId="23692" xr:uid="{C24F0D61-E4E7-42C6-8D82-27C393C25C9E}"/>
    <cellStyle name="SAPBEXHLevel3X 15 2 3" xfId="12196" xr:uid="{9CA55044-7ED1-4C1C-ACA2-8BA8BC5C9A01}"/>
    <cellStyle name="SAPBEXHLevel3X 15 2 3 2" xfId="23693" xr:uid="{3CEA368F-6583-4FF9-8D7F-D98B0B7D3FA3}"/>
    <cellStyle name="SAPBEXHLevel3X 15 2 4" xfId="23691" xr:uid="{21022678-7022-4F55-B0F0-047A1B6218F5}"/>
    <cellStyle name="SAPBEXHLevel3X 15 3" xfId="12197" xr:uid="{9245035E-CF87-402D-8754-8E01F61306BD}"/>
    <cellStyle name="SAPBEXHLevel3X 15 3 2" xfId="23694" xr:uid="{6E8761AA-F240-4B8F-9D51-A63F4D65D2A1}"/>
    <cellStyle name="SAPBEXHLevel3X 15 4" xfId="12198" xr:uid="{89D7E3F4-B788-4958-A32E-1CD7386FCCD9}"/>
    <cellStyle name="SAPBEXHLevel3X 15 4 2" xfId="23695" xr:uid="{FAD2838D-A359-4446-9E1D-6BD6B9252A8F}"/>
    <cellStyle name="SAPBEXHLevel3X 15 5" xfId="23690" xr:uid="{762BED1D-01A6-4141-B5FB-D396452F92A7}"/>
    <cellStyle name="SAPBEXHLevel3X 16" xfId="12199" xr:uid="{6C76AEB7-5DE4-448A-89FB-BCDA502C6E84}"/>
    <cellStyle name="SAPBEXHLevel3X 16 2" xfId="23696" xr:uid="{49D8A7FB-90E6-4056-A7EE-DF0D92975584}"/>
    <cellStyle name="SAPBEXHLevel3X 17" xfId="12200" xr:uid="{3D507762-5B29-405F-BCC2-19F78DBEA3DF}"/>
    <cellStyle name="SAPBEXHLevel3X 17 2" xfId="23697" xr:uid="{E61446C0-A766-40B3-8F37-2CB7296EB31E}"/>
    <cellStyle name="SAPBEXHLevel3X 18" xfId="12201" xr:uid="{BC0BBB57-8997-4C85-B1AA-16CBD3D1F068}"/>
    <cellStyle name="SAPBEXHLevel3X 18 2" xfId="23698" xr:uid="{E573BEDC-DB75-43BC-BA09-31B3621B388E}"/>
    <cellStyle name="SAPBEXHLevel3X 19" xfId="12202" xr:uid="{CE925D81-5C3F-41DB-8C4A-1CF27EDCAD2F}"/>
    <cellStyle name="SAPBEXHLevel3X 19 2" xfId="23699" xr:uid="{05406084-A36D-46FB-94DE-4B831F10257B}"/>
    <cellStyle name="SAPBEXHLevel3X 2" xfId="12203" xr:uid="{6C8D6006-9A67-4AA3-A6A7-7068CDD29010}"/>
    <cellStyle name="SAPBEXHLevel3X 2 2" xfId="12204" xr:uid="{6EDBAB3F-256E-417F-8818-1E406ADBB2C9}"/>
    <cellStyle name="SAPBEXHLevel3X 2 2 2" xfId="12205" xr:uid="{E56DED8B-7BAE-4214-8312-8F910CB3D5DE}"/>
    <cellStyle name="SAPBEXHLevel3X 2 2 2 2" xfId="23702" xr:uid="{58BD67B0-6127-4FB9-B89F-E04EE32DF099}"/>
    <cellStyle name="SAPBEXHLevel3X 2 2 3" xfId="12206" xr:uid="{2D158B85-849D-4287-A42E-F60E0B56306C}"/>
    <cellStyle name="SAPBEXHLevel3X 2 2 3 2" xfId="23703" xr:uid="{6E55EA45-9123-44E7-8DA9-81188C40177C}"/>
    <cellStyle name="SAPBEXHLevel3X 2 2 4" xfId="23701" xr:uid="{E3A8539F-E880-4EC5-A596-BD22FB7429FA}"/>
    <cellStyle name="SAPBEXHLevel3X 2 3" xfId="12207" xr:uid="{5FB5143E-82D3-40A4-8A49-28BB1CB03F3A}"/>
    <cellStyle name="SAPBEXHLevel3X 2 3 2" xfId="23704" xr:uid="{AC80600B-5FE8-4DC5-94F8-A2766C216DD2}"/>
    <cellStyle name="SAPBEXHLevel3X 2 4" xfId="12208" xr:uid="{43964374-2ACE-458D-9FA1-AAB6636DDAD5}"/>
    <cellStyle name="SAPBEXHLevel3X 2 4 2" xfId="23705" xr:uid="{3B83AA66-3758-4CD1-87AB-B38187644424}"/>
    <cellStyle name="SAPBEXHLevel3X 2 5" xfId="23700" xr:uid="{0DFFC188-7A5E-44C0-8023-4C131F653D57}"/>
    <cellStyle name="SAPBEXHLevel3X 20" xfId="15187" xr:uid="{BB074D6D-39DB-404D-8A0E-1670691B6D2C}"/>
    <cellStyle name="SAPBEXHLevel3X 3" xfId="12209" xr:uid="{5826016C-8FDA-45FA-9B74-3354F4A24BE9}"/>
    <cellStyle name="SAPBEXHLevel3X 3 2" xfId="12210" xr:uid="{A9359730-6B10-4C77-8372-20BA90C921DF}"/>
    <cellStyle name="SAPBEXHLevel3X 3 2 2" xfId="12211" xr:uid="{36EC0EE2-79B3-4A8E-AA97-F6F9EDDFE532}"/>
    <cellStyle name="SAPBEXHLevel3X 3 2 2 2" xfId="23708" xr:uid="{3A01E7D5-F7C0-4DC8-8FED-9291713B955A}"/>
    <cellStyle name="SAPBEXHLevel3X 3 2 3" xfId="12212" xr:uid="{50E0C47D-7790-4D39-9161-580DD2CBCEED}"/>
    <cellStyle name="SAPBEXHLevel3X 3 2 3 2" xfId="23709" xr:uid="{A34E8DD6-2EA6-4BAC-B57B-04998F28C889}"/>
    <cellStyle name="SAPBEXHLevel3X 3 2 4" xfId="23707" xr:uid="{311B1081-D5C3-46D4-9AAD-2DB330A67B35}"/>
    <cellStyle name="SAPBEXHLevel3X 3 3" xfId="12213" xr:uid="{411C3ACC-180D-4561-B067-AA0F984E5D89}"/>
    <cellStyle name="SAPBEXHLevel3X 3 3 2" xfId="23710" xr:uid="{A91894B9-82AD-4660-A0A3-DBB39B51EA75}"/>
    <cellStyle name="SAPBEXHLevel3X 3 4" xfId="12214" xr:uid="{6F4C1103-5CE0-4029-8712-CD1D423C334D}"/>
    <cellStyle name="SAPBEXHLevel3X 3 4 2" xfId="23711" xr:uid="{8A366D0F-D0C4-487C-A999-1816D88DA2E1}"/>
    <cellStyle name="SAPBEXHLevel3X 3 5" xfId="23706" xr:uid="{0FE5B189-E834-4AD6-83D5-A8DF4B644606}"/>
    <cellStyle name="SAPBEXHLevel3X 4" xfId="12215" xr:uid="{6D9FB0DF-9E6D-43E8-9EB9-57246B3803E7}"/>
    <cellStyle name="SAPBEXHLevel3X 4 2" xfId="12216" xr:uid="{9765AC17-12EB-4EC7-BE88-E4561665A1B0}"/>
    <cellStyle name="SAPBEXHLevel3X 4 2 2" xfId="12217" xr:uid="{813A7A82-9510-4878-997A-65AA5A1AEE70}"/>
    <cellStyle name="SAPBEXHLevel3X 4 2 2 2" xfId="23714" xr:uid="{326B878E-348B-457A-9C6B-B30A503083BB}"/>
    <cellStyle name="SAPBEXHLevel3X 4 2 3" xfId="12218" xr:uid="{D7FA6CEF-557C-4CAF-A6CA-F9CAD01C92B7}"/>
    <cellStyle name="SAPBEXHLevel3X 4 2 3 2" xfId="23715" xr:uid="{785C5786-279C-47FC-9A0C-9EE2DFC6F8A8}"/>
    <cellStyle name="SAPBEXHLevel3X 4 2 4" xfId="23713" xr:uid="{6B0389D4-91D7-44B5-AA37-E4178865720B}"/>
    <cellStyle name="SAPBEXHLevel3X 4 3" xfId="12219" xr:uid="{49C9A446-D62A-4179-977D-B01D57AB020B}"/>
    <cellStyle name="SAPBEXHLevel3X 4 3 2" xfId="23716" xr:uid="{24B982F2-0363-4174-8F53-D81A8F459AA4}"/>
    <cellStyle name="SAPBEXHLevel3X 4 4" xfId="12220" xr:uid="{BBA87C12-9E7C-4595-959E-09A63BEA35D8}"/>
    <cellStyle name="SAPBEXHLevel3X 4 4 2" xfId="23717" xr:uid="{3765AEC9-82F0-4BE1-B792-92E80B49C17A}"/>
    <cellStyle name="SAPBEXHLevel3X 4 5" xfId="23712" xr:uid="{8712A950-2906-4C67-AB99-0A1E2FFAC338}"/>
    <cellStyle name="SAPBEXHLevel3X 5" xfId="12221" xr:uid="{C5799E88-038D-41B1-B46C-D6DE934DC474}"/>
    <cellStyle name="SAPBEXHLevel3X 5 2" xfId="12222" xr:uid="{DD702841-F1D8-4F91-BAF3-46C563E732C8}"/>
    <cellStyle name="SAPBEXHLevel3X 5 2 2" xfId="12223" xr:uid="{E2DF2E41-2E70-4AF2-98FB-6540F415095D}"/>
    <cellStyle name="SAPBEXHLevel3X 5 2 2 2" xfId="23720" xr:uid="{AE7E3EE9-2E4B-428D-BAB2-3E0A2B47F594}"/>
    <cellStyle name="SAPBEXHLevel3X 5 2 3" xfId="12224" xr:uid="{962144F3-44D0-42C8-9669-C8D4E95E116A}"/>
    <cellStyle name="SAPBEXHLevel3X 5 2 3 2" xfId="23721" xr:uid="{676E5595-D5B6-492F-9823-889586ED0F1F}"/>
    <cellStyle name="SAPBEXHLevel3X 5 2 4" xfId="23719" xr:uid="{40E515AF-1104-4E37-826A-5DB31AD5310C}"/>
    <cellStyle name="SAPBEXHLevel3X 5 3" xfId="12225" xr:uid="{4FBE4596-1E68-4725-A017-97BE56F8C184}"/>
    <cellStyle name="SAPBEXHLevel3X 5 3 2" xfId="23722" xr:uid="{5DCD6FF9-7914-4DF3-9333-792CEF8EF532}"/>
    <cellStyle name="SAPBEXHLevel3X 5 4" xfId="12226" xr:uid="{F3F60FB4-58E5-483A-9BD4-CDFC3BA95274}"/>
    <cellStyle name="SAPBEXHLevel3X 5 4 2" xfId="23723" xr:uid="{5A963F46-96BA-4F6E-B8D7-37D1E2F75C8A}"/>
    <cellStyle name="SAPBEXHLevel3X 5 5" xfId="23718" xr:uid="{8836B189-F1CA-41A1-AF19-A90040FF927A}"/>
    <cellStyle name="SAPBEXHLevel3X 6" xfId="12227" xr:uid="{B8F32E11-E69B-4900-9D5E-9D4FEA5E65EA}"/>
    <cellStyle name="SAPBEXHLevel3X 6 2" xfId="12228" xr:uid="{736F6978-DE6E-40BD-93C8-A5F03FC2E191}"/>
    <cellStyle name="SAPBEXHLevel3X 6 2 2" xfId="12229" xr:uid="{F76BD2C5-D26F-4D71-9A1B-5A8826433195}"/>
    <cellStyle name="SAPBEXHLevel3X 6 2 2 2" xfId="23726" xr:uid="{A117897A-4C47-4576-8B90-3E97C2C46FCF}"/>
    <cellStyle name="SAPBEXHLevel3X 6 2 3" xfId="12230" xr:uid="{05C9EBEE-9ABE-473D-801C-DFA3EC35EBAE}"/>
    <cellStyle name="SAPBEXHLevel3X 6 2 3 2" xfId="23727" xr:uid="{43CD4A90-33A1-4C45-8287-FA6E9B5C4C3B}"/>
    <cellStyle name="SAPBEXHLevel3X 6 2 4" xfId="23725" xr:uid="{685343BC-3D14-4C30-8C45-6A984A42ACF3}"/>
    <cellStyle name="SAPBEXHLevel3X 6 3" xfId="12231" xr:uid="{8EB8E2DA-4B09-4E51-900D-E168688D1755}"/>
    <cellStyle name="SAPBEXHLevel3X 6 3 2" xfId="23728" xr:uid="{0508140C-F583-42FB-9594-09CB3D21640A}"/>
    <cellStyle name="SAPBEXHLevel3X 6 4" xfId="12232" xr:uid="{44FA23C0-22C0-4288-9C39-B8E361055CEF}"/>
    <cellStyle name="SAPBEXHLevel3X 6 4 2" xfId="23729" xr:uid="{100D3303-3FA9-455D-93AD-6EF5209F7EDA}"/>
    <cellStyle name="SAPBEXHLevel3X 6 5" xfId="23724" xr:uid="{9657A3BA-D23D-46EE-ABE3-DE46259F9989}"/>
    <cellStyle name="SAPBEXHLevel3X 7" xfId="12233" xr:uid="{2286037D-37F2-4748-BD36-7BCF44F8117E}"/>
    <cellStyle name="SAPBEXHLevel3X 7 2" xfId="12234" xr:uid="{F580EF3D-BCF7-4FCD-87AE-5244F13208E2}"/>
    <cellStyle name="SAPBEXHLevel3X 7 2 2" xfId="12235" xr:uid="{1174E45B-4800-4BCF-93F8-0538FDAE88D5}"/>
    <cellStyle name="SAPBEXHLevel3X 7 2 2 2" xfId="23732" xr:uid="{906A6BCB-04FB-4A8A-94F8-5B3FA40F22F9}"/>
    <cellStyle name="SAPBEXHLevel3X 7 2 3" xfId="12236" xr:uid="{41DBAA94-EBCB-4DD3-946B-040E6F631FF6}"/>
    <cellStyle name="SAPBEXHLevel3X 7 2 3 2" xfId="23733" xr:uid="{F957E2D0-9648-4876-AC37-921AC333CDE9}"/>
    <cellStyle name="SAPBEXHLevel3X 7 2 4" xfId="23731" xr:uid="{7F2C4394-3ED0-4F23-BD5E-B6CBC99043D8}"/>
    <cellStyle name="SAPBEXHLevel3X 7 3" xfId="12237" xr:uid="{79699FDD-5DD5-448A-9A64-24460B19C304}"/>
    <cellStyle name="SAPBEXHLevel3X 7 3 2" xfId="23734" xr:uid="{BB38596B-7BA0-42C9-945C-98173EF16B90}"/>
    <cellStyle name="SAPBEXHLevel3X 7 4" xfId="12238" xr:uid="{822643AF-C6EA-44E4-BD7D-BF5060BF5A88}"/>
    <cellStyle name="SAPBEXHLevel3X 7 4 2" xfId="23735" xr:uid="{752BE1E9-6E2B-45FC-B065-239CFBB23FFB}"/>
    <cellStyle name="SAPBEXHLevel3X 7 5" xfId="23730" xr:uid="{F3946089-F4E1-4422-8F95-58FEB7ED82DF}"/>
    <cellStyle name="SAPBEXHLevel3X 8" xfId="12239" xr:uid="{7CCFD8D4-1AA0-47B3-ACF2-A93194A74C78}"/>
    <cellStyle name="SAPBEXHLevel3X 8 2" xfId="12240" xr:uid="{B1B96858-D24F-4F8B-938E-452011290D54}"/>
    <cellStyle name="SAPBEXHLevel3X 8 2 2" xfId="12241" xr:uid="{3D03A307-03F1-4C02-B721-FAFA0412BE63}"/>
    <cellStyle name="SAPBEXHLevel3X 8 2 2 2" xfId="23738" xr:uid="{8A5885D1-3A01-4771-889A-358A9967B974}"/>
    <cellStyle name="SAPBEXHLevel3X 8 2 3" xfId="12242" xr:uid="{44F9E487-F8CF-450B-AD59-12734925DD21}"/>
    <cellStyle name="SAPBEXHLevel3X 8 2 3 2" xfId="23739" xr:uid="{8CBD34DF-3FD7-4168-AA03-9021884E2B25}"/>
    <cellStyle name="SAPBEXHLevel3X 8 2 4" xfId="23737" xr:uid="{216CCB97-E4F3-4AC7-B53C-56E3B1752172}"/>
    <cellStyle name="SAPBEXHLevel3X 8 3" xfId="12243" xr:uid="{107429A8-D17E-4949-B396-352F355C512F}"/>
    <cellStyle name="SAPBEXHLevel3X 8 3 2" xfId="23740" xr:uid="{51482C32-FA62-4729-B13F-8C1D8456A512}"/>
    <cellStyle name="SAPBEXHLevel3X 8 4" xfId="12244" xr:uid="{4655655A-69D5-4637-81D4-ABF3CECB9FF6}"/>
    <cellStyle name="SAPBEXHLevel3X 8 4 2" xfId="23741" xr:uid="{6284F2CD-9337-48C0-8352-EC1171D3E9BE}"/>
    <cellStyle name="SAPBEXHLevel3X 8 5" xfId="23736" xr:uid="{DD8AE7C5-C5D6-4507-A1DC-350170C2DC00}"/>
    <cellStyle name="SAPBEXHLevel3X 9" xfId="12245" xr:uid="{B055F9BB-ED5B-4F7F-B670-069C39FE828B}"/>
    <cellStyle name="SAPBEXHLevel3X 9 2" xfId="12246" xr:uid="{4D6FA8E3-8CDF-4D1E-A23C-8E15DB62EA30}"/>
    <cellStyle name="SAPBEXHLevel3X 9 2 2" xfId="12247" xr:uid="{87FDFE6F-7DA5-4657-A0D7-91FBFD569D42}"/>
    <cellStyle name="SAPBEXHLevel3X 9 2 2 2" xfId="23744" xr:uid="{98AA8AB5-A3FA-43D8-BDED-8D034D9E1A9B}"/>
    <cellStyle name="SAPBEXHLevel3X 9 2 3" xfId="12248" xr:uid="{7D83C601-4B57-4B65-A521-4A6341220D59}"/>
    <cellStyle name="SAPBEXHLevel3X 9 2 3 2" xfId="23745" xr:uid="{E7AC654D-C0B8-4A0B-8B7D-83311166E412}"/>
    <cellStyle name="SAPBEXHLevel3X 9 2 4" xfId="23743" xr:uid="{795C7234-1539-4F9C-80D6-90CEB97361D5}"/>
    <cellStyle name="SAPBEXHLevel3X 9 3" xfId="12249" xr:uid="{6B81BF4A-E41F-409F-85A5-445A41D66BAC}"/>
    <cellStyle name="SAPBEXHLevel3X 9 3 2" xfId="23746" xr:uid="{6C939CC4-78AD-4229-81DE-0B85BC01C806}"/>
    <cellStyle name="SAPBEXHLevel3X 9 4" xfId="12250" xr:uid="{D74DC9FB-1B0B-4EB1-8C1D-6CCB3CED970E}"/>
    <cellStyle name="SAPBEXHLevel3X 9 4 2" xfId="23747" xr:uid="{AEBF5FEE-CADE-466A-A809-B9F36F3FC808}"/>
    <cellStyle name="SAPBEXHLevel3X 9 5" xfId="23742" xr:uid="{69B94726-AA7D-4C5C-BF1A-51C1286F1DFA}"/>
    <cellStyle name="SAPBEXHLevel3X_RP3 PP revised" xfId="15063" xr:uid="{03DDCF32-FD1E-4E6A-9C07-EF72C339C6C2}"/>
    <cellStyle name="SAPBEXresData" xfId="12251" xr:uid="{62349CA9-F0CD-429E-A2AB-FA298254D1D6}"/>
    <cellStyle name="SAPBEXresData 10" xfId="12252" xr:uid="{373008CF-A097-4D7E-8052-9AF9C6ACD113}"/>
    <cellStyle name="SAPBEXresData 10 2" xfId="12253" xr:uid="{45CAEEE5-4031-4F91-B96A-4E8A18ACC60C}"/>
    <cellStyle name="SAPBEXresData 10 2 2" xfId="12254" xr:uid="{197E9027-6E7A-4053-AFC6-82E63E9B03B5}"/>
    <cellStyle name="SAPBEXresData 10 2 2 2" xfId="23750" xr:uid="{EACBF827-F32F-4BFF-905D-11E9650F17D5}"/>
    <cellStyle name="SAPBEXresData 10 2 3" xfId="12255" xr:uid="{1E409A77-CAA1-4052-AC4A-A98B5864A32E}"/>
    <cellStyle name="SAPBEXresData 10 2 3 2" xfId="23751" xr:uid="{27A01C6B-36C1-4A94-B6D1-1C61B9FE4711}"/>
    <cellStyle name="SAPBEXresData 10 2 4" xfId="23749" xr:uid="{DA7ABF84-7C36-4DA3-B189-DA13D8A2BD88}"/>
    <cellStyle name="SAPBEXresData 10 3" xfId="12256" xr:uid="{80BC3B14-1F5E-4355-A6E3-8D9856082CF7}"/>
    <cellStyle name="SAPBEXresData 10 3 2" xfId="23752" xr:uid="{4C26FACC-2E87-469D-ADEC-1D1F915B3085}"/>
    <cellStyle name="SAPBEXresData 10 4" xfId="12257" xr:uid="{1F914288-D657-4736-90C0-7D224558F190}"/>
    <cellStyle name="SAPBEXresData 10 4 2" xfId="23753" xr:uid="{FB7F1614-4FA6-4E70-9698-EE8B1D917C30}"/>
    <cellStyle name="SAPBEXresData 10 5" xfId="23748" xr:uid="{B0A63773-1446-4F05-93C8-CF98F311B2A9}"/>
    <cellStyle name="SAPBEXresData 11" xfId="12258" xr:uid="{33EC3341-AF51-4E40-972D-D24B32A34586}"/>
    <cellStyle name="SAPBEXresData 11 2" xfId="12259" xr:uid="{608C3AF5-EC85-46C4-8B2A-BFE9E078BFD1}"/>
    <cellStyle name="SAPBEXresData 11 2 2" xfId="12260" xr:uid="{70524CDE-7078-4471-9A9B-1EBFBD0A1088}"/>
    <cellStyle name="SAPBEXresData 11 2 2 2" xfId="23756" xr:uid="{69C27F45-D6FC-4081-9078-FF149FE0FE70}"/>
    <cellStyle name="SAPBEXresData 11 2 3" xfId="12261" xr:uid="{9D7D599F-682F-4A61-BEAE-124B714765FF}"/>
    <cellStyle name="SAPBEXresData 11 2 3 2" xfId="23757" xr:uid="{9453410E-AF4E-46DF-A82A-EE812B3DAA53}"/>
    <cellStyle name="SAPBEXresData 11 2 4" xfId="23755" xr:uid="{03A873ED-8A76-43B1-A71C-4BB1A18EA3C1}"/>
    <cellStyle name="SAPBEXresData 11 3" xfId="12262" xr:uid="{BC642974-BC2B-435D-BE14-D1090ED96F08}"/>
    <cellStyle name="SAPBEXresData 11 3 2" xfId="23758" xr:uid="{16BC7706-74E6-410E-8AAB-77331E68BD73}"/>
    <cellStyle name="SAPBEXresData 11 4" xfId="12263" xr:uid="{C2DA3431-A987-42EE-A0CD-191DC4426509}"/>
    <cellStyle name="SAPBEXresData 11 4 2" xfId="23759" xr:uid="{EEF5ACD4-4AB6-43F5-AEBC-6BDE09342104}"/>
    <cellStyle name="SAPBEXresData 11 5" xfId="23754" xr:uid="{66FA4497-3A9D-4370-A5CA-AE98B5C7D50D}"/>
    <cellStyle name="SAPBEXresData 12" xfId="12264" xr:uid="{10641D45-26C3-4F1D-98B2-86D759549EE8}"/>
    <cellStyle name="SAPBEXresData 12 2" xfId="12265" xr:uid="{DF06C439-7DD8-4795-A77E-85C38FD36BBD}"/>
    <cellStyle name="SAPBEXresData 12 2 2" xfId="12266" xr:uid="{2E50BAFB-1FA1-4EAA-BAEA-3F37A59662C2}"/>
    <cellStyle name="SAPBEXresData 12 2 2 2" xfId="23762" xr:uid="{52F51EA1-6E33-4924-B0B8-867DB4741199}"/>
    <cellStyle name="SAPBEXresData 12 2 3" xfId="12267" xr:uid="{FE524233-C682-4873-BAEE-C816BDA35193}"/>
    <cellStyle name="SAPBEXresData 12 2 3 2" xfId="23763" xr:uid="{7E63492A-6498-49FC-AC6D-1315963E95CD}"/>
    <cellStyle name="SAPBEXresData 12 2 4" xfId="23761" xr:uid="{89D5F9B7-C956-41B3-89C8-D1C52D38133D}"/>
    <cellStyle name="SAPBEXresData 12 3" xfId="12268" xr:uid="{13B24031-3BA2-4F0D-AC8B-537092620761}"/>
    <cellStyle name="SAPBEXresData 12 3 2" xfId="23764" xr:uid="{03B2DCC5-503B-42CB-A798-781BDA6BE64F}"/>
    <cellStyle name="SAPBEXresData 12 4" xfId="12269" xr:uid="{29DC4E40-F678-4E97-8756-2D10E58BB8BD}"/>
    <cellStyle name="SAPBEXresData 12 4 2" xfId="23765" xr:uid="{76A598CC-8822-46CE-87BB-D4C487936EFB}"/>
    <cellStyle name="SAPBEXresData 12 5" xfId="23760" xr:uid="{77071173-E1D7-4422-BFD1-DCEB39631D1D}"/>
    <cellStyle name="SAPBEXresData 13" xfId="12270" xr:uid="{4052E9FC-4DC9-4265-817B-7E648AD01160}"/>
    <cellStyle name="SAPBEXresData 13 2" xfId="12271" xr:uid="{90A889B0-5341-428D-B5EC-A6F8C7847717}"/>
    <cellStyle name="SAPBEXresData 13 2 2" xfId="12272" xr:uid="{73D52DB8-E91C-4207-A691-87A8422F9114}"/>
    <cellStyle name="SAPBEXresData 13 2 2 2" xfId="23768" xr:uid="{84CDF0D8-7ABB-48D6-B245-0118C1D7C72B}"/>
    <cellStyle name="SAPBEXresData 13 2 3" xfId="12273" xr:uid="{EA135FF9-FACA-40EC-9991-DA440CBAF177}"/>
    <cellStyle name="SAPBEXresData 13 2 3 2" xfId="23769" xr:uid="{033B49E5-5542-4D6D-A767-1F5531513CF9}"/>
    <cellStyle name="SAPBEXresData 13 2 4" xfId="23767" xr:uid="{C1826CE4-43E1-48AD-A19B-468C5F695B24}"/>
    <cellStyle name="SAPBEXresData 13 3" xfId="12274" xr:uid="{8E1DC521-005D-49DD-BD48-9D23001D0BFA}"/>
    <cellStyle name="SAPBEXresData 13 3 2" xfId="23770" xr:uid="{136445C2-F9D2-4405-A519-358388835140}"/>
    <cellStyle name="SAPBEXresData 13 4" xfId="12275" xr:uid="{FDCFA2F0-0347-4C7D-ACD6-7EAA74EE535A}"/>
    <cellStyle name="SAPBEXresData 13 4 2" xfId="23771" xr:uid="{84F5C74B-4258-4571-B924-2592417D9F82}"/>
    <cellStyle name="SAPBEXresData 13 5" xfId="23766" xr:uid="{951C5C2D-3019-4D31-8D1E-C1F576D4BC42}"/>
    <cellStyle name="SAPBEXresData 14" xfId="12276" xr:uid="{CB4EDC35-67FA-499C-B8C6-FA40744EF2E5}"/>
    <cellStyle name="SAPBEXresData 14 2" xfId="12277" xr:uid="{84195194-64E4-41F7-82A9-E76E7BB016BE}"/>
    <cellStyle name="SAPBEXresData 14 2 2" xfId="12278" xr:uid="{98087965-10E7-4A1B-95D0-1C00FB7686BA}"/>
    <cellStyle name="SAPBEXresData 14 2 2 2" xfId="23774" xr:uid="{7C1E8CFE-C9B9-4071-8DC9-BE5663A5AD47}"/>
    <cellStyle name="SAPBEXresData 14 2 3" xfId="12279" xr:uid="{4856F11E-D7C5-4C9B-88DB-9CB536426A7E}"/>
    <cellStyle name="SAPBEXresData 14 2 3 2" xfId="23775" xr:uid="{CE395E56-01D7-4DA5-899D-EC2F4AC26639}"/>
    <cellStyle name="SAPBEXresData 14 2 4" xfId="23773" xr:uid="{260B6C44-EE4A-4EBA-AB5D-D00F7E27C963}"/>
    <cellStyle name="SAPBEXresData 14 3" xfId="12280" xr:uid="{ADB8BFA6-DD1E-42EA-BF73-6B51D0B42864}"/>
    <cellStyle name="SAPBEXresData 14 3 2" xfId="23776" xr:uid="{E56C5747-CD1D-4903-90A1-4A7F84ECE421}"/>
    <cellStyle name="SAPBEXresData 14 4" xfId="12281" xr:uid="{266FEFAB-54FE-4CA6-928E-7834605FDDF1}"/>
    <cellStyle name="SAPBEXresData 14 4 2" xfId="23777" xr:uid="{9A16D55B-35E1-4EB6-9090-766DC499AE43}"/>
    <cellStyle name="SAPBEXresData 14 5" xfId="23772" xr:uid="{15609C2C-F38E-4FDF-BBEF-9756ADE537BB}"/>
    <cellStyle name="SAPBEXresData 15" xfId="12282" xr:uid="{1D248F3C-C4C2-48A2-8E21-96C3744B9A2F}"/>
    <cellStyle name="SAPBEXresData 15 2" xfId="12283" xr:uid="{572766A3-E03B-4BE4-87C7-5CE420E0E2A4}"/>
    <cellStyle name="SAPBEXresData 15 2 2" xfId="12284" xr:uid="{E09C5C1F-B0D4-4640-851B-7FF8449582D7}"/>
    <cellStyle name="SAPBEXresData 15 2 2 2" xfId="23780" xr:uid="{B35CB03F-2646-4C76-AFAC-3A34931112BC}"/>
    <cellStyle name="SAPBEXresData 15 2 3" xfId="12285" xr:uid="{21B33D61-CACE-433D-9F78-8A92FEE91A65}"/>
    <cellStyle name="SAPBEXresData 15 2 3 2" xfId="23781" xr:uid="{E7BD4FC9-7CAD-4FD1-8C1B-B87853CD1A46}"/>
    <cellStyle name="SAPBEXresData 15 2 4" xfId="23779" xr:uid="{1D110902-961C-4611-9D12-E5A99C409DB1}"/>
    <cellStyle name="SAPBEXresData 15 3" xfId="12286" xr:uid="{4EF4CF42-87DB-4883-89EA-5FFEE260EC81}"/>
    <cellStyle name="SAPBEXresData 15 3 2" xfId="23782" xr:uid="{5313CF06-D942-47B7-9535-3C6066A9F649}"/>
    <cellStyle name="SAPBEXresData 15 4" xfId="12287" xr:uid="{B062F330-98BE-43DE-BBED-AA047C06C2FD}"/>
    <cellStyle name="SAPBEXresData 15 4 2" xfId="23783" xr:uid="{CE5B22BD-4A36-4174-80A8-A35567CCCB69}"/>
    <cellStyle name="SAPBEXresData 15 5" xfId="23778" xr:uid="{95638866-6809-473B-A5E5-20CC7C790697}"/>
    <cellStyle name="SAPBEXresData 16" xfId="12288" xr:uid="{89FEDDF7-B989-4524-99DF-755E893EA17B}"/>
    <cellStyle name="SAPBEXresData 16 2" xfId="23784" xr:uid="{4D422A9F-74C4-4359-8439-6A4D4BD11A7C}"/>
    <cellStyle name="SAPBEXresData 17" xfId="12289" xr:uid="{5E76576E-C714-43B6-A1D1-42C60096D2DB}"/>
    <cellStyle name="SAPBEXresData 17 2" xfId="23785" xr:uid="{D96F738D-0EE5-4EF6-8BF5-D7C40116302A}"/>
    <cellStyle name="SAPBEXresData 18" xfId="12290" xr:uid="{17FA6D25-2F65-401B-987D-5721D8278DC3}"/>
    <cellStyle name="SAPBEXresData 18 2" xfId="23786" xr:uid="{40EB7B27-61A5-4681-BE48-3BA0C82C65AF}"/>
    <cellStyle name="SAPBEXresData 19" xfId="12291" xr:uid="{C26EE40E-3BB2-4CDF-B4F8-EFCC6E0357D1}"/>
    <cellStyle name="SAPBEXresData 19 2" xfId="23787" xr:uid="{FA18FC49-73C7-4E53-8408-28EE266887C7}"/>
    <cellStyle name="SAPBEXresData 2" xfId="12292" xr:uid="{B924E3AE-4811-452D-957E-D0DCC8DABCD3}"/>
    <cellStyle name="SAPBEXresData 2 2" xfId="12293" xr:uid="{82A77BDF-7ED6-46DC-B04D-6AC27FFA57E3}"/>
    <cellStyle name="SAPBEXresData 2 2 2" xfId="12294" xr:uid="{164E8FF0-9BB5-4DF7-A13C-D44332188537}"/>
    <cellStyle name="SAPBEXresData 2 2 2 2" xfId="23790" xr:uid="{69AD6000-7547-4A1D-ABC1-143AEE294FFB}"/>
    <cellStyle name="SAPBEXresData 2 2 3" xfId="12295" xr:uid="{7848C700-E9F8-49E4-A1BD-58B02416C453}"/>
    <cellStyle name="SAPBEXresData 2 2 3 2" xfId="23791" xr:uid="{0EC9382E-0138-4DC0-94AD-2E557BA16F55}"/>
    <cellStyle name="SAPBEXresData 2 2 4" xfId="23789" xr:uid="{76F712D3-7F81-4495-86EE-45FB07FAB1A4}"/>
    <cellStyle name="SAPBEXresData 2 3" xfId="12296" xr:uid="{4556FFC0-FA76-46CA-806A-7002BE4F16BB}"/>
    <cellStyle name="SAPBEXresData 2 3 2" xfId="23792" xr:uid="{C6BB6FBC-F292-43AF-861A-F49C51F88028}"/>
    <cellStyle name="SAPBEXresData 2 4" xfId="12297" xr:uid="{777037BD-37D1-4AEB-A3DB-4246FBF65B09}"/>
    <cellStyle name="SAPBEXresData 2 4 2" xfId="23793" xr:uid="{171536E5-B2A7-45AB-8CBB-294FA0587AEE}"/>
    <cellStyle name="SAPBEXresData 2 5" xfId="23788" xr:uid="{331DCB9E-7BE1-431E-96C8-B63828698016}"/>
    <cellStyle name="SAPBEXresData 20" xfId="15188" xr:uid="{F32337B5-B1D5-466B-9E1C-D775D437FB8C}"/>
    <cellStyle name="SAPBEXresData 3" xfId="12298" xr:uid="{2F969907-5D91-422B-9BF4-9229094477C9}"/>
    <cellStyle name="SAPBEXresData 3 2" xfId="12299" xr:uid="{F1F207D8-E93E-4B15-A34E-424D2A3BBEFF}"/>
    <cellStyle name="SAPBEXresData 3 2 2" xfId="12300" xr:uid="{F53E7DF5-05EA-46DB-A624-603714AAB604}"/>
    <cellStyle name="SAPBEXresData 3 2 2 2" xfId="23796" xr:uid="{14A593C2-86D5-44F4-B35C-57BF27C0637B}"/>
    <cellStyle name="SAPBEXresData 3 2 3" xfId="12301" xr:uid="{A2E7DBA3-1B83-44CD-A5B8-1D273F5054A8}"/>
    <cellStyle name="SAPBEXresData 3 2 3 2" xfId="23797" xr:uid="{0151E415-632D-485C-BE06-ECF36904B417}"/>
    <cellStyle name="SAPBEXresData 3 2 4" xfId="23795" xr:uid="{CBD93B8D-0642-4232-BDAA-150E271151DB}"/>
    <cellStyle name="SAPBEXresData 3 3" xfId="12302" xr:uid="{F3B0F5B8-AE06-4E63-BEC0-22501AD8EBB7}"/>
    <cellStyle name="SAPBEXresData 3 3 2" xfId="23798" xr:uid="{187EB79B-B631-4567-9FD7-20E4BBECE0BE}"/>
    <cellStyle name="SAPBEXresData 3 4" xfId="12303" xr:uid="{227472C5-1467-4634-A3BD-1A742FBB5C49}"/>
    <cellStyle name="SAPBEXresData 3 4 2" xfId="23799" xr:uid="{DAD558BA-99DE-4996-96A9-111FC310965C}"/>
    <cellStyle name="SAPBEXresData 3 5" xfId="23794" xr:uid="{5AF7E5A2-98A0-4263-8CDC-B19EF688DFEB}"/>
    <cellStyle name="SAPBEXresData 4" xfId="12304" xr:uid="{BB03F188-E1C9-4BFF-A5F8-8FF7AD25BF55}"/>
    <cellStyle name="SAPBEXresData 4 2" xfId="12305" xr:uid="{5A3A8B23-FB71-4FC3-9144-7F9BB569E802}"/>
    <cellStyle name="SAPBEXresData 4 2 2" xfId="12306" xr:uid="{BBE84498-69C6-41D7-A1D5-6B89696DCA0E}"/>
    <cellStyle name="SAPBEXresData 4 2 2 2" xfId="23802" xr:uid="{A93AE662-5CB2-455F-9553-0B4F6443A6E8}"/>
    <cellStyle name="SAPBEXresData 4 2 3" xfId="12307" xr:uid="{A5933D56-B95C-43E5-9ABB-C1E8D06E179A}"/>
    <cellStyle name="SAPBEXresData 4 2 3 2" xfId="23803" xr:uid="{D5119B68-0AA1-4345-88A4-76A6AE9131B0}"/>
    <cellStyle name="SAPBEXresData 4 2 4" xfId="23801" xr:uid="{2292E869-EE41-4520-BB15-308D3506EF14}"/>
    <cellStyle name="SAPBEXresData 4 3" xfId="12308" xr:uid="{18C70590-D9B8-411C-9D56-6587702FCFA6}"/>
    <cellStyle name="SAPBEXresData 4 3 2" xfId="23804" xr:uid="{68706DA3-D253-42D2-8D03-1D306240AC64}"/>
    <cellStyle name="SAPBEXresData 4 4" xfId="12309" xr:uid="{141C0377-E7F5-43BB-8618-B36FC6A1B2CD}"/>
    <cellStyle name="SAPBEXresData 4 4 2" xfId="23805" xr:uid="{E2CF5933-E924-4E0D-A4A2-A28B74641EED}"/>
    <cellStyle name="SAPBEXresData 4 5" xfId="23800" xr:uid="{E283D7D0-B38A-4647-8CC1-6B13B58082C6}"/>
    <cellStyle name="SAPBEXresData 5" xfId="12310" xr:uid="{50554816-301C-4162-802A-7F2C6C1DCB5A}"/>
    <cellStyle name="SAPBEXresData 5 2" xfId="12311" xr:uid="{C230CB48-C310-4141-8EE7-A3E17FD4B897}"/>
    <cellStyle name="SAPBEXresData 5 2 2" xfId="12312" xr:uid="{FB7F6ABE-B89A-404E-8786-7F3531C6AB10}"/>
    <cellStyle name="SAPBEXresData 5 2 2 2" xfId="23808" xr:uid="{AD5DB711-B9B6-4FFD-A9B4-064F351321A9}"/>
    <cellStyle name="SAPBEXresData 5 2 3" xfId="12313" xr:uid="{B0B8D928-5BA8-4086-BC8C-0B8C53B241D9}"/>
    <cellStyle name="SAPBEXresData 5 2 3 2" xfId="23809" xr:uid="{FBBF8857-396B-4A09-BCF2-10D94B76437C}"/>
    <cellStyle name="SAPBEXresData 5 2 4" xfId="23807" xr:uid="{7F4C2DAE-A1CB-410E-96CA-5E41415DBCFC}"/>
    <cellStyle name="SAPBEXresData 5 3" xfId="12314" xr:uid="{C1327E33-7C8C-4718-8227-0393E95A72B0}"/>
    <cellStyle name="SAPBEXresData 5 3 2" xfId="23810" xr:uid="{C5D564C8-002D-4D5F-A1BD-B7D2DC5DB770}"/>
    <cellStyle name="SAPBEXresData 5 4" xfId="12315" xr:uid="{E2C14FB6-B3D2-480B-B0D2-3997D1475EEA}"/>
    <cellStyle name="SAPBEXresData 5 4 2" xfId="23811" xr:uid="{0FDDF9C4-59B8-4BD4-AF4B-C5E6908B6075}"/>
    <cellStyle name="SAPBEXresData 5 5" xfId="23806" xr:uid="{0335DBCC-1B4A-41D2-8760-6AD972D6FC9D}"/>
    <cellStyle name="SAPBEXresData 6" xfId="12316" xr:uid="{0537FD61-ED35-4D9E-B5B3-D6FEA46D2A89}"/>
    <cellStyle name="SAPBEXresData 6 2" xfId="12317" xr:uid="{20257646-E99B-4A20-A1B9-F9FC1416B3FE}"/>
    <cellStyle name="SAPBEXresData 6 2 2" xfId="12318" xr:uid="{D52C7DFA-47ED-4353-82A1-06B95B972C20}"/>
    <cellStyle name="SAPBEXresData 6 2 2 2" xfId="23814" xr:uid="{CBD59385-CDC1-4B94-A20F-347E88759EFB}"/>
    <cellStyle name="SAPBEXresData 6 2 3" xfId="12319" xr:uid="{8AC6442A-4D12-4614-BD21-02D701812576}"/>
    <cellStyle name="SAPBEXresData 6 2 3 2" xfId="23815" xr:uid="{07720C5B-DB9D-45E8-BA78-FAB2ACF66298}"/>
    <cellStyle name="SAPBEXresData 6 2 4" xfId="23813" xr:uid="{EC87B7A5-55D1-4233-84C6-49380173EA50}"/>
    <cellStyle name="SAPBEXresData 6 3" xfId="12320" xr:uid="{0ED5B625-F14F-4C74-B76B-E0E20C1050AC}"/>
    <cellStyle name="SAPBEXresData 6 3 2" xfId="23816" xr:uid="{9880525A-3E56-4159-BA96-900AF725F9F4}"/>
    <cellStyle name="SAPBEXresData 6 4" xfId="12321" xr:uid="{A6FCBD5F-64F7-499E-B9AC-383F33EE576E}"/>
    <cellStyle name="SAPBEXresData 6 4 2" xfId="23817" xr:uid="{B00B1888-80AB-4FD5-B0DD-BBF3EA3A03D4}"/>
    <cellStyle name="SAPBEXresData 6 5" xfId="23812" xr:uid="{99DE3B23-31F2-4A7F-9E40-179C1E3E4BD6}"/>
    <cellStyle name="SAPBEXresData 7" xfId="12322" xr:uid="{9F916DCF-CFCE-429E-AC96-E48C5A8E686E}"/>
    <cellStyle name="SAPBEXresData 7 2" xfId="12323" xr:uid="{CC8C9ED0-16E9-4A3C-9B6B-B809366DE6D5}"/>
    <cellStyle name="SAPBEXresData 7 2 2" xfId="12324" xr:uid="{A69DCFEF-40AB-42D5-8506-1E3A2F0F54F8}"/>
    <cellStyle name="SAPBEXresData 7 2 2 2" xfId="23820" xr:uid="{5F2D30A3-2E03-4103-8F83-5E17F9A7B63F}"/>
    <cellStyle name="SAPBEXresData 7 2 3" xfId="12325" xr:uid="{A6082123-AA03-4443-9049-34AC26E2A186}"/>
    <cellStyle name="SAPBEXresData 7 2 3 2" xfId="23821" xr:uid="{EA69A459-0AD4-458B-B2BA-9BB14D12EDCD}"/>
    <cellStyle name="SAPBEXresData 7 2 4" xfId="23819" xr:uid="{1ABCEFCB-B735-4AE8-AF01-36F370A37D60}"/>
    <cellStyle name="SAPBEXresData 7 3" xfId="12326" xr:uid="{F8E1FD07-E756-467E-9CA1-DDB8CA5AD0F8}"/>
    <cellStyle name="SAPBEXresData 7 3 2" xfId="23822" xr:uid="{B8A5CB39-20FC-4E1B-91F2-C59E4D140FA8}"/>
    <cellStyle name="SAPBEXresData 7 4" xfId="12327" xr:uid="{5AC939A7-F631-4B9D-9219-8AD19E756577}"/>
    <cellStyle name="SAPBEXresData 7 4 2" xfId="23823" xr:uid="{85B9D80A-1A10-4656-98EB-ADA850134BF3}"/>
    <cellStyle name="SAPBEXresData 7 5" xfId="23818" xr:uid="{E7F6CB37-6F31-4E2E-82AA-192D7C755086}"/>
    <cellStyle name="SAPBEXresData 8" xfId="12328" xr:uid="{73EB7804-82B3-4700-95EA-FBDC99803013}"/>
    <cellStyle name="SAPBEXresData 8 2" xfId="12329" xr:uid="{7CC55FF2-8118-438E-A15D-A0B1A2465AEE}"/>
    <cellStyle name="SAPBEXresData 8 2 2" xfId="12330" xr:uid="{206692CD-1CC5-4292-95B7-C72C07255CA1}"/>
    <cellStyle name="SAPBEXresData 8 2 2 2" xfId="23826" xr:uid="{9B475121-400B-479D-A84F-E0CCDA51A3E6}"/>
    <cellStyle name="SAPBEXresData 8 2 3" xfId="12331" xr:uid="{7FA4448B-F886-4F28-BA55-D7C5AD16B33F}"/>
    <cellStyle name="SAPBEXresData 8 2 3 2" xfId="23827" xr:uid="{0ADF41C0-8A1E-4AD1-BA0D-51E736413A49}"/>
    <cellStyle name="SAPBEXresData 8 2 4" xfId="23825" xr:uid="{E8B51BAB-46EA-4DEB-9CE0-66F5E08383DB}"/>
    <cellStyle name="SAPBEXresData 8 3" xfId="12332" xr:uid="{6267A4D1-DAD3-4719-847B-7A3FBDEE73AB}"/>
    <cellStyle name="SAPBEXresData 8 3 2" xfId="23828" xr:uid="{7F73E6F7-5D06-4A36-9413-8DC67FC2E289}"/>
    <cellStyle name="SAPBEXresData 8 4" xfId="12333" xr:uid="{EA54991B-5E42-45B4-BB9B-6447C08886B1}"/>
    <cellStyle name="SAPBEXresData 8 4 2" xfId="23829" xr:uid="{39422AD0-1FE5-45F1-997A-1A87FFB4D2EA}"/>
    <cellStyle name="SAPBEXresData 8 5" xfId="23824" xr:uid="{7597B68B-AFFA-419D-A5B9-288DCB334A73}"/>
    <cellStyle name="SAPBEXresData 9" xfId="12334" xr:uid="{CC06B255-5CBB-4694-8F69-05CBCF82A256}"/>
    <cellStyle name="SAPBEXresData 9 2" xfId="12335" xr:uid="{7B8DC9C3-095C-41F0-BBEE-23927D111063}"/>
    <cellStyle name="SAPBEXresData 9 2 2" xfId="12336" xr:uid="{9A700900-E6B2-4E6E-A0E9-A141D4F6A039}"/>
    <cellStyle name="SAPBEXresData 9 2 2 2" xfId="23832" xr:uid="{350F4C5F-5142-486A-88AD-8F621C7A3FF6}"/>
    <cellStyle name="SAPBEXresData 9 2 3" xfId="12337" xr:uid="{2BBC50BE-4525-477F-9A17-E8DD8217DC10}"/>
    <cellStyle name="SAPBEXresData 9 2 3 2" xfId="23833" xr:uid="{76CA76D7-BCF7-485C-99B2-EB1159BB742E}"/>
    <cellStyle name="SAPBEXresData 9 2 4" xfId="23831" xr:uid="{FE9AA3B9-7C39-4BD3-A63D-DB8F86DD9C19}"/>
    <cellStyle name="SAPBEXresData 9 3" xfId="12338" xr:uid="{BE629E09-B3AE-4E66-8468-333D78F078BD}"/>
    <cellStyle name="SAPBEXresData 9 3 2" xfId="23834" xr:uid="{91A3791D-A426-4588-9A84-D04763ECD892}"/>
    <cellStyle name="SAPBEXresData 9 4" xfId="12339" xr:uid="{C13CE9DB-458E-42EA-8D2F-50D9D896631E}"/>
    <cellStyle name="SAPBEXresData 9 4 2" xfId="23835" xr:uid="{C9E055E3-C2C5-443B-9198-32716E9085E9}"/>
    <cellStyle name="SAPBEXresData 9 5" xfId="23830" xr:uid="{602F0CAC-2090-4B0C-813A-248D21206430}"/>
    <cellStyle name="SAPBEXresData_RP3 PP revised" xfId="15062" xr:uid="{E125CE17-6872-4653-91B8-EBAE01D67AF4}"/>
    <cellStyle name="SAPBEXresDataEmph" xfId="12340" xr:uid="{6F15664A-3ABB-4AF6-A366-380419C8301D}"/>
    <cellStyle name="SAPBEXresDataEmph 10" xfId="12341" xr:uid="{B5AFB63F-F79D-44D2-ACF7-89FF39A50175}"/>
    <cellStyle name="SAPBEXresDataEmph 10 2" xfId="12342" xr:uid="{115027B2-B6E9-48ED-B393-76B3CC95F65E}"/>
    <cellStyle name="SAPBEXresDataEmph 10 2 2" xfId="12343" xr:uid="{B3CC6438-83BA-4FD2-914F-7A8F82799451}"/>
    <cellStyle name="SAPBEXresDataEmph 10 2 2 2" xfId="23838" xr:uid="{8099A2EB-4545-4220-A067-F6BE6F1E499D}"/>
    <cellStyle name="SAPBEXresDataEmph 10 2 3" xfId="12344" xr:uid="{D91329EA-AFB8-4C50-B0BA-C4B6AD08DA3B}"/>
    <cellStyle name="SAPBEXresDataEmph 10 2 3 2" xfId="23839" xr:uid="{7C92AD65-B3DF-4C98-8BD1-3D73091F579B}"/>
    <cellStyle name="SAPBEXresDataEmph 10 2 4" xfId="23837" xr:uid="{9ABC45FF-C0A8-4CA4-9CC6-720E3392488C}"/>
    <cellStyle name="SAPBEXresDataEmph 10 3" xfId="12345" xr:uid="{1E15F8F9-32FB-4F87-BC3F-78645C8EF535}"/>
    <cellStyle name="SAPBEXresDataEmph 10 3 2" xfId="23840" xr:uid="{6D8C53EF-6674-4D1C-87F8-6131CCDD5C12}"/>
    <cellStyle name="SAPBEXresDataEmph 10 4" xfId="12346" xr:uid="{50648F67-0BF9-464A-8A8E-4D97CEE8DA68}"/>
    <cellStyle name="SAPBEXresDataEmph 10 4 2" xfId="23841" xr:uid="{909D0719-1995-451D-8990-C83C5C22B508}"/>
    <cellStyle name="SAPBEXresDataEmph 10 5" xfId="23836" xr:uid="{6085D611-C699-4DA4-850C-DD3357AC3AD4}"/>
    <cellStyle name="SAPBEXresDataEmph 11" xfId="12347" xr:uid="{5E23469D-1AE2-4D3E-B9B3-F4C8E1D42969}"/>
    <cellStyle name="SAPBEXresDataEmph 11 2" xfId="12348" xr:uid="{E3276108-E9A7-462A-8373-8154B9C357E0}"/>
    <cellStyle name="SAPBEXresDataEmph 11 2 2" xfId="12349" xr:uid="{DE4E6310-FF53-4C4D-85D5-F4842968C12A}"/>
    <cellStyle name="SAPBEXresDataEmph 11 2 2 2" xfId="23844" xr:uid="{8708486C-6612-4135-951E-A276AA526DC8}"/>
    <cellStyle name="SAPBEXresDataEmph 11 2 3" xfId="12350" xr:uid="{D36CBF5E-2D91-4E28-994F-181F8EA8C590}"/>
    <cellStyle name="SAPBEXresDataEmph 11 2 3 2" xfId="23845" xr:uid="{FB976D1C-0486-4351-A9D9-82951CB905A6}"/>
    <cellStyle name="SAPBEXresDataEmph 11 2 4" xfId="23843" xr:uid="{5193F573-6047-4D0D-B136-E3E38C4CB67F}"/>
    <cellStyle name="SAPBEXresDataEmph 11 3" xfId="12351" xr:uid="{16BB5D9F-0C40-49A6-91D8-4B973B0BE58E}"/>
    <cellStyle name="SAPBEXresDataEmph 11 3 2" xfId="23846" xr:uid="{4D5406C5-FD9D-43AC-995B-DE82BB4CA59B}"/>
    <cellStyle name="SAPBEXresDataEmph 11 4" xfId="12352" xr:uid="{8FA2D32A-F2D1-4E4F-B092-1242E6402FA6}"/>
    <cellStyle name="SAPBEXresDataEmph 11 4 2" xfId="23847" xr:uid="{1FAB82F7-9EE4-45DD-A523-F12416A11913}"/>
    <cellStyle name="SAPBEXresDataEmph 11 5" xfId="23842" xr:uid="{6B5DE2D9-6611-4827-BD3C-ED5FC2FFFF2B}"/>
    <cellStyle name="SAPBEXresDataEmph 12" xfId="12353" xr:uid="{D084E014-F6CE-4995-A9C0-4A869083E1FC}"/>
    <cellStyle name="SAPBEXresDataEmph 12 2" xfId="12354" xr:uid="{45242C23-21A1-4753-AE5D-FBAA64C17B52}"/>
    <cellStyle name="SAPBEXresDataEmph 12 2 2" xfId="12355" xr:uid="{890296FF-4565-4952-9AA4-1BF526A28EE3}"/>
    <cellStyle name="SAPBEXresDataEmph 12 2 2 2" xfId="23850" xr:uid="{88B8B2C0-CF8B-47E9-9E93-320C8038F553}"/>
    <cellStyle name="SAPBEXresDataEmph 12 2 3" xfId="12356" xr:uid="{5FC66369-D1FC-46E9-90D3-2BF553622153}"/>
    <cellStyle name="SAPBEXresDataEmph 12 2 3 2" xfId="23851" xr:uid="{E18AC187-825E-474A-BC4E-7235B095A27D}"/>
    <cellStyle name="SAPBEXresDataEmph 12 2 4" xfId="23849" xr:uid="{05388F23-28A5-4C1E-AD8E-ABB67E2C78E9}"/>
    <cellStyle name="SAPBEXresDataEmph 12 3" xfId="12357" xr:uid="{B7D10FD6-21D4-4098-989E-3AACDC1A4EC4}"/>
    <cellStyle name="SAPBEXresDataEmph 12 3 2" xfId="23852" xr:uid="{48D23759-0FBE-4FEB-B729-20D8A9CDAC18}"/>
    <cellStyle name="SAPBEXresDataEmph 12 4" xfId="12358" xr:uid="{8362ADB5-25AF-4504-B09B-B20B47534092}"/>
    <cellStyle name="SAPBEXresDataEmph 12 4 2" xfId="23853" xr:uid="{2AF502EA-BDEA-4E92-A10F-045ED601F7F3}"/>
    <cellStyle name="SAPBEXresDataEmph 12 5" xfId="23848" xr:uid="{1D51F734-1D47-4BC4-B067-E7D20102D833}"/>
    <cellStyle name="SAPBEXresDataEmph 13" xfId="12359" xr:uid="{C0F5313D-B847-4D11-B635-B0C73881BAFC}"/>
    <cellStyle name="SAPBEXresDataEmph 13 2" xfId="12360" xr:uid="{EEA0B8AE-2650-438F-8ACC-273CF9BBFE49}"/>
    <cellStyle name="SAPBEXresDataEmph 13 2 2" xfId="12361" xr:uid="{580EDA2B-578B-4F22-9158-FB4E6838F947}"/>
    <cellStyle name="SAPBEXresDataEmph 13 2 2 2" xfId="23856" xr:uid="{59760462-1738-4A2C-865C-15948AD79C38}"/>
    <cellStyle name="SAPBEXresDataEmph 13 2 3" xfId="12362" xr:uid="{07BF1988-C7EC-448B-B2A7-FBAE2E5359DE}"/>
    <cellStyle name="SAPBEXresDataEmph 13 2 3 2" xfId="23857" xr:uid="{6630DAD6-D1EC-466A-B7CA-2ADFB557B815}"/>
    <cellStyle name="SAPBEXresDataEmph 13 2 4" xfId="23855" xr:uid="{9820548C-974D-40FE-AC12-B2A33E70B3BE}"/>
    <cellStyle name="SAPBEXresDataEmph 13 3" xfId="12363" xr:uid="{70112190-2993-4ACB-8DEE-634D6794D484}"/>
    <cellStyle name="SAPBEXresDataEmph 13 3 2" xfId="23858" xr:uid="{FDD4B0B8-B5E3-4D91-9E27-D1A72B85A171}"/>
    <cellStyle name="SAPBEXresDataEmph 13 4" xfId="12364" xr:uid="{37CD3382-80F5-4629-AE34-BC5232384B26}"/>
    <cellStyle name="SAPBEXresDataEmph 13 4 2" xfId="23859" xr:uid="{881DCD45-CE1F-4AEB-A796-E2FBF39C95A3}"/>
    <cellStyle name="SAPBEXresDataEmph 13 5" xfId="23854" xr:uid="{97E8E0A4-605B-4ACA-AEF4-EE9CE9AAB901}"/>
    <cellStyle name="SAPBEXresDataEmph 14" xfId="12365" xr:uid="{4C1213E8-5ECD-4377-87EB-56264283AE13}"/>
    <cellStyle name="SAPBEXresDataEmph 14 2" xfId="12366" xr:uid="{B4C2EFD6-65ED-4557-8B41-4EECF36A3E74}"/>
    <cellStyle name="SAPBEXresDataEmph 14 2 2" xfId="12367" xr:uid="{11AF7503-42E3-4E21-8329-692347ACEA35}"/>
    <cellStyle name="SAPBEXresDataEmph 14 2 2 2" xfId="23862" xr:uid="{9DFF28C1-F04D-4B02-BEFC-52E203C9EEB4}"/>
    <cellStyle name="SAPBEXresDataEmph 14 2 3" xfId="12368" xr:uid="{18CB7C25-4E40-41FA-A11F-62B7E54FBE30}"/>
    <cellStyle name="SAPBEXresDataEmph 14 2 3 2" xfId="23863" xr:uid="{53CBC37F-5575-47C2-AAE9-DA3F099D371E}"/>
    <cellStyle name="SAPBEXresDataEmph 14 2 4" xfId="23861" xr:uid="{918F6ADE-7D79-4334-B1C8-47FCEF8EA9AB}"/>
    <cellStyle name="SAPBEXresDataEmph 14 3" xfId="12369" xr:uid="{8CA17150-F9F0-4059-988A-9F5D10DDECD9}"/>
    <cellStyle name="SAPBEXresDataEmph 14 3 2" xfId="23864" xr:uid="{F5AF41CE-D259-4B30-B6CF-6BA7A9AACCBA}"/>
    <cellStyle name="SAPBEXresDataEmph 14 4" xfId="12370" xr:uid="{ED333DAD-46EA-46ED-A28C-ED1C1CF5383D}"/>
    <cellStyle name="SAPBEXresDataEmph 14 4 2" xfId="23865" xr:uid="{E85D6146-85B0-476A-AA87-FC43338B8723}"/>
    <cellStyle name="SAPBEXresDataEmph 14 5" xfId="23860" xr:uid="{436123FC-69FC-4F2C-945B-CB89BDB0CA2A}"/>
    <cellStyle name="SAPBEXresDataEmph 15" xfId="12371" xr:uid="{7B195895-2533-4B40-AD77-9EA338F29A3D}"/>
    <cellStyle name="SAPBEXresDataEmph 15 2" xfId="12372" xr:uid="{BE3D37A9-A634-4CC4-99E9-42232E355BD0}"/>
    <cellStyle name="SAPBEXresDataEmph 15 2 2" xfId="12373" xr:uid="{100F93E0-44F2-43A0-84EB-0AFB0181702E}"/>
    <cellStyle name="SAPBEXresDataEmph 15 2 2 2" xfId="23868" xr:uid="{DCE32E58-B6D2-404D-8776-2BCB6E4CAF83}"/>
    <cellStyle name="SAPBEXresDataEmph 15 2 3" xfId="12374" xr:uid="{E8234EA1-6477-46A4-819F-A6A3B5999A6E}"/>
    <cellStyle name="SAPBEXresDataEmph 15 2 3 2" xfId="23869" xr:uid="{D5E1B961-FAA6-4303-BD97-E412D0104D38}"/>
    <cellStyle name="SAPBEXresDataEmph 15 2 4" xfId="23867" xr:uid="{F5003600-72B9-4F00-A6AC-48DF6CEF5188}"/>
    <cellStyle name="SAPBEXresDataEmph 15 3" xfId="12375" xr:uid="{BCE408A4-4044-496B-949B-B8EC7926826F}"/>
    <cellStyle name="SAPBEXresDataEmph 15 3 2" xfId="23870" xr:uid="{08007A07-8330-4341-AD93-A9476701AFAC}"/>
    <cellStyle name="SAPBEXresDataEmph 15 4" xfId="12376" xr:uid="{B9058861-D772-4DC2-8E23-01DA59F8AA29}"/>
    <cellStyle name="SAPBEXresDataEmph 15 4 2" xfId="23871" xr:uid="{860C1E39-A6C9-41F2-81BE-9F451823EA0E}"/>
    <cellStyle name="SAPBEXresDataEmph 15 5" xfId="23866" xr:uid="{604084CC-E022-4262-A42A-10BFF805020A}"/>
    <cellStyle name="SAPBEXresDataEmph 16" xfId="12377" xr:uid="{B9182524-AA71-4441-9236-C59E14B243F9}"/>
    <cellStyle name="SAPBEXresDataEmph 16 2" xfId="23872" xr:uid="{4B9CD4AE-A24F-4DEB-8B79-A159C8922B1D}"/>
    <cellStyle name="SAPBEXresDataEmph 17" xfId="12378" xr:uid="{B907EC85-E755-4EFD-B7DE-252F5D2A50BF}"/>
    <cellStyle name="SAPBEXresDataEmph 17 2" xfId="23873" xr:uid="{DB00330E-F108-4FF4-81CA-6DDC51BE7B25}"/>
    <cellStyle name="SAPBEXresDataEmph 18" xfId="12379" xr:uid="{D00F3E64-8FBC-49DD-B947-A4DA89EF7458}"/>
    <cellStyle name="SAPBEXresDataEmph 18 2" xfId="23874" xr:uid="{16DFC7FF-B5ED-4C1F-9CB1-92D18E62876F}"/>
    <cellStyle name="SAPBEXresDataEmph 19" xfId="12380" xr:uid="{C7BA43A6-23C9-4800-8CED-FEE390B6E21A}"/>
    <cellStyle name="SAPBEXresDataEmph 19 2" xfId="23875" xr:uid="{A7A20956-818C-4EBC-98FA-CAB1F6E0C8D9}"/>
    <cellStyle name="SAPBEXresDataEmph 2" xfId="12381" xr:uid="{DEBFA509-DA33-4B31-8AD6-774BDBDB2A1D}"/>
    <cellStyle name="SAPBEXresDataEmph 2 2" xfId="12382" xr:uid="{52D7DFDE-071D-4DE5-AD7B-7721CB286E17}"/>
    <cellStyle name="SAPBEXresDataEmph 2 2 2" xfId="12383" xr:uid="{45B07668-9671-4650-8476-1BEAB7B637CE}"/>
    <cellStyle name="SAPBEXresDataEmph 2 2 2 2" xfId="23878" xr:uid="{B02D0AB6-3751-4445-B46A-DE44BBCFD946}"/>
    <cellStyle name="SAPBEXresDataEmph 2 2 3" xfId="12384" xr:uid="{D857B737-F1AB-43AD-99F3-A6851B2A87D1}"/>
    <cellStyle name="SAPBEXresDataEmph 2 2 3 2" xfId="23879" xr:uid="{DF5185AF-8671-4AB9-A3D3-6562B9B83C55}"/>
    <cellStyle name="SAPBEXresDataEmph 2 2 4" xfId="23877" xr:uid="{9655D233-2E8E-4DDE-9F32-F96A3C9CF3DD}"/>
    <cellStyle name="SAPBEXresDataEmph 2 3" xfId="12385" xr:uid="{4F351FAB-6939-48EE-9475-D947A80F7F9C}"/>
    <cellStyle name="SAPBEXresDataEmph 2 3 2" xfId="23880" xr:uid="{7B618569-FE48-4BDC-8F01-147E06DDF2D7}"/>
    <cellStyle name="SAPBEXresDataEmph 2 4" xfId="12386" xr:uid="{77B6F2F5-B9B0-4CB1-844E-3B89771314E5}"/>
    <cellStyle name="SAPBEXresDataEmph 2 4 2" xfId="23881" xr:uid="{71AB6BAB-98C1-4EA8-8D90-4BB10FF2556D}"/>
    <cellStyle name="SAPBEXresDataEmph 2 5" xfId="23876" xr:uid="{3EE242F9-C684-4CF1-9329-BFC6C905327D}"/>
    <cellStyle name="SAPBEXresDataEmph 20" xfId="15189" xr:uid="{9AABA6D0-2CA3-49BF-84B9-E7D8B25BB273}"/>
    <cellStyle name="SAPBEXresDataEmph 3" xfId="12387" xr:uid="{87D94D00-9F91-4A84-996A-5D564AAE2EC3}"/>
    <cellStyle name="SAPBEXresDataEmph 3 2" xfId="12388" xr:uid="{7A68C370-C2A1-40BF-9F33-F15F3E6CD61B}"/>
    <cellStyle name="SAPBEXresDataEmph 3 2 2" xfId="12389" xr:uid="{A1D9E061-2C87-4E7E-9ABD-39E631D785E2}"/>
    <cellStyle name="SAPBEXresDataEmph 3 2 2 2" xfId="23884" xr:uid="{7B743456-529A-4151-B3F2-3E88F78D7867}"/>
    <cellStyle name="SAPBEXresDataEmph 3 2 3" xfId="12390" xr:uid="{56A17384-15DF-4F2D-A956-8703F7747CD2}"/>
    <cellStyle name="SAPBEXresDataEmph 3 2 3 2" xfId="23885" xr:uid="{7665160E-C0BB-48C2-B5A5-C0465FBA612A}"/>
    <cellStyle name="SAPBEXresDataEmph 3 2 4" xfId="23883" xr:uid="{96F6A6F0-2260-4E3D-95AC-2B747D52EF84}"/>
    <cellStyle name="SAPBEXresDataEmph 3 3" xfId="12391" xr:uid="{EB7D7F63-B9CD-4995-B6B9-545EF947208F}"/>
    <cellStyle name="SAPBEXresDataEmph 3 3 2" xfId="23886" xr:uid="{A92F89DC-D7FA-4BAD-A8FA-DBA79397ACDB}"/>
    <cellStyle name="SAPBEXresDataEmph 3 4" xfId="12392" xr:uid="{90EFF89E-64C3-40C8-8941-5E93600A3776}"/>
    <cellStyle name="SAPBEXresDataEmph 3 4 2" xfId="23887" xr:uid="{590D246D-95BB-4FF7-8A2D-30AAC9A14F1E}"/>
    <cellStyle name="SAPBEXresDataEmph 3 5" xfId="23882" xr:uid="{D9450F63-0200-4D2F-99DB-45E96C4D4660}"/>
    <cellStyle name="SAPBEXresDataEmph 4" xfId="12393" xr:uid="{244B6E68-BA65-4F75-AE28-B3279EE7E117}"/>
    <cellStyle name="SAPBEXresDataEmph 4 2" xfId="12394" xr:uid="{9687D33D-B582-4E41-AFB7-7AF5371E2A8B}"/>
    <cellStyle name="SAPBEXresDataEmph 4 2 2" xfId="12395" xr:uid="{76656A2C-A7B3-4C47-8257-A4FA2E8A27ED}"/>
    <cellStyle name="SAPBEXresDataEmph 4 2 2 2" xfId="23890" xr:uid="{4068A6E2-F43A-4547-A9E0-325D8DFC3D47}"/>
    <cellStyle name="SAPBEXresDataEmph 4 2 3" xfId="12396" xr:uid="{CEAB5888-0667-48C8-917C-239E0148353B}"/>
    <cellStyle name="SAPBEXresDataEmph 4 2 3 2" xfId="23891" xr:uid="{EC0ABBFC-142D-4B0E-81F4-BAAB6BE2C905}"/>
    <cellStyle name="SAPBEXresDataEmph 4 2 4" xfId="23889" xr:uid="{620BBB5D-5BC3-4FCD-8ED6-47E6FE0635D4}"/>
    <cellStyle name="SAPBEXresDataEmph 4 3" xfId="12397" xr:uid="{DA6DC2BA-E19E-499B-846C-B3E27634A500}"/>
    <cellStyle name="SAPBEXresDataEmph 4 3 2" xfId="23892" xr:uid="{36547881-A47A-4D12-96AF-D7EEAD7298A6}"/>
    <cellStyle name="SAPBEXresDataEmph 4 4" xfId="12398" xr:uid="{4FACFA69-1FED-4C1D-B606-82AEAF023ED4}"/>
    <cellStyle name="SAPBEXresDataEmph 4 4 2" xfId="23893" xr:uid="{7D6FD2AC-500F-465E-8367-2128E9B3DF56}"/>
    <cellStyle name="SAPBEXresDataEmph 4 5" xfId="23888" xr:uid="{F9505A54-8067-41F8-8332-A7E3C426F6A3}"/>
    <cellStyle name="SAPBEXresDataEmph 5" xfId="12399" xr:uid="{81E80AEC-7B57-446D-B565-B0870FFD483A}"/>
    <cellStyle name="SAPBEXresDataEmph 5 2" xfId="12400" xr:uid="{AD6938E9-5A14-450F-9FA9-0170A7BD2464}"/>
    <cellStyle name="SAPBEXresDataEmph 5 2 2" xfId="12401" xr:uid="{55D9F673-7F00-4860-8619-4A2B98A488FC}"/>
    <cellStyle name="SAPBEXresDataEmph 5 2 2 2" xfId="23896" xr:uid="{82D9039E-1C89-4C05-9FC1-EB09420AAA07}"/>
    <cellStyle name="SAPBEXresDataEmph 5 2 3" xfId="12402" xr:uid="{EA3229B0-A9FD-4963-B739-6441FDCF9E07}"/>
    <cellStyle name="SAPBEXresDataEmph 5 2 3 2" xfId="23897" xr:uid="{AD7C6C82-3807-4FC4-9E7B-E8471952126F}"/>
    <cellStyle name="SAPBEXresDataEmph 5 2 4" xfId="23895" xr:uid="{8A0E7E23-F8DB-4427-9FBB-8AE4DA143727}"/>
    <cellStyle name="SAPBEXresDataEmph 5 3" xfId="12403" xr:uid="{5AF53057-A4A0-4F09-92E4-87A02C280D53}"/>
    <cellStyle name="SAPBEXresDataEmph 5 3 2" xfId="23898" xr:uid="{2857B26A-4EB5-4F99-83FE-8A695233A361}"/>
    <cellStyle name="SAPBEXresDataEmph 5 4" xfId="12404" xr:uid="{B2E1987F-10ED-4B0B-A6E1-5EA7BEF64437}"/>
    <cellStyle name="SAPBEXresDataEmph 5 4 2" xfId="23899" xr:uid="{A0C255DF-B330-401C-931C-FD025E5E075E}"/>
    <cellStyle name="SAPBEXresDataEmph 5 5" xfId="23894" xr:uid="{7E646022-48B1-418C-B939-5CB13C3E3F4A}"/>
    <cellStyle name="SAPBEXresDataEmph 6" xfId="12405" xr:uid="{431475F6-5600-4C7D-BA1A-9049D8DEE347}"/>
    <cellStyle name="SAPBEXresDataEmph 6 2" xfId="12406" xr:uid="{05761D11-0A58-4764-A43C-80719B0529FB}"/>
    <cellStyle name="SAPBEXresDataEmph 6 2 2" xfId="12407" xr:uid="{B95D3F38-1094-475A-ADF5-705564EA7029}"/>
    <cellStyle name="SAPBEXresDataEmph 6 2 2 2" xfId="23902" xr:uid="{5A995AA0-95E8-4EDC-ABD3-AE15FC577A79}"/>
    <cellStyle name="SAPBEXresDataEmph 6 2 3" xfId="12408" xr:uid="{0E7AAFF5-F1F2-42C7-A726-652FBB3AFC0C}"/>
    <cellStyle name="SAPBEXresDataEmph 6 2 3 2" xfId="23903" xr:uid="{79B7094A-2B5A-4EA0-B979-B0C2B2CC90A8}"/>
    <cellStyle name="SAPBEXresDataEmph 6 2 4" xfId="23901" xr:uid="{A964356F-1B12-457B-8089-F2E456BE7482}"/>
    <cellStyle name="SAPBEXresDataEmph 6 3" xfId="12409" xr:uid="{B53F1033-37EF-478F-87A0-C7BC79677BFA}"/>
    <cellStyle name="SAPBEXresDataEmph 6 3 2" xfId="23904" xr:uid="{20A70EFA-9F6A-428B-9C82-3CB763DE6D5B}"/>
    <cellStyle name="SAPBEXresDataEmph 6 4" xfId="12410" xr:uid="{664E2383-95CB-453D-B9D7-498F8C00CACE}"/>
    <cellStyle name="SAPBEXresDataEmph 6 4 2" xfId="23905" xr:uid="{B352EC61-DFEF-4330-BC22-26091FBC8ABF}"/>
    <cellStyle name="SAPBEXresDataEmph 6 5" xfId="23900" xr:uid="{954E91C6-C9E6-4A5C-8E53-DCCF23017342}"/>
    <cellStyle name="SAPBEXresDataEmph 7" xfId="12411" xr:uid="{184E87CB-FBA7-47FA-8266-75731312D3CB}"/>
    <cellStyle name="SAPBEXresDataEmph 7 2" xfId="12412" xr:uid="{6D5D058B-B56C-4851-88E8-E1AACBBD77B4}"/>
    <cellStyle name="SAPBEXresDataEmph 7 2 2" xfId="12413" xr:uid="{5C5D3DDF-60E3-46E0-A43D-1E193CE258E1}"/>
    <cellStyle name="SAPBEXresDataEmph 7 2 2 2" xfId="23908" xr:uid="{889DE39D-23A8-4AB4-986D-715D9CAF6897}"/>
    <cellStyle name="SAPBEXresDataEmph 7 2 3" xfId="12414" xr:uid="{4CD33247-EA99-416A-A6E0-EAC2EB736C5F}"/>
    <cellStyle name="SAPBEXresDataEmph 7 2 3 2" xfId="23909" xr:uid="{E52C916F-CFC8-4347-85FB-C00A8390E5C6}"/>
    <cellStyle name="SAPBEXresDataEmph 7 2 4" xfId="23907" xr:uid="{B415CCEA-A5B5-49B5-890C-B74AD77BB054}"/>
    <cellStyle name="SAPBEXresDataEmph 7 3" xfId="12415" xr:uid="{C27A12D6-17F4-4210-8953-3AFD2B167208}"/>
    <cellStyle name="SAPBEXresDataEmph 7 3 2" xfId="23910" xr:uid="{6D76A787-796E-46F7-B217-084039E5F5EA}"/>
    <cellStyle name="SAPBEXresDataEmph 7 4" xfId="12416" xr:uid="{F366CAB9-A1C0-4C47-9297-C0DB917B4BD6}"/>
    <cellStyle name="SAPBEXresDataEmph 7 4 2" xfId="23911" xr:uid="{852DE651-B961-425D-A31E-A699F3464CF9}"/>
    <cellStyle name="SAPBEXresDataEmph 7 5" xfId="23906" xr:uid="{5DC1C518-B3EB-4B42-9424-3114DD33AD65}"/>
    <cellStyle name="SAPBEXresDataEmph 8" xfId="12417" xr:uid="{94CABAF8-2A7F-4330-BC6B-20A52E68F98C}"/>
    <cellStyle name="SAPBEXresDataEmph 8 2" xfId="12418" xr:uid="{F75BB9CD-1930-4859-A240-0F59E3A949AC}"/>
    <cellStyle name="SAPBEXresDataEmph 8 2 2" xfId="12419" xr:uid="{3D14CB9A-22C8-4D78-B396-01C4801B8371}"/>
    <cellStyle name="SAPBEXresDataEmph 8 2 2 2" xfId="23914" xr:uid="{8E09C20D-BEE2-47C2-BAF8-11782E0BEF61}"/>
    <cellStyle name="SAPBEXresDataEmph 8 2 3" xfId="12420" xr:uid="{F1E5C39A-E041-4B9D-9E88-6169B833196E}"/>
    <cellStyle name="SAPBEXresDataEmph 8 2 3 2" xfId="23915" xr:uid="{0D359260-28C3-4AEE-8EB6-3664A9C7C042}"/>
    <cellStyle name="SAPBEXresDataEmph 8 2 4" xfId="23913" xr:uid="{23FD503A-FF88-415A-8AB6-57B562333BBB}"/>
    <cellStyle name="SAPBEXresDataEmph 8 3" xfId="12421" xr:uid="{E6F1B777-F0CF-4FE7-B6A7-EBD095A3BD07}"/>
    <cellStyle name="SAPBEXresDataEmph 8 3 2" xfId="23916" xr:uid="{EAC2A980-0F21-4F73-9819-2B811BFF7B41}"/>
    <cellStyle name="SAPBEXresDataEmph 8 4" xfId="12422" xr:uid="{61C23781-51E7-4C48-8A77-5B88AC052CDA}"/>
    <cellStyle name="SAPBEXresDataEmph 8 4 2" xfId="23917" xr:uid="{6ECB9FDB-E22F-4E53-9EC6-F6D843AD4014}"/>
    <cellStyle name="SAPBEXresDataEmph 8 5" xfId="23912" xr:uid="{145C88E8-273C-4B2B-85F0-C66046E6538A}"/>
    <cellStyle name="SAPBEXresDataEmph 9" xfId="12423" xr:uid="{81A16845-8D26-4F61-A304-F4EE59F3D59E}"/>
    <cellStyle name="SAPBEXresDataEmph 9 2" xfId="12424" xr:uid="{6D5BE5B4-51CE-4FE0-98D1-C95006BA9954}"/>
    <cellStyle name="SAPBEXresDataEmph 9 2 2" xfId="12425" xr:uid="{E2C15A2A-05DB-43C4-9B5C-F0C9D21DE77F}"/>
    <cellStyle name="SAPBEXresDataEmph 9 2 2 2" xfId="23920" xr:uid="{CD5F952E-DAA8-4B6E-B8FB-203BF9CEA5F7}"/>
    <cellStyle name="SAPBEXresDataEmph 9 2 3" xfId="12426" xr:uid="{D84396F5-A239-48DB-B57F-F7E989CCB91F}"/>
    <cellStyle name="SAPBEXresDataEmph 9 2 3 2" xfId="23921" xr:uid="{6E0C5670-3519-419B-A01E-52CDC236C2FC}"/>
    <cellStyle name="SAPBEXresDataEmph 9 2 4" xfId="23919" xr:uid="{DA874BC0-CF84-47C2-88E2-B94DD7FD6410}"/>
    <cellStyle name="SAPBEXresDataEmph 9 3" xfId="12427" xr:uid="{F39A55F4-4D41-4C9C-A181-BE479946C9D1}"/>
    <cellStyle name="SAPBEXresDataEmph 9 3 2" xfId="23922" xr:uid="{4584FAFF-1BA2-4D30-AAD2-C68364236A96}"/>
    <cellStyle name="SAPBEXresDataEmph 9 4" xfId="12428" xr:uid="{D344EAFC-6FF2-4B49-8C85-3FDFC6095EE7}"/>
    <cellStyle name="SAPBEXresDataEmph 9 4 2" xfId="23923" xr:uid="{14485FC4-7EEA-4CEF-A117-2BDBB700161A}"/>
    <cellStyle name="SAPBEXresDataEmph 9 5" xfId="23918" xr:uid="{E749E9F8-9951-4D8A-BC2D-7F3F5075F208}"/>
    <cellStyle name="SAPBEXresDataEmph_RP3 PP revised" xfId="15061" xr:uid="{833581DE-9FB3-44BD-8699-367DFAC15C7F}"/>
    <cellStyle name="SAPBEXresItem" xfId="12429" xr:uid="{548DDCB8-20EC-4A45-81F7-2BCB394A0C3E}"/>
    <cellStyle name="SAPBEXresItem 10" xfId="12430" xr:uid="{A35F7D8B-DADD-4FC2-8FD8-896BC56B329F}"/>
    <cellStyle name="SAPBEXresItem 10 2" xfId="12431" xr:uid="{956E8540-6D24-4827-880C-3B81146E5DEE}"/>
    <cellStyle name="SAPBEXresItem 10 2 2" xfId="12432" xr:uid="{39304A73-7801-455A-9ECC-4C82D8DF3BF0}"/>
    <cellStyle name="SAPBEXresItem 10 2 2 2" xfId="23926" xr:uid="{274E5E09-AF2B-4E2C-81F5-1AC484F9FD47}"/>
    <cellStyle name="SAPBEXresItem 10 2 3" xfId="12433" xr:uid="{7BDF1E4E-31E7-4294-B1BE-7382C62DFF39}"/>
    <cellStyle name="SAPBEXresItem 10 2 3 2" xfId="23927" xr:uid="{9020446A-1F1C-4C02-A2A0-4F1ECFCBC614}"/>
    <cellStyle name="SAPBEXresItem 10 2 4" xfId="23925" xr:uid="{76147494-5579-454D-A582-2E7D745EF57E}"/>
    <cellStyle name="SAPBEXresItem 10 3" xfId="12434" xr:uid="{C3C4C23D-DA55-4BE8-8D76-176ADA497580}"/>
    <cellStyle name="SAPBEXresItem 10 3 2" xfId="23928" xr:uid="{5E53A948-21EA-49D2-BDA8-6BA593514CD6}"/>
    <cellStyle name="SAPBEXresItem 10 4" xfId="12435" xr:uid="{5D8A3CE3-677B-4C98-88C9-31B1139DF392}"/>
    <cellStyle name="SAPBEXresItem 10 4 2" xfId="23929" xr:uid="{ACB01673-F45B-4C4B-B054-CEF0B7731E66}"/>
    <cellStyle name="SAPBEXresItem 10 5" xfId="23924" xr:uid="{8A577C0E-BB49-4898-8C07-E0E248F896AB}"/>
    <cellStyle name="SAPBEXresItem 11" xfId="12436" xr:uid="{F73E06AF-F61C-4D04-AABB-116842E5229A}"/>
    <cellStyle name="SAPBEXresItem 11 2" xfId="12437" xr:uid="{7D7E3181-68EA-4B8E-BB68-1DD41F47E71C}"/>
    <cellStyle name="SAPBEXresItem 11 2 2" xfId="12438" xr:uid="{0E109D95-79A9-40AE-8CBD-F2684A421DBB}"/>
    <cellStyle name="SAPBEXresItem 11 2 2 2" xfId="23932" xr:uid="{F970CA70-9A41-4969-B507-7B1D0D8E4C15}"/>
    <cellStyle name="SAPBEXresItem 11 2 3" xfId="12439" xr:uid="{0A7F2E3A-E5B9-43C2-9701-A69735B19291}"/>
    <cellStyle name="SAPBEXresItem 11 2 3 2" xfId="23933" xr:uid="{68AE92BB-0D77-4AEF-9C15-06F946487DD1}"/>
    <cellStyle name="SAPBEXresItem 11 2 4" xfId="23931" xr:uid="{E39D43FD-E2D3-4855-AF4B-31E3770C8BC5}"/>
    <cellStyle name="SAPBEXresItem 11 3" xfId="12440" xr:uid="{73762CA1-E3B4-4047-8EBB-94F98E5F3EFE}"/>
    <cellStyle name="SAPBEXresItem 11 3 2" xfId="23934" xr:uid="{8B046E2B-84D0-4CF7-8380-0011E2F934AC}"/>
    <cellStyle name="SAPBEXresItem 11 4" xfId="12441" xr:uid="{ABBCF676-D845-47F8-81FE-D158A94BF3FA}"/>
    <cellStyle name="SAPBEXresItem 11 4 2" xfId="23935" xr:uid="{28C1CCC1-29F2-4EF2-96F1-33067C8A4A24}"/>
    <cellStyle name="SAPBEXresItem 11 5" xfId="23930" xr:uid="{BD7F6E55-0FBF-42CA-ACB6-2D77A3EB69A8}"/>
    <cellStyle name="SAPBEXresItem 12" xfId="12442" xr:uid="{6F293355-ECAC-4455-BEB0-15EDECFDDF7D}"/>
    <cellStyle name="SAPBEXresItem 12 2" xfId="12443" xr:uid="{D4A3255B-5A49-4064-83E2-35D6C6C9C1F6}"/>
    <cellStyle name="SAPBEXresItem 12 2 2" xfId="12444" xr:uid="{6EA356D0-3A7C-4866-868A-232D855339EC}"/>
    <cellStyle name="SAPBEXresItem 12 2 2 2" xfId="23938" xr:uid="{1D34C9A7-94B1-4229-9B3B-3C0978C2918F}"/>
    <cellStyle name="SAPBEXresItem 12 2 3" xfId="12445" xr:uid="{32E56AA8-9785-43DB-91C4-E9876B331AC3}"/>
    <cellStyle name="SAPBEXresItem 12 2 3 2" xfId="23939" xr:uid="{2F03E5AE-5754-4653-87DF-01ADC4A2AFBE}"/>
    <cellStyle name="SAPBEXresItem 12 2 4" xfId="23937" xr:uid="{DFF8A0E5-AA3B-49FD-8FBA-0625A58171D5}"/>
    <cellStyle name="SAPBEXresItem 12 3" xfId="12446" xr:uid="{07B19CE1-6BA1-41B4-953D-F17D27273B02}"/>
    <cellStyle name="SAPBEXresItem 12 3 2" xfId="23940" xr:uid="{CD829250-D489-452D-BFD8-5D26EAD12CC3}"/>
    <cellStyle name="SAPBEXresItem 12 4" xfId="12447" xr:uid="{2B5675F5-90E0-421D-B1BB-0A2347B627DB}"/>
    <cellStyle name="SAPBEXresItem 12 4 2" xfId="23941" xr:uid="{2A7B4F52-927B-449B-A36C-B49F4CAF2B88}"/>
    <cellStyle name="SAPBEXresItem 12 5" xfId="23936" xr:uid="{C7D3BD9D-0F03-4B56-B49F-31BEAA4903C0}"/>
    <cellStyle name="SAPBEXresItem 13" xfId="12448" xr:uid="{A86F4E4C-F26C-49BE-931A-3E02D476342F}"/>
    <cellStyle name="SAPBEXresItem 13 2" xfId="12449" xr:uid="{30121581-CB4E-4F23-96EC-A3C4C280D9F9}"/>
    <cellStyle name="SAPBEXresItem 13 2 2" xfId="12450" xr:uid="{300B4236-D11E-45EC-B0F4-8FF32DC117A7}"/>
    <cellStyle name="SAPBEXresItem 13 2 2 2" xfId="23944" xr:uid="{9044C07D-F2AF-40A0-9DFC-1902CE18B3DB}"/>
    <cellStyle name="SAPBEXresItem 13 2 3" xfId="12451" xr:uid="{55689872-FD87-45C0-90AE-BA2D16B3C74D}"/>
    <cellStyle name="SAPBEXresItem 13 2 3 2" xfId="23945" xr:uid="{0BB4DCC4-6CC8-487C-883A-36C4A298A24A}"/>
    <cellStyle name="SAPBEXresItem 13 2 4" xfId="23943" xr:uid="{C334F96B-8B80-4B29-A850-4855312B45FA}"/>
    <cellStyle name="SAPBEXresItem 13 3" xfId="12452" xr:uid="{4E4DC01C-3E53-4062-9681-51827DA2D298}"/>
    <cellStyle name="SAPBEXresItem 13 3 2" xfId="23946" xr:uid="{DB5E23ED-0D8A-42B0-990E-B8F6082C37F2}"/>
    <cellStyle name="SAPBEXresItem 13 4" xfId="12453" xr:uid="{42BDC5B6-B358-4277-B509-DFBB0B3A34A0}"/>
    <cellStyle name="SAPBEXresItem 13 4 2" xfId="23947" xr:uid="{D5F81060-28E5-4F9A-9C58-22820ED138F5}"/>
    <cellStyle name="SAPBEXresItem 13 5" xfId="23942" xr:uid="{F65C235D-4DCA-44E0-A267-55C5BFF18076}"/>
    <cellStyle name="SAPBEXresItem 14" xfId="12454" xr:uid="{B03C011C-1B6A-4306-BDE2-A76EE84279A8}"/>
    <cellStyle name="SAPBEXresItem 14 2" xfId="12455" xr:uid="{D7420488-42CE-4699-9621-A1C52EDC0C9E}"/>
    <cellStyle name="SAPBEXresItem 14 2 2" xfId="12456" xr:uid="{62F8596A-04D8-465B-B101-BE8B9F071C6F}"/>
    <cellStyle name="SAPBEXresItem 14 2 2 2" xfId="23950" xr:uid="{7EDC0B93-B11E-4EA4-9FD6-AF361D22A505}"/>
    <cellStyle name="SAPBEXresItem 14 2 3" xfId="12457" xr:uid="{56173057-B4E6-4596-8E76-FF32AFD975DE}"/>
    <cellStyle name="SAPBEXresItem 14 2 3 2" xfId="23951" xr:uid="{5246C953-4F58-4986-8BC2-37EAB1C6B98D}"/>
    <cellStyle name="SAPBEXresItem 14 2 4" xfId="23949" xr:uid="{DEF1A4F5-A936-4C6B-885C-885C96454B91}"/>
    <cellStyle name="SAPBEXresItem 14 3" xfId="12458" xr:uid="{0C9C2DF7-2CC4-41EE-9E3E-7FB720FF4A49}"/>
    <cellStyle name="SAPBEXresItem 14 3 2" xfId="23952" xr:uid="{03E237D1-6560-4E21-B940-68F277C5F4F0}"/>
    <cellStyle name="SAPBEXresItem 14 4" xfId="12459" xr:uid="{DC34AB0F-F56E-40D8-A3D1-EAB2DA6CB7F9}"/>
    <cellStyle name="SAPBEXresItem 14 4 2" xfId="23953" xr:uid="{F1867588-A63B-4976-88A0-1EF9456043A1}"/>
    <cellStyle name="SAPBEXresItem 14 5" xfId="23948" xr:uid="{761AB648-2E9D-4FC2-B89A-D92409F9BB07}"/>
    <cellStyle name="SAPBEXresItem 15" xfId="12460" xr:uid="{45066BCD-843F-4F58-AD6A-267243193EFF}"/>
    <cellStyle name="SAPBEXresItem 15 2" xfId="12461" xr:uid="{1C6D424C-B318-43FC-870A-89547B15E844}"/>
    <cellStyle name="SAPBEXresItem 15 2 2" xfId="12462" xr:uid="{327BA5BC-E16F-4AF1-8E4C-FCB2AFA3C757}"/>
    <cellStyle name="SAPBEXresItem 15 2 2 2" xfId="23956" xr:uid="{38E44F2D-605A-4FC8-A6EF-28027EA7F5A0}"/>
    <cellStyle name="SAPBEXresItem 15 2 3" xfId="12463" xr:uid="{103EE552-B4CC-400B-A56D-B72577CAB6D2}"/>
    <cellStyle name="SAPBEXresItem 15 2 3 2" xfId="23957" xr:uid="{87FD932B-5F96-4B6C-B045-44F479F6EA0A}"/>
    <cellStyle name="SAPBEXresItem 15 2 4" xfId="23955" xr:uid="{E33BAF9B-16A4-497D-B873-40A33437671D}"/>
    <cellStyle name="SAPBEXresItem 15 3" xfId="12464" xr:uid="{862E1D1C-DFE2-4441-A0EE-0E7CFC3A339A}"/>
    <cellStyle name="SAPBEXresItem 15 3 2" xfId="23958" xr:uid="{386F9FCF-4421-4361-98DF-C0E921082E89}"/>
    <cellStyle name="SAPBEXresItem 15 4" xfId="12465" xr:uid="{D21D599F-13DA-49DB-BAEB-6979F8E1AA2E}"/>
    <cellStyle name="SAPBEXresItem 15 4 2" xfId="23959" xr:uid="{90978D73-D423-498F-8856-2C9A5CEA9A15}"/>
    <cellStyle name="SAPBEXresItem 15 5" xfId="23954" xr:uid="{113A229D-FE0F-4306-8574-0E21FFD481EB}"/>
    <cellStyle name="SAPBEXresItem 16" xfId="12466" xr:uid="{E866F599-B0EF-4C08-B930-2348FE92961E}"/>
    <cellStyle name="SAPBEXresItem 16 2" xfId="23960" xr:uid="{E028A740-F9EA-45BD-8983-8F14CD4C237B}"/>
    <cellStyle name="SAPBEXresItem 17" xfId="12467" xr:uid="{C5D69B07-E772-41F7-A860-B4DE7185CAD1}"/>
    <cellStyle name="SAPBEXresItem 17 2" xfId="23961" xr:uid="{85206D56-C925-4BF6-9406-B19C62BC43E2}"/>
    <cellStyle name="SAPBEXresItem 18" xfId="12468" xr:uid="{633260CE-23AC-41F1-B763-16BD19DF1C1D}"/>
    <cellStyle name="SAPBEXresItem 18 2" xfId="23962" xr:uid="{502BC4D8-CDB6-471A-BC85-DE56A6D8BEA1}"/>
    <cellStyle name="SAPBEXresItem 19" xfId="12469" xr:uid="{5690A61D-559E-48EA-B15C-073D7616F93C}"/>
    <cellStyle name="SAPBEXresItem 19 2" xfId="23963" xr:uid="{729EC891-B171-402A-B465-B3F6C88AB49A}"/>
    <cellStyle name="SAPBEXresItem 2" xfId="12470" xr:uid="{CA1B9925-2DE8-418B-8BCA-7FF97712EC83}"/>
    <cellStyle name="SAPBEXresItem 2 2" xfId="12471" xr:uid="{AB846BE6-7D34-476B-BBC8-B08BA1E3B372}"/>
    <cellStyle name="SAPBEXresItem 2 2 2" xfId="12472" xr:uid="{DAD2674E-8C7D-4C34-BFEC-166FB810DA14}"/>
    <cellStyle name="SAPBEXresItem 2 2 2 2" xfId="23966" xr:uid="{F0EE280F-27DC-4090-9B15-94BAF79B8ECC}"/>
    <cellStyle name="SAPBEXresItem 2 2 3" xfId="12473" xr:uid="{84280FA4-7F7F-41A8-B585-4A635CA69FD4}"/>
    <cellStyle name="SAPBEXresItem 2 2 3 2" xfId="23967" xr:uid="{69EC0821-5078-404F-AD38-939F7CED9E0D}"/>
    <cellStyle name="SAPBEXresItem 2 2 4" xfId="23965" xr:uid="{B6274999-2313-4FCA-A61D-0AA29A65C0C6}"/>
    <cellStyle name="SAPBEXresItem 2 3" xfId="12474" xr:uid="{E96B5531-F7D8-4E73-927A-86244DE7CAEF}"/>
    <cellStyle name="SAPBEXresItem 2 3 2" xfId="23968" xr:uid="{BA9EE412-C013-40D1-8624-C6019525ADA0}"/>
    <cellStyle name="SAPBEXresItem 2 4" xfId="12475" xr:uid="{F680EBD7-0680-49A3-8140-0D08DAB2376D}"/>
    <cellStyle name="SAPBEXresItem 2 4 2" xfId="23969" xr:uid="{217DBC27-D084-4C0C-B87B-06C216AD4FBB}"/>
    <cellStyle name="SAPBEXresItem 2 5" xfId="23964" xr:uid="{91F26C72-968F-4679-AE74-61D6BEF8F877}"/>
    <cellStyle name="SAPBEXresItem 20" xfId="15190" xr:uid="{179C3242-E247-435F-BCBD-34643C08EC51}"/>
    <cellStyle name="SAPBEXresItem 3" xfId="12476" xr:uid="{79635D37-A300-4A39-952E-37B5A9DAF0A2}"/>
    <cellStyle name="SAPBEXresItem 3 2" xfId="12477" xr:uid="{27F59AAC-672C-43E6-92E9-C47F1BA9F4FF}"/>
    <cellStyle name="SAPBEXresItem 3 2 2" xfId="12478" xr:uid="{FAF6D249-A7C2-426E-8CEF-CE4A1818E5BB}"/>
    <cellStyle name="SAPBEXresItem 3 2 2 2" xfId="23972" xr:uid="{8100EF77-6E70-480F-95AD-E1CA83638317}"/>
    <cellStyle name="SAPBEXresItem 3 2 3" xfId="12479" xr:uid="{1D0B1352-3AA5-42FB-B8F1-D65DB2591B80}"/>
    <cellStyle name="SAPBEXresItem 3 2 3 2" xfId="23973" xr:uid="{8FDE8650-7093-4A5A-BBB1-A14FBAB67126}"/>
    <cellStyle name="SAPBEXresItem 3 2 4" xfId="23971" xr:uid="{6D93AE87-4C26-4C06-ADE5-96C1AD9C0819}"/>
    <cellStyle name="SAPBEXresItem 3 3" xfId="12480" xr:uid="{B387D18E-30F6-435A-9BD6-6726CB89D5DB}"/>
    <cellStyle name="SAPBEXresItem 3 3 2" xfId="23974" xr:uid="{2012384D-EFED-4F73-8B6D-10EDD0813A1F}"/>
    <cellStyle name="SAPBEXresItem 3 4" xfId="12481" xr:uid="{E20F8D98-0D07-455E-BCA7-1E01CDD583A2}"/>
    <cellStyle name="SAPBEXresItem 3 4 2" xfId="23975" xr:uid="{2FB69C43-9041-422B-BC02-8015EDA4ABFF}"/>
    <cellStyle name="SAPBEXresItem 3 5" xfId="23970" xr:uid="{7CDF23D9-832B-4938-B22F-ADB6EC1A97AB}"/>
    <cellStyle name="SAPBEXresItem 4" xfId="12482" xr:uid="{7A1400A7-49EF-4C16-A3E0-0849AA3CE1F4}"/>
    <cellStyle name="SAPBEXresItem 4 2" xfId="12483" xr:uid="{2746F200-755C-4075-8F75-99958A719A9A}"/>
    <cellStyle name="SAPBEXresItem 4 2 2" xfId="12484" xr:uid="{E6A74599-38A4-45B4-B164-7F2D9BD6258B}"/>
    <cellStyle name="SAPBEXresItem 4 2 2 2" xfId="23978" xr:uid="{00B3DF2E-F3D7-4FFD-ADAE-D7B093C58934}"/>
    <cellStyle name="SAPBEXresItem 4 2 3" xfId="12485" xr:uid="{8EB2B7E6-3296-4C17-AC70-0AF5D6759543}"/>
    <cellStyle name="SAPBEXresItem 4 2 3 2" xfId="23979" xr:uid="{A382024E-785A-4580-97C5-313B4A94EFC6}"/>
    <cellStyle name="SAPBEXresItem 4 2 4" xfId="23977" xr:uid="{947C685C-A9C8-4681-BA48-AD35BDC25FB3}"/>
    <cellStyle name="SAPBEXresItem 4 3" xfId="12486" xr:uid="{B2636376-3539-4ED1-B08F-182FA9349F0B}"/>
    <cellStyle name="SAPBEXresItem 4 3 2" xfId="23980" xr:uid="{43AFED41-6A11-4387-8045-193FFC557F0D}"/>
    <cellStyle name="SAPBEXresItem 4 4" xfId="12487" xr:uid="{E10F2221-5510-42B7-98F1-F287CF29BCB9}"/>
    <cellStyle name="SAPBEXresItem 4 4 2" xfId="23981" xr:uid="{FEAA63CC-7905-40CB-9B40-D38816F08F66}"/>
    <cellStyle name="SAPBEXresItem 4 5" xfId="23976" xr:uid="{C5A604CC-F799-469E-AF1E-38DC0CC9CAD7}"/>
    <cellStyle name="SAPBEXresItem 5" xfId="12488" xr:uid="{432DA1B4-6DF3-4F69-80D9-84A553B01453}"/>
    <cellStyle name="SAPBEXresItem 5 2" xfId="12489" xr:uid="{02E3D192-A9A3-4DE6-907E-80594DACB96E}"/>
    <cellStyle name="SAPBEXresItem 5 2 2" xfId="12490" xr:uid="{2B13F30A-EFFE-429C-8579-65FFD4A6FE9B}"/>
    <cellStyle name="SAPBEXresItem 5 2 2 2" xfId="23984" xr:uid="{5024946A-B011-4FE2-80FE-C88E1CEEFBD0}"/>
    <cellStyle name="SAPBEXresItem 5 2 3" xfId="12491" xr:uid="{75C65D83-129F-4924-9FC5-CC567AFF3B18}"/>
    <cellStyle name="SAPBEXresItem 5 2 3 2" xfId="23985" xr:uid="{115F3782-04FD-459A-9CAC-25BDA53831DB}"/>
    <cellStyle name="SAPBEXresItem 5 2 4" xfId="23983" xr:uid="{96F0AE3A-F351-4AE4-8EDE-01263467B1B2}"/>
    <cellStyle name="SAPBEXresItem 5 3" xfId="12492" xr:uid="{B8AD3257-1721-4F72-BA95-72AE1FB05200}"/>
    <cellStyle name="SAPBEXresItem 5 3 2" xfId="23986" xr:uid="{A22A8563-7568-476D-9460-1D9EA6E999AF}"/>
    <cellStyle name="SAPBEXresItem 5 4" xfId="12493" xr:uid="{B43F82C0-D259-4606-8F4A-4CEF298E6E45}"/>
    <cellStyle name="SAPBEXresItem 5 4 2" xfId="23987" xr:uid="{412D221A-1490-4D6F-909A-8ADFC683C1AE}"/>
    <cellStyle name="SAPBEXresItem 5 5" xfId="23982" xr:uid="{50A35907-7D05-4767-8225-C180CE0A1229}"/>
    <cellStyle name="SAPBEXresItem 6" xfId="12494" xr:uid="{E009EC3D-DD71-493E-9F40-562201793614}"/>
    <cellStyle name="SAPBEXresItem 6 2" xfId="12495" xr:uid="{0635FFA5-7253-4ACA-9B4B-DE735D670B3A}"/>
    <cellStyle name="SAPBEXresItem 6 2 2" xfId="12496" xr:uid="{C8A91807-AD7F-4E75-B06D-A64F62CB573D}"/>
    <cellStyle name="SAPBEXresItem 6 2 2 2" xfId="23990" xr:uid="{898E393F-F275-4A88-BBD2-AF3E6217F686}"/>
    <cellStyle name="SAPBEXresItem 6 2 3" xfId="12497" xr:uid="{1473A3A9-F740-40DE-A4D9-F272F4EF9E05}"/>
    <cellStyle name="SAPBEXresItem 6 2 3 2" xfId="23991" xr:uid="{F54E02C0-15E0-43E5-8532-5A1C2EFA2160}"/>
    <cellStyle name="SAPBEXresItem 6 2 4" xfId="23989" xr:uid="{DE4021E8-4631-472F-AA69-285C18126963}"/>
    <cellStyle name="SAPBEXresItem 6 3" xfId="12498" xr:uid="{B269B863-D02D-4DFD-84F6-41A67FDA2232}"/>
    <cellStyle name="SAPBEXresItem 6 3 2" xfId="23992" xr:uid="{F17B4CEF-6175-4D8E-9D34-74355AE4EA92}"/>
    <cellStyle name="SAPBEXresItem 6 4" xfId="12499" xr:uid="{964806DF-3166-4C30-B256-FFEF4AE87AC3}"/>
    <cellStyle name="SAPBEXresItem 6 4 2" xfId="23993" xr:uid="{0E7E3D39-D74A-4ACD-AFCD-E62C4DEBFFFE}"/>
    <cellStyle name="SAPBEXresItem 6 5" xfId="23988" xr:uid="{EF7B7156-2D72-43F2-A330-40FC77F17108}"/>
    <cellStyle name="SAPBEXresItem 7" xfId="12500" xr:uid="{E7EB8B7E-0884-4D81-9524-A2DCED1DC685}"/>
    <cellStyle name="SAPBEXresItem 7 2" xfId="12501" xr:uid="{2E8B9CDF-504A-4B6C-BE7B-5A9027D4A3E9}"/>
    <cellStyle name="SAPBEXresItem 7 2 2" xfId="12502" xr:uid="{36494C16-18D4-49F0-B557-4018987FA10E}"/>
    <cellStyle name="SAPBEXresItem 7 2 2 2" xfId="23996" xr:uid="{8B221843-A30E-4767-BA61-F8B4938315E8}"/>
    <cellStyle name="SAPBEXresItem 7 2 3" xfId="12503" xr:uid="{FD48575F-19B8-4002-8FC6-51FE962CFC43}"/>
    <cellStyle name="SAPBEXresItem 7 2 3 2" xfId="23997" xr:uid="{B9DDF35E-DC15-4317-AE5A-CFE92EA3ADA6}"/>
    <cellStyle name="SAPBEXresItem 7 2 4" xfId="23995" xr:uid="{7D99041D-24B8-4517-B537-382AC1119B00}"/>
    <cellStyle name="SAPBEXresItem 7 3" xfId="12504" xr:uid="{53DBF53A-A9EF-4AAF-AE0F-CFAFC03460CC}"/>
    <cellStyle name="SAPBEXresItem 7 3 2" xfId="23998" xr:uid="{E14881C9-FFEF-433C-A722-C25A532C4FE9}"/>
    <cellStyle name="SAPBEXresItem 7 4" xfId="12505" xr:uid="{C733923F-B52C-4D34-BF50-064C0244DEE8}"/>
    <cellStyle name="SAPBEXresItem 7 4 2" xfId="23999" xr:uid="{F8385EE8-4E96-4EA0-BB00-AF78151E840F}"/>
    <cellStyle name="SAPBEXresItem 7 5" xfId="23994" xr:uid="{B4F040B6-AB29-41CD-8A15-7F234CD30658}"/>
    <cellStyle name="SAPBEXresItem 8" xfId="12506" xr:uid="{B29DB99D-08AF-4D9F-985A-11A6FDE0FBF4}"/>
    <cellStyle name="SAPBEXresItem 8 2" xfId="12507" xr:uid="{1BE6FDCE-7588-4CB9-B4A0-9A44187927D4}"/>
    <cellStyle name="SAPBEXresItem 8 2 2" xfId="12508" xr:uid="{ECE8F8EA-85D5-4120-A3FE-D28184066F3E}"/>
    <cellStyle name="SAPBEXresItem 8 2 2 2" xfId="24002" xr:uid="{F4299766-ED49-4F60-BEEB-5C217D9790CC}"/>
    <cellStyle name="SAPBEXresItem 8 2 3" xfId="12509" xr:uid="{6A30240A-502C-470D-A91F-8D869FA620CB}"/>
    <cellStyle name="SAPBEXresItem 8 2 3 2" xfId="24003" xr:uid="{C952227F-E702-480B-AFC1-2820B78CD037}"/>
    <cellStyle name="SAPBEXresItem 8 2 4" xfId="24001" xr:uid="{D346ECAC-FE9A-400A-9BFD-CA0BEB882098}"/>
    <cellStyle name="SAPBEXresItem 8 3" xfId="12510" xr:uid="{44EE7330-373B-4EF8-BBF1-536640F81942}"/>
    <cellStyle name="SAPBEXresItem 8 3 2" xfId="24004" xr:uid="{707E2B35-6DD4-4478-8D27-5C24C2847287}"/>
    <cellStyle name="SAPBEXresItem 8 4" xfId="12511" xr:uid="{51FD4119-A19E-4727-9BDA-A5654C1BA50B}"/>
    <cellStyle name="SAPBEXresItem 8 4 2" xfId="24005" xr:uid="{1759557E-99DD-4386-974F-8B03F54BEBCC}"/>
    <cellStyle name="SAPBEXresItem 8 5" xfId="24000" xr:uid="{691FBAEA-96DB-494A-9B82-E4675336080F}"/>
    <cellStyle name="SAPBEXresItem 9" xfId="12512" xr:uid="{132E3DFC-BC5D-426D-BF86-30CF1D6EF9B2}"/>
    <cellStyle name="SAPBEXresItem 9 2" xfId="12513" xr:uid="{62C9AD5D-F2DD-4CBF-856A-5C6C27309DCD}"/>
    <cellStyle name="SAPBEXresItem 9 2 2" xfId="12514" xr:uid="{0AA523B1-CBE3-482B-AC2C-3FC3762BD48B}"/>
    <cellStyle name="SAPBEXresItem 9 2 2 2" xfId="24008" xr:uid="{3745175E-4ADF-4570-AB91-0C7C404B93CE}"/>
    <cellStyle name="SAPBEXresItem 9 2 3" xfId="12515" xr:uid="{A71A74F2-B00A-4BD8-B7C1-F736D82C13E6}"/>
    <cellStyle name="SAPBEXresItem 9 2 3 2" xfId="24009" xr:uid="{C512BD6C-CF10-4C2D-B42B-BBACAAA53385}"/>
    <cellStyle name="SAPBEXresItem 9 2 4" xfId="24007" xr:uid="{1105E4B8-50E8-4574-87C6-A80752975EBD}"/>
    <cellStyle name="SAPBEXresItem 9 3" xfId="12516" xr:uid="{3AABC5C9-F702-44A0-A5EC-1F5FA26D114F}"/>
    <cellStyle name="SAPBEXresItem 9 3 2" xfId="24010" xr:uid="{701CF4FB-3450-40DD-924A-177EABD6DDC2}"/>
    <cellStyle name="SAPBEXresItem 9 4" xfId="12517" xr:uid="{50AEA81A-AC25-4BC6-AC08-330E34E926CC}"/>
    <cellStyle name="SAPBEXresItem 9 4 2" xfId="24011" xr:uid="{633D7C7A-BE82-499C-AFFA-178320183A77}"/>
    <cellStyle name="SAPBEXresItem 9 5" xfId="24006" xr:uid="{98665864-5D25-43CA-96F9-152F3DBE82FA}"/>
    <cellStyle name="SAPBEXresItem_RP3 PP revised" xfId="15060" xr:uid="{6BB891BC-7590-4B8A-8B86-707F9272E3C5}"/>
    <cellStyle name="SAPBEXresItemX" xfId="12518" xr:uid="{E9FEA49A-0919-41FA-BA6B-6262B44ED336}"/>
    <cellStyle name="SAPBEXresItemX 10" xfId="12519" xr:uid="{8DA634E2-5278-496F-9B8A-9D438B40646E}"/>
    <cellStyle name="SAPBEXresItemX 10 2" xfId="12520" xr:uid="{DB8D248F-C557-401B-B332-DDB91BEB1D9B}"/>
    <cellStyle name="SAPBEXresItemX 10 2 2" xfId="12521" xr:uid="{4C59F481-13DD-4398-B520-F8AF30442905}"/>
    <cellStyle name="SAPBEXresItemX 10 2 2 2" xfId="24014" xr:uid="{5AB08D21-B2FA-4B55-B2CA-85D7C92E86E3}"/>
    <cellStyle name="SAPBEXresItemX 10 2 3" xfId="12522" xr:uid="{59D462B3-32A7-4596-A7E7-2EB76743122A}"/>
    <cellStyle name="SAPBEXresItemX 10 2 3 2" xfId="24015" xr:uid="{4D83C73F-8E5A-421B-B9F4-8EE1ED36D0FF}"/>
    <cellStyle name="SAPBEXresItemX 10 2 4" xfId="24013" xr:uid="{7529D71B-DA7C-41ED-B954-8D28813D0ECA}"/>
    <cellStyle name="SAPBEXresItemX 10 3" xfId="12523" xr:uid="{3846A635-51F7-4728-A5B8-05C282AE4DFF}"/>
    <cellStyle name="SAPBEXresItemX 10 3 2" xfId="24016" xr:uid="{02DB0DD9-AFC9-41E1-A9FF-CDE1CD64DB6A}"/>
    <cellStyle name="SAPBEXresItemX 10 4" xfId="12524" xr:uid="{25DE4D30-0E05-4912-BDF5-2A95D64BD5FA}"/>
    <cellStyle name="SAPBEXresItemX 10 4 2" xfId="24017" xr:uid="{14B62AE8-06AD-493E-93E1-A0922F0A6D19}"/>
    <cellStyle name="SAPBEXresItemX 10 5" xfId="24012" xr:uid="{9D8D3E7F-E417-4EE3-846B-4754BA65F539}"/>
    <cellStyle name="SAPBEXresItemX 11" xfId="12525" xr:uid="{FF791AC5-FF88-4C55-9993-8D32884AD771}"/>
    <cellStyle name="SAPBEXresItemX 11 2" xfId="12526" xr:uid="{6D2E16F9-A5ED-4AAB-AB31-F93413D0C2FF}"/>
    <cellStyle name="SAPBEXresItemX 11 2 2" xfId="12527" xr:uid="{EB44E441-B023-42BC-8979-79714BC51C9F}"/>
    <cellStyle name="SAPBEXresItemX 11 2 2 2" xfId="24020" xr:uid="{BDA934A8-600F-4B28-9815-61E5523B17D2}"/>
    <cellStyle name="SAPBEXresItemX 11 2 3" xfId="12528" xr:uid="{F76DEB3B-2B3E-4997-A1F9-E446D523EA7E}"/>
    <cellStyle name="SAPBEXresItemX 11 2 3 2" xfId="24021" xr:uid="{76B84D06-F236-4336-97C1-5BEAE7F3C219}"/>
    <cellStyle name="SAPBEXresItemX 11 2 4" xfId="24019" xr:uid="{364D2639-58F3-4833-BECA-9E839A8B49DF}"/>
    <cellStyle name="SAPBEXresItemX 11 3" xfId="12529" xr:uid="{33FD7487-FC3C-4619-A666-4DA6FACE1399}"/>
    <cellStyle name="SAPBEXresItemX 11 3 2" xfId="24022" xr:uid="{CE25893F-DEC6-4D72-9D95-6329AEFAEB34}"/>
    <cellStyle name="SAPBEXresItemX 11 4" xfId="12530" xr:uid="{F10A3608-28BD-4AC4-B05B-5D84A784690E}"/>
    <cellStyle name="SAPBEXresItemX 11 4 2" xfId="24023" xr:uid="{14DB8A79-C1B3-4E98-BB4F-875A9E144068}"/>
    <cellStyle name="SAPBEXresItemX 11 5" xfId="24018" xr:uid="{15E69D3E-50CE-4E46-8DCB-23E1BD43E6AA}"/>
    <cellStyle name="SAPBEXresItemX 12" xfId="12531" xr:uid="{EC0D2657-60EF-480D-8DDF-8562EB60AE3E}"/>
    <cellStyle name="SAPBEXresItemX 12 2" xfId="12532" xr:uid="{3DC0A0AD-DD1F-4C16-8D07-0F31C5E223A9}"/>
    <cellStyle name="SAPBEXresItemX 12 2 2" xfId="12533" xr:uid="{3CBF7439-AA4C-4C82-9756-5F8BAA6D5CFB}"/>
    <cellStyle name="SAPBEXresItemX 12 2 2 2" xfId="24026" xr:uid="{1908CFB8-A0D5-4884-AF1C-B97B225C414E}"/>
    <cellStyle name="SAPBEXresItemX 12 2 3" xfId="12534" xr:uid="{50FC901C-FFB4-414B-A09C-3196231145A2}"/>
    <cellStyle name="SAPBEXresItemX 12 2 3 2" xfId="24027" xr:uid="{871B84C9-B344-41D5-90E2-ADE03D7FE5A3}"/>
    <cellStyle name="SAPBEXresItemX 12 2 4" xfId="24025" xr:uid="{F97E3DA2-8DBA-422D-B7DC-B2658C50131B}"/>
    <cellStyle name="SAPBEXresItemX 12 3" xfId="12535" xr:uid="{252A6398-5A3A-4D9B-9646-9E9D1111C07A}"/>
    <cellStyle name="SAPBEXresItemX 12 3 2" xfId="24028" xr:uid="{7CD0ACC7-8C5F-44A5-B54F-704649B19288}"/>
    <cellStyle name="SAPBEXresItemX 12 4" xfId="12536" xr:uid="{BA3F4AC2-8DB2-46C1-B28C-9CE8C9D712F5}"/>
    <cellStyle name="SAPBEXresItemX 12 4 2" xfId="24029" xr:uid="{E234ED1F-67A2-464A-B5BF-F0611CCCD30C}"/>
    <cellStyle name="SAPBEXresItemX 12 5" xfId="24024" xr:uid="{B049208B-EDE9-42DC-A2B2-466D88EDFDD4}"/>
    <cellStyle name="SAPBEXresItemX 13" xfId="12537" xr:uid="{6FA6AC33-125E-4162-B915-CA4C3810171B}"/>
    <cellStyle name="SAPBEXresItemX 13 2" xfId="12538" xr:uid="{BE9BCF94-BED1-41C9-9C67-25A32CD32FCB}"/>
    <cellStyle name="SAPBEXresItemX 13 2 2" xfId="12539" xr:uid="{52DC8DF2-2744-40AF-B75A-04845576D7CA}"/>
    <cellStyle name="SAPBEXresItemX 13 2 2 2" xfId="24032" xr:uid="{A0077E18-BC0D-4A05-92E6-1FEA46EB8456}"/>
    <cellStyle name="SAPBEXresItemX 13 2 3" xfId="12540" xr:uid="{0D5B4C01-E686-4FB5-ADCB-A209CA390825}"/>
    <cellStyle name="SAPBEXresItemX 13 2 3 2" xfId="24033" xr:uid="{1A607DE7-FF81-43F4-AEC1-31BE5721DE89}"/>
    <cellStyle name="SAPBEXresItemX 13 2 4" xfId="24031" xr:uid="{9FABB5B7-CFD2-4070-A6C4-04EF602578FC}"/>
    <cellStyle name="SAPBEXresItemX 13 3" xfId="12541" xr:uid="{A961D036-9970-4B72-BE6E-AB1DADED7821}"/>
    <cellStyle name="SAPBEXresItemX 13 3 2" xfId="24034" xr:uid="{FF84DBFD-7AE7-4017-9B7A-0EB3D017195F}"/>
    <cellStyle name="SAPBEXresItemX 13 4" xfId="12542" xr:uid="{F1CD3E68-7BCD-47D0-9271-1A2FABF98787}"/>
    <cellStyle name="SAPBEXresItemX 13 4 2" xfId="24035" xr:uid="{BA9BDFC0-BA78-449C-8E8C-CD45000B9FC0}"/>
    <cellStyle name="SAPBEXresItemX 13 5" xfId="24030" xr:uid="{CD27AE17-DA8D-4C6B-8B3D-411A1D17B5AB}"/>
    <cellStyle name="SAPBEXresItemX 14" xfId="12543" xr:uid="{F9598BAB-C40E-467F-85C1-CA076B4BDBE4}"/>
    <cellStyle name="SAPBEXresItemX 14 2" xfId="12544" xr:uid="{9CF216E2-9CA8-4B06-B5A5-FBF19B7FA7C2}"/>
    <cellStyle name="SAPBEXresItemX 14 2 2" xfId="12545" xr:uid="{F4540895-C799-40F9-9BA7-CEB64A7EFDD1}"/>
    <cellStyle name="SAPBEXresItemX 14 2 2 2" xfId="24038" xr:uid="{8D926463-D9B9-4E8D-8D15-6019A545A4A2}"/>
    <cellStyle name="SAPBEXresItemX 14 2 3" xfId="12546" xr:uid="{9C51C363-8D3A-4CC1-88D1-D2552181A6C1}"/>
    <cellStyle name="SAPBEXresItemX 14 2 3 2" xfId="24039" xr:uid="{6E4B66BD-67E8-43F0-8D1F-4C539599CB6D}"/>
    <cellStyle name="SAPBEXresItemX 14 2 4" xfId="24037" xr:uid="{FAD31179-B549-46CB-809C-D8B3BFC542A2}"/>
    <cellStyle name="SAPBEXresItemX 14 3" xfId="12547" xr:uid="{A04E3C51-7B53-4798-AC85-7A5E3B9371E8}"/>
    <cellStyle name="SAPBEXresItemX 14 3 2" xfId="24040" xr:uid="{9559856E-648A-4014-923F-3E71445893C5}"/>
    <cellStyle name="SAPBEXresItemX 14 4" xfId="12548" xr:uid="{1B9E644A-0B6E-4D04-B47D-161DDA007AA8}"/>
    <cellStyle name="SAPBEXresItemX 14 4 2" xfId="24041" xr:uid="{2A5B6AC7-B5CD-4687-8A2E-A5CD55583783}"/>
    <cellStyle name="SAPBEXresItemX 14 5" xfId="24036" xr:uid="{95E0FB65-C6C7-4C9C-A498-E0C491AD2CEA}"/>
    <cellStyle name="SAPBEXresItemX 15" xfId="12549" xr:uid="{76C0E895-805D-48EC-8990-FEA3736A5FC8}"/>
    <cellStyle name="SAPBEXresItemX 15 2" xfId="12550" xr:uid="{3D02506A-4E35-47B8-933F-83896FB5ED28}"/>
    <cellStyle name="SAPBEXresItemX 15 2 2" xfId="12551" xr:uid="{07ED3796-3692-4F90-8ABB-F42CE6C8B06E}"/>
    <cellStyle name="SAPBEXresItemX 15 2 2 2" xfId="24044" xr:uid="{097DCAE1-A581-42E3-B7BB-96FF33EFD0C7}"/>
    <cellStyle name="SAPBEXresItemX 15 2 3" xfId="12552" xr:uid="{BB5A4F01-9967-497A-86FF-6BF68D0DA04E}"/>
    <cellStyle name="SAPBEXresItemX 15 2 3 2" xfId="24045" xr:uid="{4387878C-9A3D-46D8-A712-3288590F4765}"/>
    <cellStyle name="SAPBEXresItemX 15 2 4" xfId="24043" xr:uid="{C9A25097-FB1A-44CF-8D6C-BEEEC6E5CC4C}"/>
    <cellStyle name="SAPBEXresItemX 15 3" xfId="12553" xr:uid="{192A5473-DE74-4887-8D8E-83D3A40A90A3}"/>
    <cellStyle name="SAPBEXresItemX 15 3 2" xfId="24046" xr:uid="{704D7D51-D57C-4DA6-9898-69C88C83A583}"/>
    <cellStyle name="SAPBEXresItemX 15 4" xfId="12554" xr:uid="{2EA8E1F3-E6AA-4402-9E0F-03C6D1BAB56F}"/>
    <cellStyle name="SAPBEXresItemX 15 4 2" xfId="24047" xr:uid="{81EADDCD-ADE3-4CA5-AC10-7A646FE7EA80}"/>
    <cellStyle name="SAPBEXresItemX 15 5" xfId="24042" xr:uid="{403B34AA-F69A-404F-8049-D7D74F9588C9}"/>
    <cellStyle name="SAPBEXresItemX 16" xfId="12555" xr:uid="{DA8FF7BE-C6F6-4C4B-9F66-BAA011AD97E9}"/>
    <cellStyle name="SAPBEXresItemX 16 2" xfId="24048" xr:uid="{3975E4F7-F1F1-4FF2-8C64-458E32497DA7}"/>
    <cellStyle name="SAPBEXresItemX 17" xfId="12556" xr:uid="{F52B33B3-8520-4FF6-AA4D-75E07204908A}"/>
    <cellStyle name="SAPBEXresItemX 17 2" xfId="24049" xr:uid="{7A880C1F-2169-4C1B-94B0-905C39A914DA}"/>
    <cellStyle name="SAPBEXresItemX 18" xfId="12557" xr:uid="{4C157DFD-A875-4F74-A662-F59E797AA2CF}"/>
    <cellStyle name="SAPBEXresItemX 18 2" xfId="24050" xr:uid="{1233B1C6-48B4-456F-AD69-09C0EB6CD605}"/>
    <cellStyle name="SAPBEXresItemX 19" xfId="12558" xr:uid="{8B14641D-A66B-48AB-97FF-5AF89582E3AA}"/>
    <cellStyle name="SAPBEXresItemX 19 2" xfId="24051" xr:uid="{213E5CCB-7F04-4DE3-B0B2-525259A305FE}"/>
    <cellStyle name="SAPBEXresItemX 2" xfId="12559" xr:uid="{2E980FCF-4E25-4A2E-9C57-D957EE4279A2}"/>
    <cellStyle name="SAPBEXresItemX 2 2" xfId="12560" xr:uid="{50966E35-898E-43C0-9761-69D419E9DDC4}"/>
    <cellStyle name="SAPBEXresItemX 2 2 2" xfId="12561" xr:uid="{08BF55D2-B3C3-4B2F-A708-D08338CC8F18}"/>
    <cellStyle name="SAPBEXresItemX 2 2 2 2" xfId="24054" xr:uid="{1984DB5D-F553-4C8C-B710-4A040B949E95}"/>
    <cellStyle name="SAPBEXresItemX 2 2 3" xfId="12562" xr:uid="{FFBF0194-C96D-4E36-83AC-FA034593C3BE}"/>
    <cellStyle name="SAPBEXresItemX 2 2 3 2" xfId="24055" xr:uid="{C72B6D6B-FC1A-4F96-84AD-550D89CBB3E8}"/>
    <cellStyle name="SAPBEXresItemX 2 2 4" xfId="24053" xr:uid="{01DF1762-DFA2-46F3-BEC8-FD1F9DA624A9}"/>
    <cellStyle name="SAPBEXresItemX 2 3" xfId="12563" xr:uid="{2D7307F8-1DA2-4763-88C7-D6CE630404D6}"/>
    <cellStyle name="SAPBEXresItemX 2 3 2" xfId="24056" xr:uid="{113457F5-EE97-4086-8C3B-077BD4C0143F}"/>
    <cellStyle name="SAPBEXresItemX 2 4" xfId="12564" xr:uid="{B17F4951-7914-4D30-A936-B7B8F847B540}"/>
    <cellStyle name="SAPBEXresItemX 2 4 2" xfId="24057" xr:uid="{74A7D1E6-8900-4F7A-8A6F-5C6BDCBB0DFA}"/>
    <cellStyle name="SAPBEXresItemX 2 5" xfId="24052" xr:uid="{4ADBFF4D-ADED-4CF5-B788-DC71A225AD8C}"/>
    <cellStyle name="SAPBEXresItemX 20" xfId="15191" xr:uid="{B66F6B95-50E5-4AEB-9875-B62ECC749ACF}"/>
    <cellStyle name="SAPBEXresItemX 3" xfId="12565" xr:uid="{FEB4E04F-65C8-42B5-A2AC-D7313DFCE1D2}"/>
    <cellStyle name="SAPBEXresItemX 3 2" xfId="12566" xr:uid="{26F1ACB6-C63D-4C1C-B7BF-DDB91B250F2C}"/>
    <cellStyle name="SAPBEXresItemX 3 2 2" xfId="12567" xr:uid="{FB789725-216D-46E4-8BFF-00A43AA83EA7}"/>
    <cellStyle name="SAPBEXresItemX 3 2 2 2" xfId="24060" xr:uid="{BD1D7036-1DED-4F52-8E1E-11E4E966E927}"/>
    <cellStyle name="SAPBEXresItemX 3 2 3" xfId="12568" xr:uid="{8A26DFFE-869A-4A53-A556-F4251DEC27B3}"/>
    <cellStyle name="SAPBEXresItemX 3 2 3 2" xfId="24061" xr:uid="{5C0EDDE1-E892-47B3-B97A-A0CD79801AE9}"/>
    <cellStyle name="SAPBEXresItemX 3 2 4" xfId="24059" xr:uid="{E0D83171-19B6-40F6-BCC5-9B56FED66927}"/>
    <cellStyle name="SAPBEXresItemX 3 3" xfId="12569" xr:uid="{D6C8463E-4B28-4426-B6F0-E1839EF4E55F}"/>
    <cellStyle name="SAPBEXresItemX 3 3 2" xfId="24062" xr:uid="{127FC08C-77C6-495F-AE7C-23E611C99338}"/>
    <cellStyle name="SAPBEXresItemX 3 4" xfId="12570" xr:uid="{0C5593F8-F616-4BE8-B74A-3D259F6AE8B1}"/>
    <cellStyle name="SAPBEXresItemX 3 4 2" xfId="24063" xr:uid="{10620EBE-8ECA-4DF0-8C39-F32E9BDA3EAE}"/>
    <cellStyle name="SAPBEXresItemX 3 5" xfId="24058" xr:uid="{B5B6029D-C165-4A36-A580-52DB52DCB3F6}"/>
    <cellStyle name="SAPBEXresItemX 4" xfId="12571" xr:uid="{DA4BFBF4-9208-42BF-8172-BF77B6B39655}"/>
    <cellStyle name="SAPBEXresItemX 4 2" xfId="12572" xr:uid="{74A3ADB2-0701-4DF2-A75F-4DD842676729}"/>
    <cellStyle name="SAPBEXresItemX 4 2 2" xfId="12573" xr:uid="{BF9ECABB-518C-45C8-B449-EB0BB781A6D9}"/>
    <cellStyle name="SAPBEXresItemX 4 2 2 2" xfId="24066" xr:uid="{FF7E4D7C-A3BA-4099-B3C8-11123DE3C3DB}"/>
    <cellStyle name="SAPBEXresItemX 4 2 3" xfId="12574" xr:uid="{10CA12BE-D3DB-41B9-82A1-C65CB4D92069}"/>
    <cellStyle name="SAPBEXresItemX 4 2 3 2" xfId="24067" xr:uid="{EA9C9D0D-1D24-4B64-B10D-E95258367874}"/>
    <cellStyle name="SAPBEXresItemX 4 2 4" xfId="24065" xr:uid="{8AC48F72-E5B9-4881-B95F-A883E234A587}"/>
    <cellStyle name="SAPBEXresItemX 4 3" xfId="12575" xr:uid="{06CFA59B-EF32-4600-8100-B0ABB6D57E93}"/>
    <cellStyle name="SAPBEXresItemX 4 3 2" xfId="24068" xr:uid="{64D4F59A-1AE2-4AFF-A6C1-E197FC790DDA}"/>
    <cellStyle name="SAPBEXresItemX 4 4" xfId="12576" xr:uid="{CAB80DDF-5862-4631-A154-52B022CE6761}"/>
    <cellStyle name="SAPBEXresItemX 4 4 2" xfId="24069" xr:uid="{9ABE41DD-8038-47F1-8454-DC221B060C5D}"/>
    <cellStyle name="SAPBEXresItemX 4 5" xfId="24064" xr:uid="{22500A90-E5BB-488F-8503-9E4DD36DB487}"/>
    <cellStyle name="SAPBEXresItemX 5" xfId="12577" xr:uid="{70545CC9-EA51-481B-BD67-70BD9C2D4C31}"/>
    <cellStyle name="SAPBEXresItemX 5 2" xfId="12578" xr:uid="{D558608F-751D-4EA1-AF91-3D2A582DBA61}"/>
    <cellStyle name="SAPBEXresItemX 5 2 2" xfId="12579" xr:uid="{225CF070-43F3-4F37-9242-FC300B2F1287}"/>
    <cellStyle name="SAPBEXresItemX 5 2 2 2" xfId="24072" xr:uid="{8AA4A4E8-5900-466F-B84C-7ECEDB1034F3}"/>
    <cellStyle name="SAPBEXresItemX 5 2 3" xfId="12580" xr:uid="{BFC34DF1-01CB-4BFD-A07D-76BF625BA422}"/>
    <cellStyle name="SAPBEXresItemX 5 2 3 2" xfId="24073" xr:uid="{313DC7A9-13CE-482D-AAE3-D6439DDAD671}"/>
    <cellStyle name="SAPBEXresItemX 5 2 4" xfId="24071" xr:uid="{1C95B9A7-D79E-42B8-8F41-EF8B0005F292}"/>
    <cellStyle name="SAPBEXresItemX 5 3" xfId="12581" xr:uid="{6085D233-9AF9-4D4C-B63B-E29A40FA4184}"/>
    <cellStyle name="SAPBEXresItemX 5 3 2" xfId="24074" xr:uid="{20A215EA-0C56-4A63-A0B0-C779B35B475A}"/>
    <cellStyle name="SAPBEXresItemX 5 4" xfId="12582" xr:uid="{B599D025-2737-40BE-8E23-C6D9DC863255}"/>
    <cellStyle name="SAPBEXresItemX 5 4 2" xfId="24075" xr:uid="{90113E57-03B8-4452-964A-4C87F5BE297D}"/>
    <cellStyle name="SAPBEXresItemX 5 5" xfId="24070" xr:uid="{214F13F0-F4F0-4123-8465-8C7B5F409CD9}"/>
    <cellStyle name="SAPBEXresItemX 6" xfId="12583" xr:uid="{F4A9524A-9452-4C67-8A42-AE325C42018D}"/>
    <cellStyle name="SAPBEXresItemX 6 2" xfId="12584" xr:uid="{C6A9898F-E68D-4665-B50C-B46A2C515A9D}"/>
    <cellStyle name="SAPBEXresItemX 6 2 2" xfId="12585" xr:uid="{5E7AEDDF-F573-4456-AFBF-3F5668B1A76B}"/>
    <cellStyle name="SAPBEXresItemX 6 2 2 2" xfId="24078" xr:uid="{1291A691-4474-4B88-9F1F-D559B664D64F}"/>
    <cellStyle name="SAPBEXresItemX 6 2 3" xfId="12586" xr:uid="{5021E26D-EBAB-44D7-B7BC-E714EA50B467}"/>
    <cellStyle name="SAPBEXresItemX 6 2 3 2" xfId="24079" xr:uid="{7BBF1A3F-4BBD-4D33-9DCE-98A2F0BE8B16}"/>
    <cellStyle name="SAPBEXresItemX 6 2 4" xfId="24077" xr:uid="{3A9F4BB5-4055-4E0E-8FA0-FDD7D74E05BA}"/>
    <cellStyle name="SAPBEXresItemX 6 3" xfId="12587" xr:uid="{CA6D280D-9986-4029-89DB-9AABC1AFF48F}"/>
    <cellStyle name="SAPBEXresItemX 6 3 2" xfId="24080" xr:uid="{81014299-E764-48C6-A085-9F1666E9A3B3}"/>
    <cellStyle name="SAPBEXresItemX 6 4" xfId="12588" xr:uid="{EDF48193-6C02-44A2-BE78-32CD00145BAB}"/>
    <cellStyle name="SAPBEXresItemX 6 4 2" xfId="24081" xr:uid="{526FB18E-5984-4FEE-8650-B41BFADAD11F}"/>
    <cellStyle name="SAPBEXresItemX 6 5" xfId="24076" xr:uid="{EF05D453-7E18-49B2-B709-49102EBA32DE}"/>
    <cellStyle name="SAPBEXresItemX 7" xfId="12589" xr:uid="{710BAEA3-D052-4E33-BD08-94C95D341249}"/>
    <cellStyle name="SAPBEXresItemX 7 2" xfId="12590" xr:uid="{5B8DC3AE-A0B7-497C-8B06-B148FDA67D0F}"/>
    <cellStyle name="SAPBEXresItemX 7 2 2" xfId="12591" xr:uid="{FAE11348-1950-4953-A3D3-ADBE2B8030B1}"/>
    <cellStyle name="SAPBEXresItemX 7 2 2 2" xfId="24084" xr:uid="{39CEEBA9-F774-4E9A-B74B-3C4674D3FE06}"/>
    <cellStyle name="SAPBEXresItemX 7 2 3" xfId="12592" xr:uid="{4BA1B7C2-66D6-4E12-812C-2DFBE54C9DCF}"/>
    <cellStyle name="SAPBEXresItemX 7 2 3 2" xfId="24085" xr:uid="{815049F6-F8C6-42A9-A809-DF694AFE81A7}"/>
    <cellStyle name="SAPBEXresItemX 7 2 4" xfId="24083" xr:uid="{35931173-EB61-4EA4-88CE-E66EFAFC1F3E}"/>
    <cellStyle name="SAPBEXresItemX 7 3" xfId="12593" xr:uid="{F17FEC31-5921-4787-A19C-9B41DF2813BF}"/>
    <cellStyle name="SAPBEXresItemX 7 3 2" xfId="24086" xr:uid="{381D6F0D-DBD2-42FD-AE1E-F4924C9B80B3}"/>
    <cellStyle name="SAPBEXresItemX 7 4" xfId="12594" xr:uid="{F8D331F3-80CB-4E0D-A2D3-0D3701FC7972}"/>
    <cellStyle name="SAPBEXresItemX 7 4 2" xfId="24087" xr:uid="{DBEF1F6D-D120-47D9-9A38-69CC4DEE4FE6}"/>
    <cellStyle name="SAPBEXresItemX 7 5" xfId="24082" xr:uid="{0FD1309A-19D0-4469-AE3A-9C92ED3A3E43}"/>
    <cellStyle name="SAPBEXresItemX 8" xfId="12595" xr:uid="{A14C26C8-C87C-41B9-A1AD-0273BD96E0F9}"/>
    <cellStyle name="SAPBEXresItemX 8 2" xfId="12596" xr:uid="{A312326A-F6CD-4686-BE0B-E54F11A8277D}"/>
    <cellStyle name="SAPBEXresItemX 8 2 2" xfId="12597" xr:uid="{C8B7D588-6182-4458-9DBD-393927748D1F}"/>
    <cellStyle name="SAPBEXresItemX 8 2 2 2" xfId="24090" xr:uid="{8D7BCAC7-241F-481E-B2DA-09451FB64F6F}"/>
    <cellStyle name="SAPBEXresItemX 8 2 3" xfId="12598" xr:uid="{78883C81-E08A-4379-81AF-82715600CB74}"/>
    <cellStyle name="SAPBEXresItemX 8 2 3 2" xfId="24091" xr:uid="{84C6B297-E38B-4C76-9775-B41C0217CF84}"/>
    <cellStyle name="SAPBEXresItemX 8 2 4" xfId="24089" xr:uid="{82BE89B2-C2AB-4B9F-8201-2FE419F4A68C}"/>
    <cellStyle name="SAPBEXresItemX 8 3" xfId="12599" xr:uid="{C22912B4-6152-471D-A1B9-8A6F98639DD4}"/>
    <cellStyle name="SAPBEXresItemX 8 3 2" xfId="24092" xr:uid="{A3590542-E4BB-485D-A101-618152B4D126}"/>
    <cellStyle name="SAPBEXresItemX 8 4" xfId="12600" xr:uid="{2DCB9660-C2DC-4797-8D1A-A9B9D0865F43}"/>
    <cellStyle name="SAPBEXresItemX 8 4 2" xfId="24093" xr:uid="{23B22037-C667-40B4-A5E7-626BF48B8662}"/>
    <cellStyle name="SAPBEXresItemX 8 5" xfId="24088" xr:uid="{F2808CE5-AA92-4A96-97BD-A50578C33294}"/>
    <cellStyle name="SAPBEXresItemX 9" xfId="12601" xr:uid="{E2EE5606-17AE-4387-9EA7-6EA813685EB1}"/>
    <cellStyle name="SAPBEXresItemX 9 2" xfId="12602" xr:uid="{02DBCF69-6721-4931-AF28-D0465A83A69E}"/>
    <cellStyle name="SAPBEXresItemX 9 2 2" xfId="12603" xr:uid="{861C4987-BEBE-4E5A-8E6E-9B173926D05D}"/>
    <cellStyle name="SAPBEXresItemX 9 2 2 2" xfId="24096" xr:uid="{EDD4B34E-4D76-4C6F-A93E-D3D008EE96F5}"/>
    <cellStyle name="SAPBEXresItemX 9 2 3" xfId="12604" xr:uid="{2C2A0052-5060-4DEC-8D2B-D71A4E6F9649}"/>
    <cellStyle name="SAPBEXresItemX 9 2 3 2" xfId="24097" xr:uid="{71E88ED6-2BC5-41BD-8708-6AA8ECF93A27}"/>
    <cellStyle name="SAPBEXresItemX 9 2 4" xfId="24095" xr:uid="{8A73A771-ED72-4CA8-AB7A-CE7173646BC3}"/>
    <cellStyle name="SAPBEXresItemX 9 3" xfId="12605" xr:uid="{C684AFA2-103D-4C8D-85BB-D1AF8A6ABA4C}"/>
    <cellStyle name="SAPBEXresItemX 9 3 2" xfId="24098" xr:uid="{05286604-FD84-4110-B7B5-7FADD7056C01}"/>
    <cellStyle name="SAPBEXresItemX 9 4" xfId="12606" xr:uid="{3EE7363C-48DA-4DE7-AA9B-01A5FA321F1A}"/>
    <cellStyle name="SAPBEXresItemX 9 4 2" xfId="24099" xr:uid="{26E9F241-72F9-4F74-81FE-1AD5BE34B416}"/>
    <cellStyle name="SAPBEXresItemX 9 5" xfId="24094" xr:uid="{7EEE4AA7-45AC-4870-BFFA-EA11D81DDA04}"/>
    <cellStyle name="SAPBEXresItemX_RP3 PP revised" xfId="15323" xr:uid="{92A52074-824A-49EB-A118-25CA7EC04467}"/>
    <cellStyle name="SAPBEXstdData" xfId="12607" xr:uid="{5A03E57C-8324-47B2-AE06-C5E23BA7F304}"/>
    <cellStyle name="SAPBEXstdData 10" xfId="12608" xr:uid="{BDAA8BA3-5A5C-4F0E-9641-2DC4028F31F9}"/>
    <cellStyle name="SAPBEXstdData 10 2" xfId="12609" xr:uid="{711F337E-9A77-4696-A1CD-3BA7CD1216E0}"/>
    <cellStyle name="SAPBEXstdData 10 2 2" xfId="12610" xr:uid="{1E7B9376-3C88-414E-BC17-759FAC2885E5}"/>
    <cellStyle name="SAPBEXstdData 10 2 2 2" xfId="24102" xr:uid="{C3FD0BD2-284E-40D3-BB1E-309141CF4B53}"/>
    <cellStyle name="SAPBEXstdData 10 2 3" xfId="12611" xr:uid="{72960B3E-C366-4681-81D5-B7A8B07CD611}"/>
    <cellStyle name="SAPBEXstdData 10 2 3 2" xfId="24103" xr:uid="{21C29BBB-3CED-4C6E-B255-279F6AE2C8C1}"/>
    <cellStyle name="SAPBEXstdData 10 2 4" xfId="24101" xr:uid="{B5EC4E3A-4C8D-46FA-9172-8C9D471CB699}"/>
    <cellStyle name="SAPBEXstdData 10 3" xfId="12612" xr:uid="{AD36280D-2DB5-41F4-A9BE-B7DD5A0CA19D}"/>
    <cellStyle name="SAPBEXstdData 10 3 2" xfId="24104" xr:uid="{93962374-8B4E-4485-8CC4-398FBAACF040}"/>
    <cellStyle name="SAPBEXstdData 10 4" xfId="12613" xr:uid="{411CBC44-77CC-49DF-9053-3D1C93268B82}"/>
    <cellStyle name="SAPBEXstdData 10 4 2" xfId="24105" xr:uid="{70E062BC-EF7E-4C7A-8310-D95D646FFA5D}"/>
    <cellStyle name="SAPBEXstdData 10 5" xfId="24100" xr:uid="{350645D9-85A3-40AF-BABC-5920C23D8E25}"/>
    <cellStyle name="SAPBEXstdData 11" xfId="12614" xr:uid="{9DAEC534-1B33-4A7C-83F8-73FA676936B4}"/>
    <cellStyle name="SAPBEXstdData 11 2" xfId="12615" xr:uid="{2498B82D-01F1-4025-B0DE-7D7921D90494}"/>
    <cellStyle name="SAPBEXstdData 11 2 2" xfId="12616" xr:uid="{DA7978CD-8B12-41F8-B7CB-5846C1E4BFB7}"/>
    <cellStyle name="SAPBEXstdData 11 2 2 2" xfId="24108" xr:uid="{05C2B695-5D0A-49D4-9809-60D688970779}"/>
    <cellStyle name="SAPBEXstdData 11 2 3" xfId="12617" xr:uid="{EC8A892D-CCC2-479E-A5EA-0A8CC5ACAB52}"/>
    <cellStyle name="SAPBEXstdData 11 2 3 2" xfId="24109" xr:uid="{4F4E6F7D-9BD2-497C-B636-40D8F796B1C1}"/>
    <cellStyle name="SAPBEXstdData 11 2 4" xfId="24107" xr:uid="{443328B9-1DD9-4AFF-B615-44897488043F}"/>
    <cellStyle name="SAPBEXstdData 11 3" xfId="12618" xr:uid="{820F9343-C58D-43AB-84A5-B8BED79ABE53}"/>
    <cellStyle name="SAPBEXstdData 11 3 2" xfId="24110" xr:uid="{3FF34734-555C-49AC-9912-F8272D94E363}"/>
    <cellStyle name="SAPBEXstdData 11 4" xfId="12619" xr:uid="{683EFA6D-D7BF-40B2-B736-1D53045C234D}"/>
    <cellStyle name="SAPBEXstdData 11 4 2" xfId="24111" xr:uid="{1BE8182F-D71B-4083-8848-76464BAD2B39}"/>
    <cellStyle name="SAPBEXstdData 11 5" xfId="24106" xr:uid="{A52ED761-7813-44FC-9031-09B59F248AC3}"/>
    <cellStyle name="SAPBEXstdData 12" xfId="12620" xr:uid="{A2FEFB10-02C3-4AAA-B102-BA777A79CF27}"/>
    <cellStyle name="SAPBEXstdData 12 2" xfId="12621" xr:uid="{B7D20B9C-31A3-431F-9083-34956934CFF1}"/>
    <cellStyle name="SAPBEXstdData 12 2 2" xfId="12622" xr:uid="{FA4A93AB-52B7-4DFF-86B0-AECED1763146}"/>
    <cellStyle name="SAPBEXstdData 12 2 2 2" xfId="24114" xr:uid="{4E6DCAF4-2B96-446B-A209-8E6A635A99E3}"/>
    <cellStyle name="SAPBEXstdData 12 2 3" xfId="12623" xr:uid="{CA34AC64-4D58-4635-BCA0-1EB15D50F781}"/>
    <cellStyle name="SAPBEXstdData 12 2 3 2" xfId="24115" xr:uid="{98F26484-D44B-49F7-BCA9-C774C4ABB990}"/>
    <cellStyle name="SAPBEXstdData 12 2 4" xfId="24113" xr:uid="{73C730CF-5D6E-473A-B4FB-0B66857D5117}"/>
    <cellStyle name="SAPBEXstdData 12 3" xfId="12624" xr:uid="{0078D4FC-681F-483D-9394-8955D6EED079}"/>
    <cellStyle name="SAPBEXstdData 12 3 2" xfId="24116" xr:uid="{A8B9AE1B-4BA7-44D4-8EC4-BBCFCB80E685}"/>
    <cellStyle name="SAPBEXstdData 12 4" xfId="12625" xr:uid="{D82F7761-C50A-4D5A-B890-3D4DC72CC518}"/>
    <cellStyle name="SAPBEXstdData 12 4 2" xfId="24117" xr:uid="{1B752D13-5843-4144-93E0-5788A4A2FD9A}"/>
    <cellStyle name="SAPBEXstdData 12 5" xfId="24112" xr:uid="{CCC0C5BB-D8C3-4618-99C1-5A6DF9E3FC80}"/>
    <cellStyle name="SAPBEXstdData 13" xfId="12626" xr:uid="{9159E46D-6424-4E8B-B75F-693F542B68C9}"/>
    <cellStyle name="SAPBEXstdData 13 2" xfId="12627" xr:uid="{86DFE2D8-EC06-4786-98F7-9059A596D5A1}"/>
    <cellStyle name="SAPBEXstdData 13 2 2" xfId="12628" xr:uid="{8ECEDDFF-5E86-4264-B968-868F2F1F747A}"/>
    <cellStyle name="SAPBEXstdData 13 2 2 2" xfId="24120" xr:uid="{14717CE9-372A-43FD-BD60-40C3ED8F37F9}"/>
    <cellStyle name="SAPBEXstdData 13 2 3" xfId="12629" xr:uid="{F5C09688-549F-43E9-A785-F859351F2A36}"/>
    <cellStyle name="SAPBEXstdData 13 2 3 2" xfId="24121" xr:uid="{1CFFC047-F3D6-4470-B3EB-C804AC648D43}"/>
    <cellStyle name="SAPBEXstdData 13 2 4" xfId="24119" xr:uid="{C86DD560-A3CC-4B64-A64D-254559652E71}"/>
    <cellStyle name="SAPBEXstdData 13 3" xfId="12630" xr:uid="{1D739579-297A-4145-821B-5A79C67BB685}"/>
    <cellStyle name="SAPBEXstdData 13 3 2" xfId="24122" xr:uid="{532C7664-B4BA-433D-8336-05B1FB8AA51B}"/>
    <cellStyle name="SAPBEXstdData 13 4" xfId="12631" xr:uid="{E423931E-9BD6-41DC-8A21-CE51A4A13D8C}"/>
    <cellStyle name="SAPBEXstdData 13 4 2" xfId="24123" xr:uid="{DE6560B6-886B-421D-990A-35EABFA16AD8}"/>
    <cellStyle name="SAPBEXstdData 13 5" xfId="24118" xr:uid="{95F610B9-ABF4-4035-913C-4AB30A336653}"/>
    <cellStyle name="SAPBEXstdData 14" xfId="12632" xr:uid="{F169CA49-689C-4EA7-825D-F81A246BE505}"/>
    <cellStyle name="SAPBEXstdData 14 2" xfId="12633" xr:uid="{CF731EC5-CFAB-4854-8311-A0EB9E771609}"/>
    <cellStyle name="SAPBEXstdData 14 2 2" xfId="12634" xr:uid="{D2BE5FC3-AD2E-4E37-9BAC-E02C3DCE7622}"/>
    <cellStyle name="SAPBEXstdData 14 2 2 2" xfId="24126" xr:uid="{2699436C-F286-4E28-B914-C6CC7E270BA3}"/>
    <cellStyle name="SAPBEXstdData 14 2 3" xfId="12635" xr:uid="{E12D2CAE-C03B-4A3B-87F6-CE9EEA78CFCF}"/>
    <cellStyle name="SAPBEXstdData 14 2 3 2" xfId="24127" xr:uid="{B0347971-917B-415A-8186-524C73CDD971}"/>
    <cellStyle name="SAPBEXstdData 14 2 4" xfId="24125" xr:uid="{490B3000-5F86-4DE8-95BC-B5E8C602D28B}"/>
    <cellStyle name="SAPBEXstdData 14 3" xfId="12636" xr:uid="{7AB0A0A0-D12C-4C76-969A-6C3C8F7D52F8}"/>
    <cellStyle name="SAPBEXstdData 14 3 2" xfId="24128" xr:uid="{25499857-9920-46C7-AF32-81FBE89B66BC}"/>
    <cellStyle name="SAPBEXstdData 14 4" xfId="12637" xr:uid="{4C82E82A-CD01-4BCB-8362-2A4ED652420F}"/>
    <cellStyle name="SAPBEXstdData 14 4 2" xfId="24129" xr:uid="{653A40BD-D4EE-4536-AD58-A1E68AAB86FF}"/>
    <cellStyle name="SAPBEXstdData 14 5" xfId="24124" xr:uid="{3A695473-A57E-4E05-AF90-15C2209514E9}"/>
    <cellStyle name="SAPBEXstdData 15" xfId="12638" xr:uid="{B9000473-DE5A-4061-8FF0-8BE22AD53E9D}"/>
    <cellStyle name="SAPBEXstdData 15 2" xfId="12639" xr:uid="{2C397E27-C9CB-41C3-B9A9-F0C3292BD8DD}"/>
    <cellStyle name="SAPBEXstdData 15 2 2" xfId="12640" xr:uid="{6CF94CC8-1C82-47BB-91F0-6CFA33136259}"/>
    <cellStyle name="SAPBEXstdData 15 2 2 2" xfId="24132" xr:uid="{32D3C60A-92CE-416E-A946-9B1EA52BBA01}"/>
    <cellStyle name="SAPBEXstdData 15 2 3" xfId="12641" xr:uid="{7F36FAF6-FA64-4AE3-92D3-64E6B133045C}"/>
    <cellStyle name="SAPBEXstdData 15 2 3 2" xfId="24133" xr:uid="{16764726-5C1C-4CF7-B26D-5EE4FB0DEE9D}"/>
    <cellStyle name="SAPBEXstdData 15 2 4" xfId="24131" xr:uid="{B1C665AC-2FB1-4153-8943-C99631BBAB2A}"/>
    <cellStyle name="SAPBEXstdData 15 3" xfId="12642" xr:uid="{5F5DB778-6E01-4817-9F45-C0CE4A6B817C}"/>
    <cellStyle name="SAPBEXstdData 15 3 2" xfId="24134" xr:uid="{89D19946-3C45-4A5F-B3D5-6388B072DA31}"/>
    <cellStyle name="SAPBEXstdData 15 4" xfId="12643" xr:uid="{EAA5B64E-D815-49FC-AED6-A7E97FC38D86}"/>
    <cellStyle name="SAPBEXstdData 15 4 2" xfId="24135" xr:uid="{6EBCB168-DE40-443E-A610-9D6E5799C93B}"/>
    <cellStyle name="SAPBEXstdData 15 5" xfId="24130" xr:uid="{9119B715-BA5B-443F-B962-8D946EC89168}"/>
    <cellStyle name="SAPBEXstdData 16" xfId="12644" xr:uid="{965A3CE7-7D77-44A2-A56F-D661A473F9EB}"/>
    <cellStyle name="SAPBEXstdData 16 2" xfId="24136" xr:uid="{F2518AA5-E9E2-46AA-8AD6-425B76C56E86}"/>
    <cellStyle name="SAPBEXstdData 17" xfId="12645" xr:uid="{23028BBD-66D8-43BB-916A-B808B67CC818}"/>
    <cellStyle name="SAPBEXstdData 17 2" xfId="24137" xr:uid="{F87F9465-5974-4685-97B6-688B7229B37C}"/>
    <cellStyle name="SAPBEXstdData 18" xfId="12646" xr:uid="{7A5EF629-2AD0-4A19-8483-E5502629CBED}"/>
    <cellStyle name="SAPBEXstdData 18 2" xfId="24138" xr:uid="{BEEA8C00-3B73-40B5-B7B7-945E8B6A4784}"/>
    <cellStyle name="SAPBEXstdData 19" xfId="12647" xr:uid="{1A97942C-FAD0-4C4D-96D8-54C77B8B7B61}"/>
    <cellStyle name="SAPBEXstdData 19 2" xfId="24139" xr:uid="{729C5EA4-446A-49C2-A103-0067A506F578}"/>
    <cellStyle name="SAPBEXstdData 2" xfId="12648" xr:uid="{A5CD3280-CEC2-48AF-9084-F5F4EE7561B4}"/>
    <cellStyle name="SAPBEXstdData 2 2" xfId="12649" xr:uid="{AE9AB373-BAF7-4118-A392-58AD6C948BBE}"/>
    <cellStyle name="SAPBEXstdData 2 2 2" xfId="12650" xr:uid="{C58FF63E-C1FE-45A5-A296-70408A368060}"/>
    <cellStyle name="SAPBEXstdData 2 2 2 2" xfId="24142" xr:uid="{94AD973C-CE63-4AB8-A21B-69D882345915}"/>
    <cellStyle name="SAPBEXstdData 2 2 3" xfId="12651" xr:uid="{086237E6-676B-4DB2-8007-85ADE2530DBB}"/>
    <cellStyle name="SAPBEXstdData 2 2 3 2" xfId="24143" xr:uid="{25FB9699-B13F-4023-BEDC-451CB34FDF15}"/>
    <cellStyle name="SAPBEXstdData 2 2 4" xfId="24141" xr:uid="{B8B0E048-0C95-43E9-8BBE-95815C640FB6}"/>
    <cellStyle name="SAPBEXstdData 2 3" xfId="12652" xr:uid="{847639C7-510B-40FB-9355-C383C06D40AF}"/>
    <cellStyle name="SAPBEXstdData 2 3 2" xfId="24144" xr:uid="{20C366AD-39DF-4747-9D33-8B52D4E9FEBB}"/>
    <cellStyle name="SAPBEXstdData 2 4" xfId="12653" xr:uid="{B8583D0E-9B10-4270-B92E-685381A5362E}"/>
    <cellStyle name="SAPBEXstdData 2 4 2" xfId="24145" xr:uid="{2B851C94-40E2-4C2E-B8B6-D0DD6816FAE6}"/>
    <cellStyle name="SAPBEXstdData 2 5" xfId="24140" xr:uid="{BD27A1BF-DE82-42A8-B73C-6D34B6F5B259}"/>
    <cellStyle name="SAPBEXstdData 20" xfId="15192" xr:uid="{2FA42D60-CD47-46DB-A828-C7D2519DDDEC}"/>
    <cellStyle name="SAPBEXstdData 3" xfId="12654" xr:uid="{4CEE0F1C-C4EC-4755-9ECB-A759DD4B9B00}"/>
    <cellStyle name="SAPBEXstdData 3 2" xfId="12655" xr:uid="{5B3D4703-09EB-4541-A2AE-CEE5E40AA67C}"/>
    <cellStyle name="SAPBEXstdData 3 2 2" xfId="12656" xr:uid="{1CAB1D92-A500-4CC1-960B-7D3F3B71296C}"/>
    <cellStyle name="SAPBEXstdData 3 2 2 2" xfId="24148" xr:uid="{9E268F3B-ED0A-4B49-A898-AF0081C435C3}"/>
    <cellStyle name="SAPBEXstdData 3 2 3" xfId="12657" xr:uid="{C4B71331-3E4C-42CF-AE67-934F94D9A795}"/>
    <cellStyle name="SAPBEXstdData 3 2 3 2" xfId="24149" xr:uid="{686D1CEF-B7A6-412B-B767-6836062353BE}"/>
    <cellStyle name="SAPBEXstdData 3 2 4" xfId="24147" xr:uid="{F5D1AB89-95E5-4541-AB17-459C9FF85C72}"/>
    <cellStyle name="SAPBEXstdData 3 3" xfId="12658" xr:uid="{19023F59-9CC4-4261-B350-9A058C7EA2C0}"/>
    <cellStyle name="SAPBEXstdData 3 3 2" xfId="24150" xr:uid="{F304BEC6-D7EC-4E75-B584-BB8D3423BFE0}"/>
    <cellStyle name="SAPBEXstdData 3 4" xfId="12659" xr:uid="{89FCDD8F-9A84-4C94-98C2-3F2CB3E342C0}"/>
    <cellStyle name="SAPBEXstdData 3 4 2" xfId="24151" xr:uid="{57AF03D8-111E-4A9D-B035-4EE8D353993A}"/>
    <cellStyle name="SAPBEXstdData 3 5" xfId="24146" xr:uid="{B5461D6C-CFB2-4CCF-9CBE-2E01DD178D6A}"/>
    <cellStyle name="SAPBEXstdData 4" xfId="12660" xr:uid="{D7B99460-03C6-41F9-805C-9FC6439E17E2}"/>
    <cellStyle name="SAPBEXstdData 4 2" xfId="12661" xr:uid="{1AF8C0B8-7BF6-49AE-8658-50E83CE6672D}"/>
    <cellStyle name="SAPBEXstdData 4 2 2" xfId="12662" xr:uid="{54F38DBA-BD3C-45AD-84F8-6D7CACE58DEB}"/>
    <cellStyle name="SAPBEXstdData 4 2 2 2" xfId="24154" xr:uid="{A4815C70-8444-4564-BBEA-1F54E61E8119}"/>
    <cellStyle name="SAPBEXstdData 4 2 3" xfId="12663" xr:uid="{7BDD62AA-5A4D-4E9B-B027-192ED571A305}"/>
    <cellStyle name="SAPBEXstdData 4 2 3 2" xfId="24155" xr:uid="{56946002-54B0-48F5-8DC9-4DC2443DD147}"/>
    <cellStyle name="SAPBEXstdData 4 2 4" xfId="24153" xr:uid="{4D91C861-DD6F-4793-AA80-2FE18BD13175}"/>
    <cellStyle name="SAPBEXstdData 4 3" xfId="12664" xr:uid="{5B29DA16-2FCE-4EA9-89AE-AC81B3A2E481}"/>
    <cellStyle name="SAPBEXstdData 4 3 2" xfId="24156" xr:uid="{F4ADDC24-EFBC-4B77-BD39-1B643DA9ED9C}"/>
    <cellStyle name="SAPBEXstdData 4 4" xfId="12665" xr:uid="{48B2347B-BD71-4D1D-801F-63868C3A844B}"/>
    <cellStyle name="SAPBEXstdData 4 4 2" xfId="24157" xr:uid="{A62C13CA-F9E2-4A1D-8160-C42872D700A4}"/>
    <cellStyle name="SAPBEXstdData 4 5" xfId="24152" xr:uid="{7147D325-9791-4124-A369-7F18AF1617D7}"/>
    <cellStyle name="SAPBEXstdData 5" xfId="12666" xr:uid="{4D8EE8EC-E2B1-40D2-A40B-BE74843A6683}"/>
    <cellStyle name="SAPBEXstdData 5 2" xfId="12667" xr:uid="{B8356C09-9E63-43C8-A07B-4AE87A0DF571}"/>
    <cellStyle name="SAPBEXstdData 5 2 2" xfId="12668" xr:uid="{1C23B3CF-99E2-4452-8A9F-958C79D6773B}"/>
    <cellStyle name="SAPBEXstdData 5 2 2 2" xfId="24160" xr:uid="{C56B55C6-F3F0-4037-8BE6-C44AD27EB303}"/>
    <cellStyle name="SAPBEXstdData 5 2 3" xfId="12669" xr:uid="{AB01BA8C-7B9C-45C7-9A18-A36120BA3094}"/>
    <cellStyle name="SAPBEXstdData 5 2 3 2" xfId="24161" xr:uid="{B3CECB62-F155-4942-8797-DFFC5D90B30E}"/>
    <cellStyle name="SAPBEXstdData 5 2 4" xfId="24159" xr:uid="{D7B36B15-B8CF-4FFA-B80F-CF6A5AF9AB19}"/>
    <cellStyle name="SAPBEXstdData 5 3" xfId="12670" xr:uid="{E277CFDC-53C0-4F70-9429-880A9B0CC7AF}"/>
    <cellStyle name="SAPBEXstdData 5 3 2" xfId="24162" xr:uid="{047EE52C-22CF-4B0C-9705-178B7E4BEAFB}"/>
    <cellStyle name="SAPBEXstdData 5 4" xfId="12671" xr:uid="{E99441E6-9A39-4B7F-88D2-5976C828C50B}"/>
    <cellStyle name="SAPBEXstdData 5 4 2" xfId="24163" xr:uid="{A1FF84AE-CAC0-454A-8EA9-4AFFAB349276}"/>
    <cellStyle name="SAPBEXstdData 5 5" xfId="24158" xr:uid="{23645A89-7C52-4FFF-8954-B8BD78D018E5}"/>
    <cellStyle name="SAPBEXstdData 6" xfId="12672" xr:uid="{D8625140-6EBF-43E2-9EE0-0A3344328581}"/>
    <cellStyle name="SAPBEXstdData 6 2" xfId="12673" xr:uid="{D8980DB6-ACFC-4DA0-8A61-80B6FC5A2C3F}"/>
    <cellStyle name="SAPBEXstdData 6 2 2" xfId="12674" xr:uid="{4CF476E6-384E-49D7-B2EF-91AE5A64269E}"/>
    <cellStyle name="SAPBEXstdData 6 2 2 2" xfId="24166" xr:uid="{08203F8A-485B-4DE1-818B-7BCB34682B81}"/>
    <cellStyle name="SAPBEXstdData 6 2 3" xfId="12675" xr:uid="{CBD2BAC0-A70A-4B18-BC1B-AB3E7515B6C4}"/>
    <cellStyle name="SAPBEXstdData 6 2 3 2" xfId="24167" xr:uid="{D1F42225-81D2-4EDC-AEA5-43753510F8DC}"/>
    <cellStyle name="SAPBEXstdData 6 2 4" xfId="24165" xr:uid="{5E9CFC4C-E38B-49F0-AD8C-2E3998D5C003}"/>
    <cellStyle name="SAPBEXstdData 6 3" xfId="12676" xr:uid="{CC221ADD-560C-4018-B297-B6699BE88068}"/>
    <cellStyle name="SAPBEXstdData 6 3 2" xfId="24168" xr:uid="{C9A9F9D3-6083-4CCB-85D3-3E1AF37485EC}"/>
    <cellStyle name="SAPBEXstdData 6 4" xfId="12677" xr:uid="{BDC7752D-2E08-42C5-8A42-4DD2DE0AEF5C}"/>
    <cellStyle name="SAPBEXstdData 6 4 2" xfId="24169" xr:uid="{8FA6AB7D-6117-44DE-A037-6D1709D5A6F3}"/>
    <cellStyle name="SAPBEXstdData 6 5" xfId="24164" xr:uid="{E7BC3808-E4C4-4789-8B0D-3A2DECE7B5EB}"/>
    <cellStyle name="SAPBEXstdData 7" xfId="12678" xr:uid="{8228175A-B820-4901-9FF4-4A10B52B4C67}"/>
    <cellStyle name="SAPBEXstdData 7 2" xfId="12679" xr:uid="{AA5D3FC0-6593-4905-B28C-E027AC109F7E}"/>
    <cellStyle name="SAPBEXstdData 7 2 2" xfId="12680" xr:uid="{FC05E297-E68E-49D8-974C-46268830EEE8}"/>
    <cellStyle name="SAPBEXstdData 7 2 2 2" xfId="24172" xr:uid="{1EA87D32-3EB0-4EDD-935C-96CE4F8BDF16}"/>
    <cellStyle name="SAPBEXstdData 7 2 3" xfId="12681" xr:uid="{C4D5FA2A-ACA0-4377-A73C-527755BC661C}"/>
    <cellStyle name="SAPBEXstdData 7 2 3 2" xfId="24173" xr:uid="{E8D68816-B999-4A3B-84C8-0E714CED1ACB}"/>
    <cellStyle name="SAPBEXstdData 7 2 4" xfId="24171" xr:uid="{C0DE01AC-23ED-45CD-941A-0948660EC148}"/>
    <cellStyle name="SAPBEXstdData 7 3" xfId="12682" xr:uid="{B99F359A-36C2-4F11-A29B-5F3D4AE6B136}"/>
    <cellStyle name="SAPBEXstdData 7 3 2" xfId="24174" xr:uid="{D8CB13E0-90FA-40CF-A9E3-F8E642212161}"/>
    <cellStyle name="SAPBEXstdData 7 4" xfId="12683" xr:uid="{00CF2144-B31F-48A1-B164-57274804A49C}"/>
    <cellStyle name="SAPBEXstdData 7 4 2" xfId="24175" xr:uid="{F4647CEA-ABE3-4AAE-9453-69455951C354}"/>
    <cellStyle name="SAPBEXstdData 7 5" xfId="24170" xr:uid="{A22DB647-1DD3-47FA-A7BE-B6C778E56CEE}"/>
    <cellStyle name="SAPBEXstdData 8" xfId="12684" xr:uid="{E3338B00-5616-4878-B561-48C712E981A4}"/>
    <cellStyle name="SAPBEXstdData 8 2" xfId="12685" xr:uid="{E53FF8E5-79CC-4596-A153-642C0E5E141F}"/>
    <cellStyle name="SAPBEXstdData 8 2 2" xfId="12686" xr:uid="{D527AF9E-81CE-425A-86FC-D8C8984FAE3E}"/>
    <cellStyle name="SAPBEXstdData 8 2 2 2" xfId="24178" xr:uid="{A8498B1D-4D03-407C-9A0F-2C4EDC0E2E40}"/>
    <cellStyle name="SAPBEXstdData 8 2 3" xfId="12687" xr:uid="{8F23BCD5-E235-4194-9280-BDDFE70E1867}"/>
    <cellStyle name="SAPBEXstdData 8 2 3 2" xfId="24179" xr:uid="{90D5AA0C-3D8D-45C7-A771-6F26320A39E9}"/>
    <cellStyle name="SAPBEXstdData 8 2 4" xfId="24177" xr:uid="{88BD29EF-E522-4F31-9845-518121B16219}"/>
    <cellStyle name="SAPBEXstdData 8 3" xfId="12688" xr:uid="{2A50CA57-001A-4C8C-A155-F67A938F1BA0}"/>
    <cellStyle name="SAPBEXstdData 8 3 2" xfId="24180" xr:uid="{985AA203-76EC-4E85-A9DD-F8D342C535AA}"/>
    <cellStyle name="SAPBEXstdData 8 4" xfId="12689" xr:uid="{BB333D83-6441-46A4-BC38-EE4C91F5595E}"/>
    <cellStyle name="SAPBEXstdData 8 4 2" xfId="24181" xr:uid="{99AAB244-55DE-48BB-B813-AB08CF8E213C}"/>
    <cellStyle name="SAPBEXstdData 8 5" xfId="24176" xr:uid="{22751D3D-911D-4C67-B658-FB9DD62E388F}"/>
    <cellStyle name="SAPBEXstdData 9" xfId="12690" xr:uid="{13D9F861-4EEC-4AE1-A1E5-04F48EC63D32}"/>
    <cellStyle name="SAPBEXstdData 9 2" xfId="12691" xr:uid="{78E122CF-29D0-4D8B-8862-FF9E4EA36D1E}"/>
    <cellStyle name="SAPBEXstdData 9 2 2" xfId="12692" xr:uid="{A9F43816-03BF-45AE-8A19-8ADBF2D95501}"/>
    <cellStyle name="SAPBEXstdData 9 2 2 2" xfId="24184" xr:uid="{0837E664-D10E-49D9-9637-97D7F4AAEE76}"/>
    <cellStyle name="SAPBEXstdData 9 2 3" xfId="12693" xr:uid="{0A4B1F52-314C-462F-BA62-3C8CB6DF3A5D}"/>
    <cellStyle name="SAPBEXstdData 9 2 3 2" xfId="24185" xr:uid="{71F09379-9887-46CE-BED1-DC196424277E}"/>
    <cellStyle name="SAPBEXstdData 9 2 4" xfId="24183" xr:uid="{607E547F-930A-46B8-8B51-2898D8F3ADD6}"/>
    <cellStyle name="SAPBEXstdData 9 3" xfId="12694" xr:uid="{085F8CEA-381E-4868-8FD2-61F954898609}"/>
    <cellStyle name="SAPBEXstdData 9 3 2" xfId="24186" xr:uid="{1D1C3490-AEDB-4B18-9055-8D41331D80FB}"/>
    <cellStyle name="SAPBEXstdData 9 4" xfId="12695" xr:uid="{9DF6D1AD-205D-44FA-A9DF-D0C6041EEEE1}"/>
    <cellStyle name="SAPBEXstdData 9 4 2" xfId="24187" xr:uid="{1953DD2A-A46F-46F1-86A0-4630F0140259}"/>
    <cellStyle name="SAPBEXstdData 9 5" xfId="24182" xr:uid="{8085D25E-A1A9-4A30-AC93-778693519B6B}"/>
    <cellStyle name="SAPBEXstdData_RP3 PP revised" xfId="15059" xr:uid="{63D36E36-DFE3-4EE4-979F-D115C81E3A1B}"/>
    <cellStyle name="SAPBEXstdDataEmph" xfId="12696" xr:uid="{A48B51F2-FCA6-42FD-917A-D17F05A5A08F}"/>
    <cellStyle name="SAPBEXstdDataEmph 10" xfId="12697" xr:uid="{1305ECA6-E7D2-4618-A4C5-81A44F944907}"/>
    <cellStyle name="SAPBEXstdDataEmph 10 2" xfId="12698" xr:uid="{7037DA0F-04E7-48DE-9D1D-EB65FE58C336}"/>
    <cellStyle name="SAPBEXstdDataEmph 10 2 2" xfId="12699" xr:uid="{04C03513-A937-4902-A710-7FE7E49ED741}"/>
    <cellStyle name="SAPBEXstdDataEmph 10 2 2 2" xfId="24190" xr:uid="{903555B1-E3BC-4D3E-8519-DDB5312A0CE1}"/>
    <cellStyle name="SAPBEXstdDataEmph 10 2 3" xfId="12700" xr:uid="{D7590DAD-A472-4923-AE57-78DE71BB15F9}"/>
    <cellStyle name="SAPBEXstdDataEmph 10 2 3 2" xfId="24191" xr:uid="{95A1F97A-453E-4AF9-AC6A-60AA02C1FD92}"/>
    <cellStyle name="SAPBEXstdDataEmph 10 2 4" xfId="24189" xr:uid="{A2D327AB-53FA-4378-8E79-D7B40C7972F1}"/>
    <cellStyle name="SAPBEXstdDataEmph 10 3" xfId="12701" xr:uid="{3920045F-5264-4F95-B1B7-951155A228AA}"/>
    <cellStyle name="SAPBEXstdDataEmph 10 3 2" xfId="24192" xr:uid="{DEF59EE8-93A6-41D8-A697-B61C155259F2}"/>
    <cellStyle name="SAPBEXstdDataEmph 10 4" xfId="12702" xr:uid="{33E2087B-F8FA-4152-ADBB-BA564DC4433A}"/>
    <cellStyle name="SAPBEXstdDataEmph 10 4 2" xfId="24193" xr:uid="{E1D67421-CE33-4A6A-A721-72D1667F59E8}"/>
    <cellStyle name="SAPBEXstdDataEmph 10 5" xfId="24188" xr:uid="{0B7E9D10-08FF-47B4-9644-5E479E6C117A}"/>
    <cellStyle name="SAPBEXstdDataEmph 11" xfId="12703" xr:uid="{BA32ABD9-1121-4710-8A75-15B9618DA935}"/>
    <cellStyle name="SAPBEXstdDataEmph 11 2" xfId="12704" xr:uid="{96AF3C39-716B-4BE0-9E45-45471A799E59}"/>
    <cellStyle name="SAPBEXstdDataEmph 11 2 2" xfId="12705" xr:uid="{B5B837CA-C9E1-400D-801E-E06B803F1A02}"/>
    <cellStyle name="SAPBEXstdDataEmph 11 2 2 2" xfId="24196" xr:uid="{65C4B208-7675-4F1F-827F-331CC1A0A3FC}"/>
    <cellStyle name="SAPBEXstdDataEmph 11 2 3" xfId="12706" xr:uid="{6827EDE7-374F-4809-9A3E-64CAFEA8AEFF}"/>
    <cellStyle name="SAPBEXstdDataEmph 11 2 3 2" xfId="24197" xr:uid="{C39BAB13-E17B-4F4E-A186-57ABAD21ED08}"/>
    <cellStyle name="SAPBEXstdDataEmph 11 2 4" xfId="24195" xr:uid="{92173037-B715-4D10-B7EA-5C6530816677}"/>
    <cellStyle name="SAPBEXstdDataEmph 11 3" xfId="12707" xr:uid="{32E3B8C0-969D-45EF-A378-5F6F6E692F8D}"/>
    <cellStyle name="SAPBEXstdDataEmph 11 3 2" xfId="24198" xr:uid="{3C71AB51-01B4-4CC0-A450-1A8441DF16D1}"/>
    <cellStyle name="SAPBEXstdDataEmph 11 4" xfId="12708" xr:uid="{2B57E647-F9DA-468E-984D-81042692028D}"/>
    <cellStyle name="SAPBEXstdDataEmph 11 4 2" xfId="24199" xr:uid="{051655F2-F163-4511-8FFF-0191C9ABBCB7}"/>
    <cellStyle name="SAPBEXstdDataEmph 11 5" xfId="24194" xr:uid="{FC77B2EE-8BF2-41AF-9EB1-61004AB61702}"/>
    <cellStyle name="SAPBEXstdDataEmph 12" xfId="12709" xr:uid="{1C1326EA-A773-432E-9804-2999C4923E01}"/>
    <cellStyle name="SAPBEXstdDataEmph 12 2" xfId="12710" xr:uid="{200EB870-7ACB-480C-AC90-9ED424449821}"/>
    <cellStyle name="SAPBEXstdDataEmph 12 2 2" xfId="12711" xr:uid="{E1B79365-4719-4696-9A92-585D029B1C91}"/>
    <cellStyle name="SAPBEXstdDataEmph 12 2 2 2" xfId="24202" xr:uid="{0DC1BBBF-8C2E-4AF3-9BED-B3A696A51282}"/>
    <cellStyle name="SAPBEXstdDataEmph 12 2 3" xfId="12712" xr:uid="{A3912C98-670C-4699-A5C4-3788C22C7CAE}"/>
    <cellStyle name="SAPBEXstdDataEmph 12 2 3 2" xfId="24203" xr:uid="{F4454C2B-6BBF-4A0C-914B-E4A93A65551D}"/>
    <cellStyle name="SAPBEXstdDataEmph 12 2 4" xfId="24201" xr:uid="{BADF4D59-D9C0-4EC4-A909-ABE77CD3B637}"/>
    <cellStyle name="SAPBEXstdDataEmph 12 3" xfId="12713" xr:uid="{339BA86C-CAC3-4660-9931-B4A8275FAF7E}"/>
    <cellStyle name="SAPBEXstdDataEmph 12 3 2" xfId="24204" xr:uid="{796D8E2B-60CF-4A91-8DBC-570C8EBF50F5}"/>
    <cellStyle name="SAPBEXstdDataEmph 12 4" xfId="12714" xr:uid="{09558166-B319-4A33-9715-8C11416C856F}"/>
    <cellStyle name="SAPBEXstdDataEmph 12 4 2" xfId="24205" xr:uid="{7DBC7643-887F-461B-8DAA-658F9CE7C22C}"/>
    <cellStyle name="SAPBEXstdDataEmph 12 5" xfId="24200" xr:uid="{96C329A8-4769-4447-A8D7-507D7AF0F898}"/>
    <cellStyle name="SAPBEXstdDataEmph 13" xfId="12715" xr:uid="{D0A4B602-AED3-4349-AD2C-CDE910143720}"/>
    <cellStyle name="SAPBEXstdDataEmph 13 2" xfId="12716" xr:uid="{B47CAD31-1D4F-4CB1-BA34-A1EB23AA33B8}"/>
    <cellStyle name="SAPBEXstdDataEmph 13 2 2" xfId="12717" xr:uid="{AF971F48-A957-4588-9B80-8656599A717D}"/>
    <cellStyle name="SAPBEXstdDataEmph 13 2 2 2" xfId="24208" xr:uid="{F865F15D-AD84-4786-A40C-B389C59AD401}"/>
    <cellStyle name="SAPBEXstdDataEmph 13 2 3" xfId="12718" xr:uid="{F6830C97-AB01-45DF-B2B5-4CBB462586BB}"/>
    <cellStyle name="SAPBEXstdDataEmph 13 2 3 2" xfId="24209" xr:uid="{3DA6442F-8339-4FBB-93E4-2826A0466A8D}"/>
    <cellStyle name="SAPBEXstdDataEmph 13 2 4" xfId="24207" xr:uid="{AF9F4DC3-DEE1-4C8A-B30A-99AFF65186DC}"/>
    <cellStyle name="SAPBEXstdDataEmph 13 3" xfId="12719" xr:uid="{D058D48F-9086-47D6-869A-5B81788213AF}"/>
    <cellStyle name="SAPBEXstdDataEmph 13 3 2" xfId="24210" xr:uid="{17FEFBA4-A02A-43BC-BC90-302B774E8E21}"/>
    <cellStyle name="SAPBEXstdDataEmph 13 4" xfId="12720" xr:uid="{F9291D7C-497A-498D-9599-C042C41CC78E}"/>
    <cellStyle name="SAPBEXstdDataEmph 13 4 2" xfId="24211" xr:uid="{2894584C-2328-46A6-959E-D8985DC9482F}"/>
    <cellStyle name="SAPBEXstdDataEmph 13 5" xfId="24206" xr:uid="{C6C9C2B3-B1C8-4A80-A7B6-750510F7340E}"/>
    <cellStyle name="SAPBEXstdDataEmph 14" xfId="12721" xr:uid="{B1D5679F-2F7B-4042-9EE4-529B30F1F011}"/>
    <cellStyle name="SAPBEXstdDataEmph 14 2" xfId="12722" xr:uid="{D009D333-24A5-4236-BF59-867CAA848063}"/>
    <cellStyle name="SAPBEXstdDataEmph 14 2 2" xfId="12723" xr:uid="{CC1B3C79-746B-43ED-8986-14DD728F1FEF}"/>
    <cellStyle name="SAPBEXstdDataEmph 14 2 2 2" xfId="24214" xr:uid="{9C7654F8-5857-4FDC-9509-B0D228582FC9}"/>
    <cellStyle name="SAPBEXstdDataEmph 14 2 3" xfId="12724" xr:uid="{5C7D698B-B0E7-4560-82BB-444A0D3D894F}"/>
    <cellStyle name="SAPBEXstdDataEmph 14 2 3 2" xfId="24215" xr:uid="{9A9E4C1A-4DB4-4818-8A1B-02719D2E9498}"/>
    <cellStyle name="SAPBEXstdDataEmph 14 2 4" xfId="24213" xr:uid="{8108316D-B77A-4EE8-A975-4254F9162FF6}"/>
    <cellStyle name="SAPBEXstdDataEmph 14 3" xfId="12725" xr:uid="{D3EA7DC1-1460-473F-AA69-8EA2B534AA32}"/>
    <cellStyle name="SAPBEXstdDataEmph 14 3 2" xfId="24216" xr:uid="{1F502C99-1016-423E-B82E-BBC2354F9BCB}"/>
    <cellStyle name="SAPBEXstdDataEmph 14 4" xfId="12726" xr:uid="{CF6A9198-A14D-4018-B986-F9BA07E7ED49}"/>
    <cellStyle name="SAPBEXstdDataEmph 14 4 2" xfId="24217" xr:uid="{8FBC59AD-9213-4B00-8B74-5B21B25FA2F9}"/>
    <cellStyle name="SAPBEXstdDataEmph 14 5" xfId="24212" xr:uid="{BEDC5E81-91E1-41FE-A120-6C843A286BEE}"/>
    <cellStyle name="SAPBEXstdDataEmph 15" xfId="12727" xr:uid="{988A2076-D1DA-4AF1-AA2F-D4DC87200EED}"/>
    <cellStyle name="SAPBEXstdDataEmph 15 2" xfId="12728" xr:uid="{2BA62D71-D33C-4D07-A383-952CEA23FD65}"/>
    <cellStyle name="SAPBEXstdDataEmph 15 2 2" xfId="12729" xr:uid="{519CCB89-3FF2-484B-967F-6A355C2D14DA}"/>
    <cellStyle name="SAPBEXstdDataEmph 15 2 2 2" xfId="24220" xr:uid="{7E4424F3-9A93-46E2-BDFC-F31A93793A66}"/>
    <cellStyle name="SAPBEXstdDataEmph 15 2 3" xfId="12730" xr:uid="{0ECC2AB5-332C-461D-B46A-122257B01D55}"/>
    <cellStyle name="SAPBEXstdDataEmph 15 2 3 2" xfId="24221" xr:uid="{C29546F8-E272-4A89-9342-32AC6B7AEFF4}"/>
    <cellStyle name="SAPBEXstdDataEmph 15 2 4" xfId="24219" xr:uid="{1E2E30F8-CE74-4BC4-B1B6-9963E1137D89}"/>
    <cellStyle name="SAPBEXstdDataEmph 15 3" xfId="12731" xr:uid="{4C97F165-0246-4D4E-BE9C-9D94A5107947}"/>
    <cellStyle name="SAPBEXstdDataEmph 15 3 2" xfId="24222" xr:uid="{626CD900-A8BF-4441-B64D-66B5A22A8F15}"/>
    <cellStyle name="SAPBEXstdDataEmph 15 4" xfId="12732" xr:uid="{2072DA71-CE84-4B66-B31F-E1AD880CFABF}"/>
    <cellStyle name="SAPBEXstdDataEmph 15 4 2" xfId="24223" xr:uid="{521C8FDC-828B-4C86-9721-D92FD7FEF193}"/>
    <cellStyle name="SAPBEXstdDataEmph 15 5" xfId="24218" xr:uid="{6BA37690-10D0-4692-9439-1C5EDB0B02B3}"/>
    <cellStyle name="SAPBEXstdDataEmph 16" xfId="12733" xr:uid="{14DC15FC-05F8-4789-BB0F-B7DA0302D300}"/>
    <cellStyle name="SAPBEXstdDataEmph 16 2" xfId="24224" xr:uid="{C8EECFA4-2B15-471C-8374-55E4A9F8EC2E}"/>
    <cellStyle name="SAPBEXstdDataEmph 17" xfId="12734" xr:uid="{85454450-69D1-4966-B62B-7D7C04926E57}"/>
    <cellStyle name="SAPBEXstdDataEmph 17 2" xfId="24225" xr:uid="{F2F297CD-1C58-4DD2-A407-233209BA3A94}"/>
    <cellStyle name="SAPBEXstdDataEmph 18" xfId="12735" xr:uid="{A0B43642-28A4-45AB-A169-94B382B17A69}"/>
    <cellStyle name="SAPBEXstdDataEmph 18 2" xfId="24226" xr:uid="{FDF442AB-3B3F-4ECE-B368-0FBB090255C5}"/>
    <cellStyle name="SAPBEXstdDataEmph 19" xfId="12736" xr:uid="{53D8EFF9-4783-42AE-94A8-830F168466C8}"/>
    <cellStyle name="SAPBEXstdDataEmph 19 2" xfId="24227" xr:uid="{738D40B2-CBE1-40CF-AEE8-66674E8A72DA}"/>
    <cellStyle name="SAPBEXstdDataEmph 2" xfId="12737" xr:uid="{B4216F82-7B71-4FE5-B0B8-48DB585A1749}"/>
    <cellStyle name="SAPBEXstdDataEmph 2 2" xfId="12738" xr:uid="{450D59C8-10DD-4F21-A6A6-711DBC882716}"/>
    <cellStyle name="SAPBEXstdDataEmph 2 2 2" xfId="12739" xr:uid="{BA83A15B-ADE4-465F-9113-6B3F2F7A7C0C}"/>
    <cellStyle name="SAPBEXstdDataEmph 2 2 2 2" xfId="24230" xr:uid="{549CD101-A3F2-4BD9-AABB-2443DDA77134}"/>
    <cellStyle name="SAPBEXstdDataEmph 2 2 3" xfId="12740" xr:uid="{ACB12830-1305-407D-BF83-DA1D5712D3F4}"/>
    <cellStyle name="SAPBEXstdDataEmph 2 2 3 2" xfId="24231" xr:uid="{370A27DA-51E4-4DDE-9E69-7B27D64FCF30}"/>
    <cellStyle name="SAPBEXstdDataEmph 2 2 4" xfId="24229" xr:uid="{931B3CA5-CE5D-421D-B5CF-6BBFE97839A6}"/>
    <cellStyle name="SAPBEXstdDataEmph 2 3" xfId="12741" xr:uid="{A2D96586-A758-4DDA-A1CA-4A4A80734080}"/>
    <cellStyle name="SAPBEXstdDataEmph 2 3 2" xfId="24232" xr:uid="{64B71BCB-2A6D-43E8-9F07-F7F8F5D08690}"/>
    <cellStyle name="SAPBEXstdDataEmph 2 4" xfId="12742" xr:uid="{43406D50-9BC3-4779-B52C-49294D144C72}"/>
    <cellStyle name="SAPBEXstdDataEmph 2 4 2" xfId="24233" xr:uid="{7073C0D9-D979-4D20-939C-9AD8FB0DB6BE}"/>
    <cellStyle name="SAPBEXstdDataEmph 2 5" xfId="24228" xr:uid="{9DF62EE3-102A-411E-B6A5-7DDD13EB2FD7}"/>
    <cellStyle name="SAPBEXstdDataEmph 20" xfId="15193" xr:uid="{9D449909-6706-4328-9E84-39BB1B59AF3B}"/>
    <cellStyle name="SAPBEXstdDataEmph 3" xfId="12743" xr:uid="{A2DEC472-BE12-42CC-93A3-A8B3DFB2BC71}"/>
    <cellStyle name="SAPBEXstdDataEmph 3 2" xfId="12744" xr:uid="{79066F24-C468-4C1D-88C7-21335A1ED738}"/>
    <cellStyle name="SAPBEXstdDataEmph 3 2 2" xfId="12745" xr:uid="{34EF8E03-A6E7-44F7-B013-412369E28218}"/>
    <cellStyle name="SAPBEXstdDataEmph 3 2 2 2" xfId="24236" xr:uid="{862353EA-AED1-4F3C-8492-83965995C233}"/>
    <cellStyle name="SAPBEXstdDataEmph 3 2 3" xfId="12746" xr:uid="{B090C74A-A02F-4B50-91A4-DBC76823C4F1}"/>
    <cellStyle name="SAPBEXstdDataEmph 3 2 3 2" xfId="24237" xr:uid="{295BB4DD-B099-4415-9784-5AF63CD1326C}"/>
    <cellStyle name="SAPBEXstdDataEmph 3 2 4" xfId="24235" xr:uid="{A8A11FD2-94CD-45C7-9FE9-F1B856A958C2}"/>
    <cellStyle name="SAPBEXstdDataEmph 3 3" xfId="12747" xr:uid="{B554C736-52AA-415B-AD61-6842620EFA29}"/>
    <cellStyle name="SAPBEXstdDataEmph 3 3 2" xfId="24238" xr:uid="{1F4E0CCD-1929-4FB8-A7AE-52766A3499A0}"/>
    <cellStyle name="SAPBEXstdDataEmph 3 4" xfId="12748" xr:uid="{0E36D2D5-E8BC-435F-9821-B45686D29EFB}"/>
    <cellStyle name="SAPBEXstdDataEmph 3 4 2" xfId="24239" xr:uid="{360A3BA6-5FD0-44CE-B113-F3B38376C95C}"/>
    <cellStyle name="SAPBEXstdDataEmph 3 5" xfId="24234" xr:uid="{92FEF777-495B-4FD1-BAD2-F46BFCF4B39F}"/>
    <cellStyle name="SAPBEXstdDataEmph 4" xfId="12749" xr:uid="{E8575A5A-08A8-4E6A-B95D-AC87739BE398}"/>
    <cellStyle name="SAPBEXstdDataEmph 4 2" xfId="12750" xr:uid="{55E54712-D1ED-44C8-83AC-E499EFE399B4}"/>
    <cellStyle name="SAPBEXstdDataEmph 4 2 2" xfId="12751" xr:uid="{F9041C67-D26B-4489-B15D-DC44BB05FCE4}"/>
    <cellStyle name="SAPBEXstdDataEmph 4 2 2 2" xfId="24242" xr:uid="{1BF1608B-DCFC-4D5D-8394-4BFF683B365C}"/>
    <cellStyle name="SAPBEXstdDataEmph 4 2 3" xfId="12752" xr:uid="{8E175278-0368-4190-9C91-46B457D751D2}"/>
    <cellStyle name="SAPBEXstdDataEmph 4 2 3 2" xfId="24243" xr:uid="{2968E987-ADE0-42C4-BAC3-F2C4DD293CE7}"/>
    <cellStyle name="SAPBEXstdDataEmph 4 2 4" xfId="24241" xr:uid="{E96786B5-F26B-4CE6-9FE6-6E0B89993C54}"/>
    <cellStyle name="SAPBEXstdDataEmph 4 3" xfId="12753" xr:uid="{81D0951A-8274-488E-9AF9-BCED0834EE77}"/>
    <cellStyle name="SAPBEXstdDataEmph 4 3 2" xfId="24244" xr:uid="{B6DBEBF2-266A-418C-8CEA-955A36029324}"/>
    <cellStyle name="SAPBEXstdDataEmph 4 4" xfId="12754" xr:uid="{2FAFAF18-9E9B-4DAD-A668-86E5261C6A09}"/>
    <cellStyle name="SAPBEXstdDataEmph 4 4 2" xfId="24245" xr:uid="{B805EC9C-6BD6-4D38-A00F-B194B0284C6C}"/>
    <cellStyle name="SAPBEXstdDataEmph 4 5" xfId="24240" xr:uid="{9BA83808-B935-4317-9496-EC0CE15AF16A}"/>
    <cellStyle name="SAPBEXstdDataEmph 5" xfId="12755" xr:uid="{A6519A6A-1608-4C94-97E4-F536339A370A}"/>
    <cellStyle name="SAPBEXstdDataEmph 5 2" xfId="12756" xr:uid="{1DCC2C30-1218-4BA5-AA94-D07F42EFBCE0}"/>
    <cellStyle name="SAPBEXstdDataEmph 5 2 2" xfId="12757" xr:uid="{A4829723-E7B0-40F2-AED4-21D05D701E0B}"/>
    <cellStyle name="SAPBEXstdDataEmph 5 2 2 2" xfId="24248" xr:uid="{E616E215-AB95-4B9B-BC21-3BCDC9F2667D}"/>
    <cellStyle name="SAPBEXstdDataEmph 5 2 3" xfId="12758" xr:uid="{59127F1D-EA6F-4433-897B-EEC151CF37ED}"/>
    <cellStyle name="SAPBEXstdDataEmph 5 2 3 2" xfId="24249" xr:uid="{2E7CBE85-91EB-409A-A76C-7FED5E8210F5}"/>
    <cellStyle name="SAPBEXstdDataEmph 5 2 4" xfId="24247" xr:uid="{9668A706-023A-40E4-B434-8AFBADAAE0DE}"/>
    <cellStyle name="SAPBEXstdDataEmph 5 3" xfId="12759" xr:uid="{AD5278E5-54E2-4909-A30C-372294115AF2}"/>
    <cellStyle name="SAPBEXstdDataEmph 5 3 2" xfId="24250" xr:uid="{28041DA6-6743-41E9-A88D-2F05887B5AE2}"/>
    <cellStyle name="SAPBEXstdDataEmph 5 4" xfId="12760" xr:uid="{2A36D22F-995C-4565-839E-AEEB51C531AF}"/>
    <cellStyle name="SAPBEXstdDataEmph 5 4 2" xfId="24251" xr:uid="{B2CA237B-9667-4CE7-9120-F3222E50719A}"/>
    <cellStyle name="SAPBEXstdDataEmph 5 5" xfId="24246" xr:uid="{4C238DBA-B429-430A-A79A-770045496159}"/>
    <cellStyle name="SAPBEXstdDataEmph 6" xfId="12761" xr:uid="{7C0E210A-7D7D-48D5-8747-74442F97F284}"/>
    <cellStyle name="SAPBEXstdDataEmph 6 2" xfId="12762" xr:uid="{EE53349D-07DF-47E9-8FF2-C4686AF8D682}"/>
    <cellStyle name="SAPBEXstdDataEmph 6 2 2" xfId="12763" xr:uid="{9AF72ECB-BFB6-455C-9B68-C9D8975F2CF3}"/>
    <cellStyle name="SAPBEXstdDataEmph 6 2 2 2" xfId="24254" xr:uid="{5DCF7E8A-8A04-4CA2-AD4A-46E1666DA3DD}"/>
    <cellStyle name="SAPBEXstdDataEmph 6 2 3" xfId="12764" xr:uid="{DDDA7371-0F4C-43E1-BC1C-6DD60AFDC9A0}"/>
    <cellStyle name="SAPBEXstdDataEmph 6 2 3 2" xfId="24255" xr:uid="{73F17F14-ED6E-43C6-85C6-E23232C88454}"/>
    <cellStyle name="SAPBEXstdDataEmph 6 2 4" xfId="24253" xr:uid="{98D15121-4F6E-4808-AAFE-8C4BA6C92E25}"/>
    <cellStyle name="SAPBEXstdDataEmph 6 3" xfId="12765" xr:uid="{19438E8C-98E5-4839-AC87-B2C4220135E6}"/>
    <cellStyle name="SAPBEXstdDataEmph 6 3 2" xfId="24256" xr:uid="{F85FAA21-9F5B-48AC-88BC-EB2227096987}"/>
    <cellStyle name="SAPBEXstdDataEmph 6 4" xfId="12766" xr:uid="{B2866057-BE4A-40D2-9B01-798DCCE10106}"/>
    <cellStyle name="SAPBEXstdDataEmph 6 4 2" xfId="24257" xr:uid="{821A3E96-3A72-4603-9185-B3165F689CBE}"/>
    <cellStyle name="SAPBEXstdDataEmph 6 5" xfId="24252" xr:uid="{D31A4895-3F93-49F2-BF5D-A3108FFD41C5}"/>
    <cellStyle name="SAPBEXstdDataEmph 7" xfId="12767" xr:uid="{6FB949E3-0CC5-4FBE-B8B6-B2CB0F776DDD}"/>
    <cellStyle name="SAPBEXstdDataEmph 7 2" xfId="12768" xr:uid="{9889D235-2882-426E-9BD4-85269ED81503}"/>
    <cellStyle name="SAPBEXstdDataEmph 7 2 2" xfId="12769" xr:uid="{FB32A2F1-2847-4479-8C26-1D6B214A6E02}"/>
    <cellStyle name="SAPBEXstdDataEmph 7 2 2 2" xfId="24260" xr:uid="{50E77C20-85AC-48F1-8360-914534B8259F}"/>
    <cellStyle name="SAPBEXstdDataEmph 7 2 3" xfId="12770" xr:uid="{9F522A3A-EA51-4825-A12F-2DF1033B3679}"/>
    <cellStyle name="SAPBEXstdDataEmph 7 2 3 2" xfId="24261" xr:uid="{A36F1059-F883-4C1F-8843-77FEE7AEEB55}"/>
    <cellStyle name="SAPBEXstdDataEmph 7 2 4" xfId="24259" xr:uid="{C7C15CF7-C454-4687-A324-40296997E7D5}"/>
    <cellStyle name="SAPBEXstdDataEmph 7 3" xfId="12771" xr:uid="{8CBCE91F-65D3-461F-BBD9-53828C2C44C4}"/>
    <cellStyle name="SAPBEXstdDataEmph 7 3 2" xfId="24262" xr:uid="{40445001-30A1-4603-A500-1166CCE41C28}"/>
    <cellStyle name="SAPBEXstdDataEmph 7 4" xfId="12772" xr:uid="{CC61BDDD-2563-4DA4-AEAB-58AC5BC16C31}"/>
    <cellStyle name="SAPBEXstdDataEmph 7 4 2" xfId="24263" xr:uid="{B311A796-2445-494C-8F61-665F40C49D04}"/>
    <cellStyle name="SAPBEXstdDataEmph 7 5" xfId="24258" xr:uid="{A4452AA3-B483-4BD9-85C8-3F4080B4B954}"/>
    <cellStyle name="SAPBEXstdDataEmph 8" xfId="12773" xr:uid="{FE6BF050-DF6D-416A-A15A-2AB620DD15E1}"/>
    <cellStyle name="SAPBEXstdDataEmph 8 2" xfId="12774" xr:uid="{04B7F86E-BC7E-4C18-AD79-F1A6A869D5E0}"/>
    <cellStyle name="SAPBEXstdDataEmph 8 2 2" xfId="12775" xr:uid="{D121159D-7080-46FC-86B2-AEF98EE23BD3}"/>
    <cellStyle name="SAPBEXstdDataEmph 8 2 2 2" xfId="24266" xr:uid="{481F7919-2953-4031-81A1-6698D63BC855}"/>
    <cellStyle name="SAPBEXstdDataEmph 8 2 3" xfId="12776" xr:uid="{1399992C-9E12-4421-9B5A-43AFA393F88C}"/>
    <cellStyle name="SAPBEXstdDataEmph 8 2 3 2" xfId="24267" xr:uid="{65563A15-C0F1-4399-AB31-E7957B692333}"/>
    <cellStyle name="SAPBEXstdDataEmph 8 2 4" xfId="24265" xr:uid="{F248F277-D200-4F98-8196-B4DA32CF3BE9}"/>
    <cellStyle name="SAPBEXstdDataEmph 8 3" xfId="12777" xr:uid="{6E0AC9E9-2C0E-4DF6-A621-A3C40FB27E54}"/>
    <cellStyle name="SAPBEXstdDataEmph 8 3 2" xfId="24268" xr:uid="{9445E4D4-80C9-4750-BBA6-528E57600BB7}"/>
    <cellStyle name="SAPBEXstdDataEmph 8 4" xfId="12778" xr:uid="{EE3271E4-A2AC-440A-B5CA-BBCF705C0FB7}"/>
    <cellStyle name="SAPBEXstdDataEmph 8 4 2" xfId="24269" xr:uid="{0258B7D6-73E3-41EF-8FAC-8C89FFC53824}"/>
    <cellStyle name="SAPBEXstdDataEmph 8 5" xfId="24264" xr:uid="{4560ADEE-EF6A-4991-9A87-79C30959C2C3}"/>
    <cellStyle name="SAPBEXstdDataEmph 9" xfId="12779" xr:uid="{D1B6946B-F48A-438E-BF0E-F40852B7D8EA}"/>
    <cellStyle name="SAPBEXstdDataEmph 9 2" xfId="12780" xr:uid="{6672838F-FE41-43A3-9321-4769B10EA194}"/>
    <cellStyle name="SAPBEXstdDataEmph 9 2 2" xfId="12781" xr:uid="{662D471C-E895-4867-9A5F-B8AD10BE84E3}"/>
    <cellStyle name="SAPBEXstdDataEmph 9 2 2 2" xfId="24272" xr:uid="{56C5554B-DE90-4B9F-9E31-4F3FF1B328E1}"/>
    <cellStyle name="SAPBEXstdDataEmph 9 2 3" xfId="12782" xr:uid="{4D377546-23FF-4440-A97D-B29B75F79B59}"/>
    <cellStyle name="SAPBEXstdDataEmph 9 2 3 2" xfId="24273" xr:uid="{BD2081D0-88CD-47C2-B51B-39006EFE0703}"/>
    <cellStyle name="SAPBEXstdDataEmph 9 2 4" xfId="24271" xr:uid="{569B760A-A052-4622-AFFB-F0A121BC4CA5}"/>
    <cellStyle name="SAPBEXstdDataEmph 9 3" xfId="12783" xr:uid="{AE35800D-8FC4-47CF-8D1E-E44D77773EA2}"/>
    <cellStyle name="SAPBEXstdDataEmph 9 3 2" xfId="24274" xr:uid="{DC6ADB7C-27A9-48F7-B1A6-FA13E3F07481}"/>
    <cellStyle name="SAPBEXstdDataEmph 9 4" xfId="12784" xr:uid="{6713C9A3-9479-45F8-B1CA-92B2B49BC4E8}"/>
    <cellStyle name="SAPBEXstdDataEmph 9 4 2" xfId="24275" xr:uid="{A269E241-4774-4DD6-A9D7-17780F90432D}"/>
    <cellStyle name="SAPBEXstdDataEmph 9 5" xfId="24270" xr:uid="{A8FE6C67-E9C4-4F00-8807-E89AB743A7B0}"/>
    <cellStyle name="SAPBEXstdDataEmph_RP3 PP revised" xfId="15058" xr:uid="{41C6BDCC-E243-40A0-AB85-6A6E18B3ECBF}"/>
    <cellStyle name="SAPBEXstdItem" xfId="12785" xr:uid="{7F22FC8B-D766-4953-B449-CF021091F38F}"/>
    <cellStyle name="SAPBEXstdItem 10" xfId="12786" xr:uid="{B07B6CA7-FD87-4962-B85C-7CBB4D7076C1}"/>
    <cellStyle name="SAPBEXstdItem 10 2" xfId="12787" xr:uid="{27589752-8FA6-4D21-A819-B81221D4AD97}"/>
    <cellStyle name="SAPBEXstdItem 10 2 2" xfId="12788" xr:uid="{FAE65892-3D51-45DF-8E5A-4C6780E68A3B}"/>
    <cellStyle name="SAPBEXstdItem 10 2 2 2" xfId="24278" xr:uid="{69E5088E-5A29-4A56-B6C1-2E837E0C0E7E}"/>
    <cellStyle name="SAPBEXstdItem 10 2 3" xfId="12789" xr:uid="{C605887E-4087-45C3-A7DF-A489BC6C21D1}"/>
    <cellStyle name="SAPBEXstdItem 10 2 3 2" xfId="24279" xr:uid="{FB174864-EF87-4D4F-97BB-A66612AD53D9}"/>
    <cellStyle name="SAPBEXstdItem 10 2 4" xfId="24277" xr:uid="{3B48900A-A170-46A1-8E57-527453454F9F}"/>
    <cellStyle name="SAPBEXstdItem 10 3" xfId="12790" xr:uid="{BAB2BB4C-7F20-4318-80BB-6ED01CE23A1C}"/>
    <cellStyle name="SAPBEXstdItem 10 3 2" xfId="24280" xr:uid="{6D3FE32F-73F0-42C5-BA63-CD054E3DE91C}"/>
    <cellStyle name="SAPBEXstdItem 10 4" xfId="12791" xr:uid="{9DAAE6D8-D1A0-4420-821F-9BE1524EE66D}"/>
    <cellStyle name="SAPBEXstdItem 10 4 2" xfId="24281" xr:uid="{C8373D4A-9BCF-44AF-A9D5-E27980E33A26}"/>
    <cellStyle name="SAPBEXstdItem 10 5" xfId="24276" xr:uid="{F970BDDA-40D1-4532-93C7-0455CE3119C8}"/>
    <cellStyle name="SAPBEXstdItem 11" xfId="12792" xr:uid="{51AE3270-3893-4525-B05D-30A1A39D1102}"/>
    <cellStyle name="SAPBEXstdItem 11 2" xfId="12793" xr:uid="{A192EF29-F7A1-425D-8BDC-47D73B1CB9D9}"/>
    <cellStyle name="SAPBEXstdItem 11 2 2" xfId="12794" xr:uid="{33934177-D611-4888-B9D4-D6DEA9FF65AA}"/>
    <cellStyle name="SAPBEXstdItem 11 2 2 2" xfId="24284" xr:uid="{C7BF6CC7-70BF-47E1-9C6D-B291B9C6E5A6}"/>
    <cellStyle name="SAPBEXstdItem 11 2 3" xfId="12795" xr:uid="{EEBD835D-50C6-4B19-BEDC-0FA28EBCE368}"/>
    <cellStyle name="SAPBEXstdItem 11 2 3 2" xfId="24285" xr:uid="{11D57006-5C76-43CD-9731-AEA62EB50137}"/>
    <cellStyle name="SAPBEXstdItem 11 2 4" xfId="24283" xr:uid="{CDB0F0FD-6073-43DD-979E-6078492E7919}"/>
    <cellStyle name="SAPBEXstdItem 11 3" xfId="12796" xr:uid="{DB989D7B-1502-4BE7-8EBD-861DFC09AB1B}"/>
    <cellStyle name="SAPBEXstdItem 11 3 2" xfId="24286" xr:uid="{C68301E2-A71D-4A8D-B21F-2D8734347045}"/>
    <cellStyle name="SAPBEXstdItem 11 4" xfId="12797" xr:uid="{E9378A42-39D4-424A-B0B1-6DD7B6C0A19D}"/>
    <cellStyle name="SAPBEXstdItem 11 4 2" xfId="24287" xr:uid="{65453213-3A54-48FD-A2ED-C5A829295E2B}"/>
    <cellStyle name="SAPBEXstdItem 11 5" xfId="24282" xr:uid="{C6B301E4-D481-49EE-9FB3-568AD5BBA341}"/>
    <cellStyle name="SAPBEXstdItem 12" xfId="12798" xr:uid="{211AA56B-2841-4EF1-A05A-A28396BBB4F8}"/>
    <cellStyle name="SAPBEXstdItem 12 2" xfId="12799" xr:uid="{E6C7137B-C865-4844-85DA-CC20199B74B5}"/>
    <cellStyle name="SAPBEXstdItem 12 2 2" xfId="12800" xr:uid="{567DEC7D-4722-4A32-8552-68FEA2E691E2}"/>
    <cellStyle name="SAPBEXstdItem 12 2 2 2" xfId="24290" xr:uid="{AD2B13DC-AD94-436D-9A5A-9600554AF964}"/>
    <cellStyle name="SAPBEXstdItem 12 2 3" xfId="12801" xr:uid="{C9397075-2174-4D7D-A2B2-3F645619F471}"/>
    <cellStyle name="SAPBEXstdItem 12 2 3 2" xfId="24291" xr:uid="{26ABDEA4-BECD-4C9F-879B-08499E6A191B}"/>
    <cellStyle name="SAPBEXstdItem 12 2 4" xfId="24289" xr:uid="{BB860113-2314-4418-963B-890FBBD9F680}"/>
    <cellStyle name="SAPBEXstdItem 12 3" xfId="12802" xr:uid="{63C04CBC-BDF1-402F-8832-CEED2D7ECAC0}"/>
    <cellStyle name="SAPBEXstdItem 12 3 2" xfId="24292" xr:uid="{DB893BCD-9205-490A-A7D3-8BE69C786D76}"/>
    <cellStyle name="SAPBEXstdItem 12 4" xfId="12803" xr:uid="{1E074592-AB27-43BB-B500-986E3D6257C6}"/>
    <cellStyle name="SAPBEXstdItem 12 4 2" xfId="24293" xr:uid="{73BDFB63-7029-4734-B617-4DA71DA3C25B}"/>
    <cellStyle name="SAPBEXstdItem 12 5" xfId="24288" xr:uid="{E2871784-E69F-4266-AC35-BC76E7CE1CBB}"/>
    <cellStyle name="SAPBEXstdItem 13" xfId="12804" xr:uid="{2DFD75BA-1B5F-4966-8966-659A9138AC00}"/>
    <cellStyle name="SAPBEXstdItem 13 2" xfId="12805" xr:uid="{FB9CB04D-2134-4798-BCA3-11DECF128E7F}"/>
    <cellStyle name="SAPBEXstdItem 13 2 2" xfId="12806" xr:uid="{17B752B3-6F58-4344-9F84-E2650AF7F7D0}"/>
    <cellStyle name="SAPBEXstdItem 13 2 2 2" xfId="24296" xr:uid="{B4F0428C-EAB3-414A-9D12-9D6F6B492F83}"/>
    <cellStyle name="SAPBEXstdItem 13 2 3" xfId="12807" xr:uid="{B829F521-1772-4CF5-AEB8-EC0F82F93282}"/>
    <cellStyle name="SAPBEXstdItem 13 2 3 2" xfId="24297" xr:uid="{73B3D928-2BE1-4EE0-89A9-8E7E24DF0F1E}"/>
    <cellStyle name="SAPBEXstdItem 13 2 4" xfId="24295" xr:uid="{F7432024-D17C-425D-AF4C-41F5BA4F22EB}"/>
    <cellStyle name="SAPBEXstdItem 13 3" xfId="12808" xr:uid="{FD07E25F-8725-4922-9951-B4AF0BD271D3}"/>
    <cellStyle name="SAPBEXstdItem 13 3 2" xfId="24298" xr:uid="{8B2A47D3-0680-44D7-BA22-FB96DF992C07}"/>
    <cellStyle name="SAPBEXstdItem 13 4" xfId="12809" xr:uid="{BEE2F17F-51F4-4AD5-A6B6-865A5B2EE0AC}"/>
    <cellStyle name="SAPBEXstdItem 13 4 2" xfId="24299" xr:uid="{775EBE88-D7BD-4233-9AD8-446BA3F8D197}"/>
    <cellStyle name="SAPBEXstdItem 13 5" xfId="24294" xr:uid="{3043F199-0A09-4279-8EAF-2E4ABD6668DF}"/>
    <cellStyle name="SAPBEXstdItem 14" xfId="12810" xr:uid="{55BD90A9-056E-4E02-A9D6-48ECB2469505}"/>
    <cellStyle name="SAPBEXstdItem 14 2" xfId="12811" xr:uid="{9D3D5C69-BD7D-4A66-9742-0E1CB09892F6}"/>
    <cellStyle name="SAPBEXstdItem 14 2 2" xfId="12812" xr:uid="{C7116D36-318D-416B-A940-0F2617FE93FB}"/>
    <cellStyle name="SAPBEXstdItem 14 2 2 2" xfId="24302" xr:uid="{0CE87C43-9DE8-4FC4-91C6-6217C2212E91}"/>
    <cellStyle name="SAPBEXstdItem 14 2 3" xfId="12813" xr:uid="{7AAABEB9-75E4-4180-A06E-1D8B0AFADE81}"/>
    <cellStyle name="SAPBEXstdItem 14 2 3 2" xfId="24303" xr:uid="{3F024E11-A9EF-4F99-805B-05D61B97B600}"/>
    <cellStyle name="SAPBEXstdItem 14 2 4" xfId="24301" xr:uid="{5EAF16B4-9F84-4D72-AA66-5179F2C1CE66}"/>
    <cellStyle name="SAPBEXstdItem 14 3" xfId="12814" xr:uid="{D30B73C3-599E-495C-82E9-9B05E424684C}"/>
    <cellStyle name="SAPBEXstdItem 14 3 2" xfId="24304" xr:uid="{90E833A3-4DD1-4A74-B6FE-B9728E12C721}"/>
    <cellStyle name="SAPBEXstdItem 14 4" xfId="12815" xr:uid="{3C3575FD-C10F-4672-874A-B9CDC88CDA2E}"/>
    <cellStyle name="SAPBEXstdItem 14 4 2" xfId="24305" xr:uid="{263D09BF-7812-44D6-8375-0EF32D64EDDC}"/>
    <cellStyle name="SAPBEXstdItem 14 5" xfId="24300" xr:uid="{15B94D35-5D22-4073-B87A-9AD812F77786}"/>
    <cellStyle name="SAPBEXstdItem 15" xfId="12816" xr:uid="{2AF6A1A5-963E-4493-8E1C-E68B29A46085}"/>
    <cellStyle name="SAPBEXstdItem 15 2" xfId="12817" xr:uid="{C9A00E58-672E-4626-B7D4-DEFE82BB8719}"/>
    <cellStyle name="SAPBEXstdItem 15 2 2" xfId="12818" xr:uid="{1EB90D12-A5DE-45DC-8ED8-13D545D4AE82}"/>
    <cellStyle name="SAPBEXstdItem 15 2 2 2" xfId="24308" xr:uid="{056C1E95-2AF8-4437-844C-337572A7EED2}"/>
    <cellStyle name="SAPBEXstdItem 15 2 3" xfId="12819" xr:uid="{BA3C2E24-466C-463C-9025-63A896E22F4A}"/>
    <cellStyle name="SAPBEXstdItem 15 2 3 2" xfId="24309" xr:uid="{BB7A72AD-CEC3-494C-BF2D-FA8F72814F36}"/>
    <cellStyle name="SAPBEXstdItem 15 2 4" xfId="24307" xr:uid="{713E7941-4CAA-430B-B343-A9AEC578C400}"/>
    <cellStyle name="SAPBEXstdItem 15 3" xfId="12820" xr:uid="{1A26A998-5715-4DBA-BE17-2C4E9D9E7190}"/>
    <cellStyle name="SAPBEXstdItem 15 3 2" xfId="24310" xr:uid="{19D48B0D-41D8-4AE3-A254-38BC64AC1070}"/>
    <cellStyle name="SAPBEXstdItem 15 4" xfId="12821" xr:uid="{D28D2BA2-3DB9-4ADC-B18B-49A0F9070FC8}"/>
    <cellStyle name="SAPBEXstdItem 15 4 2" xfId="24311" xr:uid="{B6910CCC-9B7C-4A1A-A8EC-0439429EE924}"/>
    <cellStyle name="SAPBEXstdItem 15 5" xfId="24306" xr:uid="{773724CB-F103-40A2-8146-73DBC188BE66}"/>
    <cellStyle name="SAPBEXstdItem 16" xfId="12822" xr:uid="{2946B6F0-6F7A-498D-A84A-A342A4B36446}"/>
    <cellStyle name="SAPBEXstdItem 16 2" xfId="24312" xr:uid="{0553CDAF-8914-41D6-BDA4-6D952CA897F9}"/>
    <cellStyle name="SAPBEXstdItem 17" xfId="12823" xr:uid="{F6CA6BED-FF51-45BE-BFE9-82164ACA2F71}"/>
    <cellStyle name="SAPBEXstdItem 17 2" xfId="24313" xr:uid="{09F7CED7-4845-45F7-A2D0-98FB35FBB131}"/>
    <cellStyle name="SAPBEXstdItem 18" xfId="12824" xr:uid="{58E4A182-53C1-4D28-B728-1F0E45D70A14}"/>
    <cellStyle name="SAPBEXstdItem 18 2" xfId="24314" xr:uid="{3312EC39-40A3-4327-93E5-89A79439DBF0}"/>
    <cellStyle name="SAPBEXstdItem 19" xfId="12825" xr:uid="{ECFE1986-C7B5-4945-BE02-61314D9810DB}"/>
    <cellStyle name="SAPBEXstdItem 19 2" xfId="24315" xr:uid="{3ACEF721-17AD-4DE2-90A5-6D7013AFCDEE}"/>
    <cellStyle name="SAPBEXstdItem 2" xfId="12826" xr:uid="{CA999316-6D3D-4F06-B99D-B6D751C32C85}"/>
    <cellStyle name="SAPBEXstdItem 2 2" xfId="12827" xr:uid="{58965248-B535-4186-90DA-CA292903A266}"/>
    <cellStyle name="SAPBEXstdItem 2 2 2" xfId="12828" xr:uid="{E21205B6-0D5C-4CB6-A2EE-34B3A9C7C4C4}"/>
    <cellStyle name="SAPBEXstdItem 2 2 2 2" xfId="24318" xr:uid="{3DFBB4BB-792C-4402-8AA2-777AE0075B1F}"/>
    <cellStyle name="SAPBEXstdItem 2 2 3" xfId="12829" xr:uid="{24B3CD58-09FF-4B01-9258-00409C0BF69B}"/>
    <cellStyle name="SAPBEXstdItem 2 2 3 2" xfId="24319" xr:uid="{62DA87A9-B4EC-4211-ADC4-7CB6118A4BD0}"/>
    <cellStyle name="SAPBEXstdItem 2 2 4" xfId="24317" xr:uid="{0EDF7631-85EE-4D60-90F3-F818D9D5B990}"/>
    <cellStyle name="SAPBEXstdItem 2 3" xfId="12830" xr:uid="{7DC86065-8D15-496E-AC85-128D833E4ACE}"/>
    <cellStyle name="SAPBEXstdItem 2 3 2" xfId="24320" xr:uid="{65352551-31DD-4FC8-B43F-F6FE3AA6E5E4}"/>
    <cellStyle name="SAPBEXstdItem 2 4" xfId="12831" xr:uid="{0F3F7AEB-25A8-4BEF-B75E-A3576EC5BECF}"/>
    <cellStyle name="SAPBEXstdItem 2 4 2" xfId="24321" xr:uid="{C041A3D9-DC40-4591-90D1-2535A585C09F}"/>
    <cellStyle name="SAPBEXstdItem 2 5" xfId="24316" xr:uid="{842D8311-6868-43E3-8CAA-6FF02B6E01AF}"/>
    <cellStyle name="SAPBEXstdItem 20" xfId="15194" xr:uid="{2A13DDAD-4D3B-4FEC-B4D7-14E941596588}"/>
    <cellStyle name="SAPBEXstdItem 3" xfId="12832" xr:uid="{F6F48A65-2D2C-4B18-8335-D00A97DC0ACE}"/>
    <cellStyle name="SAPBEXstdItem 3 2" xfId="12833" xr:uid="{ECEAEA6E-E0ED-4BFE-BE87-9035FA173D11}"/>
    <cellStyle name="SAPBEXstdItem 3 2 2" xfId="12834" xr:uid="{4442B109-901F-44C6-B49B-95B2663B0ACA}"/>
    <cellStyle name="SAPBEXstdItem 3 2 2 2" xfId="24324" xr:uid="{15975EFE-3C03-48BE-AEFF-6E1707AA7246}"/>
    <cellStyle name="SAPBEXstdItem 3 2 3" xfId="12835" xr:uid="{53C84027-2252-4E85-A40C-FBA12FE9DA35}"/>
    <cellStyle name="SAPBEXstdItem 3 2 3 2" xfId="24325" xr:uid="{3BB35FFF-8AD0-4F67-8171-FB819D85AE6B}"/>
    <cellStyle name="SAPBEXstdItem 3 2 4" xfId="24323" xr:uid="{F9BEF49B-E097-4919-998D-0D4322FB3BD7}"/>
    <cellStyle name="SAPBEXstdItem 3 3" xfId="12836" xr:uid="{AC1CBC02-A24B-42CA-8688-CB487169F86A}"/>
    <cellStyle name="SAPBEXstdItem 3 3 2" xfId="24326" xr:uid="{2DCF1B87-6260-4756-8346-A7A4E291E35D}"/>
    <cellStyle name="SAPBEXstdItem 3 4" xfId="12837" xr:uid="{BF1E87EE-037B-40FE-AC18-C9F63973F80A}"/>
    <cellStyle name="SAPBEXstdItem 3 4 2" xfId="24327" xr:uid="{ACF792AB-884B-4DE9-BF5E-B3D44D3ABA60}"/>
    <cellStyle name="SAPBEXstdItem 3 5" xfId="24322" xr:uid="{E5A12699-5487-4744-907F-8982CC093560}"/>
    <cellStyle name="SAPBEXstdItem 4" xfId="12838" xr:uid="{57E2208D-DC7F-4D65-8DB0-7D4B56467C96}"/>
    <cellStyle name="SAPBEXstdItem 4 2" xfId="12839" xr:uid="{4B428BDA-A2FF-47DE-BB3D-C7FCA9868056}"/>
    <cellStyle name="SAPBEXstdItem 4 2 2" xfId="12840" xr:uid="{F7E8C522-B77B-43EE-BDA1-83284C3A7954}"/>
    <cellStyle name="SAPBEXstdItem 4 2 2 2" xfId="24330" xr:uid="{300E66F2-9187-4BE0-8F1A-5818C4F71DE1}"/>
    <cellStyle name="SAPBEXstdItem 4 2 3" xfId="12841" xr:uid="{0DE9C9F9-ED17-4500-8D02-895DCADCC3C9}"/>
    <cellStyle name="SAPBEXstdItem 4 2 3 2" xfId="24331" xr:uid="{38E5916A-34C7-4C38-A4B4-EB16D02C4787}"/>
    <cellStyle name="SAPBEXstdItem 4 2 4" xfId="24329" xr:uid="{3C01C60B-8019-4145-806B-952C73E9F24D}"/>
    <cellStyle name="SAPBEXstdItem 4 3" xfId="12842" xr:uid="{9922DB80-A60B-4A18-89F8-ADBE00EE4FEA}"/>
    <cellStyle name="SAPBEXstdItem 4 3 2" xfId="24332" xr:uid="{6BC086EE-082E-4BE2-922E-BAC6BF8D8E5F}"/>
    <cellStyle name="SAPBEXstdItem 4 4" xfId="12843" xr:uid="{0E15725F-DE25-48F0-A60E-4BAFD73410CE}"/>
    <cellStyle name="SAPBEXstdItem 4 4 2" xfId="24333" xr:uid="{596B6B3C-41EC-4A8B-A46C-971EC92F4F48}"/>
    <cellStyle name="SAPBEXstdItem 4 5" xfId="24328" xr:uid="{DE305AE6-F4A6-4CDB-A912-78D5C950F8CC}"/>
    <cellStyle name="SAPBEXstdItem 5" xfId="12844" xr:uid="{51A37038-266E-444A-A0F1-197E80973F3E}"/>
    <cellStyle name="SAPBEXstdItem 5 2" xfId="12845" xr:uid="{15344C25-60F0-4B6E-B715-150DBB257D42}"/>
    <cellStyle name="SAPBEXstdItem 5 2 2" xfId="12846" xr:uid="{3D16BE5D-4B6C-499A-A4B9-550FB6E41A21}"/>
    <cellStyle name="SAPBEXstdItem 5 2 2 2" xfId="24336" xr:uid="{7165B990-AED0-44C4-ABBE-3EFBAED02715}"/>
    <cellStyle name="SAPBEXstdItem 5 2 3" xfId="12847" xr:uid="{09E06424-70FF-43EF-A17E-979F2457872F}"/>
    <cellStyle name="SAPBEXstdItem 5 2 3 2" xfId="24337" xr:uid="{143F5B4D-B24B-49C6-88DB-B0C3DDB52540}"/>
    <cellStyle name="SAPBEXstdItem 5 2 4" xfId="24335" xr:uid="{6FEC2B2F-0AA2-48BE-BAF3-669B6D9C1E3D}"/>
    <cellStyle name="SAPBEXstdItem 5 3" xfId="12848" xr:uid="{1CA191CA-EEC7-43A9-B597-9F21D3161327}"/>
    <cellStyle name="SAPBEXstdItem 5 3 2" xfId="24338" xr:uid="{2AE2B545-D554-4853-939F-C53FEAC2DEB5}"/>
    <cellStyle name="SAPBEXstdItem 5 4" xfId="12849" xr:uid="{9548D927-27C6-410D-8CA8-7F839150E3A0}"/>
    <cellStyle name="SAPBEXstdItem 5 4 2" xfId="24339" xr:uid="{54E61BD3-2B40-482D-B135-82D5C12693BE}"/>
    <cellStyle name="SAPBEXstdItem 5 5" xfId="24334" xr:uid="{77C9B3DE-7817-4645-8F81-E4954EDCD271}"/>
    <cellStyle name="SAPBEXstdItem 6" xfId="12850" xr:uid="{CB96C0B9-3954-47D6-B9DD-E595FE045AD8}"/>
    <cellStyle name="SAPBEXstdItem 6 2" xfId="12851" xr:uid="{7C5E08D5-1D1C-4B98-A193-F0E5B47D3898}"/>
    <cellStyle name="SAPBEXstdItem 6 2 2" xfId="12852" xr:uid="{AF9C06EE-E0EF-4C00-9DCB-C73216A3706C}"/>
    <cellStyle name="SAPBEXstdItem 6 2 2 2" xfId="24342" xr:uid="{48385DDA-DCF2-4664-A4E1-6EAD942680D7}"/>
    <cellStyle name="SAPBEXstdItem 6 2 3" xfId="12853" xr:uid="{7B7A8C01-1896-4CBF-83B5-1A0A800617C2}"/>
    <cellStyle name="SAPBEXstdItem 6 2 3 2" xfId="24343" xr:uid="{57C93293-BC40-44D9-93CF-C52BA2725AD5}"/>
    <cellStyle name="SAPBEXstdItem 6 2 4" xfId="24341" xr:uid="{5E7B87B5-FABF-42D2-99CD-E51517B146B8}"/>
    <cellStyle name="SAPBEXstdItem 6 3" xfId="12854" xr:uid="{AC82B963-F318-4666-B8E2-7FD1E19EF4D1}"/>
    <cellStyle name="SAPBEXstdItem 6 3 2" xfId="24344" xr:uid="{A6F9BA8D-1901-413F-9EC4-03D03AE2B9E1}"/>
    <cellStyle name="SAPBEXstdItem 6 4" xfId="12855" xr:uid="{68CDDC27-837A-4F43-AD36-5AD271504BD1}"/>
    <cellStyle name="SAPBEXstdItem 6 4 2" xfId="24345" xr:uid="{5B898CFF-BBAE-453F-B7D7-93F6EC19A618}"/>
    <cellStyle name="SAPBEXstdItem 6 5" xfId="24340" xr:uid="{CF73344B-CE1B-4733-B804-F188FB09D8B8}"/>
    <cellStyle name="SAPBEXstdItem 7" xfId="12856" xr:uid="{9103E487-702D-40C0-8C28-B309F031FAD3}"/>
    <cellStyle name="SAPBEXstdItem 7 2" xfId="12857" xr:uid="{66B29A59-51C8-4445-9C07-B745CC987301}"/>
    <cellStyle name="SAPBEXstdItem 7 2 2" xfId="12858" xr:uid="{7E3180DE-D734-410A-AF1F-191B70F98C97}"/>
    <cellStyle name="SAPBEXstdItem 7 2 2 2" xfId="24348" xr:uid="{7630C49B-8E4E-4B1A-B00D-029DD32020F1}"/>
    <cellStyle name="SAPBEXstdItem 7 2 3" xfId="12859" xr:uid="{EB30A3F8-FCF9-45FF-87C0-44C66B1D2B1B}"/>
    <cellStyle name="SAPBEXstdItem 7 2 3 2" xfId="24349" xr:uid="{BACD29E1-C7AC-43A1-B487-D9743A493919}"/>
    <cellStyle name="SAPBEXstdItem 7 2 4" xfId="24347" xr:uid="{1076EA6E-571F-40AB-A4E9-F6BA081A0E97}"/>
    <cellStyle name="SAPBEXstdItem 7 3" xfId="12860" xr:uid="{5B7AE79C-D465-4F06-A73A-5DC8B3E06002}"/>
    <cellStyle name="SAPBEXstdItem 7 3 2" xfId="24350" xr:uid="{02AB0FE3-2E5E-40B2-97D9-0DBEFEFAB5A8}"/>
    <cellStyle name="SAPBEXstdItem 7 4" xfId="12861" xr:uid="{59E0E0EE-0DF8-4E7A-B4D4-78BDA79D8302}"/>
    <cellStyle name="SAPBEXstdItem 7 4 2" xfId="24351" xr:uid="{D5D57C45-EBC1-47A6-8EE7-E095D8FD186B}"/>
    <cellStyle name="SAPBEXstdItem 7 5" xfId="24346" xr:uid="{CBFC37BC-CA6A-4A24-832A-A0EF27A8B36F}"/>
    <cellStyle name="SAPBEXstdItem 8" xfId="12862" xr:uid="{84919518-0E03-4EC5-89D9-6A804CB411F2}"/>
    <cellStyle name="SAPBEXstdItem 8 2" xfId="12863" xr:uid="{54A7398D-11C4-4E29-9607-F76A4F084521}"/>
    <cellStyle name="SAPBEXstdItem 8 2 2" xfId="12864" xr:uid="{125906DB-76EC-48DA-9514-3ABA21D81B9C}"/>
    <cellStyle name="SAPBEXstdItem 8 2 2 2" xfId="24354" xr:uid="{B8A76BF4-D6CA-49D7-94F0-06A5A35F3518}"/>
    <cellStyle name="SAPBEXstdItem 8 2 3" xfId="12865" xr:uid="{EDDC44F9-CCA9-4DA0-9A90-343C67313035}"/>
    <cellStyle name="SAPBEXstdItem 8 2 3 2" xfId="24355" xr:uid="{0466970F-36A0-477A-8B80-EFF87B59294E}"/>
    <cellStyle name="SAPBEXstdItem 8 2 4" xfId="24353" xr:uid="{CFAEC70F-D97E-419E-B3FA-88E14CED5D8B}"/>
    <cellStyle name="SAPBEXstdItem 8 3" xfId="12866" xr:uid="{C650A3EA-AAFD-4E18-A2DE-107BABA37E12}"/>
    <cellStyle name="SAPBEXstdItem 8 3 2" xfId="24356" xr:uid="{CCE0917C-62E0-4F55-AADA-360C348AB97F}"/>
    <cellStyle name="SAPBEXstdItem 8 4" xfId="12867" xr:uid="{E0B8A668-9752-4778-9221-2530893F5AB3}"/>
    <cellStyle name="SAPBEXstdItem 8 4 2" xfId="24357" xr:uid="{DEE00AE1-CDC2-4D2E-9957-82ABE3827506}"/>
    <cellStyle name="SAPBEXstdItem 8 5" xfId="24352" xr:uid="{E8E6909D-6F5B-4472-8478-2789087C9339}"/>
    <cellStyle name="SAPBEXstdItem 9" xfId="12868" xr:uid="{23785EE5-06AC-4A7A-A275-B199258BCD91}"/>
    <cellStyle name="SAPBEXstdItem 9 2" xfId="12869" xr:uid="{63D7D310-7E2B-4FCB-8619-3EAC31250100}"/>
    <cellStyle name="SAPBEXstdItem 9 2 2" xfId="12870" xr:uid="{AE798CA1-B543-43F2-8EB4-5DF7D2E62617}"/>
    <cellStyle name="SAPBEXstdItem 9 2 2 2" xfId="24360" xr:uid="{A8D5FF0B-5B20-49F7-B3C6-F6BC492F280F}"/>
    <cellStyle name="SAPBEXstdItem 9 2 3" xfId="12871" xr:uid="{9083D707-05DC-4690-8F47-0773B2A3090D}"/>
    <cellStyle name="SAPBEXstdItem 9 2 3 2" xfId="24361" xr:uid="{91972D9A-8713-4579-BF9D-A7AEA836BBD0}"/>
    <cellStyle name="SAPBEXstdItem 9 2 4" xfId="24359" xr:uid="{1112357A-E8F0-4E81-A576-5DAA32223F17}"/>
    <cellStyle name="SAPBEXstdItem 9 3" xfId="12872" xr:uid="{B575ABEA-2CC5-4140-8355-8497C7AAE44B}"/>
    <cellStyle name="SAPBEXstdItem 9 3 2" xfId="24362" xr:uid="{10B0B420-002A-4567-8EA0-F1544A6EA109}"/>
    <cellStyle name="SAPBEXstdItem 9 4" xfId="12873" xr:uid="{E65990AE-0C41-4B08-AADB-04C28BB5B9AD}"/>
    <cellStyle name="SAPBEXstdItem 9 4 2" xfId="24363" xr:uid="{7F20EF7C-DF10-4325-81E3-74C8FFAFF575}"/>
    <cellStyle name="SAPBEXstdItem 9 5" xfId="24358" xr:uid="{80FBAAA9-6FAE-42F7-9362-BDD36917817E}"/>
    <cellStyle name="SAPBEXstdItem_RP3 PP revised" xfId="15057" xr:uid="{FE5D44E0-F182-4829-ACA1-44B0EE900460}"/>
    <cellStyle name="SAPBEXstdItemX" xfId="12874" xr:uid="{C7B8759A-2513-4462-B816-99133B4CEF49}"/>
    <cellStyle name="SAPBEXstdItemX 10" xfId="12875" xr:uid="{86DBC1AE-6C05-443F-A1F3-C6AF770F0A5C}"/>
    <cellStyle name="SAPBEXstdItemX 10 2" xfId="12876" xr:uid="{95790BD2-30B8-4BA4-8D4D-D47F225EAF85}"/>
    <cellStyle name="SAPBEXstdItemX 10 2 2" xfId="12877" xr:uid="{762892AB-C972-4018-B76A-273E1BA0C763}"/>
    <cellStyle name="SAPBEXstdItemX 10 2 2 2" xfId="24366" xr:uid="{80E777C8-8FD2-44F0-AB78-9DD3FAD3F2CD}"/>
    <cellStyle name="SAPBEXstdItemX 10 2 3" xfId="12878" xr:uid="{90747B34-DD5C-475F-8098-944B3F8E88E9}"/>
    <cellStyle name="SAPBEXstdItemX 10 2 3 2" xfId="24367" xr:uid="{F0CFEECE-B704-4811-99A5-64B3F231EB00}"/>
    <cellStyle name="SAPBEXstdItemX 10 2 4" xfId="24365" xr:uid="{A37BD1CF-3238-491F-8C68-05CA9D32CB6C}"/>
    <cellStyle name="SAPBEXstdItemX 10 3" xfId="12879" xr:uid="{F4745812-A0E7-44F4-91F6-61BA90403BED}"/>
    <cellStyle name="SAPBEXstdItemX 10 3 2" xfId="24368" xr:uid="{47A391EA-1CEF-480E-8A26-DBF738893844}"/>
    <cellStyle name="SAPBEXstdItemX 10 4" xfId="12880" xr:uid="{22A5F8D9-4814-46D7-B0D5-F4D9B032EE03}"/>
    <cellStyle name="SAPBEXstdItemX 10 4 2" xfId="24369" xr:uid="{4F394BA5-818B-410A-AAA5-694BFA039C64}"/>
    <cellStyle name="SAPBEXstdItemX 10 5" xfId="24364" xr:uid="{184022EE-B0F3-4958-B4C3-95A2C4D723DE}"/>
    <cellStyle name="SAPBEXstdItemX 11" xfId="12881" xr:uid="{9D6F0DF9-5BD7-4AC1-BFA3-DC77BE7841BF}"/>
    <cellStyle name="SAPBEXstdItemX 11 2" xfId="12882" xr:uid="{AED8A0FC-9964-49DC-BC45-79888A187589}"/>
    <cellStyle name="SAPBEXstdItemX 11 2 2" xfId="12883" xr:uid="{3480F3C4-EA93-4CBF-B552-40617A066F26}"/>
    <cellStyle name="SAPBEXstdItemX 11 2 2 2" xfId="24372" xr:uid="{D0B087CE-2AE9-4784-835F-1F081C715C72}"/>
    <cellStyle name="SAPBEXstdItemX 11 2 3" xfId="12884" xr:uid="{68F45E6B-09FB-4622-8047-1FF816DBE264}"/>
    <cellStyle name="SAPBEXstdItemX 11 2 3 2" xfId="24373" xr:uid="{A0F127DD-5023-4125-8464-5B517B4044EB}"/>
    <cellStyle name="SAPBEXstdItemX 11 2 4" xfId="24371" xr:uid="{333979B4-1E10-4AE3-8304-E09B13FD040C}"/>
    <cellStyle name="SAPBEXstdItemX 11 3" xfId="12885" xr:uid="{C429DCEA-4FD6-4AB2-ACA0-47E7D6159E88}"/>
    <cellStyle name="SAPBEXstdItemX 11 3 2" xfId="24374" xr:uid="{C53C4E72-E11A-41A6-81DD-0EC73822D921}"/>
    <cellStyle name="SAPBEXstdItemX 11 4" xfId="12886" xr:uid="{E4802C56-D352-4C82-8F66-5E43C556385F}"/>
    <cellStyle name="SAPBEXstdItemX 11 4 2" xfId="24375" xr:uid="{42721A1A-6A04-4CCF-9E3F-325DB9C8D2F3}"/>
    <cellStyle name="SAPBEXstdItemX 11 5" xfId="24370" xr:uid="{77F5B71F-CD77-4687-8842-3FAE8032C8B0}"/>
    <cellStyle name="SAPBEXstdItemX 12" xfId="12887" xr:uid="{BBB2047D-6F90-4635-9B3E-A016AF9653B5}"/>
    <cellStyle name="SAPBEXstdItemX 12 2" xfId="12888" xr:uid="{5FAE7B48-08D7-46CF-99FC-412FB427170E}"/>
    <cellStyle name="SAPBEXstdItemX 12 2 2" xfId="12889" xr:uid="{3D1241E1-ED22-458F-A80D-0C71B46A34D9}"/>
    <cellStyle name="SAPBEXstdItemX 12 2 2 2" xfId="24378" xr:uid="{28C01E27-9B53-473D-9D7C-2DB5A2941D8D}"/>
    <cellStyle name="SAPBEXstdItemX 12 2 3" xfId="12890" xr:uid="{0EB111CE-ECA7-4059-A61C-E17E3F6FDEBD}"/>
    <cellStyle name="SAPBEXstdItemX 12 2 3 2" xfId="24379" xr:uid="{502AC07F-1D35-417E-8EE2-A715521BE056}"/>
    <cellStyle name="SAPBEXstdItemX 12 2 4" xfId="24377" xr:uid="{CC2AF4C7-BAC3-44E4-BED1-B99C12115018}"/>
    <cellStyle name="SAPBEXstdItemX 12 3" xfId="12891" xr:uid="{F04776F0-0CD4-4A06-A223-5B781BDBAEC2}"/>
    <cellStyle name="SAPBEXstdItemX 12 3 2" xfId="24380" xr:uid="{68B2DFF0-3AD8-4265-9F5F-BEBD74122B50}"/>
    <cellStyle name="SAPBEXstdItemX 12 4" xfId="12892" xr:uid="{2B5AB19A-E25C-448A-8E64-F6CBC6F4C12E}"/>
    <cellStyle name="SAPBEXstdItemX 12 4 2" xfId="24381" xr:uid="{99FCC218-E5F3-4009-A7D8-6839CF052B61}"/>
    <cellStyle name="SAPBEXstdItemX 12 5" xfId="24376" xr:uid="{832F9742-423F-4F2A-9E68-1CDEE5AD0CDA}"/>
    <cellStyle name="SAPBEXstdItemX 13" xfId="12893" xr:uid="{3B8066B6-6D1E-4217-A2E2-4D9ED4BCAE82}"/>
    <cellStyle name="SAPBEXstdItemX 13 2" xfId="12894" xr:uid="{B2C917EC-F207-47D0-9A0E-0B695AA5958C}"/>
    <cellStyle name="SAPBEXstdItemX 13 2 2" xfId="12895" xr:uid="{96B2EF28-822E-4039-9ABE-AD1398A381F6}"/>
    <cellStyle name="SAPBEXstdItemX 13 2 2 2" xfId="24384" xr:uid="{BE145DCC-8853-4198-BE90-DEB63B7CD055}"/>
    <cellStyle name="SAPBEXstdItemX 13 2 3" xfId="12896" xr:uid="{B48CDD67-37AA-4C69-B56F-0089D45B60A6}"/>
    <cellStyle name="SAPBEXstdItemX 13 2 3 2" xfId="24385" xr:uid="{55E29C1C-2339-4684-963B-FD848B76C325}"/>
    <cellStyle name="SAPBEXstdItemX 13 2 4" xfId="24383" xr:uid="{EE1B7AEA-3D43-4FD6-A105-7398762B99D4}"/>
    <cellStyle name="SAPBEXstdItemX 13 3" xfId="12897" xr:uid="{39A47352-8C14-4AED-B430-E16F09732E5D}"/>
    <cellStyle name="SAPBEXstdItemX 13 3 2" xfId="24386" xr:uid="{364DA131-9F79-4433-A779-81D718022CE7}"/>
    <cellStyle name="SAPBEXstdItemX 13 4" xfId="12898" xr:uid="{CBA94935-D681-4A61-ABA8-AEFCB8CF14B4}"/>
    <cellStyle name="SAPBEXstdItemX 13 4 2" xfId="24387" xr:uid="{438AAFCE-093F-4283-8128-D00DA4E74D5D}"/>
    <cellStyle name="SAPBEXstdItemX 13 5" xfId="24382" xr:uid="{4B38B6ED-A580-4884-B9BB-98671F639F7E}"/>
    <cellStyle name="SAPBEXstdItemX 14" xfId="12899" xr:uid="{05372DE2-A264-45DA-8A30-7F3DE29F61CE}"/>
    <cellStyle name="SAPBEXstdItemX 14 2" xfId="12900" xr:uid="{56E28CFB-D2D9-4607-9D66-38D99520F285}"/>
    <cellStyle name="SAPBEXstdItemX 14 2 2" xfId="12901" xr:uid="{FD893665-176D-4382-BE93-D5A8C90A8C2F}"/>
    <cellStyle name="SAPBEXstdItemX 14 2 2 2" xfId="24390" xr:uid="{1782C355-5B61-457E-B717-53D1542F9DC9}"/>
    <cellStyle name="SAPBEXstdItemX 14 2 3" xfId="12902" xr:uid="{9023E09F-32E2-49F9-8403-CC60CF4AC403}"/>
    <cellStyle name="SAPBEXstdItemX 14 2 3 2" xfId="24391" xr:uid="{CA21C37F-E6CB-41E1-9661-BCB9AA6FD118}"/>
    <cellStyle name="SAPBEXstdItemX 14 2 4" xfId="24389" xr:uid="{FB6704F6-D817-4A61-9E63-68BC36BBAB20}"/>
    <cellStyle name="SAPBEXstdItemX 14 3" xfId="12903" xr:uid="{05220D71-AFB0-474B-B085-017294FC8876}"/>
    <cellStyle name="SAPBEXstdItemX 14 3 2" xfId="24392" xr:uid="{5193AB88-C7D5-41F1-AB38-6E0F5C96D377}"/>
    <cellStyle name="SAPBEXstdItemX 14 4" xfId="12904" xr:uid="{1E517BEB-2CBB-4B46-8443-B95DBA1C994B}"/>
    <cellStyle name="SAPBEXstdItemX 14 4 2" xfId="24393" xr:uid="{E7E72DB9-B5A4-4F44-9CD5-03596F581280}"/>
    <cellStyle name="SAPBEXstdItemX 14 5" xfId="24388" xr:uid="{6E7CFA14-57C3-4C94-AC81-57C171B9D42F}"/>
    <cellStyle name="SAPBEXstdItemX 15" xfId="12905" xr:uid="{096B2206-D91F-4227-AFD6-CFF765AB017F}"/>
    <cellStyle name="SAPBEXstdItemX 15 2" xfId="12906" xr:uid="{B6A6F13D-7E25-4185-8535-25CA6A8C5A01}"/>
    <cellStyle name="SAPBEXstdItemX 15 2 2" xfId="12907" xr:uid="{3D64B6BB-CD8D-4A49-A871-CE36B8034812}"/>
    <cellStyle name="SAPBEXstdItemX 15 2 2 2" xfId="24396" xr:uid="{47BADBD3-E3E9-4E19-A596-4CE7CCAD96A5}"/>
    <cellStyle name="SAPBEXstdItemX 15 2 3" xfId="12908" xr:uid="{47F4C9E0-6BA9-4900-8BD6-0DFC40DB163A}"/>
    <cellStyle name="SAPBEXstdItemX 15 2 3 2" xfId="24397" xr:uid="{78E77329-21EA-4B0F-9B4E-650DF64C91F0}"/>
    <cellStyle name="SAPBEXstdItemX 15 2 4" xfId="24395" xr:uid="{CB2A331E-6E76-4548-983B-4572BD7D75BD}"/>
    <cellStyle name="SAPBEXstdItemX 15 3" xfId="12909" xr:uid="{200B0BE8-3C21-49A8-86C3-2D7864E8CAF4}"/>
    <cellStyle name="SAPBEXstdItemX 15 3 2" xfId="24398" xr:uid="{0F1F51E1-B4A9-4DB2-9D29-1BE44C1CBBCF}"/>
    <cellStyle name="SAPBEXstdItemX 15 4" xfId="12910" xr:uid="{55077B6C-544D-4646-9104-622121DE5B2C}"/>
    <cellStyle name="SAPBEXstdItemX 15 4 2" xfId="24399" xr:uid="{CB1CFD31-CF0B-4724-8CB5-0F608101EAB3}"/>
    <cellStyle name="SAPBEXstdItemX 15 5" xfId="24394" xr:uid="{E6843E3D-B9B4-40B3-BEB8-9D59748BE0B0}"/>
    <cellStyle name="SAPBEXstdItemX 16" xfId="12911" xr:uid="{79615CA9-4177-4C82-A761-E3664AE42472}"/>
    <cellStyle name="SAPBEXstdItemX 16 2" xfId="24400" xr:uid="{C6324A0F-E5BB-4813-B051-0C99130DBFA5}"/>
    <cellStyle name="SAPBEXstdItemX 17" xfId="12912" xr:uid="{7A8663F1-23CF-42CA-915F-E03D8B0F2559}"/>
    <cellStyle name="SAPBEXstdItemX 17 2" xfId="24401" xr:uid="{A572DEB5-3CF5-48D9-9189-9362A9B896F8}"/>
    <cellStyle name="SAPBEXstdItemX 18" xfId="12913" xr:uid="{E15E5DD1-1851-474F-B354-01D03D5E04CE}"/>
    <cellStyle name="SAPBEXstdItemX 18 2" xfId="24402" xr:uid="{2FBB91DB-7EAB-4C57-BA2A-6137641D655D}"/>
    <cellStyle name="SAPBEXstdItemX 19" xfId="12914" xr:uid="{CA454288-52C5-4891-820E-FB01718D1F8C}"/>
    <cellStyle name="SAPBEXstdItemX 19 2" xfId="24403" xr:uid="{1A6F9881-642E-4A45-9DDA-E480CB7019FF}"/>
    <cellStyle name="SAPBEXstdItemX 2" xfId="12915" xr:uid="{853EF6E0-6827-4FA3-AA61-B986DE596715}"/>
    <cellStyle name="SAPBEXstdItemX 2 2" xfId="12916" xr:uid="{B2591A24-55DB-45FD-8DD7-E28A79E09F4E}"/>
    <cellStyle name="SAPBEXstdItemX 2 2 2" xfId="12917" xr:uid="{BBF87023-8A6E-4016-93D1-0EA1BBCC02E5}"/>
    <cellStyle name="SAPBEXstdItemX 2 2 2 2" xfId="24406" xr:uid="{A38BBE09-8A97-4A26-A893-1DEB6DEF20C3}"/>
    <cellStyle name="SAPBEXstdItemX 2 2 3" xfId="12918" xr:uid="{CAD7DDBA-870A-4B41-8B86-014ECC6EA67A}"/>
    <cellStyle name="SAPBEXstdItemX 2 2 3 2" xfId="24407" xr:uid="{16B49371-9317-491F-A256-AEE6D648EAEC}"/>
    <cellStyle name="SAPBEXstdItemX 2 2 4" xfId="24405" xr:uid="{A7012C11-56D5-4DA2-9710-18F6ACEC1103}"/>
    <cellStyle name="SAPBEXstdItemX 2 3" xfId="12919" xr:uid="{2B906FEF-29FD-4291-8F1A-27E5BE67F63E}"/>
    <cellStyle name="SAPBEXstdItemX 2 3 2" xfId="24408" xr:uid="{974396A3-49A5-4A8F-9001-2C2B98DFF5BE}"/>
    <cellStyle name="SAPBEXstdItemX 2 4" xfId="12920" xr:uid="{5821B6AA-EB16-4196-AA4C-BAFAA7EACF32}"/>
    <cellStyle name="SAPBEXstdItemX 2 4 2" xfId="24409" xr:uid="{9FE134A4-97F3-406C-A133-642D1DBD5DF0}"/>
    <cellStyle name="SAPBEXstdItemX 2 5" xfId="24404" xr:uid="{11A54005-01EE-4A5C-8678-3B79BB3F4F41}"/>
    <cellStyle name="SAPBEXstdItemX 20" xfId="15195" xr:uid="{9E15DB88-47A7-4C77-9FC9-69B11B80CAB7}"/>
    <cellStyle name="SAPBEXstdItemX 3" xfId="12921" xr:uid="{9091EA98-C910-4DA9-9021-9A887B05CDE0}"/>
    <cellStyle name="SAPBEXstdItemX 3 2" xfId="12922" xr:uid="{8B070059-4330-4BF4-8F3C-6BB268F83C61}"/>
    <cellStyle name="SAPBEXstdItemX 3 2 2" xfId="12923" xr:uid="{533E4BA9-B00E-42DD-B63B-DF58CD976976}"/>
    <cellStyle name="SAPBEXstdItemX 3 2 2 2" xfId="24412" xr:uid="{331CBAA4-05B0-4092-9F8C-D725F53EB64B}"/>
    <cellStyle name="SAPBEXstdItemX 3 2 3" xfId="12924" xr:uid="{03C54F47-EC67-40EC-9C45-5827D6871895}"/>
    <cellStyle name="SAPBEXstdItemX 3 2 3 2" xfId="24413" xr:uid="{809E3AD9-FE43-4C15-859E-11BBA7B44047}"/>
    <cellStyle name="SAPBEXstdItemX 3 2 4" xfId="24411" xr:uid="{F7D01480-5F68-464D-98D4-9E371ECE0D3F}"/>
    <cellStyle name="SAPBEXstdItemX 3 3" xfId="12925" xr:uid="{50F7DD29-A65B-4053-8024-D7C1F20F830B}"/>
    <cellStyle name="SAPBEXstdItemX 3 3 2" xfId="24414" xr:uid="{06E34C66-A5AD-4403-A932-6CB80D5B0276}"/>
    <cellStyle name="SAPBEXstdItemX 3 4" xfId="12926" xr:uid="{68E6DCC5-DE45-4F69-8381-FE0EBB7F5147}"/>
    <cellStyle name="SAPBEXstdItemX 3 4 2" xfId="24415" xr:uid="{D7E0FF79-738F-4608-A15E-45F3B6B3AF57}"/>
    <cellStyle name="SAPBEXstdItemX 3 5" xfId="24410" xr:uid="{C4F0B560-FD52-4EBC-8038-147D72005862}"/>
    <cellStyle name="SAPBEXstdItemX 4" xfId="12927" xr:uid="{10A1D62B-D419-40E3-B485-E0546BA52049}"/>
    <cellStyle name="SAPBEXstdItemX 4 2" xfId="12928" xr:uid="{CCC751D5-E437-41C4-AE7F-3ADC632EE148}"/>
    <cellStyle name="SAPBEXstdItemX 4 2 2" xfId="12929" xr:uid="{02DFB81C-D57B-4FB4-B6D2-69B8C7BDFB58}"/>
    <cellStyle name="SAPBEXstdItemX 4 2 2 2" xfId="24418" xr:uid="{1C41FB6C-F916-49E0-924C-22560AC9F46A}"/>
    <cellStyle name="SAPBEXstdItemX 4 2 3" xfId="12930" xr:uid="{13506947-1F6B-4B27-9844-C15A28BE57DF}"/>
    <cellStyle name="SAPBEXstdItemX 4 2 3 2" xfId="24419" xr:uid="{A98AF36D-6D13-4345-8A8D-F5563721B558}"/>
    <cellStyle name="SAPBEXstdItemX 4 2 4" xfId="24417" xr:uid="{306839A8-2F24-419E-AD4B-EA4B975E87D4}"/>
    <cellStyle name="SAPBEXstdItemX 4 3" xfId="12931" xr:uid="{550C17AF-CA4F-4CC2-AC68-985EF0D80626}"/>
    <cellStyle name="SAPBEXstdItemX 4 3 2" xfId="24420" xr:uid="{DD8CFBE0-5FA9-476F-AC18-82DBC03F08FE}"/>
    <cellStyle name="SAPBEXstdItemX 4 4" xfId="12932" xr:uid="{4B965AEE-C174-49E5-947F-5FAE937D0D3E}"/>
    <cellStyle name="SAPBEXstdItemX 4 4 2" xfId="24421" xr:uid="{3301B359-02AF-4917-8A0E-31DBC13A0019}"/>
    <cellStyle name="SAPBEXstdItemX 4 5" xfId="24416" xr:uid="{99B8AEDE-6518-476F-9ED3-811012B2F966}"/>
    <cellStyle name="SAPBEXstdItemX 5" xfId="12933" xr:uid="{579E681B-33C9-49F4-88A1-1CC58AB86C04}"/>
    <cellStyle name="SAPBEXstdItemX 5 2" xfId="12934" xr:uid="{B93A09E9-A3A1-4281-B136-EB1E14164A49}"/>
    <cellStyle name="SAPBEXstdItemX 5 2 2" xfId="12935" xr:uid="{2838667E-1E2D-459F-BA70-F4A24D798D9A}"/>
    <cellStyle name="SAPBEXstdItemX 5 2 2 2" xfId="24424" xr:uid="{880463E2-781C-4E52-8335-9C7D46C2DB3C}"/>
    <cellStyle name="SAPBEXstdItemX 5 2 3" xfId="12936" xr:uid="{A8FD5ABC-BEAB-45AB-89E4-8F3138690DA8}"/>
    <cellStyle name="SAPBEXstdItemX 5 2 3 2" xfId="24425" xr:uid="{B7014C38-BAB6-46CF-BECA-F42633A1AB86}"/>
    <cellStyle name="SAPBEXstdItemX 5 2 4" xfId="24423" xr:uid="{068AE7F3-E31B-4327-9FEA-4187217FDFAF}"/>
    <cellStyle name="SAPBEXstdItemX 5 3" xfId="12937" xr:uid="{39BAEE70-7A2C-4523-BCC0-52B0619DFE51}"/>
    <cellStyle name="SAPBEXstdItemX 5 3 2" xfId="24426" xr:uid="{159346DF-90A9-41F5-8D6A-390F601427DD}"/>
    <cellStyle name="SAPBEXstdItemX 5 4" xfId="12938" xr:uid="{3B0BA57E-B503-4E7F-8D59-68E97D087E6B}"/>
    <cellStyle name="SAPBEXstdItemX 5 4 2" xfId="24427" xr:uid="{8167A9C9-2D8A-411D-8A36-88C44669F6C3}"/>
    <cellStyle name="SAPBEXstdItemX 5 5" xfId="24422" xr:uid="{97C7D168-C7BA-4E76-A145-A722C528BFB6}"/>
    <cellStyle name="SAPBEXstdItemX 6" xfId="12939" xr:uid="{31FCC3D7-36A1-4479-BB6E-90700D15CBD7}"/>
    <cellStyle name="SAPBEXstdItemX 6 2" xfId="12940" xr:uid="{49B34862-AF61-4587-924B-A0064BC6794D}"/>
    <cellStyle name="SAPBEXstdItemX 6 2 2" xfId="12941" xr:uid="{453989EC-F6EF-4D79-A7C8-9A4CA55AC19A}"/>
    <cellStyle name="SAPBEXstdItemX 6 2 2 2" xfId="24430" xr:uid="{B4EC98F4-DF80-4086-8A2F-1DDB6945BC72}"/>
    <cellStyle name="SAPBEXstdItemX 6 2 3" xfId="12942" xr:uid="{5F1F594E-B9BA-4098-B812-E9B234EEB9B1}"/>
    <cellStyle name="SAPBEXstdItemX 6 2 3 2" xfId="24431" xr:uid="{6FCAED91-52A4-4EEF-AE38-621CF157BB99}"/>
    <cellStyle name="SAPBEXstdItemX 6 2 4" xfId="24429" xr:uid="{94436AD1-3BF5-4EA1-9022-D420056F9795}"/>
    <cellStyle name="SAPBEXstdItemX 6 3" xfId="12943" xr:uid="{816B31E9-DB14-4A5C-985F-F1A9D253FC07}"/>
    <cellStyle name="SAPBEXstdItemX 6 3 2" xfId="24432" xr:uid="{8E39373E-F29E-47EB-8ABC-7AB0084E93F6}"/>
    <cellStyle name="SAPBEXstdItemX 6 4" xfId="12944" xr:uid="{B61D52D0-102A-4E07-8C00-8CB11EB70FEE}"/>
    <cellStyle name="SAPBEXstdItemX 6 4 2" xfId="24433" xr:uid="{BB207761-86B0-4E42-80AA-F02DA56401A9}"/>
    <cellStyle name="SAPBEXstdItemX 6 5" xfId="24428" xr:uid="{BA5BF5C9-1600-4BC4-8828-5E52EAA5C846}"/>
    <cellStyle name="SAPBEXstdItemX 7" xfId="12945" xr:uid="{A31000BE-9C37-4CAE-982E-BDB5ED55F4DA}"/>
    <cellStyle name="SAPBEXstdItemX 7 2" xfId="12946" xr:uid="{BB8E4AC8-FE9F-411C-A4CC-EA60F18B4D40}"/>
    <cellStyle name="SAPBEXstdItemX 7 2 2" xfId="12947" xr:uid="{7D890739-338E-445D-A3D2-1926703E94BF}"/>
    <cellStyle name="SAPBEXstdItemX 7 2 2 2" xfId="24436" xr:uid="{A4938CE8-3858-444C-B0BF-9BBBBFD543DA}"/>
    <cellStyle name="SAPBEXstdItemX 7 2 3" xfId="12948" xr:uid="{E498B9A7-C1C2-4FA4-AA31-1E2D0B376121}"/>
    <cellStyle name="SAPBEXstdItemX 7 2 3 2" xfId="24437" xr:uid="{461CC0BC-BE9D-49C0-85B1-E324043EDBFA}"/>
    <cellStyle name="SAPBEXstdItemX 7 2 4" xfId="24435" xr:uid="{22050E9B-9177-4ED2-B586-7F2E02A46EA0}"/>
    <cellStyle name="SAPBEXstdItemX 7 3" xfId="12949" xr:uid="{DCD8D9D4-530E-45E7-9EC3-506E4168670A}"/>
    <cellStyle name="SAPBEXstdItemX 7 3 2" xfId="24438" xr:uid="{D66954BB-B80D-402C-BAC4-F1940217CD3D}"/>
    <cellStyle name="SAPBEXstdItemX 7 4" xfId="12950" xr:uid="{CC277965-01D0-4031-9BC1-685E94E50C41}"/>
    <cellStyle name="SAPBEXstdItemX 7 4 2" xfId="24439" xr:uid="{6455582D-AA53-4038-A233-FA7F60BFFE62}"/>
    <cellStyle name="SAPBEXstdItemX 7 5" xfId="24434" xr:uid="{358A4B0B-E5CC-4C5F-B72A-C6FB84CF8BA1}"/>
    <cellStyle name="SAPBEXstdItemX 8" xfId="12951" xr:uid="{5E329CEB-19D6-4D72-B647-B954B6719901}"/>
    <cellStyle name="SAPBEXstdItemX 8 2" xfId="12952" xr:uid="{EE54A4C8-02C8-4C56-8EA4-92B1B0CB37D6}"/>
    <cellStyle name="SAPBEXstdItemX 8 2 2" xfId="12953" xr:uid="{53D8EE46-AFFA-43E9-BE7B-EB05B4B77B81}"/>
    <cellStyle name="SAPBEXstdItemX 8 2 2 2" xfId="24442" xr:uid="{82105937-8840-43CD-8098-616EF0D01B90}"/>
    <cellStyle name="SAPBEXstdItemX 8 2 3" xfId="12954" xr:uid="{112DA61D-F999-4B0A-8B88-DCD029AABD40}"/>
    <cellStyle name="SAPBEXstdItemX 8 2 3 2" xfId="24443" xr:uid="{EFE64FB4-17A0-48DF-ABE4-634B7A50E7D7}"/>
    <cellStyle name="SAPBEXstdItemX 8 2 4" xfId="24441" xr:uid="{4D05D709-CD66-4F63-A8B4-20E6CE98D798}"/>
    <cellStyle name="SAPBEXstdItemX 8 3" xfId="12955" xr:uid="{BCCDBD31-6B37-4DF4-928F-3BCB6611AAC0}"/>
    <cellStyle name="SAPBEXstdItemX 8 3 2" xfId="24444" xr:uid="{B5431898-BB5A-40C9-BF49-6A61A7C936AB}"/>
    <cellStyle name="SAPBEXstdItemX 8 4" xfId="12956" xr:uid="{AB9EBE64-467E-4AA3-808C-A04E1F2895EC}"/>
    <cellStyle name="SAPBEXstdItemX 8 4 2" xfId="24445" xr:uid="{8F44D30E-1B21-4455-B0F3-D322172AC18F}"/>
    <cellStyle name="SAPBEXstdItemX 8 5" xfId="24440" xr:uid="{2CFB1F3F-6D13-4D29-BD07-18D7E7627647}"/>
    <cellStyle name="SAPBEXstdItemX 9" xfId="12957" xr:uid="{C919DEC3-67F5-40CC-983B-18C916CBA1A4}"/>
    <cellStyle name="SAPBEXstdItemX 9 2" xfId="12958" xr:uid="{34AC20E4-C74D-477D-80F3-08899A8DBA48}"/>
    <cellStyle name="SAPBEXstdItemX 9 2 2" xfId="12959" xr:uid="{39F5A079-B7DF-4998-A016-7CD48D8A0471}"/>
    <cellStyle name="SAPBEXstdItemX 9 2 2 2" xfId="24448" xr:uid="{4D7B32D4-7E2C-468E-8ECD-1BBFD16C36FA}"/>
    <cellStyle name="SAPBEXstdItemX 9 2 3" xfId="12960" xr:uid="{4B902B2C-7FF0-4B8C-86A0-FAF065A82518}"/>
    <cellStyle name="SAPBEXstdItemX 9 2 3 2" xfId="24449" xr:uid="{865D9F69-C855-44FF-8E5F-C7A27DBB6591}"/>
    <cellStyle name="SAPBEXstdItemX 9 2 4" xfId="24447" xr:uid="{54C1C4DC-DA5F-40EF-BFC2-E3E9E92F437C}"/>
    <cellStyle name="SAPBEXstdItemX 9 3" xfId="12961" xr:uid="{08502663-8831-4B48-B3B5-4758CB70E2CB}"/>
    <cellStyle name="SAPBEXstdItemX 9 3 2" xfId="24450" xr:uid="{6D062822-451C-4FB4-A950-5F3E2165F88B}"/>
    <cellStyle name="SAPBEXstdItemX 9 4" xfId="12962" xr:uid="{B791B494-4B6F-4DAC-9D41-7FA837B8F141}"/>
    <cellStyle name="SAPBEXstdItemX 9 4 2" xfId="24451" xr:uid="{1EF3F657-98E6-4F47-9A65-9DEA1B5EABDF}"/>
    <cellStyle name="SAPBEXstdItemX 9 5" xfId="24446" xr:uid="{2D5F5A7E-A3A9-46A0-AD0F-A9AEC5FCB308}"/>
    <cellStyle name="SAPBEXstdItemX_RP3 PP revised" xfId="15056" xr:uid="{38003C66-64A4-46A8-BD6B-BFF02C2DDD5A}"/>
    <cellStyle name="SAPBEXtitle" xfId="12963" xr:uid="{CC3D488A-717C-4B9B-9FD3-3B41E9392D37}"/>
    <cellStyle name="SAPBEXundefined" xfId="12964" xr:uid="{8FA4F242-0B5A-49A5-8825-E7B671FCB3CA}"/>
    <cellStyle name="SAPBEXundefined 10" xfId="12965" xr:uid="{41C3EBD4-D275-43EF-B4BE-43632DD7DDE4}"/>
    <cellStyle name="SAPBEXundefined 10 2" xfId="12966" xr:uid="{583C4536-64DF-4F8A-A94B-7A3213ED0315}"/>
    <cellStyle name="SAPBEXundefined 10 2 2" xfId="12967" xr:uid="{049C87F4-292F-4B0F-9288-A31E5955973C}"/>
    <cellStyle name="SAPBEXundefined 10 2 2 2" xfId="24454" xr:uid="{2FFD9AD4-15B7-437E-817F-CA80A387AB7A}"/>
    <cellStyle name="SAPBEXundefined 10 2 3" xfId="12968" xr:uid="{8487183C-EA1F-4610-8ECB-7F6021EEDE4C}"/>
    <cellStyle name="SAPBEXundefined 10 2 3 2" xfId="24455" xr:uid="{A705BF43-6A79-428D-B5CA-0E3087BDF359}"/>
    <cellStyle name="SAPBEXundefined 10 2 4" xfId="24453" xr:uid="{7892A414-7B77-446A-9B53-9945030466D3}"/>
    <cellStyle name="SAPBEXundefined 10 3" xfId="12969" xr:uid="{90578F38-F560-4677-B1CE-0CB0A3746FE4}"/>
    <cellStyle name="SAPBEXundefined 10 3 2" xfId="24456" xr:uid="{91A9481F-D94F-4358-8598-9D1011985274}"/>
    <cellStyle name="SAPBEXundefined 10 4" xfId="12970" xr:uid="{BF1CE1F9-3FFD-48BA-9231-222823EFEDED}"/>
    <cellStyle name="SAPBEXundefined 10 4 2" xfId="24457" xr:uid="{8F092AF5-D62E-4015-BC99-76BEF065696E}"/>
    <cellStyle name="SAPBEXundefined 10 5" xfId="24452" xr:uid="{2972F4DD-FADD-45E4-8BB6-3C82F5933183}"/>
    <cellStyle name="SAPBEXundefined 11" xfId="12971" xr:uid="{7533239D-AAE2-4A59-AB7B-CE3155676A74}"/>
    <cellStyle name="SAPBEXundefined 11 2" xfId="12972" xr:uid="{0ECAE96D-94D0-4563-8DF6-296CB0230B86}"/>
    <cellStyle name="SAPBEXundefined 11 2 2" xfId="12973" xr:uid="{DC9DBEF8-F58C-43DD-A7E5-C4BB36A17392}"/>
    <cellStyle name="SAPBEXundefined 11 2 2 2" xfId="24460" xr:uid="{99934287-BABE-464D-BF1F-C0C263062A64}"/>
    <cellStyle name="SAPBEXundefined 11 2 3" xfId="12974" xr:uid="{5E437A4E-CB19-4D4F-8D76-E9D94D0A6486}"/>
    <cellStyle name="SAPBEXundefined 11 2 3 2" xfId="24461" xr:uid="{171B5BEC-1E00-4C42-8470-A4643A2FE5A9}"/>
    <cellStyle name="SAPBEXundefined 11 2 4" xfId="24459" xr:uid="{0419ED6C-D1DA-4C9E-8A30-53F98DA9D68C}"/>
    <cellStyle name="SAPBEXundefined 11 3" xfId="12975" xr:uid="{573F092B-EF51-472F-BB75-9DD5B51DB995}"/>
    <cellStyle name="SAPBEXundefined 11 3 2" xfId="24462" xr:uid="{436DEC3E-DA02-4BE7-A0F6-A06EC87ECDC6}"/>
    <cellStyle name="SAPBEXundefined 11 4" xfId="12976" xr:uid="{35B0EB02-6A87-4B46-BDE3-9C7CC55EECD4}"/>
    <cellStyle name="SAPBEXundefined 11 4 2" xfId="24463" xr:uid="{4E46C419-5D29-4D18-BC33-37627E8B8740}"/>
    <cellStyle name="SAPBEXundefined 11 5" xfId="24458" xr:uid="{592BEBD0-1084-4D36-A1EC-AAB55BDF0335}"/>
    <cellStyle name="SAPBEXundefined 12" xfId="12977" xr:uid="{2AA6CEFD-ADB6-4098-92DF-0E34ECC0730B}"/>
    <cellStyle name="SAPBEXundefined 12 2" xfId="12978" xr:uid="{8E729472-202F-4274-BA9C-1A8DFCF371A9}"/>
    <cellStyle name="SAPBEXundefined 12 2 2" xfId="12979" xr:uid="{CE0491ED-F4A7-4F1C-8864-FEAB6A53123A}"/>
    <cellStyle name="SAPBEXundefined 12 2 2 2" xfId="24466" xr:uid="{53BDE98B-FB60-4ABD-8873-DFECE5B71B39}"/>
    <cellStyle name="SAPBEXundefined 12 2 3" xfId="12980" xr:uid="{78915F48-4BCA-4399-9319-A259DB228BB2}"/>
    <cellStyle name="SAPBEXundefined 12 2 3 2" xfId="24467" xr:uid="{B0AFF05E-EA0F-47B3-887C-C3FF311FAAF9}"/>
    <cellStyle name="SAPBEXundefined 12 2 4" xfId="24465" xr:uid="{020CE035-8BE3-47F8-9FE8-4E382DEFD0B6}"/>
    <cellStyle name="SAPBEXundefined 12 3" xfId="12981" xr:uid="{D11DF5D1-E440-4663-B711-D6D651F5008D}"/>
    <cellStyle name="SAPBEXundefined 12 3 2" xfId="24468" xr:uid="{A718F79B-9796-4F4D-B2DF-528F811A1161}"/>
    <cellStyle name="SAPBEXundefined 12 4" xfId="12982" xr:uid="{03AF1EFF-0BC9-433A-9572-33586FF96086}"/>
    <cellStyle name="SAPBEXundefined 12 4 2" xfId="24469" xr:uid="{209C9BDF-1118-4F51-88C1-C2D9DDE9AFA2}"/>
    <cellStyle name="SAPBEXundefined 12 5" xfId="24464" xr:uid="{709B7B89-D93C-446D-9390-3531EBDBA163}"/>
    <cellStyle name="SAPBEXundefined 13" xfId="12983" xr:uid="{59697D39-06AC-4954-93B6-F29748414B81}"/>
    <cellStyle name="SAPBEXundefined 13 2" xfId="12984" xr:uid="{AF434518-ABC4-4E8B-A145-25C45DA2CD34}"/>
    <cellStyle name="SAPBEXundefined 13 2 2" xfId="12985" xr:uid="{B2AC5F37-A35E-4C83-9DDF-DEEBAA681FD4}"/>
    <cellStyle name="SAPBEXundefined 13 2 2 2" xfId="24472" xr:uid="{F51FC743-B256-494A-94CD-DA05AE59053C}"/>
    <cellStyle name="SAPBEXundefined 13 2 3" xfId="12986" xr:uid="{CB76074D-DFF9-408B-9BDA-83B571459E81}"/>
    <cellStyle name="SAPBEXundefined 13 2 3 2" xfId="24473" xr:uid="{44BEF3B1-F37C-45A1-B8D1-66977F19D025}"/>
    <cellStyle name="SAPBEXundefined 13 2 4" xfId="24471" xr:uid="{C15B202B-5055-43FE-9114-83D8F3A37582}"/>
    <cellStyle name="SAPBEXundefined 13 3" xfId="12987" xr:uid="{2487CC26-BF79-45B7-B158-9CC32E2BCA28}"/>
    <cellStyle name="SAPBEXundefined 13 3 2" xfId="24474" xr:uid="{5BD26841-DC61-4206-88C4-635A80BC495C}"/>
    <cellStyle name="SAPBEXundefined 13 4" xfId="12988" xr:uid="{82828FC8-8186-4E55-B5D0-0308999FDEA9}"/>
    <cellStyle name="SAPBEXundefined 13 4 2" xfId="24475" xr:uid="{C1645AB4-D0AE-47F1-B945-8642C5E75FD0}"/>
    <cellStyle name="SAPBEXundefined 13 5" xfId="24470" xr:uid="{08F2ABC3-AA89-4D86-AFCA-E9D33445C78B}"/>
    <cellStyle name="SAPBEXundefined 14" xfId="12989" xr:uid="{F8AAF81C-3C4B-4C53-B0F7-59B304A46B70}"/>
    <cellStyle name="SAPBEXundefined 14 2" xfId="12990" xr:uid="{167FC359-73FD-4BD1-B79B-61F3A3CAAC7F}"/>
    <cellStyle name="SAPBEXundefined 14 2 2" xfId="12991" xr:uid="{00AE2181-6CB4-435F-A141-14482A518A36}"/>
    <cellStyle name="SAPBEXundefined 14 2 2 2" xfId="24478" xr:uid="{A0C1CFE5-DDD6-4F95-A0D7-0E613F4F4608}"/>
    <cellStyle name="SAPBEXundefined 14 2 3" xfId="12992" xr:uid="{1973AC1C-E4EF-4003-8D37-CA7504B53BCF}"/>
    <cellStyle name="SAPBEXundefined 14 2 3 2" xfId="24479" xr:uid="{311AF5D7-9031-478F-A9D1-8E63C2623049}"/>
    <cellStyle name="SAPBEXundefined 14 2 4" xfId="24477" xr:uid="{D46745B0-FE01-454C-AFBE-A8581871911B}"/>
    <cellStyle name="SAPBEXundefined 14 3" xfId="12993" xr:uid="{357A2E13-8A4F-43BE-8818-30451BE91981}"/>
    <cellStyle name="SAPBEXundefined 14 3 2" xfId="24480" xr:uid="{7C8C8FA7-DD71-4D8A-943B-9E0D898725C4}"/>
    <cellStyle name="SAPBEXundefined 14 4" xfId="12994" xr:uid="{B754DD42-FEFF-4C95-94E2-A6651ED57FBC}"/>
    <cellStyle name="SAPBEXundefined 14 4 2" xfId="24481" xr:uid="{4FD76EF4-9306-449D-9047-83A7E68A444B}"/>
    <cellStyle name="SAPBEXundefined 14 5" xfId="24476" xr:uid="{A8DE98DE-ACD5-49BA-87C9-33584635CD6E}"/>
    <cellStyle name="SAPBEXundefined 15" xfId="12995" xr:uid="{5BA94EBF-FEE6-44BC-A98D-AE2F6ED8A661}"/>
    <cellStyle name="SAPBEXundefined 15 2" xfId="12996" xr:uid="{D3883B81-2AB7-4405-A7EE-C22926F246FE}"/>
    <cellStyle name="SAPBEXundefined 15 2 2" xfId="12997" xr:uid="{065920C3-C08F-431F-94D8-9DBC30618EF4}"/>
    <cellStyle name="SAPBEXundefined 15 2 2 2" xfId="24484" xr:uid="{AA1C57BB-1182-4993-A0DF-97BC92625D54}"/>
    <cellStyle name="SAPBEXundefined 15 2 3" xfId="12998" xr:uid="{AB2FBFE1-3577-4E78-A5C2-A49D18C2461A}"/>
    <cellStyle name="SAPBEXundefined 15 2 3 2" xfId="24485" xr:uid="{8E99FBAE-F6F5-4E1E-912A-16E3AE6FEED2}"/>
    <cellStyle name="SAPBEXundefined 15 2 4" xfId="24483" xr:uid="{82E12658-1D70-4615-92B6-A9E0D56C1BD4}"/>
    <cellStyle name="SAPBEXundefined 15 3" xfId="12999" xr:uid="{C143D363-AF35-4C73-88B4-5F2F9C3C9F5B}"/>
    <cellStyle name="SAPBEXundefined 15 3 2" xfId="24486" xr:uid="{C0AA6A29-C07C-47E1-ACE8-4E037AF8121F}"/>
    <cellStyle name="SAPBEXundefined 15 4" xfId="13000" xr:uid="{F728326C-3587-4191-92C2-F7EF31331176}"/>
    <cellStyle name="SAPBEXundefined 15 4 2" xfId="24487" xr:uid="{C7D4F28E-67CB-446E-B369-AA7D14C0AAF8}"/>
    <cellStyle name="SAPBEXundefined 15 5" xfId="24482" xr:uid="{F744E581-C1A6-4FB3-B620-DF462D9FD8B0}"/>
    <cellStyle name="SAPBEXundefined 16" xfId="13001" xr:uid="{282E2BCA-59A5-442A-BDF6-9567D75D5D5E}"/>
    <cellStyle name="SAPBEXundefined 16 2" xfId="24488" xr:uid="{DDBC4C6F-1142-4590-90DB-8138A03690CC}"/>
    <cellStyle name="SAPBEXundefined 17" xfId="13002" xr:uid="{0AB17CD1-9F45-49FC-8A96-2C87C7D1D913}"/>
    <cellStyle name="SAPBEXundefined 17 2" xfId="24489" xr:uid="{B5388A27-99EB-48EB-A96E-EA8C57A65F6A}"/>
    <cellStyle name="SAPBEXundefined 18" xfId="13003" xr:uid="{32A280AD-5C08-4045-988A-4B3ECE67EF84}"/>
    <cellStyle name="SAPBEXundefined 18 2" xfId="24490" xr:uid="{916F35D3-9EF6-4755-A52D-72F3262DF0FC}"/>
    <cellStyle name="SAPBEXundefined 19" xfId="13004" xr:uid="{54D1B97A-A442-4BF0-9DB5-F956398D3BBE}"/>
    <cellStyle name="SAPBEXundefined 19 2" xfId="24491" xr:uid="{98A8622E-4EA8-47A7-9A6C-645AC914CBB0}"/>
    <cellStyle name="SAPBEXundefined 2" xfId="13005" xr:uid="{45DF3496-7BE1-4099-9A69-D9927DCBE834}"/>
    <cellStyle name="SAPBEXundefined 2 2" xfId="13006" xr:uid="{878B6708-616C-46A5-98F6-994BBEC43BD7}"/>
    <cellStyle name="SAPBEXundefined 2 2 2" xfId="13007" xr:uid="{74509C33-F2EB-48B1-AE53-716452E0175C}"/>
    <cellStyle name="SAPBEXundefined 2 2 2 2" xfId="24494" xr:uid="{2BD2683C-610A-45BF-9EAC-B28CEE27E6E9}"/>
    <cellStyle name="SAPBEXundefined 2 2 3" xfId="13008" xr:uid="{3DFB38A8-2531-49A3-AE4A-F005B00DED4E}"/>
    <cellStyle name="SAPBEXundefined 2 2 3 2" xfId="24495" xr:uid="{F9AA7E65-F62B-4A5E-93B5-DDC67C679AA9}"/>
    <cellStyle name="SAPBEXundefined 2 2 4" xfId="24493" xr:uid="{FD639E3B-2F94-4A5A-93A4-2A0FAA54E90A}"/>
    <cellStyle name="SAPBEXundefined 2 3" xfId="13009" xr:uid="{E9B8058B-CB27-4F8A-8448-90A2A8251588}"/>
    <cellStyle name="SAPBEXundefined 2 3 2" xfId="24496" xr:uid="{5268129F-B507-4F12-B5F5-708646B9849E}"/>
    <cellStyle name="SAPBEXundefined 2 4" xfId="13010" xr:uid="{35C9A59B-D666-4F99-BBAC-ED91F892500F}"/>
    <cellStyle name="SAPBEXundefined 2 4 2" xfId="24497" xr:uid="{DFA5DAB8-1CC1-44EE-997B-98EBE82EF0A0}"/>
    <cellStyle name="SAPBEXundefined 2 5" xfId="24492" xr:uid="{D3F94D6E-9E87-46F5-9627-004DF8BAC0F1}"/>
    <cellStyle name="SAPBEXundefined 20" xfId="15197" xr:uid="{64D1F271-246C-48A8-A104-8D16A635733D}"/>
    <cellStyle name="SAPBEXundefined 3" xfId="13011" xr:uid="{188A82A7-0EE9-4A4D-B95C-52FA049F15CF}"/>
    <cellStyle name="SAPBEXundefined 3 2" xfId="13012" xr:uid="{FD87CD1A-8FED-4F71-B917-92BFF42FDB73}"/>
    <cellStyle name="SAPBEXundefined 3 2 2" xfId="13013" xr:uid="{76701669-B92D-40BF-9E2E-6115BB8C0CF7}"/>
    <cellStyle name="SAPBEXundefined 3 2 2 2" xfId="24500" xr:uid="{E8336C6D-C754-4BE8-847F-975842F18F54}"/>
    <cellStyle name="SAPBEXundefined 3 2 3" xfId="13014" xr:uid="{8A5AFA07-A192-45DC-8118-5E9CAAE831E6}"/>
    <cellStyle name="SAPBEXundefined 3 2 3 2" xfId="24501" xr:uid="{5447DB1C-377B-476E-96FF-3A50928135BC}"/>
    <cellStyle name="SAPBEXundefined 3 2 4" xfId="24499" xr:uid="{0B970983-0DDA-40FD-BB1A-9D03DAE037A5}"/>
    <cellStyle name="SAPBEXundefined 3 3" xfId="13015" xr:uid="{5F44C861-36D5-40B7-9B39-BF2E5F5BE407}"/>
    <cellStyle name="SAPBEXundefined 3 3 2" xfId="24502" xr:uid="{4B22331E-9596-4956-9054-369F4890AC96}"/>
    <cellStyle name="SAPBEXundefined 3 4" xfId="13016" xr:uid="{469C46CA-E7ED-4B23-8011-5BCA9EA0A5EB}"/>
    <cellStyle name="SAPBEXundefined 3 4 2" xfId="24503" xr:uid="{943DAD71-2525-4211-B967-3549FEC46F16}"/>
    <cellStyle name="SAPBEXundefined 3 5" xfId="24498" xr:uid="{37FE1E84-07C7-4667-86F7-45A90ABF1923}"/>
    <cellStyle name="SAPBEXundefined 4" xfId="13017" xr:uid="{4A040564-6099-4368-B959-3F2255F39E39}"/>
    <cellStyle name="SAPBEXundefined 4 2" xfId="13018" xr:uid="{6244F9D0-35D7-48E5-B04B-DEA69708A9CE}"/>
    <cellStyle name="SAPBEXundefined 4 2 2" xfId="13019" xr:uid="{04597E8E-F70C-4E55-8BA3-B0873AA9E442}"/>
    <cellStyle name="SAPBEXundefined 4 2 2 2" xfId="24506" xr:uid="{A769CCDD-4DD9-4C4C-AEA0-3378EFC597E4}"/>
    <cellStyle name="SAPBEXundefined 4 2 3" xfId="13020" xr:uid="{30588B65-1865-4621-99D2-2D56D8EF4286}"/>
    <cellStyle name="SAPBEXundefined 4 2 3 2" xfId="24507" xr:uid="{F052CD17-9779-472D-91F2-665AC235EE8A}"/>
    <cellStyle name="SAPBEXundefined 4 2 4" xfId="24505" xr:uid="{FF6B63C7-F6D2-40D9-A9AB-FB69131683AB}"/>
    <cellStyle name="SAPBEXundefined 4 3" xfId="13021" xr:uid="{4686C7C6-0FF5-456E-82F4-548CADF54889}"/>
    <cellStyle name="SAPBEXundefined 4 3 2" xfId="24508" xr:uid="{90FD0735-B10E-4038-9388-38FA6D3EB99F}"/>
    <cellStyle name="SAPBEXundefined 4 4" xfId="13022" xr:uid="{0093A3D9-31DB-4B19-A4DB-C24DB80F3651}"/>
    <cellStyle name="SAPBEXundefined 4 4 2" xfId="24509" xr:uid="{F5931218-A394-4907-886C-4A13735D944C}"/>
    <cellStyle name="SAPBEXundefined 4 5" xfId="24504" xr:uid="{EB63FA61-C75E-4EFC-BAEF-480E965FE329}"/>
    <cellStyle name="SAPBEXundefined 5" xfId="13023" xr:uid="{3D2BE91C-809C-4673-9207-3586D13DBC9E}"/>
    <cellStyle name="SAPBEXundefined 5 2" xfId="13024" xr:uid="{3142810B-73A8-400D-AD73-25271329913C}"/>
    <cellStyle name="SAPBEXundefined 5 2 2" xfId="13025" xr:uid="{ED661D28-1CEB-4A29-8BE9-3AD03E2ABC07}"/>
    <cellStyle name="SAPBEXundefined 5 2 2 2" xfId="24512" xr:uid="{E437CAE0-6EB9-4BF3-92C7-3EF117C3028B}"/>
    <cellStyle name="SAPBEXundefined 5 2 3" xfId="13026" xr:uid="{00444B77-DF97-4377-B9C3-D1C5E3FFBC1F}"/>
    <cellStyle name="SAPBEXundefined 5 2 3 2" xfId="24513" xr:uid="{8113C22A-1D2A-4BF8-B103-AA918EEC3E02}"/>
    <cellStyle name="SAPBEXundefined 5 2 4" xfId="24511" xr:uid="{9353EF81-E9AA-4D9F-9B6B-74FB01D7C508}"/>
    <cellStyle name="SAPBEXundefined 5 3" xfId="13027" xr:uid="{6B50BAE5-F02C-44A2-A6ED-9DDE79ECCE93}"/>
    <cellStyle name="SAPBEXundefined 5 3 2" xfId="24514" xr:uid="{0B321E4E-2586-46C6-A215-06DED1B15CEE}"/>
    <cellStyle name="SAPBEXundefined 5 4" xfId="13028" xr:uid="{8C9BBFC3-3892-4047-A600-A0C221D20353}"/>
    <cellStyle name="SAPBEXundefined 5 4 2" xfId="24515" xr:uid="{9A78572A-4CEE-4686-8AAE-126F1F97DA48}"/>
    <cellStyle name="SAPBEXundefined 5 5" xfId="24510" xr:uid="{940F88F7-0319-495E-8B7F-0CBE5209C30E}"/>
    <cellStyle name="SAPBEXundefined 6" xfId="13029" xr:uid="{ABE6C8F9-D623-4E3D-8EFD-3B58A7CBED70}"/>
    <cellStyle name="SAPBEXundefined 6 2" xfId="13030" xr:uid="{ED9AE636-E93B-472E-B881-17E7A4012472}"/>
    <cellStyle name="SAPBEXundefined 6 2 2" xfId="13031" xr:uid="{C9EEE553-D6C1-4048-BD4E-465CF7EE9004}"/>
    <cellStyle name="SAPBEXundefined 6 2 2 2" xfId="24518" xr:uid="{AE4722DF-3074-466A-894F-ECCC8276972B}"/>
    <cellStyle name="SAPBEXundefined 6 2 3" xfId="13032" xr:uid="{E532AE70-5030-40DE-B2BB-11517323BF10}"/>
    <cellStyle name="SAPBEXundefined 6 2 3 2" xfId="24519" xr:uid="{0ED76FA1-D6BF-434B-BF69-F25045EC46E0}"/>
    <cellStyle name="SAPBEXundefined 6 2 4" xfId="24517" xr:uid="{05A7440A-C53E-43A2-BEF9-752D76AEDCBC}"/>
    <cellStyle name="SAPBEXundefined 6 3" xfId="13033" xr:uid="{3FE4CFC7-9FCD-42A7-B73B-CEBCEEFA8B19}"/>
    <cellStyle name="SAPBEXundefined 6 3 2" xfId="24520" xr:uid="{F4E28F05-FA52-4996-9BDF-3C8A8B6F7DF7}"/>
    <cellStyle name="SAPBEXundefined 6 4" xfId="13034" xr:uid="{17FE43CA-B9D6-4E8D-8A3B-7ED7B484EED5}"/>
    <cellStyle name="SAPBEXundefined 6 4 2" xfId="24521" xr:uid="{E49DC241-F731-411D-B9C1-A826E2325613}"/>
    <cellStyle name="SAPBEXundefined 6 5" xfId="24516" xr:uid="{ED187222-7914-4390-A86E-923697921DA6}"/>
    <cellStyle name="SAPBEXundefined 7" xfId="13035" xr:uid="{8B3547AB-8DF9-4E0F-9A2B-C662DE25985C}"/>
    <cellStyle name="SAPBEXundefined 7 2" xfId="13036" xr:uid="{E1470DD4-86A0-4E04-A3F4-22FD69B51E4E}"/>
    <cellStyle name="SAPBEXundefined 7 2 2" xfId="13037" xr:uid="{F3BD6521-3080-4E1B-AD22-488723D0F979}"/>
    <cellStyle name="SAPBEXundefined 7 2 2 2" xfId="24524" xr:uid="{AA2F8913-BE7A-452A-BD35-DB1108EA30E4}"/>
    <cellStyle name="SAPBEXundefined 7 2 3" xfId="13038" xr:uid="{D5F0D253-9A46-4402-8C90-092A5EE96234}"/>
    <cellStyle name="SAPBEXundefined 7 2 3 2" xfId="24525" xr:uid="{B65A69F7-81E3-4747-9BA6-35551A9FD363}"/>
    <cellStyle name="SAPBEXundefined 7 2 4" xfId="24523" xr:uid="{60B6E06E-9A05-4B7A-B810-53ED02F589A8}"/>
    <cellStyle name="SAPBEXundefined 7 3" xfId="13039" xr:uid="{5B2A0B32-7293-4DCD-89B3-A12D527277F3}"/>
    <cellStyle name="SAPBEXundefined 7 3 2" xfId="24526" xr:uid="{098C4509-2C6E-4DAF-8D8E-12558EC77090}"/>
    <cellStyle name="SAPBEXundefined 7 4" xfId="13040" xr:uid="{7CA24487-71D6-4FF3-90A7-826B34D2E14A}"/>
    <cellStyle name="SAPBEXundefined 7 4 2" xfId="24527" xr:uid="{F6E2D132-AD35-45E7-A0B1-27E4E76E4814}"/>
    <cellStyle name="SAPBEXundefined 7 5" xfId="24522" xr:uid="{719B444A-2726-4763-8EDE-F846E22F212F}"/>
    <cellStyle name="SAPBEXundefined 8" xfId="13041" xr:uid="{CE2DDFB5-EED7-4A3A-A7D9-F644E6275263}"/>
    <cellStyle name="SAPBEXundefined 8 2" xfId="13042" xr:uid="{B4D2F4F7-0985-4BEA-90BE-2AE32B369E53}"/>
    <cellStyle name="SAPBEXundefined 8 2 2" xfId="13043" xr:uid="{75951E26-B3E6-4FBA-AA2F-658155790A6F}"/>
    <cellStyle name="SAPBEXundefined 8 2 2 2" xfId="24530" xr:uid="{64C03470-A6E2-49F0-A6ED-1303CA7EEE54}"/>
    <cellStyle name="SAPBEXundefined 8 2 3" xfId="13044" xr:uid="{BB89B41A-8FCF-4AFB-AFF0-C876B6263604}"/>
    <cellStyle name="SAPBEXundefined 8 2 3 2" xfId="24531" xr:uid="{05AE9724-F500-4282-8A08-EEFFBD266F70}"/>
    <cellStyle name="SAPBEXundefined 8 2 4" xfId="24529" xr:uid="{F21C8921-2AAC-4B83-A00B-017C58EFAA6F}"/>
    <cellStyle name="SAPBEXundefined 8 3" xfId="13045" xr:uid="{680E8488-EA16-4F61-97FC-E72C79A97ACE}"/>
    <cellStyle name="SAPBEXundefined 8 3 2" xfId="24532" xr:uid="{CAE10B3B-2AFC-40AA-96B9-2AD92D3160E0}"/>
    <cellStyle name="SAPBEXundefined 8 4" xfId="13046" xr:uid="{F65DFE1A-9AC5-4BDA-A3CF-539C5AF2DD08}"/>
    <cellStyle name="SAPBEXundefined 8 4 2" xfId="24533" xr:uid="{35B87B62-AAF0-4C36-90F4-A7A5B369120A}"/>
    <cellStyle name="SAPBEXundefined 8 5" xfId="24528" xr:uid="{7DEBCF71-E728-4EDA-AB21-ECEBD0CC79F3}"/>
    <cellStyle name="SAPBEXundefined 9" xfId="13047" xr:uid="{C37A984A-7C2E-4345-BAF5-60AC5D9F447E}"/>
    <cellStyle name="SAPBEXundefined 9 2" xfId="13048" xr:uid="{BA9879F8-C2C8-451C-BA79-F4817A9C373B}"/>
    <cellStyle name="SAPBEXundefined 9 2 2" xfId="13049" xr:uid="{79112178-CC7B-4FC8-BBF0-63CE8340A9E2}"/>
    <cellStyle name="SAPBEXundefined 9 2 2 2" xfId="24536" xr:uid="{E58C16F5-63C6-46EA-8632-A932A1E9456A}"/>
    <cellStyle name="SAPBEXundefined 9 2 3" xfId="13050" xr:uid="{74C86939-E1B2-4611-A1FB-03185F9B80EB}"/>
    <cellStyle name="SAPBEXundefined 9 2 3 2" xfId="24537" xr:uid="{965C9AE3-0F09-4684-9DE0-072DEE02AFF6}"/>
    <cellStyle name="SAPBEXundefined 9 2 4" xfId="24535" xr:uid="{B11F6F41-01D6-4F51-B660-B961CEC40614}"/>
    <cellStyle name="SAPBEXundefined 9 3" xfId="13051" xr:uid="{D55996C0-9925-4D7F-8398-C4EC657C4CBE}"/>
    <cellStyle name="SAPBEXundefined 9 3 2" xfId="24538" xr:uid="{B1442C98-B932-4A00-84D0-298FD69B874F}"/>
    <cellStyle name="SAPBEXundefined 9 4" xfId="13052" xr:uid="{8CD370CF-4C50-4B16-B6E7-A41320EF55E7}"/>
    <cellStyle name="SAPBEXundefined 9 4 2" xfId="24539" xr:uid="{CDB99974-4CE0-4DA0-B9A9-258224E37C39}"/>
    <cellStyle name="SAPBEXundefined 9 5" xfId="24534" xr:uid="{DAC4EECD-6C9E-4288-B526-68748A83C7FA}"/>
    <cellStyle name="SAPBEXundefined_RP3 PP revised" xfId="15055" xr:uid="{091618A6-02AF-4ABE-8F19-CECCDA11708E}"/>
    <cellStyle name="Satisfaisant" xfId="15198" xr:uid="{DAF9A7D2-87E1-4825-8390-6979176ED271}"/>
    <cellStyle name="Satisfaisant 2" xfId="13053" xr:uid="{38E143EA-503B-467D-964C-7F2E2A5F7A61}"/>
    <cellStyle name="Satisfaisant 2 2" xfId="13054" xr:uid="{ADA4F6E6-0407-45E2-A52C-D9B4C520967C}"/>
    <cellStyle name="Satisfaisant 3" xfId="13055" xr:uid="{C20D541C-A92A-4443-9517-4A207E1627B3}"/>
    <cellStyle name="Satisfaisant 4" xfId="13056" xr:uid="{31203AB4-2210-4E00-8F5A-E7D41A732DCB}"/>
    <cellStyle name="Satisfaisant 4 2" xfId="13057" xr:uid="{8FA5262A-7C27-4FCE-B128-E99DBE884AD8}"/>
    <cellStyle name="Satisfaisant 5" xfId="13058" xr:uid="{C470E36C-05F9-4F43-A444-C03DBB1A16DD}"/>
    <cellStyle name="Schlecht" xfId="13059" xr:uid="{38C308AC-A713-462B-82D1-8DDC2063D399}"/>
    <cellStyle name="Section" xfId="13060" xr:uid="{3B3D15A6-7058-4FB6-A983-3DC7C0E86A53}"/>
    <cellStyle name="Selgitav tekst" xfId="13061" xr:uid="{D05AF810-23E4-409D-8AE9-F3BF8963CC02}"/>
    <cellStyle name="Selgitav tekst 2" xfId="13062" xr:uid="{6DB9FF2A-9809-43FE-A952-D5A356A9F710}"/>
    <cellStyle name="Selgitav tekst 3" xfId="13063" xr:uid="{B740580C-8467-4FA7-B4AC-923BF1638A61}"/>
    <cellStyle name="Selittävä teksti" xfId="13064" xr:uid="{23CECE7C-5FD4-4E16-9123-B026CD1F3C26}"/>
    <cellStyle name="semiformat" xfId="13065" xr:uid="{740F5355-33F2-41EE-9308-7F55BD329654}"/>
    <cellStyle name="Semleges 2" xfId="13066" xr:uid="{30B41C2D-9B76-4E3A-B787-6D4678C34B39}"/>
    <cellStyle name="Shaded" xfId="13067" xr:uid="{EE2692E0-8626-43DB-AD4C-91AB24A6E82F}"/>
    <cellStyle name="Sheet Done" xfId="13068" xr:uid="{8114CD10-3B7D-40DC-AF8D-B2BCA4205FB9}"/>
    <cellStyle name="Short_date" xfId="13069" xr:uid="{EC3CA855-B607-4F0C-B659-DE212F92F446}"/>
    <cellStyle name="Sisestus" xfId="13070" xr:uid="{771E5147-E63D-45D8-8935-2039F9B7CDF3}"/>
    <cellStyle name="Sisestus 10" xfId="13071" xr:uid="{2ACB9CFA-29AF-4D7A-B0C3-E58A52285951}"/>
    <cellStyle name="Sisestus 10 2" xfId="13072" xr:uid="{4C5E5D0F-5554-4C73-A292-98EC2E7FF93D}"/>
    <cellStyle name="Sisestus 10 2 2" xfId="13073" xr:uid="{79553F2B-210B-4913-BB1C-1E1CB3F9CAAA}"/>
    <cellStyle name="Sisestus 10 2 2 2" xfId="24542" xr:uid="{FD0242D5-ACEC-48D7-BF63-BE698C182141}"/>
    <cellStyle name="Sisestus 10 2 3" xfId="13074" xr:uid="{945E44CF-466B-47E9-8EB0-A9F10BDFD5B9}"/>
    <cellStyle name="Sisestus 10 2 3 2" xfId="24543" xr:uid="{CB333E52-C17D-4776-B522-139265097AFE}"/>
    <cellStyle name="Sisestus 10 2 4" xfId="24541" xr:uid="{65A6566B-BA24-418E-90D9-881E3DC48136}"/>
    <cellStyle name="Sisestus 10 3" xfId="13075" xr:uid="{A9A993D8-832C-4150-BA5F-23AB942D93E6}"/>
    <cellStyle name="Sisestus 10 3 2" xfId="24544" xr:uid="{32F8D1A0-8753-4E97-9F37-7486E97CD2CB}"/>
    <cellStyle name="Sisestus 10 4" xfId="13076" xr:uid="{AE13889A-7BA5-48A5-AFFB-1C54796E9C91}"/>
    <cellStyle name="Sisestus 10 4 2" xfId="24545" xr:uid="{DF4EECFF-948F-41CB-9B6A-1A69DE2ECA60}"/>
    <cellStyle name="Sisestus 10 5" xfId="24540" xr:uid="{EA88A84D-63A9-4943-BF30-24A6B15C8214}"/>
    <cellStyle name="Sisestus 11" xfId="13077" xr:uid="{E18476EC-F702-4D02-9E80-460315D391A1}"/>
    <cellStyle name="Sisestus 11 2" xfId="13078" xr:uid="{82C76C26-26E7-407E-8650-844CA670AFFD}"/>
    <cellStyle name="Sisestus 11 2 2" xfId="13079" xr:uid="{89A9B44A-13BC-43EE-9DE7-68922CF17351}"/>
    <cellStyle name="Sisestus 11 2 2 2" xfId="24548" xr:uid="{438E973D-9384-440B-AADA-7EE8BE908096}"/>
    <cellStyle name="Sisestus 11 2 3" xfId="13080" xr:uid="{06F56AA7-6AE9-4C7D-8BAB-B70365D683A8}"/>
    <cellStyle name="Sisestus 11 2 3 2" xfId="24549" xr:uid="{814580D1-5415-4138-AC0E-C61B610AB2BA}"/>
    <cellStyle name="Sisestus 11 2 4" xfId="24547" xr:uid="{33AA5666-4876-4395-9F68-A1859BD6B1EF}"/>
    <cellStyle name="Sisestus 11 3" xfId="13081" xr:uid="{7149B319-7408-4C79-B9BD-870ACD6B118A}"/>
    <cellStyle name="Sisestus 11 3 2" xfId="24550" xr:uid="{97DEB486-0508-4BAA-8D84-F31770D894E5}"/>
    <cellStyle name="Sisestus 11 4" xfId="13082" xr:uid="{0A1A95AD-D2D4-4F1D-A6E4-D0F25280D0B2}"/>
    <cellStyle name="Sisestus 11 4 2" xfId="24551" xr:uid="{021A7C47-7CE1-4DBD-9BC6-16474A27EB45}"/>
    <cellStyle name="Sisestus 11 5" xfId="24546" xr:uid="{59219C38-DF11-4F39-8E97-76622810F9DB}"/>
    <cellStyle name="Sisestus 12" xfId="13083" xr:uid="{B04E91A3-065E-4199-BE5D-1AA25E081B44}"/>
    <cellStyle name="Sisestus 12 2" xfId="13084" xr:uid="{3DCA3FF9-C737-44A3-B97D-607E2E0F8E39}"/>
    <cellStyle name="Sisestus 12 2 2" xfId="13085" xr:uid="{441F1DB8-9443-48CB-A8E9-94164E12E03E}"/>
    <cellStyle name="Sisestus 12 2 2 2" xfId="24554" xr:uid="{49351BBD-15C7-41D3-904A-61F293F1DEF5}"/>
    <cellStyle name="Sisestus 12 2 3" xfId="13086" xr:uid="{2DA0DCFF-1839-4E3F-B4A8-A443B0FD39DB}"/>
    <cellStyle name="Sisestus 12 2 3 2" xfId="24555" xr:uid="{075E1A6F-DA55-4C91-9B6C-C69DDD4BC231}"/>
    <cellStyle name="Sisestus 12 2 4" xfId="24553" xr:uid="{6B7C967E-2D41-4680-BA27-79FA88861D0B}"/>
    <cellStyle name="Sisestus 12 3" xfId="13087" xr:uid="{821B0535-0E3E-4E3F-BFAE-1D9626EE63E2}"/>
    <cellStyle name="Sisestus 12 3 2" xfId="24556" xr:uid="{1B4797BB-1F6A-4593-A306-2EE014FE040C}"/>
    <cellStyle name="Sisestus 12 4" xfId="13088" xr:uid="{49D5E64F-1A0C-4011-BD84-B3D5A989FF4F}"/>
    <cellStyle name="Sisestus 12 4 2" xfId="24557" xr:uid="{B9EF08ED-0DB7-467E-8CDD-1E2EAA827CB9}"/>
    <cellStyle name="Sisestus 12 5" xfId="24552" xr:uid="{CF397CF6-23E2-4D9A-8A4F-E9A24DEDBB8B}"/>
    <cellStyle name="Sisestus 13" xfId="13089" xr:uid="{BA1377AF-06BA-4F4F-9B4F-B1F019F6A198}"/>
    <cellStyle name="Sisestus 13 2" xfId="13090" xr:uid="{1AA44894-C246-49F6-9B8C-34037ACDE66F}"/>
    <cellStyle name="Sisestus 13 2 2" xfId="13091" xr:uid="{C577E4F7-43B0-4078-A240-0CBA105830CF}"/>
    <cellStyle name="Sisestus 13 2 2 2" xfId="24560" xr:uid="{FD6646B3-93F5-4192-9F70-5C19C20F0D30}"/>
    <cellStyle name="Sisestus 13 2 3" xfId="13092" xr:uid="{6EE266F4-4B85-442D-B827-F741D961521C}"/>
    <cellStyle name="Sisestus 13 2 3 2" xfId="24561" xr:uid="{1991FA15-895C-4FB3-98B2-2AF28D81078F}"/>
    <cellStyle name="Sisestus 13 2 4" xfId="24559" xr:uid="{98A4F73C-DCC6-4146-94BA-331CE7FA6997}"/>
    <cellStyle name="Sisestus 13 3" xfId="13093" xr:uid="{FB5BD538-46E3-47C1-8163-D976E2E9CA34}"/>
    <cellStyle name="Sisestus 13 3 2" xfId="24562" xr:uid="{63D772CA-CBA1-4C07-8AF6-7BA8B5DAF709}"/>
    <cellStyle name="Sisestus 13 4" xfId="13094" xr:uid="{069C116E-2FDC-4771-8E6E-874DA8DE6333}"/>
    <cellStyle name="Sisestus 13 4 2" xfId="24563" xr:uid="{8143A677-FB1B-4389-A3B5-DA168D13CEE5}"/>
    <cellStyle name="Sisestus 13 5" xfId="24558" xr:uid="{AEF59ECD-F585-4F0C-AC9B-BDA139C9BF3E}"/>
    <cellStyle name="Sisestus 14" xfId="13095" xr:uid="{82719951-44CA-4D8F-9AB3-124C3E3A8C04}"/>
    <cellStyle name="Sisestus 14 2" xfId="13096" xr:uid="{E5341500-9536-4D67-8535-425A15F1400D}"/>
    <cellStyle name="Sisestus 14 2 2" xfId="13097" xr:uid="{0EF83407-F269-438D-9759-FEDF07A57ECC}"/>
    <cellStyle name="Sisestus 14 2 2 2" xfId="24566" xr:uid="{50B92548-A816-47CF-A521-3B2FFC8D9068}"/>
    <cellStyle name="Sisestus 14 2 3" xfId="13098" xr:uid="{7B82875B-1391-43F0-9A6D-857093EBFBF1}"/>
    <cellStyle name="Sisestus 14 2 3 2" xfId="24567" xr:uid="{846F2402-1E35-4A73-B3DA-E70F3BFD32B3}"/>
    <cellStyle name="Sisestus 14 2 4" xfId="24565" xr:uid="{A6F803CB-97C4-49BE-B056-D380798A2FC6}"/>
    <cellStyle name="Sisestus 14 3" xfId="13099" xr:uid="{0D05F3C2-3F73-47F8-B2B6-795E64332704}"/>
    <cellStyle name="Sisestus 14 3 2" xfId="24568" xr:uid="{C173966D-BEDD-4B1E-94A2-400138B59A31}"/>
    <cellStyle name="Sisestus 14 4" xfId="13100" xr:uid="{3AA5F018-BC34-4A44-8A1A-2C4A9E62CAC0}"/>
    <cellStyle name="Sisestus 14 4 2" xfId="24569" xr:uid="{8F64DF54-5201-471F-B302-A97E07C584DE}"/>
    <cellStyle name="Sisestus 14 5" xfId="24564" xr:uid="{4AFB23E1-1777-4981-BD31-CFD17210B334}"/>
    <cellStyle name="Sisestus 15" xfId="13101" xr:uid="{0342910F-99CA-446A-91B0-BC3FEF838F12}"/>
    <cellStyle name="Sisestus 15 2" xfId="13102" xr:uid="{8308E498-A55D-4943-BB56-5370DEEE693A}"/>
    <cellStyle name="Sisestus 15 2 2" xfId="13103" xr:uid="{E021DBD9-FF9C-4CEE-885C-D4CBE21FDCBA}"/>
    <cellStyle name="Sisestus 15 2 2 2" xfId="24572" xr:uid="{4EFB270B-8961-4326-AC78-C3B8B9D1F9C4}"/>
    <cellStyle name="Sisestus 15 2 3" xfId="13104" xr:uid="{DE77AB19-1416-4475-B7A0-2B64561289FF}"/>
    <cellStyle name="Sisestus 15 2 3 2" xfId="24573" xr:uid="{9D611951-D63D-45EE-9666-4E2F416B05E5}"/>
    <cellStyle name="Sisestus 15 2 4" xfId="24571" xr:uid="{FCE9E79F-C349-4C3D-A05C-4370B87E1971}"/>
    <cellStyle name="Sisestus 15 3" xfId="13105" xr:uid="{D072D9C9-4AF1-436E-B1CC-47007D3C69AE}"/>
    <cellStyle name="Sisestus 15 3 2" xfId="24574" xr:uid="{2B641EEF-4B5B-48F0-88DE-2A7D34C51BED}"/>
    <cellStyle name="Sisestus 15 4" xfId="13106" xr:uid="{DDA038D8-0C13-4440-9863-FD6AC991DA7B}"/>
    <cellStyle name="Sisestus 15 4 2" xfId="24575" xr:uid="{00727972-4CF8-45B3-8BC5-6904053D1B62}"/>
    <cellStyle name="Sisestus 15 5" xfId="24570" xr:uid="{04A9B3C4-5EE6-48F4-8FD1-6E4053FFC1CD}"/>
    <cellStyle name="Sisestus 16" xfId="13107" xr:uid="{FC6F331D-9269-454C-BD54-86297CEDAE24}"/>
    <cellStyle name="Sisestus 16 2" xfId="13108" xr:uid="{308156D1-2C04-4A4C-BF7D-0D9D0B022B84}"/>
    <cellStyle name="Sisestus 16 2 2" xfId="13109" xr:uid="{BE9418E6-0FAE-459A-93E3-03358ADD6B53}"/>
    <cellStyle name="Sisestus 16 2 2 2" xfId="24578" xr:uid="{DDB0E1A5-C8E8-43FA-B206-B09BD6553EDB}"/>
    <cellStyle name="Sisestus 16 2 3" xfId="13110" xr:uid="{0250AC24-7E73-4740-902E-51739ACCD3A1}"/>
    <cellStyle name="Sisestus 16 2 3 2" xfId="24579" xr:uid="{105C0B32-11C7-435F-87E6-827AB756B9F3}"/>
    <cellStyle name="Sisestus 16 2 4" xfId="24577" xr:uid="{D9EEA0DA-D1EB-410E-B9A2-A7AB3D53387E}"/>
    <cellStyle name="Sisestus 16 3" xfId="13111" xr:uid="{D137CFE3-4683-47F9-9639-27311F41378B}"/>
    <cellStyle name="Sisestus 16 3 2" xfId="24580" xr:uid="{47F4FDFD-C457-42FD-8FEE-731890E658A2}"/>
    <cellStyle name="Sisestus 16 4" xfId="13112" xr:uid="{C8DBFDB5-86CC-48B3-BA04-42F798945733}"/>
    <cellStyle name="Sisestus 16 4 2" xfId="24581" xr:uid="{CD66D9D9-DAA0-4F38-9660-015FEB71C677}"/>
    <cellStyle name="Sisestus 16 5" xfId="24576" xr:uid="{AA1CA4C6-5893-4C57-9C95-BCE779CCC7F7}"/>
    <cellStyle name="Sisestus 17" xfId="13113" xr:uid="{7119F61A-5245-4A12-BEF2-401CB50E2ABF}"/>
    <cellStyle name="Sisestus 17 2" xfId="13114" xr:uid="{A16944F6-2B19-4A28-80B1-B6FE483E797A}"/>
    <cellStyle name="Sisestus 17 2 2" xfId="13115" xr:uid="{3C6A68B7-9A7B-4C46-BEDF-D90755EB8DA8}"/>
    <cellStyle name="Sisestus 17 2 2 2" xfId="24584" xr:uid="{568C4B2E-54EA-45FF-A9A9-A700764A10CF}"/>
    <cellStyle name="Sisestus 17 2 3" xfId="13116" xr:uid="{15362F87-D073-4986-AA79-350A3102A9E4}"/>
    <cellStyle name="Sisestus 17 2 3 2" xfId="24585" xr:uid="{0E1B7F0E-A3CF-4D13-93A5-E5C3D4748B2A}"/>
    <cellStyle name="Sisestus 17 2 4" xfId="24583" xr:uid="{1E0F5240-FB5E-4441-BBA4-D259880A9B60}"/>
    <cellStyle name="Sisestus 17 3" xfId="13117" xr:uid="{B1A3B31B-65F0-4264-A678-70F08D02AF18}"/>
    <cellStyle name="Sisestus 17 3 2" xfId="24586" xr:uid="{EB493672-7565-4C8F-97E1-D8BD31AC5DED}"/>
    <cellStyle name="Sisestus 17 4" xfId="13118" xr:uid="{D8FD8CF1-2F35-4915-9ED5-640C0E7F09D0}"/>
    <cellStyle name="Sisestus 17 4 2" xfId="24587" xr:uid="{2E0E28DC-A2C6-4107-9345-B96F92E979CB}"/>
    <cellStyle name="Sisestus 17 5" xfId="24582" xr:uid="{8901E44F-A158-4EFB-9091-010434F46CB8}"/>
    <cellStyle name="Sisestus 18" xfId="13119" xr:uid="{88746529-E695-4C68-A923-33DFCBB5DD88}"/>
    <cellStyle name="Sisestus 18 2" xfId="13120" xr:uid="{6266A160-EFF8-4EFE-A1F8-E9C5339615B1}"/>
    <cellStyle name="Sisestus 18 2 2" xfId="13121" xr:uid="{50C522E1-9E61-4F7F-BC71-DAF3F5D7AFDA}"/>
    <cellStyle name="Sisestus 18 2 2 2" xfId="24590" xr:uid="{5591E96B-D21E-42F7-AB6F-2003B986FAFD}"/>
    <cellStyle name="Sisestus 18 2 3" xfId="13122" xr:uid="{4C2B8D78-878B-401F-AC5F-292A0DBA77AF}"/>
    <cellStyle name="Sisestus 18 2 3 2" xfId="24591" xr:uid="{7C70CB77-8149-402A-9C07-803CE5189064}"/>
    <cellStyle name="Sisestus 18 2 4" xfId="24589" xr:uid="{AC3D85EF-2201-47A6-B30F-CEA21FF497DD}"/>
    <cellStyle name="Sisestus 18 3" xfId="13123" xr:uid="{16D64F85-5A43-43F3-85EB-7F4502ACDB4B}"/>
    <cellStyle name="Sisestus 18 3 2" xfId="24592" xr:uid="{3148F630-EBA6-495C-987C-28F3493FA564}"/>
    <cellStyle name="Sisestus 18 4" xfId="13124" xr:uid="{2988043E-ACCC-489A-8E2A-E3AB29EA5229}"/>
    <cellStyle name="Sisestus 18 4 2" xfId="24593" xr:uid="{248CA3D1-1667-4931-B85B-9161E05554FC}"/>
    <cellStyle name="Sisestus 18 5" xfId="24588" xr:uid="{18CE2F90-071A-43CA-955E-27F4E7FD2D01}"/>
    <cellStyle name="Sisestus 19" xfId="13125" xr:uid="{8EB7E997-0AE7-4C86-9BA5-C39DB3921D19}"/>
    <cellStyle name="Sisestus 19 2" xfId="13126" xr:uid="{889AA86A-A617-4988-8597-8A08DA87D7FC}"/>
    <cellStyle name="Sisestus 19 2 2" xfId="24595" xr:uid="{F6964229-6CA0-4CA5-B2F3-2E34FF45D811}"/>
    <cellStyle name="Sisestus 19 3" xfId="13127" xr:uid="{AFDFB450-9A75-4FDA-AEBD-D49506E44A8B}"/>
    <cellStyle name="Sisestus 19 3 2" xfId="24596" xr:uid="{158AD74E-3CFE-4E76-95BC-B1EC4A23AE5D}"/>
    <cellStyle name="Sisestus 19 4" xfId="24594" xr:uid="{BAD00C14-F5A8-4274-8508-8C67F90DCBEC}"/>
    <cellStyle name="Sisestus 2" xfId="13128" xr:uid="{43A76D12-6F86-42EE-B1C0-97DD54F5C1E9}"/>
    <cellStyle name="Sisestus 2 2" xfId="13129" xr:uid="{0EB09F12-DA1F-4308-8238-618137D82053}"/>
    <cellStyle name="Sisestus 2 2 2" xfId="13130" xr:uid="{EB6E3BFE-0FC8-4485-B1F3-85F60BAB2C47}"/>
    <cellStyle name="Sisestus 2 2 2 2" xfId="24599" xr:uid="{F6913040-7B42-47C7-BC40-D6D240120E48}"/>
    <cellStyle name="Sisestus 2 2 3" xfId="13131" xr:uid="{CD80ED2D-14B5-4435-BA5F-572234FB6C43}"/>
    <cellStyle name="Sisestus 2 2 3 2" xfId="24600" xr:uid="{FF6A14B2-C332-4DE8-BD90-5A413AFD03E2}"/>
    <cellStyle name="Sisestus 2 2 4" xfId="24598" xr:uid="{8DDFA989-1289-4B62-BD03-3ED3A36026F7}"/>
    <cellStyle name="Sisestus 2 3" xfId="13132" xr:uid="{17F49D37-C7D0-4C37-8CD6-F3163F05C28B}"/>
    <cellStyle name="Sisestus 2 3 2" xfId="13133" xr:uid="{87AB44D9-7C10-4D99-A73A-A96AAA3C6CB1}"/>
    <cellStyle name="Sisestus 2 3 2 2" xfId="24602" xr:uid="{7781E06E-849C-496B-AC0B-9566B401E2F4}"/>
    <cellStyle name="Sisestus 2 3 3" xfId="13134" xr:uid="{A2CB61FB-D23B-4B75-87D0-69CAC3E350CC}"/>
    <cellStyle name="Sisestus 2 3 3 2" xfId="24603" xr:uid="{C8AADF37-8E56-411F-9428-4F23D2765934}"/>
    <cellStyle name="Sisestus 2 3 4" xfId="24601" xr:uid="{1774E873-0F10-438C-8E3B-8462A7A76F3E}"/>
    <cellStyle name="Sisestus 2 4" xfId="13135" xr:uid="{54D38B16-4D41-45AA-BD49-8A5AA0F7E21E}"/>
    <cellStyle name="Sisestus 2 4 2" xfId="24604" xr:uid="{BA090FFB-16F9-40B3-9EE2-F4B1A2D9A278}"/>
    <cellStyle name="Sisestus 2 5" xfId="13136" xr:uid="{AAA71B35-9436-4711-912E-940F6851DF19}"/>
    <cellStyle name="Sisestus 2 5 2" xfId="24605" xr:uid="{077FC3F8-0848-46FD-81C9-E0C0A19DBDCF}"/>
    <cellStyle name="Sisestus 2 6" xfId="15413" xr:uid="{70699B68-2A0F-46B2-A1A9-DEA47F90C8D9}"/>
    <cellStyle name="Sisestus 2 7" xfId="24597" xr:uid="{A60EEA6A-4C2D-4CD3-A3C3-7A78FA029EFC}"/>
    <cellStyle name="Sisestus 2_RP3 PP revised" xfId="15053" xr:uid="{2A4133D4-7978-4A08-8008-EBDD570E8E65}"/>
    <cellStyle name="Sisestus 20" xfId="13137" xr:uid="{56B0FDAE-9E10-4CDE-8AFF-EB3D54F948DB}"/>
    <cellStyle name="Sisestus 20 2" xfId="13138" xr:uid="{FD0DB0FB-7970-4862-A018-5550EE550DDA}"/>
    <cellStyle name="Sisestus 20 2 2" xfId="24607" xr:uid="{BC8F2E41-160A-4124-9D9F-7FEBFC0CB487}"/>
    <cellStyle name="Sisestus 20 3" xfId="13139" xr:uid="{7B5C8209-A700-4E28-BC98-676A9C433659}"/>
    <cellStyle name="Sisestus 20 3 2" xfId="24608" xr:uid="{CB9B37A5-BC51-4F77-8A5D-6C1E16DD0C1B}"/>
    <cellStyle name="Sisestus 20 4" xfId="24606" xr:uid="{0E68DE3A-4721-48B9-8011-20FA759ABA68}"/>
    <cellStyle name="Sisestus 21" xfId="13140" xr:uid="{5CC1BE4B-84FD-4C06-8A01-4FEA356ECEBF}"/>
    <cellStyle name="Sisestus 21 2" xfId="24609" xr:uid="{8DE7B9C3-F188-42C3-B2EA-2E1337EF5632}"/>
    <cellStyle name="Sisestus 22" xfId="13141" xr:uid="{2BAFED31-D6FD-4AC2-85FF-F19C5EFF65DB}"/>
    <cellStyle name="Sisestus 22 2" xfId="24610" xr:uid="{18383C50-9C52-4270-B4CA-2C110DA0DDC2}"/>
    <cellStyle name="Sisestus 23" xfId="13142" xr:uid="{BB1CBA83-B6CC-4E28-B8A3-53EEAF0A7762}"/>
    <cellStyle name="Sisestus 23 2" xfId="24611" xr:uid="{F3DB33E9-29AF-437E-B61A-7A265F47C70C}"/>
    <cellStyle name="Sisestus 24" xfId="13143" xr:uid="{BA32AAA7-5FE6-493A-9B13-593F47FDCA63}"/>
    <cellStyle name="Sisestus 24 2" xfId="24612" xr:uid="{F484AB7E-92D0-4F9D-94CA-BE67A8DC1D4B}"/>
    <cellStyle name="Sisestus 25" xfId="15203" xr:uid="{32200CEE-BB5A-4D8F-920D-4519CBF66526}"/>
    <cellStyle name="Sisestus 3" xfId="13144" xr:uid="{CE5AD8D1-E582-48BA-8700-4EAB10B931A1}"/>
    <cellStyle name="Sisestus 3 2" xfId="13145" xr:uid="{6472E89B-6739-44E2-AA1A-3EB369AB1E06}"/>
    <cellStyle name="Sisestus 3 2 2" xfId="13146" xr:uid="{AAF7D657-E977-4850-AA81-8C0493EB8544}"/>
    <cellStyle name="Sisestus 3 2 2 2" xfId="24614" xr:uid="{894E67D3-B1C9-4E96-862D-5615B8D1BF4B}"/>
    <cellStyle name="Sisestus 3 2 3" xfId="13147" xr:uid="{924D5F87-BAF8-47B1-8EEA-44E2CD7855E7}"/>
    <cellStyle name="Sisestus 3 2 3 2" xfId="24615" xr:uid="{E7BB0219-BC95-4D97-85C7-874C02DC0739}"/>
    <cellStyle name="Sisestus 3 2 4" xfId="24613" xr:uid="{0AEE0D06-ED86-4AB6-AFF2-660FBC10849E}"/>
    <cellStyle name="Sisestus 3 3" xfId="13148" xr:uid="{598A65D2-D4BD-4EF0-A39A-EAB2B2C221E7}"/>
    <cellStyle name="Sisestus 3 3 2" xfId="24616" xr:uid="{B0B050FD-176E-4098-A282-ABF4C322B294}"/>
    <cellStyle name="Sisestus 3 4" xfId="13149" xr:uid="{202118F4-941A-43B0-85F8-8CAE548AA7BD}"/>
    <cellStyle name="Sisestus 3 4 2" xfId="24617" xr:uid="{A754E9A5-0DF1-472D-A0BA-0B676DB71781}"/>
    <cellStyle name="Sisestus 3 5" xfId="15414" xr:uid="{1D0766E0-BB50-4387-8880-BA50052C066A}"/>
    <cellStyle name="Sisestus 3_RP3 PP revised" xfId="15052" xr:uid="{5BA8F375-4CA5-4793-964D-00152740D939}"/>
    <cellStyle name="Sisestus 4" xfId="13150" xr:uid="{8C137243-BD17-4532-AB0C-916A2312BD40}"/>
    <cellStyle name="Sisestus 4 2" xfId="13151" xr:uid="{2AA7F3B0-FDE7-4C01-9121-F8B9E09ECE85}"/>
    <cellStyle name="Sisestus 4 2 2" xfId="13152" xr:uid="{8977A54F-BB09-41EE-84EB-88B3F0FEE48A}"/>
    <cellStyle name="Sisestus 4 2 2 2" xfId="24620" xr:uid="{0898E8F7-3884-4987-826D-288FF4D25855}"/>
    <cellStyle name="Sisestus 4 2 3" xfId="13153" xr:uid="{8B7246CB-DC58-47A6-A562-9F2BEF874FE4}"/>
    <cellStyle name="Sisestus 4 2 3 2" xfId="24621" xr:uid="{8BB6AE1D-EF0A-45DE-A7DC-845A80ED590F}"/>
    <cellStyle name="Sisestus 4 2 4" xfId="24619" xr:uid="{6B3A0003-A4AA-47D9-92A7-837CFE7A2E1A}"/>
    <cellStyle name="Sisestus 4 3" xfId="13154" xr:uid="{00769D28-01FB-4F54-AF31-8EA3B1EA04DC}"/>
    <cellStyle name="Sisestus 4 3 2" xfId="24622" xr:uid="{CFD45DC0-CF83-4DE6-87E2-2222B3EECE43}"/>
    <cellStyle name="Sisestus 4 4" xfId="13155" xr:uid="{ECC79BFA-D208-4F6C-83EF-7667FE69D9F7}"/>
    <cellStyle name="Sisestus 4 4 2" xfId="24623" xr:uid="{EC8AE571-B75A-43DA-B11B-2D8730124E64}"/>
    <cellStyle name="Sisestus 4 5" xfId="24618" xr:uid="{F29B519D-3746-4718-88AD-17A7119F6590}"/>
    <cellStyle name="Sisestus 5" xfId="13156" xr:uid="{D251206F-FF62-4DA2-9448-71778AF8DEA9}"/>
    <cellStyle name="Sisestus 5 2" xfId="13157" xr:uid="{94800F7A-68BC-410F-BC92-C671456FC7D9}"/>
    <cellStyle name="Sisestus 5 2 2" xfId="13158" xr:uid="{27381DD2-1EB9-4C35-A1BE-D9DE85BFB16C}"/>
    <cellStyle name="Sisestus 5 2 2 2" xfId="24626" xr:uid="{EF7E6F34-4E36-4E20-9A7B-56CAE618A789}"/>
    <cellStyle name="Sisestus 5 2 3" xfId="13159" xr:uid="{4F8097A1-38C2-4FEB-9D12-EDAF58BFFFC0}"/>
    <cellStyle name="Sisestus 5 2 3 2" xfId="24627" xr:uid="{25A6DAA9-EFF6-42D0-87CF-05857CC69FCF}"/>
    <cellStyle name="Sisestus 5 2 4" xfId="24625" xr:uid="{0A813EAA-6CBF-4E80-8C82-2FDC7492032A}"/>
    <cellStyle name="Sisestus 5 3" xfId="13160" xr:uid="{808CCA48-CA58-4B20-B5BD-662ED0FE0BA9}"/>
    <cellStyle name="Sisestus 5 3 2" xfId="24628" xr:uid="{6EE612C9-88F0-462F-B74E-D34735D90693}"/>
    <cellStyle name="Sisestus 5 4" xfId="13161" xr:uid="{6D5947BE-18D1-4853-AF08-86DD54E0B12E}"/>
    <cellStyle name="Sisestus 5 4 2" xfId="24629" xr:uid="{DBBA563C-0D66-4802-B746-76EE607344AC}"/>
    <cellStyle name="Sisestus 5 5" xfId="24624" xr:uid="{0A2638D3-0FCB-41F7-AF26-04573D6A5DDB}"/>
    <cellStyle name="Sisestus 6" xfId="13162" xr:uid="{C2F1648C-886A-4730-9928-EA94625E7F5E}"/>
    <cellStyle name="Sisestus 6 2" xfId="13163" xr:uid="{AFB77F3C-83E4-441A-8A84-1923159FB2DF}"/>
    <cellStyle name="Sisestus 6 2 2" xfId="13164" xr:uid="{733DCE4C-61C3-4DBA-92E3-3E2BA0606D35}"/>
    <cellStyle name="Sisestus 6 2 2 2" xfId="24632" xr:uid="{EC081A59-4A65-4D1D-919B-458A8B83A3FA}"/>
    <cellStyle name="Sisestus 6 2 3" xfId="13165" xr:uid="{20976BE5-734A-426A-8E08-835FF3F7562D}"/>
    <cellStyle name="Sisestus 6 2 3 2" xfId="24633" xr:uid="{1B492AB7-AFB5-4F8C-B847-202F4CB1BB8B}"/>
    <cellStyle name="Sisestus 6 2 4" xfId="24631" xr:uid="{569563AF-ED04-485D-8661-5E69BC7F3A97}"/>
    <cellStyle name="Sisestus 6 3" xfId="13166" xr:uid="{587A5BEF-D222-4F5F-8C08-C4CB3B5E0216}"/>
    <cellStyle name="Sisestus 6 3 2" xfId="24634" xr:uid="{C00F5A16-C078-4215-AC9D-4887526000C5}"/>
    <cellStyle name="Sisestus 6 4" xfId="13167" xr:uid="{73D24674-4792-4ECF-B23F-C3D2E2025C15}"/>
    <cellStyle name="Sisestus 6 4 2" xfId="24635" xr:uid="{CCC8CCA5-ECC1-4A6E-9417-13862C7C84FF}"/>
    <cellStyle name="Sisestus 6 5" xfId="24630" xr:uid="{BE10E122-1DC7-465D-9379-E966C0BCD960}"/>
    <cellStyle name="Sisestus 7" xfId="13168" xr:uid="{B70BE72A-0084-4511-9B79-C9D452637883}"/>
    <cellStyle name="Sisestus 7 2" xfId="13169" xr:uid="{47B05319-3E66-4388-8608-B5E2C014E606}"/>
    <cellStyle name="Sisestus 7 2 2" xfId="13170" xr:uid="{511964D9-3762-4DEF-B933-97793B083DD8}"/>
    <cellStyle name="Sisestus 7 2 2 2" xfId="24638" xr:uid="{78B1714A-7D06-4E2B-9C91-80150A68BFFA}"/>
    <cellStyle name="Sisestus 7 2 3" xfId="13171" xr:uid="{0BD18EF0-0977-4DCB-9333-7CCD5AAE1CAF}"/>
    <cellStyle name="Sisestus 7 2 3 2" xfId="24639" xr:uid="{852E08CE-322C-4A8C-9C6E-3B9946DA3ED6}"/>
    <cellStyle name="Sisestus 7 2 4" xfId="24637" xr:uid="{F441906E-DACA-4E87-9D6E-22DA597399BE}"/>
    <cellStyle name="Sisestus 7 3" xfId="13172" xr:uid="{EAC36FFA-9007-48EB-83D3-A7AD01EB659A}"/>
    <cellStyle name="Sisestus 7 3 2" xfId="24640" xr:uid="{E33AE8F3-09DF-45A7-B9AB-79A3DCBC9F88}"/>
    <cellStyle name="Sisestus 7 4" xfId="13173" xr:uid="{774724EB-B2B9-4112-B609-F40984831E02}"/>
    <cellStyle name="Sisestus 7 4 2" xfId="24641" xr:uid="{13E32AD5-8BFD-434C-97E5-462D933D6164}"/>
    <cellStyle name="Sisestus 7 5" xfId="24636" xr:uid="{0CD48D6A-4ACE-40EE-84B5-A2CBD49FDCA3}"/>
    <cellStyle name="Sisestus 8" xfId="13174" xr:uid="{E42FED16-56CF-411E-B97E-6D984287AF57}"/>
    <cellStyle name="Sisestus 8 2" xfId="13175" xr:uid="{87F65A20-57FE-48B3-B64F-3918EAA10070}"/>
    <cellStyle name="Sisestus 8 2 2" xfId="13176" xr:uid="{792A6CDC-E6E1-4F0A-BA72-F6AB1C0EBAD2}"/>
    <cellStyle name="Sisestus 8 2 2 2" xfId="24644" xr:uid="{82FA1079-2E9C-4944-B204-1115367A69B0}"/>
    <cellStyle name="Sisestus 8 2 3" xfId="13177" xr:uid="{C5A26FD1-4942-4BC1-A40A-9618D97F3E15}"/>
    <cellStyle name="Sisestus 8 2 3 2" xfId="24645" xr:uid="{F33E395F-F5DE-4FE6-B9BF-B674C90ECE28}"/>
    <cellStyle name="Sisestus 8 2 4" xfId="24643" xr:uid="{7128CF54-D7DA-48BD-B1DF-047B98795E06}"/>
    <cellStyle name="Sisestus 8 3" xfId="13178" xr:uid="{5D8B4D3E-FF10-4422-9EB2-9DB460AB6C24}"/>
    <cellStyle name="Sisestus 8 3 2" xfId="24646" xr:uid="{D9284A2E-7992-429D-91ED-7946C359CDE8}"/>
    <cellStyle name="Sisestus 8 4" xfId="13179" xr:uid="{7ED39BCD-255F-4A04-B96F-0DAF623195A0}"/>
    <cellStyle name="Sisestus 8 4 2" xfId="24647" xr:uid="{03FAEDE4-2A80-4035-AFBD-3D6B46AD4652}"/>
    <cellStyle name="Sisestus 8 5" xfId="24642" xr:uid="{1E0787FA-8F24-49BE-830F-C4A2C6372C0B}"/>
    <cellStyle name="Sisestus 9" xfId="13180" xr:uid="{7A3EE36E-3BF5-48C0-90B0-15CB54160939}"/>
    <cellStyle name="Sisestus 9 2" xfId="13181" xr:uid="{AA9A5508-188F-40C7-B736-DE4558B4274B}"/>
    <cellStyle name="Sisestus 9 2 2" xfId="13182" xr:uid="{2CCFFDB7-F62F-4475-AA5C-8AFF93211D97}"/>
    <cellStyle name="Sisestus 9 2 2 2" xfId="24650" xr:uid="{B81D1167-8ED3-4347-A1F5-FE95C0704A3E}"/>
    <cellStyle name="Sisestus 9 2 3" xfId="13183" xr:uid="{794C07A2-CEB4-49F5-A700-4004CECA888F}"/>
    <cellStyle name="Sisestus 9 2 3 2" xfId="24651" xr:uid="{4FE044BE-4F4B-496B-AF37-7166BE14CEB5}"/>
    <cellStyle name="Sisestus 9 2 4" xfId="24649" xr:uid="{63D8588D-A58E-4307-AE61-10764A201ABF}"/>
    <cellStyle name="Sisestus 9 3" xfId="13184" xr:uid="{6D3FEA9B-B308-4CBC-BC8A-460A66A2E64E}"/>
    <cellStyle name="Sisestus 9 3 2" xfId="24652" xr:uid="{B2F4186A-FE7F-41E9-90CA-82EC09E24D78}"/>
    <cellStyle name="Sisestus 9 4" xfId="13185" xr:uid="{1CC809E3-7058-464F-A40C-E6DDB2231ECF}"/>
    <cellStyle name="Sisestus 9 4 2" xfId="24653" xr:uid="{7DFE1E07-FB66-4903-A7E2-431878FF9856}"/>
    <cellStyle name="Sisestus 9 5" xfId="24648" xr:uid="{3EDB5769-95B5-44E5-8069-2313570A689E}"/>
    <cellStyle name="Sisestus_RP3 PP revised" xfId="15054" xr:uid="{DB516868-6483-40C7-9D12-C0D75E11FE5F}"/>
    <cellStyle name="Skaičiavimas" xfId="13186" xr:uid="{EF5D772B-F923-4E74-BCBA-0B5DD08DAA18}"/>
    <cellStyle name="Skaičiavimas 10" xfId="13187" xr:uid="{D43E4105-9F24-4D81-B3A7-9586E64A355E}"/>
    <cellStyle name="Skaičiavimas 10 2" xfId="13188" xr:uid="{30ECE0C7-BB25-41C9-97A5-7F922CC27CAB}"/>
    <cellStyle name="Skaičiavimas 10 2 2" xfId="13189" xr:uid="{646FBB60-3244-44C5-BCDB-45A777D7A424}"/>
    <cellStyle name="Skaičiavimas 10 2 2 2" xfId="24656" xr:uid="{96DA2750-39D8-499F-BE99-9C840CD3DD14}"/>
    <cellStyle name="Skaičiavimas 10 2 3" xfId="13190" xr:uid="{7551E64F-154D-41A6-9958-97C5A5A11E0F}"/>
    <cellStyle name="Skaičiavimas 10 2 3 2" xfId="24657" xr:uid="{18A57629-FADE-4522-B93A-55921E044725}"/>
    <cellStyle name="Skaičiavimas 10 2 4" xfId="24655" xr:uid="{15283A13-AB9B-405B-AFA4-8CD93B89F1D9}"/>
    <cellStyle name="Skaičiavimas 10 3" xfId="13191" xr:uid="{3821AD75-DC58-439C-BF7E-67605C0F58EB}"/>
    <cellStyle name="Skaičiavimas 10 3 2" xfId="24658" xr:uid="{6C51C3EB-4C6D-40E0-AE95-6A68BEB11031}"/>
    <cellStyle name="Skaičiavimas 10 4" xfId="13192" xr:uid="{A937C405-EDCE-440A-9E70-DEAA8EB22F2E}"/>
    <cellStyle name="Skaičiavimas 10 4 2" xfId="24659" xr:uid="{6E0743C2-FF72-4D80-9242-D43317EA3780}"/>
    <cellStyle name="Skaičiavimas 10 5" xfId="24654" xr:uid="{89023B10-A9E2-4CB5-8C68-B09B416B12AB}"/>
    <cellStyle name="Skaičiavimas 11" xfId="13193" xr:uid="{44085C4A-73DF-4BAA-9CD4-F9286AB4329F}"/>
    <cellStyle name="Skaičiavimas 11 2" xfId="13194" xr:uid="{5DC042A8-FEDC-4043-A0EF-D359D3006FB5}"/>
    <cellStyle name="Skaičiavimas 11 2 2" xfId="13195" xr:uid="{479AE916-3EC8-43EC-9524-77134B0EBED9}"/>
    <cellStyle name="Skaičiavimas 11 2 2 2" xfId="24662" xr:uid="{777B7283-549A-4BE1-ADD6-AC7DAB21192A}"/>
    <cellStyle name="Skaičiavimas 11 2 3" xfId="13196" xr:uid="{3E087B5B-CF36-4688-A129-4F145B6030C7}"/>
    <cellStyle name="Skaičiavimas 11 2 3 2" xfId="24663" xr:uid="{4B237CB6-B0B2-4AD4-A0DF-551735C21233}"/>
    <cellStyle name="Skaičiavimas 11 2 4" xfId="24661" xr:uid="{7ED89194-1038-4A71-A531-FB63C2276602}"/>
    <cellStyle name="Skaičiavimas 11 3" xfId="13197" xr:uid="{28A2E5E4-3F35-4095-A39D-FBA171BDA5A7}"/>
    <cellStyle name="Skaičiavimas 11 3 2" xfId="24664" xr:uid="{9B7BA8C9-BF46-4D89-AE5E-3B052438404B}"/>
    <cellStyle name="Skaičiavimas 11 4" xfId="13198" xr:uid="{B4F82B3C-52C6-4A21-9D32-5B5525F93F21}"/>
    <cellStyle name="Skaičiavimas 11 4 2" xfId="24665" xr:uid="{2438DF6C-38EC-4D6F-BCC6-028D41BA292E}"/>
    <cellStyle name="Skaičiavimas 11 5" xfId="24660" xr:uid="{31DD3F39-27AF-46EB-B7F7-456BD097E335}"/>
    <cellStyle name="Skaičiavimas 12" xfId="13199" xr:uid="{D2F4CADB-4BFD-4CBF-A20E-6F6519C73DFB}"/>
    <cellStyle name="Skaičiavimas 12 2" xfId="13200" xr:uid="{9769E81E-728A-4A54-ADD8-569660F39B07}"/>
    <cellStyle name="Skaičiavimas 12 2 2" xfId="13201" xr:uid="{9C73AEC7-80AF-468C-B70F-4F3CDD979281}"/>
    <cellStyle name="Skaičiavimas 12 2 2 2" xfId="24668" xr:uid="{22D03B56-1152-4285-8323-8C72D47F47BB}"/>
    <cellStyle name="Skaičiavimas 12 2 3" xfId="13202" xr:uid="{69E3F284-6AF1-4312-9916-40E3F9B73A6E}"/>
    <cellStyle name="Skaičiavimas 12 2 3 2" xfId="24669" xr:uid="{BE316C39-8375-4FEF-9C7C-DC9A432631BA}"/>
    <cellStyle name="Skaičiavimas 12 2 4" xfId="24667" xr:uid="{0A3CFD68-C0EE-43B5-AF08-03744419CEDB}"/>
    <cellStyle name="Skaičiavimas 12 3" xfId="13203" xr:uid="{1BEAEE3B-B53C-457B-A162-B5C551292C86}"/>
    <cellStyle name="Skaičiavimas 12 3 2" xfId="24670" xr:uid="{F634BA59-153B-430B-A840-58D29FDF5501}"/>
    <cellStyle name="Skaičiavimas 12 4" xfId="13204" xr:uid="{3E842AD7-CF3F-4A8F-958A-873D1DABB439}"/>
    <cellStyle name="Skaičiavimas 12 4 2" xfId="24671" xr:uid="{C9C575B1-2225-4AA2-9C3B-97DF5EA0C7C1}"/>
    <cellStyle name="Skaičiavimas 12 5" xfId="24666" xr:uid="{910F1D69-838B-4418-A6FF-EA59508E795A}"/>
    <cellStyle name="Skaičiavimas 13" xfId="13205" xr:uid="{4C30B8C8-C17C-4FD3-B326-78FAF60F3AF6}"/>
    <cellStyle name="Skaičiavimas 13 2" xfId="13206" xr:uid="{D93F319F-3D93-4A0E-97A1-406926615FFB}"/>
    <cellStyle name="Skaičiavimas 13 2 2" xfId="13207" xr:uid="{75DA44E5-CEE5-4744-9E48-880CF16833AF}"/>
    <cellStyle name="Skaičiavimas 13 2 2 2" xfId="24674" xr:uid="{45BE0CF3-8424-4B69-8A63-F9E1197B5B99}"/>
    <cellStyle name="Skaičiavimas 13 2 3" xfId="13208" xr:uid="{1472430B-C5C5-4106-A2EA-5101DAA4F0E0}"/>
    <cellStyle name="Skaičiavimas 13 2 3 2" xfId="24675" xr:uid="{23711C13-8957-49DB-B698-0B7573C21506}"/>
    <cellStyle name="Skaičiavimas 13 2 4" xfId="24673" xr:uid="{994BC6E9-E3E9-42BD-9FA6-60400F3E7F96}"/>
    <cellStyle name="Skaičiavimas 13 3" xfId="13209" xr:uid="{404A2BF8-FF46-4A37-BC56-3C514B5177AF}"/>
    <cellStyle name="Skaičiavimas 13 3 2" xfId="24676" xr:uid="{1DDAFB5B-AF6D-4B4C-BBB6-9F9A3D1E0251}"/>
    <cellStyle name="Skaičiavimas 13 4" xfId="13210" xr:uid="{69EA7D0A-D353-4D76-B308-87A491A9A825}"/>
    <cellStyle name="Skaičiavimas 13 4 2" xfId="24677" xr:uid="{47ECC397-8F6B-407A-A03C-30E48EEEB07F}"/>
    <cellStyle name="Skaičiavimas 13 5" xfId="24672" xr:uid="{1FDD695B-7C5A-45D2-B65E-5862A8904E8F}"/>
    <cellStyle name="Skaičiavimas 14" xfId="13211" xr:uid="{05A1177B-DEEC-4B43-A5A1-21F6CFF9B533}"/>
    <cellStyle name="Skaičiavimas 14 2" xfId="13212" xr:uid="{0CC4764E-0037-4CF0-97AE-0FA1D355C0D3}"/>
    <cellStyle name="Skaičiavimas 14 2 2" xfId="13213" xr:uid="{467940A2-D1A1-4CC1-A3FE-FF38D90B6D44}"/>
    <cellStyle name="Skaičiavimas 14 2 2 2" xfId="24680" xr:uid="{06FD0F9E-2302-44C2-8ECA-C01EF9B9700F}"/>
    <cellStyle name="Skaičiavimas 14 2 3" xfId="13214" xr:uid="{AF759B23-D5B0-4567-9878-499AFD485F1E}"/>
    <cellStyle name="Skaičiavimas 14 2 3 2" xfId="24681" xr:uid="{C1F0D749-6AD6-427E-9FF6-1633D2BE2A2A}"/>
    <cellStyle name="Skaičiavimas 14 2 4" xfId="24679" xr:uid="{1EF0605E-7CD9-4BCB-9325-F8EBC4C2B120}"/>
    <cellStyle name="Skaičiavimas 14 3" xfId="13215" xr:uid="{C82D2176-E7E0-410D-97AF-4D81C6D5FCA1}"/>
    <cellStyle name="Skaičiavimas 14 3 2" xfId="24682" xr:uid="{95AC8593-D0B1-4778-A9D5-667D5C854751}"/>
    <cellStyle name="Skaičiavimas 14 4" xfId="13216" xr:uid="{8823D7D3-49E5-4C01-953B-E5DAC51A84C7}"/>
    <cellStyle name="Skaičiavimas 14 4 2" xfId="24683" xr:uid="{262D4BE0-9F6B-47E0-9A61-AFB121009A23}"/>
    <cellStyle name="Skaičiavimas 14 5" xfId="24678" xr:uid="{5C804F5F-9A8C-4E86-8FC2-987CC2EC4A2C}"/>
    <cellStyle name="Skaičiavimas 15" xfId="13217" xr:uid="{E819BCB6-B55A-49A0-9181-E3703BCEE2BC}"/>
    <cellStyle name="Skaičiavimas 15 2" xfId="13218" xr:uid="{C395FEFA-CA70-4FF2-B24A-B94D92BF091C}"/>
    <cellStyle name="Skaičiavimas 15 2 2" xfId="13219" xr:uid="{B2792D30-D3A8-4DDA-80BF-4AB59CA9C4C9}"/>
    <cellStyle name="Skaičiavimas 15 2 2 2" xfId="24686" xr:uid="{99F5970C-C3AC-45D7-B87C-4876B1C04789}"/>
    <cellStyle name="Skaičiavimas 15 2 3" xfId="13220" xr:uid="{AA9122DA-744E-42AC-B0FB-F143FAD8CDE3}"/>
    <cellStyle name="Skaičiavimas 15 2 3 2" xfId="24687" xr:uid="{C6927708-3FC1-48C8-8852-A9F2ED78B7FF}"/>
    <cellStyle name="Skaičiavimas 15 2 4" xfId="24685" xr:uid="{72DFF749-98D3-4AF3-B02D-A50B6FF3AC65}"/>
    <cellStyle name="Skaičiavimas 15 3" xfId="13221" xr:uid="{9F6D00F9-E556-43A7-B99A-8C240DE55577}"/>
    <cellStyle name="Skaičiavimas 15 3 2" xfId="24688" xr:uid="{92B50E7B-E29A-459F-83D6-7BCDF4C235A0}"/>
    <cellStyle name="Skaičiavimas 15 4" xfId="13222" xr:uid="{C8B38A75-35DE-42C8-B000-58578582A71C}"/>
    <cellStyle name="Skaičiavimas 15 4 2" xfId="24689" xr:uid="{375E3DF3-6367-4983-B047-DDC28503990B}"/>
    <cellStyle name="Skaičiavimas 15 5" xfId="24684" xr:uid="{4A5065B3-37B4-4E3F-B505-2FF1BCB6C502}"/>
    <cellStyle name="Skaičiavimas 16" xfId="13223" xr:uid="{20CDE058-7284-4844-8EF3-DDEB562726F7}"/>
    <cellStyle name="Skaičiavimas 16 2" xfId="13224" xr:uid="{BDDEE67D-8048-42EE-988C-6D0DCF80B885}"/>
    <cellStyle name="Skaičiavimas 16 2 2" xfId="13225" xr:uid="{4FEEA1B5-7F94-4EA6-B24B-D5183564DD47}"/>
    <cellStyle name="Skaičiavimas 16 2 2 2" xfId="24692" xr:uid="{E7CFB7A0-5C2B-4DD1-B293-8C07A5210A8E}"/>
    <cellStyle name="Skaičiavimas 16 2 3" xfId="13226" xr:uid="{4015C156-0283-4A5F-9B33-6C4DF700A6F2}"/>
    <cellStyle name="Skaičiavimas 16 2 3 2" xfId="24693" xr:uid="{1361CAA9-F038-49C9-9920-D258A03A2929}"/>
    <cellStyle name="Skaičiavimas 16 2 4" xfId="24691" xr:uid="{57705083-A167-4A49-B4AE-BF2564615183}"/>
    <cellStyle name="Skaičiavimas 16 3" xfId="13227" xr:uid="{987AC00B-0FB1-4BD5-9AB0-539342174B4F}"/>
    <cellStyle name="Skaičiavimas 16 3 2" xfId="24694" xr:uid="{D988198B-FE8A-4599-AD5E-9DA02259F9C6}"/>
    <cellStyle name="Skaičiavimas 16 4" xfId="13228" xr:uid="{2031E037-AD91-44B2-BFEA-D020F22A812E}"/>
    <cellStyle name="Skaičiavimas 16 4 2" xfId="24695" xr:uid="{76CDA044-EFD0-4356-9260-EDE417B72CE1}"/>
    <cellStyle name="Skaičiavimas 16 5" xfId="24690" xr:uid="{1C91C748-4B96-421D-83FD-DBAD13D2D229}"/>
    <cellStyle name="Skaičiavimas 17" xfId="13229" xr:uid="{E2BBDABB-76C6-46BD-9914-37AD35D75C18}"/>
    <cellStyle name="Skaičiavimas 17 2" xfId="13230" xr:uid="{90CA5DFA-F1F1-4EC9-BB67-CC86B1E9E803}"/>
    <cellStyle name="Skaičiavimas 17 2 2" xfId="13231" xr:uid="{858DF666-C7E8-4697-8206-2A0852C774D4}"/>
    <cellStyle name="Skaičiavimas 17 2 2 2" xfId="24698" xr:uid="{5615E246-9D6C-4C7E-956B-09B7342C9A27}"/>
    <cellStyle name="Skaičiavimas 17 2 3" xfId="13232" xr:uid="{E3B240C1-2226-4322-A980-663EEFCF1862}"/>
    <cellStyle name="Skaičiavimas 17 2 3 2" xfId="24699" xr:uid="{42949593-37D7-47B6-942C-117E05439CDE}"/>
    <cellStyle name="Skaičiavimas 17 2 4" xfId="24697" xr:uid="{0B97AAA6-F77F-4228-B070-0754241C9134}"/>
    <cellStyle name="Skaičiavimas 17 3" xfId="13233" xr:uid="{5A00E172-B33D-4D18-876C-820F87C30404}"/>
    <cellStyle name="Skaičiavimas 17 3 2" xfId="24700" xr:uid="{133060AA-009E-4675-AD98-A1C9BB6E2D28}"/>
    <cellStyle name="Skaičiavimas 17 4" xfId="13234" xr:uid="{83C34545-03B1-40E9-ACEF-51D155FF9007}"/>
    <cellStyle name="Skaičiavimas 17 4 2" xfId="24701" xr:uid="{3C2A4741-FE36-445B-AA2E-000A7DA45C63}"/>
    <cellStyle name="Skaičiavimas 17 5" xfId="24696" xr:uid="{373F78B4-8FEA-426C-ACB7-A6626F66B775}"/>
    <cellStyle name="Skaičiavimas 18" xfId="13235" xr:uid="{8D414460-3A79-46A4-BE83-98BF92A36EF9}"/>
    <cellStyle name="Skaičiavimas 18 2" xfId="13236" xr:uid="{28D4796A-A19A-4080-A0AD-2A47C2640115}"/>
    <cellStyle name="Skaičiavimas 18 2 2" xfId="13237" xr:uid="{AAB2D7ED-ECC6-484D-9E1E-68717B201946}"/>
    <cellStyle name="Skaičiavimas 18 2 2 2" xfId="24704" xr:uid="{545B5DA4-FE06-4711-A649-A0D58F2847C9}"/>
    <cellStyle name="Skaičiavimas 18 2 3" xfId="13238" xr:uid="{989DFF02-FF78-4C08-AD6F-52907E9E1867}"/>
    <cellStyle name="Skaičiavimas 18 2 3 2" xfId="24705" xr:uid="{353189FC-BB1C-41AA-87F6-C2BF4A79995E}"/>
    <cellStyle name="Skaičiavimas 18 2 4" xfId="24703" xr:uid="{7DD407E0-F03F-495B-93BC-F5AE65855ACC}"/>
    <cellStyle name="Skaičiavimas 18 3" xfId="13239" xr:uid="{109D2E64-9E54-4D93-8A97-81DBA8B67185}"/>
    <cellStyle name="Skaičiavimas 18 3 2" xfId="24706" xr:uid="{31D74BAE-8E46-447A-A0A2-E9619A67BC17}"/>
    <cellStyle name="Skaičiavimas 18 4" xfId="13240" xr:uid="{ED285710-F081-4BCA-89B6-2A497AD42D1C}"/>
    <cellStyle name="Skaičiavimas 18 4 2" xfId="24707" xr:uid="{9D42B999-FEBE-4DF1-804C-C0A1E74148F0}"/>
    <cellStyle name="Skaičiavimas 18 5" xfId="24702" xr:uid="{A9263360-A085-4D7F-8FB8-BEE29E675462}"/>
    <cellStyle name="Skaičiavimas 19" xfId="13241" xr:uid="{B9216BFC-54A4-4CB4-8DD4-C7EC491FC322}"/>
    <cellStyle name="Skaičiavimas 19 2" xfId="13242" xr:uid="{E92A8AC5-014C-40BC-9D5B-28678645D403}"/>
    <cellStyle name="Skaičiavimas 19 2 2" xfId="24709" xr:uid="{5C9A8996-1598-4A78-AF5A-079772552489}"/>
    <cellStyle name="Skaičiavimas 19 3" xfId="13243" xr:uid="{9D5D10DA-6375-4BAE-BEDE-13506607303B}"/>
    <cellStyle name="Skaičiavimas 19 3 2" xfId="24710" xr:uid="{F90695FB-C17D-4BE3-9FA2-D7456F0101C6}"/>
    <cellStyle name="Skaičiavimas 19 4" xfId="24708" xr:uid="{1E6E56E0-78D8-4F89-900D-9574001B034C}"/>
    <cellStyle name="Skaičiavimas 2" xfId="13244" xr:uid="{A3732E09-1457-4ED7-A107-733549D4F9AE}"/>
    <cellStyle name="Skaičiavimas 2 2" xfId="13245" xr:uid="{936A9E4D-DBF5-40B1-9659-38FF708912A7}"/>
    <cellStyle name="Skaičiavimas 2 2 2" xfId="13246" xr:uid="{CDCBDAF9-2007-42F0-BCF2-137EF293DD00}"/>
    <cellStyle name="Skaičiavimas 2 2 2 2" xfId="24713" xr:uid="{C202AE4C-18C9-4BD5-9616-FD984EA1A728}"/>
    <cellStyle name="Skaičiavimas 2 2 3" xfId="13247" xr:uid="{EED47DB1-7E80-475D-938F-375F88579D1E}"/>
    <cellStyle name="Skaičiavimas 2 2 3 2" xfId="24714" xr:uid="{3F8D3A34-ABAC-44D5-83D5-DCDCF4CBC112}"/>
    <cellStyle name="Skaičiavimas 2 2 4" xfId="24712" xr:uid="{3C951067-1F91-4931-B3ED-2FDFB3816CB0}"/>
    <cellStyle name="Skaičiavimas 2 3" xfId="13248" xr:uid="{EA1AD9D5-F4D7-4C2B-B6DE-7869146C663B}"/>
    <cellStyle name="Skaičiavimas 2 3 2" xfId="24715" xr:uid="{09A89744-5257-485A-A0DA-CFEA380F4ACD}"/>
    <cellStyle name="Skaičiavimas 2 4" xfId="13249" xr:uid="{B8F57586-3A94-4511-9FC4-ACA072068880}"/>
    <cellStyle name="Skaičiavimas 2 4 2" xfId="24716" xr:uid="{54C3AC46-7CA3-45C4-9382-AA5A4D5E47EF}"/>
    <cellStyle name="Skaičiavimas 2 5" xfId="24711" xr:uid="{C37ACFB9-F12D-40D7-B92B-391AACC93747}"/>
    <cellStyle name="Skaičiavimas 20" xfId="13250" xr:uid="{CB897484-1DCD-4758-B090-F7C95498E1AD}"/>
    <cellStyle name="Skaičiavimas 20 2" xfId="24717" xr:uid="{34F33CF8-1475-4455-B785-D935BFB31843}"/>
    <cellStyle name="Skaičiavimas 21" xfId="13251" xr:uid="{BF81E8A9-EB59-4061-B6B6-46B183D42CE9}"/>
    <cellStyle name="Skaičiavimas 21 2" xfId="24718" xr:uid="{868E86ED-8529-4B07-B55E-987604799EC0}"/>
    <cellStyle name="Skaičiavimas 22" xfId="13252" xr:uid="{BB9D53AF-2201-4B72-9802-223D4403864E}"/>
    <cellStyle name="Skaičiavimas 22 2" xfId="24719" xr:uid="{8DA17A76-7A7C-46F5-A91A-641E0854C9BE}"/>
    <cellStyle name="Skaičiavimas 23" xfId="13253" xr:uid="{B5DEFF9E-A4C7-46CD-B97D-4DC662EEEDC4}"/>
    <cellStyle name="Skaičiavimas 23 2" xfId="24720" xr:uid="{B6FB5D21-9C7A-4E1B-AB76-002577A9FA20}"/>
    <cellStyle name="Skaičiavimas 24" xfId="15204" xr:uid="{460E9B63-5ED8-448D-BF13-9F11E03AFB43}"/>
    <cellStyle name="Skaičiavimas 3" xfId="13254" xr:uid="{C0080641-08F6-4998-BC74-E46AF332F14E}"/>
    <cellStyle name="Skaičiavimas 3 2" xfId="13255" xr:uid="{59596636-29AB-4EA2-8DD4-E973CD0AE037}"/>
    <cellStyle name="Skaičiavimas 3 2 2" xfId="13256" xr:uid="{789095A1-649C-421D-BCEC-B6920F44B816}"/>
    <cellStyle name="Skaičiavimas 3 2 2 2" xfId="24723" xr:uid="{37970B69-1D6B-4E82-A465-790DC4FC656A}"/>
    <cellStyle name="Skaičiavimas 3 2 3" xfId="13257" xr:uid="{44A1DB1F-63C7-43D4-B37B-46F839BDC603}"/>
    <cellStyle name="Skaičiavimas 3 2 3 2" xfId="24724" xr:uid="{A6EA69D0-CB9F-4392-BD1C-6D9E9AA8C516}"/>
    <cellStyle name="Skaičiavimas 3 2 4" xfId="24722" xr:uid="{B9034D85-EF11-43B4-8988-A624532364B8}"/>
    <cellStyle name="Skaičiavimas 3 3" xfId="13258" xr:uid="{2F13A56A-623E-4E0B-A29B-66EE3A497F47}"/>
    <cellStyle name="Skaičiavimas 3 3 2" xfId="24725" xr:uid="{4CCA7E3E-4E88-42A2-BABE-4F1156CF0989}"/>
    <cellStyle name="Skaičiavimas 3 4" xfId="13259" xr:uid="{AE3F114F-75F3-4803-AE2F-03288458E8DA}"/>
    <cellStyle name="Skaičiavimas 3 4 2" xfId="24726" xr:uid="{D76DA794-FB07-4556-8794-6C5EE03C34B5}"/>
    <cellStyle name="Skaičiavimas 3 5" xfId="24721" xr:uid="{F39046B2-1B8A-4C5D-9F4B-788878D04F21}"/>
    <cellStyle name="Skaičiavimas 4" xfId="13260" xr:uid="{6E09BC48-CB70-48D0-9B55-9D60A7E17A29}"/>
    <cellStyle name="Skaičiavimas 4 2" xfId="13261" xr:uid="{5B264A32-2D37-41AB-828D-AE9F077B5CBF}"/>
    <cellStyle name="Skaičiavimas 4 2 2" xfId="13262" xr:uid="{75E98B65-B2FE-4920-8992-61DE797EF225}"/>
    <cellStyle name="Skaičiavimas 4 2 2 2" xfId="24729" xr:uid="{BC4854A5-C8B8-4869-88D3-AF3DA7E2871E}"/>
    <cellStyle name="Skaičiavimas 4 2 3" xfId="13263" xr:uid="{E31CCEF7-BA95-4C33-BBF6-C39991D88110}"/>
    <cellStyle name="Skaičiavimas 4 2 3 2" xfId="24730" xr:uid="{C799DD78-32F6-49EA-9A37-37B38073DB83}"/>
    <cellStyle name="Skaičiavimas 4 2 4" xfId="24728" xr:uid="{93023401-D655-4DDB-B12C-3AC0D7A11FEA}"/>
    <cellStyle name="Skaičiavimas 4 3" xfId="13264" xr:uid="{E8CA2262-0A1A-4FC1-9F00-2A78335A2F45}"/>
    <cellStyle name="Skaičiavimas 4 3 2" xfId="24731" xr:uid="{B83D45A2-AE82-4847-9F1C-9F7F4B67D4E1}"/>
    <cellStyle name="Skaičiavimas 4 4" xfId="13265" xr:uid="{EF7058FC-9390-49EF-AF3C-358FF8CC586B}"/>
    <cellStyle name="Skaičiavimas 4 4 2" xfId="24732" xr:uid="{A13523EB-B829-4919-BEE6-3E83FD8C1901}"/>
    <cellStyle name="Skaičiavimas 4 5" xfId="24727" xr:uid="{9FD17F2C-16F5-4884-A622-55D5408BF464}"/>
    <cellStyle name="Skaičiavimas 5" xfId="13266" xr:uid="{D837D54F-12D0-446C-883A-A613DD1FEC8B}"/>
    <cellStyle name="Skaičiavimas 5 2" xfId="13267" xr:uid="{C0AAFBB8-CE9E-45D5-88FB-3398FE6C72BA}"/>
    <cellStyle name="Skaičiavimas 5 2 2" xfId="13268" xr:uid="{4D7A010E-531C-41F6-AD4E-439F3FA7A9E3}"/>
    <cellStyle name="Skaičiavimas 5 2 2 2" xfId="24735" xr:uid="{B40B210C-F575-4A98-8952-92B05E814958}"/>
    <cellStyle name="Skaičiavimas 5 2 3" xfId="13269" xr:uid="{A42E954B-D99C-42D0-BAF8-3E7943728ADF}"/>
    <cellStyle name="Skaičiavimas 5 2 3 2" xfId="24736" xr:uid="{006AB81F-E967-48A2-B4ED-5AF8A523316C}"/>
    <cellStyle name="Skaičiavimas 5 2 4" xfId="24734" xr:uid="{D929CB2C-5C64-470D-A475-053FE0CDF704}"/>
    <cellStyle name="Skaičiavimas 5 3" xfId="13270" xr:uid="{F879773B-40F3-434A-ABB6-FDB058F97570}"/>
    <cellStyle name="Skaičiavimas 5 3 2" xfId="24737" xr:uid="{243058A4-4627-4F46-AA95-B05FB61C8548}"/>
    <cellStyle name="Skaičiavimas 5 4" xfId="13271" xr:uid="{A744BBED-CDA3-436A-8B70-70EA22517416}"/>
    <cellStyle name="Skaičiavimas 5 4 2" xfId="24738" xr:uid="{96336D54-706B-4210-8E5F-D6874426E01E}"/>
    <cellStyle name="Skaičiavimas 5 5" xfId="24733" xr:uid="{E567D57F-08F1-413C-A074-BEC241C391DA}"/>
    <cellStyle name="Skaičiavimas 6" xfId="13272" xr:uid="{9FE5102C-80C3-4CCF-8DAD-382F4C4C549B}"/>
    <cellStyle name="Skaičiavimas 6 2" xfId="13273" xr:uid="{07BF3103-7323-465B-B53B-3535AD0DB535}"/>
    <cellStyle name="Skaičiavimas 6 2 2" xfId="13274" xr:uid="{CA24E6A0-654F-4564-A3EC-C84F073DE122}"/>
    <cellStyle name="Skaičiavimas 6 2 2 2" xfId="24741" xr:uid="{F21E79A7-BA4A-4FAA-B05A-CD2F273F74CC}"/>
    <cellStyle name="Skaičiavimas 6 2 3" xfId="13275" xr:uid="{09B9E593-77BB-4602-A9CF-EFE555B8219B}"/>
    <cellStyle name="Skaičiavimas 6 2 3 2" xfId="24742" xr:uid="{A312221C-A9F1-4DF0-B0EB-43F4C19394F5}"/>
    <cellStyle name="Skaičiavimas 6 2 4" xfId="24740" xr:uid="{F97A8277-690D-4DEC-858E-95844D280E73}"/>
    <cellStyle name="Skaičiavimas 6 3" xfId="13276" xr:uid="{4B7A8A4B-80E9-400D-BADE-3E98B87E131D}"/>
    <cellStyle name="Skaičiavimas 6 3 2" xfId="24743" xr:uid="{EC2C7E37-F1B6-47B2-B11E-2A9E43B610DE}"/>
    <cellStyle name="Skaičiavimas 6 4" xfId="13277" xr:uid="{F399B395-8BC3-4F71-B360-0B04C6B264B7}"/>
    <cellStyle name="Skaičiavimas 6 4 2" xfId="24744" xr:uid="{B37B59C8-6B52-440C-8E5F-9AD82B838464}"/>
    <cellStyle name="Skaičiavimas 6 5" xfId="24739" xr:uid="{159BD7E7-A841-42AD-ABFA-F916E80FCA12}"/>
    <cellStyle name="Skaičiavimas 7" xfId="13278" xr:uid="{08EC0024-C9BB-49C0-8480-8ED79A2BD53D}"/>
    <cellStyle name="Skaičiavimas 7 2" xfId="13279" xr:uid="{847069DF-8A98-437C-A9B0-B9B5D5134823}"/>
    <cellStyle name="Skaičiavimas 7 2 2" xfId="13280" xr:uid="{EC973D19-8B9E-48D2-9045-FEF031AF4F0A}"/>
    <cellStyle name="Skaičiavimas 7 2 2 2" xfId="24747" xr:uid="{9D49D4B8-4CF8-4DDF-9DB8-A46B4668ED32}"/>
    <cellStyle name="Skaičiavimas 7 2 3" xfId="13281" xr:uid="{79C51328-1840-486C-9090-5F2AF2276375}"/>
    <cellStyle name="Skaičiavimas 7 2 3 2" xfId="24748" xr:uid="{DA5151F6-E7E7-4E66-BB44-ADFEF24A6E59}"/>
    <cellStyle name="Skaičiavimas 7 2 4" xfId="24746" xr:uid="{6DA474AC-B8B9-4B82-AC09-D727DD5C7D6F}"/>
    <cellStyle name="Skaičiavimas 7 3" xfId="13282" xr:uid="{996A21B0-DD29-4F70-BCE3-F9D63DBE57CE}"/>
    <cellStyle name="Skaičiavimas 7 3 2" xfId="24749" xr:uid="{C868D14B-F055-428D-AA04-175DEC3ABF36}"/>
    <cellStyle name="Skaičiavimas 7 4" xfId="13283" xr:uid="{310B41C6-142A-4C79-8F0E-B7B77106522F}"/>
    <cellStyle name="Skaičiavimas 7 4 2" xfId="24750" xr:uid="{D59E6941-81E9-4BD6-818C-A88430E01D18}"/>
    <cellStyle name="Skaičiavimas 7 5" xfId="24745" xr:uid="{84972768-F3A9-481E-BE5C-310032858AFD}"/>
    <cellStyle name="Skaičiavimas 8" xfId="13284" xr:uid="{F60B406E-0B4F-49D9-BF5D-342501A2F611}"/>
    <cellStyle name="Skaičiavimas 8 2" xfId="13285" xr:uid="{DCDE9281-1CE0-4169-BCCA-A72445798167}"/>
    <cellStyle name="Skaičiavimas 8 2 2" xfId="13286" xr:uid="{065ABA91-6947-4FD0-962B-C9C05686C26F}"/>
    <cellStyle name="Skaičiavimas 8 2 2 2" xfId="24753" xr:uid="{8A605236-B096-486D-AD2D-FE4B88183C61}"/>
    <cellStyle name="Skaičiavimas 8 2 3" xfId="13287" xr:uid="{68877C8B-1195-4DA2-80FF-6116A8BE02F7}"/>
    <cellStyle name="Skaičiavimas 8 2 3 2" xfId="24754" xr:uid="{2F94CCDA-9D18-4AE5-B5F9-9A4127E8E81E}"/>
    <cellStyle name="Skaičiavimas 8 2 4" xfId="24752" xr:uid="{385FC856-3185-44BA-AF86-D594942A5107}"/>
    <cellStyle name="Skaičiavimas 8 3" xfId="13288" xr:uid="{1D66F3D5-2B50-4960-B752-01E6B5EBB3F0}"/>
    <cellStyle name="Skaičiavimas 8 3 2" xfId="24755" xr:uid="{9562DFA6-9A64-4BEB-9AE5-550BC4F95696}"/>
    <cellStyle name="Skaičiavimas 8 4" xfId="13289" xr:uid="{F1CD8DCD-C2BF-4B59-AA8C-F157BE568937}"/>
    <cellStyle name="Skaičiavimas 8 4 2" xfId="24756" xr:uid="{0A04DB87-E59C-45F5-BED5-607CCDD3F676}"/>
    <cellStyle name="Skaičiavimas 8 5" xfId="24751" xr:uid="{98D43EAB-CD74-4A2B-BDDD-C30A9F59EFF1}"/>
    <cellStyle name="Skaičiavimas 9" xfId="13290" xr:uid="{A1D3E5A6-29CD-4176-BD5C-D22097567152}"/>
    <cellStyle name="Skaičiavimas 9 2" xfId="13291" xr:uid="{5437DEF2-6806-4011-B200-810C3019EBE1}"/>
    <cellStyle name="Skaičiavimas 9 2 2" xfId="13292" xr:uid="{7A666F48-4504-43E9-B8E7-992E51E6A82F}"/>
    <cellStyle name="Skaičiavimas 9 2 2 2" xfId="24759" xr:uid="{CB43F8BC-3FA3-4FD2-90E0-7833EEAFBFEE}"/>
    <cellStyle name="Skaičiavimas 9 2 3" xfId="13293" xr:uid="{F67B2029-CE76-4181-9AE9-3B47001E11CC}"/>
    <cellStyle name="Skaičiavimas 9 2 3 2" xfId="24760" xr:uid="{D4882720-9948-44CE-8AEA-C50B05CB0FF8}"/>
    <cellStyle name="Skaičiavimas 9 2 4" xfId="24758" xr:uid="{E4AAB048-8AAD-4D24-A73F-0F067B4F6D79}"/>
    <cellStyle name="Skaičiavimas 9 3" xfId="13294" xr:uid="{B16CF3A7-625C-4E8E-A356-65421ACC54F6}"/>
    <cellStyle name="Skaičiavimas 9 3 2" xfId="24761" xr:uid="{9DE329E9-7001-4747-86E4-929E7163118C}"/>
    <cellStyle name="Skaičiavimas 9 4" xfId="13295" xr:uid="{9C7280CB-D82F-4BAE-B56D-11DFB737976C}"/>
    <cellStyle name="Skaičiavimas 9 4 2" xfId="24762" xr:uid="{F60ED6B4-BBAC-4D02-AA4F-58D84ED044B6}"/>
    <cellStyle name="Skaičiavimas 9 5" xfId="24757" xr:uid="{84126ED0-2FB9-4EBA-8BAC-5FB014F7873D}"/>
    <cellStyle name="Skaičiavimas_PGM_CHECK" xfId="14906" xr:uid="{330A178A-5212-49F2-9CD0-5DF89DAD13F9}"/>
    <cellStyle name="Small" xfId="13296" xr:uid="{285713EB-ECFA-42B9-8EEE-734A3E7284BE}"/>
    <cellStyle name="Sortie" xfId="15205" xr:uid="{51E8F5FF-2B7E-41AE-BD6F-12F0765F360F}"/>
    <cellStyle name="Sortie 10" xfId="13297" xr:uid="{B0EA0F9A-53B8-49B5-9F41-A89B79941F74}"/>
    <cellStyle name="Sortie 10 2" xfId="13298" xr:uid="{8DC296BB-1446-4FF4-9659-1E2DF7BCB6D9}"/>
    <cellStyle name="Sortie 10 2 2" xfId="13299" xr:uid="{25B9AC8A-5E16-4490-876B-F8D5C9A1FBCF}"/>
    <cellStyle name="Sortie 10 2 2 2" xfId="24765" xr:uid="{0116E324-FD13-46D0-AF9C-27078C02B57A}"/>
    <cellStyle name="Sortie 10 2 3" xfId="13300" xr:uid="{2CDFF3FA-FF9F-4968-A0A0-C30DA6EAF3BC}"/>
    <cellStyle name="Sortie 10 2 3 2" xfId="24766" xr:uid="{A5E88D06-A3C2-4E26-A512-22F35A247478}"/>
    <cellStyle name="Sortie 10 2 4" xfId="24764" xr:uid="{44D4A35B-A712-4684-8E30-B88784310FD4}"/>
    <cellStyle name="Sortie 10 3" xfId="13301" xr:uid="{C46ED6BA-F09E-4333-ADDE-22B14965FC1B}"/>
    <cellStyle name="Sortie 10 3 2" xfId="24767" xr:uid="{2D2991E1-4620-4D6B-A918-591815563C21}"/>
    <cellStyle name="Sortie 10 4" xfId="13302" xr:uid="{20821CDC-5CEA-477E-BBD2-4C82B25A48B3}"/>
    <cellStyle name="Sortie 10 4 2" xfId="24768" xr:uid="{D1E14666-F74F-4175-BAEF-EF3B23318D53}"/>
    <cellStyle name="Sortie 10 5" xfId="24763" xr:uid="{5627591E-D807-492F-A091-00C4A75A58CC}"/>
    <cellStyle name="Sortie 11" xfId="13303" xr:uid="{17844DA2-3D5B-4767-A5CB-27DE2E5E59C1}"/>
    <cellStyle name="Sortie 11 2" xfId="13304" xr:uid="{65684F85-4F3F-43D8-86D2-2CC859DAD2E0}"/>
    <cellStyle name="Sortie 11 2 2" xfId="13305" xr:uid="{D6D0358A-57D1-442B-8352-055336A26017}"/>
    <cellStyle name="Sortie 11 2 2 2" xfId="24771" xr:uid="{D57E0843-44E2-427C-BA10-A748E78020E8}"/>
    <cellStyle name="Sortie 11 2 3" xfId="13306" xr:uid="{336C6162-B133-4895-A012-3F3623900858}"/>
    <cellStyle name="Sortie 11 2 3 2" xfId="24772" xr:uid="{AF79A29C-63BD-4819-A9BB-BF06D879F590}"/>
    <cellStyle name="Sortie 11 2 4" xfId="24770" xr:uid="{91D5D5B7-8B95-4716-A1B9-D7FC626B12F6}"/>
    <cellStyle name="Sortie 11 3" xfId="13307" xr:uid="{7E41A258-0275-4484-BDAB-C349DF1556F2}"/>
    <cellStyle name="Sortie 11 3 2" xfId="24773" xr:uid="{749D070C-1C60-4E6E-A803-3949E472E20C}"/>
    <cellStyle name="Sortie 11 4" xfId="13308" xr:uid="{18391F8F-C5F5-46BB-9B87-CE05E9503993}"/>
    <cellStyle name="Sortie 11 4 2" xfId="24774" xr:uid="{31E31EB5-2607-4166-AA2F-4A337D2EDAA8}"/>
    <cellStyle name="Sortie 11 5" xfId="24769" xr:uid="{C78C5B39-F246-4A51-965A-58758EC55911}"/>
    <cellStyle name="Sortie 12" xfId="13309" xr:uid="{15DF6A64-BAE6-49F3-8D9A-EF54A7776377}"/>
    <cellStyle name="Sortie 12 2" xfId="13310" xr:uid="{BA6288AF-A29A-40D5-9300-5EB9F14A4A5C}"/>
    <cellStyle name="Sortie 12 2 2" xfId="13311" xr:uid="{151E5958-C8FB-4289-BB4D-D58F21E377C4}"/>
    <cellStyle name="Sortie 12 2 2 2" xfId="24777" xr:uid="{EA8AEF65-64C0-495E-BA57-F4C87B0D9DFE}"/>
    <cellStyle name="Sortie 12 2 3" xfId="13312" xr:uid="{BFC3F96D-E02F-486B-A329-AF6F711B8ADD}"/>
    <cellStyle name="Sortie 12 2 3 2" xfId="24778" xr:uid="{9BF03369-7D23-493A-BEED-646E1A16B503}"/>
    <cellStyle name="Sortie 12 2 4" xfId="24776" xr:uid="{B52DF05A-F909-413C-B971-742DE393225F}"/>
    <cellStyle name="Sortie 12 3" xfId="13313" xr:uid="{4568A741-123A-4508-9E1B-A70BA62997EF}"/>
    <cellStyle name="Sortie 12 3 2" xfId="24779" xr:uid="{E4BE022B-49DD-472A-A870-15DEE723CF3B}"/>
    <cellStyle name="Sortie 12 4" xfId="13314" xr:uid="{E3FB57A2-2BEB-4CF6-AEDE-0C99C6BEE00E}"/>
    <cellStyle name="Sortie 12 4 2" xfId="24780" xr:uid="{155C67F0-D01A-4822-9BA3-386CA58FF340}"/>
    <cellStyle name="Sortie 12 5" xfId="24775" xr:uid="{40655EBC-7564-49AF-AA07-C685793DF938}"/>
    <cellStyle name="Sortie 13" xfId="13315" xr:uid="{9773E164-F6C7-4145-8567-DDEF24C1F193}"/>
    <cellStyle name="Sortie 13 2" xfId="13316" xr:uid="{C3883094-E23B-44D2-A313-C1FF1F2362AC}"/>
    <cellStyle name="Sortie 13 2 2" xfId="13317" xr:uid="{78D8BA79-DFD4-4059-B501-8558937C5988}"/>
    <cellStyle name="Sortie 13 2 2 2" xfId="24783" xr:uid="{BB5B7973-CF80-4A49-8E29-D26655BDEC2F}"/>
    <cellStyle name="Sortie 13 2 3" xfId="13318" xr:uid="{AAC04CD8-0A94-4286-8D13-556F92AC84FE}"/>
    <cellStyle name="Sortie 13 2 3 2" xfId="24784" xr:uid="{FA6EFE8E-5277-4325-9635-A9F5F8DF2757}"/>
    <cellStyle name="Sortie 13 2 4" xfId="24782" xr:uid="{A8716479-19F2-45F0-9831-B393395E5077}"/>
    <cellStyle name="Sortie 13 3" xfId="13319" xr:uid="{AB87C9AD-CFB4-4A1F-AEC3-F8D5BFC7D602}"/>
    <cellStyle name="Sortie 13 3 2" xfId="24785" xr:uid="{83EB625F-E5C8-405A-BED8-9D3B392783E1}"/>
    <cellStyle name="Sortie 13 4" xfId="13320" xr:uid="{5E8C79CE-BB07-4F5F-8523-94478EA24E69}"/>
    <cellStyle name="Sortie 13 4 2" xfId="24786" xr:uid="{3F773529-B50A-4252-B3DE-36B5F9E3EEA6}"/>
    <cellStyle name="Sortie 13 5" xfId="24781" xr:uid="{87436EAD-0B3C-4D14-9B68-967874C883D0}"/>
    <cellStyle name="Sortie 14" xfId="13321" xr:uid="{843600AF-05FC-4FD2-B894-5D5AA48A7E37}"/>
    <cellStyle name="Sortie 14 2" xfId="13322" xr:uid="{EB9DC94A-B61C-4CA2-9B39-07438B652557}"/>
    <cellStyle name="Sortie 14 2 2" xfId="13323" xr:uid="{366ECF8D-98DD-4A8A-81EA-FD76FA83610E}"/>
    <cellStyle name="Sortie 14 2 2 2" xfId="24789" xr:uid="{85582EAD-0EBF-44FA-B62E-1129E4ABF973}"/>
    <cellStyle name="Sortie 14 2 3" xfId="13324" xr:uid="{94C341C9-4FE1-4972-9873-3178E0FD8105}"/>
    <cellStyle name="Sortie 14 2 3 2" xfId="24790" xr:uid="{548D31B6-FF24-4A51-8AF6-8ED628CD3336}"/>
    <cellStyle name="Sortie 14 2 4" xfId="24788" xr:uid="{97BB6C55-3E75-4457-9DA4-C1E4023EFFCB}"/>
    <cellStyle name="Sortie 14 3" xfId="13325" xr:uid="{C6176E03-0F99-4FBB-A19E-BEFC3A4AEF2E}"/>
    <cellStyle name="Sortie 14 3 2" xfId="24791" xr:uid="{E848B36A-1EE1-4433-B82A-309531CD0060}"/>
    <cellStyle name="Sortie 14 4" xfId="13326" xr:uid="{B4A36B14-AED7-4871-944D-2B3CF4E219E2}"/>
    <cellStyle name="Sortie 14 4 2" xfId="24792" xr:uid="{06A66026-E967-4566-8628-D50AE3078216}"/>
    <cellStyle name="Sortie 14 5" xfId="24787" xr:uid="{3DF64BDC-6BD6-4DEB-AFF2-FB7287B9537E}"/>
    <cellStyle name="Sortie 15" xfId="13327" xr:uid="{0D2F2D21-3A60-4724-B8CF-5B5E641D36F5}"/>
    <cellStyle name="Sortie 15 2" xfId="13328" xr:uid="{7144BD30-177B-4283-AE56-44DBD34AB869}"/>
    <cellStyle name="Sortie 15 2 2" xfId="13329" xr:uid="{06625CF5-AE40-4859-A16D-8D66C094A445}"/>
    <cellStyle name="Sortie 15 2 2 2" xfId="24795" xr:uid="{D583F77F-229C-4BE8-91B8-8D2248B093E2}"/>
    <cellStyle name="Sortie 15 2 3" xfId="13330" xr:uid="{78E82227-60F9-4EE0-83A6-F58FE2384810}"/>
    <cellStyle name="Sortie 15 2 3 2" xfId="24796" xr:uid="{BAFD04B5-0AC8-47CC-AA3E-880A4E7F6FE3}"/>
    <cellStyle name="Sortie 15 2 4" xfId="24794" xr:uid="{37D6BDEA-6E8A-44D9-B17E-4CB138AD9DFD}"/>
    <cellStyle name="Sortie 15 3" xfId="13331" xr:uid="{55DA8918-08EA-4CC9-83E2-2ED552170725}"/>
    <cellStyle name="Sortie 15 3 2" xfId="24797" xr:uid="{DE93B73F-F553-40EB-B64E-B1B3894C2B17}"/>
    <cellStyle name="Sortie 15 4" xfId="13332" xr:uid="{FA4D2CA6-0B19-4A6E-AACC-4E594DCEA2A7}"/>
    <cellStyle name="Sortie 15 4 2" xfId="24798" xr:uid="{0AC93BC7-9394-42FD-88E7-B3D50AC34A49}"/>
    <cellStyle name="Sortie 15 5" xfId="24793" xr:uid="{203EA8A6-A8D5-4177-BC27-AC18756AA340}"/>
    <cellStyle name="Sortie 16" xfId="13333" xr:uid="{80412249-AC22-49E2-8DA8-C6D9EB7742FB}"/>
    <cellStyle name="Sortie 16 2" xfId="13334" xr:uid="{085F38AE-4EA3-4765-93A1-C7F9982C55AD}"/>
    <cellStyle name="Sortie 16 2 2" xfId="24800" xr:uid="{C3787743-32C5-4D91-9E85-13BCADE42EEB}"/>
    <cellStyle name="Sortie 16 3" xfId="13335" xr:uid="{1080D935-787B-4377-A4B5-8FF1E29E131E}"/>
    <cellStyle name="Sortie 16 3 2" xfId="24801" xr:uid="{C12A3354-1AF1-4A6F-8410-4E9657A5F788}"/>
    <cellStyle name="Sortie 16 4" xfId="24799" xr:uid="{7F45A379-9C03-40B9-A9FF-E5E9FEDD5E16}"/>
    <cellStyle name="Sortie 17" xfId="13336" xr:uid="{F7C5D433-EE7A-481D-BDE0-7CF5E14B22A8}"/>
    <cellStyle name="Sortie 17 2" xfId="13337" xr:uid="{C9C0F2D9-85A2-4C3F-A2EA-17CE90D9B553}"/>
    <cellStyle name="Sortie 17 2 2" xfId="24803" xr:uid="{6F53BB21-FF39-4E4B-B560-9388F1C96AC3}"/>
    <cellStyle name="Sortie 17 3" xfId="13338" xr:uid="{81D3441A-9798-458E-BB06-CFE7DE8CA586}"/>
    <cellStyle name="Sortie 17 3 2" xfId="24804" xr:uid="{4CDCD3CD-242A-4B13-8234-9BC97780C993}"/>
    <cellStyle name="Sortie 17 4" xfId="24802" xr:uid="{53955180-1225-41D8-96BF-3411A05F0CFD}"/>
    <cellStyle name="Sortie 2" xfId="13339" xr:uid="{690B43CE-97E8-48DC-8EF9-557BEBEF9A98}"/>
    <cellStyle name="Sortie 2 2" xfId="13340" xr:uid="{D6382DE3-DC00-4B34-93A4-2EEB4AECC066}"/>
    <cellStyle name="Sortie 2 2 2" xfId="13341" xr:uid="{FC8DD4FE-4D4B-4B35-911B-2283EF7EF031}"/>
    <cellStyle name="Sortie 2 2 2 2" xfId="13342" xr:uid="{594B08B2-9C8A-4FF3-AE57-2F75F8438C67}"/>
    <cellStyle name="Sortie 2 2 2 2 2" xfId="24807" xr:uid="{D8D35F0B-8E01-48DD-B6BF-79F839AA4ACA}"/>
    <cellStyle name="Sortie 2 2 2 3" xfId="24806" xr:uid="{FBAC4C2B-AFE4-42E3-B435-58F98B14D9EB}"/>
    <cellStyle name="Sortie 2 2 3" xfId="13343" xr:uid="{9AC9AE96-9BF9-44B6-8C29-DAFD75E2C94C}"/>
    <cellStyle name="Sortie 2 2 3 2" xfId="13344" xr:uid="{729C70B4-103C-4A66-8E4A-17A143C394BD}"/>
    <cellStyle name="Sortie 2 2 3 2 2" xfId="24809" xr:uid="{98FC9F47-6FAB-4E75-8BDC-9880F2D44733}"/>
    <cellStyle name="Sortie 2 2 3 3" xfId="24808" xr:uid="{79256956-21C1-4E69-8F09-1F7B61695B81}"/>
    <cellStyle name="Sortie 2 2 4" xfId="13345" xr:uid="{58468CC2-7E2E-4A93-9DDA-047B3C92A2FE}"/>
    <cellStyle name="Sortie 2 2 4 2" xfId="13346" xr:uid="{603C51B8-F789-4502-83DA-957B415F9DA2}"/>
    <cellStyle name="Sortie 2 2 4 2 2" xfId="24811" xr:uid="{99100918-6F0B-4F72-A9C4-30C723771D92}"/>
    <cellStyle name="Sortie 2 2 4 3" xfId="24810" xr:uid="{93244717-1C06-44D0-8AA0-B24D8D1429A6}"/>
    <cellStyle name="Sortie 2 2 5" xfId="13347" xr:uid="{32E55CAD-0B77-4206-8DD9-C18580080013}"/>
    <cellStyle name="Sortie 2 2 5 2" xfId="24812" xr:uid="{2A7F27A5-ED4E-437E-9470-0EA650DE5C60}"/>
    <cellStyle name="Sortie 2 2 6" xfId="24805" xr:uid="{4F9C83DD-6AD3-4FB6-A7C6-C1409836EE68}"/>
    <cellStyle name="Sortie 2 3" xfId="13348" xr:uid="{48223E5D-84D4-48DA-8171-14E6C3443318}"/>
    <cellStyle name="Sortie 2 3 2" xfId="13349" xr:uid="{B431F472-E19F-47DD-AE17-83210F0757F8}"/>
    <cellStyle name="Sortie 2 3 2 2" xfId="24814" xr:uid="{3136D196-5F67-47EA-A705-0AD7052FB6CF}"/>
    <cellStyle name="Sortie 2 3 3" xfId="24813" xr:uid="{ED2485E7-9514-40DF-BE15-42199CA254E3}"/>
    <cellStyle name="Sortie 2 4" xfId="13350" xr:uid="{72F77801-6056-441A-AC52-E2E677A3AD7C}"/>
    <cellStyle name="Sortie 2 4 2" xfId="13351" xr:uid="{7DB03871-1FCF-4B4C-B0F9-098B81701E57}"/>
    <cellStyle name="Sortie 2 4 2 2" xfId="24816" xr:uid="{21860AED-A408-4049-AB69-76B5A2A56E9E}"/>
    <cellStyle name="Sortie 2 4 3" xfId="24815" xr:uid="{1CA248A9-41CA-4302-B0D4-925F66C7173B}"/>
    <cellStyle name="Sortie 2 5" xfId="13352" xr:uid="{9B79E758-2D91-4DC4-8383-3E0B44BD18D4}"/>
    <cellStyle name="Sortie 2 5 2" xfId="13353" xr:uid="{888102F6-89A5-4A9A-83DF-EDF916F72239}"/>
    <cellStyle name="Sortie 2 5 2 2" xfId="24818" xr:uid="{F4BB0098-CD8E-4905-A7BC-D1B0AD9DCB39}"/>
    <cellStyle name="Sortie 2 5 3" xfId="24817" xr:uid="{027E6288-365C-46F0-8D86-7AF735CB2EBE}"/>
    <cellStyle name="Sortie 2 6" xfId="13354" xr:uid="{5FE7B7E1-1FEF-49E5-9CA2-F2A875BF247B}"/>
    <cellStyle name="Sortie 2 6 2" xfId="24819" xr:uid="{361F7630-B8E6-4085-8B4E-0A8C2CA28B38}"/>
    <cellStyle name="Sortie 2 7" xfId="15415" xr:uid="{FFD2A231-4855-42D9-87F1-A16E4BE819BF}"/>
    <cellStyle name="Sortie 2_130725 DSNA 2011 Dossier de révision initial" xfId="14888" xr:uid="{6EAC9577-7E82-4CA2-B165-2EBB4D1045D8}"/>
    <cellStyle name="Sortie 3" xfId="13355" xr:uid="{C7D9099C-29FB-474F-9998-70ED411042B1}"/>
    <cellStyle name="Sortie 3 2" xfId="13356" xr:uid="{629B1DC2-8A7A-43D3-B910-AD481CCEBE69}"/>
    <cellStyle name="Sortie 3 2 2" xfId="13357" xr:uid="{48C2D7DF-5721-4A0C-833F-17D50E6B61AA}"/>
    <cellStyle name="Sortie 3 2 2 2" xfId="24822" xr:uid="{22CAAAAA-8450-4555-9FA7-AA65366A1D20}"/>
    <cellStyle name="Sortie 3 2 3" xfId="13358" xr:uid="{4CF16EE8-7666-4932-B3AD-2A8B0A2BE3BF}"/>
    <cellStyle name="Sortie 3 2 3 2" xfId="24823" xr:uid="{A4C58255-4FC8-4D08-94C2-03F0009389F9}"/>
    <cellStyle name="Sortie 3 2 4" xfId="24821" xr:uid="{96D44836-A9B5-4058-8302-00E1279DDD44}"/>
    <cellStyle name="Sortie 3 3" xfId="13359" xr:uid="{581E996B-E940-4014-97C6-2655C798C4FB}"/>
    <cellStyle name="Sortie 3 3 2" xfId="13360" xr:uid="{FBCF4CA8-FFE1-4F01-91D7-BC59FB6438AD}"/>
    <cellStyle name="Sortie 3 3 2 2" xfId="24825" xr:uid="{2A5F26CD-0B45-4041-8E7A-27448C344D46}"/>
    <cellStyle name="Sortie 3 3 3" xfId="24824" xr:uid="{6F2B10FD-7908-4A46-BE35-640789205F1E}"/>
    <cellStyle name="Sortie 3 4" xfId="13361" xr:uid="{554993BD-7826-4DE8-99C9-55AE4FE2C77F}"/>
    <cellStyle name="Sortie 3 4 2" xfId="13362" xr:uid="{A2517194-9987-45E1-B081-E33C1D8DB7FC}"/>
    <cellStyle name="Sortie 3 4 2 2" xfId="24827" xr:uid="{A257ECA3-DE35-4EFB-B38E-5B62F99C29CA}"/>
    <cellStyle name="Sortie 3 4 3" xfId="24826" xr:uid="{583EE1FB-ECAD-4DEA-AAF5-73BE75016437}"/>
    <cellStyle name="Sortie 3 5" xfId="13363" xr:uid="{4CC21741-8CDE-4E82-B248-CB356016EB99}"/>
    <cellStyle name="Sortie 3 5 2" xfId="24828" xr:uid="{D913F879-E89B-4009-964E-A668D359A6CC}"/>
    <cellStyle name="Sortie 3 6" xfId="13364" xr:uid="{C5D92C09-2A1D-458C-A7B6-16752C25BF4F}"/>
    <cellStyle name="Sortie 3 6 2" xfId="24829" xr:uid="{AC581105-1B9E-47CB-B319-E00D99B767C3}"/>
    <cellStyle name="Sortie 3 7" xfId="24820" xr:uid="{DD6810C1-8011-4679-B789-E1E08B384385}"/>
    <cellStyle name="Sortie 4" xfId="13365" xr:uid="{C67C65AA-E625-493D-A59B-2E9BA8719FA5}"/>
    <cellStyle name="Sortie 4 2" xfId="13366" xr:uid="{2A7629F6-EDAC-4CCA-B6FB-EE77AAD7ACBC}"/>
    <cellStyle name="Sortie 4 2 2" xfId="13367" xr:uid="{411B90F0-0A0C-48FD-BC02-E117A6EFF102}"/>
    <cellStyle name="Sortie 4 2 3" xfId="13368" xr:uid="{CDF5ED6E-5554-4C0B-9F0D-7CD6833867B1}"/>
    <cellStyle name="Sortie 4 2 3 2" xfId="24830" xr:uid="{8B998EF1-220A-4703-A28E-E7537C28556C}"/>
    <cellStyle name="Sortie 4 2 4" xfId="13369" xr:uid="{EF901868-3A8D-4E90-8E17-8550FED42F73}"/>
    <cellStyle name="Sortie 4 2 4 2" xfId="24831" xr:uid="{90366EEF-C753-41C2-BFE8-842A15AF8C9E}"/>
    <cellStyle name="Sortie 4 3" xfId="13370" xr:uid="{51784653-38DF-48E6-999E-1A96AADEF82B}"/>
    <cellStyle name="Sortie 4 3 2" xfId="13371" xr:uid="{90794CA7-91EC-472F-AC4B-4018B8790A1C}"/>
    <cellStyle name="Sortie 4 3 3" xfId="13372" xr:uid="{2C098B29-33CD-4EE3-8EA2-73C59D6EBFF1}"/>
    <cellStyle name="Sortie 4 3 3 2" xfId="24832" xr:uid="{7785268D-242D-457F-92E9-416B568AE181}"/>
    <cellStyle name="Sortie 4 4" xfId="13373" xr:uid="{0532EA56-AC01-48F3-93E9-EB0FBBCEA868}"/>
    <cellStyle name="Sortie 4 4 2" xfId="24833" xr:uid="{1CBCC4BB-A774-4AA3-BEB8-B49235611609}"/>
    <cellStyle name="Sortie 4 5" xfId="13374" xr:uid="{57D4B159-E865-4586-9343-6A2D65F0BA5D}"/>
    <cellStyle name="Sortie 4 5 2" xfId="24834" xr:uid="{CC2E3D1C-82B1-4587-9060-A229C91FD963}"/>
    <cellStyle name="Sortie 5" xfId="13375" xr:uid="{2A5E2BFB-7EA3-46E0-B267-38262F5BCED6}"/>
    <cellStyle name="Sortie 5 2" xfId="13376" xr:uid="{7E364E78-AC18-42E2-9FBB-DE76BFE5BB8D}"/>
    <cellStyle name="Sortie 5 2 2" xfId="13377" xr:uid="{B56A1114-98AD-4169-8A8F-D918E0AC91D8}"/>
    <cellStyle name="Sortie 5 2 2 2" xfId="24837" xr:uid="{EE3BB573-D66A-41AF-BBF1-FB1D727CAA8F}"/>
    <cellStyle name="Sortie 5 2 3" xfId="13378" xr:uid="{03295038-BD9B-40FA-BE73-04C9F36E7255}"/>
    <cellStyle name="Sortie 5 2 3 2" xfId="24838" xr:uid="{997D44DB-4029-41A3-ADB9-7600D0BED2BE}"/>
    <cellStyle name="Sortie 5 2 4" xfId="24836" xr:uid="{529C6666-4311-4A51-8B75-63DB10EF723E}"/>
    <cellStyle name="Sortie 5 3" xfId="13379" xr:uid="{439D5606-C3E6-44F6-9F86-5745B9AE184B}"/>
    <cellStyle name="Sortie 5 3 2" xfId="13380" xr:uid="{892BCAF5-CCB7-4F89-A894-B56F9B96CE51}"/>
    <cellStyle name="Sortie 5 3 2 2" xfId="24840" xr:uid="{A82B71A9-52B5-4403-BDB1-B16DD7F98772}"/>
    <cellStyle name="Sortie 5 3 3" xfId="24839" xr:uid="{134D92D9-7764-4EAF-9B9B-D01BF17F0F42}"/>
    <cellStyle name="Sortie 5 4" xfId="13381" xr:uid="{D242F434-BE77-4A27-8AED-74A982244697}"/>
    <cellStyle name="Sortie 5 4 2" xfId="24841" xr:uid="{31AF987B-644E-4B47-81BB-B9581E9EA073}"/>
    <cellStyle name="Sortie 5 5" xfId="13382" xr:uid="{8EB60A19-2D1C-4ED7-BC72-BEFC09EB2E68}"/>
    <cellStyle name="Sortie 5 5 2" xfId="24842" xr:uid="{E903E830-0422-4A9E-BAE6-58B3F567AA24}"/>
    <cellStyle name="Sortie 5 6" xfId="13383" xr:uid="{D73A0EFB-F0C5-4608-9489-5D7FDED304D7}"/>
    <cellStyle name="Sortie 5 6 2" xfId="24843" xr:uid="{7EAB2E76-DE26-4FB2-A73F-24E50890A1D4}"/>
    <cellStyle name="Sortie 5 7" xfId="24835" xr:uid="{A362EDD1-1643-4C5A-9FCE-020B9670B8EC}"/>
    <cellStyle name="Sortie 6" xfId="13384" xr:uid="{B84C630A-FE9B-4505-BDDA-5E020AC06EFE}"/>
    <cellStyle name="Sortie 6 2" xfId="13385" xr:uid="{22DF88CC-98CA-4E43-A665-02FC88EFB093}"/>
    <cellStyle name="Sortie 6 2 2" xfId="13386" xr:uid="{054773D1-4D95-49C0-A045-3B694210424B}"/>
    <cellStyle name="Sortie 6 2 2 2" xfId="24846" xr:uid="{F292165F-D830-4A7F-AAC5-7CAB31AB3C2E}"/>
    <cellStyle name="Sortie 6 2 3" xfId="13387" xr:uid="{E6ED1EB5-5DD0-40D9-A949-10553A3CE4C1}"/>
    <cellStyle name="Sortie 6 2 3 2" xfId="24847" xr:uid="{1F132327-1959-4C00-9A4E-C41828ADEB21}"/>
    <cellStyle name="Sortie 6 2 4" xfId="24845" xr:uid="{F2F7D9BF-7F7C-409F-9F74-FDF149028063}"/>
    <cellStyle name="Sortie 6 3" xfId="13388" xr:uid="{21EC7B0F-610C-48DE-B8A7-9B907A12818E}"/>
    <cellStyle name="Sortie 6 3 2" xfId="24848" xr:uid="{B2A39FB0-543B-4DAA-900F-259099519982}"/>
    <cellStyle name="Sortie 6 4" xfId="13389" xr:uid="{54C10616-8765-4B47-9DA0-F77E7C5E3C6C}"/>
    <cellStyle name="Sortie 6 4 2" xfId="24849" xr:uid="{8C9D19CE-4C6E-418B-AF3A-8F7E1FC2F9A6}"/>
    <cellStyle name="Sortie 6 5" xfId="24844" xr:uid="{9F078C93-6C53-402D-8966-DD91EAA8F543}"/>
    <cellStyle name="Sortie 7" xfId="13390" xr:uid="{C0CA7F27-4DF6-489B-ACF8-E9A24DF57AD2}"/>
    <cellStyle name="Sortie 7 2" xfId="13391" xr:uid="{F4A8479A-5497-418E-8F28-B118B46F62F4}"/>
    <cellStyle name="Sortie 7 2 2" xfId="13392" xr:uid="{815C446A-11E8-43CB-AC88-E3E9035FC8E9}"/>
    <cellStyle name="Sortie 7 2 2 2" xfId="24852" xr:uid="{80DFC44E-6D57-48E4-8A84-443C7F040869}"/>
    <cellStyle name="Sortie 7 2 3" xfId="13393" xr:uid="{49D0DC2A-6174-4601-8F19-95017750BD2F}"/>
    <cellStyle name="Sortie 7 2 3 2" xfId="24853" xr:uid="{92935A5D-6E2D-4BAE-B275-1DAC0BCAC2BA}"/>
    <cellStyle name="Sortie 7 2 4" xfId="24851" xr:uid="{73F174BC-7395-4CC9-A4B1-10045B3D0D34}"/>
    <cellStyle name="Sortie 7 3" xfId="13394" xr:uid="{7C559DFC-9678-4FF9-BC9F-F2FCA77D38BC}"/>
    <cellStyle name="Sortie 7 3 2" xfId="24854" xr:uid="{8A687D07-9B65-488F-96BE-B76AF1ECE1CD}"/>
    <cellStyle name="Sortie 7 4" xfId="13395" xr:uid="{45D36457-CEDC-438F-8FDA-400DBF5841D4}"/>
    <cellStyle name="Sortie 7 4 2" xfId="24855" xr:uid="{C9C958FA-9796-4699-A3D9-BD6EF37C69DB}"/>
    <cellStyle name="Sortie 7 5" xfId="24850" xr:uid="{0B04D1B8-6776-42BE-A6DC-DE66F6DE3DBD}"/>
    <cellStyle name="Sortie 8" xfId="13396" xr:uid="{F8BC7B2D-FD4F-4998-80B3-44EF37F72A81}"/>
    <cellStyle name="Sortie 8 2" xfId="13397" xr:uid="{EDB7F444-C180-4859-81EE-AD6413D66A4E}"/>
    <cellStyle name="Sortie 8 2 2" xfId="13398" xr:uid="{8B06A6A5-0B93-431F-9658-3DFBFB8E850E}"/>
    <cellStyle name="Sortie 8 2 2 2" xfId="24858" xr:uid="{D8036F74-EBC7-4587-9551-ADD2DBB0D4EB}"/>
    <cellStyle name="Sortie 8 2 3" xfId="13399" xr:uid="{8063F646-0A61-4291-9CA4-DB0ACEEFEF00}"/>
    <cellStyle name="Sortie 8 2 3 2" xfId="24859" xr:uid="{00A848BD-E63C-45FD-95EA-711A5EA0D01B}"/>
    <cellStyle name="Sortie 8 2 4" xfId="24857" xr:uid="{9A07B675-AB6D-45F2-B35B-B780A4517B34}"/>
    <cellStyle name="Sortie 8 3" xfId="13400" xr:uid="{5C527CDF-E163-4DED-8E8A-222501018E1D}"/>
    <cellStyle name="Sortie 8 3 2" xfId="24860" xr:uid="{1AAE8EE6-30F5-4EA1-BAA9-9C7865F59E8D}"/>
    <cellStyle name="Sortie 8 4" xfId="13401" xr:uid="{75C4625C-12ED-4670-916E-04BE925D9B49}"/>
    <cellStyle name="Sortie 8 4 2" xfId="24861" xr:uid="{F5C74B5B-F994-4AD7-A956-9616271C84CE}"/>
    <cellStyle name="Sortie 8 5" xfId="24856" xr:uid="{7AE8143F-ECBC-4FE9-BB19-0281C8208DAE}"/>
    <cellStyle name="Sortie 9" xfId="13402" xr:uid="{5A24E93F-23EF-46F7-AF7C-4DD3DC821A34}"/>
    <cellStyle name="Sortie 9 2" xfId="13403" xr:uid="{216B44BA-AD52-48EE-89E9-D827657DE247}"/>
    <cellStyle name="Sortie 9 2 2" xfId="13404" xr:uid="{A2DCE96A-FF17-4D7D-9205-75913E9D9367}"/>
    <cellStyle name="Sortie 9 2 2 2" xfId="24864" xr:uid="{B77E6291-C08E-4143-809F-D1948FD07EA6}"/>
    <cellStyle name="Sortie 9 2 3" xfId="13405" xr:uid="{52BDD0F0-C5B0-4187-B0B2-3E8277781DC5}"/>
    <cellStyle name="Sortie 9 2 3 2" xfId="24865" xr:uid="{6FA6C29E-B831-496B-942E-00E09C72ED37}"/>
    <cellStyle name="Sortie 9 2 4" xfId="24863" xr:uid="{01F636D1-D529-4223-B952-3B99F46EFEA1}"/>
    <cellStyle name="Sortie 9 3" xfId="13406" xr:uid="{26FD0A85-505A-4B56-BD18-01E34AB77665}"/>
    <cellStyle name="Sortie 9 3 2" xfId="24866" xr:uid="{75D044CD-8C33-4781-964F-5CDC4DCC304E}"/>
    <cellStyle name="Sortie 9 4" xfId="13407" xr:uid="{9772FCD5-89FC-4163-8743-28650B62C1AB}"/>
    <cellStyle name="Sortie 9 4 2" xfId="24867" xr:uid="{67903040-995F-4606-9E0C-9D0D8F4319FA}"/>
    <cellStyle name="Sortie 9 5" xfId="24862" xr:uid="{0319E5A8-1656-409F-9B9A-FBE6775F87F3}"/>
    <cellStyle name="Source Field - Green" xfId="13408" xr:uid="{F4F5A418-5A14-4C62-BF2A-755AF0D76ECF}"/>
    <cellStyle name="Source Field - Green 2" xfId="13409" xr:uid="{FF1F17A2-8995-45E8-9CA9-ADEEF90878A7}"/>
    <cellStyle name="Source Field - Green 3" xfId="13410" xr:uid="{04C0A5A6-62D5-4D25-83E0-7EE5A639BE36}"/>
    <cellStyle name="Správně" xfId="13411" xr:uid="{78EA73CD-C27A-43EB-9661-4A6FE9843B4E}"/>
    <cellStyle name="ss1" xfId="13412" xr:uid="{6B5068A7-1919-4560-A440-80829D4B5A14}"/>
    <cellStyle name="ss1 2" xfId="13413" xr:uid="{F1987643-5890-4EBB-A935-E8DFE66DF475}"/>
    <cellStyle name="ss10" xfId="13414" xr:uid="{D9459EB0-55C0-48EE-BE6E-DC04B8BB2536}"/>
    <cellStyle name="ss10 2" xfId="13415" xr:uid="{6D45D0E2-D5B3-48F8-9E21-3EC2B6F8B108}"/>
    <cellStyle name="ss11" xfId="13416" xr:uid="{55EEA8F1-533D-4D0B-9CF6-A0F070D0F671}"/>
    <cellStyle name="ss11 2" xfId="13417" xr:uid="{4C0362E4-5FBF-4914-A050-6E214F775D34}"/>
    <cellStyle name="ss12" xfId="13418" xr:uid="{F0FC8447-5509-4EFB-AC73-8647447E8903}"/>
    <cellStyle name="ss12 2" xfId="13419" xr:uid="{431F8501-5F29-4F9A-94F2-11F89EC8FC12}"/>
    <cellStyle name="ss13" xfId="13420" xr:uid="{10378814-2970-4B0E-A093-8DED24318B96}"/>
    <cellStyle name="ss13 2" xfId="13421" xr:uid="{82D7CAB2-D902-47A6-AE65-6FA4980ECD18}"/>
    <cellStyle name="ss14" xfId="13422" xr:uid="{20EF6491-26A8-47DA-9E48-0FEFC892F1F9}"/>
    <cellStyle name="ss14 2" xfId="13423" xr:uid="{3E099DC3-F5D1-4F40-A27F-2336F7793962}"/>
    <cellStyle name="ss15" xfId="13424" xr:uid="{46BC5F06-BBC6-4249-B238-3ED35EEB9D19}"/>
    <cellStyle name="ss15 2" xfId="13425" xr:uid="{4B33036C-5494-42F3-8C14-2A3DAF18E95B}"/>
    <cellStyle name="ss16" xfId="13426" xr:uid="{E9328715-9D04-4577-9F9F-A07240929841}"/>
    <cellStyle name="ss16 2" xfId="13427" xr:uid="{DC9EA240-F994-426B-9967-C764DE80ED5B}"/>
    <cellStyle name="ss17" xfId="13428" xr:uid="{3A281B3F-F055-413D-AC1B-8FC2AECC624A}"/>
    <cellStyle name="ss18" xfId="13429" xr:uid="{046D334D-FF4F-4B06-BEF8-1E331D75A3B7}"/>
    <cellStyle name="ss19" xfId="13430" xr:uid="{41C8914D-2267-4597-BAF2-CE571D61162E}"/>
    <cellStyle name="ss2" xfId="13431" xr:uid="{8884B499-EDBB-44F3-A218-A149CF201197}"/>
    <cellStyle name="ss20" xfId="13432" xr:uid="{8743BF27-BD22-4411-8856-1029FB90D4A1}"/>
    <cellStyle name="ss21" xfId="13433" xr:uid="{FB8DB4B8-B27D-4DAD-828B-7146F14737D8}"/>
    <cellStyle name="ss22" xfId="13434" xr:uid="{D3380FD5-8727-474E-BC1C-8F3C1FE19576}"/>
    <cellStyle name="ss23" xfId="13435" xr:uid="{D9ED57C9-274C-4045-B948-B6DC945E37AF}"/>
    <cellStyle name="ss23 2" xfId="24868" xr:uid="{09929276-9453-4524-8E3D-BD83B95BB84C}"/>
    <cellStyle name="ss23 2 2" xfId="25879" xr:uid="{133A8F8A-9881-4E88-9622-BE3D3E894653}"/>
    <cellStyle name="ss23 2 3" xfId="25849" xr:uid="{5A1AE636-8758-48B0-A17A-0FA5956D3AF2}"/>
    <cellStyle name="ss23 2 4" xfId="25865" xr:uid="{DD331682-CB24-4BF7-9509-1A04E09A51E3}"/>
    <cellStyle name="ss23 3" xfId="25834" xr:uid="{89322D5C-56B8-46EA-9687-B4C15578EC74}"/>
    <cellStyle name="ss23 3 2" xfId="25891" xr:uid="{B0767AF2-554A-46EA-9DF9-ACB875D02AAF}"/>
    <cellStyle name="ss23 3 3" xfId="25899" xr:uid="{A8B67BF0-F217-4810-968F-B70D24A29165}"/>
    <cellStyle name="ss24" xfId="13436" xr:uid="{FAEF7BBE-FA03-4A25-9E36-975C579E2B1A}"/>
    <cellStyle name="ss24 2" xfId="24869" xr:uid="{C7D0EDD8-C9DA-4217-83F3-C2FB2A2C8E64}"/>
    <cellStyle name="ss24 2 2" xfId="25880" xr:uid="{4F3E49E7-E9A5-482C-96FC-01EA3168DE24}"/>
    <cellStyle name="ss24 2 3" xfId="25848" xr:uid="{25CA249D-DC5F-41BC-B71C-65F71CFB8F1A}"/>
    <cellStyle name="ss24 2 4" xfId="25885" xr:uid="{6E42BA52-671D-4AB4-BC3F-E2EAC8E6F02C}"/>
    <cellStyle name="ss24 3" xfId="25835" xr:uid="{4C652E10-8433-4809-9FA5-69F7DD232A86}"/>
    <cellStyle name="ss24 3 2" xfId="25892" xr:uid="{F066215F-EB81-408E-806E-473BEA23D524}"/>
    <cellStyle name="ss24 3 3" xfId="25900" xr:uid="{E4AAC472-319F-4DF0-9ACB-83117432DA75}"/>
    <cellStyle name="ss25" xfId="13437" xr:uid="{87FB2B76-6D34-4267-A0DE-25C052366830}"/>
    <cellStyle name="ss25 2" xfId="24870" xr:uid="{8FC57E52-2D27-40B1-95D2-454D57879EDF}"/>
    <cellStyle name="ss25 2 2" xfId="25881" xr:uid="{5535C416-9BD8-4253-8CA9-8B506822008B}"/>
    <cellStyle name="ss25 2 3" xfId="25847" xr:uid="{8010C5C7-297D-4543-8BB2-7F8A9E599A53}"/>
    <cellStyle name="ss25 3" xfId="25836" xr:uid="{BC7D4AAA-AF79-49F9-B1F5-0D436EB0DA5E}"/>
    <cellStyle name="ss25 3 2" xfId="25893" xr:uid="{C58B83E0-3661-4211-A565-E9BE22BC692A}"/>
    <cellStyle name="ss25 3 3" xfId="25901" xr:uid="{DE47E3B4-DF93-4A52-B10F-3FB57648FCF7}"/>
    <cellStyle name="ss26" xfId="13438" xr:uid="{D1B43F59-9D43-4174-B173-357D4C616D72}"/>
    <cellStyle name="ss26 2" xfId="24871" xr:uid="{AA0E4086-AEE1-4096-9B11-2C69BE06DDA4}"/>
    <cellStyle name="ss26 2 2" xfId="25882" xr:uid="{C71A280A-7231-43A9-8807-0709954B8E07}"/>
    <cellStyle name="ss26 2 3" xfId="25846" xr:uid="{7569AD2F-98F2-47AC-9681-86F1651F65EE}"/>
    <cellStyle name="ss26 2 4" xfId="25886" xr:uid="{37043818-54A9-4F15-B64D-56090CB07234}"/>
    <cellStyle name="ss26 3" xfId="25837" xr:uid="{BA80A627-5D05-43B1-BB75-F232307F9777}"/>
    <cellStyle name="ss26 3 2" xfId="25894" xr:uid="{404C3280-B921-423A-80B2-034D8287A161}"/>
    <cellStyle name="ss26 3 3" xfId="25902" xr:uid="{F7689841-D014-47A1-B1A5-0D99426F4B5E}"/>
    <cellStyle name="ss27" xfId="13439" xr:uid="{5BAF4E11-18B1-47F1-93CF-91ED5766A529}"/>
    <cellStyle name="ss28" xfId="13440" xr:uid="{D33FDA65-F69F-4EF1-B21F-5E914EAEC3EA}"/>
    <cellStyle name="ss29" xfId="13441" xr:uid="{D7EF0E38-DF49-418F-9F1F-B32ABF691B59}"/>
    <cellStyle name="ss3" xfId="13442" xr:uid="{698F0D56-6659-484B-8089-18755549FCF9}"/>
    <cellStyle name="ss30" xfId="13443" xr:uid="{49A2BB31-DCA7-4B5A-A1D6-01FE4BAC9E6A}"/>
    <cellStyle name="ss31" xfId="13444" xr:uid="{DF1DB6CF-BBAD-45B4-B4F6-B65CAE2C9736}"/>
    <cellStyle name="ss32" xfId="13445" xr:uid="{2D73DCF4-BA99-435B-9134-143D89D31183}"/>
    <cellStyle name="ss33" xfId="13446" xr:uid="{97DD4D3A-3863-421F-A069-90F0664A2D97}"/>
    <cellStyle name="ss34" xfId="13447" xr:uid="{8114FA35-196A-4245-9F92-59EF7AA99557}"/>
    <cellStyle name="ss35" xfId="13448" xr:uid="{0F60D4DC-9610-4472-9D31-F100DD1B8DAF}"/>
    <cellStyle name="ss36" xfId="13449" xr:uid="{D34DFAC7-718F-4503-AF1D-59F59FBAB8D8}"/>
    <cellStyle name="ss37" xfId="13450" xr:uid="{90645D06-C203-4894-B951-2BEAC224F6B9}"/>
    <cellStyle name="ss38" xfId="13451" xr:uid="{156D2A67-E095-40A1-ADB5-9AA867CA5410}"/>
    <cellStyle name="ss39" xfId="13452" xr:uid="{337A5EE1-B62D-4ABF-B506-04185CE7CD27}"/>
    <cellStyle name="ss39 2" xfId="13453" xr:uid="{C7DF2859-F712-4AC9-A21D-E3D0395A2BAB}"/>
    <cellStyle name="ss4" xfId="13454" xr:uid="{FD76DC4C-930D-4B58-B96F-3C1A117627ED}"/>
    <cellStyle name="ss5" xfId="13455" xr:uid="{E842A002-58F0-4DA6-9DC8-21F997F6C2BE}"/>
    <cellStyle name="ss6" xfId="13456" xr:uid="{CB309BBE-0326-460F-BD7D-28B9644179E7}"/>
    <cellStyle name="ss6 2" xfId="13457" xr:uid="{368D51FA-D523-4F85-AAD6-2F6CCB9E82CE}"/>
    <cellStyle name="ss7" xfId="13458" xr:uid="{DD031D6A-49A8-4113-A9C9-7EDC999E202A}"/>
    <cellStyle name="ss8" xfId="13459" xr:uid="{AB5FCC18-A25E-4C15-BDCA-079B6EFC44B6}"/>
    <cellStyle name="ss9" xfId="13460" xr:uid="{14E0B3C7-1C55-4B12-B446-57A4E2BAF0FB}"/>
    <cellStyle name="Standaard_BoQ Lot B2 Airfield Lighting" xfId="13461" xr:uid="{A3F32668-D4A9-4299-9259-F01BE4634B06}"/>
    <cellStyle name="Standard 2" xfId="13462" xr:uid="{B35C7EFD-2528-4387-B1E8-4A01F9296A24}"/>
    <cellStyle name="Standard 2 2" xfId="13463" xr:uid="{1793C1DD-C971-4DB8-9548-434412BE9DBD}"/>
    <cellStyle name="Standard 2 3" xfId="13464" xr:uid="{0A29C345-560D-4C4D-8D7F-9D8FC47944DA}"/>
    <cellStyle name="Standard 2_RP3 PP revised" xfId="15051" xr:uid="{9E92728F-201F-42A9-B4D9-DBFCB1D43AC5}"/>
    <cellStyle name="Standard 3" xfId="13465" xr:uid="{9DD73921-B411-4DA8-9633-E88D63A7F9C2}"/>
    <cellStyle name="Standard 3 2" xfId="13466" xr:uid="{93BD053D-6FE6-4839-B2E8-684BB902E3C3}"/>
    <cellStyle name="Standard 3 2 2" xfId="13467" xr:uid="{44E0CD4D-B5E3-419F-8372-9CE65FB8F7BA}"/>
    <cellStyle name="Standard 3 2 3" xfId="13468" xr:uid="{834E57A9-5E49-4988-9497-A4D39821A8E8}"/>
    <cellStyle name="Standard 3 2 4" xfId="13469" xr:uid="{3C14B828-B339-4684-855D-E7F70B487DBB}"/>
    <cellStyle name="Standard 3 3" xfId="13470" xr:uid="{1CD6380A-FFC2-4B70-98D1-CC801065022F}"/>
    <cellStyle name="Standard 3_RP3 PP revised" xfId="15050" xr:uid="{E780C427-999E-42DD-8F60-FA35B3B1DE86}"/>
    <cellStyle name="Standard 4" xfId="13471" xr:uid="{EEF3065F-6B39-4619-AB52-234E20643D04}"/>
    <cellStyle name="Standard 4 2" xfId="13472" xr:uid="{B2CAA074-8B91-4793-B4EA-0AAB211067A5}"/>
    <cellStyle name="Standard 4 2 2" xfId="13473" xr:uid="{F1008904-3CEC-49DB-BFD6-5D8DFFEE2185}"/>
    <cellStyle name="Standard 4 2 2 2" xfId="13474" xr:uid="{6C4078B6-F1F6-472A-83E9-70C5F55B3318}"/>
    <cellStyle name="Standard 4 2 2 2 2" xfId="13475" xr:uid="{E60F88BF-EEC8-4047-A897-5190D7010BA2}"/>
    <cellStyle name="Standard 4 2 2 3" xfId="13476" xr:uid="{A4790798-A80C-46C6-A9F3-8285D21C0D76}"/>
    <cellStyle name="Standard 4 2 3" xfId="13477" xr:uid="{A266C2D4-0582-496B-BBCE-D9B3D8E78B63}"/>
    <cellStyle name="Standard 4 2 3 2" xfId="13478" xr:uid="{F96CB423-BAF5-4E84-90AA-8A2EAEA068D4}"/>
    <cellStyle name="Standard 4 2 4" xfId="13479" xr:uid="{1CE4441C-4C65-4560-8AC6-CDB5C86CE6DE}"/>
    <cellStyle name="Standard 4 3" xfId="13480" xr:uid="{DF1DFBF9-79F5-418A-86BC-74D57AD10294}"/>
    <cellStyle name="Standard 4 4" xfId="13481" xr:uid="{EB0EAE4C-9ACF-4EB3-BE92-92ACD6041EEE}"/>
    <cellStyle name="Standard 4 4 2" xfId="13482" xr:uid="{49349007-CFDE-4A00-B011-DA6250DC7479}"/>
    <cellStyle name="Standard 4 4 2 2" xfId="13483" xr:uid="{B10E53AC-7F00-4F93-A900-48AB11CF4433}"/>
    <cellStyle name="Standard 4 4 3" xfId="13484" xr:uid="{00FBFBCF-E4FA-4382-8A55-CFD42CF8FC60}"/>
    <cellStyle name="Standard 4 5" xfId="13485" xr:uid="{A25BAEA1-6FFF-4D39-9BBB-7850F7FA48B6}"/>
    <cellStyle name="Standard 4 5 2" xfId="13486" xr:uid="{557658F0-3EF7-42B3-B113-3B1EDC6173E9}"/>
    <cellStyle name="Standard 4 6" xfId="13487" xr:uid="{A2C85B44-DEF3-4CA8-AE2D-7C6620EEE936}"/>
    <cellStyle name="Standard 4 6 2" xfId="13488" xr:uid="{95E53179-A386-4AEC-938A-264BD0490ADA}"/>
    <cellStyle name="Standard 4 6 3" xfId="13489" xr:uid="{E06938F2-0A9F-47B0-A327-E0A1EF501491}"/>
    <cellStyle name="Standard 4 6 4" xfId="13490" xr:uid="{0B09EF17-15C9-412B-836C-6F0396742E79}"/>
    <cellStyle name="Standard 4 7" xfId="13491" xr:uid="{2CDB7F72-1869-4E8D-9260-B491FF8FDF32}"/>
    <cellStyle name="Standard 4 7 2" xfId="14785" xr:uid="{7505CBFE-3B74-4899-AC00-B68801726D9D}"/>
    <cellStyle name="Standard 4 8" xfId="14747" xr:uid="{D2DD758C-C152-4AAD-A624-3F1D60502FC2}"/>
    <cellStyle name="Standard 4_RP3 PP revised" xfId="15049" xr:uid="{6E64A5E1-455C-40B7-B6A4-4BAFEF8F0109}"/>
    <cellStyle name="Standard 5" xfId="13492" xr:uid="{9599ADB9-22D1-4A0C-BA33-707197B0ED7E}"/>
    <cellStyle name="Standard 5 2" xfId="13493" xr:uid="{F2999AF8-8D50-4194-BB59-98ADA1906D46}"/>
    <cellStyle name="Standard 6" xfId="13494" xr:uid="{C7A8E702-24A5-4C43-9656-788782D2A4D9}"/>
    <cellStyle name="Standard 6 2" xfId="13495" xr:uid="{DDA7451C-1B0D-4E07-B308-6A01E4D66286}"/>
    <cellStyle name="Standard 7" xfId="13496" xr:uid="{52FC215C-B78E-4A7E-8450-D89A94A2EE04}"/>
    <cellStyle name="Standard,f,u" xfId="13497" xr:uid="{60730B89-7BBF-4C39-A3F7-F5A91F6F6D28}"/>
    <cellStyle name="Standard,f,u 2" xfId="13498" xr:uid="{69042B71-B818-4A2B-B124-DB01FA2DF551}"/>
    <cellStyle name="Standard,f,u 2 2" xfId="14689" xr:uid="{AD512E04-5B09-47E2-8274-E3FB32713AB9}"/>
    <cellStyle name="Standard,f,u 3" xfId="13499" xr:uid="{15076D01-D0DF-41C8-8551-F3C179B6788A}"/>
    <cellStyle name="Standard,f,u 3 2" xfId="14839" xr:uid="{DCE8E5EA-2886-404F-973B-A71972CD452A}"/>
    <cellStyle name="Standard,f,u 4" xfId="13500" xr:uid="{311B9E60-A790-4336-87C4-97316E6BCBF9}"/>
    <cellStyle name="Standard,f,u 4 2" xfId="24872" xr:uid="{EC574251-1A57-4548-BEF8-55A7CDCEF764}"/>
    <cellStyle name="Standard,f,u 5" xfId="13501" xr:uid="{D68C3868-9F7F-4CEB-9F11-73B45EECD8C5}"/>
    <cellStyle name="Standard,f,u 5 2" xfId="24873" xr:uid="{0A75BE79-B902-4865-9C1D-6955CCE1089C}"/>
    <cellStyle name="Standard,f,u 6" xfId="14714" xr:uid="{582E2DCE-21C8-4ECC-A478-551B9F3EEE4D}"/>
    <cellStyle name="Standard,f,u 7" xfId="14709" xr:uid="{E11E8E97-0B8F-49EC-8A08-C7EF47FBF767}"/>
    <cellStyle name="Standard,f,u_RP3 PP revised" xfId="15048" xr:uid="{366D50A3-7169-4093-A310-868D15C9B617}"/>
    <cellStyle name="Standard,Helv 8" xfId="13502" xr:uid="{5FC53B1B-B357-4F8D-A25D-E3E9E5DC38C5}"/>
    <cellStyle name="Standard,Helv 8 2" xfId="13503" xr:uid="{DB226238-FAF0-4812-AA19-ACFD30474D5C}"/>
    <cellStyle name="Standard,Helv 8 3" xfId="13504" xr:uid="{C4346CAE-71DF-4200-92DC-9026B8FC3D17}"/>
    <cellStyle name="Standard,Helv 8_RP3 PP revised" xfId="15047" xr:uid="{7EFDEB30-EFDA-4E54-B29D-40B68BE8A3EF}"/>
    <cellStyle name="Standard,helv,8" xfId="13505" xr:uid="{59F14827-7B08-4A14-82D2-0D04FB75AB5E}"/>
    <cellStyle name="Standard_20071025_Progn.Ergebnisse-nach_DLE" xfId="13506" xr:uid="{76543222-695E-4396-8054-75E52DE5F7D9}"/>
    <cellStyle name="Stile 1" xfId="13507" xr:uid="{1494426E-79B1-423A-9EA1-D05C20FA80C4}"/>
    <cellStyle name="Style 1" xfId="13508" xr:uid="{987FF534-3684-41A8-BF09-B1654D22D2F3}"/>
    <cellStyle name="Style 1 2" xfId="13509" xr:uid="{9E35BC04-5D08-4AB3-9EA8-61E8735C8050}"/>
    <cellStyle name="Style 1 2 2" xfId="13510" xr:uid="{D91A3EFC-B947-493E-A0DD-B05CF7DC3CD5}"/>
    <cellStyle name="Style 1 3" xfId="13511" xr:uid="{45C0ADFF-368E-4769-971D-EB81052154F5}"/>
    <cellStyle name="Style 1_2012 07 11 budgétisation 2013 2015" xfId="13512" xr:uid="{7B871294-FAAA-4C26-9ECB-C951288F6C86}"/>
    <cellStyle name="Style 2" xfId="13513" xr:uid="{4F38956E-8F2B-4BB9-A2F4-1A8C8A2D83E7}"/>
    <cellStyle name="Style 2 2" xfId="13514" xr:uid="{188776DF-7D34-4C95-9636-5CFE8EAF9318}"/>
    <cellStyle name="Style 2 3" xfId="13515" xr:uid="{EBC15858-2483-49CF-9CCE-49F9CDE7E423}"/>
    <cellStyle name="Sub totals" xfId="13516" xr:uid="{7C1F2F0E-1F41-4861-8BED-6014CFDCEE53}"/>
    <cellStyle name="Sub totals 2" xfId="13517" xr:uid="{7AD4337B-9B10-42A3-8A98-DAA1FD4580B9}"/>
    <cellStyle name="Sub totals 3" xfId="13518" xr:uid="{6C23B876-39A0-45B0-83A6-1922EE17E3B5}"/>
    <cellStyle name="Sub totals 4" xfId="13519" xr:uid="{8D6978F9-8E98-48A5-86DE-15C5AFA46D4D}"/>
    <cellStyle name="Sub totals 5" xfId="13520" xr:uid="{D7295B1C-0854-4228-AA68-AA29907295DB}"/>
    <cellStyle name="Subtotal (line)" xfId="13521" xr:uid="{C3AFBC9F-9753-4D19-8AB5-696CD039640A}"/>
    <cellStyle name="Subtotal (line) 2" xfId="13522" xr:uid="{EDF813EC-49C6-4279-9A3B-A8D22D00E622}"/>
    <cellStyle name="Suf OBI" xfId="13523" xr:uid="{99EC7403-1146-459A-9D80-D2A4BF8746DB}"/>
    <cellStyle name="Suma" xfId="13524" xr:uid="{CC1ABAF9-18CF-4F02-9DBE-199BA9E900A0}"/>
    <cellStyle name="Suma 10" xfId="13525" xr:uid="{9E85123B-D6F4-448A-A17B-30E9E8261F06}"/>
    <cellStyle name="Suma 10 2" xfId="13526" xr:uid="{E578FAFA-2AB0-4849-B9F1-10E23AA11C82}"/>
    <cellStyle name="Suma 10 2 2" xfId="13527" xr:uid="{C0605FC7-8565-4991-B12B-E4CA251E7E93}"/>
    <cellStyle name="Suma 10 2 2 2" xfId="24876" xr:uid="{BA06F976-4F39-4BE6-8750-B9EDE4634206}"/>
    <cellStyle name="Suma 10 2 3" xfId="13528" xr:uid="{C4EA44B6-473F-44CC-9F03-083781188B53}"/>
    <cellStyle name="Suma 10 2 3 2" xfId="24877" xr:uid="{C7B79865-FA58-4C11-B729-E65DD4A1D4C6}"/>
    <cellStyle name="Suma 10 2 4" xfId="24875" xr:uid="{31BC9BC3-0E43-4F0E-95AB-C7975F03CEB9}"/>
    <cellStyle name="Suma 10 3" xfId="13529" xr:uid="{E97061B0-B6FF-48C7-8262-2ED9A411BD85}"/>
    <cellStyle name="Suma 10 3 2" xfId="24878" xr:uid="{1DB37F31-C8C1-43B4-AA06-1B82A6277C77}"/>
    <cellStyle name="Suma 10 4" xfId="13530" xr:uid="{C48B3919-A454-437A-8F9C-FC4C48E538E7}"/>
    <cellStyle name="Suma 10 4 2" xfId="24879" xr:uid="{B727FEBF-167D-4403-A984-69A47F8784DB}"/>
    <cellStyle name="Suma 10 5" xfId="24874" xr:uid="{F3FC01B9-216D-46F6-9BD4-3FD2F6BB8C5A}"/>
    <cellStyle name="Suma 11" xfId="13531" xr:uid="{01523523-F184-4BED-AFCA-6B49E6579CEE}"/>
    <cellStyle name="Suma 11 2" xfId="13532" xr:uid="{7F031318-C75C-4E44-B991-F9CA1D1746FA}"/>
    <cellStyle name="Suma 11 2 2" xfId="13533" xr:uid="{62F3E146-8C59-4CDA-A36C-79C843772CEE}"/>
    <cellStyle name="Suma 11 2 2 2" xfId="24882" xr:uid="{11E14ED0-8734-4525-B8D1-D778510A879C}"/>
    <cellStyle name="Suma 11 2 3" xfId="13534" xr:uid="{9EF55BE8-EBBC-4527-820D-0A11F3D493A3}"/>
    <cellStyle name="Suma 11 2 3 2" xfId="24883" xr:uid="{4692DADC-BF03-4188-AF0D-AE965BC6CEA5}"/>
    <cellStyle name="Suma 11 2 4" xfId="24881" xr:uid="{B93DF690-9B8B-406E-8933-59D064782A70}"/>
    <cellStyle name="Suma 11 3" xfId="13535" xr:uid="{97A0E438-62E3-4056-9DA3-0B920F7660C3}"/>
    <cellStyle name="Suma 11 3 2" xfId="24884" xr:uid="{534822EF-CBB0-40A6-8B7B-85E2E6DB63C0}"/>
    <cellStyle name="Suma 11 4" xfId="13536" xr:uid="{1AA17AC4-18CB-46A0-845A-547F12026A83}"/>
    <cellStyle name="Suma 11 4 2" xfId="24885" xr:uid="{31A2C1CB-A07D-41F8-B936-198B4A04B0D4}"/>
    <cellStyle name="Suma 11 5" xfId="24880" xr:uid="{FB984057-247F-4D6F-A505-A69AD37CF88F}"/>
    <cellStyle name="Suma 12" xfId="13537" xr:uid="{AEC84090-46CC-4DD7-84DD-FD9FE4404C59}"/>
    <cellStyle name="Suma 12 2" xfId="13538" xr:uid="{C51F344D-819D-49C4-ADA8-7369527593BC}"/>
    <cellStyle name="Suma 12 2 2" xfId="13539" xr:uid="{E0C53BFC-E59B-45E0-8497-EAAA927E3E82}"/>
    <cellStyle name="Suma 12 2 2 2" xfId="24888" xr:uid="{E91A9E30-49A5-4BE8-83F1-66CCA5FB848B}"/>
    <cellStyle name="Suma 12 2 3" xfId="13540" xr:uid="{0A613403-F864-4C53-BFAF-1E24DDF9290B}"/>
    <cellStyle name="Suma 12 2 3 2" xfId="24889" xr:uid="{2825A58C-D495-4D6F-B760-2EA51625E9CA}"/>
    <cellStyle name="Suma 12 2 4" xfId="24887" xr:uid="{7512B444-CE65-4188-953F-3ED38AC2A691}"/>
    <cellStyle name="Suma 12 3" xfId="13541" xr:uid="{314178B8-60B6-4061-8E29-962784CD6554}"/>
    <cellStyle name="Suma 12 3 2" xfId="24890" xr:uid="{7195574F-D7C8-4B5F-A081-F7677EEB2357}"/>
    <cellStyle name="Suma 12 4" xfId="13542" xr:uid="{B6A7E819-DE1B-440E-B4FD-502C2C2C4535}"/>
    <cellStyle name="Suma 12 4 2" xfId="24891" xr:uid="{F2636FDA-77B3-4AD5-829F-FE0D3B5BEB13}"/>
    <cellStyle name="Suma 12 5" xfId="24886" xr:uid="{65CCB314-834C-4FA7-BAA5-D529582C786B}"/>
    <cellStyle name="Suma 13" xfId="13543" xr:uid="{2819B529-D1D6-4DF6-98C4-85E683F8071B}"/>
    <cellStyle name="Suma 13 2" xfId="13544" xr:uid="{90791FDC-E3E0-43C4-B91B-7CA87B2CC131}"/>
    <cellStyle name="Suma 13 2 2" xfId="13545" xr:uid="{4008103A-86AB-4191-B958-B0CEFB0DAE77}"/>
    <cellStyle name="Suma 13 2 2 2" xfId="24894" xr:uid="{FBD1DD05-E08E-4835-80AD-9DA1FE53C69A}"/>
    <cellStyle name="Suma 13 2 3" xfId="13546" xr:uid="{F724BFE6-7AFD-4646-8C8F-9D73CEC93366}"/>
    <cellStyle name="Suma 13 2 3 2" xfId="24895" xr:uid="{201B7A79-1C93-4669-A49A-0EAACA5C5CE8}"/>
    <cellStyle name="Suma 13 2 4" xfId="24893" xr:uid="{AC2FC604-A9A8-4C7F-B8C4-7316FAA7AD23}"/>
    <cellStyle name="Suma 13 3" xfId="13547" xr:uid="{B8194571-54A2-4F04-93B7-69119CC61151}"/>
    <cellStyle name="Suma 13 3 2" xfId="24896" xr:uid="{1AC60766-8C30-4B86-9538-6F4C2E051CF5}"/>
    <cellStyle name="Suma 13 4" xfId="13548" xr:uid="{F12D9E12-C9B4-4545-AEC5-93719A77469E}"/>
    <cellStyle name="Suma 13 4 2" xfId="24897" xr:uid="{B77EEC6F-B5BE-43B6-AF6F-D8C78AF14801}"/>
    <cellStyle name="Suma 13 5" xfId="24892" xr:uid="{75EDFF83-0367-4212-819E-E2BAF84E21C1}"/>
    <cellStyle name="Suma 14" xfId="13549" xr:uid="{4C6A5536-20A7-41FA-8267-5A099252425C}"/>
    <cellStyle name="Suma 14 2" xfId="13550" xr:uid="{24DEF965-E6F7-4AA2-9C55-C05EAAFDC34A}"/>
    <cellStyle name="Suma 14 2 2" xfId="13551" xr:uid="{E2820086-D0E7-4EFB-AB1B-702B47B105B8}"/>
    <cellStyle name="Suma 14 2 2 2" xfId="24900" xr:uid="{93159A1B-0763-4B94-8BC3-0CEAB2DE69F4}"/>
    <cellStyle name="Suma 14 2 3" xfId="13552" xr:uid="{B702914F-DF11-4543-9128-05BDF764D7D4}"/>
    <cellStyle name="Suma 14 2 3 2" xfId="24901" xr:uid="{4E77F4C5-6F37-44CA-835B-AE20CB05072E}"/>
    <cellStyle name="Suma 14 2 4" xfId="24899" xr:uid="{5DB88976-EE50-4573-98F5-A69F6BFD1C29}"/>
    <cellStyle name="Suma 14 3" xfId="13553" xr:uid="{548BA18C-7BC2-4CBE-A5C6-C7882C8FE0D5}"/>
    <cellStyle name="Suma 14 3 2" xfId="24902" xr:uid="{FAB75BC0-E9F1-46A5-84B6-3B28CE7D4E15}"/>
    <cellStyle name="Suma 14 4" xfId="13554" xr:uid="{717C6E44-33F2-4A40-AB48-E006E8BCF146}"/>
    <cellStyle name="Suma 14 4 2" xfId="24903" xr:uid="{DB9B2D39-EA69-4858-A1E8-7B35426BDAF0}"/>
    <cellStyle name="Suma 14 5" xfId="24898" xr:uid="{47FF0015-0F39-40D0-B134-4E9A46F6436B}"/>
    <cellStyle name="Suma 15" xfId="13555" xr:uid="{F68B33CB-FBA2-4003-9869-03F09DF373BD}"/>
    <cellStyle name="Suma 15 2" xfId="13556" xr:uid="{A8630A07-1BC9-44F4-BA74-3C449C4417E1}"/>
    <cellStyle name="Suma 15 2 2" xfId="13557" xr:uid="{60895758-B738-4E91-B42E-DAAFA677B1A8}"/>
    <cellStyle name="Suma 15 2 2 2" xfId="24906" xr:uid="{96EC07C2-9A71-4E49-9910-7AF4D7A43A8F}"/>
    <cellStyle name="Suma 15 2 3" xfId="13558" xr:uid="{946686E8-4A56-4C26-99C9-409512961F49}"/>
    <cellStyle name="Suma 15 2 3 2" xfId="24907" xr:uid="{27CECE09-34D8-4C97-AC86-6C1F339467FA}"/>
    <cellStyle name="Suma 15 2 4" xfId="24905" xr:uid="{13405525-8C8D-4B5B-9E89-918E4D99F4EA}"/>
    <cellStyle name="Suma 15 3" xfId="13559" xr:uid="{895929FB-24A7-4F49-B7AA-34D76154C1CD}"/>
    <cellStyle name="Suma 15 3 2" xfId="24908" xr:uid="{6288B439-4167-49BC-BC2B-6F1187F894BD}"/>
    <cellStyle name="Suma 15 4" xfId="13560" xr:uid="{084B4AB3-C467-405F-AA11-0D404045B15F}"/>
    <cellStyle name="Suma 15 4 2" xfId="24909" xr:uid="{99C138E8-5BE7-41BA-A924-8B71E3A45CE3}"/>
    <cellStyle name="Suma 15 5" xfId="24904" xr:uid="{E7479414-9E20-4B42-8F84-09598E0C2DA1}"/>
    <cellStyle name="Suma 16" xfId="13561" xr:uid="{03487565-8E54-4BB8-AF67-24B4EA3C70B8}"/>
    <cellStyle name="Suma 16 2" xfId="13562" xr:uid="{3608980B-60EE-4237-AFC3-AE2650043DA5}"/>
    <cellStyle name="Suma 16 2 2" xfId="13563" xr:uid="{0551F876-E525-4105-A9E0-1D9AF6D7349E}"/>
    <cellStyle name="Suma 16 2 2 2" xfId="24912" xr:uid="{766A4514-E1F9-4CC8-B634-FC4A41C94380}"/>
    <cellStyle name="Suma 16 2 3" xfId="13564" xr:uid="{25B31856-37B7-4D8A-A6A8-36E07D2D8832}"/>
    <cellStyle name="Suma 16 2 3 2" xfId="24913" xr:uid="{50CFBDF1-EA01-4709-B0A5-A34A52452AB9}"/>
    <cellStyle name="Suma 16 2 4" xfId="24911" xr:uid="{0636D245-B946-4A28-92CB-F1A71C461DDA}"/>
    <cellStyle name="Suma 16 3" xfId="13565" xr:uid="{0E866F22-E61C-4180-8347-DB85F82CADC7}"/>
    <cellStyle name="Suma 16 3 2" xfId="24914" xr:uid="{9532AFC5-719C-4596-B4B0-2D86A4DA287A}"/>
    <cellStyle name="Suma 16 4" xfId="13566" xr:uid="{6DF0FBAE-D522-4D97-973F-F5AD4738D036}"/>
    <cellStyle name="Suma 16 4 2" xfId="24915" xr:uid="{F0EFA5A5-CAEA-4E39-BC7D-BA9286509F8C}"/>
    <cellStyle name="Suma 16 5" xfId="24910" xr:uid="{BEAA4952-328F-4129-BDAE-F71CC9508C9E}"/>
    <cellStyle name="Suma 17" xfId="13567" xr:uid="{ADF185D8-2011-4DD5-947A-61D4A337C316}"/>
    <cellStyle name="Suma 17 2" xfId="13568" xr:uid="{691B71CF-5C23-4724-A766-60511D34E173}"/>
    <cellStyle name="Suma 17 2 2" xfId="13569" xr:uid="{121E03B5-F67F-4028-B211-79581FF33B18}"/>
    <cellStyle name="Suma 17 2 2 2" xfId="24918" xr:uid="{08CB9DFD-02BF-4E32-9C3E-FA4E1449B1B8}"/>
    <cellStyle name="Suma 17 2 3" xfId="13570" xr:uid="{77D9F3FB-1F5B-4FB6-8178-90614A55D0D3}"/>
    <cellStyle name="Suma 17 2 3 2" xfId="24919" xr:uid="{86A545A4-E826-4408-8F50-713FC2C24DC2}"/>
    <cellStyle name="Suma 17 2 4" xfId="24917" xr:uid="{C83EA945-F104-4375-AF62-3357D21FFB59}"/>
    <cellStyle name="Suma 17 3" xfId="13571" xr:uid="{D59A39AE-8448-435D-8352-AC611DAE27E0}"/>
    <cellStyle name="Suma 17 3 2" xfId="24920" xr:uid="{9BC7FBAD-F169-408D-90E2-83CBC78DECFA}"/>
    <cellStyle name="Suma 17 4" xfId="13572" xr:uid="{13A3EB1B-188E-43A7-8F29-08254D68BF76}"/>
    <cellStyle name="Suma 17 4 2" xfId="24921" xr:uid="{FE05B0EB-6C47-48C5-BCFE-9C9A93423475}"/>
    <cellStyle name="Suma 17 5" xfId="24916" xr:uid="{756EB82B-C96B-49AD-BEF5-1263409850D9}"/>
    <cellStyle name="Suma 18" xfId="13573" xr:uid="{CE791024-FECF-435F-9E4C-F73B85475A06}"/>
    <cellStyle name="Suma 18 2" xfId="13574" xr:uid="{313D7DD7-9630-4664-8392-3180A25EFDCC}"/>
    <cellStyle name="Suma 18 2 2" xfId="24923" xr:uid="{5F634D85-4DAF-4A1A-BB47-3E363464921C}"/>
    <cellStyle name="Suma 18 3" xfId="13575" xr:uid="{38659C76-3486-4E60-877E-5FF4B1E36CA1}"/>
    <cellStyle name="Suma 18 3 2" xfId="24924" xr:uid="{30E81492-971B-4584-9F5B-CE829FC8B3D6}"/>
    <cellStyle name="Suma 18 4" xfId="24922" xr:uid="{462457AF-AF72-4E66-883E-C5EE2A127463}"/>
    <cellStyle name="Suma 19" xfId="13576" xr:uid="{6415E9A3-8D64-438D-9276-B86B957EC12B}"/>
    <cellStyle name="Suma 19 2" xfId="13577" xr:uid="{66F6CAC3-9A50-4E91-8E0A-04EF3AE8CF6D}"/>
    <cellStyle name="Suma 19 2 2" xfId="24926" xr:uid="{A3966895-5614-406A-810A-BD3B8302539B}"/>
    <cellStyle name="Suma 19 3" xfId="13578" xr:uid="{F2303DF7-5F18-4E4B-9DFD-DEE915BEA84C}"/>
    <cellStyle name="Suma 19 3 2" xfId="24927" xr:uid="{50486DAB-8143-444E-A588-96291B015B14}"/>
    <cellStyle name="Suma 19 4" xfId="24925" xr:uid="{B0FF9DE5-A603-402A-A75D-81571723000A}"/>
    <cellStyle name="Suma 2" xfId="13579" xr:uid="{509202D2-10DC-45F1-BF0F-47A2C6E96591}"/>
    <cellStyle name="Suma 2 2" xfId="13580" xr:uid="{6FBC37B7-4431-4C66-BF2D-6FA9FAAE35E9}"/>
    <cellStyle name="Suma 2 2 2" xfId="13581" xr:uid="{38DECE90-EB2F-46EC-9782-6FE377637937}"/>
    <cellStyle name="Suma 2 2 2 2" xfId="24930" xr:uid="{8E0C139A-E177-470F-BFB7-57DD6A6227C1}"/>
    <cellStyle name="Suma 2 2 3" xfId="13582" xr:uid="{2C4BB310-5115-4183-B785-CB5375142C97}"/>
    <cellStyle name="Suma 2 2 3 2" xfId="24931" xr:uid="{D4C7240D-0ADC-4945-93D2-9A0661EA230E}"/>
    <cellStyle name="Suma 2 2 4" xfId="24929" xr:uid="{86622894-3F83-43DD-B9D8-266D80939C28}"/>
    <cellStyle name="Suma 2 3" xfId="13583" xr:uid="{0B0FD8DC-794F-4C5E-8D12-3B194A91211A}"/>
    <cellStyle name="Suma 2 3 2" xfId="24932" xr:uid="{81B2C0EC-7411-4A2C-999B-CC15157AFCC4}"/>
    <cellStyle name="Suma 2 4" xfId="13584" xr:uid="{76AEC92F-D120-463B-91DF-F64CBF51FCAF}"/>
    <cellStyle name="Suma 2 4 2" xfId="24933" xr:uid="{7EE30025-B0AB-4CC7-9169-DDD70A5A33F7}"/>
    <cellStyle name="Suma 2 5" xfId="24928" xr:uid="{3556CE7F-9BB1-40A5-9760-36257EB49D94}"/>
    <cellStyle name="Suma 20" xfId="13585" xr:uid="{2C3FF9C4-907B-4135-B2D5-3B814189D335}"/>
    <cellStyle name="Suma 20 2" xfId="24934" xr:uid="{AFBBEB75-48E2-4E51-B054-0B867942539D}"/>
    <cellStyle name="Suma 21" xfId="13586" xr:uid="{9A30DD62-EEF9-46A0-9401-8F9B8BB3084D}"/>
    <cellStyle name="Suma 21 2" xfId="24935" xr:uid="{2C88B66D-998B-4CD8-AC63-56406E8E54A4}"/>
    <cellStyle name="Suma 22" xfId="13587" xr:uid="{160A162A-9A34-430B-9DCE-BF35CC6CED77}"/>
    <cellStyle name="Suma 22 2" xfId="24936" xr:uid="{7B7C9333-2531-434C-BDB7-9F9B54CBC344}"/>
    <cellStyle name="Suma 23" xfId="13588" xr:uid="{690DA302-491E-4ED2-89B6-71378CE0C6ED}"/>
    <cellStyle name="Suma 23 2" xfId="24937" xr:uid="{6D20E1B5-5720-407A-9ED0-FF3BB53792D4}"/>
    <cellStyle name="Suma 24" xfId="15213" xr:uid="{B70CFF02-972E-44A2-A834-A021C3F5503B}"/>
    <cellStyle name="Suma 3" xfId="13589" xr:uid="{A157A776-70E2-40E2-A49A-BB9D917F9E4E}"/>
    <cellStyle name="Suma 3 2" xfId="13590" xr:uid="{2C024B73-A99C-4B8D-920B-422C1548B02D}"/>
    <cellStyle name="Suma 3 2 2" xfId="13591" xr:uid="{28059834-6988-432A-A760-81CB232D36D5}"/>
    <cellStyle name="Suma 3 2 2 2" xfId="24940" xr:uid="{B338EAF3-00FA-400A-8A9A-CC8CF1E0401D}"/>
    <cellStyle name="Suma 3 2 3" xfId="13592" xr:uid="{B83E9D84-0D9D-4EE6-A70A-7EA10EC6C22C}"/>
    <cellStyle name="Suma 3 2 3 2" xfId="24941" xr:uid="{3E0810D2-2365-4A4F-9073-43C1157F575B}"/>
    <cellStyle name="Suma 3 2 4" xfId="24939" xr:uid="{354F397D-9731-432A-9E5A-7189B01D9F0A}"/>
    <cellStyle name="Suma 3 3" xfId="13593" xr:uid="{5CB3035F-E1FF-466B-88F6-E25C8DD22CD9}"/>
    <cellStyle name="Suma 3 3 2" xfId="24942" xr:uid="{E96E60AF-90AD-4617-BC3C-D8F891E8F694}"/>
    <cellStyle name="Suma 3 4" xfId="13594" xr:uid="{BA3EF6DF-C939-4820-B1FA-5789EAC34AE1}"/>
    <cellStyle name="Suma 3 4 2" xfId="24943" xr:uid="{F6DC6136-423F-4C0C-A01D-4FDF02B7C943}"/>
    <cellStyle name="Suma 3 5" xfId="24938" xr:uid="{8F3A6055-F666-43F3-99B0-293DE8823554}"/>
    <cellStyle name="Suma 4" xfId="13595" xr:uid="{02EE5BB2-6226-416C-852B-03461216E7B5}"/>
    <cellStyle name="Suma 4 2" xfId="13596" xr:uid="{60609233-A7ED-463A-AC42-BDAB0617FABE}"/>
    <cellStyle name="Suma 4 2 2" xfId="13597" xr:uid="{0B987E89-3B35-4821-8DEB-CD1D8BBA5732}"/>
    <cellStyle name="Suma 4 2 2 2" xfId="24946" xr:uid="{B2680522-7F49-4549-8E12-1536869050F3}"/>
    <cellStyle name="Suma 4 2 3" xfId="13598" xr:uid="{910D5083-F7F4-4D4B-A2DD-510914116152}"/>
    <cellStyle name="Suma 4 2 3 2" xfId="24947" xr:uid="{0BD5C762-BFAB-4687-B8E4-9CECF87FF854}"/>
    <cellStyle name="Suma 4 2 4" xfId="24945" xr:uid="{D1CF08BF-F583-4C65-A58D-D5D4783D758D}"/>
    <cellStyle name="Suma 4 3" xfId="13599" xr:uid="{C46D4B73-580F-4918-9C9A-AB900803EB86}"/>
    <cellStyle name="Suma 4 3 2" xfId="24948" xr:uid="{FEF6E6D2-CADE-46AB-9F9A-D3562C099380}"/>
    <cellStyle name="Suma 4 4" xfId="13600" xr:uid="{FEACD800-9AC7-4E92-A02D-B05B01A5632A}"/>
    <cellStyle name="Suma 4 4 2" xfId="24949" xr:uid="{4DA83640-4C48-4066-B23C-3B753437C420}"/>
    <cellStyle name="Suma 4 5" xfId="24944" xr:uid="{0A926068-6132-4F6B-B3BC-4344ECC87C87}"/>
    <cellStyle name="Suma 5" xfId="13601" xr:uid="{9ED02B23-ACF5-49B1-8546-EBCBEBE354E7}"/>
    <cellStyle name="Suma 5 2" xfId="13602" xr:uid="{47F2A944-108A-4D84-96C3-9C6EF54B130F}"/>
    <cellStyle name="Suma 5 2 2" xfId="13603" xr:uid="{28D8D8F6-96E4-42F2-8D22-C1D4346A8B75}"/>
    <cellStyle name="Suma 5 2 2 2" xfId="24952" xr:uid="{7B47EB9C-DF2F-4BEB-A891-9BBB912ACE07}"/>
    <cellStyle name="Suma 5 2 3" xfId="13604" xr:uid="{1158A120-E151-431A-B292-7D710EA2E566}"/>
    <cellStyle name="Suma 5 2 3 2" xfId="24953" xr:uid="{E6863DC1-01E8-47FB-8F48-1EF368573829}"/>
    <cellStyle name="Suma 5 2 4" xfId="24951" xr:uid="{FC420204-1226-4D6A-96F8-F63C8E238788}"/>
    <cellStyle name="Suma 5 3" xfId="13605" xr:uid="{D5537216-2CB7-4F80-BEC5-491843CAF05A}"/>
    <cellStyle name="Suma 5 3 2" xfId="24954" xr:uid="{DCD1A197-4539-43AE-930A-AFDE180CB0C6}"/>
    <cellStyle name="Suma 5 4" xfId="13606" xr:uid="{F0E5BF18-D5AC-433A-AF08-20A2E3445328}"/>
    <cellStyle name="Suma 5 4 2" xfId="24955" xr:uid="{48332E7A-0897-4354-84FD-9C56717DCE04}"/>
    <cellStyle name="Suma 5 5" xfId="24950" xr:uid="{04738555-F5B0-427B-B42F-401AA9DA1EEC}"/>
    <cellStyle name="Suma 6" xfId="13607" xr:uid="{21E5B5F7-D087-4FC8-9524-F1ECE3B293A6}"/>
    <cellStyle name="Suma 6 2" xfId="13608" xr:uid="{48141B98-DF35-4920-94E5-316F05E3F0F0}"/>
    <cellStyle name="Suma 6 2 2" xfId="13609" xr:uid="{3B0A0F34-C5A2-41C6-830C-E79A6CAC7DC8}"/>
    <cellStyle name="Suma 6 2 2 2" xfId="24958" xr:uid="{B00E9BB8-41DC-4B72-8C80-8BEB5CC30129}"/>
    <cellStyle name="Suma 6 2 3" xfId="13610" xr:uid="{F5B2E434-8F6E-4543-8B49-BA7FE5080B76}"/>
    <cellStyle name="Suma 6 2 3 2" xfId="24959" xr:uid="{29013CF3-7632-4506-ACC1-A0041B75A0F4}"/>
    <cellStyle name="Suma 6 2 4" xfId="24957" xr:uid="{B5049568-E0DF-46CA-8271-2FBF3A572226}"/>
    <cellStyle name="Suma 6 3" xfId="13611" xr:uid="{8882621D-924A-4633-82BE-036E567F2471}"/>
    <cellStyle name="Suma 6 3 2" xfId="24960" xr:uid="{D9C4A993-4BE0-4BF8-AAE7-2733E6A60F1A}"/>
    <cellStyle name="Suma 6 4" xfId="13612" xr:uid="{D4CEF061-606D-4679-999D-49DCCCA3BFBD}"/>
    <cellStyle name="Suma 6 4 2" xfId="24961" xr:uid="{160D3C1F-9978-4A57-BE4F-26E7704579C8}"/>
    <cellStyle name="Suma 6 5" xfId="24956" xr:uid="{F690B4FA-7865-4B75-A8C9-EBD80BC0C6C3}"/>
    <cellStyle name="Suma 7" xfId="13613" xr:uid="{68CF9ED9-914D-4A9E-8CE9-CF3DF0090598}"/>
    <cellStyle name="Suma 7 2" xfId="13614" xr:uid="{5C03D4D2-F3A2-488D-87EA-2B0CB02022A8}"/>
    <cellStyle name="Suma 7 2 2" xfId="13615" xr:uid="{274FCD20-7BC2-4199-A9E9-C0C640B4BE69}"/>
    <cellStyle name="Suma 7 2 2 2" xfId="24964" xr:uid="{EE03FF31-6D71-477C-9167-1CF5A3FBACDC}"/>
    <cellStyle name="Suma 7 2 3" xfId="13616" xr:uid="{9DE70399-63D6-497D-88F9-7AB5862475D2}"/>
    <cellStyle name="Suma 7 2 3 2" xfId="24965" xr:uid="{7C8DB58B-B110-4DF6-8266-A751725D4D1B}"/>
    <cellStyle name="Suma 7 2 4" xfId="24963" xr:uid="{EC8076D5-ED00-4C92-B257-72C5A86C92F9}"/>
    <cellStyle name="Suma 7 3" xfId="13617" xr:uid="{0784FE68-049C-448B-B327-B02860C997A3}"/>
    <cellStyle name="Suma 7 3 2" xfId="24966" xr:uid="{78740129-F3DA-442F-93C2-28AD3B638E4F}"/>
    <cellStyle name="Suma 7 4" xfId="13618" xr:uid="{F8A1813B-5935-4A15-A36B-B98809B6BA75}"/>
    <cellStyle name="Suma 7 4 2" xfId="24967" xr:uid="{0608D22C-8B07-4A2C-953E-3B783AB448BC}"/>
    <cellStyle name="Suma 7 5" xfId="24962" xr:uid="{4A628F18-1C58-4B0A-8BDF-639DC8AC43C8}"/>
    <cellStyle name="Suma 8" xfId="13619" xr:uid="{B588A169-E3E4-4DA4-AD95-60B824DBBA5C}"/>
    <cellStyle name="Suma 8 2" xfId="13620" xr:uid="{193DC793-6730-41F3-976D-7D257321B1C6}"/>
    <cellStyle name="Suma 8 2 2" xfId="13621" xr:uid="{09491E62-4ED1-4A46-A340-7DBA7C860EA1}"/>
    <cellStyle name="Suma 8 2 2 2" xfId="24970" xr:uid="{934DA179-F27E-4F02-AA96-C441123EB31F}"/>
    <cellStyle name="Suma 8 2 3" xfId="13622" xr:uid="{1D74CFE2-2279-4828-BF5F-30CD4CCF59BF}"/>
    <cellStyle name="Suma 8 2 3 2" xfId="24971" xr:uid="{E20A9EFC-FB03-4142-8DAF-6F3317A1EECE}"/>
    <cellStyle name="Suma 8 2 4" xfId="24969" xr:uid="{F68FE823-8E98-45F0-B582-2FF714D536D1}"/>
    <cellStyle name="Suma 8 3" xfId="13623" xr:uid="{9E3F43A3-ECBC-4B86-90CE-59FD6480F946}"/>
    <cellStyle name="Suma 8 3 2" xfId="24972" xr:uid="{86492CDA-9A98-4047-98BB-79D9FDAB4BF2}"/>
    <cellStyle name="Suma 8 4" xfId="13624" xr:uid="{BD2C4B43-B539-42C2-B977-445BC9AED776}"/>
    <cellStyle name="Suma 8 4 2" xfId="24973" xr:uid="{F528AD4B-ECB2-41D2-83AB-CB41F9A16219}"/>
    <cellStyle name="Suma 8 5" xfId="24968" xr:uid="{07F35F3F-590D-431C-8A71-023F6EC0ED7A}"/>
    <cellStyle name="Suma 9" xfId="13625" xr:uid="{10E0A23A-6730-4FEB-8820-58330E7B85E5}"/>
    <cellStyle name="Suma 9 2" xfId="13626" xr:uid="{182A4DB9-CD58-4DB3-A9D1-F697AD3E1805}"/>
    <cellStyle name="Suma 9 2 2" xfId="13627" xr:uid="{A3213DF5-D546-4492-89D1-42C20881F324}"/>
    <cellStyle name="Suma 9 2 2 2" xfId="24976" xr:uid="{4B662F38-DCC4-4D71-AE85-E65077B79101}"/>
    <cellStyle name="Suma 9 2 3" xfId="13628" xr:uid="{24DBDC0D-D587-4518-9637-00A4F94DF075}"/>
    <cellStyle name="Suma 9 2 3 2" xfId="24977" xr:uid="{D1CCD7C2-1A94-407C-AD81-49223AED347B}"/>
    <cellStyle name="Suma 9 2 4" xfId="24975" xr:uid="{AF94FC3A-93C6-42AE-8EBF-A69A8E10591E}"/>
    <cellStyle name="Suma 9 3" xfId="13629" xr:uid="{554C7FB8-464D-4E4A-ABBB-378ECC3DBA57}"/>
    <cellStyle name="Suma 9 3 2" xfId="24978" xr:uid="{9D7214CC-AA87-4EF0-B734-6CDDDDCCB4FC}"/>
    <cellStyle name="Suma 9 4" xfId="13630" xr:uid="{C370E467-5400-44F7-B23D-6292CBB139C4}"/>
    <cellStyle name="Suma 9 4 2" xfId="24979" xr:uid="{A739E416-2474-4250-98D8-5A96836F6E09}"/>
    <cellStyle name="Suma 9 5" xfId="24974" xr:uid="{9628A615-1B4E-4980-8EC2-EB693D597A57}"/>
    <cellStyle name="Suma_PGM_CHECK" xfId="14710" xr:uid="{CF3DFC22-1974-4654-8862-DA8E2BDD52DB}"/>
    <cellStyle name="Summa" xfId="13631" xr:uid="{FC747F5A-2CB5-475A-A170-B203CD564617}"/>
    <cellStyle name="Summa 10" xfId="13632" xr:uid="{8E9FF108-22F8-41A3-8F4F-7AF504E1B170}"/>
    <cellStyle name="Summa 10 2" xfId="13633" xr:uid="{83A06DD8-23BA-4B38-B9BC-980A38F53E9A}"/>
    <cellStyle name="Summa 10 2 2" xfId="13634" xr:uid="{A1AE70D1-8C2F-41D3-A745-8E3B08856894}"/>
    <cellStyle name="Summa 10 2 2 2" xfId="24982" xr:uid="{B46BAFF7-2330-4DF5-A93E-CFA5B790F5DA}"/>
    <cellStyle name="Summa 10 2 3" xfId="13635" xr:uid="{0CDA4188-F4C6-4578-8474-5326542ADA13}"/>
    <cellStyle name="Summa 10 2 3 2" xfId="24983" xr:uid="{550251B0-0D0B-4C8C-B2D4-839583B24938}"/>
    <cellStyle name="Summa 10 2 4" xfId="24981" xr:uid="{CE9222AB-EB39-44D3-B0A4-0E2D6A574015}"/>
    <cellStyle name="Summa 10 3" xfId="13636" xr:uid="{8CB09321-8F95-4533-A5A4-33FD3A394017}"/>
    <cellStyle name="Summa 10 3 2" xfId="24984" xr:uid="{F3FBF1D1-CCE3-48AF-ADDA-69696D4E3CE1}"/>
    <cellStyle name="Summa 10 4" xfId="13637" xr:uid="{9AEAB5C4-2BCE-42B8-9ECE-1501F7B976DC}"/>
    <cellStyle name="Summa 10 4 2" xfId="24985" xr:uid="{C044ED07-F54E-4BD8-8059-C4E8F897FE13}"/>
    <cellStyle name="Summa 10 5" xfId="24980" xr:uid="{6157AF04-B6D7-4C26-B8EF-2B3143D83869}"/>
    <cellStyle name="Summa 11" xfId="13638" xr:uid="{72ABB48C-49FA-404F-854D-A5B101D9683F}"/>
    <cellStyle name="Summa 11 2" xfId="13639" xr:uid="{15DDD2EF-5696-43D0-99E7-11C859A6FE49}"/>
    <cellStyle name="Summa 11 2 2" xfId="13640" xr:uid="{5C4D2C47-0FD5-42C3-A17B-270514064DC1}"/>
    <cellStyle name="Summa 11 2 2 2" xfId="24988" xr:uid="{3B394629-B29B-40FC-8C64-EEB71B99CD8D}"/>
    <cellStyle name="Summa 11 2 3" xfId="13641" xr:uid="{82D22C82-5ADE-467F-B4CA-E409985BF84E}"/>
    <cellStyle name="Summa 11 2 3 2" xfId="24989" xr:uid="{A14EF480-4EE7-460C-B135-189479F721E7}"/>
    <cellStyle name="Summa 11 2 4" xfId="24987" xr:uid="{8D1660B6-B658-458E-97FB-BE68B7EAC921}"/>
    <cellStyle name="Summa 11 3" xfId="13642" xr:uid="{300AAA4A-F417-46E5-942A-F04630458B30}"/>
    <cellStyle name="Summa 11 3 2" xfId="24990" xr:uid="{995AF0A5-427E-4488-888D-0E0C274B40D6}"/>
    <cellStyle name="Summa 11 4" xfId="13643" xr:uid="{4D0D5477-4FE2-4E55-AA50-B1AA80B25788}"/>
    <cellStyle name="Summa 11 4 2" xfId="24991" xr:uid="{7FAC1099-1F74-466C-A6B0-9F1D9FF64C3C}"/>
    <cellStyle name="Summa 11 5" xfId="24986" xr:uid="{4A80EA54-F154-43C3-BABF-6D93251FD681}"/>
    <cellStyle name="Summa 12" xfId="13644" xr:uid="{D4933826-34E6-4E33-A145-E93BA559508D}"/>
    <cellStyle name="Summa 12 2" xfId="13645" xr:uid="{6F1A87CC-B916-4A7E-A553-E747C0E392D8}"/>
    <cellStyle name="Summa 12 2 2" xfId="13646" xr:uid="{2DB6384C-8766-4268-BB55-D4B697664628}"/>
    <cellStyle name="Summa 12 2 2 2" xfId="24994" xr:uid="{3FC5856C-9A28-4F86-81D5-BDFC9D0B2358}"/>
    <cellStyle name="Summa 12 2 3" xfId="13647" xr:uid="{CF1F3AF4-B8FB-4F62-BABD-FBADCB6A9DF0}"/>
    <cellStyle name="Summa 12 2 3 2" xfId="24995" xr:uid="{8951F706-9F3E-4E6A-8E76-B2BAC04543FC}"/>
    <cellStyle name="Summa 12 2 4" xfId="24993" xr:uid="{B1DFD145-0AC3-48F4-B5CD-920CC2F6F79A}"/>
    <cellStyle name="Summa 12 3" xfId="13648" xr:uid="{6FE453E5-65E0-4D55-97D9-1445FB526608}"/>
    <cellStyle name="Summa 12 3 2" xfId="24996" xr:uid="{314DDF30-F658-46CE-B5D8-CA0FF67D03B1}"/>
    <cellStyle name="Summa 12 4" xfId="13649" xr:uid="{3BDBE495-48DF-4280-B4D8-C854AE008834}"/>
    <cellStyle name="Summa 12 4 2" xfId="24997" xr:uid="{878F6EF2-4BAE-4053-BA97-4190310F8B3D}"/>
    <cellStyle name="Summa 12 5" xfId="24992" xr:uid="{0EBA0A53-EB50-46F6-B91C-F76717666733}"/>
    <cellStyle name="Summa 13" xfId="13650" xr:uid="{05FC4116-F8F1-48C8-BD97-8EEEFBEE832B}"/>
    <cellStyle name="Summa 13 2" xfId="13651" xr:uid="{8304A750-44D9-4958-BE5B-DA999A8932DE}"/>
    <cellStyle name="Summa 13 2 2" xfId="13652" xr:uid="{F6E6046E-9379-4B2B-BF5F-6B178820AA8F}"/>
    <cellStyle name="Summa 13 2 2 2" xfId="25000" xr:uid="{D4864788-DD9A-4C87-BA17-EF2F303A9263}"/>
    <cellStyle name="Summa 13 2 3" xfId="13653" xr:uid="{BBA627BF-ECBC-4A63-B076-2FC991548924}"/>
    <cellStyle name="Summa 13 2 3 2" xfId="25001" xr:uid="{0D56170E-A370-46E0-BC4F-9DB6C65D221B}"/>
    <cellStyle name="Summa 13 2 4" xfId="24999" xr:uid="{39EC30C0-6DCE-4832-9304-9FFF3A416558}"/>
    <cellStyle name="Summa 13 3" xfId="13654" xr:uid="{4A96D6B3-B515-449A-8506-24A2E6A3261D}"/>
    <cellStyle name="Summa 13 3 2" xfId="25002" xr:uid="{5AA4E019-224D-4828-B203-489DC5BBDB2C}"/>
    <cellStyle name="Summa 13 4" xfId="13655" xr:uid="{0A657AB5-684A-4521-93CA-07A36EAD8C91}"/>
    <cellStyle name="Summa 13 4 2" xfId="25003" xr:uid="{1CE89F1E-8A09-4024-9448-BA9444BD8C3A}"/>
    <cellStyle name="Summa 13 5" xfId="24998" xr:uid="{D26F1BB6-B974-437B-96DC-60E7854E6810}"/>
    <cellStyle name="Summa 14" xfId="13656" xr:uid="{2EA09A35-6502-4902-8382-2FBEF7AB3926}"/>
    <cellStyle name="Summa 14 2" xfId="13657" xr:uid="{F34894D1-F071-4B6B-9510-14BF4684E594}"/>
    <cellStyle name="Summa 14 2 2" xfId="13658" xr:uid="{B2A9093E-D262-44BB-A3EC-32093F4E9362}"/>
    <cellStyle name="Summa 14 2 2 2" xfId="25006" xr:uid="{8E1E17AE-E912-4D68-BFB5-F8179387DF12}"/>
    <cellStyle name="Summa 14 2 3" xfId="13659" xr:uid="{F8FF3AB9-9F17-4807-A8A5-91B529130F5D}"/>
    <cellStyle name="Summa 14 2 3 2" xfId="25007" xr:uid="{C5DE2E33-50B5-4F46-9E7B-9FA0518839CA}"/>
    <cellStyle name="Summa 14 2 4" xfId="25005" xr:uid="{E3A119A3-5FD8-4BF2-A618-F9B29157A58E}"/>
    <cellStyle name="Summa 14 3" xfId="13660" xr:uid="{A166B235-1057-4205-991F-4FBAE384EB9E}"/>
    <cellStyle name="Summa 14 3 2" xfId="25008" xr:uid="{A05DCC35-50EB-4A04-903F-5AD4F55A22B0}"/>
    <cellStyle name="Summa 14 4" xfId="13661" xr:uid="{07861BBC-B208-4249-8817-140708D29FD9}"/>
    <cellStyle name="Summa 14 4 2" xfId="25009" xr:uid="{BFDDE550-DC3C-4FDF-9876-CD304354E014}"/>
    <cellStyle name="Summa 14 5" xfId="25004" xr:uid="{D04A8952-5CA8-4212-8961-C5CE8C62253A}"/>
    <cellStyle name="Summa 15" xfId="13662" xr:uid="{3BEE8AA2-89C8-4CC5-81D5-53C6F3279D38}"/>
    <cellStyle name="Summa 15 2" xfId="13663" xr:uid="{7A3DF31D-0CC2-4F65-9848-1E49381A8E82}"/>
    <cellStyle name="Summa 15 2 2" xfId="13664" xr:uid="{B36681F4-026B-403D-A145-AF6053E5B1ED}"/>
    <cellStyle name="Summa 15 2 2 2" xfId="25012" xr:uid="{34C8EB5E-50F3-4D4A-BCB3-3C6B16D9598E}"/>
    <cellStyle name="Summa 15 2 3" xfId="13665" xr:uid="{F340FAC0-BC54-46F9-9730-3256F0E45D88}"/>
    <cellStyle name="Summa 15 2 3 2" xfId="25013" xr:uid="{070CE7F1-2FFE-4DEE-BAE9-8774DC43A88E}"/>
    <cellStyle name="Summa 15 2 4" xfId="25011" xr:uid="{3B23A762-4439-46C5-8CFC-86C672E122EE}"/>
    <cellStyle name="Summa 15 3" xfId="13666" xr:uid="{5AD9CB8C-667D-400C-A0C0-EC31034DB67F}"/>
    <cellStyle name="Summa 15 3 2" xfId="25014" xr:uid="{190493A9-9161-4206-9BEE-16DAB71C5D79}"/>
    <cellStyle name="Summa 15 4" xfId="13667" xr:uid="{DF94E972-772C-4577-A2BB-7995BFA280AE}"/>
    <cellStyle name="Summa 15 4 2" xfId="25015" xr:uid="{386D1884-6B85-42EB-98C1-A827E357D58D}"/>
    <cellStyle name="Summa 15 5" xfId="25010" xr:uid="{56D74D65-B7FA-4C5A-A4F5-0DC444C626B3}"/>
    <cellStyle name="Summa 16" xfId="13668" xr:uid="{87B25647-4EF1-4A8F-BCE9-9C76F9D3D52A}"/>
    <cellStyle name="Summa 16 2" xfId="13669" xr:uid="{8B8E5EA7-1195-43AB-8BF0-393134F90CFF}"/>
    <cellStyle name="Summa 16 2 2" xfId="13670" xr:uid="{E4124D77-BA1A-4F06-987E-E6E22CB8B215}"/>
    <cellStyle name="Summa 16 2 2 2" xfId="25018" xr:uid="{30E223AD-6572-4326-8327-B595414370F0}"/>
    <cellStyle name="Summa 16 2 3" xfId="13671" xr:uid="{E10C19A9-DB0E-4415-9AC1-6DF3BC554F6F}"/>
    <cellStyle name="Summa 16 2 3 2" xfId="25019" xr:uid="{5781FD7E-8F4A-42B7-90CB-2A936A1E1BBF}"/>
    <cellStyle name="Summa 16 2 4" xfId="25017" xr:uid="{94EE3A55-A5EB-47C7-8517-D88399DD89F5}"/>
    <cellStyle name="Summa 16 3" xfId="13672" xr:uid="{690FCC00-B96E-4229-8859-A05B50A52042}"/>
    <cellStyle name="Summa 16 3 2" xfId="25020" xr:uid="{CF280B46-12FD-448F-BCDD-4294BB3AAAF9}"/>
    <cellStyle name="Summa 16 4" xfId="13673" xr:uid="{F1316655-BA18-49DB-8DF0-AFABA4C0C59F}"/>
    <cellStyle name="Summa 16 4 2" xfId="25021" xr:uid="{B7003915-272E-49CC-A4A2-D46123FAA0BA}"/>
    <cellStyle name="Summa 16 5" xfId="25016" xr:uid="{CDFF6939-F106-4F8B-B57C-E050F55A99EB}"/>
    <cellStyle name="Summa 17" xfId="13674" xr:uid="{9DDABE25-E0A1-455F-802C-DE8E4A11B79B}"/>
    <cellStyle name="Summa 17 2" xfId="13675" xr:uid="{99D5D03D-AC85-4BC9-BAF1-C63D5699A438}"/>
    <cellStyle name="Summa 17 2 2" xfId="13676" xr:uid="{27A5B399-FF45-4607-878E-7079E694168A}"/>
    <cellStyle name="Summa 17 2 2 2" xfId="25024" xr:uid="{99A4849A-EB6A-4CD3-AE44-82A849686914}"/>
    <cellStyle name="Summa 17 2 3" xfId="13677" xr:uid="{40A1C70E-55FF-4590-9E9B-8A268E12852A}"/>
    <cellStyle name="Summa 17 2 3 2" xfId="25025" xr:uid="{903EECE5-9F4C-4D80-87DE-9F418FF3B6D4}"/>
    <cellStyle name="Summa 17 2 4" xfId="25023" xr:uid="{A3C09050-3A30-4FDB-870F-48820D616472}"/>
    <cellStyle name="Summa 17 3" xfId="13678" xr:uid="{B51E0526-617F-4371-AAF0-98B09D774120}"/>
    <cellStyle name="Summa 17 3 2" xfId="25026" xr:uid="{A4AF41E0-3121-43BC-950F-15B51A95C31B}"/>
    <cellStyle name="Summa 17 4" xfId="13679" xr:uid="{29954A81-826C-48CB-9C77-00DE01F2FC82}"/>
    <cellStyle name="Summa 17 4 2" xfId="25027" xr:uid="{8E6E93A3-E595-42E8-891D-A6AAC87B38FF}"/>
    <cellStyle name="Summa 17 5" xfId="25022" xr:uid="{759DAA00-351B-49C7-A404-B951E33534DA}"/>
    <cellStyle name="Summa 18" xfId="13680" xr:uid="{A5414F45-F0EA-4201-935A-F0AC43252F08}"/>
    <cellStyle name="Summa 18 2" xfId="13681" xr:uid="{156F17ED-2111-4D5A-8295-F0C19DF1A1BF}"/>
    <cellStyle name="Summa 18 2 2" xfId="25029" xr:uid="{552023C3-7EAD-451E-82E2-2E05B24C02A5}"/>
    <cellStyle name="Summa 18 3" xfId="13682" xr:uid="{07000B75-DF26-40D3-8B33-F6BD5E1FE967}"/>
    <cellStyle name="Summa 18 3 2" xfId="25030" xr:uid="{9D228EF0-D953-4A11-92DD-1F1165EE7553}"/>
    <cellStyle name="Summa 18 4" xfId="25028" xr:uid="{C5611D24-97FF-4D5B-B1A0-5F36701A2D5E}"/>
    <cellStyle name="Summa 19" xfId="13683" xr:uid="{EF9DDD44-3D46-421A-B341-0C1DE75A6A11}"/>
    <cellStyle name="Summa 19 2" xfId="25031" xr:uid="{3972F405-7AB8-4B25-BA1A-F886E5EE2424}"/>
    <cellStyle name="Summa 2" xfId="13684" xr:uid="{EBB847C1-04AD-4902-920C-143024612F01}"/>
    <cellStyle name="Summa 2 2" xfId="13685" xr:uid="{D136413D-6439-41FC-B052-7267EFE70281}"/>
    <cellStyle name="Summa 2 2 2" xfId="13686" xr:uid="{97839A50-F847-4A81-AE80-BE1F5BD642C2}"/>
    <cellStyle name="Summa 2 2 2 2" xfId="25034" xr:uid="{96168BE2-6826-4150-86EF-E76DA9E2C3F2}"/>
    <cellStyle name="Summa 2 2 3" xfId="13687" xr:uid="{D92ED912-F2AB-4425-9B25-73D0BAE7F18D}"/>
    <cellStyle name="Summa 2 2 3 2" xfId="25035" xr:uid="{9C719D0A-CF10-4EB2-BA9F-EB071D287578}"/>
    <cellStyle name="Summa 2 2 4" xfId="25033" xr:uid="{F5B8165B-BECC-4FD5-9BEB-AF8AD386776D}"/>
    <cellStyle name="Summa 2 3" xfId="13688" xr:uid="{AB19B5FA-EF10-4C1E-9508-179175801396}"/>
    <cellStyle name="Summa 2 3 2" xfId="25036" xr:uid="{0C3B5B94-99CA-4BE4-93E1-26A66124EF66}"/>
    <cellStyle name="Summa 2 4" xfId="13689" xr:uid="{015634A9-B4B8-4129-A254-02D8FCDAC348}"/>
    <cellStyle name="Summa 2 4 2" xfId="25037" xr:uid="{41208126-C7E6-400E-B295-EC1F06AE3935}"/>
    <cellStyle name="Summa 2 5" xfId="25032" xr:uid="{86357BA1-46E5-489A-85D5-298805148CFF}"/>
    <cellStyle name="Summa 20" xfId="13690" xr:uid="{E8FE5A74-6D96-4F41-8A8F-2645F9C831A9}"/>
    <cellStyle name="Summa 20 2" xfId="25038" xr:uid="{7722B688-5000-492C-996F-73DD3C011D02}"/>
    <cellStyle name="Summa 21" xfId="13691" xr:uid="{34653901-C5A7-49BE-838C-3BD41289D8E6}"/>
    <cellStyle name="Summa 21 2" xfId="25039" xr:uid="{8DFEC655-E2CD-464D-A812-1F5FE0D5F236}"/>
    <cellStyle name="Summa 22" xfId="13692" xr:uid="{490D2611-987B-4A5D-A901-EAC2D6622616}"/>
    <cellStyle name="Summa 22 2" xfId="25040" xr:uid="{98A2828C-607E-43C5-8C07-FC46A2C53FDD}"/>
    <cellStyle name="Summa 23" xfId="15214" xr:uid="{F7686EEB-26CD-4A68-9C7C-1C076CF6DADE}"/>
    <cellStyle name="Summa 3" xfId="13693" xr:uid="{349A615C-06E2-4618-A4EC-5392041C4017}"/>
    <cellStyle name="Summa 3 2" xfId="13694" xr:uid="{5D2E3E89-B1CD-4D48-9292-26EA014FD107}"/>
    <cellStyle name="Summa 3 2 2" xfId="13695" xr:uid="{60EFAEA5-7AD9-473C-9739-A65713C8C427}"/>
    <cellStyle name="Summa 3 2 2 2" xfId="25043" xr:uid="{D7C5A778-443D-4FE9-8F20-F91FA75AA8EE}"/>
    <cellStyle name="Summa 3 2 3" xfId="13696" xr:uid="{11B6BDD3-5235-42F2-AAE8-383B3DE3B144}"/>
    <cellStyle name="Summa 3 2 3 2" xfId="25044" xr:uid="{D22D7FF6-4E0D-4ACA-9B50-90868ECB031D}"/>
    <cellStyle name="Summa 3 2 4" xfId="25042" xr:uid="{D2AAC12E-D96B-431A-A761-61F4C93B4190}"/>
    <cellStyle name="Summa 3 3" xfId="13697" xr:uid="{151CE6A0-9088-48B5-9C3B-9AFA3617D1B0}"/>
    <cellStyle name="Summa 3 3 2" xfId="25045" xr:uid="{E5CA0783-5C56-479B-9552-D38D0056A1E6}"/>
    <cellStyle name="Summa 3 4" xfId="13698" xr:uid="{A923270E-3A7E-44CA-8099-6AEB6BB83D8F}"/>
    <cellStyle name="Summa 3 4 2" xfId="25046" xr:uid="{87EF85F1-D110-486C-AEBF-53216C9C3C82}"/>
    <cellStyle name="Summa 3 5" xfId="25041" xr:uid="{4A0CD004-A81B-4A80-8963-E14879E83CA9}"/>
    <cellStyle name="Summa 4" xfId="13699" xr:uid="{94CBFC90-D95B-43A0-A5CC-ACF7D69D4B93}"/>
    <cellStyle name="Summa 4 2" xfId="13700" xr:uid="{2D347458-9036-4183-95A6-26D9771ED759}"/>
    <cellStyle name="Summa 4 2 2" xfId="13701" xr:uid="{9E3D7B99-FBD0-40CF-969D-B2B858A74E96}"/>
    <cellStyle name="Summa 4 2 2 2" xfId="25049" xr:uid="{CEA677C8-A45F-4FCD-B63C-FA18C86525D3}"/>
    <cellStyle name="Summa 4 2 3" xfId="13702" xr:uid="{85CC876E-EB14-4B85-A999-28BA01DDF1B4}"/>
    <cellStyle name="Summa 4 2 3 2" xfId="25050" xr:uid="{BD897DC7-9D2D-4747-83DC-74083582A99E}"/>
    <cellStyle name="Summa 4 2 4" xfId="25048" xr:uid="{32D37C37-F083-4197-BE64-D17AADB1B3E4}"/>
    <cellStyle name="Summa 4 3" xfId="13703" xr:uid="{345DA627-AA58-4AE6-AE1A-F4770C8B31AE}"/>
    <cellStyle name="Summa 4 3 2" xfId="25051" xr:uid="{7AEB7ACA-5056-4F5D-A0BD-4E207F030F83}"/>
    <cellStyle name="Summa 4 4" xfId="13704" xr:uid="{37637FA4-1DAC-4CB9-A9D5-9BAA44FB4513}"/>
    <cellStyle name="Summa 4 4 2" xfId="25052" xr:uid="{3E621B10-21E3-4435-93F3-EECE8960F0CF}"/>
    <cellStyle name="Summa 4 5" xfId="25047" xr:uid="{91BFA2C8-676E-420B-9112-9B13B667CB3F}"/>
    <cellStyle name="Summa 5" xfId="13705" xr:uid="{8DDEC8E1-E6AF-4ECA-8C2B-71A00B57C9BB}"/>
    <cellStyle name="Summa 5 2" xfId="13706" xr:uid="{C038D362-42A7-4218-9CFC-6216470C3992}"/>
    <cellStyle name="Summa 5 2 2" xfId="13707" xr:uid="{EF1A6330-793C-49FD-A682-FF995306A1F4}"/>
    <cellStyle name="Summa 5 2 2 2" xfId="25055" xr:uid="{D2D1C9DC-60E6-4D66-A07E-8155866B2DCF}"/>
    <cellStyle name="Summa 5 2 3" xfId="13708" xr:uid="{F2413C8D-213F-4943-9C73-61B550F479D2}"/>
    <cellStyle name="Summa 5 2 3 2" xfId="25056" xr:uid="{E6FD902D-FE4B-48EB-A1FD-2D55EE96BFEE}"/>
    <cellStyle name="Summa 5 2 4" xfId="25054" xr:uid="{F840E31B-52F4-4892-BBC9-B09542B400B4}"/>
    <cellStyle name="Summa 5 3" xfId="13709" xr:uid="{A8BEC613-8DD5-49D4-A5D0-BB6F85C7EC56}"/>
    <cellStyle name="Summa 5 3 2" xfId="25057" xr:uid="{6928C604-E22F-4C2B-9B3E-40868CFC9DFC}"/>
    <cellStyle name="Summa 5 4" xfId="13710" xr:uid="{CA7D84E2-DABE-401E-B60A-24F930656547}"/>
    <cellStyle name="Summa 5 4 2" xfId="25058" xr:uid="{160B2D56-503F-490C-8E25-35CAC5D4D6C1}"/>
    <cellStyle name="Summa 5 5" xfId="25053" xr:uid="{F7AB5B47-5898-4994-92A3-5E3F5F005C61}"/>
    <cellStyle name="Summa 6" xfId="13711" xr:uid="{55FE90C9-8208-4E7F-9F1D-4FE1D2545CD0}"/>
    <cellStyle name="Summa 6 2" xfId="13712" xr:uid="{3FE0A90D-8318-4B52-87BB-A664C0808123}"/>
    <cellStyle name="Summa 6 2 2" xfId="13713" xr:uid="{49558C88-FB41-4812-9EEC-CE4C959C4C1C}"/>
    <cellStyle name="Summa 6 2 2 2" xfId="25061" xr:uid="{4A923806-4454-4E9C-8405-4BFE76035E23}"/>
    <cellStyle name="Summa 6 2 3" xfId="13714" xr:uid="{E860F1CC-33F9-4226-998E-652E267E4552}"/>
    <cellStyle name="Summa 6 2 3 2" xfId="25062" xr:uid="{CF7F1D55-0CDA-438B-BDFA-37B66803AE8C}"/>
    <cellStyle name="Summa 6 2 4" xfId="25060" xr:uid="{7B04AEC5-57F4-4E7B-B99F-16078F9FFCC8}"/>
    <cellStyle name="Summa 6 3" xfId="13715" xr:uid="{2987A55F-D9ED-48AE-9A37-96C725BB55FB}"/>
    <cellStyle name="Summa 6 3 2" xfId="25063" xr:uid="{3BA843C4-557B-49F5-BA5D-A995B3EEAA6F}"/>
    <cellStyle name="Summa 6 4" xfId="13716" xr:uid="{4981B97F-AE9C-4715-A082-E3A7223B12AF}"/>
    <cellStyle name="Summa 6 4 2" xfId="25064" xr:uid="{B9975B1C-4F2A-414E-A1AB-7EE6A2E700B7}"/>
    <cellStyle name="Summa 6 5" xfId="25059" xr:uid="{8DAB8C6F-A7D4-44A7-A10A-2F3AB13D9D2B}"/>
    <cellStyle name="Summa 7" xfId="13717" xr:uid="{A391C456-9A86-47DF-A476-3B25D68A8498}"/>
    <cellStyle name="Summa 7 2" xfId="13718" xr:uid="{24941487-02ED-4730-AFD8-31D7F39DC242}"/>
    <cellStyle name="Summa 7 2 2" xfId="13719" xr:uid="{D7DB51FB-62DA-4B9A-A029-F93A6EB56F75}"/>
    <cellStyle name="Summa 7 2 2 2" xfId="25067" xr:uid="{74BA5C23-7DCC-4F9C-BCD6-5034015E8A7F}"/>
    <cellStyle name="Summa 7 2 3" xfId="13720" xr:uid="{C6EF61DD-F93A-4AB2-8F23-7FDBE92CE415}"/>
    <cellStyle name="Summa 7 2 3 2" xfId="25068" xr:uid="{20B6D783-5AAE-4795-934A-471904775A0B}"/>
    <cellStyle name="Summa 7 2 4" xfId="25066" xr:uid="{A1959325-E528-4742-BA5C-275D3B59214F}"/>
    <cellStyle name="Summa 7 3" xfId="13721" xr:uid="{B87EE4FE-3B60-4043-A54F-598BF8CC6658}"/>
    <cellStyle name="Summa 7 3 2" xfId="25069" xr:uid="{7FB001D6-F6C7-41A9-B590-2543F75B4660}"/>
    <cellStyle name="Summa 7 4" xfId="13722" xr:uid="{16D9D126-B528-423E-8C21-F49585EBC1EE}"/>
    <cellStyle name="Summa 7 4 2" xfId="25070" xr:uid="{C7AAE89B-86CB-470E-ACC6-D4A161EAD0B3}"/>
    <cellStyle name="Summa 7 5" xfId="25065" xr:uid="{BC29E1AD-A7D9-4416-B1E9-A83B498DB4E4}"/>
    <cellStyle name="Summa 8" xfId="13723" xr:uid="{2C78CA7A-548F-4331-8741-E85964FBBE93}"/>
    <cellStyle name="Summa 8 2" xfId="13724" xr:uid="{8BA0B1FD-3AB9-4233-AED3-52FF30D9DB8B}"/>
    <cellStyle name="Summa 8 2 2" xfId="13725" xr:uid="{186EF240-3ACD-4088-84BB-FF2F8837BBB6}"/>
    <cellStyle name="Summa 8 2 2 2" xfId="25073" xr:uid="{B4B3048D-58D3-4929-A5E7-68C92812E60F}"/>
    <cellStyle name="Summa 8 2 3" xfId="13726" xr:uid="{554F6292-4089-4067-8917-4E9ABC6022ED}"/>
    <cellStyle name="Summa 8 2 3 2" xfId="25074" xr:uid="{0B8AFC23-A832-461B-A38C-E3FFEA9CC728}"/>
    <cellStyle name="Summa 8 2 4" xfId="25072" xr:uid="{CB788748-CD83-42F7-8FE1-038D8306FED7}"/>
    <cellStyle name="Summa 8 3" xfId="13727" xr:uid="{7206F48A-BBBA-4BCB-B949-C62A2431E44B}"/>
    <cellStyle name="Summa 8 3 2" xfId="25075" xr:uid="{424EDA85-B3EE-4A3A-A8FE-88FD6D82302F}"/>
    <cellStyle name="Summa 8 4" xfId="13728" xr:uid="{52451C0D-3BDE-48CA-9A12-200334C0C7EB}"/>
    <cellStyle name="Summa 8 4 2" xfId="25076" xr:uid="{82F09636-3487-4E11-B820-5A4A9227D731}"/>
    <cellStyle name="Summa 8 5" xfId="25071" xr:uid="{B12D3A08-7EE4-4004-82A6-5C5104488DBE}"/>
    <cellStyle name="Summa 9" xfId="13729" xr:uid="{76644B8A-19DD-4295-A10E-FCEDF7AD491D}"/>
    <cellStyle name="Summa 9 2" xfId="13730" xr:uid="{C497EFAD-915C-42B0-9AB8-476E95470028}"/>
    <cellStyle name="Summa 9 2 2" xfId="13731" xr:uid="{8660872D-8E23-4793-A045-0DF884D2137A}"/>
    <cellStyle name="Summa 9 2 2 2" xfId="25079" xr:uid="{8315DD7C-3B00-4A78-AA3F-36FDD04AE5F3}"/>
    <cellStyle name="Summa 9 2 3" xfId="13732" xr:uid="{C40D625A-E9CE-4A89-B4CD-1D19CF2A1259}"/>
    <cellStyle name="Summa 9 2 3 2" xfId="25080" xr:uid="{2771894D-06C7-4332-8701-91A4E169EDD8}"/>
    <cellStyle name="Summa 9 2 4" xfId="25078" xr:uid="{3118D5EC-46C6-4FCB-8165-B5656A6363FC}"/>
    <cellStyle name="Summa 9 3" xfId="13733" xr:uid="{10E2FFB9-1316-4A80-92C1-7D6C18BE25DB}"/>
    <cellStyle name="Summa 9 3 2" xfId="25081" xr:uid="{90853FE8-87D0-4900-856A-E1BBDDB7C316}"/>
    <cellStyle name="Summa 9 4" xfId="13734" xr:uid="{9F56FF48-7385-4541-A035-3EDB9129C69A}"/>
    <cellStyle name="Summa 9 4 2" xfId="25082" xr:uid="{553A5730-BF12-4629-A4E4-E53D321D42C4}"/>
    <cellStyle name="Summa 9 5" xfId="25077" xr:uid="{3F1D30E1-74A0-40AC-B6C3-8946987BB6FD}"/>
    <cellStyle name="Summa_PGM_CHECK" xfId="14889" xr:uid="{EDEE5AB1-2D3E-462E-9FB9-6BEF41CA1E7A}"/>
    <cellStyle name="Susietas langelis" xfId="13735" xr:uid="{4EB12886-CC50-4D9E-9E35-A4FEE7C32B8F}"/>
    <cellStyle name="Switch" xfId="13736" xr:uid="{41CC6BB8-C6DA-4385-AF03-F3C67F21B612}"/>
    <cellStyle name="Syöttö" xfId="13737" xr:uid="{E5E1B410-02DA-43E8-9039-C8C433A308CB}"/>
    <cellStyle name="Syöttö 10" xfId="13738" xr:uid="{A0DF9130-FB0E-455B-9A33-D32A9B0F0BC2}"/>
    <cellStyle name="Syöttö 10 2" xfId="13739" xr:uid="{EFDCF957-BE5E-4D58-B26B-878669791A8E}"/>
    <cellStyle name="Syöttö 10 2 2" xfId="13740" xr:uid="{F4505ED9-9087-487B-9B49-288E4B62A516}"/>
    <cellStyle name="Syöttö 10 2 2 2" xfId="25085" xr:uid="{3E5F7FEB-0C62-4E70-9D11-080D5392EEE6}"/>
    <cellStyle name="Syöttö 10 2 3" xfId="13741" xr:uid="{47C7E471-60E7-450D-A1FC-8B66208E2177}"/>
    <cellStyle name="Syöttö 10 2 3 2" xfId="25086" xr:uid="{AD13429A-6C1A-4FA9-9128-B178F35EE520}"/>
    <cellStyle name="Syöttö 10 2 4" xfId="25084" xr:uid="{8075450D-C046-4AC3-B225-CBB1980E7111}"/>
    <cellStyle name="Syöttö 10 3" xfId="13742" xr:uid="{36AF6C59-035C-43DC-9289-A95D623EAC0D}"/>
    <cellStyle name="Syöttö 10 3 2" xfId="25087" xr:uid="{ECF2F06A-6EFD-48F8-BA01-C7472D49FD6E}"/>
    <cellStyle name="Syöttö 10 4" xfId="13743" xr:uid="{A24333BF-CF23-4FE0-B1C8-B8A51705E3D8}"/>
    <cellStyle name="Syöttö 10 4 2" xfId="25088" xr:uid="{6B5C648C-5777-4918-BBE8-EB91D5D52335}"/>
    <cellStyle name="Syöttö 10 5" xfId="25083" xr:uid="{7170AF46-96CB-484D-BE27-A5DC81842F3E}"/>
    <cellStyle name="Syöttö 11" xfId="13744" xr:uid="{FE8C1593-CC5B-4BBD-97C2-E3D26085C2E5}"/>
    <cellStyle name="Syöttö 11 2" xfId="13745" xr:uid="{98B09CBD-3674-4350-8224-079DBF2A0750}"/>
    <cellStyle name="Syöttö 11 2 2" xfId="13746" xr:uid="{36A65BF3-83FF-4227-929E-39A0E9C6DB3D}"/>
    <cellStyle name="Syöttö 11 2 2 2" xfId="25091" xr:uid="{A969C7FC-F47D-4AAF-A5BE-70ADC05ECBF9}"/>
    <cellStyle name="Syöttö 11 2 3" xfId="13747" xr:uid="{08625F59-049A-4727-B357-9FD299B91D0F}"/>
    <cellStyle name="Syöttö 11 2 3 2" xfId="25092" xr:uid="{9AD2B59C-B6FC-422E-8D88-C81481964E14}"/>
    <cellStyle name="Syöttö 11 2 4" xfId="25090" xr:uid="{D9D1F914-9F13-4E21-B9AF-1A450632C5EB}"/>
    <cellStyle name="Syöttö 11 3" xfId="13748" xr:uid="{0EAA7ABA-34A8-4FF0-96E2-69EA3F3AF1C8}"/>
    <cellStyle name="Syöttö 11 3 2" xfId="25093" xr:uid="{52ADE5FC-AB59-4A7B-A5CE-5A9768FD6F36}"/>
    <cellStyle name="Syöttö 11 4" xfId="13749" xr:uid="{27F27C10-0B53-435B-84B5-DFF4A34EB95E}"/>
    <cellStyle name="Syöttö 11 4 2" xfId="25094" xr:uid="{CAFA63EC-6CBD-48F3-97A5-7660E44C9911}"/>
    <cellStyle name="Syöttö 11 5" xfId="25089" xr:uid="{5953EA6E-7F49-474D-A7CF-8B4684851574}"/>
    <cellStyle name="Syöttö 12" xfId="13750" xr:uid="{983E7D5A-10CC-4292-B319-A28D2661C622}"/>
    <cellStyle name="Syöttö 12 2" xfId="13751" xr:uid="{0B0D4457-AC7F-4C8F-B736-2B6E161EF35C}"/>
    <cellStyle name="Syöttö 12 2 2" xfId="13752" xr:uid="{00E548A3-0BA0-4F9D-8ED2-A0B28DCA205E}"/>
    <cellStyle name="Syöttö 12 2 2 2" xfId="25097" xr:uid="{B1179D49-21E1-45DD-BF98-ADDD0304C789}"/>
    <cellStyle name="Syöttö 12 2 3" xfId="13753" xr:uid="{4456C00B-CB87-40D1-B280-D3DCBCF087BC}"/>
    <cellStyle name="Syöttö 12 2 3 2" xfId="25098" xr:uid="{FDA9C279-028E-47A9-B6AA-8D2DDA350839}"/>
    <cellStyle name="Syöttö 12 2 4" xfId="25096" xr:uid="{F2027BD7-5428-490E-8F13-754152F3695D}"/>
    <cellStyle name="Syöttö 12 3" xfId="13754" xr:uid="{A43EDC87-90BA-4655-9E51-C391B403F7F3}"/>
    <cellStyle name="Syöttö 12 3 2" xfId="25099" xr:uid="{5438A95E-9D7B-4426-BBC4-31AB787E607E}"/>
    <cellStyle name="Syöttö 12 4" xfId="13755" xr:uid="{5E81C3FD-C5D3-4660-BF2A-EC92694F6BEA}"/>
    <cellStyle name="Syöttö 12 4 2" xfId="25100" xr:uid="{7F2769E7-BB02-4EFE-8254-CAA569A97078}"/>
    <cellStyle name="Syöttö 12 5" xfId="25095" xr:uid="{93BFBC60-487E-49C6-8681-2621F8AA01D1}"/>
    <cellStyle name="Syöttö 13" xfId="13756" xr:uid="{B79797C9-2A4E-4D99-AEF7-0DE6F93C2F64}"/>
    <cellStyle name="Syöttö 13 2" xfId="13757" xr:uid="{6DB1F573-25B3-43D4-8B65-A4491FE8976A}"/>
    <cellStyle name="Syöttö 13 2 2" xfId="13758" xr:uid="{4EA65E56-43C9-4F42-B05C-33149161A81D}"/>
    <cellStyle name="Syöttö 13 2 2 2" xfId="25103" xr:uid="{4608B715-48F2-4109-BA57-F3E0E21D67B3}"/>
    <cellStyle name="Syöttö 13 2 3" xfId="13759" xr:uid="{88F22A51-ECEC-49FD-9C42-C4491DADE9C0}"/>
    <cellStyle name="Syöttö 13 2 3 2" xfId="25104" xr:uid="{66D59DF3-E058-405F-87ED-DD862DCAE07D}"/>
    <cellStyle name="Syöttö 13 2 4" xfId="25102" xr:uid="{D0EE8398-421A-4617-A7AE-815C0F7666A6}"/>
    <cellStyle name="Syöttö 13 3" xfId="13760" xr:uid="{2C364CDD-2438-4709-AC2F-0D04E6A870F7}"/>
    <cellStyle name="Syöttö 13 3 2" xfId="25105" xr:uid="{7C004B50-42CB-4EC4-B86A-FD1F7B023728}"/>
    <cellStyle name="Syöttö 13 4" xfId="13761" xr:uid="{AD7C20E5-7262-4E13-A167-D94EAEE67D14}"/>
    <cellStyle name="Syöttö 13 4 2" xfId="25106" xr:uid="{4FFE4C64-D431-4007-AE4D-683E7D669E22}"/>
    <cellStyle name="Syöttö 13 5" xfId="25101" xr:uid="{ACCFF38E-B09A-42CE-98C9-BB6D671C4603}"/>
    <cellStyle name="Syöttö 14" xfId="13762" xr:uid="{130A33FA-E5B3-4729-B2CA-5E8442F51EFC}"/>
    <cellStyle name="Syöttö 14 2" xfId="13763" xr:uid="{5EDD1BBE-C0D0-40FF-89EA-D34A7CF1934F}"/>
    <cellStyle name="Syöttö 14 2 2" xfId="13764" xr:uid="{5E0875A9-2A2F-4BFD-B9F7-229CCFC0DAB7}"/>
    <cellStyle name="Syöttö 14 2 2 2" xfId="25109" xr:uid="{8D40AD6F-C806-4ABC-8095-E8C0349A3E10}"/>
    <cellStyle name="Syöttö 14 2 3" xfId="13765" xr:uid="{10F82E31-BC8F-4295-BAC4-0D1884F5A811}"/>
    <cellStyle name="Syöttö 14 2 3 2" xfId="25110" xr:uid="{8E23CAE5-E9E5-4FA3-8D99-46F39BF53C31}"/>
    <cellStyle name="Syöttö 14 2 4" xfId="25108" xr:uid="{423EC0E5-D728-470D-B784-B6F30BD63A9B}"/>
    <cellStyle name="Syöttö 14 3" xfId="13766" xr:uid="{671DEA09-E922-4C82-AA35-0D7C50FFB71A}"/>
    <cellStyle name="Syöttö 14 3 2" xfId="25111" xr:uid="{AEE8F4F9-EFC8-4038-8970-7CDBA2314F00}"/>
    <cellStyle name="Syöttö 14 4" xfId="13767" xr:uid="{DC448A83-BB0C-4022-A39E-99D55AF8D2CD}"/>
    <cellStyle name="Syöttö 14 4 2" xfId="25112" xr:uid="{CC13703E-B92A-47C8-A443-6DB41EAA98E5}"/>
    <cellStyle name="Syöttö 14 5" xfId="25107" xr:uid="{0170C452-ADA6-4E2A-8FA2-4DC6BA89C31D}"/>
    <cellStyle name="Syöttö 15" xfId="13768" xr:uid="{F533A09E-3C61-4CEB-B69B-5AE0AC1BA9E9}"/>
    <cellStyle name="Syöttö 15 2" xfId="13769" xr:uid="{A536E76F-1F97-4943-BD81-0EE73B42D83B}"/>
    <cellStyle name="Syöttö 15 2 2" xfId="13770" xr:uid="{2690154F-8E26-451B-9576-3649B57D7070}"/>
    <cellStyle name="Syöttö 15 2 2 2" xfId="25115" xr:uid="{DA6A266D-C21E-46DB-A018-689B698A222D}"/>
    <cellStyle name="Syöttö 15 2 3" xfId="13771" xr:uid="{54C8ECBB-71C5-4113-A000-A5CCFE5F5E5F}"/>
    <cellStyle name="Syöttö 15 2 3 2" xfId="25116" xr:uid="{F6D60A54-18B1-42A7-9A39-D0E8E62088D9}"/>
    <cellStyle name="Syöttö 15 2 4" xfId="25114" xr:uid="{927E0976-32DB-4D9B-A856-801325E61D2E}"/>
    <cellStyle name="Syöttö 15 3" xfId="13772" xr:uid="{5B5B1B87-0EF8-4129-B25D-F6C4957F44E8}"/>
    <cellStyle name="Syöttö 15 3 2" xfId="25117" xr:uid="{61712578-3E90-43FD-A241-5BD1D1F86E5A}"/>
    <cellStyle name="Syöttö 15 4" xfId="13773" xr:uid="{B3504F3E-3876-47B9-ABD8-AB425A73B07D}"/>
    <cellStyle name="Syöttö 15 4 2" xfId="25118" xr:uid="{6905F256-6C88-43AF-B992-1774190A542F}"/>
    <cellStyle name="Syöttö 15 5" xfId="25113" xr:uid="{44D938DA-5216-492F-ABEC-E57C77ABCB09}"/>
    <cellStyle name="Syöttö 16" xfId="13774" xr:uid="{851C1A87-9A9F-4059-A0CB-1D71FDF70A2A}"/>
    <cellStyle name="Syöttö 16 2" xfId="13775" xr:uid="{3B33F135-6747-4F20-801D-F1EED0AD8ADC}"/>
    <cellStyle name="Syöttö 16 2 2" xfId="13776" xr:uid="{CC8A9A7C-0B4B-42D2-9393-F73F42B4A330}"/>
    <cellStyle name="Syöttö 16 2 2 2" xfId="25121" xr:uid="{12EE0415-01D3-4CC2-8F84-C96D99B742E7}"/>
    <cellStyle name="Syöttö 16 2 3" xfId="13777" xr:uid="{6CAF4312-4AA8-405D-B014-80198EF5F38D}"/>
    <cellStyle name="Syöttö 16 2 3 2" xfId="25122" xr:uid="{41BDB40F-EA34-48F9-9388-35C91A2B84CB}"/>
    <cellStyle name="Syöttö 16 2 4" xfId="25120" xr:uid="{47B46E25-632E-4387-B402-F3F6BE10CF2E}"/>
    <cellStyle name="Syöttö 16 3" xfId="13778" xr:uid="{FB164E52-98B8-4F63-AD14-C3073A6AA5F3}"/>
    <cellStyle name="Syöttö 16 3 2" xfId="25123" xr:uid="{CF260460-B302-4068-B803-45C355ADCDE3}"/>
    <cellStyle name="Syöttö 16 4" xfId="13779" xr:uid="{57D5612C-08E6-4A26-9F5D-4C02E28FB90E}"/>
    <cellStyle name="Syöttö 16 4 2" xfId="25124" xr:uid="{07E44FDA-3B1F-4196-BAE3-62D2A5728C15}"/>
    <cellStyle name="Syöttö 16 5" xfId="25119" xr:uid="{EA681C81-BB37-4418-B5B2-1D9072A7349D}"/>
    <cellStyle name="Syöttö 17" xfId="13780" xr:uid="{9A51EFD5-274B-4180-910F-F63F568F4E43}"/>
    <cellStyle name="Syöttö 17 2" xfId="13781" xr:uid="{FBB097D9-A547-444C-8201-C086D47C72F1}"/>
    <cellStyle name="Syöttö 17 2 2" xfId="13782" xr:uid="{21F50E21-7FF0-4C14-B220-EF807539C78C}"/>
    <cellStyle name="Syöttö 17 2 2 2" xfId="25127" xr:uid="{9D10CE8D-7E2E-438E-A0F3-4FFD5D0D7941}"/>
    <cellStyle name="Syöttö 17 2 3" xfId="13783" xr:uid="{3213A9F1-286F-46F6-A85A-601B41062129}"/>
    <cellStyle name="Syöttö 17 2 3 2" xfId="25128" xr:uid="{7F01B519-EEFC-443E-ADD7-5715F2329931}"/>
    <cellStyle name="Syöttö 17 2 4" xfId="25126" xr:uid="{B6FD1EA4-7C64-47EE-AC43-FF65E9CDCEFE}"/>
    <cellStyle name="Syöttö 17 3" xfId="13784" xr:uid="{3C2859F2-4FC2-4BAB-99CE-006BB9673939}"/>
    <cellStyle name="Syöttö 17 3 2" xfId="25129" xr:uid="{92F46FE9-C111-4FA2-A405-94366DB33CCE}"/>
    <cellStyle name="Syöttö 17 4" xfId="13785" xr:uid="{8B1A5EF3-CBCE-43A0-9901-C910C919FC08}"/>
    <cellStyle name="Syöttö 17 4 2" xfId="25130" xr:uid="{19825E80-3E0D-45BF-975B-CAFCF2D62B63}"/>
    <cellStyle name="Syöttö 17 5" xfId="25125" xr:uid="{A60D0EE9-1A9F-40A4-95D6-4E0E825BC157}"/>
    <cellStyle name="Syöttö 18" xfId="13786" xr:uid="{1EE3F9C6-27BE-4137-A209-CFD47A8B1A39}"/>
    <cellStyle name="Syöttö 18 2" xfId="13787" xr:uid="{DEB941B2-672F-43A0-AF10-E292E07D456D}"/>
    <cellStyle name="Syöttö 18 2 2" xfId="13788" xr:uid="{8ECD05EC-578D-460C-9604-BA23745A7981}"/>
    <cellStyle name="Syöttö 18 2 2 2" xfId="25133" xr:uid="{F806BDE9-6E77-4A11-B677-29EABB774FCB}"/>
    <cellStyle name="Syöttö 18 2 3" xfId="13789" xr:uid="{60CA7309-4407-4565-A09B-34C78BBF1651}"/>
    <cellStyle name="Syöttö 18 2 3 2" xfId="25134" xr:uid="{92B2E701-BD3C-47B6-9E15-51605A58C1E8}"/>
    <cellStyle name="Syöttö 18 2 4" xfId="25132" xr:uid="{936C9AAF-9BD7-4DA1-B13A-7B7B5A07468B}"/>
    <cellStyle name="Syöttö 18 3" xfId="13790" xr:uid="{DA4FD89F-CA01-4F76-AC45-B9D4AD73D20B}"/>
    <cellStyle name="Syöttö 18 3 2" xfId="25135" xr:uid="{2EB94869-F7C4-42A7-9DDA-89CEB1270F3E}"/>
    <cellStyle name="Syöttö 18 4" xfId="13791" xr:uid="{489F2ABF-0B9C-4900-95C0-19783209DE0C}"/>
    <cellStyle name="Syöttö 18 4 2" xfId="25136" xr:uid="{3E5BA2F6-5B10-479D-820D-F9548C2C3C1B}"/>
    <cellStyle name="Syöttö 18 5" xfId="25131" xr:uid="{DBDE5DC3-5D11-4EDF-A890-18E60AE791D6}"/>
    <cellStyle name="Syöttö 19" xfId="13792" xr:uid="{61F735AF-C058-40FF-B0BC-91107D9EB979}"/>
    <cellStyle name="Syöttö 19 2" xfId="13793" xr:uid="{FC0F4F45-31BF-476A-AB0D-C839E62173FD}"/>
    <cellStyle name="Syöttö 19 2 2" xfId="25138" xr:uid="{E468C606-F955-461C-AD99-E8A53BE3AC43}"/>
    <cellStyle name="Syöttö 19 3" xfId="13794" xr:uid="{5C816031-2A0B-4C0D-94A3-AD1EFE2B2306}"/>
    <cellStyle name="Syöttö 19 3 2" xfId="25139" xr:uid="{3054BA74-A8B2-4619-9316-1ED1FF11CA0D}"/>
    <cellStyle name="Syöttö 19 4" xfId="25137" xr:uid="{D8E0893B-809A-4887-B867-55650C8DD969}"/>
    <cellStyle name="Syöttö 2" xfId="13795" xr:uid="{C9CB103C-B2A0-4116-8431-5B90A0FE9A7E}"/>
    <cellStyle name="Syöttö 2 2" xfId="13796" xr:uid="{B48180F0-1737-41E8-9B29-B805A6286B8F}"/>
    <cellStyle name="Syöttö 2 2 2" xfId="13797" xr:uid="{21C2D3E4-4E58-48CF-8319-B99AD5279861}"/>
    <cellStyle name="Syöttö 2 2 2 2" xfId="25142" xr:uid="{78F3D3F7-7B77-4508-840C-05FF1FF83650}"/>
    <cellStyle name="Syöttö 2 2 3" xfId="13798" xr:uid="{A0197204-3DC3-4A83-8515-C5EFBB3D00B8}"/>
    <cellStyle name="Syöttö 2 2 3 2" xfId="25143" xr:uid="{ED900ADE-6DA6-4EB8-A188-D3376C2AA76D}"/>
    <cellStyle name="Syöttö 2 2 4" xfId="25141" xr:uid="{68967382-2737-4348-A812-9627E795C185}"/>
    <cellStyle name="Syöttö 2 3" xfId="13799" xr:uid="{F7C5F7B4-444B-4752-925B-367EC531DB5C}"/>
    <cellStyle name="Syöttö 2 3 2" xfId="25144" xr:uid="{4A2550D5-0C4E-4AF0-8952-9D1A6756B63E}"/>
    <cellStyle name="Syöttö 2 4" xfId="13800" xr:uid="{B2590D9C-F1EC-43A3-972F-19E5F2B5FE0B}"/>
    <cellStyle name="Syöttö 2 4 2" xfId="25145" xr:uid="{2C67DD31-2AAB-42CA-B0C7-BEDF8D87F3D6}"/>
    <cellStyle name="Syöttö 2 5" xfId="25140" xr:uid="{2C6E7E63-AD3D-4C4B-9650-9E230BBA48AB}"/>
    <cellStyle name="Syöttö 20" xfId="13801" xr:uid="{13716F90-86A1-40F9-B840-97F0D94920C2}"/>
    <cellStyle name="Syöttö 20 2" xfId="25146" xr:uid="{00864389-DFCD-40B4-BD0F-0293A1EDC668}"/>
    <cellStyle name="Syöttö 21" xfId="13802" xr:uid="{5F5D427E-8B41-41B0-B7D7-6CB68CC2D98D}"/>
    <cellStyle name="Syöttö 21 2" xfId="25147" xr:uid="{58A955D2-4DEC-4F36-9599-133E0C66E49C}"/>
    <cellStyle name="Syöttö 22" xfId="13803" xr:uid="{388894C8-D672-4DDB-93B4-7CFF31220F5C}"/>
    <cellStyle name="Syöttö 22 2" xfId="25148" xr:uid="{CD00BDA5-4A9D-4669-9599-A30273CBFF1E}"/>
    <cellStyle name="Syöttö 23" xfId="13804" xr:uid="{E2D1D4AF-DBDD-47FF-AD86-6F7425BBA46B}"/>
    <cellStyle name="Syöttö 23 2" xfId="25149" xr:uid="{2EF8A3F7-B8B2-4E59-8999-14887C73437C}"/>
    <cellStyle name="Syöttö 24" xfId="15215" xr:uid="{B4BC1FAC-5BB5-47C0-A14B-58735B0ED794}"/>
    <cellStyle name="Syöttö 3" xfId="13805" xr:uid="{4E246F21-9C2E-4C15-BC1F-91E5415E84A0}"/>
    <cellStyle name="Syöttö 3 2" xfId="13806" xr:uid="{1083418C-4198-42D8-8F2D-CB88F951D8A3}"/>
    <cellStyle name="Syöttö 3 2 2" xfId="13807" xr:uid="{B9FEEFCA-D5FD-4A5B-917E-2B4EC09EEB46}"/>
    <cellStyle name="Syöttö 3 2 2 2" xfId="25152" xr:uid="{1C1DBA60-C80A-4E2F-A0A4-F6E69131A98A}"/>
    <cellStyle name="Syöttö 3 2 3" xfId="13808" xr:uid="{373C1C57-B0AD-4C3C-B759-D6C1226A41DF}"/>
    <cellStyle name="Syöttö 3 2 3 2" xfId="25153" xr:uid="{696F4F13-331D-4A8C-ACF5-3DC48C30A887}"/>
    <cellStyle name="Syöttö 3 2 4" xfId="25151" xr:uid="{6A6BBF96-077D-45CD-8301-F4115E6BE765}"/>
    <cellStyle name="Syöttö 3 3" xfId="13809" xr:uid="{83B1218A-19B4-4342-A0A2-FCCD0D96D7F0}"/>
    <cellStyle name="Syöttö 3 3 2" xfId="25154" xr:uid="{00C7C3F1-3C30-4C0E-8FE7-7039B52FAAB4}"/>
    <cellStyle name="Syöttö 3 4" xfId="13810" xr:uid="{B157077C-87A1-4828-9579-B698D6EC9C31}"/>
    <cellStyle name="Syöttö 3 4 2" xfId="25155" xr:uid="{2ECD9C70-CE20-409E-A16E-AD5DAA351215}"/>
    <cellStyle name="Syöttö 3 5" xfId="25150" xr:uid="{42F1B790-243C-4A8B-A28A-56DB0D0D6FC1}"/>
    <cellStyle name="Syöttö 4" xfId="13811" xr:uid="{72AE47C2-038A-4E12-9EDB-0E9406939797}"/>
    <cellStyle name="Syöttö 4 2" xfId="13812" xr:uid="{42781D3E-863D-4E9C-BC55-3CA3A9949547}"/>
    <cellStyle name="Syöttö 4 2 2" xfId="13813" xr:uid="{EFB5F177-2A80-4C19-A2D7-4BD0F0523E28}"/>
    <cellStyle name="Syöttö 4 2 2 2" xfId="25158" xr:uid="{4727F9FC-27DB-48A1-9D15-FB7E5AB15E68}"/>
    <cellStyle name="Syöttö 4 2 3" xfId="13814" xr:uid="{183E0F3D-9ADE-4399-B16F-78456D6BAB34}"/>
    <cellStyle name="Syöttö 4 2 3 2" xfId="25159" xr:uid="{1A069639-5CE1-4877-9B91-29CF38563ABD}"/>
    <cellStyle name="Syöttö 4 2 4" xfId="25157" xr:uid="{FBCFCE32-8C3B-48BC-A726-85C603D70380}"/>
    <cellStyle name="Syöttö 4 3" xfId="13815" xr:uid="{EC182C22-0E38-431B-8174-227B86540C20}"/>
    <cellStyle name="Syöttö 4 3 2" xfId="25160" xr:uid="{851F98E7-84FD-4FC5-80CA-AFDF1F5D9ACA}"/>
    <cellStyle name="Syöttö 4 4" xfId="13816" xr:uid="{5FE5F3E8-F83F-4AA8-8D73-0C3F46148F17}"/>
    <cellStyle name="Syöttö 4 4 2" xfId="25161" xr:uid="{4408D5E7-EEE8-4B51-B779-B33569DA68BD}"/>
    <cellStyle name="Syöttö 4 5" xfId="25156" xr:uid="{67B081FC-7238-4322-93A0-69D5FC5EE6DA}"/>
    <cellStyle name="Syöttö 5" xfId="13817" xr:uid="{104E8AEC-C95C-4EE8-BACD-4DF7DA3F0979}"/>
    <cellStyle name="Syöttö 5 2" xfId="13818" xr:uid="{10DCE6D1-794A-4E88-A882-0017C1248988}"/>
    <cellStyle name="Syöttö 5 2 2" xfId="13819" xr:uid="{F38DDAD0-CBA7-4FEF-97B3-7DE16F0675B4}"/>
    <cellStyle name="Syöttö 5 2 2 2" xfId="25164" xr:uid="{7FFEA74D-3A1E-4D87-8936-50A1E15251B5}"/>
    <cellStyle name="Syöttö 5 2 3" xfId="13820" xr:uid="{0FB129D3-FFDB-4000-BFF0-F432E231861A}"/>
    <cellStyle name="Syöttö 5 2 3 2" xfId="25165" xr:uid="{882CA0F4-D0E4-4DC5-A790-03A428BD7BA7}"/>
    <cellStyle name="Syöttö 5 2 4" xfId="25163" xr:uid="{B99DD373-64C6-45FC-9B30-BF9043A59EC8}"/>
    <cellStyle name="Syöttö 5 3" xfId="13821" xr:uid="{2568DB96-9C8C-45B2-86B7-22568C13C28A}"/>
    <cellStyle name="Syöttö 5 3 2" xfId="25166" xr:uid="{1400BB81-2DA3-4880-A4BB-A3B7D1CC8174}"/>
    <cellStyle name="Syöttö 5 4" xfId="13822" xr:uid="{2DCE0138-C2B0-420A-987B-E9FD9B3FE5CB}"/>
    <cellStyle name="Syöttö 5 4 2" xfId="25167" xr:uid="{F8D252E8-A163-4F7B-999C-D62220B4DCDE}"/>
    <cellStyle name="Syöttö 5 5" xfId="25162" xr:uid="{88773E4C-728E-4E37-8C7B-E9184DE8407D}"/>
    <cellStyle name="Syöttö 6" xfId="13823" xr:uid="{FD4BFDA9-FD0F-47F3-AEB9-BD1DEBF5B903}"/>
    <cellStyle name="Syöttö 6 2" xfId="13824" xr:uid="{676D89B4-9317-4E0A-90BA-47E7BBD48B0B}"/>
    <cellStyle name="Syöttö 6 2 2" xfId="13825" xr:uid="{55DC09A7-AE34-4E98-BB86-59ED5238AE08}"/>
    <cellStyle name="Syöttö 6 2 2 2" xfId="25170" xr:uid="{59B153F5-1BE9-4DB5-B2C2-A469BECF094B}"/>
    <cellStyle name="Syöttö 6 2 3" xfId="13826" xr:uid="{5B63E07C-6C76-4883-BDC5-75BCC0DEEB85}"/>
    <cellStyle name="Syöttö 6 2 3 2" xfId="25171" xr:uid="{9F0774E5-6CA4-428E-AC25-408657A340C1}"/>
    <cellStyle name="Syöttö 6 2 4" xfId="25169" xr:uid="{BC0FBD40-DD13-451D-878E-C8A7AFE959B2}"/>
    <cellStyle name="Syöttö 6 3" xfId="13827" xr:uid="{309D67A9-978E-44BE-BF27-4DA2C0C86C6B}"/>
    <cellStyle name="Syöttö 6 3 2" xfId="25172" xr:uid="{45002C9E-B5EE-4FD4-B8DF-6773EFF7D51F}"/>
    <cellStyle name="Syöttö 6 4" xfId="13828" xr:uid="{E9A17491-21D2-4E61-A4A0-617E38E5691B}"/>
    <cellStyle name="Syöttö 6 4 2" xfId="25173" xr:uid="{270645D1-006D-4ACD-8764-A9577B8ED0F0}"/>
    <cellStyle name="Syöttö 6 5" xfId="25168" xr:uid="{BE1B945B-1E6F-4E20-8333-4322C4A2EC10}"/>
    <cellStyle name="Syöttö 7" xfId="13829" xr:uid="{915C5D2C-BBDF-4A89-87A0-61D7D74EEA67}"/>
    <cellStyle name="Syöttö 7 2" xfId="13830" xr:uid="{E212CB38-68CC-4427-A3AB-A9583C45E8CB}"/>
    <cellStyle name="Syöttö 7 2 2" xfId="13831" xr:uid="{D688D9F4-A49A-40B6-9958-09D8279EFC1B}"/>
    <cellStyle name="Syöttö 7 2 2 2" xfId="25176" xr:uid="{A14A465E-471A-49F0-85A0-792F69354BD1}"/>
    <cellStyle name="Syöttö 7 2 3" xfId="13832" xr:uid="{7CA54D7A-6333-4773-93D0-331F966E8346}"/>
    <cellStyle name="Syöttö 7 2 3 2" xfId="25177" xr:uid="{CC4CC3B2-C4B7-4391-9968-DA1F65CE62A4}"/>
    <cellStyle name="Syöttö 7 2 4" xfId="25175" xr:uid="{1CD96000-429D-4822-A419-512D7A5C9B13}"/>
    <cellStyle name="Syöttö 7 3" xfId="13833" xr:uid="{4D4EA4D3-0912-480C-B7DE-FB39F794D5FA}"/>
    <cellStyle name="Syöttö 7 3 2" xfId="25178" xr:uid="{CFB97B57-73A3-4EBD-A274-B8E7F9AE94F8}"/>
    <cellStyle name="Syöttö 7 4" xfId="13834" xr:uid="{9648609D-D4CB-4375-B06C-972FEEF8123E}"/>
    <cellStyle name="Syöttö 7 4 2" xfId="25179" xr:uid="{D172830A-A7D3-43C1-8E57-AD3E8901D7F8}"/>
    <cellStyle name="Syöttö 7 5" xfId="25174" xr:uid="{18961984-D0E5-4962-9888-0E6F95C17CD2}"/>
    <cellStyle name="Syöttö 8" xfId="13835" xr:uid="{551FB959-9492-487C-B999-5347DFFC714E}"/>
    <cellStyle name="Syöttö 8 2" xfId="13836" xr:uid="{2949C007-3E1D-4C10-AFB6-7CB9EB7DC497}"/>
    <cellStyle name="Syöttö 8 2 2" xfId="13837" xr:uid="{A96DB638-8293-4376-8E65-6D77C6BF3D95}"/>
    <cellStyle name="Syöttö 8 2 2 2" xfId="25182" xr:uid="{8E631FD0-446B-45B5-AFD6-06E2FCE781B3}"/>
    <cellStyle name="Syöttö 8 2 3" xfId="13838" xr:uid="{40CA63D3-6E28-46B6-AE54-3DAC468B0F41}"/>
    <cellStyle name="Syöttö 8 2 3 2" xfId="25183" xr:uid="{F8651ADB-4F1C-4F4B-B95D-4D30BFACC254}"/>
    <cellStyle name="Syöttö 8 2 4" xfId="25181" xr:uid="{68B6F0DF-0411-4D2A-8B09-A8FDA5AEE248}"/>
    <cellStyle name="Syöttö 8 3" xfId="13839" xr:uid="{A5280912-AF5F-448E-841A-3AC677598A53}"/>
    <cellStyle name="Syöttö 8 3 2" xfId="25184" xr:uid="{51BE0A1F-5182-47A2-80AF-7CC627CC7899}"/>
    <cellStyle name="Syöttö 8 4" xfId="13840" xr:uid="{978FF7A0-D8E3-48F0-9EE4-33058595E64F}"/>
    <cellStyle name="Syöttö 8 4 2" xfId="25185" xr:uid="{6970D542-587B-4EC9-842C-2C2A47D90B71}"/>
    <cellStyle name="Syöttö 8 5" xfId="25180" xr:uid="{65379EEA-0516-4CE0-90E9-F6E710634D97}"/>
    <cellStyle name="Syöttö 9" xfId="13841" xr:uid="{68B4164A-03EF-4FB6-A7DB-2D7F7A59DC36}"/>
    <cellStyle name="Syöttö 9 2" xfId="13842" xr:uid="{E2268A33-D8A1-4654-BD25-56FBDD25C8BA}"/>
    <cellStyle name="Syöttö 9 2 2" xfId="13843" xr:uid="{BB1D1883-AF2A-4255-94FE-36EB4CB09E87}"/>
    <cellStyle name="Syöttö 9 2 2 2" xfId="25188" xr:uid="{6E883728-1696-44F1-9EDC-A415FAA593C1}"/>
    <cellStyle name="Syöttö 9 2 3" xfId="13844" xr:uid="{349B2EA3-D857-456A-A09A-015E6F682FE2}"/>
    <cellStyle name="Syöttö 9 2 3 2" xfId="25189" xr:uid="{47ACC69D-3164-4795-B9A1-8C290AD00521}"/>
    <cellStyle name="Syöttö 9 2 4" xfId="25187" xr:uid="{467AF316-BCAD-4830-8544-A63929DCC0AF}"/>
    <cellStyle name="Syöttö 9 3" xfId="13845" xr:uid="{3DB767BC-7064-43B6-A707-CAE8A992DEBF}"/>
    <cellStyle name="Syöttö 9 3 2" xfId="25190" xr:uid="{397FB4B5-D715-4F64-B93B-D8462ED57C5A}"/>
    <cellStyle name="Syöttö 9 4" xfId="13846" xr:uid="{92869B6A-275C-46AF-B362-8EC952E38847}"/>
    <cellStyle name="Syöttö 9 4 2" xfId="25191" xr:uid="{E34B61DD-A274-46D1-A07B-F4F9FA455A0A}"/>
    <cellStyle name="Syöttö 9 5" xfId="25186" xr:uid="{7574134B-0E51-4DDA-9403-894413083749}"/>
    <cellStyle name="Syöttö_PGM_CHECK" xfId="14907" xr:uid="{7D402630-46B8-46D6-A465-C83F0255961E}"/>
    <cellStyle name="Számítás 2" xfId="13847" xr:uid="{65B271C8-5BF2-40EF-909E-B2FB148F68C9}"/>
    <cellStyle name="Számítás 2 2" xfId="13848" xr:uid="{A59F1ED5-8F09-46AE-960B-73AB7BB1E822}"/>
    <cellStyle name="Számítás 2 2 2" xfId="25192" xr:uid="{5DF1BF98-1688-4ED1-9228-5529BBE69CB9}"/>
    <cellStyle name="Számítás 2 3" xfId="13849" xr:uid="{1780AD51-70DC-445E-8D73-F8B170A1F50A}"/>
    <cellStyle name="Számítás 2 3 2" xfId="25193" xr:uid="{AD01F277-4861-4E3A-948D-6D2B09ABABC9}"/>
    <cellStyle name="Számítás 2 4" xfId="15417" xr:uid="{7BF4ADCC-A8E1-4978-AF8C-83950D3B3FC5}"/>
    <cellStyle name="Számítás 2_RP3 PP revised" xfId="15046" xr:uid="{28D684F9-C767-4390-956A-2B0F26D98448}"/>
    <cellStyle name="Százalék 2" xfId="13850" xr:uid="{F7DB497D-DEE6-4921-A44A-0E888245A783}"/>
    <cellStyle name="Százalék 3" xfId="13851" xr:uid="{35660AF0-5559-4138-A9B2-34F69D8CB06E}"/>
    <cellStyle name="Table Col Head" xfId="13852" xr:uid="{295CEA95-609D-42F3-AE83-655F40645A56}"/>
    <cellStyle name="Table Head" xfId="13853" xr:uid="{B4E38767-BD50-42EF-80DD-9ADB1553E3AB}"/>
    <cellStyle name="Table Head Aligned" xfId="13854" xr:uid="{532D14C0-91E7-438D-B6A0-B35BE3EC2576}"/>
    <cellStyle name="Table Head Aligned 2" xfId="25194" xr:uid="{745BF894-5242-4E70-91D4-8B6DD8E3F1C8}"/>
    <cellStyle name="Table Head Aligned 2 2" xfId="25883" xr:uid="{C97DDD55-36BD-496F-AAFE-AA6F9299A555}"/>
    <cellStyle name="Table Head Aligned 2 3" xfId="25845" xr:uid="{D88E3E02-0A10-4DF5-A81F-95A0B550BA47}"/>
    <cellStyle name="Table Head Aligned 2 4" xfId="25887" xr:uid="{73AB4933-3AE5-40BF-9329-2678042BC599}"/>
    <cellStyle name="Table Head Aligned 3" xfId="25838" xr:uid="{EA4260AC-32DB-4CF0-8925-85A72BE2C6DD}"/>
    <cellStyle name="Table Head Aligned 3 2" xfId="25895" xr:uid="{1CE27201-09F4-4C4B-9475-174D09C78FAC}"/>
    <cellStyle name="Table Head Aligned 3 3" xfId="25903" xr:uid="{E55A0C8D-9185-4155-9B7D-4C30064EEB41}"/>
    <cellStyle name="Table Head Blue" xfId="13855" xr:uid="{24AC2786-7AE4-4349-A682-D39E8746AFD6}"/>
    <cellStyle name="Table Head Green" xfId="13856" xr:uid="{7F481166-8BFC-452C-8559-947602A53FC4}"/>
    <cellStyle name="Table Head Green 2" xfId="25195" xr:uid="{7EBC60AD-1AFD-400C-93CB-5AD25735873E}"/>
    <cellStyle name="Table Head Green 2 2" xfId="25884" xr:uid="{651FEF39-683D-4912-ADFB-348FDB190C38}"/>
    <cellStyle name="Table Head Green 2 3" xfId="25844" xr:uid="{BD9F9C69-9A13-4067-B2A8-ABF746D6B5B5}"/>
    <cellStyle name="Table Head Green 2 4" xfId="25866" xr:uid="{199D1842-3AFB-4447-A562-8B491BC17FA3}"/>
    <cellStyle name="Table Head Green 3" xfId="25839" xr:uid="{4D55E844-FA38-493C-9AE8-AB25B6C3D95B}"/>
    <cellStyle name="Table Head Green 3 2" xfId="25896" xr:uid="{6B191BD7-18B2-47E3-A456-3A8DC3BDEE03}"/>
    <cellStyle name="Table Head Green 3 3" xfId="25904" xr:uid="{80F8DFC5-3539-4100-AEEF-73BA1115CE71}"/>
    <cellStyle name="Table Sub Head" xfId="13857" xr:uid="{07838574-D1AC-4512-B88E-C860FF7816DA}"/>
    <cellStyle name="Table Title" xfId="13858" xr:uid="{9E017A81-9A09-4BF3-B181-350344CBE576}"/>
    <cellStyle name="Table Units" xfId="13859" xr:uid="{5B63B3B6-714C-48DD-83BB-A6B49F6D2113}"/>
    <cellStyle name="Tableau_corps_euro" xfId="14910" xr:uid="{B2624DCA-B90D-4C7B-A40F-BE73384E607E}"/>
    <cellStyle name="TableBorder" xfId="13860" xr:uid="{A9A53CB1-0D38-4B3A-B6A5-27548B5F34DB}"/>
    <cellStyle name="Tarkistussolu" xfId="13861" xr:uid="{D2C7AF59-83C9-46DF-9018-5953F90DB475}"/>
    <cellStyle name="Tekst objaśnienia" xfId="13862" xr:uid="{7EF175D7-7ECD-47C8-B2EE-54773174BFF3}"/>
    <cellStyle name="Tekst objaśnienia 2" xfId="13863" xr:uid="{A8E9538A-4C21-4ACD-9079-19F63275781D}"/>
    <cellStyle name="Tekst ostrzeżenia" xfId="13864" xr:uid="{2A231065-B5CC-413A-A184-E124A21C400F}"/>
    <cellStyle name="Tekst ostrzeżenia 2" xfId="13865" xr:uid="{15E25C57-DA57-4EB6-9CE9-0469EE9C1A53}"/>
    <cellStyle name="Testo avviso 2" xfId="13866" xr:uid="{F74C15C3-5882-4FB4-93C6-5D3F6CB9EF4A}"/>
    <cellStyle name="Testo avviso 3" xfId="13867" xr:uid="{FA0100A4-FC6C-4BED-8213-9F1483BF7DE9}"/>
    <cellStyle name="Testo descrittivo 2" xfId="13868" xr:uid="{533C6D13-3542-454F-9270-6109CE5456DB}"/>
    <cellStyle name="Testo descrittivo 3" xfId="13869" xr:uid="{B6526F2F-BF9A-479A-BB06-53A9C93D3936}"/>
    <cellStyle name="Text" xfId="13870" xr:uid="{EAB90840-A6F3-42AB-841F-6319BDA22203}"/>
    <cellStyle name="Text upozornění" xfId="13871" xr:uid="{0DA838DF-5062-4DD1-B7C1-86A5D5C4BF66}"/>
    <cellStyle name="texte" xfId="13872" xr:uid="{1447E7BC-6778-47A3-899A-EF8EC3418A1C}"/>
    <cellStyle name="Texte explicatif" xfId="15217" xr:uid="{04F6838D-AD48-4F94-8E2A-64C8F765D25A}"/>
    <cellStyle name="Texte explicatif 2" xfId="13873" xr:uid="{1DE6CC28-2CB4-476C-B183-5E8512E1EE67}"/>
    <cellStyle name="Texte explicatif 2 2" xfId="13874" xr:uid="{E39A3B4E-1AE9-4167-8AE1-FAD12EB4E66B}"/>
    <cellStyle name="Texte explicatif 3" xfId="13875" xr:uid="{B1F51608-6EA4-410D-A86B-A02923D9CFE1}"/>
    <cellStyle name="Texte explicatif 3 2" xfId="13876" xr:uid="{AE8A85D4-1887-4075-A73C-B78D46B51D4F}"/>
    <cellStyle name="Texte explicatif 4" xfId="13877" xr:uid="{95DF11A5-70D0-4C6D-A4B5-32F7A392F55E}"/>
    <cellStyle name="Texte explicatif 4 2" xfId="13878" xr:uid="{C98A1D14-A49C-49AC-96A1-7DCDCB48690D}"/>
    <cellStyle name="Texte explicatif 5" xfId="13879" xr:uid="{BFDA5785-C3B2-42C7-90DE-D834F94FA429}"/>
    <cellStyle name="Texto de advertencia" xfId="13880" xr:uid="{6ACAC09F-0D59-4AE6-A33F-2D792881C085}"/>
    <cellStyle name="Texto explicativo" xfId="13881" xr:uid="{FB57396F-9BB7-430B-913B-46D86646144E}"/>
    <cellStyle name="Thousands" xfId="13882" xr:uid="{BD9E260E-4BDA-4993-B290-1389BE31A6AC}"/>
    <cellStyle name="Tikrinimo langelis" xfId="13883" xr:uid="{F9BE3E22-5A85-47D4-8019-AC8C7CA903E6}"/>
    <cellStyle name="TimeReport" xfId="13884" xr:uid="{E7FEF841-B1B8-42C3-B453-3FEB07F78214}"/>
    <cellStyle name="Titel" xfId="13885" xr:uid="{2A86743E-A261-4954-BA47-7A639041A938}"/>
    <cellStyle name="Title 1" xfId="13886" xr:uid="{670938EC-1450-4179-94AE-09F9F63F595B}"/>
    <cellStyle name="Title 2" xfId="13887" xr:uid="{14E7F856-0A0C-4FBE-BF4A-620B9E332770}"/>
    <cellStyle name="Title 3" xfId="13888" xr:uid="{B99D8F98-3846-4053-97AF-3FD6A7BCA592}"/>
    <cellStyle name="Title 4" xfId="13889" xr:uid="{8D5F7952-979E-4E77-8E4C-75008754CFF9}"/>
    <cellStyle name="Title 5" xfId="13890" xr:uid="{75B9E441-AB00-48AE-A6B1-532255F00367}"/>
    <cellStyle name="Title 6" xfId="14667" xr:uid="{504C50A2-A98A-478C-A0E6-A29221B23831}"/>
    <cellStyle name="Titolo 1 2" xfId="13891" xr:uid="{28B77581-F5B4-48F3-841B-FA5CCCBC3B5D}"/>
    <cellStyle name="Titolo 1 3" xfId="13892" xr:uid="{AA8CA2F6-0A80-41C8-94EC-0DD8940B5951}"/>
    <cellStyle name="Titolo 2 2" xfId="13893" xr:uid="{3222B1CB-BF05-4078-A3FF-0026C9866CEC}"/>
    <cellStyle name="Titolo 2 3" xfId="13894" xr:uid="{EAC644AE-A651-49B7-A022-6449BB83AA45}"/>
    <cellStyle name="Titolo 3 2" xfId="13895" xr:uid="{A83E047A-3692-4244-8FAC-7CE04E8F3992}"/>
    <cellStyle name="Titolo 3 3" xfId="13896" xr:uid="{3943D998-8297-49F5-A674-2B118F931FC1}"/>
    <cellStyle name="Titolo 4 2" xfId="13897" xr:uid="{1CA7B561-A81E-4F6B-8953-2C689C6B0879}"/>
    <cellStyle name="Titolo 4 3" xfId="13898" xr:uid="{C93DFFE1-8C14-4439-A7F3-1A52FB6E91D3}"/>
    <cellStyle name="Titolo 5" xfId="13899" xr:uid="{E7B52643-5271-43C9-8C36-BED206AE7318}"/>
    <cellStyle name="Titolo 6" xfId="13900" xr:uid="{EB9708BE-8CB7-4B15-BEC7-69AF0B388A50}"/>
    <cellStyle name="Titre" xfId="15227" xr:uid="{DDBB88DA-204F-4509-A17A-BF714170D9BA}"/>
    <cellStyle name="Titre 1" xfId="13901" xr:uid="{A3F8F19D-6C41-4F09-8A9E-895155ACBC27}"/>
    <cellStyle name="Titre 1 1" xfId="13902" xr:uid="{1B0F9491-2EBC-4DC2-ADC9-397EE05B2216}"/>
    <cellStyle name="Titre 1 2" xfId="13903" xr:uid="{5DFFCA88-7955-4509-AC48-3A50DFA1C154}"/>
    <cellStyle name="Titre 1 3" xfId="13904" xr:uid="{ACC58922-83E9-4F8E-BCA7-BF20ADCAFD3E}"/>
    <cellStyle name="Titre 1_pluriannuel ANTAI exec 2011 et prev 2012 recalées (3)" xfId="14911" xr:uid="{068BE0C7-0137-4A31-A3C9-A4005E1F4E1F}"/>
    <cellStyle name="Titre 2" xfId="13905" xr:uid="{98C60EFE-D725-4EE8-8CC1-23F56BD4F182}"/>
    <cellStyle name="Titre 2 2" xfId="13906" xr:uid="{68FB6FA8-CD4F-40D6-830A-0DF2433DE7AE}"/>
    <cellStyle name="Titre 2 3" xfId="13907" xr:uid="{9BF99542-17BA-45B5-BF00-A344E57D8CB6}"/>
    <cellStyle name="Titre 2 4" xfId="13908" xr:uid="{B8D9CD7A-00D3-43DA-9E4D-4B5B4CC6AF79}"/>
    <cellStyle name="Titre 2 5" xfId="13909" xr:uid="{8FB63AA6-9900-4498-81C4-E25A8989CBEC}"/>
    <cellStyle name="Titre 2_RP3 PP revised" xfId="15045" xr:uid="{7358459B-8FEC-48E0-A68B-687909850482}"/>
    <cellStyle name="Titre 3" xfId="13910" xr:uid="{F5E20E95-8D5C-49DB-BD3B-41DBBEC11D85}"/>
    <cellStyle name="Titre 3 2" xfId="13911" xr:uid="{E6F3B08A-B2F5-4B68-BBA4-4206F402FC73}"/>
    <cellStyle name="Titre 3 3" xfId="13912" xr:uid="{1B15A44A-C4CC-462E-AD67-96E7AF6124DE}"/>
    <cellStyle name="Titre 3 4" xfId="13913" xr:uid="{71B95CF7-E0E9-4A7C-A291-B7178F34A38A}"/>
    <cellStyle name="Titre 4" xfId="13914" xr:uid="{431B2DFA-D261-4F0C-BACD-820ADF93BC1F}"/>
    <cellStyle name="Titre 4 2" xfId="13915" xr:uid="{DFB2EE37-B682-4866-87D1-442657EE78F0}"/>
    <cellStyle name="Titre 4 3" xfId="13916" xr:uid="{308D5DB8-A44E-44AF-BD43-B01B5B1D8AE0}"/>
    <cellStyle name="Titre 4 4" xfId="13917" xr:uid="{3CD6C85A-44D8-4C51-95CC-05B1A6EB40EC}"/>
    <cellStyle name="Titre 5" xfId="13918" xr:uid="{520F3F47-0A33-44E3-9281-5E289015AC43}"/>
    <cellStyle name="Titre de la feuille" xfId="13919" xr:uid="{8D9A6504-AFCD-4676-87E7-D879B394024D}"/>
    <cellStyle name="Titre " xfId="13920" xr:uid="{404A0C46-9820-45DD-AF4E-C784AB671EBE}"/>
    <cellStyle name="Titre 1" xfId="15228" xr:uid="{4461EB5C-CF46-4F94-9B6B-511785406A1F}"/>
    <cellStyle name="Titre 1 2" xfId="13921" xr:uid="{D00F084C-661A-46E4-AFA6-F48FEB454F09}"/>
    <cellStyle name="Titre 1 2 2" xfId="13922" xr:uid="{C01DEE78-2307-49A1-BDCA-355DF2499E8E}"/>
    <cellStyle name="Titre 1 2_130725 DSNA 2011 Dossier de révision initial" xfId="13923" xr:uid="{D57D5402-B003-40CF-A3F4-DAA40B90119C}"/>
    <cellStyle name="Titre 1 3" xfId="13924" xr:uid="{1DC84949-CA1D-460B-A7A0-37CD197CD4F2}"/>
    <cellStyle name="Titre 1 4" xfId="13925" xr:uid="{FE64EFD8-5001-4B99-BDBA-E69BECC456E4}"/>
    <cellStyle name="Titre 1 4 2" xfId="13926" xr:uid="{0A6DBB0B-6C21-4F14-9221-0D91EF10ECCB}"/>
    <cellStyle name="Titre 1 4 3" xfId="13927" xr:uid="{91361861-4F8E-449B-BBE1-0C635EF7BA44}"/>
    <cellStyle name="Titre 1 5" xfId="13928" xr:uid="{A92EFF03-B22B-44D5-9755-196B5662E776}"/>
    <cellStyle name="Titre 1 6" xfId="13929" xr:uid="{18B71D0C-277D-4353-B13C-CB08BEBA7D42}"/>
    <cellStyle name="Titre 2" xfId="15229" xr:uid="{986BC541-4FA7-4A3A-87F4-CCC40BBCCDD5}"/>
    <cellStyle name="Titre 2 2" xfId="13930" xr:uid="{E70B069E-9D66-4977-BECD-31BE77A035AD}"/>
    <cellStyle name="Titre 2 2 2" xfId="13931" xr:uid="{BC2C8B44-AF4D-4367-9AF8-79F396B73E63}"/>
    <cellStyle name="Titre 2 2_130725 DSNA 2011 Dossier de révision initial" xfId="13932" xr:uid="{1F7274D0-B320-4FDB-8448-7A0C3BFA286E}"/>
    <cellStyle name="Titre 2 3" xfId="13933" xr:uid="{1330F7D8-CF07-401E-B868-6CC56A6A2F64}"/>
    <cellStyle name="Titre 2 4" xfId="13934" xr:uid="{5B0F4599-AAC8-4167-BB08-1C1DA5E07162}"/>
    <cellStyle name="Titre 2 4 2" xfId="13935" xr:uid="{1B2A0109-836F-4E99-A334-B75741762C24}"/>
    <cellStyle name="Titre 2 4 3" xfId="13936" xr:uid="{23452C47-5343-47BD-B736-9FA1137E0DB5}"/>
    <cellStyle name="Titre 2 5" xfId="13937" xr:uid="{71F94B8B-7645-431F-8AF5-DF60C9314A99}"/>
    <cellStyle name="Titre 2 6" xfId="13938" xr:uid="{8D8C8A44-3660-468F-BEE1-C3A4C30926DE}"/>
    <cellStyle name="Titre 3" xfId="15230" xr:uid="{35C60F2D-5630-484E-89A7-BAA2B7A6834A}"/>
    <cellStyle name="Titre 3 2" xfId="13939" xr:uid="{4EFC7CF5-F79B-4A5E-A386-D5D988FA56E5}"/>
    <cellStyle name="Titre 3 2 2" xfId="13940" xr:uid="{DF6025E4-C46A-4E7D-AE0B-393C56B5088F}"/>
    <cellStyle name="Titre 3 2_130725 DSNA 2011 Dossier de révision initial" xfId="13941" xr:uid="{E4982463-50AE-4F6C-9153-D71872E2196E}"/>
    <cellStyle name="Titre 3 3" xfId="13942" xr:uid="{81C34450-2463-4931-AAE8-F3F7BAFC5A8F}"/>
    <cellStyle name="Titre 3 4" xfId="13943" xr:uid="{E9E529E7-1EBF-4DEA-93D3-59027DBDF062}"/>
    <cellStyle name="Titre 3 4 2" xfId="13944" xr:uid="{141181EF-0223-4F09-B960-8A19759EC109}"/>
    <cellStyle name="Titre 3 4 3" xfId="13945" xr:uid="{9AB195DC-C5DC-483A-9874-904882071983}"/>
    <cellStyle name="Titre 3 5" xfId="13946" xr:uid="{BBF56D28-16C1-409C-8133-DA732CB8D19D}"/>
    <cellStyle name="Titre 4" xfId="15231" xr:uid="{3498EADF-ACAE-4C5C-A108-129E2945054D}"/>
    <cellStyle name="Titre 4 2" xfId="13947" xr:uid="{515DFADA-B41A-4CEA-8068-8954B6504950}"/>
    <cellStyle name="Titre 4 2 2" xfId="13948" xr:uid="{BF5040C3-7658-4F46-B971-A3B187656542}"/>
    <cellStyle name="Titre 4 3" xfId="13949" xr:uid="{39DC728B-C084-4605-B8A2-2DD3FF06EF9B}"/>
    <cellStyle name="Titre 4 4" xfId="13950" xr:uid="{B3FA5A29-A283-429E-B0E7-2C1E868A1657}"/>
    <cellStyle name="Titre 4 4 2" xfId="13951" xr:uid="{2AF4D8C7-1C1E-416D-A6BC-9AF9E0506D59}"/>
    <cellStyle name="Titre 4 4 3" xfId="13952" xr:uid="{A895839A-83F6-4892-81FD-09ABC93FF1DC}"/>
    <cellStyle name="Titre 4 5" xfId="13953" xr:uid="{BD8856FE-47C8-4EB0-A5FC-95EE7CE2C1D4}"/>
    <cellStyle name="Titre_APPOGGIO 2010-2014" xfId="15232" xr:uid="{5C997571-10D8-4E38-AEAE-1151B0A83B21}"/>
    <cellStyle name="Titre10" xfId="13954" xr:uid="{D91C8F28-A98C-41CA-920A-1BF776238690}"/>
    <cellStyle name="Titre11" xfId="13955" xr:uid="{1A401E8B-1AEB-42BF-AD14-FBAF459956C0}"/>
    <cellStyle name="Titre12" xfId="13956" xr:uid="{39E66406-75D8-4C37-AE8A-132FCB192B67}"/>
    <cellStyle name="Titre16" xfId="13957" xr:uid="{F9B4FEDD-9143-4FF1-915F-1F4BA13E9924}"/>
    <cellStyle name="Titulo" xfId="13958" xr:uid="{01B2D363-C80E-4496-83E8-F66D83CFE169}"/>
    <cellStyle name="Título" xfId="13959" xr:uid="{59F8DD8A-588B-43F8-A980-52535C50938C}"/>
    <cellStyle name="Título 1" xfId="13960" xr:uid="{6CC9F5D3-BE2B-4913-8CC5-D51B4D17F53A}"/>
    <cellStyle name="Título 2" xfId="13961" xr:uid="{BB219649-25F9-4034-808C-6A35D283E82D}"/>
    <cellStyle name="Título 3" xfId="13962" xr:uid="{76F6D365-FC93-426B-A720-A0254F4E87E2}"/>
    <cellStyle name="To" xfId="13963" xr:uid="{6F375873-3AFA-4F73-8B82-02CEFD9024A0}"/>
    <cellStyle name="Total" xfId="25" builtinId="25" customBuiltin="1"/>
    <cellStyle name="Total (line)" xfId="13964" xr:uid="{56D63DF5-0B4C-4E13-B6D8-A71ED453EFDB}"/>
    <cellStyle name="Total (line) 2" xfId="13965" xr:uid="{B92D8552-FBA7-42EA-8FE7-1EF2C2CCBD60}"/>
    <cellStyle name="Total (line) 3" xfId="13966" xr:uid="{BAAB068F-BE6E-496F-BC74-7C2CD9BE8E46}"/>
    <cellStyle name="Total (line) 4" xfId="13967" xr:uid="{5924D612-8FD8-47C2-ACB6-B68B80F6CFFF}"/>
    <cellStyle name="Total (line) 5" xfId="13968" xr:uid="{09DC81F9-E20C-41F8-A31A-23674D555FA9}"/>
    <cellStyle name="Total 10" xfId="13969" xr:uid="{1EC88BBD-727B-475E-8AE4-D2D7B5D39109}"/>
    <cellStyle name="Total 10 2" xfId="13970" xr:uid="{5CAAED9E-4E47-45A0-9C87-596C74B051D2}"/>
    <cellStyle name="Total 10 2 2" xfId="13971" xr:uid="{F64FD437-1ED2-4EF4-80E0-2749B80DA3A2}"/>
    <cellStyle name="Total 10 2 2 2" xfId="25198" xr:uid="{D801599B-2C9F-42D7-8EEF-B9C45846FAC2}"/>
    <cellStyle name="Total 10 2 3" xfId="13972" xr:uid="{566E134A-5EBC-497A-92EE-081C70A5FA12}"/>
    <cellStyle name="Total 10 2 3 2" xfId="25199" xr:uid="{2F0B648A-942A-4F2F-B411-E4914BF9B367}"/>
    <cellStyle name="Total 10 2 4" xfId="25197" xr:uid="{68A946E4-2750-46D4-9384-3C42C41E4D87}"/>
    <cellStyle name="Total 10 3" xfId="13973" xr:uid="{3B808C23-DC38-4470-A20F-04AECB2E6D8D}"/>
    <cellStyle name="Total 10 3 2" xfId="25200" xr:uid="{66DE2085-7B21-4079-9543-C465A8F50999}"/>
    <cellStyle name="Total 10 4" xfId="13974" xr:uid="{1028DC5D-3CDB-4DFC-927A-DA65BAF72013}"/>
    <cellStyle name="Total 10 4 2" xfId="25201" xr:uid="{F85B4F8F-6737-4389-9D1D-1A79C583D633}"/>
    <cellStyle name="Total 10 5" xfId="25196" xr:uid="{28346423-3619-4608-8A4C-CE2A7376C364}"/>
    <cellStyle name="Total 11" xfId="13975" xr:uid="{E0E20A91-61EF-4FAE-83A3-F057A2DCD55F}"/>
    <cellStyle name="Total 11 2" xfId="13976" xr:uid="{ABCC660A-29DA-41B7-92D0-F6B0628E4B0A}"/>
    <cellStyle name="Total 11 2 2" xfId="13977" xr:uid="{6FAD13F2-ED23-4071-9DF7-EA5D3018382D}"/>
    <cellStyle name="Total 11 2 2 2" xfId="25204" xr:uid="{C9C6DB0F-EFE0-4FED-832F-507D528AEBD3}"/>
    <cellStyle name="Total 11 2 3" xfId="13978" xr:uid="{82A8F3BA-A929-4112-9F59-E093B2E714D2}"/>
    <cellStyle name="Total 11 2 3 2" xfId="25205" xr:uid="{9511BF03-FD5C-4B35-8193-869B9D731767}"/>
    <cellStyle name="Total 11 2 4" xfId="25203" xr:uid="{DD0039BC-2C4F-4DC4-A3B4-DF4F897DF132}"/>
    <cellStyle name="Total 11 3" xfId="13979" xr:uid="{01EBAE73-3795-4471-AF21-C3E62D2DCC4A}"/>
    <cellStyle name="Total 11 3 2" xfId="25206" xr:uid="{054B843D-1258-42B6-8F27-000AF4DA47B3}"/>
    <cellStyle name="Total 11 4" xfId="13980" xr:uid="{1EF47D50-BB30-48A2-A5D0-438D0B680A65}"/>
    <cellStyle name="Total 11 4 2" xfId="25207" xr:uid="{22C7D0C3-350D-4B37-84EA-2BEC375A56FF}"/>
    <cellStyle name="Total 11 5" xfId="25202" xr:uid="{1410046D-BEC5-4148-95F3-9C0B2801A2AF}"/>
    <cellStyle name="Total 12" xfId="13981" xr:uid="{B6FCCC7D-5D6A-49D3-8921-610FE108CD76}"/>
    <cellStyle name="Total 12 2" xfId="13982" xr:uid="{D2081C48-49CC-44D1-B785-C757EBFCD86E}"/>
    <cellStyle name="Total 12 2 2" xfId="13983" xr:uid="{554BAA31-9118-4681-AE36-754C8EBE3FB6}"/>
    <cellStyle name="Total 12 2 2 2" xfId="25210" xr:uid="{12EA7AC5-65AB-4ED0-A584-66666885C8B1}"/>
    <cellStyle name="Total 12 2 3" xfId="13984" xr:uid="{D41DFEEB-BC92-413E-9761-AADD42CED7D2}"/>
    <cellStyle name="Total 12 2 3 2" xfId="25211" xr:uid="{26272356-609F-4D84-AF84-4D11B982F25E}"/>
    <cellStyle name="Total 12 2 4" xfId="25209" xr:uid="{5A9F78BA-45D2-476F-8485-15F71D0EC5F7}"/>
    <cellStyle name="Total 12 3" xfId="13985" xr:uid="{AE429ED8-AB23-4185-B172-8A072B2862C9}"/>
    <cellStyle name="Total 12 3 2" xfId="25212" xr:uid="{73FAB9B8-C8DE-47DB-8DE5-DB4E0266B06C}"/>
    <cellStyle name="Total 12 4" xfId="13986" xr:uid="{D89E84E3-1AD1-4629-A5FF-AC1C5575B4D5}"/>
    <cellStyle name="Total 12 4 2" xfId="25213" xr:uid="{EBB08EAE-4D08-4E55-8803-FDD240364B9E}"/>
    <cellStyle name="Total 12 5" xfId="25208" xr:uid="{61AFA08E-6866-485E-B634-552939645687}"/>
    <cellStyle name="Total 13" xfId="13987" xr:uid="{2081836D-5D93-4F53-88A8-6B8C619246EA}"/>
    <cellStyle name="Total 13 2" xfId="13988" xr:uid="{EA587AA0-0DE7-4EBE-B739-917372782240}"/>
    <cellStyle name="Total 13 2 2" xfId="13989" xr:uid="{6ACB8206-D779-4D32-815F-DEFD059098BB}"/>
    <cellStyle name="Total 13 2 2 2" xfId="25216" xr:uid="{A63D3845-FC30-4666-A897-47CA2069E0C4}"/>
    <cellStyle name="Total 13 2 3" xfId="13990" xr:uid="{25B0AD4E-A8EF-4725-A97A-56DF22F0EEE9}"/>
    <cellStyle name="Total 13 2 3 2" xfId="25217" xr:uid="{BD33FF68-EC66-4C92-9D1D-FEE0B4966318}"/>
    <cellStyle name="Total 13 2 4" xfId="25215" xr:uid="{64306BD6-BC0A-4335-97E0-83CDEFB2B199}"/>
    <cellStyle name="Total 13 3" xfId="13991" xr:uid="{23D9381E-9C33-447E-A8B7-1FC1BE491E84}"/>
    <cellStyle name="Total 13 3 2" xfId="25218" xr:uid="{891BADB8-81AC-4F97-A1B0-1CA9EF247022}"/>
    <cellStyle name="Total 13 4" xfId="13992" xr:uid="{0508BBF6-E148-4236-BD75-AB3C3477925F}"/>
    <cellStyle name="Total 13 4 2" xfId="25219" xr:uid="{212B7D17-7E1A-4A42-9A15-6C13C16BC72E}"/>
    <cellStyle name="Total 13 5" xfId="25214" xr:uid="{63ABCE6E-E4E3-44C7-82CB-6DCFFB5010DC}"/>
    <cellStyle name="Total 14" xfId="13993" xr:uid="{32F18978-EAD4-44A0-BA7E-66BF193BA65F}"/>
    <cellStyle name="Total 14 2" xfId="13994" xr:uid="{D238EAD5-F12E-4603-8922-593F54F2E7DD}"/>
    <cellStyle name="Total 14 2 2" xfId="13995" xr:uid="{51EF4BAD-B353-442C-96B6-E373854596CE}"/>
    <cellStyle name="Total 14 2 2 2" xfId="25222" xr:uid="{A69A7FCE-C641-4E84-B086-FBA5168B2A67}"/>
    <cellStyle name="Total 14 2 3" xfId="13996" xr:uid="{71FBB659-F45B-45D2-B108-371C3ED57794}"/>
    <cellStyle name="Total 14 2 3 2" xfId="25223" xr:uid="{A5C58B1C-95FB-488B-B443-418DD569BED1}"/>
    <cellStyle name="Total 14 2 4" xfId="25221" xr:uid="{6AB9BCC0-84E0-4F5A-923A-D18E470E6BB3}"/>
    <cellStyle name="Total 14 3" xfId="13997" xr:uid="{D21411C9-FC48-4D5D-8171-A15349C280D8}"/>
    <cellStyle name="Total 14 3 2" xfId="25224" xr:uid="{EEA88CCA-666E-4363-9714-AF711C0552B9}"/>
    <cellStyle name="Total 14 4" xfId="13998" xr:uid="{1489B817-50D6-4524-A8E7-66968959C67C}"/>
    <cellStyle name="Total 14 4 2" xfId="25225" xr:uid="{1D6A0B88-FD0F-4BB0-855C-A31EE1B87F85}"/>
    <cellStyle name="Total 14 5" xfId="25220" xr:uid="{5DBD0F38-1D14-41AB-A182-BC3562AF8182}"/>
    <cellStyle name="Total 15" xfId="13999" xr:uid="{B5D71D6B-7693-4524-BFDE-6C16EC33DD17}"/>
    <cellStyle name="Total 15 2" xfId="14000" xr:uid="{6763F1F1-23AA-4DCD-BA39-6AEDFD55B129}"/>
    <cellStyle name="Total 15 2 2" xfId="14001" xr:uid="{D450CFBF-79F7-476D-81DE-B434E52976A5}"/>
    <cellStyle name="Total 15 2 2 2" xfId="25228" xr:uid="{BAF0BDD6-8C32-489C-8336-816CF3E7F776}"/>
    <cellStyle name="Total 15 2 3" xfId="14002" xr:uid="{C9877A77-4765-4520-85CB-893944A27546}"/>
    <cellStyle name="Total 15 2 3 2" xfId="25229" xr:uid="{4C50A0E8-F727-4831-8C58-8F46DA12300D}"/>
    <cellStyle name="Total 15 2 4" xfId="25227" xr:uid="{91562A3A-F2B7-4C18-812B-09C7C56DF8A5}"/>
    <cellStyle name="Total 15 3" xfId="14003" xr:uid="{0B2E5B60-79C9-44E4-A487-623B7F2F913F}"/>
    <cellStyle name="Total 15 3 2" xfId="25230" xr:uid="{F7F7A178-6C42-4649-B1E7-08A0FB6B4C57}"/>
    <cellStyle name="Total 15 4" xfId="14004" xr:uid="{FD0980EE-4771-4594-AA19-E3766C6850AF}"/>
    <cellStyle name="Total 15 4 2" xfId="25231" xr:uid="{8820720D-5322-45C3-87F2-B5820F8527CF}"/>
    <cellStyle name="Total 15 5" xfId="25226" xr:uid="{3A5871ED-9182-4B09-91DE-EF04F58C88BC}"/>
    <cellStyle name="Total 16" xfId="14005" xr:uid="{66F68464-8D32-4E4D-A996-57708F082A0F}"/>
    <cellStyle name="Total 16 2" xfId="14006" xr:uid="{5D0035D3-0596-4A5C-841C-042587910517}"/>
    <cellStyle name="Total 16 2 2" xfId="25233" xr:uid="{D27EFC7F-B1A3-4B80-9776-53396CE1F707}"/>
    <cellStyle name="Total 16 3" xfId="14007" xr:uid="{DB8C0F12-6957-4733-BA46-A4F0761E6708}"/>
    <cellStyle name="Total 16 3 2" xfId="25234" xr:uid="{E5187058-23AE-48A8-B7A6-102E9C6B1A69}"/>
    <cellStyle name="Total 16 4" xfId="25232" xr:uid="{51879AEF-BA52-4DF0-B091-CBAB5200A776}"/>
    <cellStyle name="Total 17" xfId="14008" xr:uid="{0B0EAE90-4F0F-4929-9940-4A39B2C679B1}"/>
    <cellStyle name="Total 17 2" xfId="14009" xr:uid="{0AA72B73-DBFF-4F67-AEFA-98D96CE42B58}"/>
    <cellStyle name="Total 17 2 2" xfId="25236" xr:uid="{D03BD76D-EFFC-41CA-8FEE-09A599A24D16}"/>
    <cellStyle name="Total 17 3" xfId="14010" xr:uid="{597B3D78-66D4-4C3B-B71A-29904F49FFBA}"/>
    <cellStyle name="Total 17 3 2" xfId="25237" xr:uid="{07DCB9E0-B414-49B2-A948-35E16BF78102}"/>
    <cellStyle name="Total 17 4" xfId="25235" xr:uid="{64EBD5F1-11D0-4D5A-AF16-AC8D822C27F6}"/>
    <cellStyle name="Total 18" xfId="14011" xr:uid="{6B95F00E-3D7C-42BF-8179-B05462E508FA}"/>
    <cellStyle name="Total 18 2" xfId="14012" xr:uid="{DDA846FE-5398-4D3A-94A3-E64B03B4BDC7}"/>
    <cellStyle name="Total 18 2 2" xfId="25239" xr:uid="{224E19D2-62A1-47EE-AD86-70A70AFB4011}"/>
    <cellStyle name="Total 18 3" xfId="14013" xr:uid="{6A979CD1-77C5-4031-B289-6D096A69E36F}"/>
    <cellStyle name="Total 18 3 2" xfId="25240" xr:uid="{17597D1F-7EC1-403C-B914-E8F3BDC24C40}"/>
    <cellStyle name="Total 18 4" xfId="25238" xr:uid="{4A797E24-8AC0-467E-9A42-C3728852BBFD}"/>
    <cellStyle name="Total 19" xfId="14014" xr:uid="{F931A7FD-DFD6-4324-A372-1551B389FDAF}"/>
    <cellStyle name="Total 19 2" xfId="14015" xr:uid="{767F3961-672B-4137-9BDD-6945143AB639}"/>
    <cellStyle name="Total 19 2 2" xfId="25242" xr:uid="{50EB69EC-71A6-499B-9E64-A7F932EC1511}"/>
    <cellStyle name="Total 19 3" xfId="14016" xr:uid="{96CBD263-AAD5-4E12-A3CF-445F40448493}"/>
    <cellStyle name="Total 19 3 2" xfId="25243" xr:uid="{7730C1FB-C9AF-4B77-8DAD-5D5B76D26B92}"/>
    <cellStyle name="Total 19 4" xfId="25241" xr:uid="{F777B250-666C-4391-A557-70870A4A7D62}"/>
    <cellStyle name="Total 2" xfId="14017" xr:uid="{DF6C71FE-6926-4C9F-94B1-48E4A45B800B}"/>
    <cellStyle name="Total 2 2" xfId="14018" xr:uid="{2A2D8241-B3C9-4535-942E-94A473AE14BD}"/>
    <cellStyle name="Total 2 2 2" xfId="14019" xr:uid="{B2CE2644-B4CC-4961-919A-D4E5B760CD0E}"/>
    <cellStyle name="Total 2 2 2 2" xfId="25245" xr:uid="{93598267-D1DE-4B73-AE0A-776ABFEEE73B}"/>
    <cellStyle name="Total 2 2 3" xfId="14020" xr:uid="{E3140EA6-E559-409E-BBAE-266E21B868CF}"/>
    <cellStyle name="Total 2 2 3 2" xfId="25246" xr:uid="{F2E1886C-CF2F-4432-9DD6-D2E915CEB7DA}"/>
    <cellStyle name="Total 2 2 4" xfId="14021" xr:uid="{C425A581-6CB9-416E-82DF-44F2423E701E}"/>
    <cellStyle name="Total 2 2 4 2" xfId="25247" xr:uid="{D2EE7D2D-8B82-4AB8-A036-EB5BF8669C86}"/>
    <cellStyle name="Total 2 2 5" xfId="14022" xr:uid="{9A76D3FB-2AC4-4193-A74F-894B25AB0AE8}"/>
    <cellStyle name="Total 2 2 5 2" xfId="25248" xr:uid="{17D6BD4E-DB71-4E33-9199-92293543BD04}"/>
    <cellStyle name="Total 2 2 6" xfId="25244" xr:uid="{AD10CCE2-F92E-4A25-BA4F-DBEEEBF4F7F0}"/>
    <cellStyle name="Total 2 3" xfId="14023" xr:uid="{0F57AB95-F6E7-444B-9A7F-7D4ADF975D94}"/>
    <cellStyle name="Total 2 3 2" xfId="14024" xr:uid="{904AAB6B-D25B-42F2-BEB1-834DDC7E067C}"/>
    <cellStyle name="Total 2 3 3" xfId="14025" xr:uid="{ADE75876-EBE4-47D8-8285-7679DF5A3758}"/>
    <cellStyle name="Total 2 4" xfId="14026" xr:uid="{E0A483BE-6E62-4E22-9FC8-B9E8CF654E7F}"/>
    <cellStyle name="Total 2 4 2" xfId="14027" xr:uid="{2E0F8D47-21C0-4EAA-843B-F7EEFC72956E}"/>
    <cellStyle name="Total 2 4 3" xfId="25249" xr:uid="{3D01B7C5-8D4F-4F62-92E2-B9FA200BBA52}"/>
    <cellStyle name="Total 2 5" xfId="14028" xr:uid="{24976C53-E69B-4299-8164-CF3F1F39A1E7}"/>
    <cellStyle name="Total 2 6" xfId="14029" xr:uid="{10323694-01E6-423D-B675-23A4B68380C0}"/>
    <cellStyle name="Total 2 7" xfId="14030" xr:uid="{06655208-2089-4222-AFAC-4125941FAFAC}"/>
    <cellStyle name="Total 2 7 2" xfId="25250" xr:uid="{10192E7D-8D46-422E-903C-8C37AAA6279A}"/>
    <cellStyle name="Total 2 8" xfId="15235" xr:uid="{79C2F620-F0D4-4178-A559-724A8D0DA62F}"/>
    <cellStyle name="Total 2_RP3 PP revised" xfId="15044" xr:uid="{10C9C8C6-B704-4B80-946C-C52FD7D2E8F6}"/>
    <cellStyle name="Total 20" xfId="14031" xr:uid="{4DABD40D-9523-48A9-B7EE-0E58616F57B5}"/>
    <cellStyle name="Total 20 2" xfId="14032" xr:uid="{7BA99853-7726-4253-A587-9845EE0B2083}"/>
    <cellStyle name="Total 20 2 2" xfId="25252" xr:uid="{C323726E-5A3A-43AF-AF00-01BF85FC3DAA}"/>
    <cellStyle name="Total 20 3" xfId="14033" xr:uid="{BCDC0830-C0FC-4372-AD51-B4556767BFE8}"/>
    <cellStyle name="Total 20 3 2" xfId="25253" xr:uid="{07D3683D-388F-47DB-BAC6-13127BEEBE17}"/>
    <cellStyle name="Total 20 4" xfId="25251" xr:uid="{1CDDA16B-B31D-43C1-9547-C61BE912FC6F}"/>
    <cellStyle name="Total 21" xfId="14034" xr:uid="{D4EEA04E-E6BE-40B7-8AF3-827C8E8C929B}"/>
    <cellStyle name="Total 21 2" xfId="14035" xr:uid="{8148D3C9-5714-4135-9E27-7CFBDF00000D}"/>
    <cellStyle name="Total 21 2 2" xfId="25255" xr:uid="{943634D8-E555-4E04-9FC1-4AA1C23F5383}"/>
    <cellStyle name="Total 21 3" xfId="14036" xr:uid="{4AE09F30-CE9B-4EB5-9407-C2A09AC6157D}"/>
    <cellStyle name="Total 21 3 2" xfId="25256" xr:uid="{2F8D4139-4FB5-47EA-9572-4BDF26F63C38}"/>
    <cellStyle name="Total 21 4" xfId="25254" xr:uid="{71DF9BF5-9372-42D5-9E65-40F6F7BF9E77}"/>
    <cellStyle name="Total 22" xfId="14037" xr:uid="{FE469C12-2AF2-4AE5-B6CB-879F61B274A8}"/>
    <cellStyle name="Total 22 2" xfId="14038" xr:uid="{82BF63EB-FE3A-42D4-BA01-6995337A2E35}"/>
    <cellStyle name="Total 22 2 2" xfId="25258" xr:uid="{D126B085-9ED2-43EF-815A-273E062F22F2}"/>
    <cellStyle name="Total 22 3" xfId="14039" xr:uid="{CBFB92BA-EE0B-49EE-B3D7-981884C002E4}"/>
    <cellStyle name="Total 22 3 2" xfId="25259" xr:uid="{5D7AEF52-80BF-4365-8DE1-93110D099CA4}"/>
    <cellStyle name="Total 22 4" xfId="25257" xr:uid="{7E0DF745-63D7-453E-A5C2-802441FC909A}"/>
    <cellStyle name="Total 23" xfId="14040" xr:uid="{9B8A3F0F-6A27-4308-ADC3-F89BDD2114C6}"/>
    <cellStyle name="Total 23 2" xfId="14041" xr:uid="{B62DEA8D-811B-4E2D-8B84-F1117DDC5498}"/>
    <cellStyle name="Total 23 2 2" xfId="25261" xr:uid="{37EC94CB-7DB0-4718-868F-9FDA1B96F0C3}"/>
    <cellStyle name="Total 23 3" xfId="14042" xr:uid="{430C74FC-37BF-47AB-969B-FDA97D1ED9B6}"/>
    <cellStyle name="Total 23 3 2" xfId="25262" xr:uid="{0934D55E-387C-4B2E-9D49-354AF684DED1}"/>
    <cellStyle name="Total 23 4" xfId="25260" xr:uid="{79719DA6-F235-481C-A209-A944173F34D9}"/>
    <cellStyle name="Total 24" xfId="14043" xr:uid="{59FCBB34-D841-4853-A3C1-D4CAD7DB85D6}"/>
    <cellStyle name="Total 24 2" xfId="14044" xr:uid="{73C6C79A-3CDC-4702-82D2-3C81A87C65CF}"/>
    <cellStyle name="Total 24 2 2" xfId="25264" xr:uid="{27CA12F0-5D31-4FF3-B3A6-9110AAB9C6C5}"/>
    <cellStyle name="Total 24 3" xfId="14045" xr:uid="{4E6DC599-5234-4342-B240-404D72E669B6}"/>
    <cellStyle name="Total 24 3 2" xfId="25265" xr:uid="{AE4C0815-9558-44F5-A131-302266B9CCDE}"/>
    <cellStyle name="Total 24 4" xfId="25263" xr:uid="{600C3B3A-766D-4F33-9A95-BCA5AD296F56}"/>
    <cellStyle name="Total 25" xfId="14046" xr:uid="{C18D1C09-F6ED-4887-8B04-458935352A83}"/>
    <cellStyle name="Total 25 2" xfId="14047" xr:uid="{59C7F9C6-14D0-4682-9EA7-2A684777000E}"/>
    <cellStyle name="Total 25 2 2" xfId="25267" xr:uid="{E73762A3-5A1A-4E3C-B6F9-817C40240C3C}"/>
    <cellStyle name="Total 25 3" xfId="14048" xr:uid="{59516D07-C9CC-42A6-904F-ADE8B749D2EA}"/>
    <cellStyle name="Total 25 3 2" xfId="25268" xr:uid="{1F189536-9183-4793-963C-53D1052E13D7}"/>
    <cellStyle name="Total 25 4" xfId="25266" xr:uid="{4775F030-A20D-43AA-B171-3059C43AAB49}"/>
    <cellStyle name="Total 26" xfId="14049" xr:uid="{0A52E26C-B9C8-462E-B3F1-C6FA19312A21}"/>
    <cellStyle name="Total 26 2" xfId="14050" xr:uid="{38B1E909-8CE0-4D62-BD01-BB617746FE07}"/>
    <cellStyle name="Total 26 2 2" xfId="25270" xr:uid="{CBF379F0-3A92-4775-AC93-C985DFD67A3F}"/>
    <cellStyle name="Total 26 3" xfId="14051" xr:uid="{D7001805-45F0-4DB7-A651-557761A20459}"/>
    <cellStyle name="Total 26 3 2" xfId="25271" xr:uid="{80C9ED48-264F-43AB-BE3A-49B90AAEE7F2}"/>
    <cellStyle name="Total 26 4" xfId="25269" xr:uid="{FA4E24B7-DA12-4F98-BB04-4A180309C688}"/>
    <cellStyle name="Total 27" xfId="14052" xr:uid="{88450853-4757-47DB-BD38-25F118DB08BB}"/>
    <cellStyle name="Total 27 2" xfId="14053" xr:uid="{65AD33F5-065A-4CDC-8EBA-AB2C403B8B7F}"/>
    <cellStyle name="Total 27 2 2" xfId="25273" xr:uid="{A2929376-F781-4AAB-A1A0-AE480F91562D}"/>
    <cellStyle name="Total 27 3" xfId="14054" xr:uid="{7C251989-E91D-46C0-81C8-C870782563E3}"/>
    <cellStyle name="Total 27 3 2" xfId="25274" xr:uid="{048ECCC6-F312-414A-973F-54F7316C5F36}"/>
    <cellStyle name="Total 27 4" xfId="25272" xr:uid="{46A45E16-5E38-4B4A-84AE-0AA7787AB787}"/>
    <cellStyle name="Total 28" xfId="14055" xr:uid="{C5BD22FA-7ABC-4EA4-9E55-AAC3CFB8BD87}"/>
    <cellStyle name="Total 28 2" xfId="14056" xr:uid="{09531E3F-B2EF-4C6C-9558-7FD07D23D913}"/>
    <cellStyle name="Total 28 2 2" xfId="25276" xr:uid="{3DF7499E-9CD6-4F65-87A1-EB8959D5337D}"/>
    <cellStyle name="Total 28 3" xfId="14057" xr:uid="{D42AF0C2-F0A8-4ADA-845B-6BE42F5DF4EC}"/>
    <cellStyle name="Total 28 3 2" xfId="25277" xr:uid="{DB3513CC-DD1D-457D-9EFA-358EC85895D9}"/>
    <cellStyle name="Total 28 4" xfId="25275" xr:uid="{FB6ED31C-86A0-4063-AE6B-82A028D7B3A7}"/>
    <cellStyle name="Total 29" xfId="14058" xr:uid="{36C34D9C-DB6A-4375-8353-A6E027BD639F}"/>
    <cellStyle name="Total 29 2" xfId="14059" xr:uid="{DF4D73D9-2F80-4BDE-A4D2-9F5F47F89241}"/>
    <cellStyle name="Total 29 2 2" xfId="25279" xr:uid="{7D485204-22E3-4FA7-BB95-882DF7AD2F21}"/>
    <cellStyle name="Total 29 3" xfId="14060" xr:uid="{7BA17E4A-8849-4BA5-BBE0-267E0008C880}"/>
    <cellStyle name="Total 29 3 2" xfId="25280" xr:uid="{DDC3900E-4FE8-4B9B-9E74-D2206653698E}"/>
    <cellStyle name="Total 29 4" xfId="25278" xr:uid="{0FD8B896-5AC3-493D-B32A-EB54A22C1905}"/>
    <cellStyle name="Total 3" xfId="14061" xr:uid="{F7644D0C-A004-41D8-86C4-1E4565A9DFA0}"/>
    <cellStyle name="Total 3 2" xfId="14062" xr:uid="{B050F6BE-4DFA-4674-935D-E9825F19429F}"/>
    <cellStyle name="Total 3 2 2" xfId="14063" xr:uid="{DBC52A9A-202C-4294-A04E-46D519CEF0F5}"/>
    <cellStyle name="Total 3 2 2 2" xfId="25282" xr:uid="{7628D150-C08E-4679-A9E9-06ECE7E9C0A5}"/>
    <cellStyle name="Total 3 2 3" xfId="14064" xr:uid="{9EC616E9-1C29-4FCC-A7C0-53A0656B7F29}"/>
    <cellStyle name="Total 3 2 3 2" xfId="25283" xr:uid="{3DFA783D-CAC5-469D-A208-7CB5396A0E6F}"/>
    <cellStyle name="Total 3 2 4" xfId="25281" xr:uid="{3AE13776-B910-4A9A-9833-C61F56691A25}"/>
    <cellStyle name="Total 3 3" xfId="14065" xr:uid="{395A0FFF-3DF6-4209-AE34-6CA6C6A7C178}"/>
    <cellStyle name="Total 3 3 2" xfId="25284" xr:uid="{6171F562-2FB4-4BB4-B5E8-E1E4CAC5E09D}"/>
    <cellStyle name="Total 3 4" xfId="14066" xr:uid="{C0B565DE-051D-4F48-BD41-94FBC9309213}"/>
    <cellStyle name="Total 3 4 2" xfId="25285" xr:uid="{64E80274-04EA-455C-B1D5-D9472DBD76C4}"/>
    <cellStyle name="Total 3 5" xfId="14067" xr:uid="{86993D9B-48E5-479F-B287-37AADFED7E7E}"/>
    <cellStyle name="Total 3 5 2" xfId="25286" xr:uid="{E6653A43-42F5-446E-90FC-19951B562CF7}"/>
    <cellStyle name="Total 3 6" xfId="14068" xr:uid="{BB88AB85-0328-4503-91D4-675D86B5C218}"/>
    <cellStyle name="Total 3 6 2" xfId="25287" xr:uid="{6D86589F-3AF4-4866-A164-DC35DCD8C617}"/>
    <cellStyle name="Total 3 7" xfId="15236" xr:uid="{A1128FEC-A6EB-46B5-B29C-0CC78AB1AAA1}"/>
    <cellStyle name="Total 3_RP3 PP revised" xfId="15322" xr:uid="{85D59121-2ACF-4491-A166-CD36507DE2AC}"/>
    <cellStyle name="Total 30" xfId="14069" xr:uid="{8A34A3DE-88C6-4BA4-AF9A-E2DC448973CE}"/>
    <cellStyle name="Total 30 2" xfId="14070" xr:uid="{ABAD2B0C-7F74-45F3-B8D6-B4CFCD5C0E97}"/>
    <cellStyle name="Total 30 2 2" xfId="25289" xr:uid="{41F6B952-B9D3-4259-A732-29A81F2D6293}"/>
    <cellStyle name="Total 30 3" xfId="14071" xr:uid="{FA2BC5C0-05A3-4C4E-B1F9-20C8BB4A56F8}"/>
    <cellStyle name="Total 30 3 2" xfId="25290" xr:uid="{BBA5461B-D226-4FAA-92AB-C550886D12A6}"/>
    <cellStyle name="Total 30 4" xfId="25288" xr:uid="{CDF6D2B9-606B-4C1D-AE1C-36787CAF7BF7}"/>
    <cellStyle name="Total 31" xfId="14072" xr:uid="{75F44184-3CFA-48C1-A0E3-28E7EAA013A6}"/>
    <cellStyle name="Total 31 2" xfId="14073" xr:uid="{2E42CD9C-138C-4824-8D6F-37994F00F37B}"/>
    <cellStyle name="Total 31 2 2" xfId="25292" xr:uid="{CCAE1664-9A88-4E1C-B8AA-C2C26B4D0861}"/>
    <cellStyle name="Total 31 3" xfId="14074" xr:uid="{4D81FC1E-2F23-4EB2-A024-5A324F26DBDF}"/>
    <cellStyle name="Total 31 3 2" xfId="25293" xr:uid="{E0218F66-698D-44EA-A590-3EEE5D0103B6}"/>
    <cellStyle name="Total 31 4" xfId="25291" xr:uid="{B705D349-F9B9-4118-B8CB-B5FDD3922B94}"/>
    <cellStyle name="Total 32" xfId="14075" xr:uid="{745C006F-BF3C-4A69-BE81-3D78AC53BA43}"/>
    <cellStyle name="Total 32 2" xfId="14076" xr:uid="{A8257487-D221-4633-9760-68F3D01C8027}"/>
    <cellStyle name="Total 32 2 2" xfId="25295" xr:uid="{784449B2-6AF7-4C6D-BD0C-60BA4C5B5FF7}"/>
    <cellStyle name="Total 32 3" xfId="14077" xr:uid="{DB2FF5FC-6519-4FA3-A382-9B8F8A2359DC}"/>
    <cellStyle name="Total 32 3 2" xfId="25296" xr:uid="{0264856F-2D90-40A6-8EE9-8B4FEC44FD21}"/>
    <cellStyle name="Total 32 4" xfId="25294" xr:uid="{D2B23270-23D4-4A84-A83A-CAE2545E1836}"/>
    <cellStyle name="Total 33" xfId="14078" xr:uid="{85261888-4969-4A8A-8F52-FCA61645EB83}"/>
    <cellStyle name="Total 34" xfId="14079" xr:uid="{427D64AA-ED7C-4975-9878-9881011119F6}"/>
    <cellStyle name="Total 35" xfId="14080" xr:uid="{E3D484E1-B9AC-497F-87AD-1AFEFD9D0770}"/>
    <cellStyle name="Total 36" xfId="14081" xr:uid="{6D9F76BB-A21D-4B02-AC16-30D4452DDBE2}"/>
    <cellStyle name="Total 37" xfId="14082" xr:uid="{1E07DF98-FBED-4345-9AF8-B8C5545968C0}"/>
    <cellStyle name="Total 38" xfId="14083" xr:uid="{8043FBD0-3F0F-4F14-82EB-710A73BD7576}"/>
    <cellStyle name="Total 39" xfId="14084" xr:uid="{56264ABC-E8A3-453C-B762-65EA86D54931}"/>
    <cellStyle name="Total 4" xfId="14085" xr:uid="{2779BACF-E346-4EBE-ADCE-FE00A1840BED}"/>
    <cellStyle name="Total 4 2" xfId="14086" xr:uid="{D835EC83-B204-435E-9AF7-724C562B8AE0}"/>
    <cellStyle name="Total 4 2 2" xfId="14087" xr:uid="{26F8123B-7B0F-4A0E-9523-7E186CC0FCBC}"/>
    <cellStyle name="Total 4 2 3" xfId="14088" xr:uid="{A4E48B79-BA49-4C61-A8D0-F1AC565AAD20}"/>
    <cellStyle name="Total 4 2 3 2" xfId="25297" xr:uid="{78194D2F-AC03-4842-95AC-1942A01CC864}"/>
    <cellStyle name="Total 4 2 4" xfId="14089" xr:uid="{E0BD5133-7443-4692-A9C9-DA9E2A792CE6}"/>
    <cellStyle name="Total 4 2 4 2" xfId="25298" xr:uid="{D19ED9A2-E78D-43F9-99F5-28DB3D9F885C}"/>
    <cellStyle name="Total 4 3" xfId="14090" xr:uid="{65B90A18-94DF-427C-B240-0F0736F2FCD3}"/>
    <cellStyle name="Total 4 3 2" xfId="25299" xr:uid="{F72E4DF4-3E1F-4473-95C0-F1B63D6601F1}"/>
    <cellStyle name="Total 4 4" xfId="14091" xr:uid="{51371248-2482-47B6-8B92-011115EDDDAE}"/>
    <cellStyle name="Total 4 4 2" xfId="25300" xr:uid="{548986A2-20C7-4D5D-9729-5900DA1742D7}"/>
    <cellStyle name="Total 4 5" xfId="14092" xr:uid="{2C9021DE-0C5E-4AAE-B9FC-A082B650BD8D}"/>
    <cellStyle name="Total 4 5 2" xfId="25301" xr:uid="{E22DF926-6AE6-48F2-A4EC-D5474D6A0A16}"/>
    <cellStyle name="Total 4 6" xfId="14093" xr:uid="{C413D1E4-E695-4339-A677-F4D0498E11B3}"/>
    <cellStyle name="Total 4 6 2" xfId="25302" xr:uid="{C6E2E253-FB3C-442A-BA85-692D59116C64}"/>
    <cellStyle name="Total 4 7" xfId="14094" xr:uid="{98921533-8114-4574-9716-B6BB9FECBD3C}"/>
    <cellStyle name="Total 4 8" xfId="15237" xr:uid="{C6206EE7-4C23-40F6-991D-C278162B3E50}"/>
    <cellStyle name="Total 4_RP3 PP revised" xfId="15043" xr:uid="{9CD821A0-BC01-4671-AE52-72C07F10D744}"/>
    <cellStyle name="Total 40" xfId="14095" xr:uid="{DD29C752-F83E-46E8-84AA-1DE1C6AC8B7B}"/>
    <cellStyle name="Total 40 2" xfId="14096" xr:uid="{CE28A5C7-DA44-4F95-B844-92E6C778C6F1}"/>
    <cellStyle name="Total 40 2 2" xfId="25304" xr:uid="{3064B30F-AF27-4D65-9E95-2312448EB23F}"/>
    <cellStyle name="Total 40 3" xfId="14097" xr:uid="{3C3E1B39-6730-411F-87C2-FE0CAFD42A62}"/>
    <cellStyle name="Total 40 3 2" xfId="25305" xr:uid="{4AA3B328-6866-4B43-9FE8-C42E8CCC1CB5}"/>
    <cellStyle name="Total 40 4" xfId="25303" xr:uid="{DD013460-FF03-4ADD-8999-5D4A3FD41749}"/>
    <cellStyle name="Total 41" xfId="14098" xr:uid="{F375EC27-FD60-4C4D-85D0-A435D7DBA10F}"/>
    <cellStyle name="Total 42" xfId="14099" xr:uid="{22D4F9BE-9984-4364-8E36-AC30C2B8FC3F}"/>
    <cellStyle name="Total 43" xfId="14100" xr:uid="{6934C7B6-9376-49E1-B418-C366D5FA2EE1}"/>
    <cellStyle name="Total 43 2" xfId="25306" xr:uid="{B655DE75-E435-4343-B22A-3E8B6F913D7B}"/>
    <cellStyle name="Total 44" xfId="14101" xr:uid="{E365824C-8EF7-4BB0-BC68-E97D63D16F86}"/>
    <cellStyle name="Total 44 2" xfId="25307" xr:uid="{66BC6D73-92BD-4BE1-BB2D-E10C36D9AEBA}"/>
    <cellStyle name="Total 45" xfId="14102" xr:uid="{E6DA6189-4C0C-4EFA-A1A1-343F911533B6}"/>
    <cellStyle name="Total 45 2" xfId="25308" xr:uid="{7F8B1FB1-81B9-4998-8082-D874CE0204C9}"/>
    <cellStyle name="Total 46" xfId="14103" xr:uid="{98B1E334-77DF-46FF-89CF-C95A442847A3}"/>
    <cellStyle name="Total 46 2" xfId="25309" xr:uid="{8A8898E9-B8AE-49BC-945A-7C435B41BC5A}"/>
    <cellStyle name="Total 47" xfId="14104" xr:uid="{B8C6740B-06A6-4106-9D21-130025782402}"/>
    <cellStyle name="Total 47 2" xfId="25310" xr:uid="{1DC82F0A-2866-4CC0-90BB-F986459F365D}"/>
    <cellStyle name="Total 48" xfId="14105" xr:uid="{A4152EF3-02C8-4A32-A90C-D791B433018B}"/>
    <cellStyle name="Total 48 2" xfId="25311" xr:uid="{F86B47E9-7B9C-4A4B-A104-95BEEF027130}"/>
    <cellStyle name="Total 49" xfId="14106" xr:uid="{67834525-FECB-40CA-8228-2731F091553F}"/>
    <cellStyle name="Total 49 2" xfId="25312" xr:uid="{E0633C6F-B7EC-437C-9002-25F1FB501806}"/>
    <cellStyle name="Total 5" xfId="14107" xr:uid="{A8DF4AB1-3814-4546-B7AC-84E1A5178DBA}"/>
    <cellStyle name="Total 5 2" xfId="14108" xr:uid="{32687FA6-504F-450A-BD9C-0C1793AA3F64}"/>
    <cellStyle name="Total 5 2 2" xfId="14109" xr:uid="{9B5F5255-289C-46CA-A856-BEE8DFFEF712}"/>
    <cellStyle name="Total 5 2 2 2" xfId="25314" xr:uid="{07DCBA87-E94F-4A24-8A66-7E1A68B924C5}"/>
    <cellStyle name="Total 5 2 3" xfId="14110" xr:uid="{8DF91C24-7FE3-4B29-A97F-D231D2C639A5}"/>
    <cellStyle name="Total 5 2 3 2" xfId="25315" xr:uid="{3BF41DC6-A635-45A9-A045-912D25FA0216}"/>
    <cellStyle name="Total 5 2 4" xfId="25313" xr:uid="{6D7324A9-FDEB-4D54-A4F9-F8BB3D4FF903}"/>
    <cellStyle name="Total 5 3" xfId="14111" xr:uid="{70692E59-4666-40C8-9A7C-01052F8D923A}"/>
    <cellStyle name="Total 5 3 2" xfId="25316" xr:uid="{97159D1D-C657-4D52-B272-B1588C2E4BA2}"/>
    <cellStyle name="Total 5 4" xfId="14112" xr:uid="{71A12A0D-6452-4D53-941C-1ED47C4AEEDB}"/>
    <cellStyle name="Total 5 4 2" xfId="25317" xr:uid="{5D9CB463-ED79-41F2-9A05-4B86380069A0}"/>
    <cellStyle name="Total 5 5" xfId="14113" xr:uid="{2345234D-D986-416C-8238-28024D1FB80B}"/>
    <cellStyle name="Total 5 5 2" xfId="25318" xr:uid="{B0FB6FF4-B045-4BA8-8B51-F1DBB61F3DB3}"/>
    <cellStyle name="Total 5 6" xfId="14114" xr:uid="{78E966C3-4702-41C8-9FFC-DA2DA91EC881}"/>
    <cellStyle name="Total 5 6 2" xfId="25319" xr:uid="{36DC5609-0716-441B-AF45-E37A896594FC}"/>
    <cellStyle name="Total 5 7" xfId="15238" xr:uid="{958FD987-DFB1-492B-B09B-D46638FFDC97}"/>
    <cellStyle name="Total 5_RP3 PP revised" xfId="15042" xr:uid="{DE1639CF-621A-4251-87A2-D111DCA868B7}"/>
    <cellStyle name="Total 50" xfId="14115" xr:uid="{5199C61D-D992-4B66-B5A9-CD59AC4954E4}"/>
    <cellStyle name="Total 50 2" xfId="25320" xr:uid="{9027596A-11D3-4DC5-838D-C7CC87BCAFAF}"/>
    <cellStyle name="Total 51" xfId="14116" xr:uid="{95EA83BA-2BBD-4C7C-8D9F-1B38999DB56C}"/>
    <cellStyle name="Total 51 2" xfId="25321" xr:uid="{0F3C9701-E774-424B-AE5C-6AE662773E91}"/>
    <cellStyle name="Total 52" xfId="14690" xr:uid="{88533566-A024-4A19-8CCB-093FC1D5BFDA}"/>
    <cellStyle name="Total 52 2" xfId="25755" xr:uid="{78EB5B4C-C760-4CA2-A632-D7D536B5BE3F}"/>
    <cellStyle name="Total 53" xfId="14713" xr:uid="{F622123B-60DF-43EA-8508-3DBF103D4D41}"/>
    <cellStyle name="Total 53 2" xfId="25758" xr:uid="{844EB572-C131-46B6-8172-11FFD63272E5}"/>
    <cellStyle name="Total 54" xfId="14703" xr:uid="{25CD709A-C694-469F-8DA1-6FC8A9AC5FF4}"/>
    <cellStyle name="Total 54 2" xfId="25756" xr:uid="{76D8FF48-B197-4BAF-97A4-546FC461C17A}"/>
    <cellStyle name="Total 6" xfId="14117" xr:uid="{9653CD56-D8D7-4D9E-9E95-BF834DC57D1D}"/>
    <cellStyle name="Total 6 2" xfId="14118" xr:uid="{DED78B70-C041-4995-BA15-C8423BC63AE8}"/>
    <cellStyle name="Total 6 2 2" xfId="14119" xr:uid="{1D7D06B6-83BB-41C3-B6EF-02D11951F593}"/>
    <cellStyle name="Total 6 2 2 2" xfId="25324" xr:uid="{9D272E8C-FCCD-4053-947F-22B1B3B4E6FC}"/>
    <cellStyle name="Total 6 2 3" xfId="14120" xr:uid="{29B3E2B0-796F-46CE-971B-26BC377D42FF}"/>
    <cellStyle name="Total 6 2 3 2" xfId="25325" xr:uid="{BE27BEAC-7165-4ECC-ADAA-F63741B67923}"/>
    <cellStyle name="Total 6 2 4" xfId="25323" xr:uid="{07857396-9F6B-4FF7-8F20-E87AE692705B}"/>
    <cellStyle name="Total 6 3" xfId="14121" xr:uid="{DC308F15-C26F-4ED4-A6AE-245B11AA4E4D}"/>
    <cellStyle name="Total 6 3 2" xfId="25326" xr:uid="{D9B30105-85E2-46E1-B332-A05FBCE8F0EE}"/>
    <cellStyle name="Total 6 4" xfId="14122" xr:uid="{FA0705CA-9732-49F5-A984-1C842AB73719}"/>
    <cellStyle name="Total 6 4 2" xfId="25327" xr:uid="{E34D7DE4-A858-4FF5-8791-31E4D636098F}"/>
    <cellStyle name="Total 6 5" xfId="25322" xr:uid="{B4E8254E-E708-4CBC-8E75-9DC8BC5241DE}"/>
    <cellStyle name="Total 7" xfId="14123" xr:uid="{F697C80B-238A-42A1-B6F5-E9B6149C5FA2}"/>
    <cellStyle name="Total 7 2" xfId="14124" xr:uid="{56A2338B-44FC-43AC-8D13-4503D5E185BE}"/>
    <cellStyle name="Total 7 2 2" xfId="14125" xr:uid="{82A59F19-6BEB-4EF5-A891-CB2DB03E0933}"/>
    <cellStyle name="Total 7 2 2 2" xfId="25330" xr:uid="{406ADC1D-48AE-4AEA-AA73-F6786960F962}"/>
    <cellStyle name="Total 7 2 3" xfId="14126" xr:uid="{9B427313-16D1-4DA9-B35D-D5C7AC05F948}"/>
    <cellStyle name="Total 7 2 3 2" xfId="25331" xr:uid="{B28D86E3-A821-4812-A152-70FA7931CF87}"/>
    <cellStyle name="Total 7 2 4" xfId="25329" xr:uid="{BC179697-FF32-4F67-B3A2-50DF249AC3AF}"/>
    <cellStyle name="Total 7 3" xfId="14127" xr:uid="{AFF6EBED-4C2A-4240-8215-7D054D1166B7}"/>
    <cellStyle name="Total 7 3 2" xfId="25332" xr:uid="{D41CFD56-8492-4498-AF02-55A750398340}"/>
    <cellStyle name="Total 7 4" xfId="14128" xr:uid="{0C54C0F8-2F7C-488A-BAD2-CA6BD970F224}"/>
    <cellStyle name="Total 7 4 2" xfId="25333" xr:uid="{802668EA-5521-44AE-835E-5187CF0FA541}"/>
    <cellStyle name="Total 7 5" xfId="25328" xr:uid="{7B91615E-2A0A-4EE9-9AF6-96DD96E2AF36}"/>
    <cellStyle name="Total 8" xfId="14129" xr:uid="{05987540-AD7D-4FA2-8F2B-D0AD71D258FA}"/>
    <cellStyle name="Total 8 2" xfId="14130" xr:uid="{9794472A-1AD2-4954-AA8E-DB5557A33F0B}"/>
    <cellStyle name="Total 8 2 2" xfId="14131" xr:uid="{C2B295BF-C28F-46AF-88CB-5DAF1DF06AED}"/>
    <cellStyle name="Total 8 2 2 2" xfId="25336" xr:uid="{68C5A064-D209-4B54-A581-A40035DC4883}"/>
    <cellStyle name="Total 8 2 3" xfId="14132" xr:uid="{9DFE3F05-F18A-46AE-BEB7-D35DD9BD3FC2}"/>
    <cellStyle name="Total 8 2 3 2" xfId="25337" xr:uid="{130C4DB7-4F01-4D00-848B-A754739232E6}"/>
    <cellStyle name="Total 8 2 4" xfId="25335" xr:uid="{057D07A2-AF3C-4D98-9DAC-DC4369782CF4}"/>
    <cellStyle name="Total 8 3" xfId="14133" xr:uid="{E43A9185-95FB-4327-89FC-DCC2F6980588}"/>
    <cellStyle name="Total 8 3 2" xfId="25338" xr:uid="{A7DBEF62-0756-4E74-A4A7-2571A8415563}"/>
    <cellStyle name="Total 8 4" xfId="14134" xr:uid="{B34AB59F-83E4-4325-81F7-267BD3230FD8}"/>
    <cellStyle name="Total 8 4 2" xfId="25339" xr:uid="{E6F85586-0AAB-4DBF-B869-0230D8984106}"/>
    <cellStyle name="Total 8 5" xfId="25334" xr:uid="{299521F5-6DBE-4407-93A3-57BE54D2EDCD}"/>
    <cellStyle name="Total 9" xfId="14135" xr:uid="{AE5FE165-2EDB-4D6F-AEA5-8B47E7C87148}"/>
    <cellStyle name="Total 9 2" xfId="14136" xr:uid="{F24E2CC0-88C2-45FD-A1A1-AC72EEB55B15}"/>
    <cellStyle name="Total 9 2 2" xfId="14137" xr:uid="{E6BC80C4-CB96-4844-8787-62E4C52A5620}"/>
    <cellStyle name="Total 9 2 2 2" xfId="25342" xr:uid="{8FA0EBB5-5957-4383-AAE4-EDA177BCED39}"/>
    <cellStyle name="Total 9 2 3" xfId="14138" xr:uid="{F6DFE99D-9C0D-4247-A148-9D10CC2B7AA8}"/>
    <cellStyle name="Total 9 2 3 2" xfId="25343" xr:uid="{F9191E4F-3C84-4E9F-B43C-87B9140D7891}"/>
    <cellStyle name="Total 9 2 4" xfId="25341" xr:uid="{5BF6F2EB-F646-4992-9970-E8D3E6F33128}"/>
    <cellStyle name="Total 9 3" xfId="14139" xr:uid="{0CD47FDF-D4C1-456C-B2B3-388261265D9B}"/>
    <cellStyle name="Total 9 3 2" xfId="25344" xr:uid="{A0DEE2BD-0984-43C3-AA96-25E1E4BDF8EF}"/>
    <cellStyle name="Total 9 4" xfId="14140" xr:uid="{11942B47-5AA9-4E6B-B2D2-05B55F81C592}"/>
    <cellStyle name="Total 9 4 2" xfId="25345" xr:uid="{8838F990-42B7-438F-82F6-3CE76DC74496}"/>
    <cellStyle name="Total 9 5" xfId="25340" xr:uid="{73263F95-DC20-4A9B-BE94-0DE3C1A97959}"/>
    <cellStyle name="Totale 10" xfId="14141" xr:uid="{48E426A1-6A77-4E25-97ED-8E9ED330F98C}"/>
    <cellStyle name="Totale 10 2" xfId="14142" xr:uid="{ABCA36AA-F4E2-428D-9C00-ECF7CD0B533D}"/>
    <cellStyle name="Totale 10 2 2" xfId="14143" xr:uid="{8923E2C6-954A-4FDE-BABF-333474FECAB3}"/>
    <cellStyle name="Totale 10 2 2 2" xfId="25348" xr:uid="{F926756E-0D2D-45B1-92BF-2C3D257FF9D0}"/>
    <cellStyle name="Totale 10 2 3" xfId="14144" xr:uid="{EDCE50B5-C74F-4F59-A970-CD3BE9938B13}"/>
    <cellStyle name="Totale 10 2 3 2" xfId="25349" xr:uid="{932F49BD-09CC-4117-B6B1-31CBEE244BDA}"/>
    <cellStyle name="Totale 10 2 4" xfId="25347" xr:uid="{EE331A2A-441C-4F67-BF4C-3821B4975BEF}"/>
    <cellStyle name="Totale 10 3" xfId="14145" xr:uid="{68003DE5-C86F-4B35-9C2E-7A313ABA9163}"/>
    <cellStyle name="Totale 10 3 2" xfId="25350" xr:uid="{C26E0CE6-CC63-4CEB-BEB9-5D0D67027E9D}"/>
    <cellStyle name="Totale 10 4" xfId="14146" xr:uid="{0B28A47E-3971-48B6-AE65-69F7139A8DEA}"/>
    <cellStyle name="Totale 10 4 2" xfId="25351" xr:uid="{6DAE3127-76AD-4813-A769-BED666FD4236}"/>
    <cellStyle name="Totale 10 5" xfId="25346" xr:uid="{74C7DF7F-B63E-4685-89BF-71AC7BC2BDF3}"/>
    <cellStyle name="Totale 11" xfId="14147" xr:uid="{C0D7DF40-8213-42CF-9B19-D39D8ECA8912}"/>
    <cellStyle name="Totale 11 2" xfId="14148" xr:uid="{98F799BF-3C9E-469E-AD72-864C99EA590B}"/>
    <cellStyle name="Totale 11 2 2" xfId="14149" xr:uid="{C90CEC09-D5AE-4E0F-8E6F-D399C57CE9BF}"/>
    <cellStyle name="Totale 11 2 2 2" xfId="25354" xr:uid="{7636877B-EB69-4A54-B5EA-1FB93FFD8DB7}"/>
    <cellStyle name="Totale 11 2 3" xfId="14150" xr:uid="{8C277C3F-9B08-436E-943C-DF7F764AF8D4}"/>
    <cellStyle name="Totale 11 2 3 2" xfId="25355" xr:uid="{F70981D2-2FA2-4A83-8FD2-4A28594F8699}"/>
    <cellStyle name="Totale 11 2 4" xfId="25353" xr:uid="{7F45D27C-5971-4AB9-BC8A-1073E435B39E}"/>
    <cellStyle name="Totale 11 3" xfId="14151" xr:uid="{8CE9FB95-B1E0-46CC-8268-00E6F905194C}"/>
    <cellStyle name="Totale 11 3 2" xfId="25356" xr:uid="{E95B95E6-19D5-45CA-9BE6-3B368ACB51EF}"/>
    <cellStyle name="Totale 11 4" xfId="14152" xr:uid="{E9FFFF4B-44E4-48BB-AB43-F50A6E350749}"/>
    <cellStyle name="Totale 11 4 2" xfId="25357" xr:uid="{E0E9473B-DF5B-4C19-A854-653C08EF4DD4}"/>
    <cellStyle name="Totale 11 5" xfId="25352" xr:uid="{D892D997-59C9-47E5-A678-F3750C42A520}"/>
    <cellStyle name="Totale 12" xfId="14153" xr:uid="{28DCC9A5-0BEE-4F61-A1F0-7C4CD90BA099}"/>
    <cellStyle name="Totale 12 2" xfId="14154" xr:uid="{CDF69B6D-9FF0-4302-A0F7-402112C07621}"/>
    <cellStyle name="Totale 12 2 2" xfId="14155" xr:uid="{DD0D4BCB-A5E6-4DC7-8EEF-2940D4A40926}"/>
    <cellStyle name="Totale 12 2 2 2" xfId="25360" xr:uid="{A4047820-AF61-4354-9B1F-664A015855CF}"/>
    <cellStyle name="Totale 12 2 3" xfId="14156" xr:uid="{CC0FC9D7-5A8A-469D-8DF2-C4B0E10177AC}"/>
    <cellStyle name="Totale 12 2 3 2" xfId="25361" xr:uid="{35B37B96-833C-48F9-AE28-31105FC2DADA}"/>
    <cellStyle name="Totale 12 2 4" xfId="25359" xr:uid="{9ED26163-1CBE-4C1C-8DA9-517A94F56A1E}"/>
    <cellStyle name="Totale 12 3" xfId="14157" xr:uid="{ECF23374-D774-4B9A-AA61-BE2F667F814F}"/>
    <cellStyle name="Totale 12 3 2" xfId="25362" xr:uid="{8CBC01C5-76F5-48FC-BA63-FCF9F194252A}"/>
    <cellStyle name="Totale 12 4" xfId="14158" xr:uid="{FE032923-68B4-43F2-A8BD-C3F7CB23564E}"/>
    <cellStyle name="Totale 12 4 2" xfId="25363" xr:uid="{DF682C97-AFAE-4F0A-8302-D93DBF2B21AB}"/>
    <cellStyle name="Totale 12 5" xfId="25358" xr:uid="{51C618EA-A163-4A59-BC05-0CF123D55738}"/>
    <cellStyle name="Totale 13" xfId="14159" xr:uid="{2B48C9D3-B598-4857-B2CD-276D2C11D25A}"/>
    <cellStyle name="Totale 13 2" xfId="14160" xr:uid="{F8F31C0F-7E64-4373-B1A6-6C975281E7BF}"/>
    <cellStyle name="Totale 13 2 2" xfId="14161" xr:uid="{30961CA3-F646-459F-A4F6-24F91ACFCAB3}"/>
    <cellStyle name="Totale 13 2 2 2" xfId="25366" xr:uid="{C28843EA-74ED-4032-A915-B22C970B47B7}"/>
    <cellStyle name="Totale 13 2 3" xfId="14162" xr:uid="{049614D4-094E-4BDE-8911-15C6FE14C7C1}"/>
    <cellStyle name="Totale 13 2 3 2" xfId="25367" xr:uid="{4E063F5D-F81E-4FA1-B598-F5ADF1D1D4C0}"/>
    <cellStyle name="Totale 13 2 4" xfId="25365" xr:uid="{1B5BC442-E6BC-48B5-AFAB-EB5497D20934}"/>
    <cellStyle name="Totale 13 3" xfId="14163" xr:uid="{1AC025CD-A017-465E-A037-EFD4F43ADDBD}"/>
    <cellStyle name="Totale 13 3 2" xfId="25368" xr:uid="{A633C3CD-2A07-4CE9-8C90-D6684D16C8B1}"/>
    <cellStyle name="Totale 13 4" xfId="14164" xr:uid="{F3F24B98-25C3-4449-AA05-5CD9F57315B0}"/>
    <cellStyle name="Totale 13 4 2" xfId="25369" xr:uid="{06F6DD63-BC82-4D6B-9F6D-4F875A172697}"/>
    <cellStyle name="Totale 13 5" xfId="25364" xr:uid="{815A0BEB-5692-49BA-8B08-809475D2F0E2}"/>
    <cellStyle name="Totale 14" xfId="14165" xr:uid="{4235B239-2F5A-4EC4-9361-63AA1C9E234B}"/>
    <cellStyle name="Totale 14 2" xfId="14166" xr:uid="{B37CBC30-A4C9-4B1A-A690-4A54C26FA15E}"/>
    <cellStyle name="Totale 14 2 2" xfId="14167" xr:uid="{C7BF2F7A-9CD9-4B8E-A249-E50675D2D185}"/>
    <cellStyle name="Totale 14 2 2 2" xfId="25372" xr:uid="{5600FF5D-EAE8-4E16-B903-5BA3A3092D2C}"/>
    <cellStyle name="Totale 14 2 3" xfId="14168" xr:uid="{8DCEBE5B-C287-4991-A3D3-A22EE9D1B241}"/>
    <cellStyle name="Totale 14 2 3 2" xfId="25373" xr:uid="{FFF381A8-2C6F-4608-AE9E-0420F9A07E0A}"/>
    <cellStyle name="Totale 14 2 4" xfId="25371" xr:uid="{D8D1BC41-C82C-446F-B432-840C06AD79BB}"/>
    <cellStyle name="Totale 14 3" xfId="14169" xr:uid="{A12B3AED-EFA0-4CF3-85FF-760A4607E8C2}"/>
    <cellStyle name="Totale 14 3 2" xfId="25374" xr:uid="{99008A09-86CC-42ED-9F6B-46A145E6156B}"/>
    <cellStyle name="Totale 14 4" xfId="14170" xr:uid="{F7D8C031-0BC9-4523-9699-9615F4B84BB8}"/>
    <cellStyle name="Totale 14 4 2" xfId="25375" xr:uid="{6590F243-4A4A-4DA8-86D8-5A06172CE67A}"/>
    <cellStyle name="Totale 14 5" xfId="25370" xr:uid="{43769FEB-1382-475A-A7D6-46FC860B17A6}"/>
    <cellStyle name="Totale 15" xfId="14171" xr:uid="{FC4BEBC3-BD32-468D-B227-A6DDBF8D2FF6}"/>
    <cellStyle name="Totale 15 2" xfId="14172" xr:uid="{0D08295B-9488-4BB1-881B-D2AC75CBDE4A}"/>
    <cellStyle name="Totale 15 2 2" xfId="14173" xr:uid="{10DE62E0-0741-46DF-93EE-A8BB7A8123BD}"/>
    <cellStyle name="Totale 15 2 2 2" xfId="25378" xr:uid="{5C93859F-0D75-46DF-83D3-7D7A2E59D36D}"/>
    <cellStyle name="Totale 15 2 3" xfId="14174" xr:uid="{3D24BF1D-EEB6-4FD4-A817-CDD76FDB638B}"/>
    <cellStyle name="Totale 15 2 3 2" xfId="25379" xr:uid="{5B80EA8E-2823-44AD-8E1F-1E538D27040F}"/>
    <cellStyle name="Totale 15 2 4" xfId="25377" xr:uid="{03D5EBC8-1DA1-47F2-9AE9-20F7D1047FFD}"/>
    <cellStyle name="Totale 15 3" xfId="14175" xr:uid="{02BE226A-754D-498B-83C2-060CC0A0DD61}"/>
    <cellStyle name="Totale 15 3 2" xfId="25380" xr:uid="{E878172F-3A2B-475D-BC03-27BF68C0F5B1}"/>
    <cellStyle name="Totale 15 4" xfId="14176" xr:uid="{F6A2221B-626D-49A6-B8D9-5734530F454F}"/>
    <cellStyle name="Totale 15 4 2" xfId="25381" xr:uid="{FB9DDB24-8537-4A10-8B66-2E8B6DE573F9}"/>
    <cellStyle name="Totale 15 5" xfId="25376" xr:uid="{742D979D-7B6B-4C62-BBF6-6B81CEC7620F}"/>
    <cellStyle name="Totale 16" xfId="14177" xr:uid="{6E793DFF-A2A0-4C69-8F50-F9575FFDEE4F}"/>
    <cellStyle name="Totale 16 2" xfId="14178" xr:uid="{6C8EADE1-CD42-4D7E-B5D7-C006AB4E5324}"/>
    <cellStyle name="Totale 16 2 2" xfId="14179" xr:uid="{290154D3-9D44-4039-BE68-E6075361B609}"/>
    <cellStyle name="Totale 16 2 2 2" xfId="25384" xr:uid="{1DB0A115-2E89-419F-B647-62CB6C608F61}"/>
    <cellStyle name="Totale 16 2 3" xfId="14180" xr:uid="{43D3F4DE-B6CB-42B1-A6FE-9ACCA8B4CF8A}"/>
    <cellStyle name="Totale 16 2 3 2" xfId="25385" xr:uid="{405A5F38-24E3-4882-9913-0202353A64C3}"/>
    <cellStyle name="Totale 16 2 4" xfId="25383" xr:uid="{4A0A24E7-8414-4C6B-842A-BB21D5D5BA4A}"/>
    <cellStyle name="Totale 16 3" xfId="14181" xr:uid="{9824CF8B-B2BE-48EC-9ADD-003136558008}"/>
    <cellStyle name="Totale 16 3 2" xfId="25386" xr:uid="{25AA850E-C281-4103-8122-48B94965BC7A}"/>
    <cellStyle name="Totale 16 4" xfId="14182" xr:uid="{6E6A1E26-8496-4DC9-B2DB-B938EA4FD64E}"/>
    <cellStyle name="Totale 16 4 2" xfId="25387" xr:uid="{12F2F2A0-020A-4B4E-A389-0DDC254201DC}"/>
    <cellStyle name="Totale 16 5" xfId="25382" xr:uid="{9148AF4D-0AC8-444C-B0B0-F3CAC176F4C8}"/>
    <cellStyle name="Totale 17" xfId="14183" xr:uid="{3E705682-9461-46B8-95EF-929E2F1D5D5A}"/>
    <cellStyle name="Totale 17 2" xfId="14184" xr:uid="{6354D3DC-EFB3-4D92-B694-1726A8D3A64F}"/>
    <cellStyle name="Totale 17 2 2" xfId="25389" xr:uid="{EF20B272-57F1-484B-9067-0D232D9A35EE}"/>
    <cellStyle name="Totale 17 3" xfId="14185" xr:uid="{3E1C52F9-1F69-4A89-BC7A-444413E3134E}"/>
    <cellStyle name="Totale 17 3 2" xfId="25390" xr:uid="{A7F6BA2E-EC7A-4451-B2BA-87FC692D819B}"/>
    <cellStyle name="Totale 17 4" xfId="25388" xr:uid="{C22C6213-07B0-4184-A8BD-0F63DB705ACB}"/>
    <cellStyle name="Totale 18" xfId="14186" xr:uid="{0BFD13B6-1C23-4E79-B2F3-40DBB0FA3A51}"/>
    <cellStyle name="Totale 18 2" xfId="14187" xr:uid="{02BA5BFF-2DA1-4DC4-A968-87212E2F1EEA}"/>
    <cellStyle name="Totale 18 2 2" xfId="25392" xr:uid="{965084E7-3EF4-4EDF-94ED-1285ADE3E338}"/>
    <cellStyle name="Totale 18 3" xfId="14188" xr:uid="{C31CD444-E0AB-4E09-A3D9-0348FF06EECD}"/>
    <cellStyle name="Totale 18 3 2" xfId="25393" xr:uid="{1406FD88-6963-41C8-9B69-3B763699D2FB}"/>
    <cellStyle name="Totale 18 4" xfId="25391" xr:uid="{0BF2B7F9-B279-40BA-A18F-214135F9D8A3}"/>
    <cellStyle name="Totale 2" xfId="14189" xr:uid="{914FD5FE-6316-4B78-B096-04ACE236410B}"/>
    <cellStyle name="Totale 2 2" xfId="14190" xr:uid="{5AFE71FD-A027-4C84-9806-145552771097}"/>
    <cellStyle name="Totale 2 2 2" xfId="14191" xr:uid="{D10A80D2-06F5-45BA-BAF3-942E1B91170D}"/>
    <cellStyle name="Totale 2 2 2 2" xfId="25396" xr:uid="{5DA50E5D-96B1-45BE-ACB7-16AC015482C2}"/>
    <cellStyle name="Totale 2 2 3" xfId="14192" xr:uid="{C6218BC6-CE05-42BF-9F8C-3AC40A398671}"/>
    <cellStyle name="Totale 2 2 3 2" xfId="25397" xr:uid="{13D588A6-AEC1-4839-9A91-40B850DA36DB}"/>
    <cellStyle name="Totale 2 2 4" xfId="25395" xr:uid="{BF6A5894-4884-4889-A611-8D895FF3A17F}"/>
    <cellStyle name="Totale 2 3" xfId="14193" xr:uid="{4DEF2134-DEB2-4C36-AF2F-269EC93E39C6}"/>
    <cellStyle name="Totale 2 3 2" xfId="25398" xr:uid="{4A748A39-41F5-4F18-B1B1-2C9736536319}"/>
    <cellStyle name="Totale 2 4" xfId="14194" xr:uid="{5933DE9F-CA63-4526-A161-4C2EF141E427}"/>
    <cellStyle name="Totale 2 4 2" xfId="25399" xr:uid="{1BE31673-9E47-40A6-BA73-B84071ADC513}"/>
    <cellStyle name="Totale 2 5" xfId="25394" xr:uid="{AAFD64E7-E430-4C19-95A7-DDE8BB5C16F5}"/>
    <cellStyle name="Totale 3" xfId="14195" xr:uid="{EFDC3D96-E4B4-4B33-8D86-5355CCBA8AC8}"/>
    <cellStyle name="Totale 3 2" xfId="14196" xr:uid="{CA06AA99-D51F-47CA-BA78-69C19DD7E11F}"/>
    <cellStyle name="Totale 3 2 2" xfId="14197" xr:uid="{3DF0589F-16B3-4F6C-BEB6-D5CFC89322AC}"/>
    <cellStyle name="Totale 3 2 2 2" xfId="25402" xr:uid="{E0273BFB-0D7E-4999-80FA-0EEF15F54988}"/>
    <cellStyle name="Totale 3 2 3" xfId="14198" xr:uid="{EFC94B38-C4B7-4B81-9DE8-96FCF96332F9}"/>
    <cellStyle name="Totale 3 2 3 2" xfId="25403" xr:uid="{EB32FBC6-35E7-40F5-886A-ADFCFACB49B9}"/>
    <cellStyle name="Totale 3 2 4" xfId="25401" xr:uid="{E7ADCB6B-00CF-4F7B-8A09-F395F3A60D23}"/>
    <cellStyle name="Totale 3 3" xfId="14199" xr:uid="{284C2F0D-4B86-4BAA-8742-F749788186EA}"/>
    <cellStyle name="Totale 3 3 2" xfId="25404" xr:uid="{7EDDAEBF-E384-4474-820A-075A9557EFCF}"/>
    <cellStyle name="Totale 3 4" xfId="14200" xr:uid="{246A5656-C20C-4DF8-AB61-C1D23FD21CB2}"/>
    <cellStyle name="Totale 3 4 2" xfId="25405" xr:uid="{96449104-3C16-4BD1-B4FD-1E48E3B41E13}"/>
    <cellStyle name="Totale 3 5" xfId="25400" xr:uid="{54303351-2096-47C9-8BAD-C2951144351C}"/>
    <cellStyle name="Totale 4" xfId="14201" xr:uid="{A9E5F821-82B5-436A-B66A-CFCFEC6E586B}"/>
    <cellStyle name="Totale 4 2" xfId="14202" xr:uid="{21C98F7F-1EFD-4DE7-99EE-56E5A2ADAE83}"/>
    <cellStyle name="Totale 4 2 2" xfId="14203" xr:uid="{F09EE906-450B-4CB6-BB9E-F9668E677ED9}"/>
    <cellStyle name="Totale 4 2 2 2" xfId="25408" xr:uid="{DD95E839-8557-4768-B8D7-C42077C03691}"/>
    <cellStyle name="Totale 4 2 3" xfId="14204" xr:uid="{036FBB27-813B-45E3-B4E9-027964809F31}"/>
    <cellStyle name="Totale 4 2 3 2" xfId="25409" xr:uid="{C70BFC7A-01E8-4377-8BA4-D57950E9EA85}"/>
    <cellStyle name="Totale 4 2 4" xfId="25407" xr:uid="{0B1D3F86-0C62-4BFC-85AD-5BC36B3F0D59}"/>
    <cellStyle name="Totale 4 3" xfId="14205" xr:uid="{7A5C5E03-F699-42BA-BEA5-F843947D0DB8}"/>
    <cellStyle name="Totale 4 3 2" xfId="25410" xr:uid="{5F524602-9E7E-4D7F-BCFC-C4FFB3D430E3}"/>
    <cellStyle name="Totale 4 4" xfId="14206" xr:uid="{6849E7AB-88E7-4807-BDD4-D92409751190}"/>
    <cellStyle name="Totale 4 4 2" xfId="25411" xr:uid="{4EBC37B9-57BF-463C-8CB8-81AC15E22E59}"/>
    <cellStyle name="Totale 4 5" xfId="25406" xr:uid="{4AF1A027-8C50-4F97-8FD8-6B64CA89677E}"/>
    <cellStyle name="Totale 5" xfId="14207" xr:uid="{97A3D289-53C6-4809-A441-6AE5C75038F6}"/>
    <cellStyle name="Totale 5 2" xfId="14208" xr:uid="{EA85D205-AF18-480E-9324-1522C7F66CBD}"/>
    <cellStyle name="Totale 5 2 2" xfId="14209" xr:uid="{36FFCE48-3CCE-4F1E-AAE0-2F6F8ABAFB1B}"/>
    <cellStyle name="Totale 5 2 2 2" xfId="25414" xr:uid="{649A599B-1D42-459D-87D8-4B4676D0CF1A}"/>
    <cellStyle name="Totale 5 2 3" xfId="14210" xr:uid="{C50063B9-CC97-4143-9767-6A7822A8783A}"/>
    <cellStyle name="Totale 5 2 3 2" xfId="25415" xr:uid="{54F6A576-06FC-4D10-AE56-602D7070A79C}"/>
    <cellStyle name="Totale 5 2 4" xfId="25413" xr:uid="{B78CE58D-EE98-4FF3-85F6-0DCB4333E481}"/>
    <cellStyle name="Totale 5 3" xfId="14211" xr:uid="{6DA85E4A-C384-4446-9B44-F6F429D30935}"/>
    <cellStyle name="Totale 5 3 2" xfId="25416" xr:uid="{464697AD-7AB2-472E-A418-3BBB1E027D93}"/>
    <cellStyle name="Totale 5 4" xfId="14212" xr:uid="{148974B8-CE6E-48A9-998F-C8CE09364777}"/>
    <cellStyle name="Totale 5 4 2" xfId="25417" xr:uid="{0FEB30ED-1DCA-4A41-A527-B75C9F7BF47C}"/>
    <cellStyle name="Totale 5 5" xfId="25412" xr:uid="{65E37CC0-A663-4A08-92E0-8FC93FEBAC04}"/>
    <cellStyle name="Totale 6" xfId="14213" xr:uid="{6302E735-3CAB-4DF0-BF54-140B302DD1C8}"/>
    <cellStyle name="Totale 6 2" xfId="14214" xr:uid="{D0167F9F-0DFC-42E6-963D-BE553433BB10}"/>
    <cellStyle name="Totale 6 2 2" xfId="14215" xr:uid="{2D8341FE-8BFD-4F44-BD16-58A1F6AFB7AA}"/>
    <cellStyle name="Totale 6 2 2 2" xfId="25420" xr:uid="{BCB6D972-16A8-4CC0-84CF-C5D93712D589}"/>
    <cellStyle name="Totale 6 2 3" xfId="14216" xr:uid="{79910B60-E573-4A19-BC70-70700820257C}"/>
    <cellStyle name="Totale 6 2 3 2" xfId="25421" xr:uid="{45D93C61-A5EE-432E-BEB9-E85CEED3CE1F}"/>
    <cellStyle name="Totale 6 2 4" xfId="25419" xr:uid="{CBA1E2A2-AC0E-47A1-BA03-1E6CEEDD8493}"/>
    <cellStyle name="Totale 6 3" xfId="14217" xr:uid="{202E86BA-A17B-4642-B343-6C40B9D338D9}"/>
    <cellStyle name="Totale 6 3 2" xfId="25422" xr:uid="{C4CAD55A-3376-4017-9C37-D2E858898530}"/>
    <cellStyle name="Totale 6 4" xfId="14218" xr:uid="{E6201878-31FC-40DC-9AC9-160EC629A1D7}"/>
    <cellStyle name="Totale 6 4 2" xfId="25423" xr:uid="{5ABA0540-8B0D-4004-B5FA-DD607442982E}"/>
    <cellStyle name="Totale 6 5" xfId="25418" xr:uid="{63E6461A-2439-4F19-B6C7-E6DCFCB46A75}"/>
    <cellStyle name="Totale 7" xfId="14219" xr:uid="{635591C3-7501-434D-AA58-C9A824BC0FEF}"/>
    <cellStyle name="Totale 7 2" xfId="14220" xr:uid="{75EA665C-35CB-4C98-9645-26440E9B343A}"/>
    <cellStyle name="Totale 7 2 2" xfId="14221" xr:uid="{4824B32D-E0A2-41BD-808D-9EF9EB75064F}"/>
    <cellStyle name="Totale 7 2 2 2" xfId="25426" xr:uid="{C67C836C-3CAF-4BC2-B9DC-0B9F8DFF8FA2}"/>
    <cellStyle name="Totale 7 2 3" xfId="14222" xr:uid="{2080D019-C65F-4DDC-AC36-4D0A9DC9C42C}"/>
    <cellStyle name="Totale 7 2 3 2" xfId="25427" xr:uid="{16449C2C-FCC0-40F4-A8A7-159B9C8566D8}"/>
    <cellStyle name="Totale 7 2 4" xfId="25425" xr:uid="{811DFBCB-17E6-49CC-8A4B-3591B596895F}"/>
    <cellStyle name="Totale 7 3" xfId="14223" xr:uid="{36CD22FD-F31F-445F-AF3C-E488F15783ED}"/>
    <cellStyle name="Totale 7 3 2" xfId="25428" xr:uid="{A9D20D03-EC97-49EF-8710-B5B349E48440}"/>
    <cellStyle name="Totale 7 4" xfId="14224" xr:uid="{71901AA1-C323-449C-BA70-AF9AA9056B93}"/>
    <cellStyle name="Totale 7 4 2" xfId="25429" xr:uid="{8D73E2C7-83CB-459D-B1EB-E55F79CDA066}"/>
    <cellStyle name="Totale 7 5" xfId="25424" xr:uid="{9E06A91C-7CB5-43BE-A77B-E62673937BBE}"/>
    <cellStyle name="Totale 8" xfId="14225" xr:uid="{F6D1238D-58A6-423B-8AEA-A1709CD1EC6C}"/>
    <cellStyle name="Totale 8 2" xfId="14226" xr:uid="{A6710E8D-A3FC-41E4-9ABF-43FCE37AF095}"/>
    <cellStyle name="Totale 8 2 2" xfId="14227" xr:uid="{DB19762C-BB91-46F5-B175-BB726279A555}"/>
    <cellStyle name="Totale 8 2 2 2" xfId="25432" xr:uid="{983F296D-DC9F-4798-B662-AD7008019F92}"/>
    <cellStyle name="Totale 8 2 3" xfId="14228" xr:uid="{3A8A9DCC-9FF4-4225-9C4B-D82391D861B9}"/>
    <cellStyle name="Totale 8 2 3 2" xfId="25433" xr:uid="{F8914F98-0F1D-4058-B07E-5638BDA7B8FA}"/>
    <cellStyle name="Totale 8 2 4" xfId="25431" xr:uid="{A73444A4-D6B0-47D1-9C6D-F006982565CB}"/>
    <cellStyle name="Totale 8 3" xfId="14229" xr:uid="{CD13C8C1-291D-47BE-BFAA-47F5BC646A3A}"/>
    <cellStyle name="Totale 8 3 2" xfId="25434" xr:uid="{0B8D85E0-3FA0-454D-85EB-B6C0C917A56F}"/>
    <cellStyle name="Totale 8 4" xfId="14230" xr:uid="{5442D26D-2218-4A14-9025-68191FE4FCC7}"/>
    <cellStyle name="Totale 8 4 2" xfId="25435" xr:uid="{6FD2E7B0-998A-4957-832B-9ED2328BE983}"/>
    <cellStyle name="Totale 8 5" xfId="25430" xr:uid="{43F47D5F-4F72-41E0-86CB-B7D929998773}"/>
    <cellStyle name="Totale 9" xfId="14231" xr:uid="{259BB4A6-A31F-4A63-B705-3AD4A110E76E}"/>
    <cellStyle name="Totale 9 2" xfId="14232" xr:uid="{C844DB2A-5FCB-4934-800E-1CE4BA316510}"/>
    <cellStyle name="Totale 9 2 2" xfId="14233" xr:uid="{D2ED4668-B4ED-42B1-9388-4FF46E906E33}"/>
    <cellStyle name="Totale 9 2 2 2" xfId="25438" xr:uid="{F8F652A6-B709-471D-9990-B6301F0C4EA5}"/>
    <cellStyle name="Totale 9 2 3" xfId="14234" xr:uid="{BE9E8925-5054-41B1-9DA2-719F3A13DCA6}"/>
    <cellStyle name="Totale 9 2 3 2" xfId="25439" xr:uid="{851E9044-10D4-4AB9-AF60-669607D47F1A}"/>
    <cellStyle name="Totale 9 2 4" xfId="25437" xr:uid="{2B7B1D5C-63C4-4C3A-BDC5-822C5776E5B6}"/>
    <cellStyle name="Totale 9 3" xfId="14235" xr:uid="{C706CD48-DAA1-4EE4-A1A4-DB5E022B5545}"/>
    <cellStyle name="Totale 9 3 2" xfId="25440" xr:uid="{B618F597-58A1-4087-BE4B-FD71625AE2D5}"/>
    <cellStyle name="Totale 9 4" xfId="14236" xr:uid="{B4E8277E-287A-4458-AA5C-AA6E5BFF236C}"/>
    <cellStyle name="Totale 9 4 2" xfId="25441" xr:uid="{6D21B5DB-E237-458C-9786-5829D01B4884}"/>
    <cellStyle name="Totale 9 5" xfId="25436" xr:uid="{2A7B006F-8A53-4823-9D7B-B8023968CAD0}"/>
    <cellStyle name="Totals" xfId="14237" xr:uid="{7161417A-3DD9-4B53-8324-1CC9D175D30E}"/>
    <cellStyle name="tr" xfId="14238" xr:uid="{DFCE101E-565A-4525-8BD1-767D44FFC6D0}"/>
    <cellStyle name="Tulostus" xfId="14239" xr:uid="{EB6A3E0A-0D51-4DDD-8127-30C1E25850A4}"/>
    <cellStyle name="Tulostus 10" xfId="14240" xr:uid="{0303E6D1-9490-475E-B2D0-60B8AC99CBE6}"/>
    <cellStyle name="Tulostus 10 2" xfId="14241" xr:uid="{9193ACA5-C080-42CD-BE57-357232011F4A}"/>
    <cellStyle name="Tulostus 10 2 2" xfId="14242" xr:uid="{5880EB0F-3660-4F1E-ABA8-F307A5B61D3B}"/>
    <cellStyle name="Tulostus 10 2 2 2" xfId="25444" xr:uid="{3BE75A64-B829-4C8E-8619-5C0A3E324502}"/>
    <cellStyle name="Tulostus 10 2 3" xfId="14243" xr:uid="{364FA8BD-FD68-45C8-9769-3B660CC8BA6B}"/>
    <cellStyle name="Tulostus 10 2 3 2" xfId="25445" xr:uid="{6E5F0821-3CC0-4256-A510-AE482B935E84}"/>
    <cellStyle name="Tulostus 10 2 4" xfId="25443" xr:uid="{2321931F-D620-4802-96F3-C14E04D4A503}"/>
    <cellStyle name="Tulostus 10 3" xfId="14244" xr:uid="{4EDBAB3B-0D56-4000-BFCD-4434F1C3D1C3}"/>
    <cellStyle name="Tulostus 10 3 2" xfId="25446" xr:uid="{FC45C97A-FD75-4F6A-9653-B0E2977CCE17}"/>
    <cellStyle name="Tulostus 10 4" xfId="14245" xr:uid="{618926D5-7DB6-465C-B4BE-0116E17CAAC5}"/>
    <cellStyle name="Tulostus 10 4 2" xfId="25447" xr:uid="{3FDCD096-1B8F-423E-B791-CF6F393A4E0E}"/>
    <cellStyle name="Tulostus 10 5" xfId="25442" xr:uid="{BCF9526B-3883-46CF-ADC6-202D08DE4BCB}"/>
    <cellStyle name="Tulostus 11" xfId="14246" xr:uid="{49AC20CF-7673-4F31-9E67-656C049CC5D6}"/>
    <cellStyle name="Tulostus 11 2" xfId="14247" xr:uid="{68AB3A60-96B8-43FC-AAB1-B24EA733E0AE}"/>
    <cellStyle name="Tulostus 11 2 2" xfId="14248" xr:uid="{CF5C7372-A915-4D28-8856-52E81B98E665}"/>
    <cellStyle name="Tulostus 11 2 2 2" xfId="25450" xr:uid="{79C78D2E-D980-4680-945D-795719CDE171}"/>
    <cellStyle name="Tulostus 11 2 3" xfId="14249" xr:uid="{F6CE764B-1803-4786-ACDC-94EEF952F959}"/>
    <cellStyle name="Tulostus 11 2 3 2" xfId="25451" xr:uid="{E9DE2585-D2DA-4C9C-A84F-7BB5454F3985}"/>
    <cellStyle name="Tulostus 11 2 4" xfId="25449" xr:uid="{A977A90C-856B-4DFE-8C65-45C6918F51E8}"/>
    <cellStyle name="Tulostus 11 3" xfId="14250" xr:uid="{42908D1B-0249-480B-A81C-3AFEE7102237}"/>
    <cellStyle name="Tulostus 11 3 2" xfId="25452" xr:uid="{098D4155-640B-46A7-A359-F5457AF12879}"/>
    <cellStyle name="Tulostus 11 4" xfId="14251" xr:uid="{44FDBB40-0BE4-4253-B632-2D8EA3CDE939}"/>
    <cellStyle name="Tulostus 11 4 2" xfId="25453" xr:uid="{3F5BA903-8700-417A-BA36-7276D6BCC3ED}"/>
    <cellStyle name="Tulostus 11 5" xfId="25448" xr:uid="{03030507-181F-4F03-8151-46C95898EDD3}"/>
    <cellStyle name="Tulostus 12" xfId="14252" xr:uid="{83779A1B-4E49-4432-BAAE-9988337BB410}"/>
    <cellStyle name="Tulostus 12 2" xfId="14253" xr:uid="{561E705C-C62E-4B5C-985D-A109476CC8CE}"/>
    <cellStyle name="Tulostus 12 2 2" xfId="14254" xr:uid="{8158EF0C-C604-46C2-88F1-560E0838908E}"/>
    <cellStyle name="Tulostus 12 2 2 2" xfId="25456" xr:uid="{216B21FD-F508-44A5-BEA0-0CDBA38EFDB7}"/>
    <cellStyle name="Tulostus 12 2 3" xfId="14255" xr:uid="{1539C8DB-7779-4163-AB54-AE5E5DE53B07}"/>
    <cellStyle name="Tulostus 12 2 3 2" xfId="25457" xr:uid="{E9665675-44B3-46EE-A130-2BF3A3C973E3}"/>
    <cellStyle name="Tulostus 12 2 4" xfId="25455" xr:uid="{AC902781-4FAE-48A6-B912-753AA6E887A6}"/>
    <cellStyle name="Tulostus 12 3" xfId="14256" xr:uid="{2B93F326-0EC0-44B2-AF30-02A7447A5C38}"/>
    <cellStyle name="Tulostus 12 3 2" xfId="25458" xr:uid="{7C5A5F3D-7BD9-4907-BD8B-D6529EB2C83D}"/>
    <cellStyle name="Tulostus 12 4" xfId="14257" xr:uid="{77D474BF-BE67-4295-9147-49C038BBD64F}"/>
    <cellStyle name="Tulostus 12 4 2" xfId="25459" xr:uid="{C5272BFC-6C27-46E2-B5C8-EDE59371DE67}"/>
    <cellStyle name="Tulostus 12 5" xfId="25454" xr:uid="{1C1F39FC-31C3-457F-AF81-08362801F0AD}"/>
    <cellStyle name="Tulostus 13" xfId="14258" xr:uid="{9DAEACBD-8B4C-4AF3-918E-1AE91BD9897B}"/>
    <cellStyle name="Tulostus 13 2" xfId="14259" xr:uid="{48811C12-B810-49D2-9298-A9EE8CFADB1B}"/>
    <cellStyle name="Tulostus 13 2 2" xfId="14260" xr:uid="{5E61ACC7-86DD-4FF2-9A68-BF9CD4414338}"/>
    <cellStyle name="Tulostus 13 2 2 2" xfId="25462" xr:uid="{7E9EDC13-DFA8-4EF2-AB01-CE49C0DA85CC}"/>
    <cellStyle name="Tulostus 13 2 3" xfId="14261" xr:uid="{07A73AEC-5D44-4355-95D9-EAE92DF47190}"/>
    <cellStyle name="Tulostus 13 2 3 2" xfId="25463" xr:uid="{2FBB9104-D3F5-44E3-93C7-061E0B7C9A03}"/>
    <cellStyle name="Tulostus 13 2 4" xfId="25461" xr:uid="{DBE400C3-8C23-4BC2-97CA-311C67C5025D}"/>
    <cellStyle name="Tulostus 13 3" xfId="14262" xr:uid="{9F1FAC73-70AC-477C-8956-3E5836309979}"/>
    <cellStyle name="Tulostus 13 3 2" xfId="25464" xr:uid="{5B5C8853-780B-4775-BFE6-B4A5F832ECE5}"/>
    <cellStyle name="Tulostus 13 4" xfId="14263" xr:uid="{41A1234F-ACB4-4D6C-80BE-A0A67BACCB13}"/>
    <cellStyle name="Tulostus 13 4 2" xfId="25465" xr:uid="{47E3312F-8CE2-4EC1-8255-B0F20A48E5CD}"/>
    <cellStyle name="Tulostus 13 5" xfId="25460" xr:uid="{E4AC8ED4-40A2-4820-9351-9E4237807B62}"/>
    <cellStyle name="Tulostus 14" xfId="14264" xr:uid="{0B060E61-D78D-4885-AE38-920E1DCE051B}"/>
    <cellStyle name="Tulostus 14 2" xfId="14265" xr:uid="{53AB6A9B-F30B-44D2-A3C5-BBAC82FA4114}"/>
    <cellStyle name="Tulostus 14 2 2" xfId="14266" xr:uid="{37E0859A-DB79-4D4E-8534-FCF47EE71F0A}"/>
    <cellStyle name="Tulostus 14 2 2 2" xfId="25468" xr:uid="{FE084602-1B0F-4F4C-9460-D20AB12FA27A}"/>
    <cellStyle name="Tulostus 14 2 3" xfId="14267" xr:uid="{66ABD58E-F908-4649-99F7-40047AA87FE1}"/>
    <cellStyle name="Tulostus 14 2 3 2" xfId="25469" xr:uid="{EC0932C1-0CBE-44BA-9E7B-4E02CBA409CD}"/>
    <cellStyle name="Tulostus 14 2 4" xfId="25467" xr:uid="{6089488A-011C-4BEE-B299-2E24D2864D79}"/>
    <cellStyle name="Tulostus 14 3" xfId="14268" xr:uid="{8181B088-2FA7-439C-A5B7-C701F984525D}"/>
    <cellStyle name="Tulostus 14 3 2" xfId="25470" xr:uid="{E2084F14-A740-46D4-9695-FCBF218BFA41}"/>
    <cellStyle name="Tulostus 14 4" xfId="14269" xr:uid="{EF4D1B1C-95B7-444B-B0D6-E5C3D9D9BBB2}"/>
    <cellStyle name="Tulostus 14 4 2" xfId="25471" xr:uid="{01EFFD72-5890-4271-BAE1-AA38B413E5B4}"/>
    <cellStyle name="Tulostus 14 5" xfId="25466" xr:uid="{E3A2D450-BE6F-4DD3-8A13-3361D3364CB1}"/>
    <cellStyle name="Tulostus 15" xfId="14270" xr:uid="{AC65BC8F-E0D1-4309-973D-7117B610A448}"/>
    <cellStyle name="Tulostus 15 2" xfId="14271" xr:uid="{F2362BB5-09A5-4787-9F58-97075D8063A4}"/>
    <cellStyle name="Tulostus 15 2 2" xfId="14272" xr:uid="{47162EEB-9E1F-499F-9F17-D7A9C0F81894}"/>
    <cellStyle name="Tulostus 15 2 2 2" xfId="25474" xr:uid="{40DAB66F-8714-4408-B5FD-C420F30BD640}"/>
    <cellStyle name="Tulostus 15 2 3" xfId="14273" xr:uid="{3C6CB230-BEE4-406C-B9A3-783C9437E6CF}"/>
    <cellStyle name="Tulostus 15 2 3 2" xfId="25475" xr:uid="{12ACFCF8-02F7-494B-B490-8279D21D174F}"/>
    <cellStyle name="Tulostus 15 2 4" xfId="25473" xr:uid="{BE29C72E-784E-4704-BC33-947CFE0EEA82}"/>
    <cellStyle name="Tulostus 15 3" xfId="14274" xr:uid="{5F5E970A-6E87-40AD-B987-8FD2CAE4EE90}"/>
    <cellStyle name="Tulostus 15 3 2" xfId="25476" xr:uid="{C0FC9746-0FD5-4DBA-9379-6CADE0F0A165}"/>
    <cellStyle name="Tulostus 15 4" xfId="14275" xr:uid="{88EA6DA4-80B6-4E8C-8DD5-76FE657590A9}"/>
    <cellStyle name="Tulostus 15 4 2" xfId="25477" xr:uid="{B57E090B-07F1-47BD-B5FC-86DFEB423AE4}"/>
    <cellStyle name="Tulostus 15 5" xfId="25472" xr:uid="{7A4ABF1A-A3C0-4517-BBFF-D036403E5807}"/>
    <cellStyle name="Tulostus 16" xfId="14276" xr:uid="{AA024767-8CFA-42F5-B0F4-B3966C3A2D03}"/>
    <cellStyle name="Tulostus 16 2" xfId="25478" xr:uid="{95340DA8-4798-4E09-B402-BCD665E2AFC7}"/>
    <cellStyle name="Tulostus 17" xfId="14277" xr:uid="{50BCFCAA-9275-42BB-8662-C77764C22040}"/>
    <cellStyle name="Tulostus 17 2" xfId="25479" xr:uid="{81D74000-CD34-400C-8574-7BA35C33C1FF}"/>
    <cellStyle name="Tulostus 18" xfId="14278" xr:uid="{B87E79E9-63B4-4FB9-9FA0-B3CE039C62CF}"/>
    <cellStyle name="Tulostus 18 2" xfId="25480" xr:uid="{85642274-2C61-42B1-9442-9DD1C9B0E005}"/>
    <cellStyle name="Tulostus 19" xfId="14279" xr:uid="{F5C416ED-CE1F-4CDF-AF4A-1D311D01927B}"/>
    <cellStyle name="Tulostus 19 2" xfId="25481" xr:uid="{DB4F9635-D4A4-4BD2-BBB4-849AF12BB368}"/>
    <cellStyle name="Tulostus 2" xfId="14280" xr:uid="{3EFD8B52-CF54-4CE8-BD20-A3B9E574C4B5}"/>
    <cellStyle name="Tulostus 2 2" xfId="14281" xr:uid="{67895C58-822E-462D-9057-23EBC4B89234}"/>
    <cellStyle name="Tulostus 2 2 2" xfId="14282" xr:uid="{11AC7DE8-733D-46B5-88FE-73702B7E62C7}"/>
    <cellStyle name="Tulostus 2 2 2 2" xfId="25484" xr:uid="{93CE56E3-AE96-4BE2-8501-2D9362642922}"/>
    <cellStyle name="Tulostus 2 2 3" xfId="14283" xr:uid="{0A2D2CD9-FA57-4C1C-A081-BB751DDB1206}"/>
    <cellStyle name="Tulostus 2 2 3 2" xfId="25485" xr:uid="{58231993-E8F7-4EEE-8980-AD704119A581}"/>
    <cellStyle name="Tulostus 2 2 4" xfId="25483" xr:uid="{72E42E0B-45A6-43DC-841F-C00A2637222E}"/>
    <cellStyle name="Tulostus 2 3" xfId="14284" xr:uid="{73364CD9-0852-429B-8184-1D74F9592D40}"/>
    <cellStyle name="Tulostus 2 3 2" xfId="25486" xr:uid="{2912549F-0C6A-4160-9448-668568F6B368}"/>
    <cellStyle name="Tulostus 2 4" xfId="14285" xr:uid="{9FA18741-62F2-42DC-9EBB-1C9591A9F815}"/>
    <cellStyle name="Tulostus 2 4 2" xfId="25487" xr:uid="{36ECB7A5-FD77-42D0-827C-9E167AAB24D1}"/>
    <cellStyle name="Tulostus 2 5" xfId="25482" xr:uid="{1D62A5AD-12E3-4C23-907D-F1EC6D3916ED}"/>
    <cellStyle name="Tulostus 20" xfId="15240" xr:uid="{3FD79055-8D74-4CA5-9093-A783B6FF5ACF}"/>
    <cellStyle name="Tulostus 3" xfId="14286" xr:uid="{858F8154-9105-46FD-AF8F-12B3B6D94D14}"/>
    <cellStyle name="Tulostus 3 2" xfId="14287" xr:uid="{D7F49C6A-01D8-4395-B96D-AE3CEC6CC625}"/>
    <cellStyle name="Tulostus 3 2 2" xfId="14288" xr:uid="{B8E11079-5FB2-4658-ACED-800E13BDC4C6}"/>
    <cellStyle name="Tulostus 3 2 2 2" xfId="25490" xr:uid="{5E8DDE04-57F0-4AE8-B897-9708C3108C37}"/>
    <cellStyle name="Tulostus 3 2 3" xfId="14289" xr:uid="{8AC61227-C37C-4AF9-8BAB-790BB19E04B1}"/>
    <cellStyle name="Tulostus 3 2 3 2" xfId="25491" xr:uid="{313D851E-88C5-4CBE-B474-B018F01093DE}"/>
    <cellStyle name="Tulostus 3 2 4" xfId="25489" xr:uid="{6E3821B6-2810-4067-8B75-38CFDDF2E387}"/>
    <cellStyle name="Tulostus 3 3" xfId="14290" xr:uid="{946CBFAC-849B-4158-9B7C-BD15CC48C32C}"/>
    <cellStyle name="Tulostus 3 3 2" xfId="25492" xr:uid="{DCC7DC73-AC87-4631-8ED5-ED61CF2B0495}"/>
    <cellStyle name="Tulostus 3 4" xfId="14291" xr:uid="{D400AD7D-CE87-4FFF-93E6-857127710ECA}"/>
    <cellStyle name="Tulostus 3 4 2" xfId="25493" xr:uid="{87B4B538-E458-4697-BB4C-813710DB2BCC}"/>
    <cellStyle name="Tulostus 3 5" xfId="25488" xr:uid="{148DA087-6D4A-4AE2-85BB-B9E16AD05675}"/>
    <cellStyle name="Tulostus 4" xfId="14292" xr:uid="{877B9BD6-4F0E-4979-A4E7-33091662776C}"/>
    <cellStyle name="Tulostus 4 2" xfId="14293" xr:uid="{78E3ED49-3B27-45A4-8116-C11EDC8A2965}"/>
    <cellStyle name="Tulostus 4 2 2" xfId="14294" xr:uid="{2A2383BF-BB8D-4F0E-A6C3-01E59C68EE49}"/>
    <cellStyle name="Tulostus 4 2 2 2" xfId="25496" xr:uid="{BA520DA0-309F-4FE1-8740-0904DB90E305}"/>
    <cellStyle name="Tulostus 4 2 3" xfId="14295" xr:uid="{2D95B4F6-8D11-44F5-AB41-D2E55B6A4ED8}"/>
    <cellStyle name="Tulostus 4 2 3 2" xfId="25497" xr:uid="{287DC637-64EA-4C4B-A298-52A898639867}"/>
    <cellStyle name="Tulostus 4 2 4" xfId="25495" xr:uid="{80E2AE30-0636-4F55-B674-A0F3F89F1213}"/>
    <cellStyle name="Tulostus 4 3" xfId="14296" xr:uid="{1EB3B623-D7CF-4350-BC49-6F92B98AA3FE}"/>
    <cellStyle name="Tulostus 4 3 2" xfId="25498" xr:uid="{813771E0-F9F5-4F0E-81B5-B60BA16909B0}"/>
    <cellStyle name="Tulostus 4 4" xfId="14297" xr:uid="{EA3D5E63-B60D-41E7-977D-BC6B963E8FDF}"/>
    <cellStyle name="Tulostus 4 4 2" xfId="25499" xr:uid="{7E861430-1E0C-4CD7-8D71-601B2D49108C}"/>
    <cellStyle name="Tulostus 4 5" xfId="25494" xr:uid="{A29BB1F9-72C7-497A-B73F-C6B549E94A31}"/>
    <cellStyle name="Tulostus 5" xfId="14298" xr:uid="{D032196B-CCCA-48A7-A424-A0E08FAA5591}"/>
    <cellStyle name="Tulostus 5 2" xfId="14299" xr:uid="{AED26991-E153-41BC-8D18-D6F411BCB751}"/>
    <cellStyle name="Tulostus 5 2 2" xfId="14300" xr:uid="{CBD39B32-08BB-4E1D-B4D6-33129DF955C4}"/>
    <cellStyle name="Tulostus 5 2 2 2" xfId="25502" xr:uid="{31E1BE00-A89B-4AE0-943A-8A4C734E1611}"/>
    <cellStyle name="Tulostus 5 2 3" xfId="14301" xr:uid="{C7BD26C4-DEF9-4B4A-9DA6-0649414D37B0}"/>
    <cellStyle name="Tulostus 5 2 3 2" xfId="25503" xr:uid="{42C2E324-9A89-4623-9F5D-DA9AB7E7A679}"/>
    <cellStyle name="Tulostus 5 2 4" xfId="25501" xr:uid="{F13D5A85-FE1A-4D47-B2E3-249F3EDCC7CB}"/>
    <cellStyle name="Tulostus 5 3" xfId="14302" xr:uid="{B6888C71-4B44-4B17-9D20-FBCCE44644F4}"/>
    <cellStyle name="Tulostus 5 3 2" xfId="25504" xr:uid="{6F4F1FAC-CDE5-4A75-ABE8-3CE3FBE9BFE1}"/>
    <cellStyle name="Tulostus 5 4" xfId="14303" xr:uid="{52E0D519-9687-4F1F-A84A-FA12F80C3A99}"/>
    <cellStyle name="Tulostus 5 4 2" xfId="25505" xr:uid="{E737427F-2AAD-4CDF-BE32-D411FC3202A6}"/>
    <cellStyle name="Tulostus 5 5" xfId="25500" xr:uid="{6BF278A3-53A6-44EC-A5E8-D961C9CEFBF2}"/>
    <cellStyle name="Tulostus 6" xfId="14304" xr:uid="{322A191A-DE7E-4CFB-B9B9-80C097C03BD0}"/>
    <cellStyle name="Tulostus 6 2" xfId="14305" xr:uid="{121A9D7D-39D1-4E6A-A2F9-55D6E434EBF7}"/>
    <cellStyle name="Tulostus 6 2 2" xfId="14306" xr:uid="{F3FBF1E5-8B4F-478E-9664-64FE33CD2C9B}"/>
    <cellStyle name="Tulostus 6 2 2 2" xfId="25508" xr:uid="{3766CC3E-40AC-4D50-8345-00B6E57B2830}"/>
    <cellStyle name="Tulostus 6 2 3" xfId="14307" xr:uid="{781B9EFC-D2BD-4F4F-8293-7DDB88E763A0}"/>
    <cellStyle name="Tulostus 6 2 3 2" xfId="25509" xr:uid="{01EAB7AA-CCF4-4AF1-8251-D05C72AC5C34}"/>
    <cellStyle name="Tulostus 6 2 4" xfId="25507" xr:uid="{E239955E-883C-43E5-8EC8-D84B7200146D}"/>
    <cellStyle name="Tulostus 6 3" xfId="14308" xr:uid="{7B61854B-D6EF-42EB-93C1-B5D9EF9D9B9A}"/>
    <cellStyle name="Tulostus 6 3 2" xfId="25510" xr:uid="{C06AF922-BE74-4DEE-8B04-69013B7CFF90}"/>
    <cellStyle name="Tulostus 6 4" xfId="14309" xr:uid="{0442245C-BF71-48FE-A48B-979F2BC657BC}"/>
    <cellStyle name="Tulostus 6 4 2" xfId="25511" xr:uid="{38F95B1D-9873-4115-8CAC-FF32CFF6ED18}"/>
    <cellStyle name="Tulostus 6 5" xfId="25506" xr:uid="{665EAA95-3D65-451A-8F2C-134BC0532C1D}"/>
    <cellStyle name="Tulostus 7" xfId="14310" xr:uid="{432CFAAB-B0F8-446B-80E5-A1AC1B542342}"/>
    <cellStyle name="Tulostus 7 2" xfId="14311" xr:uid="{55704CA5-1CFE-4E2C-9D66-FD1A63D477BE}"/>
    <cellStyle name="Tulostus 7 2 2" xfId="14312" xr:uid="{6BD96CC6-6490-405B-A84C-33635D2D75AF}"/>
    <cellStyle name="Tulostus 7 2 2 2" xfId="25514" xr:uid="{A147533A-21C8-4CAF-86E2-0027DEBB4782}"/>
    <cellStyle name="Tulostus 7 2 3" xfId="14313" xr:uid="{463A7870-7E71-42A6-A6D9-1069DA78135C}"/>
    <cellStyle name="Tulostus 7 2 3 2" xfId="25515" xr:uid="{7C60509D-2D0C-4F41-BA6A-35EFAF8E6CD6}"/>
    <cellStyle name="Tulostus 7 2 4" xfId="25513" xr:uid="{B9A032AD-28F5-4456-9E5F-8BA0841DF9F5}"/>
    <cellStyle name="Tulostus 7 3" xfId="14314" xr:uid="{7D752D53-C321-49B0-A938-8CE3FA2D39ED}"/>
    <cellStyle name="Tulostus 7 3 2" xfId="25516" xr:uid="{3BBD7DBA-7C08-4B6E-A1E0-7849B14B9CBB}"/>
    <cellStyle name="Tulostus 7 4" xfId="14315" xr:uid="{DD83AF8C-870C-4CA5-9694-99E59EA74124}"/>
    <cellStyle name="Tulostus 7 4 2" xfId="25517" xr:uid="{7BACE5DD-9F4B-4817-8708-36E931D4EF2F}"/>
    <cellStyle name="Tulostus 7 5" xfId="25512" xr:uid="{DDDB1D02-0AC2-42C1-8726-86F4B5017448}"/>
    <cellStyle name="Tulostus 8" xfId="14316" xr:uid="{87EBA009-85A6-4077-A657-A22503FDF3C2}"/>
    <cellStyle name="Tulostus 8 2" xfId="14317" xr:uid="{FBF8BA91-8CEF-47C6-9DB3-B21DEC856255}"/>
    <cellStyle name="Tulostus 8 2 2" xfId="14318" xr:uid="{9621352F-B0A2-4404-93CB-AD6909637F4B}"/>
    <cellStyle name="Tulostus 8 2 2 2" xfId="25520" xr:uid="{A18C16D3-B665-42F0-8F77-CD19614C9193}"/>
    <cellStyle name="Tulostus 8 2 3" xfId="14319" xr:uid="{14FDA7DC-319B-4A2E-8A6F-B099F469A490}"/>
    <cellStyle name="Tulostus 8 2 3 2" xfId="25521" xr:uid="{B76F349F-7AC7-487A-94F0-B27CF94C68D0}"/>
    <cellStyle name="Tulostus 8 2 4" xfId="25519" xr:uid="{DF474792-C286-4877-B9C0-D48228108EBE}"/>
    <cellStyle name="Tulostus 8 3" xfId="14320" xr:uid="{6174757C-27BE-4BB0-9A9D-06A8788DD8BF}"/>
    <cellStyle name="Tulostus 8 3 2" xfId="25522" xr:uid="{C563291A-92F0-4D9E-BDD0-61EF1181E275}"/>
    <cellStyle name="Tulostus 8 4" xfId="14321" xr:uid="{8E5E8BCD-4967-405A-94D8-5D58758B0CCA}"/>
    <cellStyle name="Tulostus 8 4 2" xfId="25523" xr:uid="{8CAFEFA1-A739-4B78-B7DD-54982AD2860C}"/>
    <cellStyle name="Tulostus 8 5" xfId="25518" xr:uid="{00454CC6-B4C6-461D-AA6A-923CFC6BF8B4}"/>
    <cellStyle name="Tulostus 9" xfId="14322" xr:uid="{2BEFD518-2B79-49C9-B699-0929CBECB846}"/>
    <cellStyle name="Tulostus 9 2" xfId="14323" xr:uid="{03B057E6-B566-4F3D-9B49-427F02848951}"/>
    <cellStyle name="Tulostus 9 2 2" xfId="14324" xr:uid="{C41FE107-AD83-44BD-967F-F4AB03B47104}"/>
    <cellStyle name="Tulostus 9 2 2 2" xfId="25526" xr:uid="{BC2E60AC-E1B9-481B-B69B-679FBEDAAAE6}"/>
    <cellStyle name="Tulostus 9 2 3" xfId="14325" xr:uid="{830D402B-9277-4D84-803C-D7D791C69368}"/>
    <cellStyle name="Tulostus 9 2 3 2" xfId="25527" xr:uid="{C57F2784-8F32-4BA8-9063-3CB0E696F9B9}"/>
    <cellStyle name="Tulostus 9 2 4" xfId="25525" xr:uid="{2EED9F2E-67A7-4652-B826-BB6F555524E3}"/>
    <cellStyle name="Tulostus 9 3" xfId="14326" xr:uid="{753150F5-9AE7-45C6-A5C5-218D59DA5F10}"/>
    <cellStyle name="Tulostus 9 3 2" xfId="25528" xr:uid="{7E49CAAB-C173-459B-AF22-1A1CC125006E}"/>
    <cellStyle name="Tulostus 9 4" xfId="14327" xr:uid="{ACF07CBB-4DCB-4EDA-B96A-EF9DA03D04EA}"/>
    <cellStyle name="Tulostus 9 4 2" xfId="25529" xr:uid="{BD1ED333-2B91-4EAE-B2A8-4DC778C22A67}"/>
    <cellStyle name="Tulostus 9 5" xfId="25524" xr:uid="{878E46C1-1A02-4EA0-B140-5D4327DDCF96}"/>
    <cellStyle name="Tulostus_PGM_CHECK" xfId="14908" xr:uid="{4322D39A-EACD-4794-96B9-76239C2DE762}"/>
    <cellStyle name="Tusental (0)_Blad1" xfId="14328" xr:uid="{C0C36347-53CA-48F3-80B1-624B79064CF8}"/>
    <cellStyle name="Tusental 2" xfId="14329" xr:uid="{40C7D47E-87EA-4596-B67B-C85782658FBA}"/>
    <cellStyle name="Tusental 2 2" xfId="14330" xr:uid="{3C6FD059-7830-48AF-871A-04A8BE1E9E82}"/>
    <cellStyle name="Tusental 2 2 2" xfId="25531" xr:uid="{E6C59184-CC40-4181-B2FC-FB06BF20BEEF}"/>
    <cellStyle name="Tusental 2 3" xfId="25530" xr:uid="{D31A22AD-4817-4214-8BEF-9618D6B80B9F}"/>
    <cellStyle name="Tytuł" xfId="14331" xr:uid="{9FEEEBBB-962A-45D8-B06B-F6235D64DF0C}"/>
    <cellStyle name="Tytuł 2" xfId="14332" xr:uid="{A953AC27-2AB7-4CB5-85E1-2676E4942067}"/>
    <cellStyle name="Überschrift" xfId="14333" xr:uid="{3C493DB2-85B2-47AD-BF9C-68F5F9F8E95C}"/>
    <cellStyle name="Überschrift 1" xfId="14334" xr:uid="{834966BC-9C12-43F6-B501-493533457BDF}"/>
    <cellStyle name="Überschrift 2" xfId="14335" xr:uid="{B52629E7-4B34-4C55-A7E8-EB83D3E1CA6B}"/>
    <cellStyle name="Überschrift 3" xfId="14336" xr:uid="{A69EED4A-5A00-48D8-9E4E-27888317F7CE}"/>
    <cellStyle name="Überschrift 4" xfId="14337" xr:uid="{5B4A1F00-BE48-4B37-927B-F46E75F6DA8A}"/>
    <cellStyle name="Überschrift_CRCO_macros" xfId="14338" xr:uid="{E001FD0B-A750-4A9F-8C1F-866E3466C9E7}"/>
    <cellStyle name="Ugyldig" xfId="14339" xr:uid="{93B70130-9808-4086-AD95-2197447D7230}"/>
    <cellStyle name="Under Construction Flag" xfId="14340" xr:uid="{4E53C9CF-FEFF-4322-A74D-273E56F8AC56}"/>
    <cellStyle name="Under Construction Flag 2" xfId="14341" xr:uid="{0D956D82-3129-4B6D-933D-894444247C9B}"/>
    <cellStyle name="Under Construction Flag 3" xfId="14342" xr:uid="{DA245E2C-1DE2-4D17-9C50-8AABCBF3A736}"/>
    <cellStyle name="Unit" xfId="14343" xr:uid="{46FE699D-10A8-4F8B-8FBF-7DD5FE78F658}"/>
    <cellStyle name="UserInstructions" xfId="14344" xr:uid="{8F53E7FE-1978-4B8E-893E-F75AE00FC79C}"/>
    <cellStyle name="Utdata" xfId="14345" xr:uid="{8CD43C72-2265-4C4B-84DF-6B9725047EB0}"/>
    <cellStyle name="Utdata 10" xfId="14346" xr:uid="{AEAB0718-1C9E-4DEF-9C7F-EFC38E6AF0A6}"/>
    <cellStyle name="Utdata 10 2" xfId="14347" xr:uid="{7A9E0EE5-3BA7-4517-A3F5-131230239469}"/>
    <cellStyle name="Utdata 10 2 2" xfId="14348" xr:uid="{D668DDDE-833E-4B2B-9A53-D9792141535B}"/>
    <cellStyle name="Utdata 10 2 2 2" xfId="25534" xr:uid="{59A7843E-F169-4FAB-91D0-0E51AE1B1C72}"/>
    <cellStyle name="Utdata 10 2 3" xfId="14349" xr:uid="{8EB60720-AE1B-4F2A-9447-2C0E99B5AD9E}"/>
    <cellStyle name="Utdata 10 2 3 2" xfId="25535" xr:uid="{BA4BF132-D81E-463B-A94F-12F98C5B7770}"/>
    <cellStyle name="Utdata 10 2 4" xfId="25533" xr:uid="{22697CDF-427B-42FF-AC8B-E827B8278DE8}"/>
    <cellStyle name="Utdata 10 3" xfId="14350" xr:uid="{9B5B12FA-7171-4468-BF58-E3746051BDC1}"/>
    <cellStyle name="Utdata 10 3 2" xfId="25536" xr:uid="{935B54FA-57B9-412B-8682-E6F701B56CF4}"/>
    <cellStyle name="Utdata 10 4" xfId="14351" xr:uid="{63D4428B-63D1-43C0-898D-EC2518EA448C}"/>
    <cellStyle name="Utdata 10 4 2" xfId="25537" xr:uid="{033973FC-20CA-448E-BB0F-36D23FD8CC65}"/>
    <cellStyle name="Utdata 10 5" xfId="25532" xr:uid="{B8D0CCE7-29DB-4476-BDF0-232D317B8B8F}"/>
    <cellStyle name="Utdata 11" xfId="14352" xr:uid="{E7CF1206-930C-4320-AD74-83E2060188E2}"/>
    <cellStyle name="Utdata 11 2" xfId="14353" xr:uid="{0A976B5C-6D0F-4DC2-B5DE-D45D6A6BAC3D}"/>
    <cellStyle name="Utdata 11 2 2" xfId="14354" xr:uid="{EB0BC3DE-1760-46D3-B7B5-52791559B4A1}"/>
    <cellStyle name="Utdata 11 2 2 2" xfId="25540" xr:uid="{33895D62-25D1-4BAA-A3FC-11B02BB8B996}"/>
    <cellStyle name="Utdata 11 2 3" xfId="14355" xr:uid="{BF30C3AD-90D2-4B7A-91A5-73BC972F107C}"/>
    <cellStyle name="Utdata 11 2 3 2" xfId="25541" xr:uid="{4DE12F4D-FB07-433F-A884-22A4D434AAD4}"/>
    <cellStyle name="Utdata 11 2 4" xfId="25539" xr:uid="{D870FD53-97FA-40BD-AD03-AFD4AA2F96E5}"/>
    <cellStyle name="Utdata 11 3" xfId="14356" xr:uid="{B4D920EE-431E-4C32-A165-46EBB4BC5F1E}"/>
    <cellStyle name="Utdata 11 3 2" xfId="25542" xr:uid="{CAE22EF9-21F6-4BC8-8BD1-03EEC24970D8}"/>
    <cellStyle name="Utdata 11 4" xfId="14357" xr:uid="{9778EFAD-C4E5-4A00-9AF5-3E8E4A2DB72C}"/>
    <cellStyle name="Utdata 11 4 2" xfId="25543" xr:uid="{E54C8CC2-5487-4D52-87E7-887DDD8C2587}"/>
    <cellStyle name="Utdata 11 5" xfId="25538" xr:uid="{7D2F7B34-313D-4408-84F9-30C4F7F85533}"/>
    <cellStyle name="Utdata 12" xfId="14358" xr:uid="{681AD112-D79D-4400-BAE3-30170F1A9C0F}"/>
    <cellStyle name="Utdata 12 2" xfId="14359" xr:uid="{9C8C2886-57E9-4445-9F01-E5A37297E3BB}"/>
    <cellStyle name="Utdata 12 2 2" xfId="14360" xr:uid="{CE64753D-A55E-4FFE-8D83-C35D5ADD4568}"/>
    <cellStyle name="Utdata 12 2 2 2" xfId="25546" xr:uid="{D1C6206D-5F2C-4F68-B284-E117703FEDFA}"/>
    <cellStyle name="Utdata 12 2 3" xfId="14361" xr:uid="{23A389AD-1347-4F48-896B-5E29717259AD}"/>
    <cellStyle name="Utdata 12 2 3 2" xfId="25547" xr:uid="{71255B48-662D-4E67-A2B7-178F0ADD6481}"/>
    <cellStyle name="Utdata 12 2 4" xfId="25545" xr:uid="{95F3D8E6-3368-4195-B4E4-A82B7F439AD3}"/>
    <cellStyle name="Utdata 12 3" xfId="14362" xr:uid="{C8F55FF9-EEC8-462A-B4ED-7B6F9DC84955}"/>
    <cellStyle name="Utdata 12 3 2" xfId="25548" xr:uid="{E48CA10C-F7FD-4834-8370-341C81283EC5}"/>
    <cellStyle name="Utdata 12 4" xfId="14363" xr:uid="{080746F4-DDC4-4D0B-8ADC-660BB5E39F9F}"/>
    <cellStyle name="Utdata 12 4 2" xfId="25549" xr:uid="{871442D7-F049-4E29-8D1B-AC36980F0632}"/>
    <cellStyle name="Utdata 12 5" xfId="25544" xr:uid="{73443732-35A6-49FE-93E8-6342E5A35A55}"/>
    <cellStyle name="Utdata 13" xfId="14364" xr:uid="{AFF9A0A8-C9A6-42BA-8796-FAFCA437C292}"/>
    <cellStyle name="Utdata 13 2" xfId="14365" xr:uid="{6D50C73D-B98E-45EA-AB60-DB4035C7E921}"/>
    <cellStyle name="Utdata 13 2 2" xfId="14366" xr:uid="{1A072F01-85A3-44B9-8803-6EFAC4745193}"/>
    <cellStyle name="Utdata 13 2 2 2" xfId="25552" xr:uid="{874FD687-8C02-4B9D-A6FB-655F8B7252C6}"/>
    <cellStyle name="Utdata 13 2 3" xfId="14367" xr:uid="{8C9BD6E5-186F-4009-931D-12AD7F5EC3C0}"/>
    <cellStyle name="Utdata 13 2 3 2" xfId="25553" xr:uid="{9A1DBB32-9918-40C9-B674-D39A7ADF3D7F}"/>
    <cellStyle name="Utdata 13 2 4" xfId="25551" xr:uid="{55787DB8-343D-405E-96F7-2483BD06E624}"/>
    <cellStyle name="Utdata 13 3" xfId="14368" xr:uid="{0A83F1FE-0584-4417-B023-8C0FCB67BCE3}"/>
    <cellStyle name="Utdata 13 3 2" xfId="25554" xr:uid="{1E6CD268-126A-4F43-84B3-A1009A5E98CA}"/>
    <cellStyle name="Utdata 13 4" xfId="14369" xr:uid="{F69AAA8C-A9DC-4BA6-8CE9-2B5D359D46BE}"/>
    <cellStyle name="Utdata 13 4 2" xfId="25555" xr:uid="{D27B70AD-5473-42F4-BA7E-41A6131C00F7}"/>
    <cellStyle name="Utdata 13 5" xfId="25550" xr:uid="{F9772D4E-ABBE-47B7-94E8-D9697D32D204}"/>
    <cellStyle name="Utdata 14" xfId="14370" xr:uid="{2CB124AF-A2AF-4808-A6AB-4DA812FBA986}"/>
    <cellStyle name="Utdata 14 2" xfId="14371" xr:uid="{92B4ED55-7A52-4EED-B494-2FFBB0EE377C}"/>
    <cellStyle name="Utdata 14 2 2" xfId="14372" xr:uid="{7655EFA0-EC98-4073-8F94-9672107BECC3}"/>
    <cellStyle name="Utdata 14 2 2 2" xfId="25558" xr:uid="{0DCF9311-CC54-473C-A427-46267AAD2202}"/>
    <cellStyle name="Utdata 14 2 3" xfId="14373" xr:uid="{64E99190-B26B-4D21-B45B-27B82A52EB3C}"/>
    <cellStyle name="Utdata 14 2 3 2" xfId="25559" xr:uid="{4E864C12-F7D8-41C1-AE3B-EEE5EE46A005}"/>
    <cellStyle name="Utdata 14 2 4" xfId="25557" xr:uid="{4A9B9AFA-E778-4054-AC64-613E8CDB4CB5}"/>
    <cellStyle name="Utdata 14 3" xfId="14374" xr:uid="{C519C539-066F-4F93-936F-FEBF0E180ABD}"/>
    <cellStyle name="Utdata 14 3 2" xfId="25560" xr:uid="{9AE0A27B-6553-4594-A8EE-1FB826D34DB7}"/>
    <cellStyle name="Utdata 14 4" xfId="14375" xr:uid="{3E2A03E2-6AFD-41A3-9B5B-2FA76D9C05B6}"/>
    <cellStyle name="Utdata 14 4 2" xfId="25561" xr:uid="{DF9F0138-6EFD-42EE-9290-8D0E43546CEC}"/>
    <cellStyle name="Utdata 14 5" xfId="25556" xr:uid="{CACB054E-358F-4358-9CB8-58D8BA61A75F}"/>
    <cellStyle name="Utdata 15" xfId="14376" xr:uid="{42EACFA7-B232-45B9-BE3A-F68822461270}"/>
    <cellStyle name="Utdata 15 2" xfId="14377" xr:uid="{BA0F3889-8482-4A32-BC56-10A1DCD5989E}"/>
    <cellStyle name="Utdata 15 2 2" xfId="14378" xr:uid="{56160C52-1FD2-47DA-9EDE-FAD1F2C9786A}"/>
    <cellStyle name="Utdata 15 2 2 2" xfId="25564" xr:uid="{74406201-5FA8-42D0-A10B-B8092E5C5A43}"/>
    <cellStyle name="Utdata 15 2 3" xfId="14379" xr:uid="{BEDE6B1B-03D2-4754-BA57-DD78DBD86CAA}"/>
    <cellStyle name="Utdata 15 2 3 2" xfId="25565" xr:uid="{7CEEE2D5-6E8C-4CDD-9537-4ED55F71DA24}"/>
    <cellStyle name="Utdata 15 2 4" xfId="25563" xr:uid="{68F59DC3-3EAB-40C9-AAFD-1A1C0525058B}"/>
    <cellStyle name="Utdata 15 3" xfId="14380" xr:uid="{FA8E2FFC-455B-4F39-A6B6-B4AD6E0FDD59}"/>
    <cellStyle name="Utdata 15 3 2" xfId="25566" xr:uid="{83EDD35D-C4E3-42C7-9010-2ECDBA64C39F}"/>
    <cellStyle name="Utdata 15 4" xfId="14381" xr:uid="{B1292846-0A22-4ABB-A3ED-93D676507716}"/>
    <cellStyle name="Utdata 15 4 2" xfId="25567" xr:uid="{95D141A6-439C-4E01-8A4D-5CF6938BE1F0}"/>
    <cellStyle name="Utdata 15 5" xfId="25562" xr:uid="{55715A63-DC83-47CE-A0F0-A5C2E922F99C}"/>
    <cellStyle name="Utdata 16" xfId="14382" xr:uid="{6CA8E53F-C43E-41B5-B926-7FFFD3D01C0D}"/>
    <cellStyle name="Utdata 16 2" xfId="25568" xr:uid="{CAF66ABD-1297-48A3-9F43-F5805C1BABDC}"/>
    <cellStyle name="Utdata 17" xfId="14383" xr:uid="{A5D5A317-8393-40D7-800C-42A9A070AF8F}"/>
    <cellStyle name="Utdata 17 2" xfId="25569" xr:uid="{FA85ADB1-64EB-404E-B1A4-9C4F3BCCE32A}"/>
    <cellStyle name="Utdata 18" xfId="14384" xr:uid="{2607BB1D-F5CF-4F96-926A-5ADF06E434F3}"/>
    <cellStyle name="Utdata 18 2" xfId="25570" xr:uid="{434CB290-60B6-4E1D-AABD-1E89432A4A63}"/>
    <cellStyle name="Utdata 19" xfId="14385" xr:uid="{8EDC0CA9-2473-4EC6-A079-787331686C4A}"/>
    <cellStyle name="Utdata 19 2" xfId="25571" xr:uid="{5CD59732-7CA3-4A01-BB4E-8A950B791B51}"/>
    <cellStyle name="Utdata 2" xfId="14386" xr:uid="{6FEEFBA3-9105-4EA6-B9CB-C4F1F9789469}"/>
    <cellStyle name="Utdata 2 2" xfId="14387" xr:uid="{4E3DF6B5-7FC8-424C-BC25-EAAD9B5AE0F6}"/>
    <cellStyle name="Utdata 2 2 2" xfId="14388" xr:uid="{064EC6E8-AE0F-4376-925A-F40CAEE70397}"/>
    <cellStyle name="Utdata 2 2 2 2" xfId="25574" xr:uid="{4516BD24-C4BF-470F-97D3-1D109AAF9D5B}"/>
    <cellStyle name="Utdata 2 2 3" xfId="14389" xr:uid="{DE93EDAB-28A3-4A4B-AB7D-612E6204E1F1}"/>
    <cellStyle name="Utdata 2 2 3 2" xfId="25575" xr:uid="{2D772599-7CB4-4894-92A8-93E9625924B9}"/>
    <cellStyle name="Utdata 2 2 4" xfId="25573" xr:uid="{4720C5F1-EFA1-4108-B5E5-2F7025A085EE}"/>
    <cellStyle name="Utdata 2 3" xfId="14390" xr:uid="{83F3CAA4-C330-4926-87C5-D676BC8E17BF}"/>
    <cellStyle name="Utdata 2 3 2" xfId="25576" xr:uid="{463C63C5-0478-417E-B93F-EB7529C3DC2E}"/>
    <cellStyle name="Utdata 2 4" xfId="14391" xr:uid="{3494EE6E-A8B7-4695-8C20-9AD556BEF8EB}"/>
    <cellStyle name="Utdata 2 4 2" xfId="25577" xr:uid="{1038737F-3125-4F29-B1D6-9F9EDCECD1E3}"/>
    <cellStyle name="Utdata 2 5" xfId="25572" xr:uid="{172BD934-A6E2-43DD-9EAB-936E029ED427}"/>
    <cellStyle name="Utdata 20" xfId="15246" xr:uid="{14748BBC-9C18-44E3-941B-3421ABBC2877}"/>
    <cellStyle name="Utdata 3" xfId="14392" xr:uid="{44274C34-C6ED-4C14-93C0-0D75408B1760}"/>
    <cellStyle name="Utdata 3 2" xfId="14393" xr:uid="{E93022EE-BAA7-43FC-ADEC-0762DE28D53F}"/>
    <cellStyle name="Utdata 3 2 2" xfId="14394" xr:uid="{ED391A95-960A-4791-9268-891B394D56DA}"/>
    <cellStyle name="Utdata 3 2 2 2" xfId="25580" xr:uid="{9E3A248D-E28F-4F9F-82F0-B460528736E4}"/>
    <cellStyle name="Utdata 3 2 3" xfId="14395" xr:uid="{AE43E518-6792-46BB-B1DB-5725539DFE5D}"/>
    <cellStyle name="Utdata 3 2 3 2" xfId="25581" xr:uid="{FD1BAE6E-0E60-4356-8B39-6F28C22B226E}"/>
    <cellStyle name="Utdata 3 2 4" xfId="25579" xr:uid="{D965415E-6ABF-4B57-BA22-F999D3A8DBEF}"/>
    <cellStyle name="Utdata 3 3" xfId="14396" xr:uid="{2AF19875-3175-40FA-B3AA-7B62550FCF21}"/>
    <cellStyle name="Utdata 3 3 2" xfId="25582" xr:uid="{ED531355-DF9F-4104-A496-9FC40352983A}"/>
    <cellStyle name="Utdata 3 4" xfId="14397" xr:uid="{1825AAB1-0242-4C68-96F5-24EA3CDAA21E}"/>
    <cellStyle name="Utdata 3 4 2" xfId="25583" xr:uid="{CE8FF912-82E7-4E6A-AC84-6CDD8FE9E847}"/>
    <cellStyle name="Utdata 3 5" xfId="25578" xr:uid="{EDF9E266-4672-4B55-B804-6582E63BE3CA}"/>
    <cellStyle name="Utdata 4" xfId="14398" xr:uid="{638BEF95-1491-4DB9-B2F0-B8080A2C1A17}"/>
    <cellStyle name="Utdata 4 2" xfId="14399" xr:uid="{F7440C47-6D6C-4D9A-A8BB-1F200FBC7306}"/>
    <cellStyle name="Utdata 4 2 2" xfId="14400" xr:uid="{F4A5B905-E5B7-4C1E-8278-14E68D9F57F8}"/>
    <cellStyle name="Utdata 4 2 2 2" xfId="25586" xr:uid="{A3BCB53A-550C-40B3-9940-49ED94C2A7E0}"/>
    <cellStyle name="Utdata 4 2 3" xfId="14401" xr:uid="{29B71225-5643-4B82-B771-3DEC8925E8DC}"/>
    <cellStyle name="Utdata 4 2 3 2" xfId="25587" xr:uid="{1BFF623A-F0D9-4D89-BEFD-E3C1E5DCEDB8}"/>
    <cellStyle name="Utdata 4 2 4" xfId="25585" xr:uid="{D3804148-38D2-42E2-9A07-964BB59D32AF}"/>
    <cellStyle name="Utdata 4 3" xfId="14402" xr:uid="{D08AA95F-241B-4AD3-8713-A0F234B3B910}"/>
    <cellStyle name="Utdata 4 3 2" xfId="25588" xr:uid="{CA420AFD-9A34-44B2-BE2A-6EFE710C96F8}"/>
    <cellStyle name="Utdata 4 4" xfId="14403" xr:uid="{523E1ED2-D669-4F0D-A4A3-6AFBC10F97C6}"/>
    <cellStyle name="Utdata 4 4 2" xfId="25589" xr:uid="{391B2D05-CFFD-4CD3-B4CC-605284BDFAD5}"/>
    <cellStyle name="Utdata 4 5" xfId="25584" xr:uid="{E449EE7D-7528-4DA2-800F-D314BCA45FCF}"/>
    <cellStyle name="Utdata 5" xfId="14404" xr:uid="{B28E369B-1E2C-4DC2-9D3F-8FBFE35A7091}"/>
    <cellStyle name="Utdata 5 2" xfId="14405" xr:uid="{456A1964-D52D-4574-95C3-A45C745A9408}"/>
    <cellStyle name="Utdata 5 2 2" xfId="14406" xr:uid="{B3AA5DF1-1972-4B00-A4FD-901F86B504F8}"/>
    <cellStyle name="Utdata 5 2 2 2" xfId="25592" xr:uid="{BA5ADA64-2D15-4D3E-9E46-C8C68D75C11D}"/>
    <cellStyle name="Utdata 5 2 3" xfId="14407" xr:uid="{AE8E3C86-7B2F-4901-92C3-5281C61B9D9F}"/>
    <cellStyle name="Utdata 5 2 3 2" xfId="25593" xr:uid="{E1026E05-D08A-4438-BC06-758E1CF2C8CC}"/>
    <cellStyle name="Utdata 5 2 4" xfId="25591" xr:uid="{25280743-4F9C-4FCD-8C72-A176BAFDADC9}"/>
    <cellStyle name="Utdata 5 3" xfId="14408" xr:uid="{476A5436-947E-4472-AB1A-EE05B0993568}"/>
    <cellStyle name="Utdata 5 3 2" xfId="25594" xr:uid="{8F8EAF17-8244-4F26-8716-A6CB9E4579D7}"/>
    <cellStyle name="Utdata 5 4" xfId="14409" xr:uid="{6D20C1BD-871B-46A7-9224-7E71A8FD6CFF}"/>
    <cellStyle name="Utdata 5 4 2" xfId="25595" xr:uid="{4395D047-DE04-49DB-82E5-C161E8F1439F}"/>
    <cellStyle name="Utdata 5 5" xfId="25590" xr:uid="{2B53FEED-43FF-4895-8689-032F16D0FBA0}"/>
    <cellStyle name="Utdata 6" xfId="14410" xr:uid="{C41A5E6E-FFBE-4C47-84CA-32FCE1B3E462}"/>
    <cellStyle name="Utdata 6 2" xfId="14411" xr:uid="{BCC9BE37-6F1D-4952-A92B-6B8C922610EC}"/>
    <cellStyle name="Utdata 6 2 2" xfId="14412" xr:uid="{F2AE2BD3-A07E-4FE5-A328-1E8C7A0AF334}"/>
    <cellStyle name="Utdata 6 2 2 2" xfId="25598" xr:uid="{37B77FCD-86A9-4A35-A155-B4314326C15B}"/>
    <cellStyle name="Utdata 6 2 3" xfId="14413" xr:uid="{212A1803-3B6E-42D3-92AF-9F448513C337}"/>
    <cellStyle name="Utdata 6 2 3 2" xfId="25599" xr:uid="{088D8E84-50B0-4810-9A76-32F99055E2FD}"/>
    <cellStyle name="Utdata 6 2 4" xfId="25597" xr:uid="{89651A5A-54F2-41F3-91BA-99226A361440}"/>
    <cellStyle name="Utdata 6 3" xfId="14414" xr:uid="{B0A5CE53-1DE2-4B9F-B292-3C534B8EC9F8}"/>
    <cellStyle name="Utdata 6 3 2" xfId="25600" xr:uid="{B13CCCC0-C690-4022-84DC-61611E87F4BC}"/>
    <cellStyle name="Utdata 6 4" xfId="14415" xr:uid="{DE24A7C9-4BBC-4100-9171-6D00261932D7}"/>
    <cellStyle name="Utdata 6 4 2" xfId="25601" xr:uid="{B4DB07FC-D417-4E50-9612-5B1409E41AC0}"/>
    <cellStyle name="Utdata 6 5" xfId="25596" xr:uid="{1FEEF102-4443-41EE-880C-8A550C594B27}"/>
    <cellStyle name="Utdata 7" xfId="14416" xr:uid="{7808AF25-6817-47D1-B266-DBB865CB8718}"/>
    <cellStyle name="Utdata 7 2" xfId="14417" xr:uid="{B03F5D8B-336E-4187-800E-7EA793F38CD0}"/>
    <cellStyle name="Utdata 7 2 2" xfId="14418" xr:uid="{36496E1D-D8F7-4002-808D-B85092963CD8}"/>
    <cellStyle name="Utdata 7 2 2 2" xfId="25604" xr:uid="{0B4AD382-CD04-40DD-B503-65519851E725}"/>
    <cellStyle name="Utdata 7 2 3" xfId="14419" xr:uid="{9A361B79-447B-433D-815A-7AEB1FF97D14}"/>
    <cellStyle name="Utdata 7 2 3 2" xfId="25605" xr:uid="{2661E113-4B0B-4195-B727-36E9A1D971A2}"/>
    <cellStyle name="Utdata 7 2 4" xfId="25603" xr:uid="{548CD85D-CA19-4AD5-8103-3ED4904A51DC}"/>
    <cellStyle name="Utdata 7 3" xfId="14420" xr:uid="{53E48E5A-1FE9-4AEF-826B-1F008A95FCAE}"/>
    <cellStyle name="Utdata 7 3 2" xfId="25606" xr:uid="{48EC66C3-D6F8-4779-8797-500EF5E11525}"/>
    <cellStyle name="Utdata 7 4" xfId="14421" xr:uid="{2A76297A-D008-4E4D-A669-F28716A2276A}"/>
    <cellStyle name="Utdata 7 4 2" xfId="25607" xr:uid="{40FEA610-6B2C-4767-8AC9-7E164BE241E3}"/>
    <cellStyle name="Utdata 7 5" xfId="25602" xr:uid="{C649665A-3E46-4622-AB00-8EF6E282DEA8}"/>
    <cellStyle name="Utdata 8" xfId="14422" xr:uid="{5E1761C3-4308-4AEB-9210-DC762DD1F0FC}"/>
    <cellStyle name="Utdata 8 2" xfId="14423" xr:uid="{1DC3E6F6-B719-46D0-85CE-D2BA52683485}"/>
    <cellStyle name="Utdata 8 2 2" xfId="14424" xr:uid="{73E7B9CB-9824-4E28-B027-EB78D7564FB9}"/>
    <cellStyle name="Utdata 8 2 2 2" xfId="25610" xr:uid="{267C51F7-BD66-448E-A22C-688E7F907812}"/>
    <cellStyle name="Utdata 8 2 3" xfId="14425" xr:uid="{819677B9-D2A2-4AAE-AF1A-BCDDA0A9EED2}"/>
    <cellStyle name="Utdata 8 2 3 2" xfId="25611" xr:uid="{B44F96A3-393A-4674-BC4E-73800014BA9B}"/>
    <cellStyle name="Utdata 8 2 4" xfId="25609" xr:uid="{C9CF742F-2F7E-4FA6-ACC5-BBC88DAA341E}"/>
    <cellStyle name="Utdata 8 3" xfId="14426" xr:uid="{C5D4DAD4-A9D4-4156-985F-90EBFDF247B6}"/>
    <cellStyle name="Utdata 8 3 2" xfId="25612" xr:uid="{E7E2229A-893B-4EB3-A8BE-44E097B10D07}"/>
    <cellStyle name="Utdata 8 4" xfId="14427" xr:uid="{46B98EF8-4B1A-42F7-BFAE-8817A1F2A5AB}"/>
    <cellStyle name="Utdata 8 4 2" xfId="25613" xr:uid="{B6870C19-DE2C-4B63-B4AA-FD2457F0EE70}"/>
    <cellStyle name="Utdata 8 5" xfId="25608" xr:uid="{6BEF16EE-8F5B-468E-9789-902172890653}"/>
    <cellStyle name="Utdata 9" xfId="14428" xr:uid="{C856D93D-38F5-4526-B027-4D419008A166}"/>
    <cellStyle name="Utdata 9 2" xfId="14429" xr:uid="{3E5FB351-17F7-4210-BA34-92AE75979B42}"/>
    <cellStyle name="Utdata 9 2 2" xfId="14430" xr:uid="{CC7F6634-5E93-44DD-AAB3-28580B16EDEC}"/>
    <cellStyle name="Utdata 9 2 2 2" xfId="25616" xr:uid="{8703C580-5123-4E04-9345-C1E0D4401D9F}"/>
    <cellStyle name="Utdata 9 2 3" xfId="14431" xr:uid="{EDA8CBB9-C188-47DB-9C00-C65462456CCC}"/>
    <cellStyle name="Utdata 9 2 3 2" xfId="25617" xr:uid="{DCFF0FA9-4229-4CCB-8E05-8A91052A3AC2}"/>
    <cellStyle name="Utdata 9 2 4" xfId="25615" xr:uid="{B38B9EB0-9984-4DBD-A512-857F9F496D80}"/>
    <cellStyle name="Utdata 9 3" xfId="14432" xr:uid="{2F595C25-2AF0-429C-A967-8A394688DB6B}"/>
    <cellStyle name="Utdata 9 3 2" xfId="25618" xr:uid="{54442110-AE8B-4433-A459-3368571036E4}"/>
    <cellStyle name="Utdata 9 4" xfId="14433" xr:uid="{1B0BF747-D00C-4900-9547-AD9670929955}"/>
    <cellStyle name="Utdata 9 4 2" xfId="25619" xr:uid="{17BF78A5-B8DA-451B-9E75-53F452FBA170}"/>
    <cellStyle name="Utdata 9 5" xfId="25614" xr:uid="{67F59E80-06B2-43CC-9796-F573902A2319}"/>
    <cellStyle name="Utdata_PGM_CHECK" xfId="14909" xr:uid="{84EFBD5E-1FC4-455F-A182-F0C41E508E9B}"/>
    <cellStyle name="Uwaga" xfId="14434" xr:uid="{43919DDD-C866-48E3-970D-130A115CD968}"/>
    <cellStyle name="Uwaga 2" xfId="14435" xr:uid="{DAD5267B-AC66-4474-B26B-C23B90001DBC}"/>
    <cellStyle name="Uwaga 2 2" xfId="14436" xr:uid="{715DB074-89B3-41FD-AB40-3DDDB7419F1E}"/>
    <cellStyle name="Uwaga 2 2 2" xfId="25622" xr:uid="{48C18E86-AF1C-4C81-ABDC-B179BC1B7155}"/>
    <cellStyle name="Uwaga 2 3" xfId="14437" xr:uid="{D4C225AE-210B-4BFF-807D-AD10250B9FDA}"/>
    <cellStyle name="Uwaga 2 3 2" xfId="25623" xr:uid="{39C86CE9-84F2-4246-9004-5AA1B8C430E7}"/>
    <cellStyle name="Uwaga 2 4" xfId="25621" xr:uid="{6D65AE06-F358-4931-A0D6-E45ADD2F6BAE}"/>
    <cellStyle name="Uwaga 3" xfId="14438" xr:uid="{B670546F-B9F3-4542-AF5F-B412C3687531}"/>
    <cellStyle name="Uwaga 3 2" xfId="14439" xr:uid="{3F96D93F-F3D8-4626-934A-D576E283CA44}"/>
    <cellStyle name="Uwaga 3 2 2" xfId="25625" xr:uid="{BAE84FC8-6EE8-404C-8A21-3576FD04C36F}"/>
    <cellStyle name="Uwaga 3 3" xfId="14440" xr:uid="{3C7376B2-EFAD-4231-9DAD-75A79C834171}"/>
    <cellStyle name="Uwaga 3 3 2" xfId="25626" xr:uid="{2CC810C3-B62A-4AEE-8CC6-26F5DB68C0C9}"/>
    <cellStyle name="Uwaga 3 4" xfId="25624" xr:uid="{3D950072-B634-49BA-9E6D-DEF41AA6DAB0}"/>
    <cellStyle name="Uwaga 4" xfId="14441" xr:uid="{B8084FC7-D6F3-43EF-969B-999FAB1F5779}"/>
    <cellStyle name="Uwaga 4 2" xfId="25627" xr:uid="{D68B1A5D-9960-40AF-A5AB-81467CFDA646}"/>
    <cellStyle name="Uwaga 5" xfId="14442" xr:uid="{6F5FAFA0-9A9D-4F98-80DD-11EE2C37614A}"/>
    <cellStyle name="Uwaga 5 2" xfId="25628" xr:uid="{6937DCEF-5BFC-4668-AF19-CCCF12DC52FE}"/>
    <cellStyle name="Uwaga 6" xfId="25620" xr:uid="{6A3F99A6-6388-47A4-B3E0-9DDD7C0EA6EC}"/>
    <cellStyle name="Väljund" xfId="14443" xr:uid="{B1CE82A9-51F1-4CD1-8D80-D13014F8A8BA}"/>
    <cellStyle name="Väljund 10" xfId="14444" xr:uid="{9C154D78-D1DD-4960-8542-3E5F42EAB2BB}"/>
    <cellStyle name="Väljund 10 2" xfId="14445" xr:uid="{0330EBA6-58BF-4527-9F93-40CDA9D24602}"/>
    <cellStyle name="Väljund 10 2 2" xfId="14446" xr:uid="{F32BBF6E-64FD-4C30-BB36-C657ACA1F100}"/>
    <cellStyle name="Väljund 10 2 2 2" xfId="25631" xr:uid="{C6483D88-A1E2-4C11-A11D-07CB2508FD13}"/>
    <cellStyle name="Väljund 10 2 3" xfId="14447" xr:uid="{DC6487D3-BEC5-4530-A351-4E5D12ACC4BF}"/>
    <cellStyle name="Väljund 10 2 3 2" xfId="25632" xr:uid="{42A73461-C2C3-4027-98E0-9013A33C82A0}"/>
    <cellStyle name="Väljund 10 2 4" xfId="25630" xr:uid="{367B25A1-9357-4B62-8C4F-E41033F88166}"/>
    <cellStyle name="Väljund 10 3" xfId="14448" xr:uid="{AAEF181D-C44E-4615-903B-30F1EF9B2408}"/>
    <cellStyle name="Väljund 10 3 2" xfId="25633" xr:uid="{3BD74604-D48F-4F6C-87C8-4D97BE3CF62A}"/>
    <cellStyle name="Väljund 10 4" xfId="14449" xr:uid="{61FB62D3-2BC2-4021-84C3-73C9498350B6}"/>
    <cellStyle name="Väljund 10 4 2" xfId="25634" xr:uid="{6A3B25B2-4B9F-44DB-AA88-22520D8C7C97}"/>
    <cellStyle name="Väljund 10 5" xfId="25629" xr:uid="{0040043B-9F4E-4B4F-A2D3-94B10ADDA5D4}"/>
    <cellStyle name="Väljund 11" xfId="14450" xr:uid="{3B20916D-F49A-4EBB-956D-B36DEB3FEC3F}"/>
    <cellStyle name="Väljund 11 2" xfId="14451" xr:uid="{2EF45FBB-4394-440C-8C80-F649ABEE236E}"/>
    <cellStyle name="Väljund 11 2 2" xfId="14452" xr:uid="{512CD1C7-2A41-49D6-BD5B-9E6B03E481DE}"/>
    <cellStyle name="Väljund 11 2 2 2" xfId="25637" xr:uid="{433763BC-55DF-4320-B000-ADA488EA88DA}"/>
    <cellStyle name="Väljund 11 2 3" xfId="14453" xr:uid="{68283D70-844B-4F2D-B1F9-E88883A4EFF0}"/>
    <cellStyle name="Väljund 11 2 3 2" xfId="25638" xr:uid="{402D09EC-5D36-4C50-8F03-9DC9EEB60AF3}"/>
    <cellStyle name="Väljund 11 2 4" xfId="25636" xr:uid="{FB7B96A5-DEE4-4DDC-9FF0-C735FF2E1978}"/>
    <cellStyle name="Väljund 11 3" xfId="14454" xr:uid="{AA8D1869-8535-41E3-A851-954A256329B0}"/>
    <cellStyle name="Väljund 11 3 2" xfId="25639" xr:uid="{B47F7611-1D38-41BC-A544-99AC54FE68C6}"/>
    <cellStyle name="Väljund 11 4" xfId="14455" xr:uid="{F36B12AB-F465-4CC6-B636-C95185F71086}"/>
    <cellStyle name="Väljund 11 4 2" xfId="25640" xr:uid="{0D0C30FC-1749-4FFA-9D4C-9391D7BB8BF8}"/>
    <cellStyle name="Väljund 11 5" xfId="25635" xr:uid="{8D6E0498-37CA-4548-B8BA-4F60F6F8181B}"/>
    <cellStyle name="Väljund 12" xfId="14456" xr:uid="{B1B74BB6-88A8-4E15-8438-90046AABD716}"/>
    <cellStyle name="Väljund 12 2" xfId="14457" xr:uid="{B734D169-87B3-46C0-9CC5-A0301D79907A}"/>
    <cellStyle name="Väljund 12 2 2" xfId="14458" xr:uid="{AD85D450-F768-47A4-930B-1A5E07956C2E}"/>
    <cellStyle name="Väljund 12 2 2 2" xfId="25643" xr:uid="{45703415-7C6A-4D67-82B0-83F9C1FA9D87}"/>
    <cellStyle name="Väljund 12 2 3" xfId="14459" xr:uid="{007C0664-1C12-4263-BAB8-DE4860DD7360}"/>
    <cellStyle name="Väljund 12 2 3 2" xfId="25644" xr:uid="{F0809642-F5F5-415D-8792-616EE5E081F2}"/>
    <cellStyle name="Väljund 12 2 4" xfId="25642" xr:uid="{934D8E4E-1AF1-402F-9CD3-FE8A761C2945}"/>
    <cellStyle name="Väljund 12 3" xfId="14460" xr:uid="{C5EF557C-AC05-46B0-9E34-BA482E4C7FB1}"/>
    <cellStyle name="Väljund 12 3 2" xfId="25645" xr:uid="{99C62DBC-B7DC-43C9-8D8E-8D34F599F188}"/>
    <cellStyle name="Väljund 12 4" xfId="14461" xr:uid="{58CAFB1F-86F6-43D7-A990-17D94FAC3EFC}"/>
    <cellStyle name="Väljund 12 4 2" xfId="25646" xr:uid="{0D803922-38DB-4BC2-A9B7-78EEB6419DA9}"/>
    <cellStyle name="Väljund 12 5" xfId="25641" xr:uid="{BF78A606-466B-4AD6-A815-B0C2C5ED6FDC}"/>
    <cellStyle name="Väljund 13" xfId="14462" xr:uid="{5D3C5D17-8E3C-4818-82C6-71DB4A8B29A9}"/>
    <cellStyle name="Väljund 13 2" xfId="14463" xr:uid="{687DDB8E-F0E6-4145-BF96-E7693CF125F0}"/>
    <cellStyle name="Väljund 13 2 2" xfId="14464" xr:uid="{37C5B60C-A871-4A63-9883-A9FFF1214B28}"/>
    <cellStyle name="Väljund 13 2 2 2" xfId="25649" xr:uid="{03C9EE56-C5CF-4EEE-AE45-795E6FFEC70B}"/>
    <cellStyle name="Väljund 13 2 3" xfId="14465" xr:uid="{01AECA5C-7A65-43DF-BB2E-6BA45E1A24C6}"/>
    <cellStyle name="Väljund 13 2 3 2" xfId="25650" xr:uid="{79DDC140-65DE-4BD3-A86C-638DE48750F2}"/>
    <cellStyle name="Väljund 13 2 4" xfId="25648" xr:uid="{447BD5CC-82C3-48EE-9E07-D9E858A3C877}"/>
    <cellStyle name="Väljund 13 3" xfId="14466" xr:uid="{9DC3A5F1-8E96-42BC-9925-8A8F262F4138}"/>
    <cellStyle name="Väljund 13 3 2" xfId="25651" xr:uid="{44584CE0-555D-4EFF-96EF-0C5D0570841A}"/>
    <cellStyle name="Väljund 13 4" xfId="14467" xr:uid="{D0D19411-4A01-4D5E-9EA4-94DFD822503B}"/>
    <cellStyle name="Väljund 13 4 2" xfId="25652" xr:uid="{8E53EAE3-C927-4AB2-AD91-3D6D33C6F058}"/>
    <cellStyle name="Väljund 13 5" xfId="25647" xr:uid="{74B22A74-44B4-462D-89A7-9686183E1280}"/>
    <cellStyle name="Väljund 14" xfId="14468" xr:uid="{0365C8CE-4972-4B39-ACE9-F03AFF3E8CB0}"/>
    <cellStyle name="Väljund 14 2" xfId="14469" xr:uid="{65747578-B056-4E89-A24F-60116761B894}"/>
    <cellStyle name="Väljund 14 2 2" xfId="14470" xr:uid="{582201B8-A6FF-4262-9B4A-8D0E535C37D7}"/>
    <cellStyle name="Väljund 14 2 2 2" xfId="25655" xr:uid="{5EC5CFC9-2859-40B2-9C47-7C6FEC060FC0}"/>
    <cellStyle name="Väljund 14 2 3" xfId="14471" xr:uid="{9E29225D-29CA-4CBC-AC9F-956888B28495}"/>
    <cellStyle name="Väljund 14 2 3 2" xfId="25656" xr:uid="{8CB46C08-97D6-44D2-B2BA-18AE0301B3AD}"/>
    <cellStyle name="Väljund 14 2 4" xfId="25654" xr:uid="{58B0A1D0-3D3A-4AE0-94CE-069758A691AE}"/>
    <cellStyle name="Väljund 14 3" xfId="14472" xr:uid="{83F1F74C-D0BE-43B9-92B9-E669D0DC71B8}"/>
    <cellStyle name="Väljund 14 3 2" xfId="25657" xr:uid="{7E0DED62-A036-4406-BC92-47517E7154F6}"/>
    <cellStyle name="Väljund 14 4" xfId="14473" xr:uid="{918254C9-91D9-417D-B5BD-C97938E0ED9C}"/>
    <cellStyle name="Väljund 14 4 2" xfId="25658" xr:uid="{3C2DF166-50AF-4A27-BB60-555F57A84632}"/>
    <cellStyle name="Väljund 14 5" xfId="25653" xr:uid="{33C04CF5-88DC-4AEB-A2F8-5A039AB2B15F}"/>
    <cellStyle name="Väljund 15" xfId="14474" xr:uid="{4EF672EC-9BED-4149-B3B6-F96D8D9081CA}"/>
    <cellStyle name="Väljund 15 2" xfId="14475" xr:uid="{1EFDA84A-CF1C-45E3-98CC-477C5CA6C671}"/>
    <cellStyle name="Väljund 15 2 2" xfId="14476" xr:uid="{32EE2610-5409-42F6-B4A0-D787719B48AE}"/>
    <cellStyle name="Väljund 15 2 2 2" xfId="25661" xr:uid="{9A0E78B8-6604-4CD9-ACDA-CBF4A3946EC4}"/>
    <cellStyle name="Väljund 15 2 3" xfId="14477" xr:uid="{47778B57-2E63-46D5-B32C-F739743272A9}"/>
    <cellStyle name="Väljund 15 2 3 2" xfId="25662" xr:uid="{C415341D-0D5F-4A00-87F8-D8A2D111C308}"/>
    <cellStyle name="Väljund 15 2 4" xfId="25660" xr:uid="{A5D59722-FF35-4C66-A3F5-466B34C96455}"/>
    <cellStyle name="Väljund 15 3" xfId="14478" xr:uid="{01430B45-C66C-40DB-BEE9-A753475975F3}"/>
    <cellStyle name="Väljund 15 3 2" xfId="25663" xr:uid="{9FFCB084-8AF3-4573-AEE0-B6DB88DC3057}"/>
    <cellStyle name="Väljund 15 4" xfId="14479" xr:uid="{3A4C718F-CA60-4EEC-A14B-63578FD4ADA1}"/>
    <cellStyle name="Väljund 15 4 2" xfId="25664" xr:uid="{3A4BC184-2494-4A69-9704-F71217983C7E}"/>
    <cellStyle name="Väljund 15 5" xfId="25659" xr:uid="{4169D69A-9E59-40E7-9702-66C9241F9519}"/>
    <cellStyle name="Väljund 16" xfId="14480" xr:uid="{BE3A09DF-1590-4066-8877-0D50E3A2BC12}"/>
    <cellStyle name="Väljund 16 2" xfId="14481" xr:uid="{0919B9C7-36EE-462D-84B6-D55E0F24C980}"/>
    <cellStyle name="Väljund 16 2 2" xfId="25666" xr:uid="{518C8E94-CE9A-4DDA-B887-B6EBFE20F288}"/>
    <cellStyle name="Väljund 16 3" xfId="14482" xr:uid="{712E25AC-8963-456C-B60B-8FCF2935E49F}"/>
    <cellStyle name="Väljund 16 3 2" xfId="25667" xr:uid="{BB7AB9DC-F73E-4122-9581-5AADE20CD568}"/>
    <cellStyle name="Väljund 16 4" xfId="25665" xr:uid="{EA7F508A-8746-45D2-BB16-D687F2711C92}"/>
    <cellStyle name="Väljund 17" xfId="14483" xr:uid="{BA924E7D-0A8F-401D-922A-146EF5A88A80}"/>
    <cellStyle name="Väljund 17 2" xfId="25668" xr:uid="{F4EAF9E1-FB7C-4C51-9CA9-F6263702B358}"/>
    <cellStyle name="Väljund 18" xfId="14484" xr:uid="{0FD6CCE0-1EBE-45D4-BB08-65367636756A}"/>
    <cellStyle name="Väljund 18 2" xfId="25669" xr:uid="{03EC4C03-BD60-48A6-BC14-52B075857558}"/>
    <cellStyle name="Väljund 19" xfId="14485" xr:uid="{1C6CE60D-A1D5-4804-A181-3F682A34578C}"/>
    <cellStyle name="Väljund 19 2" xfId="25670" xr:uid="{A91B1870-A9F1-4F94-B010-D1A76F653F86}"/>
    <cellStyle name="Väljund 2" xfId="14486" xr:uid="{5CEE947A-E66C-4985-A86B-E900DC12F937}"/>
    <cellStyle name="Väljund 2 2" xfId="14487" xr:uid="{2F04C5BF-0FCF-4DCA-B99A-AB77539687B8}"/>
    <cellStyle name="Väljund 2 2 2" xfId="14488" xr:uid="{9170F269-081B-4647-AF66-166079BBBE2C}"/>
    <cellStyle name="Väljund 2 2 2 2" xfId="25673" xr:uid="{93B8D29C-E2E4-4375-BC2C-5F4EE1BD55CD}"/>
    <cellStyle name="Väljund 2 2 3" xfId="14489" xr:uid="{623CDDB1-DB91-4FD6-83F5-040D801AF1A9}"/>
    <cellStyle name="Väljund 2 2 3 2" xfId="25674" xr:uid="{3668B549-22EC-416E-BFFF-B282E24E1509}"/>
    <cellStyle name="Väljund 2 2 4" xfId="25672" xr:uid="{16D79EAB-BA7F-4848-8E32-EE02C760CA02}"/>
    <cellStyle name="Väljund 2 3" xfId="14490" xr:uid="{34BC8533-0B12-4860-8A67-C03D7E13EA46}"/>
    <cellStyle name="Väljund 2 3 2" xfId="14491" xr:uid="{14F8775F-09F3-47C0-97C6-CC237A997605}"/>
    <cellStyle name="Väljund 2 3 2 2" xfId="25676" xr:uid="{E8B481E3-0902-4DE1-81E9-A3C4C9C9D554}"/>
    <cellStyle name="Väljund 2 3 3" xfId="14492" xr:uid="{1060C337-A97B-4685-914A-CD02681FA2D7}"/>
    <cellStyle name="Väljund 2 3 3 2" xfId="25677" xr:uid="{AB90C8F0-DC91-493F-AF74-FF7F66AB1EC8}"/>
    <cellStyle name="Väljund 2 3 4" xfId="25675" xr:uid="{3FADDEE4-132A-4682-AD26-227496042AA6}"/>
    <cellStyle name="Väljund 2 4" xfId="14493" xr:uid="{7120D7A0-0F6E-45B4-B6D9-61908F1E809D}"/>
    <cellStyle name="Väljund 2 4 2" xfId="25678" xr:uid="{EA593D3B-D059-4397-B654-F75A8D5FBEC6}"/>
    <cellStyle name="Väljund 2 5" xfId="14494" xr:uid="{00099D15-9A47-48D9-A591-9552FDC6803D}"/>
    <cellStyle name="Väljund 2 5 2" xfId="25679" xr:uid="{61BAA178-E4EB-428C-8CE2-E0FBD098B83F}"/>
    <cellStyle name="Väljund 2 6" xfId="15426" xr:uid="{B2E81F59-0C91-42D1-A9D6-9B0D7397876D}"/>
    <cellStyle name="Väljund 2 7" xfId="25671" xr:uid="{1260E1A8-DCC3-487B-A896-27B0C998DE9E}"/>
    <cellStyle name="Väljund 2_RP3 PP revised" xfId="15040" xr:uid="{FFDB7635-F78D-4610-B30C-BE7A5451C9E0}"/>
    <cellStyle name="Väljund 20" xfId="14495" xr:uid="{ECD396BB-576E-4FC6-AA5A-DE5C8C0624F7}"/>
    <cellStyle name="Väljund 20 2" xfId="25680" xr:uid="{6919572B-9DFB-45CA-9262-E88C8C5B8498}"/>
    <cellStyle name="Väljund 21" xfId="15247" xr:uid="{3E9DE9E2-9C10-4C4E-BDA1-4525DAA0DCA5}"/>
    <cellStyle name="Väljund 3" xfId="14496" xr:uid="{3F7048BA-0610-4486-99EE-C803482D4817}"/>
    <cellStyle name="Väljund 3 2" xfId="14497" xr:uid="{D89ADD09-33C4-4F9A-9EAB-B0AD57BBEBD6}"/>
    <cellStyle name="Väljund 3 2 2" xfId="14498" xr:uid="{BDA84FCB-F384-4131-8A5E-5D3132F6F347}"/>
    <cellStyle name="Väljund 3 2 2 2" xfId="25682" xr:uid="{D2C53A78-AD57-4CA5-A209-7C2594A4C010}"/>
    <cellStyle name="Väljund 3 2 3" xfId="14499" xr:uid="{52539852-6E2C-4BAE-9169-EBAFBE840D48}"/>
    <cellStyle name="Väljund 3 2 3 2" xfId="25683" xr:uid="{37CBA895-61E4-4A2C-87E9-4802CF2A8C34}"/>
    <cellStyle name="Väljund 3 2 4" xfId="25681" xr:uid="{34738F26-C225-4CC8-8A2D-D5462D31D523}"/>
    <cellStyle name="Väljund 3 3" xfId="14500" xr:uid="{4ACC07EA-8A61-4985-B4B3-66CC3905B2AB}"/>
    <cellStyle name="Väljund 3 3 2" xfId="25684" xr:uid="{74F35502-54A5-47F5-9011-3281B263C2AC}"/>
    <cellStyle name="Väljund 3 4" xfId="14501" xr:uid="{6DF94116-190E-4AC4-A75E-3229B01DDBCC}"/>
    <cellStyle name="Väljund 3 4 2" xfId="25685" xr:uid="{9CF5343D-3168-41C5-A5A9-5F8D023FA2EB}"/>
    <cellStyle name="Väljund 3 5" xfId="15427" xr:uid="{866B52AE-E645-4F8D-9762-94A5092592A0}"/>
    <cellStyle name="Väljund 3_RP3 PP revised" xfId="15039" xr:uid="{AD623FF4-01DA-4D8C-A65A-2D64BF106BE8}"/>
    <cellStyle name="Väljund 4" xfId="14502" xr:uid="{7150A113-0CEF-4A19-B26D-491FA2A73F4F}"/>
    <cellStyle name="Väljund 4 2" xfId="14503" xr:uid="{BDF51ABB-BCAA-4056-8771-6AEE42C4157B}"/>
    <cellStyle name="Väljund 4 2 2" xfId="14504" xr:uid="{88245A57-AB5C-4DE5-AA9B-57FDBFD92248}"/>
    <cellStyle name="Väljund 4 2 2 2" xfId="25688" xr:uid="{53980B79-1155-4EF1-B7AC-873C1AA1BB3B}"/>
    <cellStyle name="Väljund 4 2 3" xfId="14505" xr:uid="{25B4B5BF-58DE-4C20-8616-4FDFD8E574D7}"/>
    <cellStyle name="Väljund 4 2 3 2" xfId="25689" xr:uid="{A7DC6E78-8CDB-4525-92F8-5B0244F1A639}"/>
    <cellStyle name="Väljund 4 2 4" xfId="25687" xr:uid="{2AE0AA42-9617-4A98-B7CF-3C2D23D61BF7}"/>
    <cellStyle name="Väljund 4 3" xfId="14506" xr:uid="{45E6B555-2293-48E7-A8B9-6092F74E4B95}"/>
    <cellStyle name="Väljund 4 3 2" xfId="25690" xr:uid="{157EA413-D43D-4671-BB6C-D9B8530FE158}"/>
    <cellStyle name="Väljund 4 4" xfId="14507" xr:uid="{22D7C962-932A-4BF1-9912-3FC50277A556}"/>
    <cellStyle name="Väljund 4 4 2" xfId="25691" xr:uid="{EA7CFE5B-6877-4F9A-825F-A8076CC594F4}"/>
    <cellStyle name="Väljund 4 5" xfId="25686" xr:uid="{671D0977-CE7D-4EF3-8844-D7AD1296AD3A}"/>
    <cellStyle name="Väljund 5" xfId="14508" xr:uid="{F87277C0-7112-4CA6-993A-C8FA84E3821E}"/>
    <cellStyle name="Väljund 5 2" xfId="14509" xr:uid="{0D682407-2FD3-4547-8ADA-CFAEBF570E01}"/>
    <cellStyle name="Väljund 5 2 2" xfId="14510" xr:uid="{40F9F4AC-184E-4152-B856-ABD451339AA7}"/>
    <cellStyle name="Väljund 5 2 2 2" xfId="25694" xr:uid="{4D47631B-151E-430A-B200-792E37000CCC}"/>
    <cellStyle name="Väljund 5 2 3" xfId="14511" xr:uid="{2EC02170-6796-4600-9051-27375A17A843}"/>
    <cellStyle name="Väljund 5 2 3 2" xfId="25695" xr:uid="{F52C81BB-6770-40A0-BC56-026D6727D091}"/>
    <cellStyle name="Väljund 5 2 4" xfId="25693" xr:uid="{FAFB5910-541B-4457-A9E0-C37501064B1E}"/>
    <cellStyle name="Väljund 5 3" xfId="14512" xr:uid="{1B0BFCA2-34F9-4D03-AC16-C0B0E542B4F9}"/>
    <cellStyle name="Väljund 5 3 2" xfId="25696" xr:uid="{9B6B08B7-8320-4F64-A172-EA97CB1D5A2F}"/>
    <cellStyle name="Väljund 5 4" xfId="14513" xr:uid="{EE3289DE-DB93-495D-85BE-A31D073A9F62}"/>
    <cellStyle name="Väljund 5 4 2" xfId="25697" xr:uid="{9C3642E7-24BF-4AE8-A2C1-3E19264B912A}"/>
    <cellStyle name="Väljund 5 5" xfId="25692" xr:uid="{67F922EE-DAF9-43AD-8B9B-8048B14976AF}"/>
    <cellStyle name="Väljund 6" xfId="14514" xr:uid="{4C62B7EE-8C96-4DBB-BC15-4365BF957760}"/>
    <cellStyle name="Väljund 6 2" xfId="14515" xr:uid="{B7A8A79F-5EC0-4DF8-B6F9-71622FFB0164}"/>
    <cellStyle name="Väljund 6 2 2" xfId="14516" xr:uid="{1D96F8B8-7967-4465-BB95-B9BCC5BDFBBD}"/>
    <cellStyle name="Väljund 6 2 2 2" xfId="25700" xr:uid="{A3D689EB-F76E-4512-8125-31CCDE8A834C}"/>
    <cellStyle name="Väljund 6 2 3" xfId="14517" xr:uid="{991A4F1E-DF88-45FA-899E-69B949FDF7D3}"/>
    <cellStyle name="Väljund 6 2 3 2" xfId="25701" xr:uid="{24887D7E-D315-488E-9E0E-C5A283F2BE9A}"/>
    <cellStyle name="Väljund 6 2 4" xfId="25699" xr:uid="{A96EEBA7-E71E-4F8F-813B-57235A2AA987}"/>
    <cellStyle name="Väljund 6 3" xfId="14518" xr:uid="{5F3B6267-6BF4-4FDB-978C-B9100CDD85FA}"/>
    <cellStyle name="Väljund 6 3 2" xfId="25702" xr:uid="{D2ADCCA6-C4AB-4E63-B167-1E7C712D237A}"/>
    <cellStyle name="Väljund 6 4" xfId="14519" xr:uid="{E6226DBF-6D30-4DE5-871C-9724EBC78467}"/>
    <cellStyle name="Väljund 6 4 2" xfId="25703" xr:uid="{4C357D16-CAC7-4127-81A0-6BF3F4831CC5}"/>
    <cellStyle name="Väljund 6 5" xfId="25698" xr:uid="{BD97A7CF-BB76-4189-9510-1C5B314EE3DE}"/>
    <cellStyle name="Väljund 7" xfId="14520" xr:uid="{4AE58475-4C41-44C2-9E6E-58F4B388020B}"/>
    <cellStyle name="Väljund 7 2" xfId="14521" xr:uid="{BD8D083A-274C-451C-9733-3A31141CAD33}"/>
    <cellStyle name="Väljund 7 2 2" xfId="14522" xr:uid="{9A7D6441-8DC1-425B-AB69-F93F2130B766}"/>
    <cellStyle name="Väljund 7 2 2 2" xfId="25706" xr:uid="{9494AA83-1077-44D9-BA7F-A362A9F6EE90}"/>
    <cellStyle name="Väljund 7 2 3" xfId="14523" xr:uid="{D9CA6B29-FED5-415B-8028-EBAC82FFA6B2}"/>
    <cellStyle name="Väljund 7 2 3 2" xfId="25707" xr:uid="{727E4C2D-C8A4-4B27-B674-81E61E5BCEA2}"/>
    <cellStyle name="Väljund 7 2 4" xfId="25705" xr:uid="{FD6532D9-22E5-4DC5-A2F2-38061EF0C550}"/>
    <cellStyle name="Väljund 7 3" xfId="14524" xr:uid="{EDED82A4-E87A-46E9-B469-51D0C4CBEB87}"/>
    <cellStyle name="Väljund 7 3 2" xfId="25708" xr:uid="{8C75B4F8-1397-4AE7-A5E5-12A6700143CE}"/>
    <cellStyle name="Väljund 7 4" xfId="14525" xr:uid="{7EE965BD-E748-4639-A6FE-31523891D3A4}"/>
    <cellStyle name="Väljund 7 4 2" xfId="25709" xr:uid="{058F9E26-635D-4359-BAD7-26BB7CDCA9D9}"/>
    <cellStyle name="Väljund 7 5" xfId="25704" xr:uid="{65677835-DD74-46C7-9AA7-AFCEF5D412CE}"/>
    <cellStyle name="Väljund 8" xfId="14526" xr:uid="{AB1651B2-7D5B-4465-A7F3-CDA8642F0E6E}"/>
    <cellStyle name="Väljund 8 2" xfId="14527" xr:uid="{7D47E71B-BFD6-4B07-9C99-FEC9211CDBDC}"/>
    <cellStyle name="Väljund 8 2 2" xfId="14528" xr:uid="{1ECB2FB7-1FAB-4B27-9563-6AF6933FF5BC}"/>
    <cellStyle name="Väljund 8 2 2 2" xfId="25712" xr:uid="{7710E12B-108C-4D74-84A2-D014D8DDC88B}"/>
    <cellStyle name="Väljund 8 2 3" xfId="14529" xr:uid="{5AB6876A-242D-4A26-9261-BE4622CCD642}"/>
    <cellStyle name="Väljund 8 2 3 2" xfId="25713" xr:uid="{D655F6FA-0731-4DAC-9E0E-3774D42636ED}"/>
    <cellStyle name="Väljund 8 2 4" xfId="25711" xr:uid="{204A1255-F482-4C12-A7AE-ACF559196781}"/>
    <cellStyle name="Väljund 8 3" xfId="14530" xr:uid="{EF0E66C3-CD8C-49AB-A746-904DF93C0E0A}"/>
    <cellStyle name="Väljund 8 3 2" xfId="25714" xr:uid="{50BD502C-203C-4EDF-B636-3304858EAE34}"/>
    <cellStyle name="Väljund 8 4" xfId="14531" xr:uid="{B4D1BDE5-B4A3-418C-89CC-8CFF4C97A1E6}"/>
    <cellStyle name="Väljund 8 4 2" xfId="25715" xr:uid="{C8D7FEAA-FBD4-4770-A715-49390B5A4169}"/>
    <cellStyle name="Väljund 8 5" xfId="25710" xr:uid="{98FC54CD-C700-427D-9851-C2D1F0D23829}"/>
    <cellStyle name="Väljund 9" xfId="14532" xr:uid="{62C2A7B5-BB64-4B5C-B84F-A94C7636B9FC}"/>
    <cellStyle name="Väljund 9 2" xfId="14533" xr:uid="{8292398D-8ABA-4394-BC17-AB76472A2C81}"/>
    <cellStyle name="Väljund 9 2 2" xfId="14534" xr:uid="{ED2A32C8-0489-42DA-98C5-CDF1D521253D}"/>
    <cellStyle name="Väljund 9 2 2 2" xfId="25718" xr:uid="{DE128ECD-EA26-48C3-9949-C74E31FC339D}"/>
    <cellStyle name="Väljund 9 2 3" xfId="14535" xr:uid="{3EDFA03D-3667-48EB-BF0E-05485A525607}"/>
    <cellStyle name="Väljund 9 2 3 2" xfId="25719" xr:uid="{A121FE2F-C81B-47A2-B8B1-8F8D8A5D7530}"/>
    <cellStyle name="Väljund 9 2 4" xfId="25717" xr:uid="{23AE6E40-A13B-4FC5-A6D2-920352EB18A3}"/>
    <cellStyle name="Väljund 9 3" xfId="14536" xr:uid="{2EE0982C-3FA4-43AF-9C41-299D9F278757}"/>
    <cellStyle name="Väljund 9 3 2" xfId="25720" xr:uid="{DBBFFF71-892C-434D-A3C6-D36EBA2803F7}"/>
    <cellStyle name="Väljund 9 4" xfId="14537" xr:uid="{FFF825E9-0B43-4897-A5E8-1143E9A3F43A}"/>
    <cellStyle name="Väljund 9 4 2" xfId="25721" xr:uid="{7D305ADC-5EA0-4553-BA23-CF5CB2072E9F}"/>
    <cellStyle name="Väljund 9 5" xfId="25716" xr:uid="{41703BC8-5889-4765-AEC0-1E53573251EA}"/>
    <cellStyle name="Väljund_RP3 PP revised" xfId="15041" xr:uid="{AF46C495-86C4-4A27-A6EC-F0812D16C925}"/>
    <cellStyle name="Valore non valido 2" xfId="14538" xr:uid="{95A7234E-831D-40F6-B1DB-DA3E3F1E4F4F}"/>
    <cellStyle name="Valore non valido 3" xfId="14539" xr:uid="{60CE7A69-E1A2-4C54-9E6D-861540DAAD6B}"/>
    <cellStyle name="Valore valido 2" xfId="14540" xr:uid="{A96A8292-7F64-4EEE-94D7-78143E13A663}"/>
    <cellStyle name="Valore valido 3" xfId="14541" xr:uid="{856EE890-CBFC-4EA2-B72D-BA99F3127AA3}"/>
    <cellStyle name="Value_QMS" xfId="14542" xr:uid="{1D65B545-FC69-45BD-A79A-3B0A3962CCEB}"/>
    <cellStyle name="Valuta (0)_Blad1" xfId="14543" xr:uid="{1116936D-6815-4149-B2C8-5A70286BFF5E}"/>
    <cellStyle name="Valuta 2" xfId="14544" xr:uid="{6929FB61-062D-4336-A406-D750F70B3FBC}"/>
    <cellStyle name="Valuta 2 2" xfId="14545" xr:uid="{FAC3944F-E936-4462-A3EA-95D7144FE05A}"/>
    <cellStyle name="Valuutta_Layo9704" xfId="14546" xr:uid="{DD258922-4549-476E-8F07-3EE5AEBB6BF0}"/>
    <cellStyle name="Varningstext" xfId="14547" xr:uid="{89A8355A-EBBC-4AE8-9083-737E63DD3C23}"/>
    <cellStyle name="Varoitusteksti" xfId="14548" xr:uid="{F8294EEE-EC08-435D-86F2-732D31B6435B}"/>
    <cellStyle name="Vérification" xfId="15250" xr:uid="{62D3445C-4E24-44F2-BF09-C312257F6E6D}"/>
    <cellStyle name="Vérification 2" xfId="14549" xr:uid="{2A59F8EE-8635-4D63-9A8F-31BFCBA608DC}"/>
    <cellStyle name="Vérification 2 2" xfId="14550" xr:uid="{DAEB1162-F3AE-4110-BBD9-D6246D32834C}"/>
    <cellStyle name="Vérification 2_130725 DSNA 2011 Dossier de révision initial" xfId="14551" xr:uid="{3EE4E733-8DDC-43E1-BC48-7D42B379A0BE}"/>
    <cellStyle name="Vérification 3" xfId="14552" xr:uid="{2E9F5D9C-7CC9-4D96-B5CE-3FB3C84B6C10}"/>
    <cellStyle name="Vérification 3 2" xfId="14553" xr:uid="{DA10CE12-82A1-4952-B51C-BB15DDF24F48}"/>
    <cellStyle name="Vérification 4" xfId="14554" xr:uid="{036253F7-97DA-4482-B9FA-145377BF8956}"/>
    <cellStyle name="Vérification 5" xfId="14555" xr:uid="{2B7F807C-10FF-450E-BA5F-2B6B8D33327D}"/>
    <cellStyle name="Vérification de cellule" xfId="14556" xr:uid="{CA2535B2-1DC1-4FC7-8694-C9E1DE40EC8B}"/>
    <cellStyle name="Verknüpfte Zelle" xfId="14557" xr:uid="{E6074879-07CA-468B-B23A-E7D308062FD6}"/>
    <cellStyle name="vert" xfId="14558" xr:uid="{82852F3A-DB8F-4052-A362-03926D02756A}"/>
    <cellStyle name="Very Large" xfId="14559" xr:uid="{8A56D8D0-B06F-4CD7-A68B-A403E0EEEB5A}"/>
    <cellStyle name="Vstup" xfId="14560" xr:uid="{EC93473E-6601-463C-AE4F-B3E1A62ACC3C}"/>
    <cellStyle name="Vstup 2" xfId="14561" xr:uid="{A7699601-6330-49F2-8E88-93E9DBCD7B10}"/>
    <cellStyle name="Vstup 2 2" xfId="25723" xr:uid="{7D783474-D205-4CBC-BE34-925F13ECB6B3}"/>
    <cellStyle name="Vstup 3" xfId="14562" xr:uid="{7DCD6D93-68E1-4BB5-8FDA-67ECA551450F}"/>
    <cellStyle name="Vstup 3 2" xfId="25724" xr:uid="{9B151EF5-EF5A-4CC8-9305-0C6A766EFDBE}"/>
    <cellStyle name="Vstup 4" xfId="25722" xr:uid="{8A83A08A-314D-4347-8D56-00B2BFEACA35}"/>
    <cellStyle name="Výpočet" xfId="14563" xr:uid="{A82712AF-0111-4F28-B2FD-09328B0EE44B}"/>
    <cellStyle name="Výpočet 2" xfId="14564" xr:uid="{A526BE17-294F-4089-9EE7-AC634DF9782C}"/>
    <cellStyle name="Výpočet 2 2" xfId="25726" xr:uid="{22FAFF2F-45C1-42AF-A02A-5582CC22769A}"/>
    <cellStyle name="Výpočet 3" xfId="14565" xr:uid="{5FA5E3B4-B076-4B3C-9315-5DD8D6A36463}"/>
    <cellStyle name="Výpočet 3 2" xfId="25727" xr:uid="{AC8EA72C-02C1-437D-8107-A4B5677EDA6F}"/>
    <cellStyle name="Výpočet 4" xfId="25725" xr:uid="{FB20A642-655D-430A-B18A-426EC053A4F7}"/>
    <cellStyle name="Výstup" xfId="14566" xr:uid="{ACAA14DF-9B0D-43CD-9529-D6E65AFBB22F}"/>
    <cellStyle name="Výstup 2" xfId="14567" xr:uid="{553885F3-E087-447B-A0D9-E6F0B7AE10C7}"/>
    <cellStyle name="Výstup 2 2" xfId="25729" xr:uid="{8019C336-3A7B-45F4-964E-BF47702FEF5F}"/>
    <cellStyle name="Výstup 3" xfId="14568" xr:uid="{EE7CA631-E0FD-4AA1-B1B5-52D3995D7C17}"/>
    <cellStyle name="Výstup 3 2" xfId="25730" xr:uid="{843A095F-9D67-43C4-BDCC-5CBC804C9E16}"/>
    <cellStyle name="Výstup 4" xfId="25728" xr:uid="{BD6E91D1-C26E-46BE-970F-2967F0649E50}"/>
    <cellStyle name="Vysvětlující text" xfId="14569" xr:uid="{49785AAF-D1B8-4B84-AA41-E3CDAB4A165B}"/>
    <cellStyle name="Währung [0]_aM120029" xfId="14570" xr:uid="{DB5C0C95-43CF-4029-839F-9D58516563AE}"/>
    <cellStyle name="Währung_aM120029" xfId="14571" xr:uid="{D92F17AB-95D2-45AF-A7C1-4F1632FF6030}"/>
    <cellStyle name="Warnender Text" xfId="14572" xr:uid="{1446DA57-934E-4C8C-AB97-B3018E5F7260}"/>
    <cellStyle name="Warning Text 2" xfId="14574" xr:uid="{6FD4FCAB-CC36-4A48-B4F8-3A6230380648}"/>
    <cellStyle name="Warning Text 3" xfId="14573" xr:uid="{12CEFDCD-24DE-4CF7-8C6F-09F1E32CA114}"/>
    <cellStyle name="WingDings" xfId="14575" xr:uid="{F9430972-4FED-4A3F-BEC6-DB3FB58430FD}"/>
    <cellStyle name="WingDings 2" xfId="14576" xr:uid="{14448DEE-0BC8-443F-8F19-BA88D39E64C9}"/>
    <cellStyle name="WIP" xfId="14577" xr:uid="{7AC30DAD-B6DA-489E-BA45-ED741569F2A7}"/>
    <cellStyle name="WIP 2" xfId="14578" xr:uid="{6D3F0928-20BF-4A27-8A87-A6E20A472611}"/>
    <cellStyle name="WIP 3" xfId="14579" xr:uid="{A0294E5A-828C-4CD1-BB4C-480D8EE96B00}"/>
    <cellStyle name="Year" xfId="14580" xr:uid="{08320522-95A5-4B6A-83C4-6D6D4ED08134}"/>
    <cellStyle name="yearformat" xfId="14581" xr:uid="{C51F7A70-3F0E-4278-A91A-2B0D141F9D8A}"/>
    <cellStyle name="YearHeader" xfId="14582" xr:uid="{5D13833B-7047-4B72-95F8-18EFFC89EDBD}"/>
    <cellStyle name="YearHeader 2" xfId="25731" xr:uid="{8DA4A1EB-8768-4B4D-A4A2-05BEA8F885B0}"/>
    <cellStyle name="YearHeader 2 2" xfId="25888" xr:uid="{E8E70DAA-F77A-46E7-9B30-CCD5FD4F0847}"/>
    <cellStyle name="YearHeader 2 3" xfId="25843" xr:uid="{9478B874-9D42-4693-BAD8-7A50E511A295}"/>
    <cellStyle name="YearHeader 2 4" xfId="25867" xr:uid="{A195F77C-B0F5-44D7-95D3-8A9EDBC7319A}"/>
    <cellStyle name="YearHeader 3" xfId="25840" xr:uid="{27385869-6FDF-483C-83F2-4ABE9C24946A}"/>
    <cellStyle name="YearHeader 3 2" xfId="25897" xr:uid="{F99C3FBE-542F-4BB9-8F8B-ED094F063EBD}"/>
    <cellStyle name="YearHeader 3 3" xfId="25905" xr:uid="{1A556718-D7E1-448A-B387-AC273227D09F}"/>
    <cellStyle name="Zelle überprüfen" xfId="14583" xr:uid="{BC960B81-9336-422C-9994-A68A5DDC957B}"/>
    <cellStyle name="Złe" xfId="14584" xr:uid="{DF29369D-7BBB-4A7F-A5C3-687D88BFC223}"/>
    <cellStyle name="Złe 2" xfId="14585" xr:uid="{BEC18FCC-5A1D-4F03-9D78-5C738E8F2DB2}"/>
    <cellStyle name="Zvýraznění 1" xfId="14586" xr:uid="{AAAF23AF-52E0-48A9-8100-618BF8A1E9CE}"/>
    <cellStyle name="Zvýraznění 2" xfId="14587" xr:uid="{2F2C9FE9-A141-4C0B-9B08-089EC7F57609}"/>
    <cellStyle name="Zvýraznění 3" xfId="14588" xr:uid="{18F794F4-F96A-40A0-9623-BF59F214EB98}"/>
    <cellStyle name="Zvýraznění 4" xfId="14589" xr:uid="{8971AD23-3387-43B5-BF1F-61DA826A1514}"/>
    <cellStyle name="Zvýraznění 5" xfId="14590" xr:uid="{444FF47A-5FAF-44AC-BE06-13066636613D}"/>
    <cellStyle name="Zvýraznění 6" xfId="14591" xr:uid="{021CF2DB-8614-4C44-A424-8AE9C8D6905F}"/>
    <cellStyle name="Акцент1" xfId="14592" xr:uid="{3A358752-631A-405B-B1B5-F11DE6EF6566}"/>
    <cellStyle name="Акцент1 2" xfId="14593" xr:uid="{0355D157-22A6-499A-9437-3CA9D7D50B30}"/>
    <cellStyle name="Акцент1 3" xfId="14594" xr:uid="{BA371028-9946-43FC-A5E2-2BC4DCD70217}"/>
    <cellStyle name="Акцент2" xfId="14595" xr:uid="{CC07234B-D240-4405-A11F-FC4EDEE25F5A}"/>
    <cellStyle name="Акцент2 2" xfId="14596" xr:uid="{947FA441-75D8-4832-A9E8-377D16018352}"/>
    <cellStyle name="Акцент2 3" xfId="14597" xr:uid="{CD52D084-FCDF-4707-8A1B-00038A7A3211}"/>
    <cellStyle name="Акцент3" xfId="14598" xr:uid="{114659EE-B7BC-4631-92E9-FA2C123075A3}"/>
    <cellStyle name="Акцент3 2" xfId="14599" xr:uid="{C5C32139-026B-4DE0-8221-B1FD335FADA3}"/>
    <cellStyle name="Акцент3 3" xfId="14600" xr:uid="{E511CF6F-3EFC-42BC-B57D-8B3987F5803C}"/>
    <cellStyle name="Акцент4" xfId="14601" xr:uid="{89823C4C-0660-4DBE-847D-E66CB96A2D14}"/>
    <cellStyle name="Акцент4 2" xfId="14602" xr:uid="{D6EA7902-4A34-40F7-8E2A-830C7AEBC9DC}"/>
    <cellStyle name="Акцент4 3" xfId="14603" xr:uid="{95FA9E3C-8850-4CB2-80A8-DC1A845FF891}"/>
    <cellStyle name="Акцент5" xfId="14604" xr:uid="{402CB98C-4759-42A9-ABE9-5AE593613C4B}"/>
    <cellStyle name="Акцент5 2" xfId="14605" xr:uid="{C8BA3FE1-59EC-4989-97BF-1C940FD6E764}"/>
    <cellStyle name="Акцент5 3" xfId="14606" xr:uid="{334211D6-21A0-4105-B92D-8DB0ACFE776C}"/>
    <cellStyle name="Акцент6" xfId="14607" xr:uid="{D7D97462-F537-42FF-B689-04F15BCA65D6}"/>
    <cellStyle name="Акцент6 2" xfId="14608" xr:uid="{96FA1699-AF9F-4BBE-B5FC-8ED5316857D2}"/>
    <cellStyle name="Акцент6 3" xfId="14609" xr:uid="{8CDDD7E8-DB53-453E-8CC1-4179DE4C871E}"/>
    <cellStyle name="Ввод " xfId="14610" xr:uid="{D4AA7623-6BB7-4F45-A496-85DF29C3D26D}"/>
    <cellStyle name="Ввод  2" xfId="14611" xr:uid="{2B72CA42-B10B-4DD3-AEA8-BA8509950C34}"/>
    <cellStyle name="Ввод  2 2" xfId="14612" xr:uid="{09083050-C4C5-447C-836D-9C19D23E7E0B}"/>
    <cellStyle name="Ввод  2 2 2" xfId="25734" xr:uid="{BAA8A0B7-3237-4B31-A5D9-B013BEFFD1DF}"/>
    <cellStyle name="Ввод  2 3" xfId="25733" xr:uid="{3200B1C4-8173-42A5-A240-5C3B05226B8A}"/>
    <cellStyle name="Ввод  3" xfId="14613" xr:uid="{37E692A0-5A3F-495F-B461-C684DD65866C}"/>
    <cellStyle name="Ввод  3 2" xfId="14614" xr:uid="{312EC196-4818-455C-BBD2-B6F33B9DFC85}"/>
    <cellStyle name="Ввод  3 2 2" xfId="25736" xr:uid="{E78D65B5-6ED9-496E-8B33-BA891043FA30}"/>
    <cellStyle name="Ввод  3 3" xfId="25735" xr:uid="{56D5D8ED-4904-4CA6-96C1-EBFE9DFC9B62}"/>
    <cellStyle name="Ввод  4" xfId="14615" xr:uid="{68131E64-7567-4C41-9C67-271565CB2741}"/>
    <cellStyle name="Ввод  4 2" xfId="25737" xr:uid="{56047610-1B72-4CCC-B236-6B82C5226D40}"/>
    <cellStyle name="Ввод  5" xfId="14616" xr:uid="{21DF2C38-D750-4BD3-9377-D0DDB0ABD730}"/>
    <cellStyle name="Ввод  5 2" xfId="25738" xr:uid="{C2CA599C-AC6D-4F69-AE25-B3B48DF992CD}"/>
    <cellStyle name="Ввод  6" xfId="25732" xr:uid="{C291A585-EB46-418C-AEC0-DD2A06369DF8}"/>
    <cellStyle name="Вывод" xfId="14617" xr:uid="{F8A495B1-8999-4E0C-B458-CD90D0303D5E}"/>
    <cellStyle name="Вывод 2" xfId="14618" xr:uid="{2FE2F3FD-0DE1-42D9-A594-8857C46ADC0D}"/>
    <cellStyle name="Вывод 2 2" xfId="14619" xr:uid="{70173415-440E-40D9-B0BA-A97BD1075D77}"/>
    <cellStyle name="Вывод 2 2 2" xfId="25741" xr:uid="{F97E8C98-0633-4C87-96FA-5B3EBFA49110}"/>
    <cellStyle name="Вывод 2 3" xfId="25740" xr:uid="{EF2AB9CE-4652-4382-81D3-CEDDD05BFAF9}"/>
    <cellStyle name="Вывод 3" xfId="14620" xr:uid="{57D98A2B-F9EE-49A2-BDF2-F5BBAFE337F6}"/>
    <cellStyle name="Вывод 3 2" xfId="14621" xr:uid="{FF6B16DD-5EAB-477F-A943-A6D5A19CE18F}"/>
    <cellStyle name="Вывод 3 2 2" xfId="25743" xr:uid="{18763CF7-8A6A-48AE-ABA5-C6D1C2E066F3}"/>
    <cellStyle name="Вывод 3 3" xfId="25742" xr:uid="{2152CA4B-D2B6-4F1E-BE2D-292F56C83833}"/>
    <cellStyle name="Вывод 4" xfId="14622" xr:uid="{330A1DD4-CC7B-4E31-81B7-83103199227A}"/>
    <cellStyle name="Вывод 4 2" xfId="25744" xr:uid="{10134CD2-DC1A-4334-8CF1-B771CA9783BE}"/>
    <cellStyle name="Вывод 5" xfId="14623" xr:uid="{1F0BF1E7-093C-4739-9673-55D3C70FA1C7}"/>
    <cellStyle name="Вывод 5 2" xfId="25745" xr:uid="{E3CCBE40-1BFD-4718-9D2E-A8C70BC1DA38}"/>
    <cellStyle name="Вывод 6" xfId="25739" xr:uid="{C549A001-7F36-49B2-833E-830071EB43A2}"/>
    <cellStyle name="Вычисление" xfId="14624" xr:uid="{69113DC3-5044-492A-8A98-EF8D257A6A11}"/>
    <cellStyle name="Вычисление 2" xfId="14625" xr:uid="{3E1461BE-591D-446D-83B5-8D6F2701E853}"/>
    <cellStyle name="Вычисление 2 2" xfId="14626" xr:uid="{641816A6-567A-4A80-827E-A9CBD3073848}"/>
    <cellStyle name="Вычисление 2 2 2" xfId="25748" xr:uid="{91F6D8B3-0A8C-4565-8578-0B3A3416220B}"/>
    <cellStyle name="Вычисление 2 3" xfId="25747" xr:uid="{42288B44-83C6-4940-8C3D-A6FF5E9CC92A}"/>
    <cellStyle name="Вычисление 3" xfId="14627" xr:uid="{47341FF8-0694-483F-95A7-FDB22BF18383}"/>
    <cellStyle name="Вычисление 3 2" xfId="14628" xr:uid="{F3DE9A46-D33C-4330-972A-A9B434082277}"/>
    <cellStyle name="Вычисление 3 2 2" xfId="25750" xr:uid="{48EA4FDD-36F7-46EE-A72E-F342BFAA5159}"/>
    <cellStyle name="Вычисление 3 3" xfId="25749" xr:uid="{54887270-1D47-4097-9F0C-5D93D6EF881F}"/>
    <cellStyle name="Вычисление 4" xfId="14629" xr:uid="{10506537-0E9E-448A-8A04-97A085A481D9}"/>
    <cellStyle name="Вычисление 4 2" xfId="25751" xr:uid="{04870CF3-37F6-4D1A-8244-922B4931B62D}"/>
    <cellStyle name="Вычисление 5" xfId="14630" xr:uid="{854A848B-D3A1-4F59-859E-1C120424C654}"/>
    <cellStyle name="Вычисление 5 2" xfId="25752" xr:uid="{02A62170-817C-403C-BDF6-3C833BAF9D17}"/>
    <cellStyle name="Вычисление 6" xfId="25746" xr:uid="{1BC4612E-29A4-4CE6-AA09-8B51B12BB752}"/>
    <cellStyle name="Заголовок 1" xfId="14631" xr:uid="{293240AC-ED12-4AAC-BDD6-A31EBE622BB6}"/>
    <cellStyle name="Заголовок 2" xfId="14632" xr:uid="{459A4234-AA2C-461A-940D-B46878A7B82B}"/>
    <cellStyle name="Заголовок 3" xfId="14633" xr:uid="{385F2F93-7052-41AE-8F94-9C975969897E}"/>
    <cellStyle name="Заголовок 4" xfId="14634" xr:uid="{27061344-2858-42D6-B2C7-AB9A59509950}"/>
    <cellStyle name="Итог" xfId="14635" xr:uid="{78C5726C-64F4-4CE0-AA24-063CFF4D83A1}"/>
    <cellStyle name="Итог 2" xfId="14636" xr:uid="{30BDE31C-8957-4690-BE62-EA3D6BF08A1F}"/>
    <cellStyle name="Итог 2 2" xfId="14637" xr:uid="{4AA939D4-0851-4D6A-9B9A-ECB1D72B2FFE}"/>
    <cellStyle name="Итог 3" xfId="14638" xr:uid="{60CCDC6B-BC3A-455A-B60C-8C2FAB2135D8}"/>
    <cellStyle name="Итог 4" xfId="14639" xr:uid="{0D0A3AF6-3254-4CE0-B2B2-7C4F5EB0F1AC}"/>
    <cellStyle name="Итог 5" xfId="14640" xr:uid="{A46252C7-D651-4EA9-B7EB-F4D235FBA20B}"/>
    <cellStyle name="Контрольная ячейка" xfId="14641" xr:uid="{A6CD5057-411B-4FFD-ADFB-9D5C72AB662A}"/>
    <cellStyle name="Контрольная ячейка 2" xfId="14642" xr:uid="{42603A91-E902-408A-AD8B-E419D56C3183}"/>
    <cellStyle name="Контрольная ячейка 3" xfId="14643" xr:uid="{D280CC57-816D-41CE-9FED-E9B7CEB01CF4}"/>
    <cellStyle name="Название" xfId="14644" xr:uid="{5D30FB9C-B3AA-4478-8E4B-5D7EC58E8150}"/>
    <cellStyle name="Название 2" xfId="14645" xr:uid="{8276AEBB-E256-44A1-8EB4-954D1A84BE3B}"/>
    <cellStyle name="Название 3" xfId="14646" xr:uid="{4ACE8B8B-0E85-44C2-82C4-1A695AB77EC4}"/>
    <cellStyle name="Нейтральный" xfId="14647" xr:uid="{888E3D6B-1284-48E0-9CE4-8F5FAD1F4424}"/>
    <cellStyle name="Нейтральный 2" xfId="14648" xr:uid="{460BD950-5A63-4B39-AF9C-4FA801391D75}"/>
    <cellStyle name="Нейтральный 3" xfId="14649" xr:uid="{E48A1F52-F256-4681-AAB2-7E0497D51810}"/>
    <cellStyle name="Плохой" xfId="14650" xr:uid="{87075FA3-6B5D-49E0-A106-89551347F1A8}"/>
    <cellStyle name="Плохой 2" xfId="14651" xr:uid="{1256630F-7A2F-403A-A11C-C5DAAAA7AD03}"/>
    <cellStyle name="Плохой 3" xfId="14652" xr:uid="{669A64A9-D7EF-469A-AFAA-66E5D3B1AEE8}"/>
    <cellStyle name="Пояснение" xfId="14653" xr:uid="{FBE7DB52-73CD-4F38-87CB-9849771D6D7C}"/>
    <cellStyle name="Пояснение 2" xfId="14654" xr:uid="{B4F16FB2-EDA8-41BF-AC7E-B9B3307B3156}"/>
    <cellStyle name="Пояснение 3" xfId="14655" xr:uid="{A1F43136-2F8B-4DC6-BD0B-0232AE04E539}"/>
    <cellStyle name="Примечание" xfId="14656" xr:uid="{FE81B369-3670-4D8D-971E-F9A3102A87DF}"/>
    <cellStyle name="Примечание 2" xfId="14657" xr:uid="{049AE562-81B3-49A3-9C33-54BB23D671E3}"/>
    <cellStyle name="Примечание 2 2" xfId="14658" xr:uid="{8520957E-7F3E-44E0-8817-7B65083B3B74}"/>
    <cellStyle name="Примечание 3" xfId="14659" xr:uid="{9A20482C-B820-4FA6-9647-680351525CDE}"/>
    <cellStyle name="Связанная ячейка" xfId="14660" xr:uid="{79503752-3242-451E-B744-3C5E76158887}"/>
    <cellStyle name="Связанная ячейка 2" xfId="14661" xr:uid="{B12392CB-EAAC-413F-A98E-8C4F597FA92E}"/>
    <cellStyle name="Связанная ячейка 3" xfId="14662" xr:uid="{40FD0F67-B03B-4FCB-90C5-7603639633A5}"/>
    <cellStyle name="Текст предупреждения" xfId="14663" xr:uid="{DE794657-F2FD-41DB-98D5-27E6684DE9EE}"/>
    <cellStyle name="Текст предупреждения 2" xfId="14664" xr:uid="{9010C47E-9083-42B8-A60C-2F5B149E1F9B}"/>
    <cellStyle name="Текст предупреждения 3" xfId="14665" xr:uid="{A68D042D-D8BD-4ED1-A363-8DA135DA62FD}"/>
    <cellStyle name="Хороший" xfId="14666" xr:uid="{68FCF1F3-138C-459D-A3A2-07EEFEC62B68}"/>
  </cellStyles>
  <dxfs count="33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3" defaultTableStyle="TableStyleMedium2" defaultPivotStyle="PivotStyleLight16">
    <tableStyle name="PivotStyleLight16 2" table="0" count="11" xr9:uid="{5E840A08-8A39-4A69-A3F5-D37E586CB856}">
      <tableStyleElement type="headerRow" dxfId="32"/>
      <tableStyleElement type="totalRow" dxfId="31"/>
      <tableStyleElement type="firstRowStripe" dxfId="30"/>
      <tableStyleElement type="firstColumnStripe" dxfId="29"/>
      <tableStyleElement type="firstSubtotalColumn" dxfId="28"/>
      <tableStyleElement type="firstSubtotalRow" dxfId="27"/>
      <tableStyleElement type="secondSubtotalRow" dxfId="26"/>
      <tableStyleElement type="firstRowSubheading" dxfId="25"/>
      <tableStyleElement type="secondRowSubheading" dxfId="24"/>
      <tableStyleElement type="pageFieldLabels" dxfId="23"/>
      <tableStyleElement type="pageFieldValues" dxfId="22"/>
    </tableStyle>
    <tableStyle name="PivotStyleLight16 3" table="0" count="11" xr9:uid="{D35C27E6-7D1F-40B4-91C8-FF19A7501CC8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4" table="0" count="11" xr9:uid="{4AEFACA9-9AA5-44B3-B0D9-EC5BB52718C1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9A88"/>
      <color rgb="FFF7D9DF"/>
      <color rgb="FFF2C4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5.xml"/><Relationship Id="rId53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4.xml"/><Relationship Id="rId52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6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7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8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9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0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1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2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3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4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274053439904515"/>
          <c:y val="6.376721407706859E-2"/>
          <c:w val="0.79807110063534659"/>
          <c:h val="0.654028877545621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'Total Costs &amp; Profitability'!$E$31</c:f>
              <c:strCache>
                <c:ptCount val="1"/>
                <c:pt idx="0">
                  <c:v>Staff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Profitability'!$H$31:$Q$31</c:f>
              <c:numCache>
                <c:formatCode>#,##0;[Red]\(#,##0\);\-</c:formatCode>
                <c:ptCount val="10"/>
                <c:pt idx="0">
                  <c:v>60064.424811360223</c:v>
                </c:pt>
                <c:pt idx="1">
                  <c:v>60954.864593781342</c:v>
                </c:pt>
                <c:pt idx="2">
                  <c:v>63213</c:v>
                </c:pt>
                <c:pt idx="3">
                  <c:v>64370.407149950355</c:v>
                </c:pt>
                <c:pt idx="4">
                  <c:v>63291.351028430341</c:v>
                </c:pt>
                <c:pt idx="5">
                  <c:v>57573.230951849218</c:v>
                </c:pt>
                <c:pt idx="6">
                  <c:v>54003.280731909697</c:v>
                </c:pt>
                <c:pt idx="7">
                  <c:v>63572.370564613826</c:v>
                </c:pt>
                <c:pt idx="8">
                  <c:v>64873.265048096604</c:v>
                </c:pt>
                <c:pt idx="9">
                  <c:v>65528.357987864481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'Total Costs &amp; Profitability'!$E$32</c:f>
              <c:strCache>
                <c:ptCount val="1"/>
                <c:pt idx="0">
                  <c:v>Other Opex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Profitability'!$H$32:$Q$32</c:f>
              <c:numCache>
                <c:formatCode>#,##0;[Red]\(#,##0\);\-</c:formatCode>
                <c:ptCount val="10"/>
                <c:pt idx="0">
                  <c:v>31476.665525518671</c:v>
                </c:pt>
                <c:pt idx="1">
                  <c:v>33189.568706118356</c:v>
                </c:pt>
                <c:pt idx="2">
                  <c:v>35848</c:v>
                </c:pt>
                <c:pt idx="3">
                  <c:v>37287.984111221456</c:v>
                </c:pt>
                <c:pt idx="4">
                  <c:v>41104.734647359473</c:v>
                </c:pt>
                <c:pt idx="5">
                  <c:v>35029.994271967771</c:v>
                </c:pt>
                <c:pt idx="6">
                  <c:v>37870.406970406468</c:v>
                </c:pt>
                <c:pt idx="7">
                  <c:v>39681.734528436718</c:v>
                </c:pt>
                <c:pt idx="8">
                  <c:v>40707.192025587749</c:v>
                </c:pt>
                <c:pt idx="9">
                  <c:v>41360.151057707975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2"/>
          <c:tx>
            <c:strRef>
              <c:f>'Total Costs &amp; Profitability'!$E$33</c:f>
              <c:strCache>
                <c:ptCount val="1"/>
                <c:pt idx="0">
                  <c:v>Depreciation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Profitability'!$H$33:$Q$33</c:f>
              <c:numCache>
                <c:formatCode>#,##0;[Red]\(#,##0\);\-</c:formatCode>
                <c:ptCount val="10"/>
                <c:pt idx="0">
                  <c:v>8701.7539644882745</c:v>
                </c:pt>
                <c:pt idx="1">
                  <c:v>8739.217652958876</c:v>
                </c:pt>
                <c:pt idx="2">
                  <c:v>9106</c:v>
                </c:pt>
                <c:pt idx="3">
                  <c:v>9848.0635551142022</c:v>
                </c:pt>
                <c:pt idx="4">
                  <c:v>7610.748546103935</c:v>
                </c:pt>
                <c:pt idx="5">
                  <c:v>6676.9537096232307</c:v>
                </c:pt>
                <c:pt idx="6">
                  <c:v>7793.4116105575895</c:v>
                </c:pt>
                <c:pt idx="7">
                  <c:v>8784.7295460946079</c:v>
                </c:pt>
                <c:pt idx="8">
                  <c:v>9180.8926634103173</c:v>
                </c:pt>
                <c:pt idx="9">
                  <c:v>7941.8695000713633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3"/>
          <c:tx>
            <c:strRef>
              <c:f>'Total Costs &amp; Profitability'!$E$34</c:f>
              <c:strCache>
                <c:ptCount val="1"/>
                <c:pt idx="0">
                  <c:v>Cost of capital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Profitability'!$H$34:$Q$34</c:f>
              <c:numCache>
                <c:formatCode>#,##0;[Red]\(#,##0\);\-</c:formatCode>
                <c:ptCount val="10"/>
                <c:pt idx="0">
                  <c:v>6649.4553520841964</c:v>
                </c:pt>
                <c:pt idx="1">
                  <c:v>6113.9798676028086</c:v>
                </c:pt>
                <c:pt idx="2">
                  <c:v>5744</c:v>
                </c:pt>
                <c:pt idx="3">
                  <c:v>5568.0238331678256</c:v>
                </c:pt>
                <c:pt idx="4">
                  <c:v>4307.8037483896187</c:v>
                </c:pt>
                <c:pt idx="5">
                  <c:v>1125.217739072925</c:v>
                </c:pt>
                <c:pt idx="6">
                  <c:v>2386.6214551964681</c:v>
                </c:pt>
                <c:pt idx="7">
                  <c:v>2919.6999762900405</c:v>
                </c:pt>
                <c:pt idx="8">
                  <c:v>3330.8666793479661</c:v>
                </c:pt>
                <c:pt idx="9">
                  <c:v>3204.2080377994762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4"/>
          <c:tx>
            <c:strRef>
              <c:f>'Total Costs &amp; Profitability'!$E$35</c:f>
              <c:strCache>
                <c:ptCount val="1"/>
                <c:pt idx="0">
                  <c:v>Exceptional items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Profitability'!$H$35:$Q$35</c:f>
              <c:numCache>
                <c:formatCode>#,##0;[Red]\(#,##0\);\-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1191.658391261172</c:v>
                </c:pt>
                <c:pt idx="6">
                  <c:v>2150.2532274081432</c:v>
                </c:pt>
                <c:pt idx="7">
                  <c:v>975.25322740814306</c:v>
                </c:pt>
                <c:pt idx="8">
                  <c:v>975.25322740814306</c:v>
                </c:pt>
                <c:pt idx="9">
                  <c:v>975.25322740814306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5"/>
          <c:order val="5"/>
          <c:tx>
            <c:strRef>
              <c:f>'Total Costs &amp; Profitability'!$D$8</c:f>
              <c:strCache>
                <c:ptCount val="1"/>
                <c:pt idx="0">
                  <c:v>Service Units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'Total Costs &amp; Profitability'!$H$9:$Q$9</c:f>
              <c:numCache>
                <c:formatCode>#,##0;[Red]\(#,##0\);\-</c:formatCode>
                <c:ptCount val="10"/>
                <c:pt idx="0">
                  <c:v>4182.45</c:v>
                </c:pt>
                <c:pt idx="1">
                  <c:v>4467.5950000000003</c:v>
                </c:pt>
                <c:pt idx="2">
                  <c:v>4465.2529999999997</c:v>
                </c:pt>
                <c:pt idx="3">
                  <c:v>4549.8827233000011</c:v>
                </c:pt>
                <c:pt idx="4">
                  <c:v>4640.8595650000007</c:v>
                </c:pt>
                <c:pt idx="5">
                  <c:v>1988.2902946000002</c:v>
                </c:pt>
                <c:pt idx="6">
                  <c:v>2072</c:v>
                </c:pt>
                <c:pt idx="7">
                  <c:v>3202</c:v>
                </c:pt>
                <c:pt idx="8">
                  <c:v>4039</c:v>
                </c:pt>
                <c:pt idx="9">
                  <c:v>4726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E9-4981-B071-39522F22BF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47480"/>
        <c:axId val="528735344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Determined Costs</a:t>
                </a:r>
                <a:r>
                  <a:rPr lang="en-GB" baseline="0"/>
                  <a:t> (€'000s)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3.3197845172307926E-3"/>
              <c:y val="6.37672140770685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valAx>
        <c:axId val="5287353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Service Units ('000s)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528747480"/>
        <c:crosses val="max"/>
        <c:crossBetween val="between"/>
      </c:valAx>
      <c:catAx>
        <c:axId val="528747480"/>
        <c:scaling>
          <c:orientation val="minMax"/>
        </c:scaling>
        <c:delete val="1"/>
        <c:axPos val="b"/>
        <c:majorTickMark val="out"/>
        <c:minorTickMark val="none"/>
        <c:tickLblPos val="nextTo"/>
        <c:crossAx val="528735344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Comparison'!$J$39:$N$39</c:f>
              <c:numCache>
                <c:formatCode>#,##0;[Red]\(#,##0\);\-</c:formatCode>
                <c:ptCount val="5"/>
                <c:pt idx="0">
                  <c:v>64752.679943062976</c:v>
                </c:pt>
                <c:pt idx="1">
                  <c:v>59780.619343271981</c:v>
                </c:pt>
                <c:pt idx="2">
                  <c:v>73880.486813179392</c:v>
                </c:pt>
                <c:pt idx="3">
                  <c:v>78227.225736195789</c:v>
                </c:pt>
                <c:pt idx="4">
                  <c:v>82725.943046984787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v>CAR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Comparison'!$J$66:$N$66</c:f>
              <c:numCache>
                <c:formatCode>#,##0;[Red]\(#,##0\);\-</c:formatCode>
                <c:ptCount val="5"/>
                <c:pt idx="0">
                  <c:v>63230.34558017458</c:v>
                </c:pt>
                <c:pt idx="1">
                  <c:v>58265.220391369643</c:v>
                </c:pt>
                <c:pt idx="2">
                  <c:v>70887.644338373779</c:v>
                </c:pt>
                <c:pt idx="3">
                  <c:v>73981.285043736934</c:v>
                </c:pt>
                <c:pt idx="4">
                  <c:v>77534.273403849802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Staff Costs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Comparison'!$E$100</c:f>
              <c:strCache>
                <c:ptCount val="1"/>
                <c:pt idx="0">
                  <c:v>Admin&amp;Other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Comparison'!$J$100:$N$100</c:f>
              <c:numCache>
                <c:formatCode>#,##0;[Red]\(#,##0\);\-</c:formatCode>
                <c:ptCount val="5"/>
                <c:pt idx="0">
                  <c:v>3727.9351469999988</c:v>
                </c:pt>
                <c:pt idx="1">
                  <c:v>5754.1517245919995</c:v>
                </c:pt>
                <c:pt idx="2">
                  <c:v>8242.955514759069</c:v>
                </c:pt>
                <c:pt idx="3">
                  <c:v>8508.6740654262649</c:v>
                </c:pt>
                <c:pt idx="4">
                  <c:v>8867.089889488685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3"/>
          <c:order val="1"/>
          <c:tx>
            <c:strRef>
              <c:f>'Cost Comparison'!$E$103</c:f>
              <c:strCache>
                <c:ptCount val="1"/>
                <c:pt idx="0">
                  <c:v>Operational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Comparison'!$J$103:$N$103</c:f>
              <c:numCache>
                <c:formatCode>#,##0;[Red]\(#,##0\);\-</c:formatCode>
                <c:ptCount val="5"/>
                <c:pt idx="0">
                  <c:v>6364.6186319999979</c:v>
                </c:pt>
                <c:pt idx="1">
                  <c:v>7974.672061799999</c:v>
                </c:pt>
                <c:pt idx="2">
                  <c:v>9813.4931083700048</c:v>
                </c:pt>
                <c:pt idx="3">
                  <c:v>10425.003432494526</c:v>
                </c:pt>
                <c:pt idx="4">
                  <c:v>10687.13068018477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2"/>
          <c:tx>
            <c:strRef>
              <c:f>'Cost Comparison'!$E$104</c:f>
              <c:strCache>
                <c:ptCount val="1"/>
                <c:pt idx="0">
                  <c:v>Rent &amp; Rates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Comparison'!$J$104:$N$104</c:f>
              <c:numCache>
                <c:formatCode>#,##0;[Red]\(#,##0\);\-</c:formatCode>
                <c:ptCount val="5"/>
                <c:pt idx="0">
                  <c:v>2777.9162419999993</c:v>
                </c:pt>
                <c:pt idx="1">
                  <c:v>3015.4067433679998</c:v>
                </c:pt>
                <c:pt idx="2">
                  <c:v>3100.0497577839428</c:v>
                </c:pt>
                <c:pt idx="3">
                  <c:v>3215.6993914353743</c:v>
                </c:pt>
                <c:pt idx="4">
                  <c:v>3280.0133792640813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ser>
          <c:idx val="5"/>
          <c:order val="3"/>
          <c:tx>
            <c:strRef>
              <c:f>'Cost Comparison'!$E$105</c:f>
              <c:strCache>
                <c:ptCount val="1"/>
                <c:pt idx="0">
                  <c:v>Computing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Comparison'!$J$105:$N$105</c:f>
              <c:numCache>
                <c:formatCode>#,##0;[Red]\(#,##0\);\-</c:formatCode>
                <c:ptCount val="5"/>
                <c:pt idx="0">
                  <c:v>1637.8935559999995</c:v>
                </c:pt>
                <c:pt idx="1">
                  <c:v>2393.9500985519999</c:v>
                </c:pt>
                <c:pt idx="2">
                  <c:v>3057.972394257863</c:v>
                </c:pt>
                <c:pt idx="3">
                  <c:v>3248.9615473027402</c:v>
                </c:pt>
                <c:pt idx="4">
                  <c:v>3574.4156478733703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FE9-4C7B-A674-8DEC41C71E63}"/>
            </c:ext>
          </c:extLst>
        </c:ser>
        <c:ser>
          <c:idx val="6"/>
          <c:order val="4"/>
          <c:tx>
            <c:strRef>
              <c:f>'Cost Comparison'!$E$106</c:f>
              <c:strCache>
                <c:ptCount val="1"/>
                <c:pt idx="0">
                  <c:v>Consultancy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Comparison'!$J$106:$N$106</c:f>
              <c:numCache>
                <c:formatCode>#,##0;[Red]\(#,##0\);\-</c:formatCode>
                <c:ptCount val="5"/>
                <c:pt idx="0">
                  <c:v>420.65008199999988</c:v>
                </c:pt>
                <c:pt idx="1">
                  <c:v>1154.1337689439999</c:v>
                </c:pt>
                <c:pt idx="2">
                  <c:v>1710.4448273351513</c:v>
                </c:pt>
                <c:pt idx="3">
                  <c:v>1657.7429295187364</c:v>
                </c:pt>
                <c:pt idx="4">
                  <c:v>1778.4523661341784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FE9-4C7B-A674-8DEC41C71E63}"/>
            </c:ext>
          </c:extLst>
        </c:ser>
        <c:ser>
          <c:idx val="8"/>
          <c:order val="5"/>
          <c:tx>
            <c:strRef>
              <c:f>'Cost Comparison'!$E$108</c:f>
              <c:strCache>
                <c:ptCount val="1"/>
                <c:pt idx="0">
                  <c:v>Building Repairs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Comparison'!$J$108:$N$108</c:f>
              <c:numCache>
                <c:formatCode>#,##0;[Red]\(#,##0\);\-</c:formatCode>
                <c:ptCount val="5"/>
                <c:pt idx="0">
                  <c:v>821.99496699999975</c:v>
                </c:pt>
                <c:pt idx="1">
                  <c:v>1645.5180927519998</c:v>
                </c:pt>
                <c:pt idx="2">
                  <c:v>1471.6557893246475</c:v>
                </c:pt>
                <c:pt idx="3">
                  <c:v>1561.1753802263829</c:v>
                </c:pt>
                <c:pt idx="4">
                  <c:v>1532.2051154386768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FE9-4C7B-A674-8DEC41C71E63}"/>
            </c:ext>
          </c:extLst>
        </c:ser>
        <c:ser>
          <c:idx val="10"/>
          <c:order val="6"/>
          <c:tx>
            <c:strRef>
              <c:f>'Cost Comparison'!$E$110</c:f>
              <c:strCache>
                <c:ptCount val="1"/>
                <c:pt idx="0">
                  <c:v>Redacted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Comparison'!$J$110:$N$110</c:f>
              <c:numCache>
                <c:formatCode>#,##0;[Red]\(#,##0\);\-</c:formatCode>
                <c:ptCount val="5"/>
                <c:pt idx="0">
                  <c:v>11121.825597999998</c:v>
                </c:pt>
                <c:pt idx="1">
                  <c:v>13456.291304279999</c:v>
                </c:pt>
                <c:pt idx="2">
                  <c:v>17009.774205417834</c:v>
                </c:pt>
                <c:pt idx="3">
                  <c:v>18106.415492316297</c:v>
                </c:pt>
                <c:pt idx="4">
                  <c:v>16661.636198170298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B5-443B-B6DB-2366F64977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Other</a:t>
                </a:r>
                <a:r>
                  <a:rPr lang="en-GB" baseline="0"/>
                  <a:t> Opex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Comparison'!$E$120</c:f>
              <c:strCache>
                <c:ptCount val="1"/>
                <c:pt idx="0">
                  <c:v>Admin&amp;Other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Comparison'!$J$120:$N$120</c:f>
              <c:numCache>
                <c:formatCode>#,##0;[Red]\(#,##0\);\-</c:formatCode>
                <c:ptCount val="5"/>
                <c:pt idx="0">
                  <c:v>6436.993815552999</c:v>
                </c:pt>
                <c:pt idx="1">
                  <c:v>7076.6785655609674</c:v>
                </c:pt>
                <c:pt idx="2">
                  <c:v>8361.8240667202444</c:v>
                </c:pt>
                <c:pt idx="3">
                  <c:v>8625.6280973470039</c:v>
                </c:pt>
                <c:pt idx="4">
                  <c:v>8791.5740659420644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3-421C-B7A9-DFE44FFC2385}"/>
            </c:ext>
          </c:extLst>
        </c:ser>
        <c:ser>
          <c:idx val="3"/>
          <c:order val="1"/>
          <c:tx>
            <c:strRef>
              <c:f>'Cost Comparison'!$E$123</c:f>
              <c:strCache>
                <c:ptCount val="1"/>
                <c:pt idx="0">
                  <c:v>Operational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Comparison'!$J$123:$N$123</c:f>
              <c:numCache>
                <c:formatCode>#,##0;[Red]\(#,##0\);\-</c:formatCode>
                <c:ptCount val="5"/>
                <c:pt idx="0">
                  <c:v>5401.285237447998</c:v>
                </c:pt>
                <c:pt idx="1">
                  <c:v>5938.0450815370878</c:v>
                </c:pt>
                <c:pt idx="2">
                  <c:v>7063.9343240019798</c:v>
                </c:pt>
                <c:pt idx="3">
                  <c:v>7146.3105608183787</c:v>
                </c:pt>
                <c:pt idx="4">
                  <c:v>7224.9306705558974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843-421C-B7A9-DFE44FFC2385}"/>
            </c:ext>
          </c:extLst>
        </c:ser>
        <c:ser>
          <c:idx val="4"/>
          <c:order val="2"/>
          <c:tx>
            <c:strRef>
              <c:f>'Cost Comparison'!$E$124</c:f>
              <c:strCache>
                <c:ptCount val="1"/>
                <c:pt idx="0">
                  <c:v>Rent &amp; Rates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Comparison'!$J$124:$N$124</c:f>
              <c:numCache>
                <c:formatCode>#,##0;[Red]\(#,##0\);\-</c:formatCode>
                <c:ptCount val="5"/>
                <c:pt idx="0">
                  <c:v>2230.890276185999</c:v>
                </c:pt>
                <c:pt idx="1">
                  <c:v>2452.5879396464161</c:v>
                </c:pt>
                <c:pt idx="2">
                  <c:v>2707.6783429032471</c:v>
                </c:pt>
                <c:pt idx="3">
                  <c:v>2761.8319097613125</c:v>
                </c:pt>
                <c:pt idx="4">
                  <c:v>2817.0685479565386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843-421C-B7A9-DFE44FFC2385}"/>
            </c:ext>
          </c:extLst>
        </c:ser>
        <c:ser>
          <c:idx val="5"/>
          <c:order val="3"/>
          <c:tx>
            <c:strRef>
              <c:f>'Cost Comparison'!$E$125</c:f>
              <c:strCache>
                <c:ptCount val="1"/>
                <c:pt idx="0">
                  <c:v>Computing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Comparison'!$J$125:$N$125</c:f>
              <c:numCache>
                <c:formatCode>#,##0;[Red]\(#,##0\);\-</c:formatCode>
                <c:ptCount val="5"/>
                <c:pt idx="0">
                  <c:v>1438.7248867399996</c:v>
                </c:pt>
                <c:pt idx="1">
                  <c:v>1581.70006985744</c:v>
                </c:pt>
                <c:pt idx="2">
                  <c:v>1629.0398559894209</c:v>
                </c:pt>
                <c:pt idx="3">
                  <c:v>1730.744026784507</c:v>
                </c:pt>
                <c:pt idx="4">
                  <c:v>1842.5051065528669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843-421C-B7A9-DFE44FFC2385}"/>
            </c:ext>
          </c:extLst>
        </c:ser>
        <c:ser>
          <c:idx val="6"/>
          <c:order val="4"/>
          <c:tx>
            <c:strRef>
              <c:f>'Cost Comparison'!$E$126</c:f>
              <c:strCache>
                <c:ptCount val="1"/>
                <c:pt idx="0">
                  <c:v>Consultancy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Comparison'!$J$126:$N$126</c:f>
              <c:numCache>
                <c:formatCode>#,##0;[Red]\(#,##0\);\-</c:formatCode>
                <c:ptCount val="5"/>
                <c:pt idx="0">
                  <c:v>877.96886160699978</c:v>
                </c:pt>
                <c:pt idx="1">
                  <c:v>965.21817515999192</c:v>
                </c:pt>
                <c:pt idx="2">
                  <c:v>1065.6092312979756</c:v>
                </c:pt>
                <c:pt idx="3">
                  <c:v>1086.9214159239352</c:v>
                </c:pt>
                <c:pt idx="4">
                  <c:v>1108.659844242414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843-421C-B7A9-DFE44FFC2385}"/>
            </c:ext>
          </c:extLst>
        </c:ser>
        <c:ser>
          <c:idx val="8"/>
          <c:order val="5"/>
          <c:tx>
            <c:strRef>
              <c:f>'Cost Comparison'!$E$128</c:f>
              <c:strCache>
                <c:ptCount val="1"/>
                <c:pt idx="0">
                  <c:v>Building Repairs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Comparison'!$J$128:$N$128</c:f>
              <c:numCache>
                <c:formatCode>#,##0;[Red]\(#,##0\);\-</c:formatCode>
                <c:ptCount val="5"/>
                <c:pt idx="0">
                  <c:v>822.49995031099968</c:v>
                </c:pt>
                <c:pt idx="1">
                  <c:v>904.2369676474159</c:v>
                </c:pt>
                <c:pt idx="2">
                  <c:v>918.42261368374784</c:v>
                </c:pt>
                <c:pt idx="3">
                  <c:v>919.92886968910011</c:v>
                </c:pt>
                <c:pt idx="4">
                  <c:v>923.3141352592562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43-421C-B7A9-DFE44FFC2385}"/>
            </c:ext>
          </c:extLst>
        </c:ser>
        <c:ser>
          <c:idx val="10"/>
          <c:order val="6"/>
          <c:tx>
            <c:strRef>
              <c:f>'Cost Comparison'!$E$130</c:f>
              <c:strCache>
                <c:ptCount val="1"/>
                <c:pt idx="0">
                  <c:v>Redacted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Comparison'!$J$130:$N$130</c:f>
              <c:numCache>
                <c:formatCode>#,##0;[Red]\(#,##0\);\-</c:formatCode>
                <c:ptCount val="5"/>
                <c:pt idx="0">
                  <c:v>10260.881888020996</c:v>
                </c:pt>
                <c:pt idx="1">
                  <c:v>11280.570558459176</c:v>
                </c:pt>
                <c:pt idx="2">
                  <c:v>12125.636344622439</c:v>
                </c:pt>
                <c:pt idx="3">
                  <c:v>13728.659874040963</c:v>
                </c:pt>
                <c:pt idx="4">
                  <c:v>14706.004557431803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C6-4B91-97B7-CC3DC0F9EA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Other</a:t>
                </a:r>
                <a:r>
                  <a:rPr lang="en-GB" baseline="0"/>
                  <a:t> Opex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Comparison'!$J$116:$N$116</c:f>
              <c:numCache>
                <c:formatCode>#,##0;[Red]\(#,##0\);\-</c:formatCode>
                <c:ptCount val="5"/>
                <c:pt idx="0">
                  <c:v>26872.834223999991</c:v>
                </c:pt>
                <c:pt idx="1">
                  <c:v>35394.123794287996</c:v>
                </c:pt>
                <c:pt idx="2">
                  <c:v>44406.34559724851</c:v>
                </c:pt>
                <c:pt idx="3">
                  <c:v>46723.672238720319</c:v>
                </c:pt>
                <c:pt idx="4">
                  <c:v>46380.943276554055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2B-4D15-BC70-C657BEB15BF8}"/>
            </c:ext>
          </c:extLst>
        </c:ser>
        <c:ser>
          <c:idx val="1"/>
          <c:order val="1"/>
          <c:tx>
            <c:v>CAR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Comparison'!$J$136:$N$136</c:f>
              <c:numCache>
                <c:formatCode>#,##0;[Red]\(#,##0\);\-</c:formatCode>
                <c:ptCount val="5"/>
                <c:pt idx="0">
                  <c:v>27469.244915865995</c:v>
                </c:pt>
                <c:pt idx="1">
                  <c:v>30199.037357868496</c:v>
                </c:pt>
                <c:pt idx="2">
                  <c:v>33872.144779219059</c:v>
                </c:pt>
                <c:pt idx="3">
                  <c:v>36000.0247543652</c:v>
                </c:pt>
                <c:pt idx="4">
                  <c:v>37414.056927940845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2B-4D15-BC70-C657BEB15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Other OPex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Comparison'!$E$167</c:f>
              <c:strCache>
                <c:ptCount val="1"/>
                <c:pt idx="0">
                  <c:v>New Dublin Tower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Comparison'!$J$167:$N$167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44264.514381206427</c:v>
                </c:pt>
                <c:pt idx="2">
                  <c:v>4674.7925649999997</c:v>
                </c:pt>
                <c:pt idx="3">
                  <c:v>916.71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'Cost Comparison'!$E$168</c:f>
              <c:strCache>
                <c:ptCount val="1"/>
                <c:pt idx="0">
                  <c:v>CEROC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Comparison'!$J$168:$N$168</c:f>
              <c:numCache>
                <c:formatCode>#,##0;[Red]\(#,##0\);\-</c:formatCode>
                <c:ptCount val="5"/>
                <c:pt idx="0">
                  <c:v>13566.4228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2"/>
          <c:tx>
            <c:strRef>
              <c:f>'Cost Comparison'!$E$169</c:f>
              <c:strCache>
                <c:ptCount val="1"/>
                <c:pt idx="0">
                  <c:v>COOPANS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Comparison'!$J$169:$N$169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4622.5299706314236</c:v>
                </c:pt>
                <c:pt idx="2">
                  <c:v>1566.8624571708274</c:v>
                </c:pt>
                <c:pt idx="3">
                  <c:v>2949.3881546744983</c:v>
                </c:pt>
                <c:pt idx="4">
                  <c:v>276.50513950073423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3"/>
          <c:tx>
            <c:strRef>
              <c:f>'Cost Comparison'!$E$170</c:f>
              <c:strCache>
                <c:ptCount val="1"/>
                <c:pt idx="0">
                  <c:v>RADAR Upgrades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Comparison'!$J$170:$N$170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4"/>
          <c:tx>
            <c:strRef>
              <c:f>'Cost Comparison'!$E$171</c:f>
              <c:strCache>
                <c:ptCount val="1"/>
                <c:pt idx="0">
                  <c:v>Emergency Air Situation Display System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Comparison'!$J$171:$N$171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4650</c:v>
                </c:pt>
                <c:pt idx="3">
                  <c:v>2850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ser>
          <c:idx val="5"/>
          <c:order val="5"/>
          <c:tx>
            <c:strRef>
              <c:f>'Cost Comparison'!$E$172</c:f>
              <c:strCache>
                <c:ptCount val="1"/>
                <c:pt idx="0">
                  <c:v>NAV Aids Replacement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Comparison'!$J$172:$N$172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C3-458E-9C1A-296BB4E09CF5}"/>
            </c:ext>
          </c:extLst>
        </c:ser>
        <c:ser>
          <c:idx val="6"/>
          <c:order val="6"/>
          <c:tx>
            <c:strRef>
              <c:f>'Cost Comparison'!$E$173</c:f>
              <c:strCache>
                <c:ptCount val="1"/>
                <c:pt idx="0">
                  <c:v>Plant &amp; Equipment upgrades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Comparison'!$J$173:$N$173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75</c:v>
                </c:pt>
                <c:pt idx="3">
                  <c:v>6585</c:v>
                </c:pt>
                <c:pt idx="4">
                  <c:v>348.75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1C3-458E-9C1A-296BB4E09CF5}"/>
            </c:ext>
          </c:extLst>
        </c:ser>
        <c:ser>
          <c:idx val="7"/>
          <c:order val="7"/>
          <c:tx>
            <c:strRef>
              <c:f>'Cost Comparison'!$E$174</c:f>
              <c:strCache>
                <c:ptCount val="1"/>
                <c:pt idx="0">
                  <c:v>Structural Upgrades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Comparison'!$J$174:$N$174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930</c:v>
                </c:pt>
                <c:pt idx="3">
                  <c:v>387.5</c:v>
                </c:pt>
                <c:pt idx="4">
                  <c:v>1937.5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1C3-458E-9C1A-296BB4E09CF5}"/>
            </c:ext>
          </c:extLst>
        </c:ser>
        <c:ser>
          <c:idx val="9"/>
          <c:order val="8"/>
          <c:tx>
            <c:strRef>
              <c:f>'Cost Comparison'!$E$176</c:f>
              <c:strCache>
                <c:ptCount val="1"/>
                <c:pt idx="0">
                  <c:v>Other RP3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Comparison'!$J$176:$N$176</c:f>
              <c:numCache>
                <c:formatCode>#,##0;[Red]\(#,##0\);\-</c:formatCode>
                <c:ptCount val="5"/>
                <c:pt idx="0">
                  <c:v>1731.9064299999955</c:v>
                </c:pt>
                <c:pt idx="1">
                  <c:v>11825.627628932991</c:v>
                </c:pt>
                <c:pt idx="2">
                  <c:v>26370.70546091667</c:v>
                </c:pt>
                <c:pt idx="3">
                  <c:v>16200.233499999998</c:v>
                </c:pt>
                <c:pt idx="4">
                  <c:v>13103.202640000001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C3-458E-9C1A-296BB4E09CF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Capitalisations (€'000s)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4240555184553"/>
          <c:y val="6.9012800970428584E-2"/>
          <c:w val="0.29415928091344873"/>
          <c:h val="0.90094291538376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8"/>
          <c:order val="0"/>
          <c:tx>
            <c:strRef>
              <c:f>'Cost Comparison'!$E$196</c:f>
              <c:strCache>
                <c:ptCount val="1"/>
                <c:pt idx="0">
                  <c:v>Pre-RP3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'Cost Comparison'!$J$196:$N$196</c:f>
              <c:numCache>
                <c:formatCode>#,##0;[Red]\(#,##0\);\-</c:formatCode>
                <c:ptCount val="5"/>
                <c:pt idx="0">
                  <c:v>8550.5722256201316</c:v>
                </c:pt>
                <c:pt idx="1">
                  <c:v>7980.2620400368105</c:v>
                </c:pt>
                <c:pt idx="2">
                  <c:v>6432.2138783700902</c:v>
                </c:pt>
                <c:pt idx="3">
                  <c:v>4529.4260649534535</c:v>
                </c:pt>
                <c:pt idx="4">
                  <c:v>2415.1777417867866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5B6-4100-89DF-95A349A22B96}"/>
            </c:ext>
          </c:extLst>
        </c:ser>
        <c:ser>
          <c:idx val="9"/>
          <c:order val="1"/>
          <c:tx>
            <c:strRef>
              <c:f>'Cost Comparison'!$E$195</c:f>
              <c:strCache>
                <c:ptCount val="1"/>
                <c:pt idx="0">
                  <c:v>Other RP3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Comparison'!$J$195:$N$195</c:f>
              <c:numCache>
                <c:formatCode>#,##0;[Red]#,##0</c:formatCode>
                <c:ptCount val="5"/>
                <c:pt idx="0">
                  <c:v>163.33345000000008</c:v>
                </c:pt>
                <c:pt idx="1">
                  <c:v>1079.3533831755844</c:v>
                </c:pt>
                <c:pt idx="2">
                  <c:v>4647.9936819264749</c:v>
                </c:pt>
                <c:pt idx="3">
                  <c:v>7173.8275773389933</c:v>
                </c:pt>
                <c:pt idx="4">
                  <c:v>8945.8883493164158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5B6-4100-89DF-95A349A22B96}"/>
            </c:ext>
          </c:extLst>
        </c:ser>
        <c:ser>
          <c:idx val="0"/>
          <c:order val="2"/>
          <c:tx>
            <c:strRef>
              <c:f>'Cost Comparison'!$E$186</c:f>
              <c:strCache>
                <c:ptCount val="1"/>
                <c:pt idx="0">
                  <c:v>New Dublin Tower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Comparison'!$J$186:$N$186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1401.8086550754017</c:v>
                </c:pt>
                <c:pt idx="2">
                  <c:v>3095.7918454633032</c:v>
                </c:pt>
                <c:pt idx="3">
                  <c:v>3502.5551307758033</c:v>
                </c:pt>
                <c:pt idx="4">
                  <c:v>3502.5551307758033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B6-4100-89DF-95A349A22B96}"/>
            </c:ext>
          </c:extLst>
        </c:ser>
        <c:ser>
          <c:idx val="1"/>
          <c:order val="3"/>
          <c:tx>
            <c:strRef>
              <c:f>'Cost Comparison'!$E$187</c:f>
              <c:strCache>
                <c:ptCount val="1"/>
                <c:pt idx="0">
                  <c:v>CEROC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Comparison'!$J$187:$N$187</c:f>
              <c:numCache>
                <c:formatCode>#,##0;[Red]\(#,##0\);\-</c:formatCode>
                <c:ptCount val="5"/>
                <c:pt idx="0">
                  <c:v>112.30949</c:v>
                </c:pt>
                <c:pt idx="1">
                  <c:v>1347.1264422702704</c:v>
                </c:pt>
                <c:pt idx="2">
                  <c:v>1347.1264422702704</c:v>
                </c:pt>
                <c:pt idx="3">
                  <c:v>1347.0775014594597</c:v>
                </c:pt>
                <c:pt idx="4">
                  <c:v>1325.9836520000001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B6-4100-89DF-95A349A22B96}"/>
            </c:ext>
          </c:extLst>
        </c:ser>
        <c:ser>
          <c:idx val="2"/>
          <c:order val="4"/>
          <c:tx>
            <c:strRef>
              <c:f>'Cost Comparison'!$E$188</c:f>
              <c:strCache>
                <c:ptCount val="1"/>
                <c:pt idx="0">
                  <c:v>COOPANS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Comparison'!$J$188:$N$188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234.50812758504645</c:v>
                </c:pt>
                <c:pt idx="2">
                  <c:v>724.70960168869306</c:v>
                </c:pt>
                <c:pt idx="3">
                  <c:v>932.08845631424367</c:v>
                </c:pt>
                <c:pt idx="4">
                  <c:v>1176.9107152471854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B6-4100-89DF-95A349A22B96}"/>
            </c:ext>
          </c:extLst>
        </c:ser>
        <c:ser>
          <c:idx val="3"/>
          <c:order val="5"/>
          <c:tx>
            <c:strRef>
              <c:f>'Cost Comparison'!$E$189</c:f>
              <c:strCache>
                <c:ptCount val="1"/>
                <c:pt idx="0">
                  <c:v>RADAR Upgrades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Comparison'!$J$189:$N$189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B6-4100-89DF-95A349A22B96}"/>
            </c:ext>
          </c:extLst>
        </c:ser>
        <c:ser>
          <c:idx val="4"/>
          <c:order val="6"/>
          <c:tx>
            <c:strRef>
              <c:f>'Cost Comparison'!$E$190</c:f>
              <c:strCache>
                <c:ptCount val="1"/>
                <c:pt idx="0">
                  <c:v>Emergency Air Situation Display System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Comparison'!$J$190:$N$190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145.3125</c:v>
                </c:pt>
                <c:pt idx="3">
                  <c:v>848.4375</c:v>
                </c:pt>
                <c:pt idx="4">
                  <c:v>937.5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5B6-4100-89DF-95A349A22B96}"/>
            </c:ext>
          </c:extLst>
        </c:ser>
        <c:ser>
          <c:idx val="5"/>
          <c:order val="7"/>
          <c:tx>
            <c:strRef>
              <c:f>'Cost Comparison'!$E$191</c:f>
              <c:strCache>
                <c:ptCount val="1"/>
                <c:pt idx="0">
                  <c:v>NAV Aids Replacement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Comparison'!$J$191:$N$191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5B6-4100-89DF-95A349A22B96}"/>
            </c:ext>
          </c:extLst>
        </c:ser>
        <c:ser>
          <c:idx val="6"/>
          <c:order val="8"/>
          <c:tx>
            <c:strRef>
              <c:f>'Cost Comparison'!$E$192</c:f>
              <c:strCache>
                <c:ptCount val="1"/>
                <c:pt idx="0">
                  <c:v>Plant &amp; Equipment upgrades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Comparison'!$J$192:$N$192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2.34375</c:v>
                </c:pt>
                <c:pt idx="3">
                  <c:v>614.53125</c:v>
                </c:pt>
                <c:pt idx="4">
                  <c:v>876.09375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5B6-4100-89DF-95A349A22B96}"/>
            </c:ext>
          </c:extLst>
        </c:ser>
        <c:ser>
          <c:idx val="7"/>
          <c:order val="9"/>
          <c:tx>
            <c:strRef>
              <c:f>'Cost Comparison'!$E$193</c:f>
              <c:strCache>
                <c:ptCount val="1"/>
                <c:pt idx="0">
                  <c:v>Structural Upgrades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Comparison'!$J$193:$N$193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11.625</c:v>
                </c:pt>
                <c:pt idx="3">
                  <c:v>124</c:v>
                </c:pt>
                <c:pt idx="4">
                  <c:v>220.875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5B6-4100-89DF-95A349A22B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Depreciation (€'000s)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639627546839244"/>
          <c:y val="3.4374118904094829E-2"/>
          <c:w val="0.26818706096351175"/>
          <c:h val="0.930987199029571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Comparison'!$E$212</c:f>
              <c:strCache>
                <c:ptCount val="1"/>
                <c:pt idx="0">
                  <c:v>New Dublin Tower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Comparison'!$J$212:$N$212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44264.514381206427</c:v>
                </c:pt>
                <c:pt idx="2">
                  <c:v>4674.7925649999997</c:v>
                </c:pt>
                <c:pt idx="3">
                  <c:v>916.71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90-4A3E-8794-82EE2A106DF2}"/>
            </c:ext>
          </c:extLst>
        </c:ser>
        <c:ser>
          <c:idx val="1"/>
          <c:order val="1"/>
          <c:tx>
            <c:strRef>
              <c:f>'Cost Comparison'!$E$213</c:f>
              <c:strCache>
                <c:ptCount val="1"/>
                <c:pt idx="0">
                  <c:v>CEROC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Comparison'!$J$213:$N$213</c:f>
              <c:numCache>
                <c:formatCode>#,##0;[Red]\(#,##0\);\-</c:formatCode>
                <c:ptCount val="5"/>
                <c:pt idx="0">
                  <c:v>13566.4228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90-4A3E-8794-82EE2A106DF2}"/>
            </c:ext>
          </c:extLst>
        </c:ser>
        <c:ser>
          <c:idx val="2"/>
          <c:order val="2"/>
          <c:tx>
            <c:strRef>
              <c:f>'Cost Comparison'!$E$214</c:f>
              <c:strCache>
                <c:ptCount val="1"/>
                <c:pt idx="0">
                  <c:v>COOPANS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Comparison'!$J$214:$N$214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3698.0239765051392</c:v>
                </c:pt>
                <c:pt idx="2">
                  <c:v>1253.489965736662</c:v>
                </c:pt>
                <c:pt idx="3">
                  <c:v>2359.5105237395987</c:v>
                </c:pt>
                <c:pt idx="4">
                  <c:v>221.2041116005874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90-4A3E-8794-82EE2A106DF2}"/>
            </c:ext>
          </c:extLst>
        </c:ser>
        <c:ser>
          <c:idx val="3"/>
          <c:order val="3"/>
          <c:tx>
            <c:strRef>
              <c:f>'Cost Comparison'!$E$215</c:f>
              <c:strCache>
                <c:ptCount val="1"/>
                <c:pt idx="0">
                  <c:v>RADAR Upgrades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Comparison'!$J$215:$N$215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90-4A3E-8794-82EE2A106DF2}"/>
            </c:ext>
          </c:extLst>
        </c:ser>
        <c:ser>
          <c:idx val="4"/>
          <c:order val="4"/>
          <c:tx>
            <c:strRef>
              <c:f>'Cost Comparison'!$E$216</c:f>
              <c:strCache>
                <c:ptCount val="1"/>
                <c:pt idx="0">
                  <c:v>Emergency Air Situation Display System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Comparison'!$J$216:$N$216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3720</c:v>
                </c:pt>
                <c:pt idx="3">
                  <c:v>2280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90-4A3E-8794-82EE2A106DF2}"/>
            </c:ext>
          </c:extLst>
        </c:ser>
        <c:ser>
          <c:idx val="5"/>
          <c:order val="5"/>
          <c:tx>
            <c:strRef>
              <c:f>'Cost Comparison'!$E$217</c:f>
              <c:strCache>
                <c:ptCount val="1"/>
                <c:pt idx="0">
                  <c:v>NAV Aids Replacement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Comparison'!$J$217:$N$217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90-4A3E-8794-82EE2A106DF2}"/>
            </c:ext>
          </c:extLst>
        </c:ser>
        <c:ser>
          <c:idx val="6"/>
          <c:order val="6"/>
          <c:tx>
            <c:strRef>
              <c:f>'Cost Comparison'!$E$218</c:f>
              <c:strCache>
                <c:ptCount val="1"/>
                <c:pt idx="0">
                  <c:v>Plant &amp; Equipment upgrades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Comparison'!$J$218:$N$218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3">
                  <c:v>5268</c:v>
                </c:pt>
                <c:pt idx="4">
                  <c:v>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90-4A3E-8794-82EE2A106DF2}"/>
            </c:ext>
          </c:extLst>
        </c:ser>
        <c:ser>
          <c:idx val="7"/>
          <c:order val="7"/>
          <c:tx>
            <c:strRef>
              <c:f>'Cost Comparison'!$E$219</c:f>
              <c:strCache>
                <c:ptCount val="1"/>
                <c:pt idx="0">
                  <c:v>Structural Upgrades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Comparison'!$J$219:$N$219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744</c:v>
                </c:pt>
                <c:pt idx="3">
                  <c:v>310</c:v>
                </c:pt>
                <c:pt idx="4">
                  <c:v>1550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90-4A3E-8794-82EE2A106DF2}"/>
            </c:ext>
          </c:extLst>
        </c:ser>
        <c:ser>
          <c:idx val="9"/>
          <c:order val="8"/>
          <c:tx>
            <c:strRef>
              <c:f>'Cost Comparison'!$E$221</c:f>
              <c:strCache>
                <c:ptCount val="1"/>
                <c:pt idx="0">
                  <c:v>Other RP3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Comparison'!$J$221:$N$221</c:f>
              <c:numCache>
                <c:formatCode>#,##0;[Red]\(#,##0\);\-</c:formatCode>
                <c:ptCount val="5"/>
                <c:pt idx="0">
                  <c:v>1731.9064299999955</c:v>
                </c:pt>
                <c:pt idx="1">
                  <c:v>9460.5021031463766</c:v>
                </c:pt>
                <c:pt idx="2">
                  <c:v>21096.564368733332</c:v>
                </c:pt>
                <c:pt idx="3">
                  <c:v>12960.186800000001</c:v>
                </c:pt>
                <c:pt idx="4">
                  <c:v>10482.562112000001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790-4A3E-8794-82EE2A106DF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Capitalisations (€'000s)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04240555184553"/>
          <c:y val="6.9012800970428584E-2"/>
          <c:w val="0.29415928091344873"/>
          <c:h val="0.900942915383768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Comparison'!$J$178:$N$178</c:f>
              <c:numCache>
                <c:formatCode>#,##0;[Red]\(#,##0\);\-</c:formatCode>
                <c:ptCount val="5"/>
                <c:pt idx="0">
                  <c:v>15298.329229999996</c:v>
                </c:pt>
                <c:pt idx="1">
                  <c:v>60712.671980770843</c:v>
                </c:pt>
                <c:pt idx="2">
                  <c:v>38267.360483087497</c:v>
                </c:pt>
                <c:pt idx="3">
                  <c:v>29888.831654674497</c:v>
                </c:pt>
                <c:pt idx="4">
                  <c:v>15665.957779500735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v>CAR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Comparison'!$J$223:$N$223</c:f>
              <c:numCache>
                <c:formatCode>#,##0;[Red]\(#,##0\);\-</c:formatCode>
                <c:ptCount val="5"/>
                <c:pt idx="0">
                  <c:v>15298.329229999996</c:v>
                </c:pt>
                <c:pt idx="1">
                  <c:v>57423.040460857941</c:v>
                </c:pt>
                <c:pt idx="2">
                  <c:v>31548.846899469994</c:v>
                </c:pt>
                <c:pt idx="3">
                  <c:v>24094.407323739601</c:v>
                </c:pt>
                <c:pt idx="4">
                  <c:v>12532.766223600589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Capitalisations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Comparison'!$J$198:$N$198</c:f>
              <c:numCache>
                <c:formatCode>#,##0;[Red]\(#,##0\);\-</c:formatCode>
                <c:ptCount val="5"/>
                <c:pt idx="0">
                  <c:v>8826.2151656201313</c:v>
                </c:pt>
                <c:pt idx="1">
                  <c:v>12043.058648143113</c:v>
                </c:pt>
                <c:pt idx="2">
                  <c:v>16407.116699718834</c:v>
                </c:pt>
                <c:pt idx="3">
                  <c:v>19071.943480841954</c:v>
                </c:pt>
                <c:pt idx="4">
                  <c:v>19400.984339126189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D1-4266-BB60-540D81B225B9}"/>
            </c:ext>
          </c:extLst>
        </c:ser>
        <c:ser>
          <c:idx val="1"/>
          <c:order val="1"/>
          <c:tx>
            <c:v>CAR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Comparison'!$J$243:$N$243</c:f>
              <c:numCache>
                <c:formatCode>#,##0;[Red]\(#,##0\);\-</c:formatCode>
                <c:ptCount val="5"/>
                <c:pt idx="0">
                  <c:v>8815.4378872867983</c:v>
                </c:pt>
                <c:pt idx="1">
                  <c:v>11086.500276446994</c:v>
                </c:pt>
                <c:pt idx="2">
                  <c:v>13402.361770174026</c:v>
                </c:pt>
                <c:pt idx="3">
                  <c:v>14321.112210266258</c:v>
                </c:pt>
                <c:pt idx="4">
                  <c:v>13612.731708390947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D1-4266-BB60-540D81B22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Depreciation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Comparison'!$D$300</c:f>
              <c:strCache>
                <c:ptCount val="1"/>
                <c:pt idx="0">
                  <c:v>Cost of Equity (Pre-Tax)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Comparison'!$J$305:$N$305</c:f>
              <c:numCache>
                <c:formatCode>#,##0.0%;[Red]\(#,##0.0%\);\-</c:formatCode>
                <c:ptCount val="5"/>
                <c:pt idx="0">
                  <c:v>4.4658833272198925E-2</c:v>
                </c:pt>
                <c:pt idx="1">
                  <c:v>5.7761428571428609E-2</c:v>
                </c:pt>
                <c:pt idx="2">
                  <c:v>5.9458571428571423E-2</c:v>
                </c:pt>
                <c:pt idx="3">
                  <c:v>6.0024285714285731E-2</c:v>
                </c:pt>
                <c:pt idx="4">
                  <c:v>6.0024285714285731E-2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'Cost Comparison'!$D$301</c:f>
              <c:strCache>
                <c:ptCount val="1"/>
                <c:pt idx="0">
                  <c:v>Cost of Debt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Comparison'!$J$306:$N$306</c:f>
              <c:numCache>
                <c:formatCode>#,##0.0%;[Red]\(#,##0.0%\);\-</c:formatCode>
                <c:ptCount val="5"/>
                <c:pt idx="0">
                  <c:v>-1.2225952992296341E-3</c:v>
                </c:pt>
                <c:pt idx="1">
                  <c:v>9.3043650009876355E-3</c:v>
                </c:pt>
                <c:pt idx="2">
                  <c:v>1.0808216472447119E-2</c:v>
                </c:pt>
                <c:pt idx="3">
                  <c:v>1.1309500296267094E-2</c:v>
                </c:pt>
                <c:pt idx="4">
                  <c:v>1.1309500296267094E-2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Nominal</a:t>
                </a:r>
                <a:r>
                  <a:rPr lang="en-GB" baseline="0"/>
                  <a:t> WACC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%;[Red]\(#,##0.0%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Costs &amp; Profitability'!$E$46</c:f>
              <c:strCache>
                <c:ptCount val="1"/>
                <c:pt idx="0">
                  <c:v>Staff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Profitability'!$H$46:$Q$46</c:f>
              <c:numCache>
                <c:formatCode>#,##0;[Red]\(#,##0\);\-</c:formatCode>
                <c:ptCount val="10"/>
                <c:pt idx="0">
                  <c:v>10395.457830577561</c:v>
                </c:pt>
                <c:pt idx="1">
                  <c:v>10729.187562688065</c:v>
                </c:pt>
                <c:pt idx="2">
                  <c:v>11130</c:v>
                </c:pt>
                <c:pt idx="3">
                  <c:v>11283.018867924529</c:v>
                </c:pt>
                <c:pt idx="4">
                  <c:v>10979.634136859628</c:v>
                </c:pt>
                <c:pt idx="5">
                  <c:v>10075.676606938901</c:v>
                </c:pt>
                <c:pt idx="6">
                  <c:v>8806.0016463883167</c:v>
                </c:pt>
                <c:pt idx="7">
                  <c:v>10361.613442240508</c:v>
                </c:pt>
                <c:pt idx="8">
                  <c:v>10949.661683157483</c:v>
                </c:pt>
                <c:pt idx="9">
                  <c:v>11921.173823921537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A-4A9E-A50D-63C460AF343E}"/>
            </c:ext>
          </c:extLst>
        </c:ser>
        <c:ser>
          <c:idx val="1"/>
          <c:order val="1"/>
          <c:tx>
            <c:strRef>
              <c:f>'Total Costs &amp; Profitability'!$E$47</c:f>
              <c:strCache>
                <c:ptCount val="1"/>
                <c:pt idx="0">
                  <c:v>Other Opex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Profitability'!$H$47:$Q$47</c:f>
              <c:numCache>
                <c:formatCode>#,##0;[Red]\(#,##0\);\-</c:formatCode>
                <c:ptCount val="10"/>
                <c:pt idx="0">
                  <c:v>5212.2435169780792</c:v>
                </c:pt>
                <c:pt idx="1">
                  <c:v>5927.7833500501501</c:v>
                </c:pt>
                <c:pt idx="2">
                  <c:v>6340</c:v>
                </c:pt>
                <c:pt idx="3">
                  <c:v>6637.537239324728</c:v>
                </c:pt>
                <c:pt idx="4">
                  <c:v>9441.3436962078158</c:v>
                </c:pt>
                <c:pt idx="5">
                  <c:v>5414.799948160532</c:v>
                </c:pt>
                <c:pt idx="6">
                  <c:v>6196.2316935167682</c:v>
                </c:pt>
                <c:pt idx="7">
                  <c:v>6695.379175268994</c:v>
                </c:pt>
                <c:pt idx="8">
                  <c:v>6964.1878468543136</c:v>
                </c:pt>
                <c:pt idx="9">
                  <c:v>7097.375268271292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A-4A9E-A50D-63C460AF343E}"/>
            </c:ext>
          </c:extLst>
        </c:ser>
        <c:ser>
          <c:idx val="2"/>
          <c:order val="2"/>
          <c:tx>
            <c:strRef>
              <c:f>'Total Costs &amp; Profitability'!$E$48</c:f>
              <c:strCache>
                <c:ptCount val="1"/>
                <c:pt idx="0">
                  <c:v>Depreciation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Profitability'!$H$48:$Q$48</c:f>
              <c:numCache>
                <c:formatCode>#,##0;[Red]\(#,##0\);\-</c:formatCode>
                <c:ptCount val="10"/>
                <c:pt idx="0">
                  <c:v>3823.8467898706094</c:v>
                </c:pt>
                <c:pt idx="1">
                  <c:v>3861.5847542627885</c:v>
                </c:pt>
                <c:pt idx="2">
                  <c:v>3896</c:v>
                </c:pt>
                <c:pt idx="3">
                  <c:v>3861.9662363455814</c:v>
                </c:pt>
                <c:pt idx="4">
                  <c:v>2928.9522401662111</c:v>
                </c:pt>
                <c:pt idx="5">
                  <c:v>2509.4195967492647</c:v>
                </c:pt>
                <c:pt idx="6">
                  <c:v>3450.6992784999616</c:v>
                </c:pt>
                <c:pt idx="7">
                  <c:v>4888.1495773544848</c:v>
                </c:pt>
                <c:pt idx="8">
                  <c:v>5399.4181696794549</c:v>
                </c:pt>
                <c:pt idx="9">
                  <c:v>5300.4430742870072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A-4A9E-A50D-63C460AF343E}"/>
            </c:ext>
          </c:extLst>
        </c:ser>
        <c:ser>
          <c:idx val="3"/>
          <c:order val="3"/>
          <c:tx>
            <c:strRef>
              <c:f>'Total Costs &amp; Profitability'!$E$49</c:f>
              <c:strCache>
                <c:ptCount val="1"/>
                <c:pt idx="0">
                  <c:v>Cost of capital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Profitability'!$H$49:$Q$49</c:f>
              <c:numCache>
                <c:formatCode>#,##0;[Red]\(#,##0\);\-</c:formatCode>
                <c:ptCount val="10"/>
                <c:pt idx="0">
                  <c:v>2923.506047083366</c:v>
                </c:pt>
                <c:pt idx="1">
                  <c:v>2758.9970310932799</c:v>
                </c:pt>
                <c:pt idx="2">
                  <c:v>2514</c:v>
                </c:pt>
                <c:pt idx="3">
                  <c:v>2293.9424031777558</c:v>
                </c:pt>
                <c:pt idx="4">
                  <c:v>1854.2157326858674</c:v>
                </c:pt>
                <c:pt idx="5">
                  <c:v>469.73841996664339</c:v>
                </c:pt>
                <c:pt idx="6">
                  <c:v>848.64550383721951</c:v>
                </c:pt>
                <c:pt idx="7">
                  <c:v>3974.4363525919448</c:v>
                </c:pt>
                <c:pt idx="8">
                  <c:v>4437.8287520699823</c:v>
                </c:pt>
                <c:pt idx="9">
                  <c:v>4254.2691036093747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7A-4A9E-A50D-63C460AF343E}"/>
            </c:ext>
          </c:extLst>
        </c:ser>
        <c:ser>
          <c:idx val="4"/>
          <c:order val="4"/>
          <c:tx>
            <c:strRef>
              <c:f>'Total Costs &amp; Profitability'!$E$50</c:f>
              <c:strCache>
                <c:ptCount val="1"/>
                <c:pt idx="0">
                  <c:v>Exceptional items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Profitability'!$H$50:$Q$50</c:f>
              <c:numCache>
                <c:formatCode>#,##0;[Red]\(#,##0\);\-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297.91459781529289</c:v>
                </c:pt>
                <c:pt idx="6">
                  <c:v>304.81330685203568</c:v>
                </c:pt>
                <c:pt idx="7">
                  <c:v>243.81330685203568</c:v>
                </c:pt>
                <c:pt idx="8">
                  <c:v>243.81330685203565</c:v>
                </c:pt>
                <c:pt idx="9">
                  <c:v>243.81330685203568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7A-4A9E-A50D-63C460AF34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5"/>
          <c:order val="5"/>
          <c:tx>
            <c:strRef>
              <c:f>'Total Costs &amp; Profitability'!$D$8</c:f>
              <c:strCache>
                <c:ptCount val="1"/>
                <c:pt idx="0">
                  <c:v>Service Units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pPr>
              <a:solidFill>
                <a:schemeClr val="accent6"/>
              </a:solidFill>
              <a:ln w="6350" cap="flat" cmpd="sng" algn="ctr">
                <a:solidFill>
                  <a:schemeClr val="accent6"/>
                </a:solidFill>
                <a:prstDash val="solid"/>
                <a:round/>
              </a:ln>
              <a:effectLst/>
            </c:spPr>
          </c:marker>
          <c:val>
            <c:numRef>
              <c:f>'Total Costs &amp; Profitability'!$H$10:$Q$10</c:f>
              <c:numCache>
                <c:formatCode>#,##0;[Red]\(#,##0\);\-</c:formatCode>
                <c:ptCount val="10"/>
                <c:pt idx="0">
                  <c:v>149.863</c:v>
                </c:pt>
                <c:pt idx="1">
                  <c:v>163.30528635600001</c:v>
                </c:pt>
                <c:pt idx="2">
                  <c:v>171.66498065517399</c:v>
                </c:pt>
                <c:pt idx="3">
                  <c:v>182.71100000000001</c:v>
                </c:pt>
                <c:pt idx="4">
                  <c:v>187.70944677700001</c:v>
                </c:pt>
                <c:pt idx="5">
                  <c:v>70.511440283846895</c:v>
                </c:pt>
                <c:pt idx="6">
                  <c:v>77</c:v>
                </c:pt>
                <c:pt idx="7">
                  <c:v>136</c:v>
                </c:pt>
                <c:pt idx="8">
                  <c:v>163</c:v>
                </c:pt>
                <c:pt idx="9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41-485A-911D-5A8F051F9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38624"/>
        <c:axId val="528737968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Determined Costs</a:t>
                </a:r>
                <a:r>
                  <a:rPr lang="en-GB" baseline="0"/>
                  <a:t> (€'000s)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valAx>
        <c:axId val="5287379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Service Units ('000s)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528738624"/>
        <c:crosses val="max"/>
        <c:crossBetween val="between"/>
      </c:valAx>
      <c:catAx>
        <c:axId val="528738624"/>
        <c:scaling>
          <c:orientation val="minMax"/>
        </c:scaling>
        <c:delete val="1"/>
        <c:axPos val="b"/>
        <c:majorTickMark val="out"/>
        <c:minorTickMark val="none"/>
        <c:tickLblPos val="nextTo"/>
        <c:crossAx val="52873796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Comparison'!$D$300</c:f>
              <c:strCache>
                <c:ptCount val="1"/>
                <c:pt idx="0">
                  <c:v>Cost of Equity (Pre-Tax)</c:v>
                </c:pt>
              </c:strCache>
            </c:strRef>
          </c:tx>
          <c:spPr>
            <a:solidFill>
              <a:srgbClr val="009A88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Comparison'!$J$319:$N$319</c:f>
              <c:numCache>
                <c:formatCode>#,##0.0%;[Red]\(#,##0.0%\);\-</c:formatCode>
                <c:ptCount val="5"/>
                <c:pt idx="0">
                  <c:v>2.9753034688742512E-2</c:v>
                </c:pt>
                <c:pt idx="1">
                  <c:v>4.351786626344261E-2</c:v>
                </c:pt>
                <c:pt idx="2">
                  <c:v>4.521106089104833E-2</c:v>
                </c:pt>
                <c:pt idx="3">
                  <c:v>4.5775459100250361E-2</c:v>
                </c:pt>
                <c:pt idx="4">
                  <c:v>4.5775459100250361E-2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98-4F57-9704-540FCF2208D7}"/>
            </c:ext>
          </c:extLst>
        </c:ser>
        <c:ser>
          <c:idx val="1"/>
          <c:order val="1"/>
          <c:tx>
            <c:strRef>
              <c:f>'Cost Comparison'!$D$301</c:f>
              <c:strCache>
                <c:ptCount val="1"/>
                <c:pt idx="0">
                  <c:v>Cost of Debt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Comparison'!$J$320:$N$320</c:f>
              <c:numCache>
                <c:formatCode>#,##0.0%;[Red]\(#,##0.0%\);\-</c:formatCode>
                <c:ptCount val="5"/>
                <c:pt idx="0">
                  <c:v>-1.9124691814595973E-3</c:v>
                </c:pt>
                <c:pt idx="1">
                  <c:v>8.5999309664693824E-3</c:v>
                </c:pt>
                <c:pt idx="2">
                  <c:v>1.0101702416173475E-2</c:v>
                </c:pt>
                <c:pt idx="3">
                  <c:v>1.0602292899408283E-2</c:v>
                </c:pt>
                <c:pt idx="4">
                  <c:v>1.0602292899408283E-2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98-4F57-9704-540FCF2208D7}"/>
            </c:ext>
          </c:extLst>
        </c:ser>
        <c:ser>
          <c:idx val="2"/>
          <c:order val="2"/>
          <c:tx>
            <c:strRef>
              <c:f>'Cost Comparison'!$D$322</c:f>
              <c:strCache>
                <c:ptCount val="1"/>
                <c:pt idx="0">
                  <c:v>Aiming Up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'Cost Comparison'!$J$322:$N$322</c:f>
              <c:numCache>
                <c:formatCode>#,##0.0%;[Red]\(#,##0.0%\);\-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5.0000000000000001E-3</c:v>
                </c:pt>
                <c:pt idx="3">
                  <c:v>5.0000000000000001E-3</c:v>
                </c:pt>
                <c:pt idx="4">
                  <c:v>5.0000000000000001E-3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8-4F57-9704-540FCF2208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  <c:min val="0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Nominal</a:t>
                </a:r>
                <a:r>
                  <a:rPr lang="en-GB" baseline="0"/>
                  <a:t> WACC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%;[Red]\(#,##0.0%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IAA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Comparison'!$J$310:$N$310</c:f>
              <c:numCache>
                <c:formatCode>#,##0;[Red]\(#,##0\);\-</c:formatCode>
                <c:ptCount val="5"/>
                <c:pt idx="0">
                  <c:v>2052.9439348445057</c:v>
                </c:pt>
                <c:pt idx="1">
                  <c:v>5320.8753242034109</c:v>
                </c:pt>
                <c:pt idx="2">
                  <c:v>8300.5625849894386</c:v>
                </c:pt>
                <c:pt idx="3">
                  <c:v>9691.4348781063345</c:v>
                </c:pt>
                <c:pt idx="4">
                  <c:v>9739.9503599616182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v>CAR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Comparison'!$J$326:$N$326</c:f>
              <c:numCache>
                <c:formatCode>#,##0;[Red]\(#,##0\);\-</c:formatCode>
                <c:ptCount val="5"/>
                <c:pt idx="0">
                  <c:v>1620.5759398222206</c:v>
                </c:pt>
                <c:pt idx="1">
                  <c:v>3339.8308130317919</c:v>
                </c:pt>
                <c:pt idx="2">
                  <c:v>7252.1770127180453</c:v>
                </c:pt>
                <c:pt idx="3">
                  <c:v>8335.5986556748303</c:v>
                </c:pt>
                <c:pt idx="4">
                  <c:v>8162.7977353207716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Cost</a:t>
                </a:r>
                <a:r>
                  <a:rPr lang="en-GB" baseline="0"/>
                  <a:t> of Capital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10"/>
          <c:order val="0"/>
          <c:tx>
            <c:strRef>
              <c:f>'Cost Comparison'!$E$241</c:f>
              <c:strCache>
                <c:ptCount val="1"/>
                <c:pt idx="0">
                  <c:v>Pre-RP3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Comparison'!$J$241:$N$241</c:f>
              <c:numCache>
                <c:formatCode>#,##0;[Red]\(#,##0\);\-</c:formatCode>
                <c:ptCount val="5"/>
                <c:pt idx="0">
                  <c:v>8550.5722256201316</c:v>
                </c:pt>
                <c:pt idx="1">
                  <c:v>7980.2620400368105</c:v>
                </c:pt>
                <c:pt idx="2">
                  <c:v>6432.2138783700902</c:v>
                </c:pt>
                <c:pt idx="3">
                  <c:v>4529.4260649534535</c:v>
                </c:pt>
                <c:pt idx="4">
                  <c:v>2415.1777417867866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6F30-41C1-85D2-3439D4C73D04}"/>
            </c:ext>
          </c:extLst>
        </c:ser>
        <c:ser>
          <c:idx val="9"/>
          <c:order val="1"/>
          <c:tx>
            <c:strRef>
              <c:f>'Cost Comparison'!$E$240</c:f>
              <c:strCache>
                <c:ptCount val="1"/>
                <c:pt idx="0">
                  <c:v>Other RP3</c:v>
                </c:pt>
              </c:strCache>
            </c:strRef>
          </c:tx>
          <c:spPr>
            <a:solidFill>
              <a:sysClr val="window" lastClr="FFFFFF">
                <a:lumMod val="65000"/>
              </a:sys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Comparison'!$J$240:$N$240</c:f>
              <c:numCache>
                <c:formatCode>#,##0;[Red]#,##0</c:formatCode>
                <c:ptCount val="5"/>
                <c:pt idx="0">
                  <c:v>163.08325000000005</c:v>
                </c:pt>
                <c:pt idx="1">
                  <c:v>750.92941674647318</c:v>
                </c:pt>
                <c:pt idx="2">
                  <c:v>2904.3461174694085</c:v>
                </c:pt>
                <c:pt idx="3">
                  <c:v>4333.4605265261462</c:v>
                </c:pt>
                <c:pt idx="4">
                  <c:v>5304.2143901306081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6F30-41C1-85D2-3439D4C73D04}"/>
            </c:ext>
          </c:extLst>
        </c:ser>
        <c:ser>
          <c:idx val="0"/>
          <c:order val="2"/>
          <c:tx>
            <c:strRef>
              <c:f>'Cost Comparison'!$E$231</c:f>
              <c:strCache>
                <c:ptCount val="1"/>
                <c:pt idx="0">
                  <c:v>New Dublin Tower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Comparison'!$J$231:$N$231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946.90082382540197</c:v>
                </c:pt>
                <c:pt idx="2">
                  <c:v>2138.6825992133035</c:v>
                </c:pt>
                <c:pt idx="3">
                  <c:v>2498.1523007758033</c:v>
                </c:pt>
                <c:pt idx="4">
                  <c:v>2498.1523007758033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3"/>
          <c:tx>
            <c:strRef>
              <c:f>'Cost Comparison'!$E$232</c:f>
              <c:strCache>
                <c:ptCount val="1"/>
                <c:pt idx="0">
                  <c:v>CEROC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Comparison'!$J$232:$N$232</c:f>
              <c:numCache>
                <c:formatCode>#,##0;[Red]\(#,##0\);\-</c:formatCode>
                <c:ptCount val="5"/>
                <c:pt idx="0">
                  <c:v>101.78241166666666</c:v>
                </c:pt>
                <c:pt idx="1">
                  <c:v>1220.8014937702703</c:v>
                </c:pt>
                <c:pt idx="2">
                  <c:v>1220.8014937702703</c:v>
                </c:pt>
                <c:pt idx="3">
                  <c:v>1220.7525529594595</c:v>
                </c:pt>
                <c:pt idx="4">
                  <c:v>1199.6587035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4"/>
          <c:tx>
            <c:strRef>
              <c:f>'Cost Comparison'!$E$233</c:f>
              <c:strCache>
                <c:ptCount val="1"/>
                <c:pt idx="0">
                  <c:v>COOPANS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Comparison'!$J$233:$N$233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187.60650206803717</c:v>
                </c:pt>
                <c:pt idx="2">
                  <c:v>579.76768135095449</c:v>
                </c:pt>
                <c:pt idx="3">
                  <c:v>745.67076505139505</c:v>
                </c:pt>
                <c:pt idx="4">
                  <c:v>941.52857219774842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5"/>
          <c:tx>
            <c:strRef>
              <c:f>'Cost Comparison'!$E$234</c:f>
              <c:strCache>
                <c:ptCount val="1"/>
                <c:pt idx="0">
                  <c:v>RADAR Upgrades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Comparison'!$J$234:$N$234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6"/>
          <c:tx>
            <c:strRef>
              <c:f>'Cost Comparison'!$E$235</c:f>
              <c:strCache>
                <c:ptCount val="1"/>
                <c:pt idx="0">
                  <c:v>Emergency Air Situation Display System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Comparison'!$J$235:$N$235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116.25</c:v>
                </c:pt>
                <c:pt idx="3">
                  <c:v>678.75</c:v>
                </c:pt>
                <c:pt idx="4">
                  <c:v>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ser>
          <c:idx val="5"/>
          <c:order val="7"/>
          <c:tx>
            <c:strRef>
              <c:f>'Cost Comparison'!$E$236</c:f>
              <c:strCache>
                <c:ptCount val="1"/>
                <c:pt idx="0">
                  <c:v>NAV Aids Replacement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Comparison'!$J$236:$N$236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6F30-41C1-85D2-3439D4C73D04}"/>
            </c:ext>
          </c:extLst>
        </c:ser>
        <c:ser>
          <c:idx val="6"/>
          <c:order val="8"/>
          <c:tx>
            <c:strRef>
              <c:f>'Cost Comparison'!$E$237</c:f>
              <c:strCache>
                <c:ptCount val="1"/>
                <c:pt idx="0">
                  <c:v>Plant &amp; Equipment upgrades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Comparison'!$J$237:$N$237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262.2</c:v>
                </c:pt>
                <c:pt idx="4">
                  <c:v>373.8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F30-41C1-85D2-3439D4C73D04}"/>
            </c:ext>
          </c:extLst>
        </c:ser>
        <c:ser>
          <c:idx val="7"/>
          <c:order val="9"/>
          <c:tx>
            <c:strRef>
              <c:f>'Cost Comparison'!$E$238</c:f>
              <c:strCache>
                <c:ptCount val="1"/>
                <c:pt idx="0">
                  <c:v>Structural Upgrades</c:v>
                </c:pt>
              </c:strCache>
            </c:strRef>
          </c:tx>
          <c:spPr>
            <a:solidFill>
              <a:srgbClr val="70AD47">
                <a:lumMod val="75000"/>
              </a:srgb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Comparison'!$J$238:$N$238</c:f>
              <c:numCache>
                <c:formatCode>#,##0;[Red]\(#,##0\);\-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9.3000000000000007</c:v>
                </c:pt>
                <c:pt idx="3">
                  <c:v>52.7</c:v>
                </c:pt>
                <c:pt idx="4">
                  <c:v>130.19999999999999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6F30-41C1-85D2-3439D4C73D0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  <c:extLst>
          <c:ext xmlns:c15="http://schemas.microsoft.com/office/drawing/2012/chart" uri="{02D57815-91ED-43cb-92C2-25804820EDAC}">
            <c15:filteredBarSeries>
              <c15:ser>
                <c:idx val="8"/>
                <c:order val="10"/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chemeClr val="tx1"/>
                          </a:solidFill>
                          <a:latin typeface="Calibri" panose="020F0502020204030204" pitchFamily="34" charset="0"/>
                          <a:ea typeface="+mn-ea"/>
                          <a:cs typeface="Calibri" panose="020F0502020204030204" pitchFamily="34" charset="0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6350" cap="flat" cmpd="sng" algn="ctr">
                            <a:solidFill>
                              <a:schemeClr val="tx1"/>
                            </a:solidFill>
                            <a:prstDash val="solid"/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numRef>
                    <c:extLst>
                      <c:ext uri="{02D57815-91ED-43cb-92C2-25804820EDAC}">
                        <c15:formulaRef>
                          <c15:sqref>'Cost Comparison'!$J$2:$N$2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'Cost Comparison'!$J$239:$N$239</c15:sqref>
                        </c15:formulaRef>
                      </c:ext>
                    </c:extLst>
                    <c:numCache>
                      <c:formatCode>#,##0;[Red]\(#,##0\);\-</c:formatCode>
                      <c:ptCount val="5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0-6F30-41C1-85D2-3439D4C73D04}"/>
                  </c:ext>
                </c:extLst>
              </c15:ser>
            </c15:filteredBarSeries>
          </c:ext>
        </c:extLst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sz="1000" b="1" i="0" u="none" strike="noStrike" baseline="0">
                    <a:effectLst/>
                  </a:rPr>
                  <a:t>Depreciation (€'000s)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8476046798879009"/>
          <c:y val="4.6263250061333083E-2"/>
          <c:w val="0.29955013431730426"/>
          <c:h val="0.953736749938666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'DUC &amp; UR'!$E$15</c:f>
              <c:strCache>
                <c:ptCount val="1"/>
                <c:pt idx="0">
                  <c:v>ANSP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'DUC &amp; UR'!$H$15:$P$15</c:f>
              <c:numCache>
                <c:formatCode>#,##0.0;[Red]\(#,##0.0\);\-</c:formatCode>
                <c:ptCount val="9"/>
                <c:pt idx="0">
                  <c:v>21.415784071099164</c:v>
                </c:pt>
                <c:pt idx="1">
                  <c:v>20.178790603498012</c:v>
                </c:pt>
                <c:pt idx="2">
                  <c:v>21.116608622176617</c:v>
                </c:pt>
                <c:pt idx="3">
                  <c:v>21.413743337840693</c:v>
                </c:pt>
                <c:pt idx="4">
                  <c:v>20.218862964401318</c:v>
                </c:pt>
                <c:pt idx="5">
                  <c:v>41.023390918787698</c:v>
                </c:pt>
                <c:pt idx="6">
                  <c:v>29.908949170510514</c:v>
                </c:pt>
                <c:pt idx="7">
                  <c:v>24.43935035724947</c:v>
                </c:pt>
                <c:pt idx="8">
                  <c:v>20.997085446790255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AD-487A-91FA-5BB4BF298C5C}"/>
            </c:ext>
          </c:extLst>
        </c:ser>
        <c:ser>
          <c:idx val="1"/>
          <c:order val="1"/>
          <c:tx>
            <c:strRef>
              <c:f>'DUC &amp; UR'!$E$16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'DUC &amp; UR'!$H$16:$P$16</c:f>
              <c:numCache>
                <c:formatCode>#,##0.0;[Red]\(#,##0.0\);\-</c:formatCode>
                <c:ptCount val="9"/>
                <c:pt idx="0">
                  <c:v>1.5537633513261191</c:v>
                </c:pt>
                <c:pt idx="1">
                  <c:v>1.7058087377578517</c:v>
                </c:pt>
                <c:pt idx="2">
                  <c:v>1.7459257067852596</c:v>
                </c:pt>
                <c:pt idx="3">
                  <c:v>1.5673112598090442</c:v>
                </c:pt>
                <c:pt idx="4">
                  <c:v>2.1906916762440227</c:v>
                </c:pt>
                <c:pt idx="5">
                  <c:v>3.1701784162593367</c:v>
                </c:pt>
                <c:pt idx="6">
                  <c:v>2.0371175718877912</c:v>
                </c:pt>
                <c:pt idx="7">
                  <c:v>1.6957483465803749</c:v>
                </c:pt>
                <c:pt idx="8">
                  <c:v>1.3525811019856353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AD-487A-91FA-5BB4BF298C5C}"/>
            </c:ext>
          </c:extLst>
        </c:ser>
        <c:ser>
          <c:idx val="2"/>
          <c:order val="2"/>
          <c:tx>
            <c:strRef>
              <c:f>'DUC &amp; UR'!$E$17</c:f>
              <c:strCache>
                <c:ptCount val="1"/>
                <c:pt idx="0">
                  <c:v>Supervision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'DUC &amp; UR'!$H$17:$P$17</c:f>
              <c:numCache>
                <c:formatCode>#,##0.0;[Red]\(#,##0.0\);\-</c:formatCode>
                <c:ptCount val="9"/>
                <c:pt idx="0">
                  <c:v>2.5511362957118435</c:v>
                </c:pt>
                <c:pt idx="1">
                  <c:v>2.4668753546371143</c:v>
                </c:pt>
                <c:pt idx="2">
                  <c:v>2.6195604146058469</c:v>
                </c:pt>
                <c:pt idx="3">
                  <c:v>2.7653460023414307</c:v>
                </c:pt>
                <c:pt idx="4">
                  <c:v>2.7104892582544671</c:v>
                </c:pt>
                <c:pt idx="5">
                  <c:v>6.705597386915608</c:v>
                </c:pt>
                <c:pt idx="6">
                  <c:v>4.6385368383241579</c:v>
                </c:pt>
                <c:pt idx="7">
                  <c:v>3.7957270604966293</c:v>
                </c:pt>
                <c:pt idx="8">
                  <c:v>3.3124379963134039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AD-487A-91FA-5BB4BF298C5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3"/>
          <c:order val="3"/>
          <c:tx>
            <c:strRef>
              <c:f>'Total Costs &amp; Profitability'!$D$8</c:f>
              <c:strCache>
                <c:ptCount val="1"/>
                <c:pt idx="0">
                  <c:v>Service Units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marker>
          <c:val>
            <c:numRef>
              <c:f>'DUC &amp; UR'!$H$8:$P$8</c:f>
              <c:numCache>
                <c:formatCode>#,##0;[Red]\(#,##0\);\-</c:formatCode>
                <c:ptCount val="9"/>
                <c:pt idx="0">
                  <c:v>4182.45</c:v>
                </c:pt>
                <c:pt idx="1">
                  <c:v>4467.5950000000003</c:v>
                </c:pt>
                <c:pt idx="2">
                  <c:v>4465.2529999999997</c:v>
                </c:pt>
                <c:pt idx="3">
                  <c:v>4549.8827233000011</c:v>
                </c:pt>
                <c:pt idx="4">
                  <c:v>4640.8595650000007</c:v>
                </c:pt>
                <c:pt idx="5">
                  <c:v>4060.2902946000004</c:v>
                </c:pt>
                <c:pt idx="6">
                  <c:v>3202</c:v>
                </c:pt>
                <c:pt idx="7">
                  <c:v>4039</c:v>
                </c:pt>
                <c:pt idx="8">
                  <c:v>4726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AD-487A-91FA-5BB4BF298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712624"/>
        <c:axId val="795711968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DUC</a:t>
                </a:r>
                <a:r>
                  <a:rPr lang="en-GB" baseline="0"/>
                  <a:t>(€)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;[Red]\(#,##0.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valAx>
        <c:axId val="7957119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Service Units ('000s)</a:t>
                </a:r>
              </a:p>
            </c:rich>
          </c:tx>
          <c:layout>
            <c:manualLayout>
              <c:xMode val="edge"/>
              <c:yMode val="edge"/>
              <c:x val="0.95657889662959739"/>
              <c:y val="9.26655628914448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95712624"/>
        <c:crosses val="max"/>
        <c:crossBetween val="between"/>
      </c:valAx>
      <c:catAx>
        <c:axId val="79571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79571196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'DUC &amp; UR'!$E$15</c:f>
              <c:strCache>
                <c:ptCount val="1"/>
                <c:pt idx="0">
                  <c:v>ANSP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UR'!$H$41:$P$41</c:f>
              <c:numCache>
                <c:formatCode>#,##0.0;[Red]\(#,##0.0\);\-</c:formatCode>
                <c:ptCount val="9"/>
                <c:pt idx="0">
                  <c:v>133.75515778087842</c:v>
                </c:pt>
                <c:pt idx="1">
                  <c:v>126.78727946185512</c:v>
                </c:pt>
                <c:pt idx="2">
                  <c:v>123.52548504109176</c:v>
                </c:pt>
                <c:pt idx="3">
                  <c:v>117.67098052303142</c:v>
                </c:pt>
                <c:pt idx="4">
                  <c:v>118.69368905944147</c:v>
                </c:pt>
                <c:pt idx="5">
                  <c:v>231.67804938759571</c:v>
                </c:pt>
                <c:pt idx="6">
                  <c:v>178.17410018869126</c:v>
                </c:pt>
                <c:pt idx="7">
                  <c:v>160.67088588456184</c:v>
                </c:pt>
                <c:pt idx="8">
                  <c:v>145.22406343255747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0A-4436-9EEE-23CB8A9E883A}"/>
            </c:ext>
          </c:extLst>
        </c:ser>
        <c:ser>
          <c:idx val="1"/>
          <c:order val="1"/>
          <c:tx>
            <c:strRef>
              <c:f>'DUC &amp; UR'!$E$16</c:f>
              <c:strCache>
                <c:ptCount val="1"/>
                <c:pt idx="0">
                  <c:v>MET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UR'!$H$42:$P$42</c:f>
              <c:numCache>
                <c:formatCode>#,##0.0;[Red]\(#,##0.0\);\-</c:formatCode>
                <c:ptCount val="9"/>
                <c:pt idx="0">
                  <c:v>10.840797142646828</c:v>
                </c:pt>
                <c:pt idx="1">
                  <c:v>11.663517972560113</c:v>
                </c:pt>
                <c:pt idx="2">
                  <c:v>11.353509565908409</c:v>
                </c:pt>
                <c:pt idx="3">
                  <c:v>9.7559662176597808</c:v>
                </c:pt>
                <c:pt idx="4">
                  <c:v>11.8443017850384</c:v>
                </c:pt>
                <c:pt idx="5">
                  <c:v>21.81499385898427</c:v>
                </c:pt>
                <c:pt idx="6">
                  <c:v>11.990533943354237</c:v>
                </c:pt>
                <c:pt idx="7">
                  <c:v>10.504796889322288</c:v>
                </c:pt>
                <c:pt idx="8">
                  <c:v>8.5003966595533385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0A-4436-9EEE-23CB8A9E883A}"/>
            </c:ext>
          </c:extLst>
        </c:ser>
        <c:ser>
          <c:idx val="2"/>
          <c:order val="2"/>
          <c:tx>
            <c:strRef>
              <c:f>'DUC &amp; UR'!$E$43</c:f>
              <c:strCache>
                <c:ptCount val="1"/>
                <c:pt idx="0">
                  <c:v>Supervision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UR'!$H$43:$P$43</c:f>
              <c:numCache>
                <c:formatCode>#,##0.0;[Red]\(#,##0.0\);\-</c:formatCode>
                <c:ptCount val="9"/>
                <c:pt idx="0">
                  <c:v>4.5241320405970784</c:v>
                </c:pt>
                <c:pt idx="1">
                  <c:v>3.9557813125029022</c:v>
                </c:pt>
                <c:pt idx="2">
                  <c:v>4.2291677500510545</c:v>
                </c:pt>
                <c:pt idx="3">
                  <c:v>4.6138437204109222</c:v>
                </c:pt>
                <c:pt idx="4">
                  <c:v>4.2086320830646571</c:v>
                </c:pt>
                <c:pt idx="5">
                  <c:v>8.1249837242423482</c:v>
                </c:pt>
                <c:pt idx="6">
                  <c:v>5.872374935755813</c:v>
                </c:pt>
                <c:pt idx="7">
                  <c:v>5.3206915304857469</c:v>
                </c:pt>
                <c:pt idx="8">
                  <c:v>4.7476935857203681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0A-4436-9EEE-23CB8A9E88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3"/>
          <c:order val="3"/>
          <c:tx>
            <c:strRef>
              <c:f>'Total Costs &amp; Profitability'!$D$8</c:f>
              <c:strCache>
                <c:ptCount val="1"/>
                <c:pt idx="0">
                  <c:v>Service Units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marker>
          <c:val>
            <c:numRef>
              <c:f>'DUC &amp; UR'!$H$9:$P$9</c:f>
              <c:numCache>
                <c:formatCode>#,##0;[Red]\(#,##0\);\-</c:formatCode>
                <c:ptCount val="9"/>
                <c:pt idx="0">
                  <c:v>149.863</c:v>
                </c:pt>
                <c:pt idx="1">
                  <c:v>163.30528635600001</c:v>
                </c:pt>
                <c:pt idx="2">
                  <c:v>171.66498065517399</c:v>
                </c:pt>
                <c:pt idx="3">
                  <c:v>182.71100000000001</c:v>
                </c:pt>
                <c:pt idx="4">
                  <c:v>187.70944677700001</c:v>
                </c:pt>
                <c:pt idx="5">
                  <c:v>147.51144028384689</c:v>
                </c:pt>
                <c:pt idx="6">
                  <c:v>136</c:v>
                </c:pt>
                <c:pt idx="7">
                  <c:v>163</c:v>
                </c:pt>
                <c:pt idx="8">
                  <c:v>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0A-4436-9EEE-23CB8A9E8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5712624"/>
        <c:axId val="795711968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DUC</a:t>
                </a:r>
                <a:r>
                  <a:rPr lang="en-GB" baseline="0"/>
                  <a:t> (€)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;[Red]\(#,##0.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valAx>
        <c:axId val="79571196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Service Units ('000s)</a:t>
                </a:r>
              </a:p>
            </c:rich>
          </c:tx>
          <c:layout>
            <c:manualLayout>
              <c:xMode val="edge"/>
              <c:yMode val="edge"/>
              <c:x val="0.95657889662959739"/>
              <c:y val="9.266556289144485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795712624"/>
        <c:crosses val="max"/>
        <c:crossBetween val="between"/>
      </c:valAx>
      <c:catAx>
        <c:axId val="79571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795711968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Unit Cost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UR'!$H$19:$P$19</c:f>
              <c:numCache>
                <c:formatCode>#,##0.0;[Red]\(#,##0.0\);\-</c:formatCode>
                <c:ptCount val="9"/>
                <c:pt idx="0">
                  <c:v>25.520683718137125</c:v>
                </c:pt>
                <c:pt idx="1">
                  <c:v>24.351474695892978</c:v>
                </c:pt>
                <c:pt idx="2">
                  <c:v>25.482094743567725</c:v>
                </c:pt>
                <c:pt idx="3">
                  <c:v>25.746400599991169</c:v>
                </c:pt>
                <c:pt idx="4">
                  <c:v>25.120043898899805</c:v>
                </c:pt>
                <c:pt idx="5">
                  <c:v>50.899166721962644</c:v>
                </c:pt>
                <c:pt idx="6">
                  <c:v>36.584603580722465</c:v>
                </c:pt>
                <c:pt idx="7">
                  <c:v>29.930825764326471</c:v>
                </c:pt>
                <c:pt idx="8">
                  <c:v>25.662104545089292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v>Unit Rate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UR'!$H$72:$P$72</c:f>
              <c:numCache>
                <c:formatCode>0.0</c:formatCode>
                <c:ptCount val="9"/>
                <c:pt idx="0">
                  <c:v>29.659645189492579</c:v>
                </c:pt>
                <c:pt idx="1">
                  <c:v>29.848824306419765</c:v>
                </c:pt>
                <c:pt idx="2">
                  <c:v>29.54</c:v>
                </c:pt>
                <c:pt idx="3">
                  <c:v>27.306372768968764</c:v>
                </c:pt>
                <c:pt idx="4">
                  <c:v>27.237926446056761</c:v>
                </c:pt>
                <c:pt idx="5">
                  <c:v>40.523583601414209</c:v>
                </c:pt>
                <c:pt idx="6">
                  <c:v>33.94130916642699</c:v>
                </c:pt>
                <c:pt idx="7">
                  <c:v>30.022142467695243</c:v>
                </c:pt>
                <c:pt idx="8">
                  <c:v>27.321334258393666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Costs &amp; Rates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;[Red]\(#,##0.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Unit Cost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UR'!$H$45:$P$45</c:f>
              <c:numCache>
                <c:formatCode>#,##0.0;[Red]\(#,##0.0\);\-</c:formatCode>
                <c:ptCount val="9"/>
                <c:pt idx="0">
                  <c:v>149.12008696412232</c:v>
                </c:pt>
                <c:pt idx="1">
                  <c:v>142.40657874691811</c:v>
                </c:pt>
                <c:pt idx="2">
                  <c:v>139.10816235705121</c:v>
                </c:pt>
                <c:pt idx="3">
                  <c:v>132.04079046110212</c:v>
                </c:pt>
                <c:pt idx="4">
                  <c:v>134.74662292754454</c:v>
                </c:pt>
                <c:pt idx="5">
                  <c:v>261.61802697082231</c:v>
                </c:pt>
                <c:pt idx="6">
                  <c:v>196.03700906780128</c:v>
                </c:pt>
                <c:pt idx="7">
                  <c:v>176.49637430436988</c:v>
                </c:pt>
                <c:pt idx="8">
                  <c:v>158.47215367783116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5-4B41-B030-98A5905EDFB9}"/>
            </c:ext>
          </c:extLst>
        </c:ser>
        <c:ser>
          <c:idx val="1"/>
          <c:order val="1"/>
          <c:tx>
            <c:v>Unit Rate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'DUC &amp; UR'!$H$2:$P$2</c:f>
              <c:strCach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2020/21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</c:strCache>
            </c:strRef>
          </c:cat>
          <c:val>
            <c:numRef>
              <c:f>'DUC &amp; UR'!$H$89:$P$89</c:f>
              <c:numCache>
                <c:formatCode>0.0</c:formatCode>
                <c:ptCount val="9"/>
                <c:pt idx="0">
                  <c:v>157.23802282237094</c:v>
                </c:pt>
                <c:pt idx="1">
                  <c:v>180.71940197323269</c:v>
                </c:pt>
                <c:pt idx="2">
                  <c:v>171.68704737245201</c:v>
                </c:pt>
                <c:pt idx="3">
                  <c:v>150.69959820012119</c:v>
                </c:pt>
                <c:pt idx="4">
                  <c:v>148.06152880411256</c:v>
                </c:pt>
                <c:pt idx="5">
                  <c:v>161.46002683529215</c:v>
                </c:pt>
                <c:pt idx="6">
                  <c:v>169.04707112597504</c:v>
                </c:pt>
                <c:pt idx="7">
                  <c:v>161.65084750657553</c:v>
                </c:pt>
                <c:pt idx="8">
                  <c:v>159.83493075424536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5-4B41-B030-98A5905ED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Costs &amp; Rates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;[Red]\(#,##0.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'DUC &amp; UR'!$E$28</c:f>
              <c:strCache>
                <c:ptCount val="1"/>
                <c:pt idx="0">
                  <c:v>Ireland DUC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'DUC &amp; UR'!$L$2:$P$2</c:f>
              <c:strCache>
                <c:ptCount val="5"/>
                <c:pt idx="0">
                  <c:v>2019</c:v>
                </c:pt>
                <c:pt idx="1">
                  <c:v>2020/21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'DUC &amp; UR'!$L$19:$P$19</c:f>
              <c:numCache>
                <c:formatCode>#,##0.0;[Red]\(#,##0.0\);\-</c:formatCode>
                <c:ptCount val="5"/>
                <c:pt idx="0">
                  <c:v>25.120043898899805</c:v>
                </c:pt>
                <c:pt idx="1">
                  <c:v>50.899166721962644</c:v>
                </c:pt>
                <c:pt idx="2">
                  <c:v>36.584603580722465</c:v>
                </c:pt>
                <c:pt idx="3">
                  <c:v>29.930825764326471</c:v>
                </c:pt>
                <c:pt idx="4">
                  <c:v>25.662104545089292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strRef>
              <c:f>'DUC &amp; UR'!$E$30</c:f>
              <c:strCache>
                <c:ptCount val="1"/>
                <c:pt idx="0">
                  <c:v>Target DUC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25B-4B4D-B310-7965903E71B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'DUC &amp; UR'!$L$2:$P$2</c:f>
              <c:strCache>
                <c:ptCount val="5"/>
                <c:pt idx="0">
                  <c:v>2019</c:v>
                </c:pt>
                <c:pt idx="1">
                  <c:v>2020/21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'DUC &amp; UR'!$L$30:$P$30</c:f>
              <c:numCache>
                <c:formatCode>#,##0.0;[Red]\(#,##0.0\);\-</c:formatCode>
                <c:ptCount val="5"/>
                <c:pt idx="0">
                  <c:v>25.120043898899805</c:v>
                </c:pt>
                <c:pt idx="1">
                  <c:v>55.28921662147846</c:v>
                </c:pt>
                <c:pt idx="2">
                  <c:v>34.002868222209251</c:v>
                </c:pt>
                <c:pt idx="3">
                  <c:v>29.514489616877629</c:v>
                </c:pt>
                <c:pt idx="4">
                  <c:v>26.120323310936701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DUC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;[Red]\(#,##0.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Costs &amp; Profitability'!$E$16</c:f>
              <c:strCache>
                <c:ptCount val="1"/>
                <c:pt idx="0">
                  <c:v>Staff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Profitability'!$H$16:$Q$16</c:f>
              <c:numCache>
                <c:formatCode>#,##0;[Red]\(#,##0\);\-</c:formatCode>
                <c:ptCount val="10"/>
                <c:pt idx="0">
                  <c:v>70459.882641937787</c:v>
                </c:pt>
                <c:pt idx="1">
                  <c:v>71684.052156469406</c:v>
                </c:pt>
                <c:pt idx="2">
                  <c:v>74343</c:v>
                </c:pt>
                <c:pt idx="3">
                  <c:v>75653.426017874881</c:v>
                </c:pt>
                <c:pt idx="4">
                  <c:v>74270.985165289967</c:v>
                </c:pt>
                <c:pt idx="5">
                  <c:v>67648.907558788123</c:v>
                </c:pt>
                <c:pt idx="6">
                  <c:v>62809.282378298012</c:v>
                </c:pt>
                <c:pt idx="7">
                  <c:v>73933.984006854327</c:v>
                </c:pt>
                <c:pt idx="8">
                  <c:v>75822.926731254091</c:v>
                </c:pt>
                <c:pt idx="9">
                  <c:v>77449.531811786015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7A-445F-BCEA-A7A4F295047F}"/>
            </c:ext>
          </c:extLst>
        </c:ser>
        <c:ser>
          <c:idx val="1"/>
          <c:order val="1"/>
          <c:tx>
            <c:strRef>
              <c:f>'Total Costs &amp; Profitability'!$E$17</c:f>
              <c:strCache>
                <c:ptCount val="1"/>
                <c:pt idx="0">
                  <c:v>Other Opex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Profitability'!$H$17:$Q$17</c:f>
              <c:numCache>
                <c:formatCode>#,##0;[Red]\(#,##0\);\-</c:formatCode>
                <c:ptCount val="10"/>
                <c:pt idx="0">
                  <c:v>36688.909042496751</c:v>
                </c:pt>
                <c:pt idx="1">
                  <c:v>39117.352056168507</c:v>
                </c:pt>
                <c:pt idx="2">
                  <c:v>42188</c:v>
                </c:pt>
                <c:pt idx="3">
                  <c:v>43925.521350546187</c:v>
                </c:pt>
                <c:pt idx="4">
                  <c:v>50546.078343567293</c:v>
                </c:pt>
                <c:pt idx="5">
                  <c:v>40444.7942201283</c:v>
                </c:pt>
                <c:pt idx="6">
                  <c:v>44066.638663923237</c:v>
                </c:pt>
                <c:pt idx="7">
                  <c:v>46377.113703705712</c:v>
                </c:pt>
                <c:pt idx="8">
                  <c:v>47671.379872442063</c:v>
                </c:pt>
                <c:pt idx="9">
                  <c:v>48457.52632597927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7A-445F-BCEA-A7A4F295047F}"/>
            </c:ext>
          </c:extLst>
        </c:ser>
        <c:ser>
          <c:idx val="2"/>
          <c:order val="2"/>
          <c:tx>
            <c:strRef>
              <c:f>'Total Costs &amp; Profitability'!$E$18</c:f>
              <c:strCache>
                <c:ptCount val="1"/>
                <c:pt idx="0">
                  <c:v>Depreciation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Profitability'!$H$18:$Q$18</c:f>
              <c:numCache>
                <c:formatCode>#,##0;[Red]\(#,##0\);\-</c:formatCode>
                <c:ptCount val="10"/>
                <c:pt idx="0">
                  <c:v>12525.600754358884</c:v>
                </c:pt>
                <c:pt idx="1">
                  <c:v>12600.802407221665</c:v>
                </c:pt>
                <c:pt idx="2">
                  <c:v>13002</c:v>
                </c:pt>
                <c:pt idx="3">
                  <c:v>13710.029791459783</c:v>
                </c:pt>
                <c:pt idx="4">
                  <c:v>10539.700786270147</c:v>
                </c:pt>
                <c:pt idx="5">
                  <c:v>9186.3733063724958</c:v>
                </c:pt>
                <c:pt idx="6">
                  <c:v>11244.110889057551</c:v>
                </c:pt>
                <c:pt idx="7">
                  <c:v>13672.879123449093</c:v>
                </c:pt>
                <c:pt idx="8">
                  <c:v>14580.310833089772</c:v>
                </c:pt>
                <c:pt idx="9">
                  <c:v>13242.31257435837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37A-445F-BCEA-A7A4F295047F}"/>
            </c:ext>
          </c:extLst>
        </c:ser>
        <c:ser>
          <c:idx val="3"/>
          <c:order val="3"/>
          <c:tx>
            <c:strRef>
              <c:f>'Total Costs &amp; Profitability'!$E$19</c:f>
              <c:strCache>
                <c:ptCount val="1"/>
                <c:pt idx="0">
                  <c:v>Cost of capital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Profitability'!$H$19:$Q$19</c:f>
              <c:numCache>
                <c:formatCode>#,##0;[Red]\(#,##0\);\-</c:formatCode>
                <c:ptCount val="10"/>
                <c:pt idx="0">
                  <c:v>9572.9613991675615</c:v>
                </c:pt>
                <c:pt idx="1">
                  <c:v>8872.976898696088</c:v>
                </c:pt>
                <c:pt idx="2">
                  <c:v>8258</c:v>
                </c:pt>
                <c:pt idx="3">
                  <c:v>7861.9662363455809</c:v>
                </c:pt>
                <c:pt idx="4">
                  <c:v>6162.0194810754856</c:v>
                </c:pt>
                <c:pt idx="5">
                  <c:v>1594.9561590395683</c:v>
                </c:pt>
                <c:pt idx="6">
                  <c:v>3235.2669590336877</c:v>
                </c:pt>
                <c:pt idx="7">
                  <c:v>6894.1363288819848</c:v>
                </c:pt>
                <c:pt idx="8">
                  <c:v>7768.6954314179484</c:v>
                </c:pt>
                <c:pt idx="9">
                  <c:v>7458.4771414088509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37A-445F-BCEA-A7A4F295047F}"/>
            </c:ext>
          </c:extLst>
        </c:ser>
        <c:ser>
          <c:idx val="4"/>
          <c:order val="4"/>
          <c:tx>
            <c:strRef>
              <c:f>'Total Costs &amp; Profitability'!$E$20</c:f>
              <c:strCache>
                <c:ptCount val="1"/>
                <c:pt idx="0">
                  <c:v>Exceptional items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Profitability'!$H$2:$Q$2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'Total Costs &amp; Profitability'!$H$20:$Q$20</c:f>
              <c:numCache>
                <c:formatCode>#,##0;[Red]\(#,##0\);\-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1489.5729890764649</c:v>
                </c:pt>
                <c:pt idx="6">
                  <c:v>2455.0665342601787</c:v>
                </c:pt>
                <c:pt idx="7">
                  <c:v>1219.0665342601787</c:v>
                </c:pt>
                <c:pt idx="8">
                  <c:v>1219.0665342601787</c:v>
                </c:pt>
                <c:pt idx="9">
                  <c:v>1219.0665342601787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37A-445F-BCEA-A7A4F29504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Determined Costs</a:t>
                </a:r>
                <a:r>
                  <a:rPr lang="en-GB" baseline="0"/>
                  <a:t> (€'000s)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Costs &amp; Profitability'!$E$90</c:f>
              <c:strCache>
                <c:ptCount val="1"/>
                <c:pt idx="0">
                  <c:v>CFO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Profitability'!$O$90:$Q$90</c:f>
              <c:numCache>
                <c:formatCode>#,##0;[Red]\(#,##0\);\-</c:formatCode>
                <c:ptCount val="3"/>
                <c:pt idx="0">
                  <c:v>11305.921941265682</c:v>
                </c:pt>
                <c:pt idx="1">
                  <c:v>26630.638360116776</c:v>
                </c:pt>
                <c:pt idx="2">
                  <c:v>34034.080407538524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'Total Costs &amp; Profitability'!$E$91</c:f>
              <c:strCache>
                <c:ptCount val="1"/>
                <c:pt idx="0">
                  <c:v>Capex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Profitability'!$O$91:$Q$91</c:f>
              <c:numCache>
                <c:formatCode>#,##0;[Red]\(#,##0\);\-</c:formatCode>
                <c:ptCount val="3"/>
                <c:pt idx="0">
                  <c:v>-23908.535852348192</c:v>
                </c:pt>
                <c:pt idx="1">
                  <c:v>-22571.755659749826</c:v>
                </c:pt>
                <c:pt idx="2">
                  <c:v>-12000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lineChart>
        <c:grouping val="standard"/>
        <c:varyColors val="0"/>
        <c:ser>
          <c:idx val="2"/>
          <c:order val="2"/>
          <c:tx>
            <c:strRef>
              <c:f>'Total Costs &amp; Profitability'!$E$93</c:f>
              <c:strCache>
                <c:ptCount val="1"/>
                <c:pt idx="0">
                  <c:v>FCF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circle"/>
            <c:size val="7"/>
            <c:spPr>
              <a:solidFill>
                <a:srgbClr val="C00000"/>
              </a:solidFill>
              <a:ln w="6350" cap="flat" cmpd="sng" algn="ctr">
                <a:solidFill>
                  <a:srgbClr val="C00000"/>
                </a:solidFill>
                <a:prstDash val="solid"/>
                <a:round/>
              </a:ln>
              <a:effectLst/>
            </c:spPr>
          </c:marker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Profitability'!$O$93:$Q$93</c:f>
              <c:numCache>
                <c:formatCode>#,##0;[Red]\(#,##0\);\-</c:formatCode>
                <c:ptCount val="3"/>
                <c:pt idx="0">
                  <c:v>-12602.61391108251</c:v>
                </c:pt>
                <c:pt idx="1">
                  <c:v>4058.8827003669503</c:v>
                </c:pt>
                <c:pt idx="2">
                  <c:v>22034.080407538524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613-4FAF-9F94-A4555E822E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42464"/>
        <c:axId val="145756928"/>
      </c:line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Cash Flow (€'000)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2387468457082052"/>
          <c:y val="9.160919560782238E-2"/>
          <c:w val="0.73387616623389651"/>
          <c:h val="0.544039489784545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'Total Costs &amp; Profitability'!$E$97</c:f>
              <c:strCache>
                <c:ptCount val="1"/>
                <c:pt idx="0">
                  <c:v>Year End Cash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'Total Costs &amp; Profitability'!$N$2:$Q$2</c:f>
              <c:numCache>
                <c:formatCode>General</c:formatCode>
                <c:ptCount val="4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</c:numCache>
            </c:numRef>
          </c:cat>
          <c:val>
            <c:numRef>
              <c:f>'Total Costs &amp; Profitability'!$N$97:$Q$97</c:f>
              <c:numCache>
                <c:formatCode>#,##0;[Red]\(#,##0\);\-</c:formatCode>
                <c:ptCount val="4"/>
                <c:pt idx="0">
                  <c:v>0</c:v>
                </c:pt>
                <c:pt idx="1">
                  <c:v>-12602.61391108251</c:v>
                </c:pt>
                <c:pt idx="2">
                  <c:v>-8543.7312107155594</c:v>
                </c:pt>
                <c:pt idx="3">
                  <c:v>13490.349196822965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baseline="0"/>
                  <a:t>Cash Balance (€'000s)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2.6471342895393799E-2"/>
              <c:y val="9.125814086414300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Costs &amp; Profitability'!$E$63</c:f>
              <c:strCache>
                <c:ptCount val="1"/>
                <c:pt idx="0">
                  <c:v>Revenue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Profitability'!$O$63:$Q$63</c:f>
              <c:numCache>
                <c:formatCode>#,##0;[Red]\(#,##0\);\-</c:formatCode>
                <c:ptCount val="3"/>
                <c:pt idx="0">
                  <c:v>116065.71105885852</c:v>
                </c:pt>
                <c:pt idx="1">
                  <c:v>136611.94815821887</c:v>
                </c:pt>
                <c:pt idx="2">
                  <c:v>148982.41073932915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'Total Costs &amp; Profitability'!$E$64</c:f>
              <c:strCache>
                <c:ptCount val="1"/>
                <c:pt idx="0">
                  <c:v>Opex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Profitability'!$O$64:$Q$64</c:f>
              <c:numCache>
                <c:formatCode>#,##0;[Red]\(#,##0\);\-</c:formatCode>
                <c:ptCount val="3"/>
                <c:pt idx="0">
                  <c:v>-104759.78911759284</c:v>
                </c:pt>
                <c:pt idx="1">
                  <c:v>-109981.3097981021</c:v>
                </c:pt>
                <c:pt idx="2">
                  <c:v>-114948.33033179062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2"/>
          <c:tx>
            <c:strRef>
              <c:f>'Total Costs &amp; Profitability'!$E$65</c:f>
              <c:strCache>
                <c:ptCount val="1"/>
                <c:pt idx="0">
                  <c:v>Depreciation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Profitability'!$O$65:$Q$65</c:f>
              <c:numCache>
                <c:formatCode>#,##0;[Red]\(#,##0\);\-</c:formatCode>
                <c:ptCount val="3"/>
                <c:pt idx="0">
                  <c:v>-13280.897705577623</c:v>
                </c:pt>
                <c:pt idx="1">
                  <c:v>-14181.162573242284</c:v>
                </c:pt>
                <c:pt idx="2">
                  <c:v>-13457.490020239551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3"/>
          <c:tx>
            <c:strRef>
              <c:f>'Total Costs &amp; Profitability'!$E$71</c:f>
              <c:strCache>
                <c:ptCount val="1"/>
                <c:pt idx="0">
                  <c:v>Cost of Debt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'Total Costs &amp; Profitability'!$O$71:$Q$71</c:f>
              <c:numCache>
                <c:formatCode>#,##0;[Red]\(#,##0\);\-</c:formatCode>
                <c:ptCount val="3"/>
                <c:pt idx="0">
                  <c:v>-254.61571079136726</c:v>
                </c:pt>
                <c:pt idx="1">
                  <c:v>-181.16628149964501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06-46A7-A9FF-129FB24900E9}"/>
            </c:ext>
          </c:extLst>
        </c:ser>
        <c:ser>
          <c:idx val="4"/>
          <c:order val="4"/>
          <c:tx>
            <c:strRef>
              <c:f>'Total Costs &amp; Profitability'!$E$77</c:f>
              <c:strCache>
                <c:ptCount val="1"/>
                <c:pt idx="0">
                  <c:v>Tax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val>
            <c:numRef>
              <c:f>'Total Costs &amp; Profitability'!$O$77:$Q$77</c:f>
              <c:numCache>
                <c:formatCode>#,##0;[Red]\(#,##0\);\-</c:formatCode>
                <c:ptCount val="3"/>
                <c:pt idx="0">
                  <c:v>0</c:v>
                </c:pt>
                <c:pt idx="1">
                  <c:v>-1533.5386881718559</c:v>
                </c:pt>
                <c:pt idx="2">
                  <c:v>-2572.0737984123716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06-46A7-A9FF-129FB24900E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Cost &amp; Revenue (€)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'Total Costs &amp; Profitability'!$E$67</c:f>
              <c:strCache>
                <c:ptCount val="1"/>
                <c:pt idx="0">
                  <c:v>EBITDA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Profitability'!$O$81:$Q$81</c:f>
              <c:numCache>
                <c:formatCode>#,##0.0%;[Red]\(#,##0.0%\);\-</c:formatCode>
                <c:ptCount val="3"/>
                <c:pt idx="0">
                  <c:v>9.7409664216267053E-2</c:v>
                </c:pt>
                <c:pt idx="1">
                  <c:v>0.19493637796069024</c:v>
                </c:pt>
                <c:pt idx="2">
                  <c:v>0.22844361450887726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AE-488F-A50F-87FC250D1C9D}"/>
            </c:ext>
          </c:extLst>
        </c:ser>
        <c:ser>
          <c:idx val="1"/>
          <c:order val="1"/>
          <c:tx>
            <c:strRef>
              <c:f>'Total Costs &amp; Profitability'!$E$68</c:f>
              <c:strCache>
                <c:ptCount val="1"/>
                <c:pt idx="0">
                  <c:v>EBIT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Profitability'!$O$82:$Q$82</c:f>
              <c:numCache>
                <c:formatCode>#,##0.0%;[Red]\(#,##0.0%\);\-</c:formatCode>
                <c:ptCount val="3"/>
                <c:pt idx="0">
                  <c:v>-1.7016014000124494E-2</c:v>
                </c:pt>
                <c:pt idx="1">
                  <c:v>9.11302119230155E-2</c:v>
                </c:pt>
                <c:pt idx="2">
                  <c:v>0.13811422627132358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AE-488F-A50F-87FC250D1C9D}"/>
            </c:ext>
          </c:extLst>
        </c:ser>
        <c:ser>
          <c:idx val="2"/>
          <c:order val="2"/>
          <c:tx>
            <c:strRef>
              <c:f>'Total Costs &amp; Profitability'!$E$73</c:f>
              <c:strCache>
                <c:ptCount val="1"/>
                <c:pt idx="0">
                  <c:v>Pre-Tax Profit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Profitability'!$O$83:$Q$83</c:f>
              <c:numCache>
                <c:formatCode>#,##0.0%;[Red]\(#,##0.0%\);\-</c:formatCode>
                <c:ptCount val="3"/>
                <c:pt idx="0">
                  <c:v>-1.9209734337238084E-2</c:v>
                </c:pt>
                <c:pt idx="1">
                  <c:v>8.980407402701078E-2</c:v>
                </c:pt>
                <c:pt idx="2">
                  <c:v>0.13811422627132358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AE-488F-A50F-87FC250D1C9D}"/>
            </c:ext>
          </c:extLst>
        </c:ser>
        <c:ser>
          <c:idx val="3"/>
          <c:order val="3"/>
          <c:tx>
            <c:strRef>
              <c:f>'Total Costs &amp; Profitability'!$E$79</c:f>
              <c:strCache>
                <c:ptCount val="1"/>
                <c:pt idx="0">
                  <c:v>Net Income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'Total Costs &amp; Profitability'!$O$2:$Q$2</c:f>
              <c:numCache>
                <c:formatCode>General</c:formatCode>
                <c:ptCount val="3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</c:numCache>
            </c:numRef>
          </c:cat>
          <c:val>
            <c:numRef>
              <c:f>'Total Costs &amp; Profitability'!$O$84:$Q$84</c:f>
              <c:numCache>
                <c:formatCode>#,##0.0%;[Red]\(#,##0.0%\);\-</c:formatCode>
                <c:ptCount val="3"/>
                <c:pt idx="0">
                  <c:v>-1.9209734337238084E-2</c:v>
                </c:pt>
                <c:pt idx="1">
                  <c:v>7.8578564773634438E-2</c:v>
                </c:pt>
                <c:pt idx="2">
                  <c:v>0.12084994798740814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E37-47EF-875C-0DCA0A2FC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4"/>
        <c:axId val="145838464"/>
        <c:axId val="145840768"/>
      </c:barChart>
      <c:catAx>
        <c:axId val="14583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40768"/>
        <c:crosses val="autoZero"/>
        <c:auto val="1"/>
        <c:lblAlgn val="ctr"/>
        <c:lblOffset val="100"/>
        <c:noMultiLvlLbl val="0"/>
      </c:catAx>
      <c:valAx>
        <c:axId val="14584076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Profit Margin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.0%;[Red]\(#,##0.0%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838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'Cost Comparison'!$E$17</c:f>
              <c:strCache>
                <c:ptCount val="1"/>
                <c:pt idx="0">
                  <c:v>ATCO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Comparison'!$J$31:$N$31</c:f>
              <c:numCache>
                <c:formatCode>#,##0;[Red]\(#,##0\);\-</c:formatCode>
                <c:ptCount val="5"/>
                <c:pt idx="0">
                  <c:v>42437.20325359299</c:v>
                </c:pt>
                <c:pt idx="1">
                  <c:v>38946.964592380857</c:v>
                </c:pt>
                <c:pt idx="2">
                  <c:v>44550.67305801114</c:v>
                </c:pt>
                <c:pt idx="3">
                  <c:v>46980.209298279304</c:v>
                </c:pt>
                <c:pt idx="4">
                  <c:v>49930.379603316876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67-42D8-B974-677CB532B950}"/>
            </c:ext>
          </c:extLst>
        </c:ser>
        <c:ser>
          <c:idx val="1"/>
          <c:order val="1"/>
          <c:tx>
            <c:strRef>
              <c:f>'Cost Comparison'!$E$18</c:f>
              <c:strCache>
                <c:ptCount val="1"/>
                <c:pt idx="0">
                  <c:v>Corporate Services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Comparison'!$J$32:$N$32</c:f>
              <c:numCache>
                <c:formatCode>#,##0;[Red]\(#,##0\);\-</c:formatCode>
                <c:ptCount val="5"/>
                <c:pt idx="0">
                  <c:v>4458.3797895109992</c:v>
                </c:pt>
                <c:pt idx="1">
                  <c:v>4263.7820381623278</c:v>
                </c:pt>
                <c:pt idx="2">
                  <c:v>4230.0079011223534</c:v>
                </c:pt>
                <c:pt idx="3">
                  <c:v>4391.672182398408</c:v>
                </c:pt>
                <c:pt idx="4">
                  <c:v>4567.0131434857558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67-42D8-B974-677CB532B950}"/>
            </c:ext>
          </c:extLst>
        </c:ser>
        <c:ser>
          <c:idx val="2"/>
          <c:order val="2"/>
          <c:tx>
            <c:strRef>
              <c:f>'Cost Comparison'!$E$19</c:f>
              <c:strCache>
                <c:ptCount val="1"/>
                <c:pt idx="0">
                  <c:v>Data Assistant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Comparison'!$J$33:$N$33</c:f>
              <c:numCache>
                <c:formatCode>#,##0;[Red]\(#,##0\);\-</c:formatCode>
                <c:ptCount val="5"/>
                <c:pt idx="0">
                  <c:v>2648.6557553289995</c:v>
                </c:pt>
                <c:pt idx="1">
                  <c:v>2509.7031087290316</c:v>
                </c:pt>
                <c:pt idx="2">
                  <c:v>2834.5710480888465</c:v>
                </c:pt>
                <c:pt idx="3">
                  <c:v>2941.8145081324014</c:v>
                </c:pt>
                <c:pt idx="4">
                  <c:v>3058.4630861650007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67-42D8-B974-677CB532B950}"/>
            </c:ext>
          </c:extLst>
        </c:ser>
        <c:ser>
          <c:idx val="3"/>
          <c:order val="3"/>
          <c:tx>
            <c:strRef>
              <c:f>'Cost Comparison'!$E$20</c:f>
              <c:strCache>
                <c:ptCount val="1"/>
                <c:pt idx="0">
                  <c:v>Engineer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Comparison'!$J$34:$N$34</c:f>
              <c:numCache>
                <c:formatCode>#,##0;[Red]\(#,##0\);\-</c:formatCode>
                <c:ptCount val="5"/>
                <c:pt idx="0">
                  <c:v>8810.2578874879982</c:v>
                </c:pt>
                <c:pt idx="1">
                  <c:v>9847.5204404737015</c:v>
                </c:pt>
                <c:pt idx="2">
                  <c:v>11932.248255889532</c:v>
                </c:pt>
                <c:pt idx="3">
                  <c:v>12800.21964785451</c:v>
                </c:pt>
                <c:pt idx="4">
                  <c:v>13453.660536840791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67-42D8-B974-677CB532B950}"/>
            </c:ext>
          </c:extLst>
        </c:ser>
        <c:ser>
          <c:idx val="4"/>
          <c:order val="4"/>
          <c:tx>
            <c:strRef>
              <c:f>'Cost Comparison'!$E$21</c:f>
              <c:strCache>
                <c:ptCount val="1"/>
                <c:pt idx="0">
                  <c:v>Op Mgt Supp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Comparison'!$J$35:$N$35</c:f>
              <c:numCache>
                <c:formatCode>#,##0;[Red]\(#,##0\);\-</c:formatCode>
                <c:ptCount val="5"/>
                <c:pt idx="0">
                  <c:v>7105.7349841999985</c:v>
                </c:pt>
                <c:pt idx="1">
                  <c:v>7359.8356851953022</c:v>
                </c:pt>
                <c:pt idx="2">
                  <c:v>8847.1296505528171</c:v>
                </c:pt>
                <c:pt idx="3">
                  <c:v>9387.9698855077913</c:v>
                </c:pt>
                <c:pt idx="4">
                  <c:v>9762.8651549920505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67-42D8-B974-677CB532B950}"/>
            </c:ext>
          </c:extLst>
        </c:ser>
        <c:ser>
          <c:idx val="5"/>
          <c:order val="5"/>
          <c:tx>
            <c:strRef>
              <c:f>'Cost Comparison'!$E$37</c:f>
              <c:strCache>
                <c:ptCount val="1"/>
                <c:pt idx="0">
                  <c:v>Overtime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Comparison'!$J$37:$N$37</c:f>
              <c:numCache>
                <c:formatCode>#,##0;[Red]\(#,##0\);\-</c:formatCode>
                <c:ptCount val="5"/>
                <c:pt idx="0">
                  <c:v>671.61764299999982</c:v>
                </c:pt>
                <c:pt idx="1">
                  <c:v>991.5433676839998</c:v>
                </c:pt>
                <c:pt idx="2">
                  <c:v>1485.8568995146998</c:v>
                </c:pt>
                <c:pt idx="3">
                  <c:v>1725.3402140233841</c:v>
                </c:pt>
                <c:pt idx="4">
                  <c:v>1953.5615221843129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0-418B-A767-3015BE79F7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/>
                  <a:t>Staff</a:t>
                </a:r>
                <a:r>
                  <a:rPr lang="en-GB" baseline="0"/>
                  <a:t> Costs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198060303836587"/>
          <c:y val="0.82523674570879901"/>
          <c:w val="0.87801939696163411"/>
          <c:h val="0.148977979307486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651335825909605"/>
          <c:y val="4.2200740388019832E-2"/>
          <c:w val="0.80523178087334013"/>
          <c:h val="0.710222400733145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'Cost Comparison'!$E$17</c:f>
              <c:strCache>
                <c:ptCount val="1"/>
                <c:pt idx="0">
                  <c:v>ATCO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Comparison'!$J$58:$N$58</c:f>
              <c:numCache>
                <c:formatCode>#,##0;[Red]\(#,##0\);\-</c:formatCode>
                <c:ptCount val="5"/>
                <c:pt idx="0">
                  <c:v>41272.787406670723</c:v>
                </c:pt>
                <c:pt idx="1">
                  <c:v>38492.984834550407</c:v>
                </c:pt>
                <c:pt idx="2">
                  <c:v>43150.385988309419</c:v>
                </c:pt>
                <c:pt idx="3">
                  <c:v>44627.613464811438</c:v>
                </c:pt>
                <c:pt idx="4">
                  <c:v>47230.654841850017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3F-4DA4-A7CD-17B6B369E66B}"/>
            </c:ext>
          </c:extLst>
        </c:ser>
        <c:ser>
          <c:idx val="1"/>
          <c:order val="1"/>
          <c:tx>
            <c:strRef>
              <c:f>'Cost Comparison'!$E$18</c:f>
              <c:strCache>
                <c:ptCount val="1"/>
                <c:pt idx="0">
                  <c:v>Corporate Services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Comparison'!$J$59:$N$59</c:f>
              <c:numCache>
                <c:formatCode>#,##0;[Red]\(#,##0\);\-</c:formatCode>
                <c:ptCount val="5"/>
                <c:pt idx="0">
                  <c:v>4518.5603149940625</c:v>
                </c:pt>
                <c:pt idx="1">
                  <c:v>4629.7537910182782</c:v>
                </c:pt>
                <c:pt idx="2">
                  <c:v>4148.9518173921006</c:v>
                </c:pt>
                <c:pt idx="3">
                  <c:v>4254.7294617740017</c:v>
                </c:pt>
                <c:pt idx="4">
                  <c:v>4347.6032774558735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3F-4DA4-A7CD-17B6B369E66B}"/>
            </c:ext>
          </c:extLst>
        </c:ser>
        <c:ser>
          <c:idx val="2"/>
          <c:order val="2"/>
          <c:tx>
            <c:strRef>
              <c:f>'Cost Comparison'!$E$19</c:f>
              <c:strCache>
                <c:ptCount val="1"/>
                <c:pt idx="0">
                  <c:v>Data Assistant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Comparison'!$J$60:$N$60</c:f>
              <c:numCache>
                <c:formatCode>#,##0;[Red]\(#,##0\);\-</c:formatCode>
                <c:ptCount val="5"/>
                <c:pt idx="0">
                  <c:v>2607.5695724361126</c:v>
                </c:pt>
                <c:pt idx="1">
                  <c:v>2675.2881701971987</c:v>
                </c:pt>
                <c:pt idx="2">
                  <c:v>2784.4836104241786</c:v>
                </c:pt>
                <c:pt idx="3">
                  <c:v>2852.5519098197624</c:v>
                </c:pt>
                <c:pt idx="4">
                  <c:v>2910.3787877373857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3F-4DA4-A7CD-17B6B369E66B}"/>
            </c:ext>
          </c:extLst>
        </c:ser>
        <c:ser>
          <c:idx val="3"/>
          <c:order val="3"/>
          <c:tx>
            <c:strRef>
              <c:f>'Cost Comparison'!$E$20</c:f>
              <c:strCache>
                <c:ptCount val="1"/>
                <c:pt idx="0">
                  <c:v>Engineer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Comparison'!$J$61:$N$61</c:f>
              <c:numCache>
                <c:formatCode>#,##0;[Red]\(#,##0\);\-</c:formatCode>
                <c:ptCount val="5"/>
                <c:pt idx="0">
                  <c:v>8549.3068592648051</c:v>
                </c:pt>
                <c:pt idx="1">
                  <c:v>8762.1569688716008</c:v>
                </c:pt>
                <c:pt idx="2">
                  <c:v>11317.124888466262</c:v>
                </c:pt>
                <c:pt idx="3">
                  <c:v>12069.93024949274</c:v>
                </c:pt>
                <c:pt idx="4">
                  <c:v>12329.417757256711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3F-4DA4-A7CD-17B6B369E66B}"/>
            </c:ext>
          </c:extLst>
        </c:ser>
        <c:ser>
          <c:idx val="4"/>
          <c:order val="4"/>
          <c:tx>
            <c:strRef>
              <c:f>'Cost Comparison'!$E$21</c:f>
              <c:strCache>
                <c:ptCount val="1"/>
                <c:pt idx="0">
                  <c:v>Op Mgt Supp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Comparison'!$J$62:$N$62</c:f>
              <c:numCache>
                <c:formatCode>#,##0;[Red]\(#,##0\);\-</c:formatCode>
                <c:ptCount val="5"/>
                <c:pt idx="0">
                  <c:v>6989.6735755330174</c:v>
                </c:pt>
                <c:pt idx="1">
                  <c:v>7161.4031786796231</c:v>
                </c:pt>
                <c:pt idx="2">
                  <c:v>8485.8120200231315</c:v>
                </c:pt>
                <c:pt idx="3">
                  <c:v>8702.4139880316452</c:v>
                </c:pt>
                <c:pt idx="4">
                  <c:v>8892.7623747213001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3F-4DA4-A7CD-17B6B369E66B}"/>
            </c:ext>
          </c:extLst>
        </c:ser>
        <c:ser>
          <c:idx val="5"/>
          <c:order val="5"/>
          <c:tx>
            <c:strRef>
              <c:f>'Cost Comparison'!$E$64</c:f>
              <c:strCache>
                <c:ptCount val="1"/>
                <c:pt idx="0">
                  <c:v>Overtime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'Cost Comparison'!$J$2:$N$2</c:f>
              <c:numCache>
                <c:formatCode>General</c:formatCod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numCache>
            </c:numRef>
          </c:cat>
          <c:val>
            <c:numRef>
              <c:f>'Cost Comparison'!$J$64:$N$64</c:f>
              <c:numCache>
                <c:formatCode>#,##0;[Red]\(#,##0\);\-</c:formatCode>
                <c:ptCount val="5"/>
                <c:pt idx="0">
                  <c:v>671.61766128913382</c:v>
                </c:pt>
                <c:pt idx="1">
                  <c:v>682.36352528799978</c:v>
                </c:pt>
                <c:pt idx="2">
                  <c:v>1000.8860137586909</c:v>
                </c:pt>
                <c:pt idx="3">
                  <c:v>1474.04596980734</c:v>
                </c:pt>
                <c:pt idx="4">
                  <c:v>1823.4563648285057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7-4D05-B4DA-489A452351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5"/>
        <c:overlap val="100"/>
        <c:axId val="145742464"/>
        <c:axId val="145756928"/>
      </c:barChart>
      <c:catAx>
        <c:axId val="14574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56928"/>
        <c:crosses val="autoZero"/>
        <c:auto val="1"/>
        <c:lblAlgn val="ctr"/>
        <c:lblOffset val="100"/>
        <c:noMultiLvlLbl val="0"/>
      </c:catAx>
      <c:valAx>
        <c:axId val="14575692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rgbClr val="DFDFDF"/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Calibri" panose="020F0502020204030204" pitchFamily="34" charset="0"/>
                    <a:ea typeface="+mn-ea"/>
                    <a:cs typeface="Calibri" panose="020F0502020204030204" pitchFamily="34" charset="0"/>
                  </a:defRPr>
                </a:pPr>
                <a:r>
                  <a:rPr lang="en-GB" baseline="0"/>
                  <a:t>Staff Costs (€'000)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Calibri" panose="020F0502020204030204" pitchFamily="34" charset="0"/>
                  <a:ea typeface="+mn-ea"/>
                  <a:cs typeface="Calibri" panose="020F0502020204030204" pitchFamily="34" charset="0"/>
                </a:defRPr>
              </a:pPr>
              <a:endParaRPr lang="en-US"/>
            </a:p>
          </c:txPr>
        </c:title>
        <c:numFmt formatCode="#,##0;[Red]\(#,##0\);\-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defRPr>
            </a:pPr>
            <a:endParaRPr lang="en-US"/>
          </a:p>
        </c:txPr>
        <c:crossAx val="14574246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962731494684163"/>
          <c:y val="0.84322318098683091"/>
          <c:w val="0.8203725030247061"/>
          <c:h val="0.130975472738858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Calibri" panose="020F0502020204030204" pitchFamily="34" charset="0"/>
          <a:cs typeface="Calibri" panose="020F0502020204030204" pitchFamily="34" charset="0"/>
        </a:defRPr>
      </a:pPr>
      <a:endParaRPr lang="en-US"/>
    </a:p>
  </c:tx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13" Type="http://schemas.openxmlformats.org/officeDocument/2006/relationships/chart" Target="../charts/chart20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12" Type="http://schemas.openxmlformats.org/officeDocument/2006/relationships/chart" Target="../charts/chart19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chart" Target="../charts/chart18.xml"/><Relationship Id="rId5" Type="http://schemas.openxmlformats.org/officeDocument/2006/relationships/chart" Target="../charts/chart12.xml"/><Relationship Id="rId15" Type="http://schemas.openxmlformats.org/officeDocument/2006/relationships/chart" Target="../charts/chart22.xml"/><Relationship Id="rId10" Type="http://schemas.openxmlformats.org/officeDocument/2006/relationships/chart" Target="../charts/chart17.xml"/><Relationship Id="rId4" Type="http://schemas.openxmlformats.org/officeDocument/2006/relationships/chart" Target="../charts/chart11.xml"/><Relationship Id="rId9" Type="http://schemas.openxmlformats.org/officeDocument/2006/relationships/chart" Target="../charts/chart16.xml"/><Relationship Id="rId14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5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chart" Target="../charts/chart27.xml"/><Relationship Id="rId4" Type="http://schemas.openxmlformats.org/officeDocument/2006/relationships/chart" Target="../charts/chart2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495577</xdr:colOff>
      <xdr:row>29</xdr:row>
      <xdr:rowOff>100852</xdr:rowOff>
    </xdr:from>
    <xdr:to>
      <xdr:col>30</xdr:col>
      <xdr:colOff>280146</xdr:colOff>
      <xdr:row>43</xdr:row>
      <xdr:rowOff>115698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4C0B0C4-A712-476F-A2E6-315BE6F231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515472</xdr:colOff>
      <xdr:row>44</xdr:row>
      <xdr:rowOff>134470</xdr:rowOff>
    </xdr:from>
    <xdr:to>
      <xdr:col>30</xdr:col>
      <xdr:colOff>235323</xdr:colOff>
      <xdr:row>58</xdr:row>
      <xdr:rowOff>149317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330C140-CBD6-45E3-BFC5-7D79A304CC5A}"/>
            </a:ext>
            <a:ext uri="{147F2762-F138-4A5C-976F-8EAC2B608ADB}">
              <a16:predDERef xmlns:a16="http://schemas.microsoft.com/office/drawing/2014/main" pred="{24C0B0C4-A712-476F-A2E6-315BE6F23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403411</xdr:colOff>
      <xdr:row>14</xdr:row>
      <xdr:rowOff>112059</xdr:rowOff>
    </xdr:from>
    <xdr:to>
      <xdr:col>29</xdr:col>
      <xdr:colOff>221598</xdr:colOff>
      <xdr:row>28</xdr:row>
      <xdr:rowOff>126905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55922F55-B765-48B8-9068-B83BFD4AB559}"/>
            </a:ext>
            <a:ext uri="{147F2762-F138-4A5C-976F-8EAC2B608ADB}">
              <a16:predDERef xmlns:a16="http://schemas.microsoft.com/office/drawing/2014/main" pred="{9330C140-CBD6-45E3-BFC5-7D79A304CC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24</xdr:col>
      <xdr:colOff>291355</xdr:colOff>
      <xdr:row>89</xdr:row>
      <xdr:rowOff>115136</xdr:rowOff>
    </xdr:from>
    <xdr:to>
      <xdr:col>30</xdr:col>
      <xdr:colOff>493059</xdr:colOff>
      <xdr:row>102</xdr:row>
      <xdr:rowOff>78438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2387A2B0-9000-4B7B-8A42-1FDD3FDA9F71}"/>
            </a:ext>
            <a:ext uri="{147F2762-F138-4A5C-976F-8EAC2B608ADB}">
              <a16:predDERef xmlns:a16="http://schemas.microsoft.com/office/drawing/2014/main" pred="{55922F55-B765-48B8-9068-B83BFD4AB5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17</xdr:col>
      <xdr:colOff>596993</xdr:colOff>
      <xdr:row>89</xdr:row>
      <xdr:rowOff>115140</xdr:rowOff>
    </xdr:from>
    <xdr:to>
      <xdr:col>24</xdr:col>
      <xdr:colOff>268940</xdr:colOff>
      <xdr:row>101</xdr:row>
      <xdr:rowOff>89647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B3CB1882-E1E3-4DF9-903B-2A92063BFB0D}"/>
            </a:ext>
            <a:ext uri="{147F2762-F138-4A5C-976F-8EAC2B608ADB}">
              <a16:predDERef xmlns:a16="http://schemas.microsoft.com/office/drawing/2014/main" pred="{2387A2B0-9000-4B7B-8A42-1FDD3FDA9F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586349</xdr:colOff>
      <xdr:row>62</xdr:row>
      <xdr:rowOff>89369</xdr:rowOff>
    </xdr:from>
    <xdr:to>
      <xdr:col>29</xdr:col>
      <xdr:colOff>336177</xdr:colOff>
      <xdr:row>74</xdr:row>
      <xdr:rowOff>134470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A436C72-B9D6-4FB1-8291-1C81DF3F128B}"/>
            </a:ext>
            <a:ext uri="{147F2762-F138-4A5C-976F-8EAC2B608ADB}">
              <a16:predDERef xmlns:a16="http://schemas.microsoft.com/office/drawing/2014/main" pred="{B3CB1882-E1E3-4DF9-903B-2A92063BFB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19</xdr:col>
      <xdr:colOff>165567</xdr:colOff>
      <xdr:row>74</xdr:row>
      <xdr:rowOff>94968</xdr:rowOff>
    </xdr:from>
    <xdr:to>
      <xdr:col>28</xdr:col>
      <xdr:colOff>609041</xdr:colOff>
      <xdr:row>86</xdr:row>
      <xdr:rowOff>13446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BB5803B6-C92F-44A5-A5A4-B9966AA7212C}"/>
            </a:ext>
            <a:ext uri="{147F2762-F138-4A5C-976F-8EAC2B608ADB}">
              <a16:predDERef xmlns:a16="http://schemas.microsoft.com/office/drawing/2014/main" pred="{1A436C72-B9D6-4FB1-8291-1C81DF3F12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324971</xdr:colOff>
      <xdr:row>17</xdr:row>
      <xdr:rowOff>125786</xdr:rowOff>
    </xdr:from>
    <xdr:to>
      <xdr:col>23</xdr:col>
      <xdr:colOff>324970</xdr:colOff>
      <xdr:row>36</xdr:row>
      <xdr:rowOff>64711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7F10C97-3146-4E74-B9A3-87865C2409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369794</xdr:colOff>
      <xdr:row>43</xdr:row>
      <xdr:rowOff>56028</xdr:rowOff>
    </xdr:from>
    <xdr:to>
      <xdr:col>23</xdr:col>
      <xdr:colOff>403409</xdr:colOff>
      <xdr:row>64</xdr:row>
      <xdr:rowOff>63499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9B31628F-BFD8-480D-BE3B-E425A0D5E089}"/>
            </a:ext>
            <a:ext uri="{147F2762-F138-4A5C-976F-8EAC2B608ADB}">
              <a16:predDERef xmlns:a16="http://schemas.microsoft.com/office/drawing/2014/main" pred="{07F10C97-3146-4E74-B9A3-87865C240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156883</xdr:colOff>
      <xdr:row>73</xdr:row>
      <xdr:rowOff>33617</xdr:rowOff>
    </xdr:from>
    <xdr:to>
      <xdr:col>23</xdr:col>
      <xdr:colOff>279147</xdr:colOff>
      <xdr:row>93</xdr:row>
      <xdr:rowOff>131946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DF27338-132E-497F-B4F6-63FAD65CF24C}"/>
            </a:ext>
            <a:ext uri="{147F2762-F138-4A5C-976F-8EAC2B608ADB}">
              <a16:predDERef xmlns:a16="http://schemas.microsoft.com/office/drawing/2014/main" pred="{9B31628F-BFD8-480D-BE3B-E425A0D5E0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15</xdr:col>
      <xdr:colOff>33617</xdr:colOff>
      <xdr:row>99</xdr:row>
      <xdr:rowOff>92169</xdr:rowOff>
    </xdr:from>
    <xdr:to>
      <xdr:col>23</xdr:col>
      <xdr:colOff>458443</xdr:colOff>
      <xdr:row>116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9D34D536-4FBF-4FDA-AF8C-8C2F93041B7D}"/>
            </a:ext>
            <a:ext uri="{147F2762-F138-4A5C-976F-8EAC2B608ADB}">
              <a16:predDERef xmlns:a16="http://schemas.microsoft.com/office/drawing/2014/main" pred="{6DF27338-132E-497F-B4F6-63FAD65CF2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15</xdr:col>
      <xdr:colOff>67235</xdr:colOff>
      <xdr:row>119</xdr:row>
      <xdr:rowOff>78441</xdr:rowOff>
    </xdr:from>
    <xdr:to>
      <xdr:col>23</xdr:col>
      <xdr:colOff>570501</xdr:colOff>
      <xdr:row>135</xdr:row>
      <xdr:rowOff>143155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C1E2A1E-CCC8-44D3-9C8B-2AFE92C3E292}"/>
            </a:ext>
            <a:ext uri="{147F2762-F138-4A5C-976F-8EAC2B608ADB}">
              <a16:predDERef xmlns:a16="http://schemas.microsoft.com/office/drawing/2014/main" pred="{9D34D536-4FBF-4FDA-AF8C-8C2F93041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15</xdr:col>
      <xdr:colOff>134470</xdr:colOff>
      <xdr:row>140</xdr:row>
      <xdr:rowOff>22412</xdr:rowOff>
    </xdr:from>
    <xdr:to>
      <xdr:col>23</xdr:col>
      <xdr:colOff>281669</xdr:colOff>
      <xdr:row>158</xdr:row>
      <xdr:rowOff>118219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798ABC9F-1049-4352-8714-B050A0EDDCAC}"/>
            </a:ext>
            <a:ext uri="{147F2762-F138-4A5C-976F-8EAC2B608ADB}">
              <a16:predDERef xmlns:a16="http://schemas.microsoft.com/office/drawing/2014/main" pred="{6C1E2A1E-CCC8-44D3-9C8B-2AFE92C3E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14</xdr:col>
      <xdr:colOff>560294</xdr:colOff>
      <xdr:row>164</xdr:row>
      <xdr:rowOff>136991</xdr:rowOff>
    </xdr:from>
    <xdr:to>
      <xdr:col>23</xdr:col>
      <xdr:colOff>493059</xdr:colOff>
      <xdr:row>183</xdr:row>
      <xdr:rowOff>89363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21D00B7-2CB2-4AD4-A7D9-CB1E9205AB3F}"/>
            </a:ext>
            <a:ext uri="{147F2762-F138-4A5C-976F-8EAC2B608ADB}">
              <a16:predDERef xmlns:a16="http://schemas.microsoft.com/office/drawing/2014/main" pred="{798ABC9F-1049-4352-8714-B050A0EDD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15</xdr:col>
      <xdr:colOff>0</xdr:colOff>
      <xdr:row>187</xdr:row>
      <xdr:rowOff>0</xdr:rowOff>
    </xdr:from>
    <xdr:to>
      <xdr:col>23</xdr:col>
      <xdr:colOff>537882</xdr:colOff>
      <xdr:row>205</xdr:row>
      <xdr:rowOff>109254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B31920BC-D7AE-4483-9017-125008622BC5}"/>
            </a:ext>
            <a:ext uri="{147F2762-F138-4A5C-976F-8EAC2B608ADB}">
              <a16:predDERef xmlns:a16="http://schemas.microsoft.com/office/drawing/2014/main" pred="{A21D00B7-2CB2-4AD4-A7D9-CB1E9205A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oneCellAnchor>
    <xdr:from>
      <xdr:col>14</xdr:col>
      <xdr:colOff>560294</xdr:colOff>
      <xdr:row>209</xdr:row>
      <xdr:rowOff>136991</xdr:rowOff>
    </xdr:from>
    <xdr:ext cx="5378824" cy="2933137"/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C0B24604-FB60-4CD2-8B36-E3E8153DF10B}"/>
            </a:ext>
            <a:ext uri="{147F2762-F138-4A5C-976F-8EAC2B608ADB}">
              <a16:predDERef xmlns:a16="http://schemas.microsoft.com/office/drawing/2014/main" pred="{B31920BC-D7AE-4483-9017-125008622B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twoCellAnchor editAs="oneCell">
    <xdr:from>
      <xdr:col>15</xdr:col>
      <xdr:colOff>51267</xdr:colOff>
      <xdr:row>255</xdr:row>
      <xdr:rowOff>25492</xdr:rowOff>
    </xdr:from>
    <xdr:to>
      <xdr:col>23</xdr:col>
      <xdr:colOff>19172</xdr:colOff>
      <xdr:row>273</xdr:row>
      <xdr:rowOff>126341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C53D56BF-938A-40CB-AAF0-A56CA2123075}"/>
            </a:ext>
            <a:ext uri="{147F2762-F138-4A5C-976F-8EAC2B608ADB}">
              <a16:predDERef xmlns:a16="http://schemas.microsoft.com/office/drawing/2014/main" pred="{6A899B36-ABC0-4BDE-A394-923ECF5271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15</xdr:col>
      <xdr:colOff>190500</xdr:colOff>
      <xdr:row>273</xdr:row>
      <xdr:rowOff>67235</xdr:rowOff>
    </xdr:from>
    <xdr:to>
      <xdr:col>23</xdr:col>
      <xdr:colOff>158405</xdr:colOff>
      <xdr:row>292</xdr:row>
      <xdr:rowOff>11203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D5F9042B-6654-437B-8F38-A9C3D42F0D74}"/>
            </a:ext>
            <a:ext uri="{147F2762-F138-4A5C-976F-8EAC2B608ADB}">
              <a16:predDERef xmlns:a16="http://schemas.microsoft.com/office/drawing/2014/main" pred="{C53D56BF-938A-40CB-AAF0-A56CA2123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15</xdr:col>
      <xdr:colOff>297797</xdr:colOff>
      <xdr:row>297</xdr:row>
      <xdr:rowOff>14287</xdr:rowOff>
    </xdr:from>
    <xdr:to>
      <xdr:col>23</xdr:col>
      <xdr:colOff>265702</xdr:colOff>
      <xdr:row>311</xdr:row>
      <xdr:rowOff>67236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6A43ECB6-F507-4C1B-8633-4FB2F31C0340}"/>
            </a:ext>
            <a:ext uri="{147F2762-F138-4A5C-976F-8EAC2B608ADB}">
              <a16:predDERef xmlns:a16="http://schemas.microsoft.com/office/drawing/2014/main" pred="{D5F9042B-6654-437B-8F38-A9C3D42F0D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15</xdr:col>
      <xdr:colOff>358588</xdr:colOff>
      <xdr:row>313</xdr:row>
      <xdr:rowOff>0</xdr:rowOff>
    </xdr:from>
    <xdr:to>
      <xdr:col>23</xdr:col>
      <xdr:colOff>326493</xdr:colOff>
      <xdr:row>327</xdr:row>
      <xdr:rowOff>52949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490E443F-2662-4566-BAD4-FBE9EE47F0AD}"/>
            </a:ext>
            <a:ext uri="{147F2762-F138-4A5C-976F-8EAC2B608ADB}">
              <a16:predDERef xmlns:a16="http://schemas.microsoft.com/office/drawing/2014/main" pred="{6A43ECB6-F507-4C1B-8633-4FB2F31C0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15</xdr:col>
      <xdr:colOff>275384</xdr:colOff>
      <xdr:row>330</xdr:row>
      <xdr:rowOff>103934</xdr:rowOff>
    </xdr:from>
    <xdr:to>
      <xdr:col>23</xdr:col>
      <xdr:colOff>243289</xdr:colOff>
      <xdr:row>349</xdr:row>
      <xdr:rowOff>47903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082C24A6-002B-4163-8CEF-4C4761BC6C11}"/>
            </a:ext>
            <a:ext uri="{147F2762-F138-4A5C-976F-8EAC2B608ADB}">
              <a16:predDERef xmlns:a16="http://schemas.microsoft.com/office/drawing/2014/main" pred="{490E443F-2662-4566-BAD4-FBE9EE47F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15</xdr:col>
      <xdr:colOff>298451</xdr:colOff>
      <xdr:row>228</xdr:row>
      <xdr:rowOff>99483</xdr:rowOff>
    </xdr:from>
    <xdr:to>
      <xdr:col>23</xdr:col>
      <xdr:colOff>244567</xdr:colOff>
      <xdr:row>247</xdr:row>
      <xdr:rowOff>38408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D612A33-9164-4B1D-B6DE-6FE7E1FED7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44825</xdr:colOff>
      <xdr:row>13</xdr:row>
      <xdr:rowOff>134470</xdr:rowOff>
    </xdr:from>
    <xdr:to>
      <xdr:col>28</xdr:col>
      <xdr:colOff>123265</xdr:colOff>
      <xdr:row>27</xdr:row>
      <xdr:rowOff>149316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1A1F9E7-C13D-4E60-A1E6-1428A194D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493059</xdr:colOff>
      <xdr:row>40</xdr:row>
      <xdr:rowOff>0</xdr:rowOff>
    </xdr:from>
    <xdr:to>
      <xdr:col>28</xdr:col>
      <xdr:colOff>89647</xdr:colOff>
      <xdr:row>54</xdr:row>
      <xdr:rowOff>14846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4983A5E-9A7F-4477-AC89-746D5FA6EB08}"/>
            </a:ext>
            <a:ext uri="{147F2762-F138-4A5C-976F-8EAC2B608ADB}">
              <a16:predDERef xmlns:a16="http://schemas.microsoft.com/office/drawing/2014/main" pred="{11A1F9E7-C13D-4E60-A1E6-1428A194D6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56030</xdr:colOff>
      <xdr:row>58</xdr:row>
      <xdr:rowOff>1960</xdr:rowOff>
    </xdr:from>
    <xdr:to>
      <xdr:col>27</xdr:col>
      <xdr:colOff>60074</xdr:colOff>
      <xdr:row>73</xdr:row>
      <xdr:rowOff>78440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AFE936E-E721-4517-A8C9-5304EACEA251}"/>
            </a:ext>
            <a:ext uri="{147F2762-F138-4A5C-976F-8EAC2B608ADB}">
              <a16:predDERef xmlns:a16="http://schemas.microsoft.com/office/drawing/2014/main" pred="{A4983A5E-9A7F-4477-AC89-746D5FA6EB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17</xdr:col>
      <xdr:colOff>78442</xdr:colOff>
      <xdr:row>75</xdr:row>
      <xdr:rowOff>1</xdr:rowOff>
    </xdr:from>
    <xdr:to>
      <xdr:col>26</xdr:col>
      <xdr:colOff>575545</xdr:colOff>
      <xdr:row>89</xdr:row>
      <xdr:rowOff>56030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46CD1E2B-DF58-4D6E-B426-0C4E379E117A}"/>
            </a:ext>
            <a:ext uri="{147F2762-F138-4A5C-976F-8EAC2B608ADB}">
              <a16:predDERef xmlns:a16="http://schemas.microsoft.com/office/drawing/2014/main" pred="{0AFE936E-E721-4517-A8C9-5304EACEA2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17</xdr:col>
      <xdr:colOff>504265</xdr:colOff>
      <xdr:row>27</xdr:row>
      <xdr:rowOff>91608</xdr:rowOff>
    </xdr:from>
    <xdr:to>
      <xdr:col>27</xdr:col>
      <xdr:colOff>44823</xdr:colOff>
      <xdr:row>38</xdr:row>
      <xdr:rowOff>56031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9A809541-1989-4546-93E3-96543D94FA1E}"/>
            </a:ext>
            <a:ext uri="{147F2762-F138-4A5C-976F-8EAC2B608ADB}">
              <a16:predDERef xmlns:a16="http://schemas.microsoft.com/office/drawing/2014/main" pred="{46CD1E2B-DF58-4D6E-B426-0C4E379E11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BRUNA30\dgof-pru$\TEMP\ENROUTE_00_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BRUNA30\dgof-pru$\LS\A\Ae\Fakturering\&#197;rsfakturering\2008\Masterfiler%202008\Flygskolor%202008\FTO%20Faktureringsunderlag%20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5-paris-dna\VOL1\TEMP\ENROUTE_00_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BRUNA30\dgof-pru$\TEMP\unit%20rate%20tables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HBRUNA30\dgof-pru$\RRIDER\COSTBASE\2000\final\2000finalwor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SP%20Opex%20(CA+10%25%20SUs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F"/>
      <sheetName val="texts"/>
      <sheetName val="view"/>
      <sheetName val="exploitation"/>
      <sheetName val="base_en_route"/>
      <sheetName val="finances"/>
      <sheetName val="calcul"/>
      <sheetName val="EUR"/>
      <sheetName val="verif_99"/>
      <sheetName val="prev00_3"/>
      <sheetName val="prev01_1"/>
      <sheetName val="COL1"/>
      <sheetName val="COL2"/>
      <sheetName val="COL3"/>
      <sheetName val="COL4"/>
      <sheetName val="COL5"/>
      <sheetName val="COL6"/>
      <sheetName val="COL7"/>
      <sheetName val="COL8"/>
      <sheetName val="HYPO"/>
    </sheetNames>
    <sheetDataSet>
      <sheetData sheetId="0" refreshError="1">
        <row r="8">
          <cell r="F8">
            <v>40.3399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irways Flygutbildning Svenska "/>
      <sheetName val="Arlanda Helicopter AB"/>
      <sheetName val="BF Scand. Aviation Academy AB"/>
      <sheetName val="Flygteoriskolan Barkarby AB"/>
      <sheetName val="Flyguppdraget Backamo AB"/>
      <sheetName val="Kungsair Training AB"/>
      <sheetName val="Lid Air AB"/>
      <sheetName val="Linköpings Flygklubb"/>
      <sheetName val="Lunds Universitet Trafikflygsko"/>
      <sheetName val="Norrlandsflyg AB"/>
      <sheetName val="Proflight Nordic AB"/>
      <sheetName val="Sturup IFR AB"/>
      <sheetName val="Svenska Pilotutbildning AB"/>
      <sheetName val="Flight Crew Traning Sw AB"/>
      <sheetName val="Rikskriminalpolisen, polisflyge"/>
      <sheetName val="Nytt företag"/>
      <sheetName val="Nytt företag 2"/>
      <sheetName val="Nytt företag 3"/>
      <sheetName val="Nytt företag 4"/>
      <sheetName val="Nytt företag 5"/>
      <sheetName val="Nytt företag 6"/>
      <sheetName val="Nytt företag 7"/>
      <sheetName val="Nytt företag 8"/>
      <sheetName val="Nytt företag 9"/>
      <sheetName val="Indata Flygskolor"/>
      <sheetName val="Airways_Flygutbildning_Svenska_"/>
      <sheetName val="Arlanda_Helicopter_AB"/>
      <sheetName val="BF_Scand__Aviation_Academy_AB"/>
      <sheetName val="Flygteoriskolan_Barkarby_AB"/>
      <sheetName val="Flyguppdraget_Backamo_AB"/>
      <sheetName val="Kungsair_Training_AB"/>
      <sheetName val="Lid_Air_AB"/>
      <sheetName val="Linköpings_Flygklubb"/>
      <sheetName val="Lunds_Universitet_Trafikflygsko"/>
      <sheetName val="Norrlandsflyg_AB"/>
      <sheetName val="Proflight_Nordic_AB"/>
      <sheetName val="Sturup_IFR_AB"/>
      <sheetName val="Svenska_Pilotutbildning_AB"/>
      <sheetName val="Flight_Crew_Traning_Sw_AB"/>
      <sheetName val="Rikskriminalpolisen,_polisflyge"/>
      <sheetName val="Nytt_företag"/>
      <sheetName val="Nytt_företag_2"/>
      <sheetName val="Nytt_företag_3"/>
      <sheetName val="Nytt_företag_4"/>
      <sheetName val="Nytt_företag_5"/>
      <sheetName val="Nytt_företag_6"/>
      <sheetName val="Nytt_företag_7"/>
      <sheetName val="Nytt_företag_8"/>
      <sheetName val="Nytt_företag_9"/>
      <sheetName val="Indata_Flygskol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>
            <v>5</v>
          </cell>
        </row>
        <row r="11">
          <cell r="A11">
            <v>6</v>
          </cell>
        </row>
        <row r="12">
          <cell r="A12">
            <v>7</v>
          </cell>
        </row>
        <row r="13">
          <cell r="A13">
            <v>8</v>
          </cell>
        </row>
        <row r="14">
          <cell r="A14">
            <v>9</v>
          </cell>
        </row>
        <row r="15">
          <cell r="A15">
            <v>10</v>
          </cell>
        </row>
        <row r="16">
          <cell r="A16">
            <v>11</v>
          </cell>
        </row>
        <row r="17">
          <cell r="A17">
            <v>12</v>
          </cell>
        </row>
        <row r="18">
          <cell r="A18">
            <v>13</v>
          </cell>
        </row>
        <row r="19">
          <cell r="A19">
            <v>14</v>
          </cell>
        </row>
        <row r="20">
          <cell r="A20">
            <v>15</v>
          </cell>
        </row>
        <row r="21">
          <cell r="A21">
            <v>16</v>
          </cell>
        </row>
        <row r="22">
          <cell r="A22">
            <v>17</v>
          </cell>
        </row>
        <row r="23">
          <cell r="A23">
            <v>18</v>
          </cell>
        </row>
        <row r="24">
          <cell r="A24">
            <v>19</v>
          </cell>
        </row>
        <row r="25">
          <cell r="A25">
            <v>20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xts"/>
      <sheetName val="view"/>
      <sheetName val="exploitation"/>
      <sheetName val="base_en_route"/>
      <sheetName val="finances"/>
      <sheetName val="calcul"/>
      <sheetName val="EUR"/>
      <sheetName val="BEF"/>
      <sheetName val="verif_99"/>
      <sheetName val="prev00_3"/>
      <sheetName val="prev01_1"/>
      <sheetName val="COL1"/>
      <sheetName val="COL2"/>
      <sheetName val="COL3"/>
      <sheetName val="COL4"/>
      <sheetName val="COL5"/>
      <sheetName val="COL6"/>
      <sheetName val="COL7"/>
      <sheetName val="COL8"/>
      <sheetName val="HYP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8">
          <cell r="F8">
            <v>40.3399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inputs"/>
      <sheetName val="BEF"/>
    </sheetNames>
    <sheetDataSet>
      <sheetData sheetId="0"/>
      <sheetData sheetId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rocontrol detail"/>
      <sheetName val="DETR"/>
      <sheetName val="Rate composition"/>
      <sheetName val="forecasts and actuals"/>
      <sheetName val="implied rate 2000 Qtr2"/>
      <sheetName val="implied rate 2000 Qtr2R)"/>
      <sheetName val=" rate 2000 Qtr2 readjusted"/>
      <sheetName val="IE recalculation BP"/>
      <sheetName val="IE treatment"/>
      <sheetName val="Inflation"/>
      <sheetName val="Slide 3"/>
      <sheetName val="Slide 4"/>
      <sheetName val="Schedule 1 EC paper"/>
      <sheetName val="Schedule 2 EC paper"/>
      <sheetName val="Schedule 1 cons paper "/>
      <sheetName val="Schedule 2 cons paper"/>
      <sheetName val="Summary - Schedule 3 cons"/>
      <sheetName val="1999 var cons - Schedule 4 "/>
      <sheetName val="2000 var cons - Schedule 5"/>
      <sheetName val="Summary - Schedule 3"/>
      <sheetName val="Cost bases"/>
      <sheetName val="UKATS presentation phasing"/>
      <sheetName val="Forecast"/>
      <sheetName val="Bases"/>
      <sheetName val="UKATS"/>
      <sheetName val="Summary results"/>
      <sheetName val="Agency costs data"/>
      <sheetName val="Agency costs - history"/>
      <sheetName val="Agency costs"/>
      <sheetName val="97decact"/>
      <sheetName val="98maract"/>
      <sheetName val="99marbud"/>
      <sheetName val="98decact"/>
      <sheetName val="tblMapDescriptions"/>
      <sheetName val="qry99MarEnRoute"/>
      <sheetName val="qrybudget2000"/>
      <sheetName val="timetable"/>
      <sheetName val="Forecasts and B plans"/>
      <sheetName val="Eurocontrol_detail"/>
      <sheetName val="Rate_composition"/>
      <sheetName val="forecasts_and_actuals"/>
      <sheetName val="implied_rate_2000_Qtr2"/>
      <sheetName val="implied_rate_2000_Qtr2R)"/>
      <sheetName val="_rate_2000_Qtr2_readjusted"/>
      <sheetName val="IE_recalculation_BP"/>
      <sheetName val="IE_treatment"/>
      <sheetName val="Slide_3"/>
      <sheetName val="Slide_4"/>
      <sheetName val="Schedule_1_EC_paper"/>
      <sheetName val="Schedule_2_EC_paper"/>
      <sheetName val="Schedule_1_cons_paper_"/>
      <sheetName val="Schedule_2_cons_paper"/>
      <sheetName val="Summary_-_Schedule_3_cons"/>
      <sheetName val="1999_var_cons_-_Schedule_4_"/>
      <sheetName val="2000_var_cons_-_Schedule_5"/>
      <sheetName val="Summary_-_Schedule_3"/>
      <sheetName val="Cost_bases"/>
      <sheetName val="UKATS_presentation_phasing"/>
      <sheetName val="Summary_results"/>
      <sheetName val="Agency_costs_data"/>
      <sheetName val="Agency_costs_-_history"/>
      <sheetName val="Agency_costs"/>
      <sheetName val="Forecasts_and_B_plans"/>
      <sheetName val="IV dir._Technosky_2011"/>
      <sheetName val="IV dir._Technosky_2010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SP Opex (CA+10% SUs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2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3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4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5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6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7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Steer">
    <a:dk1>
      <a:srgbClr val="161B21"/>
    </a:dk1>
    <a:lt1>
      <a:sysClr val="window" lastClr="FFFFFF"/>
    </a:lt1>
    <a:dk2>
      <a:srgbClr val="9E9CA1"/>
    </a:dk2>
    <a:lt2>
      <a:srgbClr val="D6E0E7"/>
    </a:lt2>
    <a:accent1>
      <a:srgbClr val="00B0DF"/>
    </a:accent1>
    <a:accent2>
      <a:srgbClr val="161B21"/>
    </a:accent2>
    <a:accent3>
      <a:srgbClr val="F8982D"/>
    </a:accent3>
    <a:accent4>
      <a:srgbClr val="00895E"/>
    </a:accent4>
    <a:accent5>
      <a:srgbClr val="0073E3"/>
    </a:accent5>
    <a:accent6>
      <a:srgbClr val="C03200"/>
    </a:accent6>
    <a:hlink>
      <a:srgbClr val="0073E3"/>
    </a:hlink>
    <a:folHlink>
      <a:srgbClr val="9D9BA0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834EF-AC9C-445C-B373-EE772C1E3451}">
  <sheetPr>
    <tabColor theme="1"/>
    <pageSetUpPr fitToPage="1"/>
  </sheetPr>
  <dimension ref="B8"/>
  <sheetViews>
    <sheetView showGridLines="0" showRowColHeaders="0" topLeftCell="A2" zoomScaleNormal="100" workbookViewId="0">
      <selection activeCell="F43" sqref="F43"/>
    </sheetView>
  </sheetViews>
  <sheetFormatPr defaultColWidth="9.1796875" defaultRowHeight="13"/>
  <cols>
    <col min="1" max="16384" width="9.1796875" style="1018"/>
  </cols>
  <sheetData>
    <row r="8" spans="2:2" ht="23.5">
      <c r="B8" s="1198" t="s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&amp;L&amp;F [&amp;A]&amp;R&amp;G</oddHeader>
    <oddFooter>&amp;LPrinted on &amp;D at &amp;T&amp;RPage &amp;P of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F61F-383A-4926-AD4A-883FB49FC70E}">
  <sheetPr>
    <tabColor theme="9" tint="0.59999389629810485"/>
  </sheetPr>
  <dimension ref="B1:AO88"/>
  <sheetViews>
    <sheetView topLeftCell="D1" zoomScale="80" zoomScaleNormal="80" workbookViewId="0">
      <pane ySplit="6" topLeftCell="A7" activePane="bottomLeft" state="frozen"/>
      <selection pane="bottomLeft" activeCell="L94" sqref="L94"/>
    </sheetView>
  </sheetViews>
  <sheetFormatPr defaultColWidth="0" defaultRowHeight="13" outlineLevelRow="1" outlineLevelCol="1"/>
  <cols>
    <col min="1" max="1" width="1.453125" style="3" customWidth="1"/>
    <col min="2" max="2" width="6.54296875" style="3" customWidth="1"/>
    <col min="3" max="3" width="20.26953125" style="3" bestFit="1" customWidth="1"/>
    <col min="4" max="5" width="11.81640625" style="3" customWidth="1"/>
    <col min="6" max="6" width="13" style="3" bestFit="1" customWidth="1"/>
    <col min="7" max="7" width="7.7265625" style="3" customWidth="1"/>
    <col min="8" max="8" width="11.81640625" style="3" customWidth="1"/>
    <col min="9" max="9" width="10.7265625" style="3" customWidth="1"/>
    <col min="10" max="17" width="11.81640625" style="3" customWidth="1" outlineLevel="1"/>
    <col min="18" max="18" width="5.81640625" style="3" customWidth="1"/>
    <col min="19" max="21" width="11.81640625" style="3" customWidth="1"/>
    <col min="22" max="40" width="11.54296875" style="23" bestFit="1" customWidth="1"/>
    <col min="41" max="41" width="3.26953125" style="3" customWidth="1"/>
    <col min="42" max="16384" width="0" style="3" hidden="1"/>
  </cols>
  <sheetData>
    <row r="1" spans="2:41" ht="9" customHeight="1"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2:41">
      <c r="B2" s="5"/>
      <c r="C2" s="5"/>
      <c r="D2" s="5"/>
      <c r="E2" s="5"/>
      <c r="F2" s="5"/>
      <c r="G2" s="5"/>
      <c r="H2" s="5" t="s">
        <v>752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">
        <v>120</v>
      </c>
      <c r="U2" s="10">
        <f>'Misc. Items'!I2</f>
        <v>42005</v>
      </c>
      <c r="V2" s="10">
        <f>'Misc. Items'!J2</f>
        <v>42370</v>
      </c>
      <c r="W2" s="10">
        <f>'Misc. Items'!K2</f>
        <v>42736</v>
      </c>
      <c r="X2" s="10">
        <f>'Misc. Items'!L2</f>
        <v>43101</v>
      </c>
      <c r="Y2" s="10">
        <f>'Misc. Items'!M2</f>
        <v>43466</v>
      </c>
      <c r="Z2" s="10">
        <f>'Misc. Items'!N2</f>
        <v>43831</v>
      </c>
      <c r="AA2" s="10">
        <f>'Misc. Items'!O2</f>
        <v>44197</v>
      </c>
      <c r="AB2" s="10">
        <f>'Misc. Items'!P2</f>
        <v>44562</v>
      </c>
      <c r="AC2" s="10">
        <f>'Misc. Items'!Q2</f>
        <v>44927</v>
      </c>
      <c r="AD2" s="10">
        <f>'Misc. Items'!R2</f>
        <v>45292</v>
      </c>
      <c r="AE2" s="10">
        <f>'Misc. Items'!S2</f>
        <v>45658</v>
      </c>
      <c r="AF2" s="10">
        <f>'Misc. Items'!T2</f>
        <v>46023</v>
      </c>
      <c r="AG2" s="10">
        <f>'Misc. Items'!U2</f>
        <v>46388</v>
      </c>
      <c r="AH2" s="10">
        <f>'Misc. Items'!V2</f>
        <v>46753</v>
      </c>
      <c r="AI2" s="10">
        <f>'Misc. Items'!W2</f>
        <v>47119</v>
      </c>
      <c r="AJ2" s="10">
        <f>'Misc. Items'!X2</f>
        <v>47484</v>
      </c>
      <c r="AK2" s="10">
        <f>'Misc. Items'!Y2</f>
        <v>47849</v>
      </c>
      <c r="AL2" s="10">
        <f>'Misc. Items'!Z2</f>
        <v>48214</v>
      </c>
      <c r="AM2" s="10">
        <f>'Misc. Items'!AA2</f>
        <v>48580</v>
      </c>
      <c r="AN2" s="10">
        <f>'Misc. Items'!AB2</f>
        <v>48945</v>
      </c>
    </row>
    <row r="3" spans="2:41">
      <c r="B3" s="5"/>
      <c r="C3" s="215" t="s">
        <v>121</v>
      </c>
      <c r="D3" s="5"/>
      <c r="E3" s="5"/>
      <c r="F3" s="5"/>
      <c r="G3" s="5"/>
      <c r="H3" s="177" t="s">
        <v>162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122</v>
      </c>
      <c r="U3" s="10">
        <f>'Misc. Items'!I3</f>
        <v>42369</v>
      </c>
      <c r="V3" s="10">
        <f>'Misc. Items'!J3</f>
        <v>42735</v>
      </c>
      <c r="W3" s="10">
        <f>'Misc. Items'!K3</f>
        <v>43100</v>
      </c>
      <c r="X3" s="10">
        <f>'Misc. Items'!L3</f>
        <v>43465</v>
      </c>
      <c r="Y3" s="10">
        <f>'Misc. Items'!M3</f>
        <v>43830</v>
      </c>
      <c r="Z3" s="10">
        <f>'Misc. Items'!N3</f>
        <v>44196</v>
      </c>
      <c r="AA3" s="10">
        <f>'Misc. Items'!O3</f>
        <v>44561</v>
      </c>
      <c r="AB3" s="10">
        <f>'Misc. Items'!P3</f>
        <v>44926</v>
      </c>
      <c r="AC3" s="10">
        <f>'Misc. Items'!Q3</f>
        <v>45291</v>
      </c>
      <c r="AD3" s="10">
        <f>'Misc. Items'!R3</f>
        <v>45657</v>
      </c>
      <c r="AE3" s="10">
        <f>'Misc. Items'!S3</f>
        <v>46022</v>
      </c>
      <c r="AF3" s="10">
        <f>'Misc. Items'!T3</f>
        <v>46387</v>
      </c>
      <c r="AG3" s="10">
        <f>'Misc. Items'!U3</f>
        <v>46752</v>
      </c>
      <c r="AH3" s="10">
        <f>'Misc. Items'!V3</f>
        <v>47118</v>
      </c>
      <c r="AI3" s="10">
        <f>'Misc. Items'!W3</f>
        <v>47483</v>
      </c>
      <c r="AJ3" s="10">
        <f>'Misc. Items'!X3</f>
        <v>47848</v>
      </c>
      <c r="AK3" s="10">
        <f>'Misc. Items'!Y3</f>
        <v>48213</v>
      </c>
      <c r="AL3" s="10">
        <f>'Misc. Items'!Z3</f>
        <v>48579</v>
      </c>
      <c r="AM3" s="10">
        <f>'Misc. Items'!AA3</f>
        <v>48944</v>
      </c>
      <c r="AN3" s="10">
        <f>'Misc. Items'!AB3</f>
        <v>49309</v>
      </c>
    </row>
    <row r="4" spans="2:41">
      <c r="B4" s="5"/>
      <c r="C4" s="1540" t="s">
        <v>123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124</v>
      </c>
      <c r="U4" s="11">
        <f>'Misc. Items'!I4</f>
        <v>2015</v>
      </c>
      <c r="V4" s="11">
        <f>'Misc. Items'!J4</f>
        <v>2016</v>
      </c>
      <c r="W4" s="11">
        <f>'Misc. Items'!K4</f>
        <v>2017</v>
      </c>
      <c r="X4" s="11">
        <f>'Misc. Items'!L4</f>
        <v>2018</v>
      </c>
      <c r="Y4" s="11">
        <f>'Misc. Items'!M4</f>
        <v>2019</v>
      </c>
      <c r="Z4" s="11">
        <f>'Misc. Items'!N4</f>
        <v>2020</v>
      </c>
      <c r="AA4" s="11">
        <f>'Misc. Items'!O4</f>
        <v>2021</v>
      </c>
      <c r="AB4" s="11">
        <f>'Misc. Items'!P4</f>
        <v>2022</v>
      </c>
      <c r="AC4" s="11">
        <f>'Misc. Items'!Q4</f>
        <v>2023</v>
      </c>
      <c r="AD4" s="11">
        <f>'Misc. Items'!R4</f>
        <v>2024</v>
      </c>
      <c r="AE4" s="11">
        <f>'Misc. Items'!S4</f>
        <v>2025</v>
      </c>
      <c r="AF4" s="11">
        <f>'Misc. Items'!T4</f>
        <v>2026</v>
      </c>
      <c r="AG4" s="11">
        <f>'Misc. Items'!U4</f>
        <v>2027</v>
      </c>
      <c r="AH4" s="11">
        <f>'Misc. Items'!V4</f>
        <v>2028</v>
      </c>
      <c r="AI4" s="11">
        <f>'Misc. Items'!W4</f>
        <v>2029</v>
      </c>
      <c r="AJ4" s="11">
        <f>'Misc. Items'!X4</f>
        <v>2030</v>
      </c>
      <c r="AK4" s="11">
        <f>'Misc. Items'!Y4</f>
        <v>2031</v>
      </c>
      <c r="AL4" s="11">
        <f>'Misc. Items'!Z4</f>
        <v>2032</v>
      </c>
      <c r="AM4" s="11">
        <f>'Misc. Items'!AA4</f>
        <v>2033</v>
      </c>
      <c r="AN4" s="11">
        <f>'Misc. Items'!AB4</f>
        <v>2034</v>
      </c>
    </row>
    <row r="5" spans="2:41">
      <c r="B5" s="5"/>
      <c r="C5" s="5" t="s">
        <v>35</v>
      </c>
      <c r="D5" s="5"/>
      <c r="E5" s="5"/>
      <c r="F5" s="5"/>
      <c r="G5" s="5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125</v>
      </c>
      <c r="U5" s="11">
        <f>'Misc. Items'!I5</f>
        <v>1</v>
      </c>
      <c r="V5" s="11">
        <f>'Misc. Items'!J5</f>
        <v>2</v>
      </c>
      <c r="W5" s="11">
        <f>'Misc. Items'!K5</f>
        <v>3</v>
      </c>
      <c r="X5" s="11">
        <f>'Misc. Items'!L5</f>
        <v>4</v>
      </c>
      <c r="Y5" s="11">
        <f>'Misc. Items'!M5</f>
        <v>5</v>
      </c>
      <c r="Z5" s="11">
        <f>'Misc. Items'!N5</f>
        <v>6</v>
      </c>
      <c r="AA5" s="11">
        <f>'Misc. Items'!O5</f>
        <v>7</v>
      </c>
      <c r="AB5" s="11">
        <f>'Misc. Items'!P5</f>
        <v>8</v>
      </c>
      <c r="AC5" s="11">
        <f>'Misc. Items'!Q5</f>
        <v>9</v>
      </c>
      <c r="AD5" s="11">
        <f>'Misc. Items'!R5</f>
        <v>10</v>
      </c>
      <c r="AE5" s="11">
        <f>'Misc. Items'!S5</f>
        <v>11</v>
      </c>
      <c r="AF5" s="11">
        <f>'Misc. Items'!T5</f>
        <v>12</v>
      </c>
      <c r="AG5" s="11">
        <f>'Misc. Items'!U5</f>
        <v>13</v>
      </c>
      <c r="AH5" s="11">
        <f>'Misc. Items'!V5</f>
        <v>14</v>
      </c>
      <c r="AI5" s="11">
        <f>'Misc. Items'!W5</f>
        <v>15</v>
      </c>
      <c r="AJ5" s="11">
        <f>'Misc. Items'!X5</f>
        <v>16</v>
      </c>
      <c r="AK5" s="11">
        <f>'Misc. Items'!Y5</f>
        <v>17</v>
      </c>
      <c r="AL5" s="11">
        <f>'Misc. Items'!Z5</f>
        <v>18</v>
      </c>
      <c r="AM5" s="11">
        <f>'Misc. Items'!AA5</f>
        <v>19</v>
      </c>
      <c r="AN5" s="11">
        <f>'Misc. Items'!AB5</f>
        <v>20</v>
      </c>
    </row>
    <row r="6" spans="2:41">
      <c r="B6" s="5"/>
      <c r="C6" s="5" t="s">
        <v>753</v>
      </c>
      <c r="D6" s="5"/>
      <c r="E6" s="5" t="s">
        <v>10</v>
      </c>
      <c r="F6" s="5" t="s">
        <v>754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">
        <v>126</v>
      </c>
      <c r="U6" s="11" t="str">
        <f>'Misc. Items'!I6</f>
        <v>RP2</v>
      </c>
      <c r="V6" s="11" t="str">
        <f>'Misc. Items'!J6</f>
        <v>RP2</v>
      </c>
      <c r="W6" s="11" t="str">
        <f>'Misc. Items'!K6</f>
        <v>RP2</v>
      </c>
      <c r="X6" s="11" t="str">
        <f>'Misc. Items'!L6</f>
        <v>RP2</v>
      </c>
      <c r="Y6" s="11" t="str">
        <f>'Misc. Items'!M6</f>
        <v>RP2</v>
      </c>
      <c r="Z6" s="11" t="str">
        <f>'Misc. Items'!N6</f>
        <v>RP3</v>
      </c>
      <c r="AA6" s="11" t="str">
        <f>'Misc. Items'!O6</f>
        <v>RP3</v>
      </c>
      <c r="AB6" s="11" t="str">
        <f>'Misc. Items'!P6</f>
        <v>RP3</v>
      </c>
      <c r="AC6" s="11" t="str">
        <f>'Misc. Items'!Q6</f>
        <v>RP3</v>
      </c>
      <c r="AD6" s="11" t="str">
        <f>'Misc. Items'!R6</f>
        <v>RP3</v>
      </c>
      <c r="AE6" s="11" t="str">
        <f>'Misc. Items'!S6</f>
        <v>RP4</v>
      </c>
      <c r="AF6" s="11" t="str">
        <f>'Misc. Items'!T6</f>
        <v>RP4</v>
      </c>
      <c r="AG6" s="11" t="str">
        <f>'Misc. Items'!U6</f>
        <v>RP4</v>
      </c>
      <c r="AH6" s="11" t="str">
        <f>'Misc. Items'!V6</f>
        <v>RP4</v>
      </c>
      <c r="AI6" s="11" t="str">
        <f>'Misc. Items'!W6</f>
        <v>RP4</v>
      </c>
      <c r="AJ6" s="11" t="str">
        <f>'Misc. Items'!X6</f>
        <v>RP5</v>
      </c>
      <c r="AK6" s="11" t="str">
        <f>'Misc. Items'!Y6</f>
        <v>RP5</v>
      </c>
      <c r="AL6" s="11" t="str">
        <f>'Misc. Items'!Z6</f>
        <v>RP5</v>
      </c>
      <c r="AM6" s="11" t="str">
        <f>'Misc. Items'!AA6</f>
        <v>RP5</v>
      </c>
      <c r="AN6" s="11" t="str">
        <f>'Misc. Items'!AB6</f>
        <v>RP5</v>
      </c>
    </row>
    <row r="7" spans="2:41">
      <c r="U7" s="157" t="str">
        <f>RIGHT(U6,1)</f>
        <v>2</v>
      </c>
      <c r="V7" s="157" t="str">
        <f t="shared" ref="V7:AN7" si="0">RIGHT(V6,1)</f>
        <v>2</v>
      </c>
      <c r="W7" s="157" t="str">
        <f t="shared" si="0"/>
        <v>2</v>
      </c>
      <c r="X7" s="157" t="str">
        <f t="shared" si="0"/>
        <v>2</v>
      </c>
      <c r="Y7" s="157" t="str">
        <f t="shared" si="0"/>
        <v>2</v>
      </c>
      <c r="Z7" s="157" t="str">
        <f t="shared" si="0"/>
        <v>3</v>
      </c>
      <c r="AA7" s="157" t="str">
        <f t="shared" si="0"/>
        <v>3</v>
      </c>
      <c r="AB7" s="157" t="str">
        <f t="shared" si="0"/>
        <v>3</v>
      </c>
      <c r="AC7" s="157" t="str">
        <f t="shared" si="0"/>
        <v>3</v>
      </c>
      <c r="AD7" s="157" t="str">
        <f t="shared" si="0"/>
        <v>3</v>
      </c>
      <c r="AE7" s="157" t="str">
        <f t="shared" si="0"/>
        <v>4</v>
      </c>
      <c r="AF7" s="157" t="str">
        <f t="shared" si="0"/>
        <v>4</v>
      </c>
      <c r="AG7" s="157" t="str">
        <f t="shared" si="0"/>
        <v>4</v>
      </c>
      <c r="AH7" s="157" t="str">
        <f t="shared" si="0"/>
        <v>4</v>
      </c>
      <c r="AI7" s="157" t="str">
        <f t="shared" si="0"/>
        <v>4</v>
      </c>
      <c r="AJ7" s="157" t="str">
        <f t="shared" si="0"/>
        <v>5</v>
      </c>
      <c r="AK7" s="157" t="str">
        <f t="shared" si="0"/>
        <v>5</v>
      </c>
      <c r="AL7" s="157" t="str">
        <f t="shared" si="0"/>
        <v>5</v>
      </c>
      <c r="AM7" s="157" t="str">
        <f t="shared" si="0"/>
        <v>5</v>
      </c>
      <c r="AN7" s="157" t="str">
        <f t="shared" si="0"/>
        <v>5</v>
      </c>
    </row>
    <row r="9" spans="2:41">
      <c r="B9" s="5" t="s">
        <v>755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2:41" ht="13.5" thickBot="1"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2:41" ht="13.5" thickBot="1">
      <c r="C11" s="17" t="s">
        <v>756</v>
      </c>
      <c r="E11" s="17"/>
      <c r="F11" s="174" t="s">
        <v>793</v>
      </c>
      <c r="G11" s="8"/>
      <c r="H11" s="32" t="s">
        <v>752</v>
      </c>
      <c r="I11" s="8"/>
      <c r="J11" s="157" t="s">
        <v>758</v>
      </c>
      <c r="K11" s="157" t="s">
        <v>759</v>
      </c>
      <c r="L11" s="157" t="s">
        <v>760</v>
      </c>
      <c r="M11" s="157" t="s">
        <v>761</v>
      </c>
      <c r="N11" s="157" t="s">
        <v>757</v>
      </c>
      <c r="O11" s="157" t="s">
        <v>793</v>
      </c>
      <c r="P11" s="157" t="s">
        <v>763</v>
      </c>
      <c r="Q11" s="157" t="s">
        <v>763</v>
      </c>
      <c r="R11" s="157"/>
      <c r="S11" s="17" t="s">
        <v>764</v>
      </c>
      <c r="T11" s="8"/>
      <c r="U11" s="17" t="s">
        <v>765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2:41" ht="13.5" thickBot="1"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2:41" ht="13.5" outlineLevel="1" thickBot="1">
      <c r="C13" s="17" t="s">
        <v>753</v>
      </c>
      <c r="E13" s="17" t="s">
        <v>766</v>
      </c>
      <c r="F13" s="17" t="s">
        <v>767</v>
      </c>
      <c r="S13" s="175">
        <v>2021</v>
      </c>
      <c r="T13" s="155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2:41" outlineLevel="1"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39"/>
    </row>
    <row r="15" spans="2:41" outlineLevel="1">
      <c r="C15" s="3" t="s">
        <v>768</v>
      </c>
      <c r="E15" s="3" t="s">
        <v>43</v>
      </c>
      <c r="F15" s="1212">
        <f>INDEX($J15:$Q15,,MATCH($F$11,$J$11:$Q$11,0))</f>
        <v>-1.2303133896629397E-2</v>
      </c>
      <c r="I15" s="33"/>
      <c r="J15" s="180">
        <v>-2.5999999999999999E-3</v>
      </c>
      <c r="K15" s="181">
        <v>-2.5999999999999999E-3</v>
      </c>
      <c r="L15" s="181">
        <v>-0.01</v>
      </c>
      <c r="M15" s="181">
        <v>-0.01</v>
      </c>
      <c r="N15" s="181">
        <v>-0.01</v>
      </c>
      <c r="O15" s="230">
        <v>-1.2303133896629397E-2</v>
      </c>
      <c r="P15" s="230"/>
      <c r="Q15" s="182"/>
      <c r="R15" s="33"/>
      <c r="S15" s="1212">
        <f t="shared" ref="S15:S26" si="1">INDEX($U$36:$AN$64,MATCH(C15,$C$36:$C$64,0),MATCH($S$13,$U$4:$AM$4,0))</f>
        <v>3.5000159610245607E-3</v>
      </c>
      <c r="T15" s="33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</row>
    <row r="16" spans="2:41" outlineLevel="1">
      <c r="C16" s="3" t="s">
        <v>769</v>
      </c>
      <c r="E16" s="3" t="s">
        <v>43</v>
      </c>
      <c r="F16" s="159">
        <f t="shared" ref="F16:F21" si="2">INDEX($J16:$Q16,,MATCH($F$11,$J$11:$Q$11,0))</f>
        <v>0.125</v>
      </c>
      <c r="I16" s="34"/>
      <c r="J16" s="183">
        <v>0.125</v>
      </c>
      <c r="K16" s="184">
        <v>0.125</v>
      </c>
      <c r="L16" s="184">
        <v>0.125</v>
      </c>
      <c r="M16" s="184">
        <v>0.125</v>
      </c>
      <c r="N16" s="184">
        <v>0.125</v>
      </c>
      <c r="O16" s="184">
        <v>0.125</v>
      </c>
      <c r="P16" s="231"/>
      <c r="Q16" s="185"/>
      <c r="R16" s="33"/>
      <c r="S16" s="159">
        <f t="shared" si="1"/>
        <v>0.125</v>
      </c>
      <c r="T16" s="34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</row>
    <row r="17" spans="2:40" outlineLevel="1">
      <c r="C17" s="3" t="s">
        <v>770</v>
      </c>
      <c r="E17" s="3" t="s">
        <v>43</v>
      </c>
      <c r="F17" s="159">
        <f t="shared" si="2"/>
        <v>1</v>
      </c>
      <c r="I17" s="34"/>
      <c r="J17" s="183">
        <v>0.10385891713068766</v>
      </c>
      <c r="K17" s="184">
        <v>0.1111111111111111</v>
      </c>
      <c r="L17" s="184">
        <v>1</v>
      </c>
      <c r="M17" s="184">
        <v>1</v>
      </c>
      <c r="N17" s="184">
        <v>1</v>
      </c>
      <c r="O17" s="184">
        <v>1</v>
      </c>
      <c r="P17" s="231"/>
      <c r="Q17" s="185"/>
      <c r="R17" s="33"/>
      <c r="S17" s="159">
        <f t="shared" si="1"/>
        <v>1</v>
      </c>
      <c r="T17" s="34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</row>
    <row r="18" spans="2:40" outlineLevel="1">
      <c r="C18" s="3" t="s">
        <v>771</v>
      </c>
      <c r="E18" s="3" t="s">
        <v>43</v>
      </c>
      <c r="F18" s="159">
        <f t="shared" si="2"/>
        <v>0.5</v>
      </c>
      <c r="G18" s="218"/>
      <c r="I18" s="34"/>
      <c r="J18" s="186">
        <v>9.4E-2</v>
      </c>
      <c r="K18" s="187">
        <v>0.1</v>
      </c>
      <c r="L18" s="187">
        <v>0.5</v>
      </c>
      <c r="M18" s="187">
        <v>0.5</v>
      </c>
      <c r="N18" s="187">
        <v>0.5</v>
      </c>
      <c r="O18" s="187">
        <v>0.5</v>
      </c>
      <c r="P18" s="232"/>
      <c r="Q18" s="188"/>
      <c r="R18" s="33"/>
      <c r="S18" s="159">
        <f t="shared" si="1"/>
        <v>0.5</v>
      </c>
      <c r="T18" s="34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</row>
    <row r="19" spans="2:40" outlineLevel="1">
      <c r="C19" s="3" t="s">
        <v>772</v>
      </c>
      <c r="E19" s="3" t="s">
        <v>64</v>
      </c>
      <c r="F19" s="160">
        <f>INDEX($J19:$Q19,,MATCH($F$11,$J$11:$Q$11,0))</f>
        <v>0.5</v>
      </c>
      <c r="I19" s="35"/>
      <c r="J19" s="189">
        <v>1.34</v>
      </c>
      <c r="K19" s="190">
        <v>1.34</v>
      </c>
      <c r="L19" s="190">
        <v>0.65</v>
      </c>
      <c r="M19" s="190">
        <v>0.7</v>
      </c>
      <c r="N19" s="237">
        <v>0.68</v>
      </c>
      <c r="O19" s="233">
        <v>0.5</v>
      </c>
      <c r="P19" s="233"/>
      <c r="Q19" s="191"/>
      <c r="R19" s="33"/>
      <c r="S19" s="160">
        <f t="shared" si="1"/>
        <v>0.5</v>
      </c>
      <c r="T19" s="35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</row>
    <row r="20" spans="2:40" outlineLevel="1">
      <c r="C20" s="3" t="s">
        <v>773</v>
      </c>
      <c r="E20" s="3" t="s">
        <v>64</v>
      </c>
      <c r="F20" s="161">
        <f>F19*((1+(1-F16)*F17))</f>
        <v>0.9375</v>
      </c>
      <c r="I20" s="35"/>
      <c r="J20" s="170">
        <v>0</v>
      </c>
      <c r="K20" s="171">
        <v>0</v>
      </c>
      <c r="L20" s="171"/>
      <c r="M20" s="171"/>
      <c r="N20" s="171"/>
      <c r="O20" s="234"/>
      <c r="P20" s="234"/>
      <c r="Q20" s="172"/>
      <c r="R20" s="33"/>
      <c r="S20" s="160">
        <f t="shared" si="1"/>
        <v>0.9375</v>
      </c>
      <c r="T20" s="35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</row>
    <row r="21" spans="2:40" outlineLevel="1">
      <c r="C21" s="3" t="s">
        <v>774</v>
      </c>
      <c r="E21" s="3" t="s">
        <v>43</v>
      </c>
      <c r="F21" s="159">
        <f t="shared" si="2"/>
        <v>7.7499999999999999E-2</v>
      </c>
      <c r="I21" s="34"/>
      <c r="J21" s="186">
        <v>4.82E-2</v>
      </c>
      <c r="K21" s="187">
        <v>4.82E-2</v>
      </c>
      <c r="L21" s="187">
        <f>6.4%-L15</f>
        <v>7.3999999999999996E-2</v>
      </c>
      <c r="M21" s="187">
        <f>6.8%-M15</f>
        <v>7.8E-2</v>
      </c>
      <c r="N21" s="236">
        <v>7.4700000000000003E-2</v>
      </c>
      <c r="O21" s="232">
        <v>7.7499999999999999E-2</v>
      </c>
      <c r="P21" s="232"/>
      <c r="Q21" s="188"/>
      <c r="R21" s="33"/>
      <c r="S21" s="159">
        <f t="shared" si="1"/>
        <v>7.7499999999999999E-2</v>
      </c>
      <c r="T21" s="34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</row>
    <row r="22" spans="2:40" outlineLevel="1">
      <c r="C22" s="3" t="s">
        <v>775</v>
      </c>
      <c r="E22" s="3" t="s">
        <v>43</v>
      </c>
      <c r="F22" s="162">
        <f>F15+F20*F21</f>
        <v>6.0353116103370609E-2</v>
      </c>
      <c r="I22" s="34"/>
      <c r="J22" s="165">
        <v>0</v>
      </c>
      <c r="K22" s="166">
        <v>0</v>
      </c>
      <c r="L22" s="166"/>
      <c r="M22" s="166"/>
      <c r="N22" s="166"/>
      <c r="O22" s="166"/>
      <c r="P22" s="166"/>
      <c r="Q22" s="167"/>
      <c r="R22" s="33"/>
      <c r="S22" s="159">
        <f t="shared" si="1"/>
        <v>7.6156265961024566E-2</v>
      </c>
      <c r="T22" s="34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</row>
    <row r="23" spans="2:40" outlineLevel="1">
      <c r="C23" s="3" t="s">
        <v>776</v>
      </c>
      <c r="E23" s="3" t="s">
        <v>43</v>
      </c>
      <c r="F23" s="162">
        <f>F22*(1/(1-F16))</f>
        <v>6.8974989832423547E-2</v>
      </c>
      <c r="I23" s="34"/>
      <c r="J23" s="165">
        <v>0</v>
      </c>
      <c r="K23" s="166">
        <v>0</v>
      </c>
      <c r="L23" s="166"/>
      <c r="M23" s="166"/>
      <c r="N23" s="166"/>
      <c r="O23" s="166"/>
      <c r="P23" s="166"/>
      <c r="Q23" s="167"/>
      <c r="R23" s="33"/>
      <c r="S23" s="159">
        <f t="shared" si="1"/>
        <v>8.7035732526885221E-2</v>
      </c>
      <c r="T23" s="34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</row>
    <row r="24" spans="2:40" outlineLevel="1">
      <c r="C24" s="3" t="s">
        <v>777</v>
      </c>
      <c r="E24" s="3" t="s">
        <v>43</v>
      </c>
      <c r="F24" s="159">
        <f>INDEX($J24:$Q24,,MATCH($F$11,$J$11:$Q$11,0))</f>
        <v>1.180966469428002E-3</v>
      </c>
      <c r="I24" s="34"/>
      <c r="J24" s="186">
        <v>1.3886929977200162E-2</v>
      </c>
      <c r="K24" s="187">
        <v>2.5000000000000001E-2</v>
      </c>
      <c r="L24" s="187">
        <f>(1.0152/1.0126)-1</f>
        <v>2.5676476397393788E-3</v>
      </c>
      <c r="M24" s="187">
        <f>(1.0152/1.0126)-1</f>
        <v>2.5676476397393788E-3</v>
      </c>
      <c r="N24" s="187">
        <f>(1.0152/1.0126)-1</f>
        <v>2.5676476397393788E-3</v>
      </c>
      <c r="O24" s="232">
        <v>1.180966469428002E-3</v>
      </c>
      <c r="P24" s="232"/>
      <c r="Q24" s="188" t="str">
        <f>IFERROR(INDEX(#REF!,MATCH($C24,#REF!,0),MATCH(Q$11,#REF!,0)),"")</f>
        <v/>
      </c>
      <c r="R24" s="33"/>
      <c r="S24" s="159">
        <f t="shared" si="1"/>
        <v>1.7199861932938765E-2</v>
      </c>
      <c r="T24" s="34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</row>
    <row r="25" spans="2:40" outlineLevel="1">
      <c r="C25" s="3" t="s">
        <v>778</v>
      </c>
      <c r="F25" s="159">
        <f>INDEX($J25:$Q25,,MATCH($F$11,$J$11:$Q$11,0))</f>
        <v>5.0000000000000001E-3</v>
      </c>
      <c r="I25" s="34"/>
      <c r="J25" s="186"/>
      <c r="K25" s="187"/>
      <c r="L25" s="187"/>
      <c r="M25" s="187"/>
      <c r="N25" s="187"/>
      <c r="O25" s="232">
        <v>5.0000000000000001E-3</v>
      </c>
      <c r="P25" s="232"/>
      <c r="Q25" s="188"/>
      <c r="R25" s="33"/>
      <c r="S25" s="159">
        <f t="shared" si="1"/>
        <v>0</v>
      </c>
      <c r="T25" s="34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</row>
    <row r="26" spans="2:40" outlineLevel="1">
      <c r="C26" s="3" t="s">
        <v>96</v>
      </c>
      <c r="E26" s="3" t="s">
        <v>43</v>
      </c>
      <c r="F26" s="163">
        <f>(F18*F24)+((1-F18)*F23)+F25</f>
        <v>4.0077978150925772E-2</v>
      </c>
      <c r="I26" s="34"/>
      <c r="J26" s="168"/>
      <c r="K26" s="1054"/>
      <c r="L26" s="1054"/>
      <c r="M26" s="1054"/>
      <c r="N26" s="1054"/>
      <c r="O26" s="1054"/>
      <c r="P26" s="1054"/>
      <c r="Q26" s="1055"/>
      <c r="R26" s="33"/>
      <c r="S26" s="164">
        <f t="shared" si="1"/>
        <v>5.2117797229911993E-2</v>
      </c>
      <c r="T26" s="34"/>
      <c r="U26" s="244">
        <v>0.1069</v>
      </c>
      <c r="V26" s="244">
        <v>0.1081</v>
      </c>
      <c r="W26" s="244">
        <v>0.11039996924791944</v>
      </c>
      <c r="X26" s="244">
        <v>0.1138</v>
      </c>
      <c r="Y26" s="244">
        <v>0.11380063439238729</v>
      </c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</row>
    <row r="27" spans="2:40" outlineLevel="1">
      <c r="U27" s="39" t="s">
        <v>779</v>
      </c>
      <c r="V27" s="39" t="s">
        <v>779</v>
      </c>
      <c r="W27" s="39" t="s">
        <v>779</v>
      </c>
      <c r="X27" s="39" t="s">
        <v>779</v>
      </c>
      <c r="Y27" s="39" t="s">
        <v>779</v>
      </c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2:40" outlineLevel="1">
      <c r="F28" s="158" t="s">
        <v>780</v>
      </c>
      <c r="V28" s="3"/>
      <c r="W28" s="3"/>
      <c r="X28" s="3"/>
      <c r="Y28" s="3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2:40">
      <c r="V29" s="3"/>
      <c r="W29" s="3"/>
      <c r="X29" s="3"/>
      <c r="Y29" s="3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2:40">
      <c r="B30" s="5" t="s">
        <v>781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31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2:40"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2:40" ht="13.5" thickBot="1">
      <c r="C32" s="6" t="s">
        <v>112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3:40">
      <c r="C33" s="3" t="s">
        <v>146</v>
      </c>
      <c r="E33" s="3" t="s">
        <v>43</v>
      </c>
      <c r="U33" s="238">
        <f>'Misc. Items'!I29</f>
        <v>0</v>
      </c>
      <c r="V33" s="238">
        <f>'Misc. Items'!J29</f>
        <v>-2E-3</v>
      </c>
      <c r="W33" s="238">
        <f>'Misc. Items'!K29</f>
        <v>3.0000000000000001E-3</v>
      </c>
      <c r="X33" s="238">
        <f>'Misc. Items'!L29</f>
        <v>7.0000000000000001E-3</v>
      </c>
      <c r="Y33" s="238">
        <f>'Misc. Items'!M29</f>
        <v>8.9999999999999993E-3</v>
      </c>
      <c r="Z33" s="153">
        <f>'Misc. Items'!N29</f>
        <v>-5.0000000000000001E-3</v>
      </c>
      <c r="AA33" s="153">
        <f>'Misc. Items'!O29</f>
        <v>1.6E-2</v>
      </c>
      <c r="AB33" s="153">
        <f>'Misc. Items'!P29</f>
        <v>1.9E-2</v>
      </c>
      <c r="AC33" s="153">
        <f>'Misc. Items'!Q29</f>
        <v>0.02</v>
      </c>
      <c r="AD33" s="153">
        <f>'Misc. Items'!R29</f>
        <v>0.02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3:40"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3:40" ht="13.5" thickBot="1">
      <c r="C35" s="6" t="s">
        <v>768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3:40">
      <c r="C36" s="3" t="s">
        <v>768</v>
      </c>
      <c r="E36" s="3" t="s">
        <v>43</v>
      </c>
      <c r="U36" s="238">
        <f t="shared" ref="U36:AD36" si="3">(((1+INDEX($J$15:$Q$26,MATCH($C36,$C$15:$C$26,0),MATCH($F$11,$J$11:$Q$11,0)))*(1+U33)-1))*(U$15="")+U$15</f>
        <v>-1.2303133896629403E-2</v>
      </c>
      <c r="V36" s="238">
        <f t="shared" si="3"/>
        <v>-1.4278527628836191E-2</v>
      </c>
      <c r="W36" s="238">
        <f t="shared" si="3"/>
        <v>-9.3400432983193893E-3</v>
      </c>
      <c r="X36" s="238">
        <f t="shared" si="3"/>
        <v>-5.389255833905926E-3</v>
      </c>
      <c r="Y36" s="238">
        <f t="shared" si="3"/>
        <v>-3.4138621016991388E-3</v>
      </c>
      <c r="Z36" s="238">
        <f t="shared" si="3"/>
        <v>-1.7241618227146316E-2</v>
      </c>
      <c r="AA36" s="238">
        <f t="shared" si="3"/>
        <v>3.5000159610245607E-3</v>
      </c>
      <c r="AB36" s="238">
        <f t="shared" si="3"/>
        <v>6.4631065593345749E-3</v>
      </c>
      <c r="AC36" s="238">
        <f t="shared" si="3"/>
        <v>7.450803425438135E-3</v>
      </c>
      <c r="AD36" s="238">
        <f t="shared" si="3"/>
        <v>7.450803425438135E-3</v>
      </c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</row>
    <row r="37" spans="3:40">
      <c r="U37" s="239"/>
      <c r="V37" s="239"/>
      <c r="W37" s="239"/>
      <c r="X37" s="239"/>
      <c r="Y37" s="239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3:40" ht="13.5" thickBot="1">
      <c r="C38" s="6" t="s">
        <v>782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240"/>
      <c r="V38" s="240"/>
      <c r="W38" s="240"/>
      <c r="X38" s="240"/>
      <c r="Y38" s="240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3:40">
      <c r="C39" s="3" t="s">
        <v>769</v>
      </c>
      <c r="E39" s="3" t="s">
        <v>43</v>
      </c>
      <c r="U39" s="241">
        <f t="shared" ref="U39:AD39" si="4">(INDEX($J$15:$Q$26,MATCH($C39,$C$15:$C$26,0),MATCH($F$11,$J$11:$Q$11,0))*(U$16=""))+U$16</f>
        <v>0.125</v>
      </c>
      <c r="V39" s="241">
        <f t="shared" si="4"/>
        <v>0.125</v>
      </c>
      <c r="W39" s="241">
        <f t="shared" si="4"/>
        <v>0.125</v>
      </c>
      <c r="X39" s="241">
        <f t="shared" si="4"/>
        <v>0.125</v>
      </c>
      <c r="Y39" s="241">
        <f t="shared" si="4"/>
        <v>0.125</v>
      </c>
      <c r="Z39" s="13">
        <f t="shared" si="4"/>
        <v>0.125</v>
      </c>
      <c r="AA39" s="13">
        <f t="shared" si="4"/>
        <v>0.125</v>
      </c>
      <c r="AB39" s="13">
        <f t="shared" si="4"/>
        <v>0.125</v>
      </c>
      <c r="AC39" s="13">
        <f t="shared" si="4"/>
        <v>0.125</v>
      </c>
      <c r="AD39" s="13">
        <f t="shared" si="4"/>
        <v>0.125</v>
      </c>
      <c r="AE39" s="13"/>
      <c r="AF39" s="13"/>
      <c r="AG39" s="13"/>
      <c r="AH39" s="13"/>
      <c r="AI39" s="13"/>
      <c r="AJ39" s="13"/>
      <c r="AK39" s="13"/>
      <c r="AL39" s="13"/>
      <c r="AM39" s="13"/>
      <c r="AN39" s="13"/>
    </row>
    <row r="40" spans="3:40">
      <c r="U40" s="239"/>
      <c r="V40" s="239"/>
      <c r="W40" s="239"/>
      <c r="X40" s="239"/>
      <c r="Y40" s="23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3:40" ht="13.5" thickBot="1">
      <c r="C41" s="6" t="s">
        <v>783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240"/>
      <c r="V41" s="240"/>
      <c r="W41" s="240"/>
      <c r="X41" s="240"/>
      <c r="Y41" s="240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3:40">
      <c r="C42" s="3" t="s">
        <v>770</v>
      </c>
      <c r="E42" s="3" t="s">
        <v>43</v>
      </c>
      <c r="U42" s="241">
        <f t="shared" ref="U42:AD43" si="5">(INDEX($J$15:$Q$26,MATCH($C42,$C$15:$C$26,0),MATCH($F$11,$J$11:$Q$11,0))*(U$17=""))+U$17</f>
        <v>1</v>
      </c>
      <c r="V42" s="241">
        <f t="shared" si="5"/>
        <v>1</v>
      </c>
      <c r="W42" s="241">
        <f t="shared" si="5"/>
        <v>1</v>
      </c>
      <c r="X42" s="241">
        <f t="shared" si="5"/>
        <v>1</v>
      </c>
      <c r="Y42" s="241">
        <f t="shared" si="5"/>
        <v>1</v>
      </c>
      <c r="Z42" s="13">
        <f t="shared" si="5"/>
        <v>1</v>
      </c>
      <c r="AA42" s="13">
        <f t="shared" si="5"/>
        <v>1</v>
      </c>
      <c r="AB42" s="13">
        <f t="shared" si="5"/>
        <v>1</v>
      </c>
      <c r="AC42" s="13">
        <f t="shared" si="5"/>
        <v>1</v>
      </c>
      <c r="AD42" s="13">
        <f t="shared" si="5"/>
        <v>1</v>
      </c>
      <c r="AE42" s="13"/>
      <c r="AF42" s="13"/>
      <c r="AG42" s="13"/>
      <c r="AH42" s="13"/>
      <c r="AI42" s="13"/>
      <c r="AJ42" s="13"/>
      <c r="AK42" s="13"/>
      <c r="AL42" s="13"/>
      <c r="AM42" s="13"/>
      <c r="AN42" s="13"/>
    </row>
    <row r="43" spans="3:40">
      <c r="C43" s="3" t="s">
        <v>771</v>
      </c>
      <c r="E43" s="3" t="s">
        <v>43</v>
      </c>
      <c r="U43" s="241">
        <f t="shared" si="5"/>
        <v>0.5</v>
      </c>
      <c r="V43" s="241">
        <f t="shared" si="5"/>
        <v>0.5</v>
      </c>
      <c r="W43" s="241">
        <f t="shared" si="5"/>
        <v>0.5</v>
      </c>
      <c r="X43" s="241">
        <f t="shared" si="5"/>
        <v>0.5</v>
      </c>
      <c r="Y43" s="241">
        <f t="shared" si="5"/>
        <v>0.5</v>
      </c>
      <c r="Z43" s="13">
        <f t="shared" si="5"/>
        <v>0.5</v>
      </c>
      <c r="AA43" s="13">
        <f t="shared" si="5"/>
        <v>0.5</v>
      </c>
      <c r="AB43" s="13">
        <f t="shared" si="5"/>
        <v>0.5</v>
      </c>
      <c r="AC43" s="13">
        <f t="shared" si="5"/>
        <v>0.5</v>
      </c>
      <c r="AD43" s="13">
        <f t="shared" si="5"/>
        <v>0.5</v>
      </c>
      <c r="AE43" s="13"/>
      <c r="AF43" s="13"/>
      <c r="AG43" s="13"/>
      <c r="AH43" s="13"/>
      <c r="AI43" s="13"/>
      <c r="AJ43" s="13"/>
      <c r="AK43" s="13"/>
      <c r="AL43" s="13"/>
      <c r="AM43" s="13"/>
      <c r="AN43" s="13"/>
    </row>
    <row r="44" spans="3:40">
      <c r="U44" s="239"/>
      <c r="V44" s="239"/>
      <c r="W44" s="239"/>
      <c r="X44" s="239"/>
      <c r="Y44" s="239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3:40" ht="13.5" thickBot="1">
      <c r="C45" s="6" t="s">
        <v>784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240"/>
      <c r="V45" s="240"/>
      <c r="W45" s="240"/>
      <c r="X45" s="240"/>
      <c r="Y45" s="240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3:40">
      <c r="C46" s="3" t="s">
        <v>772</v>
      </c>
      <c r="E46" s="3" t="s">
        <v>64</v>
      </c>
      <c r="U46" s="242">
        <f t="shared" ref="U46:AD46" si="6">(INDEX($J$15:$Q$26,MATCH($C46,$C$15:$C$26,0),MATCH($F$11,$J$11:$Q$11,0))*(U$19=""))+U$19</f>
        <v>0.5</v>
      </c>
      <c r="V46" s="242">
        <f t="shared" si="6"/>
        <v>0.5</v>
      </c>
      <c r="W46" s="242">
        <f t="shared" si="6"/>
        <v>0.5</v>
      </c>
      <c r="X46" s="242">
        <f t="shared" si="6"/>
        <v>0.5</v>
      </c>
      <c r="Y46" s="242">
        <f t="shared" si="6"/>
        <v>0.5</v>
      </c>
      <c r="Z46" s="16">
        <f t="shared" si="6"/>
        <v>0.5</v>
      </c>
      <c r="AA46" s="16">
        <f t="shared" si="6"/>
        <v>0.5</v>
      </c>
      <c r="AB46" s="16">
        <f t="shared" si="6"/>
        <v>0.5</v>
      </c>
      <c r="AC46" s="16">
        <f t="shared" si="6"/>
        <v>0.5</v>
      </c>
      <c r="AD46" s="16">
        <f t="shared" si="6"/>
        <v>0.5</v>
      </c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3:40">
      <c r="C47" s="3" t="s">
        <v>773</v>
      </c>
      <c r="E47" s="3" t="s">
        <v>64</v>
      </c>
      <c r="U47" s="242">
        <f t="shared" ref="U47:AD47" si="7">(U$46*(1+(1-U$39)*U42))*(U$20="")+U20</f>
        <v>0.9375</v>
      </c>
      <c r="V47" s="242">
        <f t="shared" si="7"/>
        <v>0.9375</v>
      </c>
      <c r="W47" s="242">
        <f t="shared" si="7"/>
        <v>0.9375</v>
      </c>
      <c r="X47" s="242">
        <f t="shared" si="7"/>
        <v>0.9375</v>
      </c>
      <c r="Y47" s="242">
        <f t="shared" si="7"/>
        <v>0.9375</v>
      </c>
      <c r="Z47" s="16">
        <f t="shared" si="7"/>
        <v>0.9375</v>
      </c>
      <c r="AA47" s="16">
        <f t="shared" si="7"/>
        <v>0.9375</v>
      </c>
      <c r="AB47" s="16">
        <f t="shared" si="7"/>
        <v>0.9375</v>
      </c>
      <c r="AC47" s="16">
        <f t="shared" si="7"/>
        <v>0.9375</v>
      </c>
      <c r="AD47" s="16">
        <f t="shared" si="7"/>
        <v>0.9375</v>
      </c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3:40">
      <c r="U48" s="239"/>
      <c r="V48" s="239"/>
      <c r="W48" s="239"/>
      <c r="X48" s="239"/>
      <c r="Y48" s="239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3:40" ht="13.5" thickBot="1">
      <c r="C49" s="6" t="s">
        <v>785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240"/>
      <c r="V49" s="240"/>
      <c r="W49" s="240"/>
      <c r="X49" s="240"/>
      <c r="Y49" s="240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3:40">
      <c r="C50" s="3" t="s">
        <v>774</v>
      </c>
      <c r="E50" s="3" t="s">
        <v>43</v>
      </c>
      <c r="U50" s="241">
        <f t="shared" ref="U50:AD50" si="8">(INDEX($J$15:$Q$26,MATCH($C50,$C$15:$C$26,0),MATCH($F$11,$J$11:$Q$11,0))*(U$20=""))+U$20</f>
        <v>7.7499999999999999E-2</v>
      </c>
      <c r="V50" s="241">
        <f t="shared" si="8"/>
        <v>7.7499999999999999E-2</v>
      </c>
      <c r="W50" s="241">
        <f t="shared" si="8"/>
        <v>7.7499999999999999E-2</v>
      </c>
      <c r="X50" s="241">
        <f t="shared" si="8"/>
        <v>7.7499999999999999E-2</v>
      </c>
      <c r="Y50" s="241">
        <f t="shared" si="8"/>
        <v>7.7499999999999999E-2</v>
      </c>
      <c r="Z50" s="13">
        <f t="shared" si="8"/>
        <v>7.7499999999999999E-2</v>
      </c>
      <c r="AA50" s="13">
        <f t="shared" si="8"/>
        <v>7.7499999999999999E-2</v>
      </c>
      <c r="AB50" s="13">
        <f t="shared" si="8"/>
        <v>7.7499999999999999E-2</v>
      </c>
      <c r="AC50" s="13">
        <f t="shared" si="8"/>
        <v>7.7499999999999999E-2</v>
      </c>
      <c r="AD50" s="13">
        <f t="shared" si="8"/>
        <v>7.7499999999999999E-2</v>
      </c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3:40">
      <c r="U51" s="239"/>
      <c r="V51" s="239"/>
      <c r="W51" s="239"/>
      <c r="X51" s="239"/>
      <c r="Y51" s="23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3:40" ht="13.5" thickBot="1">
      <c r="C52" s="6" t="s">
        <v>786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240"/>
      <c r="V52" s="240"/>
      <c r="W52" s="240"/>
      <c r="X52" s="240"/>
      <c r="Y52" s="240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3:40">
      <c r="C53" s="3" t="s">
        <v>775</v>
      </c>
      <c r="E53" s="3" t="s">
        <v>43</v>
      </c>
      <c r="U53" s="243">
        <f t="shared" ref="U53:AD53" si="9">((U36+U47*U50)*(U$22=""))+U$22</f>
        <v>6.0353116103370602E-2</v>
      </c>
      <c r="V53" s="243">
        <f t="shared" si="9"/>
        <v>5.8377722371163815E-2</v>
      </c>
      <c r="W53" s="243">
        <f t="shared" si="9"/>
        <v>6.3316206701680616E-2</v>
      </c>
      <c r="X53" s="243">
        <f t="shared" si="9"/>
        <v>6.726699416609408E-2</v>
      </c>
      <c r="Y53" s="243">
        <f t="shared" si="9"/>
        <v>6.9242387898300867E-2</v>
      </c>
      <c r="Z53" s="15">
        <f>((Z36+Z47*Z50)*(Z$22=""))+Z$22</f>
        <v>5.541463177285369E-2</v>
      </c>
      <c r="AA53" s="15">
        <f t="shared" si="9"/>
        <v>7.6156265961024566E-2</v>
      </c>
      <c r="AB53" s="15">
        <f t="shared" si="9"/>
        <v>7.911935655933458E-2</v>
      </c>
      <c r="AC53" s="15">
        <f t="shared" si="9"/>
        <v>8.0107053425438141E-2</v>
      </c>
      <c r="AD53" s="15">
        <f t="shared" si="9"/>
        <v>8.0107053425438141E-2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3:40">
      <c r="C54" s="3" t="s">
        <v>776</v>
      </c>
      <c r="E54" s="3" t="s">
        <v>43</v>
      </c>
      <c r="U54" s="243">
        <f t="shared" ref="U54:AD54" si="10">((U53*(1/(1-U39)))*(U$23=""))+U$23</f>
        <v>6.8974989832423547E-2</v>
      </c>
      <c r="V54" s="243">
        <f t="shared" si="10"/>
        <v>6.6717396995615783E-2</v>
      </c>
      <c r="W54" s="243">
        <f t="shared" si="10"/>
        <v>7.2361379087634986E-2</v>
      </c>
      <c r="X54" s="243">
        <f t="shared" si="10"/>
        <v>7.6876564761250377E-2</v>
      </c>
      <c r="Y54" s="243">
        <f t="shared" si="10"/>
        <v>7.9134157598058127E-2</v>
      </c>
      <c r="Z54" s="15">
        <f>((Z53*(1/(1-Z39)))*(Z$23=""))+Z$23</f>
        <v>6.3331007740404219E-2</v>
      </c>
      <c r="AA54" s="15">
        <f t="shared" si="10"/>
        <v>8.7035732526885221E-2</v>
      </c>
      <c r="AB54" s="15">
        <f t="shared" si="10"/>
        <v>9.0422121782096659E-2</v>
      </c>
      <c r="AC54" s="15">
        <f t="shared" si="10"/>
        <v>9.1550918200500722E-2</v>
      </c>
      <c r="AD54" s="15">
        <f t="shared" si="10"/>
        <v>9.1550918200500722E-2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  <row r="55" spans="3:40">
      <c r="U55" s="239"/>
      <c r="V55" s="239"/>
      <c r="W55" s="239"/>
      <c r="X55" s="239"/>
      <c r="Y55" s="239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3:40" ht="13.5" thickBot="1">
      <c r="C56" s="6" t="s">
        <v>787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240"/>
      <c r="V56" s="240"/>
      <c r="W56" s="240"/>
      <c r="X56" s="240"/>
      <c r="Y56" s="240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3:40">
      <c r="C57" s="3" t="s">
        <v>777</v>
      </c>
      <c r="E57" s="3" t="s">
        <v>43</v>
      </c>
      <c r="U57" s="238">
        <f>(((1+INDEX($J$15:$Q$26,MATCH($C57,$C$15:$C$26,0),MATCH($F$11,$J$11:$Q$11,0)))*(1+U33))-1)*(U$24="")+U$24</f>
        <v>1.180966469428002E-3</v>
      </c>
      <c r="V57" s="238">
        <f t="shared" ref="V57:AD57" si="11">(((1+INDEX($J$15:$Q$26,MATCH($C57,$C$15:$C$26,0),MATCH($F$11,$J$11:$Q$11,0)))*(1+V33))-1)*(V$24="")+V$24</f>
        <v>-8.2139546351089887E-4</v>
      </c>
      <c r="W57" s="238">
        <f t="shared" si="11"/>
        <v>4.1845093688361867E-3</v>
      </c>
      <c r="X57" s="238">
        <f t="shared" si="11"/>
        <v>8.1892332347139885E-3</v>
      </c>
      <c r="Y57" s="238">
        <f t="shared" si="11"/>
        <v>1.0191595167652778E-2</v>
      </c>
      <c r="Z57" s="153">
        <f>(((1+INDEX($J$15:$Q$26,MATCH($C57,$C$15:$C$26,0),MATCH($F$11,$J$11:$Q$11,0)))*(1+Z33))-1)*(Z$24="")+Z$24</f>
        <v>-3.8249383629191946E-3</v>
      </c>
      <c r="AA57" s="153">
        <f t="shared" si="11"/>
        <v>1.7199861932938765E-2</v>
      </c>
      <c r="AB57" s="153">
        <f t="shared" si="11"/>
        <v>2.020340483234695E-2</v>
      </c>
      <c r="AC57" s="153">
        <f t="shared" si="11"/>
        <v>2.1204585798816566E-2</v>
      </c>
      <c r="AD57" s="153">
        <f t="shared" si="11"/>
        <v>2.1204585798816566E-2</v>
      </c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3:40">
      <c r="U58" s="239"/>
      <c r="V58" s="239"/>
      <c r="W58" s="239"/>
      <c r="X58" s="239"/>
      <c r="Y58" s="239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3:40" ht="13.5" thickBot="1">
      <c r="C59" s="6" t="s">
        <v>98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3:40">
      <c r="C60" s="18" t="s">
        <v>788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828">
        <v>0</v>
      </c>
      <c r="AA60" s="828">
        <v>0</v>
      </c>
      <c r="AB60" s="828">
        <v>1</v>
      </c>
      <c r="AC60" s="828">
        <v>1</v>
      </c>
      <c r="AD60" s="828">
        <v>1</v>
      </c>
      <c r="AE60" s="18"/>
      <c r="AF60" s="18"/>
      <c r="AG60" s="18"/>
      <c r="AH60" s="18"/>
      <c r="AI60" s="18"/>
      <c r="AJ60" s="18"/>
      <c r="AK60" s="18"/>
      <c r="AL60" s="18"/>
      <c r="AM60" s="18"/>
      <c r="AN60" s="18"/>
    </row>
    <row r="61" spans="3:40">
      <c r="C61" s="3" t="s">
        <v>778</v>
      </c>
      <c r="E61" s="3" t="s">
        <v>43</v>
      </c>
      <c r="U61" s="239"/>
      <c r="V61" s="239"/>
      <c r="W61" s="239"/>
      <c r="X61" s="239"/>
      <c r="Y61" s="239"/>
      <c r="Z61" s="830">
        <f>((INDEX($J$15:$Q$26,MATCH($C61,$C$15:$C$26,0),MATCH($F$11,$J$11:$Q$11,0))*(Z$25=""))+Z$25)*Z60</f>
        <v>0</v>
      </c>
      <c r="AA61" s="830">
        <f t="shared" ref="AA61:AD61" si="12">((INDEX($J$15:$Q$26,MATCH($C61,$C$15:$C$26,0),MATCH($F$11,$J$11:$Q$11,0))*(AA$25=""))+AA$25)*AA60</f>
        <v>0</v>
      </c>
      <c r="AB61" s="830">
        <f t="shared" si="12"/>
        <v>5.0000000000000001E-3</v>
      </c>
      <c r="AC61" s="830">
        <f t="shared" si="12"/>
        <v>5.0000000000000001E-3</v>
      </c>
      <c r="AD61" s="830">
        <f t="shared" si="12"/>
        <v>5.0000000000000001E-3</v>
      </c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3:40">
      <c r="U62" s="239"/>
      <c r="V62" s="239"/>
      <c r="W62" s="239"/>
      <c r="X62" s="239"/>
      <c r="Y62" s="239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3:40" ht="13.5" thickBot="1">
      <c r="C63" s="6" t="s">
        <v>789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240"/>
      <c r="V63" s="240"/>
      <c r="W63" s="240"/>
      <c r="X63" s="240"/>
      <c r="Y63" s="240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3:40">
      <c r="C64" s="3" t="s">
        <v>96</v>
      </c>
      <c r="E64" s="3" t="s">
        <v>43</v>
      </c>
      <c r="U64" s="241">
        <f t="shared" ref="U64:AC64" si="13">(U61+(U43*U57+U54*(1-U43))*(U$26=""))+U$26</f>
        <v>0.1069</v>
      </c>
      <c r="V64" s="241">
        <f t="shared" si="13"/>
        <v>0.1081</v>
      </c>
      <c r="W64" s="241">
        <f t="shared" si="13"/>
        <v>0.11039996924791944</v>
      </c>
      <c r="X64" s="241">
        <f t="shared" si="13"/>
        <v>0.1138</v>
      </c>
      <c r="Y64" s="241">
        <f t="shared" si="13"/>
        <v>0.11380063439238729</v>
      </c>
      <c r="Z64" s="13">
        <f t="shared" si="13"/>
        <v>2.9753034688742512E-2</v>
      </c>
      <c r="AA64" s="13">
        <f t="shared" si="13"/>
        <v>5.2117797229911993E-2</v>
      </c>
      <c r="AB64" s="13">
        <f t="shared" si="13"/>
        <v>6.0312763307221802E-2</v>
      </c>
      <c r="AC64" s="13">
        <f t="shared" si="13"/>
        <v>6.1377751999658642E-2</v>
      </c>
      <c r="AD64" s="13">
        <f>(AD61+(AD43*AD57+AD54*(1-AD43))*(AD$26=""))+AD$26</f>
        <v>6.1377751999658642E-2</v>
      </c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2:40"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2:40">
      <c r="B66" s="5" t="s">
        <v>32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2:40"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2:40" ht="13.5" thickBot="1">
      <c r="C68" s="6" t="s">
        <v>790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2:40"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2:40">
      <c r="C70" s="17" t="s">
        <v>791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2:40"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2:40">
      <c r="C72" s="3" t="s">
        <v>792</v>
      </c>
      <c r="E72" s="3" t="s">
        <v>29</v>
      </c>
      <c r="U72" s="210">
        <f>'ANSP Capex (CAR)'!BC659</f>
        <v>0</v>
      </c>
      <c r="V72" s="210">
        <f>'ANSP Capex (CAR)'!BD659</f>
        <v>0</v>
      </c>
      <c r="W72" s="210">
        <f>'ANSP Capex (CAR)'!BE659</f>
        <v>0</v>
      </c>
      <c r="X72" s="210">
        <f>'ANSP Capex (CAR)'!BF659</f>
        <v>0</v>
      </c>
      <c r="Y72" s="210">
        <f>'ANSP Capex (CAR)'!BG659</f>
        <v>0</v>
      </c>
      <c r="Z72" s="210">
        <f>'ANSP Capex (CAR)'!BH1006</f>
        <v>21962.503685848798</v>
      </c>
      <c r="AA72" s="210">
        <f>'ANSP Capex (CAR)'!BI1006</f>
        <v>31661.666373059204</v>
      </c>
      <c r="AB72" s="210">
        <f>'ANSP Capex (CAR)'!BJ1006</f>
        <v>38576.283519847253</v>
      </c>
      <c r="AC72" s="210">
        <f>'ANSP Capex (CAR)'!BK1006</f>
        <v>47551.656354088213</v>
      </c>
      <c r="AD72" s="210">
        <f>'ANSP Capex (CAR)'!BL1006</f>
        <v>49884.767458301198</v>
      </c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2:40">
      <c r="C73" s="3" t="s">
        <v>24</v>
      </c>
      <c r="E73" s="3" t="s">
        <v>29</v>
      </c>
      <c r="U73" s="210">
        <f>'ANSP Capex (CAR)'!BC1323</f>
        <v>0</v>
      </c>
      <c r="V73" s="210">
        <f>'ANSP Capex (CAR)'!BD1323</f>
        <v>0</v>
      </c>
      <c r="W73" s="210">
        <f>'ANSP Capex (CAR)'!BE1323</f>
        <v>0</v>
      </c>
      <c r="X73" s="210">
        <f>'ANSP Capex (CAR)'!BF1323</f>
        <v>0</v>
      </c>
      <c r="Y73" s="210">
        <f>'ANSP Capex (CAR)'!BG1323</f>
        <v>0</v>
      </c>
      <c r="Z73" s="210">
        <f>'ANSP Capex (CAR)'!BH1323</f>
        <v>11721.878378537907</v>
      </c>
      <c r="AA73" s="210">
        <f>'ANSP Capex (CAR)'!BI1323</f>
        <v>10621.255694055189</v>
      </c>
      <c r="AB73" s="210">
        <f>'ANSP Capex (CAR)'!BJ1323</f>
        <v>60432.702326436862</v>
      </c>
      <c r="AC73" s="210">
        <f>'ANSP Capex (CAR)'!BK1323</f>
        <v>67777.573311023953</v>
      </c>
      <c r="AD73" s="210">
        <f>'ANSP Capex (CAR)'!BL1323</f>
        <v>65003.107397367043</v>
      </c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2:40">
      <c r="C74" s="3" t="s">
        <v>12</v>
      </c>
      <c r="E74" s="3" t="s">
        <v>29</v>
      </c>
      <c r="U74" s="1170">
        <f>SUM(U72:U73)</f>
        <v>0</v>
      </c>
      <c r="V74" s="1170">
        <f t="shared" ref="V74:AD74" si="14">SUM(V72:V73)</f>
        <v>0</v>
      </c>
      <c r="W74" s="1170">
        <f t="shared" si="14"/>
        <v>0</v>
      </c>
      <c r="X74" s="1170">
        <f t="shared" si="14"/>
        <v>0</v>
      </c>
      <c r="Y74" s="1170">
        <f t="shared" si="14"/>
        <v>0</v>
      </c>
      <c r="Z74" s="1170">
        <f t="shared" si="14"/>
        <v>33684.382064386707</v>
      </c>
      <c r="AA74" s="1170">
        <f t="shared" si="14"/>
        <v>42282.922067114392</v>
      </c>
      <c r="AB74" s="1170">
        <f t="shared" si="14"/>
        <v>99008.985846284108</v>
      </c>
      <c r="AC74" s="1170">
        <f t="shared" si="14"/>
        <v>115329.22966511216</v>
      </c>
      <c r="AD74" s="1170">
        <f t="shared" si="14"/>
        <v>114887.87485566824</v>
      </c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2:40">
      <c r="U75" s="1170"/>
      <c r="V75" s="1170"/>
      <c r="W75" s="1170"/>
      <c r="X75" s="1170"/>
      <c r="Y75" s="1170"/>
      <c r="Z75" s="1170"/>
      <c r="AA75" s="1170"/>
      <c r="AB75" s="1170"/>
      <c r="AC75" s="1170"/>
      <c r="AD75" s="1170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2:40">
      <c r="C76" s="17" t="s">
        <v>185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2:40"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2:40">
      <c r="C78" s="3" t="s">
        <v>792</v>
      </c>
      <c r="E78" s="3" t="s">
        <v>29</v>
      </c>
      <c r="U78" s="210">
        <f>'ANSP Capex (CAR)'!BC1012</f>
        <v>0</v>
      </c>
      <c r="V78" s="210">
        <f>'ANSP Capex (CAR)'!BD1012</f>
        <v>0</v>
      </c>
      <c r="W78" s="210">
        <f>'ANSP Capex (CAR)'!BE1012</f>
        <v>0</v>
      </c>
      <c r="X78" s="210">
        <f>'ANSP Capex (CAR)'!BF1012</f>
        <v>0</v>
      </c>
      <c r="Y78" s="210">
        <f>'ANSP Capex (CAR)'!BG1012</f>
        <v>0</v>
      </c>
      <c r="Z78" s="210">
        <f>'ANSP Capex (CAR)'!BH1012</f>
        <v>489.84097759895837</v>
      </c>
      <c r="AA78" s="210">
        <f>'ANSP Capex (CAR)'!BI1012</f>
        <v>813.62077172916656</v>
      </c>
      <c r="AB78" s="210">
        <f>'ANSP Capex (CAR)'!BJ1012</f>
        <v>744.68967503124986</v>
      </c>
      <c r="AC78" s="210">
        <f>'ANSP Capex (CAR)'!BK1012</f>
        <v>655.31547628347914</v>
      </c>
      <c r="AD78" s="210">
        <f>'ANSP Capex (CAR)'!BL1012</f>
        <v>444.9736475595206</v>
      </c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2:40">
      <c r="C79" s="3" t="s">
        <v>24</v>
      </c>
      <c r="E79" s="3" t="s">
        <v>29</v>
      </c>
      <c r="U79" s="210">
        <f>'ANSP Capex'!BA1325</f>
        <v>0</v>
      </c>
      <c r="V79" s="210">
        <f>'ANSP Capex'!BB1325</f>
        <v>0</v>
      </c>
      <c r="W79" s="210">
        <f>'ANSP Capex'!BC1325</f>
        <v>0</v>
      </c>
      <c r="X79" s="210">
        <f>'ANSP Capex'!BD1325</f>
        <v>0</v>
      </c>
      <c r="Y79" s="210">
        <f>'ANSP Capex'!BE1325</f>
        <v>0</v>
      </c>
      <c r="Z79" s="210">
        <f>'ANSP Capex'!BF1325</f>
        <v>128.52237419270833</v>
      </c>
      <c r="AA79" s="210">
        <f>'ANSP Capex'!BG1325</f>
        <v>322.51728272058585</v>
      </c>
      <c r="AB79" s="210">
        <f>'ANSP Capex'!BH1325</f>
        <v>535.98180905178822</v>
      </c>
      <c r="AC79" s="210">
        <f>'ANSP Capex'!BI1325</f>
        <v>601.63432269442239</v>
      </c>
      <c r="AD79" s="210">
        <f>'ANSP Capex'!BJ1325</f>
        <v>666.26459710222775</v>
      </c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2:40">
      <c r="C80" s="3" t="s">
        <v>12</v>
      </c>
      <c r="E80" s="3" t="s">
        <v>29</v>
      </c>
      <c r="U80" s="1170">
        <f>SUM(U78:U79)</f>
        <v>0</v>
      </c>
      <c r="V80" s="1170">
        <f t="shared" ref="V80:AD80" si="15">SUM(V78:V79)</f>
        <v>0</v>
      </c>
      <c r="W80" s="1170">
        <f t="shared" si="15"/>
        <v>0</v>
      </c>
      <c r="X80" s="1170">
        <f t="shared" si="15"/>
        <v>0</v>
      </c>
      <c r="Y80" s="1170">
        <f t="shared" si="15"/>
        <v>0</v>
      </c>
      <c r="Z80" s="1170">
        <f t="shared" si="15"/>
        <v>618.36335179166667</v>
      </c>
      <c r="AA80" s="1170">
        <f t="shared" si="15"/>
        <v>1136.1380544497524</v>
      </c>
      <c r="AB80" s="1170">
        <f t="shared" si="15"/>
        <v>1280.6714840830382</v>
      </c>
      <c r="AC80" s="1170">
        <f t="shared" si="15"/>
        <v>1256.9497989779015</v>
      </c>
      <c r="AD80" s="1170">
        <f t="shared" si="15"/>
        <v>1111.2382446617485</v>
      </c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2:40"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2:40" ht="13.5" thickBot="1">
      <c r="C82" s="6" t="s">
        <v>32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2:40"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2:40">
      <c r="C84" s="3" t="s">
        <v>792</v>
      </c>
      <c r="E84" s="3" t="s">
        <v>29</v>
      </c>
      <c r="U84" s="210">
        <f t="shared" ref="U84:AD85" si="16">(U$64*U72)+U78</f>
        <v>0</v>
      </c>
      <c r="V84" s="210">
        <f t="shared" si="16"/>
        <v>0</v>
      </c>
      <c r="W84" s="210">
        <f t="shared" si="16"/>
        <v>0</v>
      </c>
      <c r="X84" s="210">
        <f t="shared" si="16"/>
        <v>0</v>
      </c>
      <c r="Y84" s="210">
        <f t="shared" si="16"/>
        <v>0</v>
      </c>
      <c r="Z84" s="210">
        <f>(Z$64*Z72)+Z78</f>
        <v>1143.2921116156531</v>
      </c>
      <c r="AA84" s="210">
        <f t="shared" ref="AA84:AD84" si="17">(AA$64*AA72)+AA78</f>
        <v>2463.7570797213893</v>
      </c>
      <c r="AB84" s="210">
        <f t="shared" si="17"/>
        <v>3071.3319322360785</v>
      </c>
      <c r="AC84" s="210">
        <f t="shared" si="17"/>
        <v>3573.9292471576978</v>
      </c>
      <c r="AD84" s="210">
        <f t="shared" si="17"/>
        <v>3506.788533175773</v>
      </c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2:40">
      <c r="C85" s="3" t="s">
        <v>24</v>
      </c>
      <c r="E85" s="3" t="s">
        <v>29</v>
      </c>
      <c r="U85" s="210">
        <f t="shared" si="16"/>
        <v>0</v>
      </c>
      <c r="V85" s="210">
        <f t="shared" si="16"/>
        <v>0</v>
      </c>
      <c r="W85" s="210">
        <f t="shared" si="16"/>
        <v>0</v>
      </c>
      <c r="X85" s="210">
        <f t="shared" si="16"/>
        <v>0</v>
      </c>
      <c r="Y85" s="210">
        <f t="shared" si="16"/>
        <v>0</v>
      </c>
      <c r="Z85" s="210">
        <f t="shared" si="16"/>
        <v>477.28382820656748</v>
      </c>
      <c r="AA85" s="210">
        <f t="shared" si="16"/>
        <v>876.07373331040242</v>
      </c>
      <c r="AB85" s="210">
        <f t="shared" si="16"/>
        <v>4180.8450804819668</v>
      </c>
      <c r="AC85" s="210">
        <f t="shared" si="16"/>
        <v>4761.669408517133</v>
      </c>
      <c r="AD85" s="210">
        <f t="shared" si="16"/>
        <v>4656.0092021449982</v>
      </c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2:40">
      <c r="C86" s="3" t="s">
        <v>12</v>
      </c>
      <c r="E86" s="3" t="s">
        <v>29</v>
      </c>
      <c r="U86" s="1171">
        <f>SUM(U84:U85)</f>
        <v>0</v>
      </c>
      <c r="V86" s="1171">
        <f t="shared" ref="V86:AA86" si="18">SUM(V84:V85)</f>
        <v>0</v>
      </c>
      <c r="W86" s="1171">
        <f t="shared" si="18"/>
        <v>0</v>
      </c>
      <c r="X86" s="1171">
        <f t="shared" si="18"/>
        <v>0</v>
      </c>
      <c r="Y86" s="1171">
        <f t="shared" si="18"/>
        <v>0</v>
      </c>
      <c r="Z86" s="1171">
        <f t="shared" si="18"/>
        <v>1620.5759398222206</v>
      </c>
      <c r="AA86" s="1171">
        <f t="shared" si="18"/>
        <v>3339.8308130317919</v>
      </c>
      <c r="AB86" s="1171">
        <f>SUM(AB84:AB85)</f>
        <v>7252.1770127180453</v>
      </c>
      <c r="AC86" s="1171">
        <f t="shared" ref="AC86:AD86" si="19">SUM(AC84:AC85)</f>
        <v>8335.5986556748303</v>
      </c>
      <c r="AD86" s="1171">
        <f t="shared" si="19"/>
        <v>8162.7977353207716</v>
      </c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2:40"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2:40">
      <c r="B88" s="5" t="s">
        <v>60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</sheetData>
  <dataValidations count="1">
    <dataValidation type="list" allowBlank="1" showInputMessage="1" showErrorMessage="1" sqref="F11" xr:uid="{69D13E1C-9FFE-4A6B-A934-792F8F587C26}">
      <formula1>$J$11:$Q$11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274CE6D-6FFB-4835-9287-EB784D913F1E}">
          <x14:formula1>
            <xm:f>'Misc. Items'!$I$4:$AB$4</xm:f>
          </x14:formula1>
          <xm:sqref>S13:T13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FCC6-0125-4E6A-8D62-352405B3564E}">
  <sheetPr>
    <tabColor theme="9" tint="0.59999389629810485"/>
  </sheetPr>
  <dimension ref="A1:AF250"/>
  <sheetViews>
    <sheetView showGridLines="0" zoomScale="85" zoomScaleNormal="85" workbookViewId="0">
      <pane ySplit="6" topLeftCell="A7" activePane="bottomLeft" state="frozen"/>
      <selection pane="bottomLeft" activeCell="O227" sqref="O227"/>
    </sheetView>
  </sheetViews>
  <sheetFormatPr defaultColWidth="9.1796875" defaultRowHeight="13" outlineLevelRow="1" outlineLevelCol="1"/>
  <cols>
    <col min="1" max="1" width="1.4531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9.81640625" style="3" customWidth="1"/>
    <col min="7" max="7" width="24.7265625" style="3" customWidth="1" outlineLevel="1"/>
    <col min="8" max="8" width="11.7265625" style="3" customWidth="1" outlineLevel="1"/>
    <col min="9" max="9" width="11.54296875" style="3" customWidth="1" outlineLevel="1"/>
    <col min="10" max="10" width="13.453125" style="3" customWidth="1" outlineLevel="1"/>
    <col min="11" max="11" width="13.453125" style="3" customWidth="1"/>
    <col min="12" max="16" width="11.54296875" style="3" bestFit="1" customWidth="1"/>
    <col min="17" max="17" width="13.1796875" style="3" bestFit="1" customWidth="1"/>
    <col min="18" max="31" width="11.54296875" style="3" bestFit="1" customWidth="1"/>
    <col min="32" max="32" width="3.26953125" style="3" customWidth="1"/>
    <col min="33" max="16384" width="9.1796875" style="3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tr">
        <f>'Misc. Items'!H2</f>
        <v>Period Start</v>
      </c>
      <c r="L2" s="10">
        <f>'Misc. Items'!I2</f>
        <v>42005</v>
      </c>
      <c r="M2" s="10">
        <f>'Misc. Items'!J2</f>
        <v>42370</v>
      </c>
      <c r="N2" s="10">
        <f>'Misc. Items'!K2</f>
        <v>42736</v>
      </c>
      <c r="O2" s="10">
        <f>'Misc. Items'!L2</f>
        <v>43101</v>
      </c>
      <c r="P2" s="10">
        <f>'Misc. Items'!M2</f>
        <v>43466</v>
      </c>
      <c r="Q2" s="10">
        <f>'Misc. Items'!N2</f>
        <v>43831</v>
      </c>
      <c r="R2" s="10">
        <f>'Misc. Items'!O2</f>
        <v>44197</v>
      </c>
      <c r="S2" s="10">
        <f>'Misc. Items'!P2</f>
        <v>44562</v>
      </c>
      <c r="T2" s="10">
        <f>'Misc. Items'!Q2</f>
        <v>44927</v>
      </c>
      <c r="U2" s="10">
        <f>'Misc. Items'!R2</f>
        <v>45292</v>
      </c>
      <c r="V2" s="10">
        <f>'Misc. Items'!S2</f>
        <v>45658</v>
      </c>
      <c r="W2" s="10">
        <f>'Misc. Items'!T2</f>
        <v>46023</v>
      </c>
      <c r="X2" s="10">
        <f>'Misc. Items'!U2</f>
        <v>46388</v>
      </c>
      <c r="Y2" s="10">
        <f>'Misc. Items'!V2</f>
        <v>46753</v>
      </c>
      <c r="Z2" s="10">
        <f>'Misc. Items'!W2</f>
        <v>47119</v>
      </c>
      <c r="AA2" s="10">
        <f>'Misc. Items'!X2</f>
        <v>47484</v>
      </c>
      <c r="AB2" s="10">
        <f>'Misc. Items'!Y2</f>
        <v>47849</v>
      </c>
      <c r="AC2" s="10">
        <f>'Misc. Items'!Z2</f>
        <v>48214</v>
      </c>
      <c r="AD2" s="10">
        <f>'Misc. Items'!AA2</f>
        <v>48580</v>
      </c>
      <c r="AE2" s="10">
        <f>'Misc. Items'!AB2</f>
        <v>48945</v>
      </c>
    </row>
    <row r="3" spans="2:31">
      <c r="B3" s="4"/>
      <c r="C3" s="215" t="s">
        <v>121</v>
      </c>
      <c r="D3" s="4"/>
      <c r="E3" s="4"/>
      <c r="F3" s="4"/>
      <c r="G3" s="4"/>
      <c r="H3" s="4"/>
      <c r="I3" s="4"/>
      <c r="J3" s="4"/>
      <c r="K3" s="5" t="str">
        <f>'Misc. Items'!H3</f>
        <v>Period End</v>
      </c>
      <c r="L3" s="10">
        <f>'Misc. Items'!I3</f>
        <v>42369</v>
      </c>
      <c r="M3" s="10">
        <f>'Misc. Items'!J3</f>
        <v>42735</v>
      </c>
      <c r="N3" s="10">
        <f>'Misc. Items'!K3</f>
        <v>43100</v>
      </c>
      <c r="O3" s="10">
        <f>'Misc. Items'!L3</f>
        <v>43465</v>
      </c>
      <c r="P3" s="10">
        <f>'Misc. Items'!M3</f>
        <v>43830</v>
      </c>
      <c r="Q3" s="10">
        <f>'Misc. Items'!N3</f>
        <v>44196</v>
      </c>
      <c r="R3" s="10">
        <f>'Misc. Items'!O3</f>
        <v>44561</v>
      </c>
      <c r="S3" s="10">
        <f>'Misc. Items'!P3</f>
        <v>44926</v>
      </c>
      <c r="T3" s="10">
        <f>'Misc. Items'!Q3</f>
        <v>45291</v>
      </c>
      <c r="U3" s="10">
        <f>'Misc. Items'!R3</f>
        <v>45657</v>
      </c>
      <c r="V3" s="10">
        <f>'Misc. Items'!S3</f>
        <v>46022</v>
      </c>
      <c r="W3" s="10">
        <f>'Misc. Items'!T3</f>
        <v>46387</v>
      </c>
      <c r="X3" s="10">
        <f>'Misc. Items'!U3</f>
        <v>46752</v>
      </c>
      <c r="Y3" s="10">
        <f>'Misc. Items'!V3</f>
        <v>47118</v>
      </c>
      <c r="Z3" s="10">
        <f>'Misc. Items'!W3</f>
        <v>47483</v>
      </c>
      <c r="AA3" s="10">
        <f>'Misc. Items'!X3</f>
        <v>47848</v>
      </c>
      <c r="AB3" s="10">
        <f>'Misc. Items'!Y3</f>
        <v>48213</v>
      </c>
      <c r="AC3" s="10">
        <f>'Misc. Items'!Z3</f>
        <v>48579</v>
      </c>
      <c r="AD3" s="10">
        <f>'Misc. Items'!AA3</f>
        <v>48944</v>
      </c>
      <c r="AE3" s="10">
        <f>'Misc. Items'!AB3</f>
        <v>49309</v>
      </c>
    </row>
    <row r="4" spans="2:31">
      <c r="B4" s="4"/>
      <c r="C4" s="1540" t="s">
        <v>123</v>
      </c>
      <c r="D4" s="4"/>
      <c r="E4" s="4"/>
      <c r="F4" s="4"/>
      <c r="G4" s="4"/>
      <c r="H4" s="4"/>
      <c r="I4" s="4"/>
      <c r="J4" s="4"/>
      <c r="K4" s="5" t="s">
        <v>124</v>
      </c>
      <c r="L4" s="11">
        <f>'Misc. Items'!I4</f>
        <v>2015</v>
      </c>
      <c r="M4" s="11">
        <f>'Misc. Items'!J4</f>
        <v>2016</v>
      </c>
      <c r="N4" s="11">
        <f>'Misc. Items'!K4</f>
        <v>2017</v>
      </c>
      <c r="O4" s="11">
        <f>'Misc. Items'!L4</f>
        <v>2018</v>
      </c>
      <c r="P4" s="11">
        <f>'Misc. Items'!M4</f>
        <v>2019</v>
      </c>
      <c r="Q4" s="11">
        <f>'Misc. Items'!N4</f>
        <v>2020</v>
      </c>
      <c r="R4" s="11">
        <f>'Misc. Items'!O4</f>
        <v>2021</v>
      </c>
      <c r="S4" s="11">
        <f>'Misc. Items'!P4</f>
        <v>2022</v>
      </c>
      <c r="T4" s="11">
        <f>'Misc. Items'!Q4</f>
        <v>2023</v>
      </c>
      <c r="U4" s="11">
        <f>'Misc. Items'!R4</f>
        <v>2024</v>
      </c>
      <c r="V4" s="11">
        <f>'Misc. Items'!S4</f>
        <v>2025</v>
      </c>
      <c r="W4" s="11">
        <f>'Misc. Items'!T4</f>
        <v>2026</v>
      </c>
      <c r="X4" s="11">
        <f>'Misc. Items'!U4</f>
        <v>2027</v>
      </c>
      <c r="Y4" s="11">
        <f>'Misc. Items'!V4</f>
        <v>2028</v>
      </c>
      <c r="Z4" s="11">
        <f>'Misc. Items'!W4</f>
        <v>2029</v>
      </c>
      <c r="AA4" s="11">
        <f>'Misc. Items'!X4</f>
        <v>2030</v>
      </c>
      <c r="AB4" s="11">
        <f>'Misc. Items'!Y4</f>
        <v>2031</v>
      </c>
      <c r="AC4" s="11">
        <f>'Misc. Items'!Z4</f>
        <v>2032</v>
      </c>
      <c r="AD4" s="11">
        <f>'Misc. Items'!AA4</f>
        <v>2033</v>
      </c>
      <c r="AE4" s="11">
        <f>'Misc. Items'!AB4</f>
        <v>2034</v>
      </c>
    </row>
    <row r="5" spans="2:31">
      <c r="B5" s="4"/>
      <c r="C5" s="5" t="str">
        <f>"Price Base: "&amp;'Misc. Items'!$F$26</f>
        <v>Price Base: 2017</v>
      </c>
      <c r="D5" s="4"/>
      <c r="E5" s="4"/>
      <c r="F5" s="4"/>
      <c r="G5" s="4"/>
      <c r="H5" s="4"/>
      <c r="I5" s="4"/>
      <c r="J5" s="4"/>
      <c r="K5" s="5" t="str">
        <f>'Misc. Items'!H5</f>
        <v>Period Counter</v>
      </c>
      <c r="L5" s="11">
        <f>'Misc. Items'!I5</f>
        <v>1</v>
      </c>
      <c r="M5" s="11">
        <f>'Misc. Items'!J5</f>
        <v>2</v>
      </c>
      <c r="N5" s="11">
        <f>'Misc. Items'!K5</f>
        <v>3</v>
      </c>
      <c r="O5" s="11">
        <f>'Misc. Items'!L5</f>
        <v>4</v>
      </c>
      <c r="P5" s="11">
        <f>'Misc. Items'!M5</f>
        <v>5</v>
      </c>
      <c r="Q5" s="11">
        <f>'Misc. Items'!N5</f>
        <v>6</v>
      </c>
      <c r="R5" s="11">
        <f>'Misc. Items'!O5</f>
        <v>7</v>
      </c>
      <c r="S5" s="11">
        <f>'Misc. Items'!P5</f>
        <v>8</v>
      </c>
      <c r="T5" s="11">
        <f>'Misc. Items'!Q5</f>
        <v>9</v>
      </c>
      <c r="U5" s="11">
        <f>'Misc. Items'!R5</f>
        <v>10</v>
      </c>
      <c r="V5" s="11">
        <f>'Misc. Items'!S5</f>
        <v>11</v>
      </c>
      <c r="W5" s="11">
        <f>'Misc. Items'!T5</f>
        <v>12</v>
      </c>
      <c r="X5" s="11">
        <f>'Misc. Items'!U5</f>
        <v>13</v>
      </c>
      <c r="Y5" s="11">
        <f>'Misc. Items'!V5</f>
        <v>14</v>
      </c>
      <c r="Z5" s="11">
        <f>'Misc. Items'!W5</f>
        <v>15</v>
      </c>
      <c r="AA5" s="11">
        <f>'Misc. Items'!X5</f>
        <v>16</v>
      </c>
      <c r="AB5" s="11">
        <f>'Misc. Items'!Y5</f>
        <v>17</v>
      </c>
      <c r="AC5" s="11">
        <f>'Misc. Items'!Z5</f>
        <v>18</v>
      </c>
      <c r="AD5" s="11">
        <f>'Misc. Items'!AA5</f>
        <v>19</v>
      </c>
      <c r="AE5" s="11">
        <f>'Misc. Items'!AB5</f>
        <v>20</v>
      </c>
    </row>
    <row r="6" spans="2:31">
      <c r="B6" s="4"/>
      <c r="C6" s="5" t="s">
        <v>9</v>
      </c>
      <c r="D6" s="4"/>
      <c r="E6" s="5" t="s">
        <v>10</v>
      </c>
      <c r="F6" s="5"/>
      <c r="G6" s="5" t="s">
        <v>794</v>
      </c>
      <c r="H6" s="4"/>
      <c r="I6" s="5" t="s">
        <v>176</v>
      </c>
      <c r="J6" s="5" t="s">
        <v>177</v>
      </c>
      <c r="K6" s="5" t="str">
        <f>'Misc. Items'!H6</f>
        <v>RP#</v>
      </c>
      <c r="L6" s="11" t="str">
        <f>'Misc. Items'!I6</f>
        <v>RP2</v>
      </c>
      <c r="M6" s="11" t="str">
        <f>'Misc. Items'!J6</f>
        <v>RP2</v>
      </c>
      <c r="N6" s="11" t="str">
        <f>'Misc. Items'!K6</f>
        <v>RP2</v>
      </c>
      <c r="O6" s="11" t="str">
        <f>'Misc. Items'!L6</f>
        <v>RP2</v>
      </c>
      <c r="P6" s="11" t="str">
        <f>'Misc. Items'!M6</f>
        <v>RP2</v>
      </c>
      <c r="Q6" s="11" t="str">
        <f>'Misc. Items'!N6</f>
        <v>RP3</v>
      </c>
      <c r="R6" s="11" t="str">
        <f>'Misc. Items'!O6</f>
        <v>RP3</v>
      </c>
      <c r="S6" s="11" t="str">
        <f>'Misc. Items'!P6</f>
        <v>RP3</v>
      </c>
      <c r="T6" s="11" t="str">
        <f>'Misc. Items'!Q6</f>
        <v>RP3</v>
      </c>
      <c r="U6" s="11" t="str">
        <f>'Misc. Items'!R6</f>
        <v>RP3</v>
      </c>
      <c r="V6" s="11" t="str">
        <f>'Misc. Items'!S6</f>
        <v>RP4</v>
      </c>
      <c r="W6" s="11" t="str">
        <f>'Misc. Items'!T6</f>
        <v>RP4</v>
      </c>
      <c r="X6" s="11" t="str">
        <f>'Misc. Items'!U6</f>
        <v>RP4</v>
      </c>
      <c r="Y6" s="11" t="str">
        <f>'Misc. Items'!V6</f>
        <v>RP4</v>
      </c>
      <c r="Z6" s="11" t="str">
        <f>'Misc. Items'!W6</f>
        <v>RP4</v>
      </c>
      <c r="AA6" s="11" t="str">
        <f>'Misc. Items'!X6</f>
        <v>RP5</v>
      </c>
      <c r="AB6" s="11" t="str">
        <f>'Misc. Items'!Y6</f>
        <v>RP5</v>
      </c>
      <c r="AC6" s="11" t="str">
        <f>'Misc. Items'!Z6</f>
        <v>RP5</v>
      </c>
      <c r="AD6" s="11" t="str">
        <f>'Misc. Items'!AA6</f>
        <v>RP5</v>
      </c>
      <c r="AE6" s="11" t="str">
        <f>'Misc. Items'!AB6</f>
        <v>RP5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795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796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797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798</v>
      </c>
      <c r="E13" s="3" t="s">
        <v>64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pans="2:31">
      <c r="C14" s="3" t="s">
        <v>796</v>
      </c>
      <c r="E14" s="3" t="s">
        <v>29</v>
      </c>
      <c r="L14" s="38"/>
      <c r="M14" s="38"/>
      <c r="N14" s="38"/>
      <c r="O14" s="38"/>
      <c r="P14" s="38"/>
      <c r="Q14" s="149"/>
      <c r="R14" s="149"/>
      <c r="S14" s="149"/>
      <c r="T14" s="149"/>
      <c r="U14" s="149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pans="2:31">
      <c r="C15" s="3" t="s">
        <v>799</v>
      </c>
      <c r="E15" s="3" t="s">
        <v>29</v>
      </c>
      <c r="L15" s="38"/>
      <c r="M15" s="38"/>
      <c r="N15" s="38"/>
      <c r="O15" s="38"/>
      <c r="P15" s="149">
        <v>13466</v>
      </c>
      <c r="Q15" s="149">
        <v>13121</v>
      </c>
      <c r="R15" s="149">
        <v>12941</v>
      </c>
      <c r="S15" s="149">
        <v>14256</v>
      </c>
      <c r="T15" s="149">
        <v>14082</v>
      </c>
      <c r="U15" s="149">
        <v>13657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7" spans="1:31" ht="13.5" thickBot="1">
      <c r="C17" s="6" t="s">
        <v>798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>
      <c r="C18" s="1593" t="s">
        <v>800</v>
      </c>
      <c r="E18" s="3" t="s">
        <v>64</v>
      </c>
      <c r="L18" s="173">
        <v>0</v>
      </c>
      <c r="M18" s="173">
        <v>0</v>
      </c>
      <c r="N18" s="173">
        <v>0</v>
      </c>
      <c r="O18" s="173">
        <v>0</v>
      </c>
      <c r="P18" s="1589">
        <v>309</v>
      </c>
      <c r="Q18" s="1590">
        <v>301</v>
      </c>
      <c r="R18" s="1590">
        <v>291</v>
      </c>
      <c r="S18" s="1590">
        <v>300</v>
      </c>
      <c r="T18" s="1590">
        <v>311</v>
      </c>
      <c r="U18" s="1590">
        <v>328</v>
      </c>
      <c r="V18" s="173">
        <v>0</v>
      </c>
      <c r="W18" s="173">
        <v>0</v>
      </c>
      <c r="X18" s="173">
        <v>0</v>
      </c>
      <c r="Y18" s="173">
        <v>0</v>
      </c>
      <c r="Z18" s="173">
        <v>0</v>
      </c>
      <c r="AA18" s="173">
        <v>0</v>
      </c>
      <c r="AB18" s="173">
        <v>0</v>
      </c>
      <c r="AC18" s="173">
        <v>0</v>
      </c>
      <c r="AD18" s="173">
        <v>0</v>
      </c>
      <c r="AE18" s="173">
        <v>0</v>
      </c>
    </row>
    <row r="19" spans="1:31">
      <c r="B19" s="1127"/>
      <c r="C19" s="1593" t="s">
        <v>801</v>
      </c>
      <c r="E19" s="3" t="s">
        <v>64</v>
      </c>
      <c r="L19" s="173">
        <v>0</v>
      </c>
      <c r="M19" s="173">
        <v>0</v>
      </c>
      <c r="N19" s="173">
        <v>0</v>
      </c>
      <c r="O19" s="173">
        <v>0</v>
      </c>
      <c r="P19" s="1591">
        <v>68</v>
      </c>
      <c r="Q19" s="1592">
        <v>66</v>
      </c>
      <c r="R19" s="1592">
        <v>65</v>
      </c>
      <c r="S19" s="1592">
        <v>57</v>
      </c>
      <c r="T19" s="1592">
        <v>57</v>
      </c>
      <c r="U19" s="1592">
        <v>57</v>
      </c>
      <c r="V19" s="173">
        <v>0</v>
      </c>
      <c r="W19" s="173">
        <v>0</v>
      </c>
      <c r="X19" s="173">
        <v>0</v>
      </c>
      <c r="Y19" s="173">
        <v>0</v>
      </c>
      <c r="Z19" s="173">
        <v>0</v>
      </c>
      <c r="AA19" s="173">
        <v>0</v>
      </c>
      <c r="AB19" s="173">
        <v>0</v>
      </c>
      <c r="AC19" s="173">
        <v>0</v>
      </c>
      <c r="AD19" s="173">
        <v>0</v>
      </c>
      <c r="AE19" s="173">
        <v>0</v>
      </c>
    </row>
    <row r="20" spans="1:31">
      <c r="C20" s="1593" t="s">
        <v>802</v>
      </c>
      <c r="E20" s="3" t="s">
        <v>64</v>
      </c>
      <c r="L20" s="173">
        <v>0</v>
      </c>
      <c r="M20" s="173">
        <v>0</v>
      </c>
      <c r="N20" s="173">
        <v>0</v>
      </c>
      <c r="O20" s="173">
        <v>0</v>
      </c>
      <c r="P20" s="1591">
        <v>39</v>
      </c>
      <c r="Q20" s="1592">
        <v>39</v>
      </c>
      <c r="R20" s="1592">
        <v>38</v>
      </c>
      <c r="S20" s="1592">
        <v>38</v>
      </c>
      <c r="T20" s="1592">
        <v>38</v>
      </c>
      <c r="U20" s="1592">
        <v>38</v>
      </c>
      <c r="V20" s="173">
        <v>0</v>
      </c>
      <c r="W20" s="173">
        <v>0</v>
      </c>
      <c r="X20" s="173">
        <v>0</v>
      </c>
      <c r="Y20" s="173">
        <v>0</v>
      </c>
      <c r="Z20" s="173">
        <v>0</v>
      </c>
      <c r="AA20" s="173">
        <v>0</v>
      </c>
      <c r="AB20" s="173">
        <v>0</v>
      </c>
      <c r="AC20" s="173">
        <v>0</v>
      </c>
      <c r="AD20" s="173">
        <v>0</v>
      </c>
      <c r="AE20" s="173">
        <v>0</v>
      </c>
    </row>
    <row r="21" spans="1:31">
      <c r="C21" s="1593" t="s">
        <v>803</v>
      </c>
      <c r="E21" s="3" t="s">
        <v>64</v>
      </c>
      <c r="L21" s="173">
        <v>0</v>
      </c>
      <c r="M21" s="173">
        <v>0</v>
      </c>
      <c r="N21" s="173">
        <v>0</v>
      </c>
      <c r="O21" s="173">
        <v>0</v>
      </c>
      <c r="P21" s="1591">
        <v>72</v>
      </c>
      <c r="Q21" s="1592">
        <v>73</v>
      </c>
      <c r="R21" s="1592">
        <v>84</v>
      </c>
      <c r="S21" s="1592">
        <v>90</v>
      </c>
      <c r="T21" s="1592">
        <v>93</v>
      </c>
      <c r="U21" s="1592">
        <v>94</v>
      </c>
      <c r="V21" s="173">
        <v>0</v>
      </c>
      <c r="W21" s="173">
        <v>0</v>
      </c>
      <c r="X21" s="173">
        <v>0</v>
      </c>
      <c r="Y21" s="173">
        <v>0</v>
      </c>
      <c r="Z21" s="173">
        <v>0</v>
      </c>
      <c r="AA21" s="173">
        <v>0</v>
      </c>
      <c r="AB21" s="173">
        <v>0</v>
      </c>
      <c r="AC21" s="173">
        <v>0</v>
      </c>
      <c r="AD21" s="173">
        <v>0</v>
      </c>
      <c r="AE21" s="173">
        <v>0</v>
      </c>
    </row>
    <row r="22" spans="1:31">
      <c r="C22" s="1593" t="s">
        <v>804</v>
      </c>
      <c r="E22" s="3" t="s">
        <v>64</v>
      </c>
      <c r="L22" s="173">
        <v>0</v>
      </c>
      <c r="M22" s="173">
        <v>0</v>
      </c>
      <c r="N22" s="173">
        <v>0</v>
      </c>
      <c r="O22" s="173">
        <v>0</v>
      </c>
      <c r="P22" s="1591">
        <v>60</v>
      </c>
      <c r="Q22" s="1592">
        <v>60</v>
      </c>
      <c r="R22" s="1592">
        <v>64</v>
      </c>
      <c r="S22" s="1592">
        <v>68</v>
      </c>
      <c r="T22" s="1592">
        <v>69</v>
      </c>
      <c r="U22" s="1592">
        <v>69</v>
      </c>
      <c r="V22" s="173">
        <v>0</v>
      </c>
      <c r="W22" s="173">
        <v>0</v>
      </c>
      <c r="X22" s="173">
        <v>0</v>
      </c>
      <c r="Y22" s="173">
        <v>0</v>
      </c>
      <c r="Z22" s="173">
        <v>0</v>
      </c>
      <c r="AA22" s="173">
        <v>0</v>
      </c>
      <c r="AB22" s="173">
        <v>0</v>
      </c>
      <c r="AC22" s="173">
        <v>0</v>
      </c>
      <c r="AD22" s="173">
        <v>0</v>
      </c>
      <c r="AE22" s="173">
        <v>0</v>
      </c>
    </row>
    <row r="23" spans="1:31">
      <c r="C23" s="1593" t="s">
        <v>805</v>
      </c>
      <c r="E23" s="3" t="s">
        <v>64</v>
      </c>
      <c r="L23" s="173">
        <v>0</v>
      </c>
      <c r="M23" s="173">
        <v>0</v>
      </c>
      <c r="N23" s="173">
        <v>0</v>
      </c>
      <c r="O23" s="173">
        <v>0</v>
      </c>
      <c r="P23" s="173">
        <v>0</v>
      </c>
      <c r="Q23" s="173">
        <v>0</v>
      </c>
      <c r="R23" s="173">
        <v>0</v>
      </c>
      <c r="S23" s="173">
        <v>0</v>
      </c>
      <c r="T23" s="173">
        <v>0</v>
      </c>
      <c r="U23" s="173">
        <v>0</v>
      </c>
      <c r="V23" s="173">
        <v>0</v>
      </c>
      <c r="W23" s="173">
        <v>0</v>
      </c>
      <c r="X23" s="173">
        <v>0</v>
      </c>
      <c r="Y23" s="173">
        <v>0</v>
      </c>
      <c r="Z23" s="173">
        <v>0</v>
      </c>
      <c r="AA23" s="173">
        <v>0</v>
      </c>
      <c r="AB23" s="173">
        <v>0</v>
      </c>
      <c r="AC23" s="173">
        <v>0</v>
      </c>
      <c r="AD23" s="173">
        <v>0</v>
      </c>
      <c r="AE23" s="173">
        <v>0</v>
      </c>
    </row>
    <row r="24" spans="1:31">
      <c r="C24" s="1593" t="s">
        <v>806</v>
      </c>
      <c r="E24" s="3" t="s">
        <v>64</v>
      </c>
      <c r="L24" s="173">
        <v>0</v>
      </c>
      <c r="M24" s="173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0</v>
      </c>
      <c r="S24" s="173">
        <v>0</v>
      </c>
      <c r="T24" s="173">
        <v>0</v>
      </c>
      <c r="U24" s="173">
        <v>0</v>
      </c>
      <c r="V24" s="173">
        <v>0</v>
      </c>
      <c r="W24" s="173">
        <v>0</v>
      </c>
      <c r="X24" s="173">
        <v>0</v>
      </c>
      <c r="Y24" s="173">
        <v>0</v>
      </c>
      <c r="Z24" s="173">
        <v>0</v>
      </c>
      <c r="AA24" s="173">
        <v>0</v>
      </c>
      <c r="AB24" s="173">
        <v>0</v>
      </c>
      <c r="AC24" s="173">
        <v>0</v>
      </c>
      <c r="AD24" s="173">
        <v>0</v>
      </c>
      <c r="AE24" s="173">
        <v>0</v>
      </c>
    </row>
    <row r="25" spans="1:31">
      <c r="C25" s="3" t="s">
        <v>807</v>
      </c>
      <c r="E25" s="3" t="s">
        <v>64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0</v>
      </c>
      <c r="T25" s="173">
        <v>0</v>
      </c>
      <c r="U25" s="173">
        <v>0</v>
      </c>
      <c r="V25" s="173">
        <v>0</v>
      </c>
      <c r="W25" s="173">
        <v>0</v>
      </c>
      <c r="X25" s="173">
        <v>0</v>
      </c>
      <c r="Y25" s="173">
        <v>0</v>
      </c>
      <c r="Z25" s="173">
        <v>0</v>
      </c>
      <c r="AA25" s="173">
        <v>0</v>
      </c>
      <c r="AB25" s="173">
        <v>0</v>
      </c>
      <c r="AC25" s="173">
        <v>0</v>
      </c>
      <c r="AD25" s="173">
        <v>0</v>
      </c>
      <c r="AE25" s="173">
        <v>0</v>
      </c>
    </row>
    <row r="26" spans="1:31">
      <c r="C26" s="3" t="s">
        <v>807</v>
      </c>
      <c r="E26" s="3" t="s">
        <v>64</v>
      </c>
      <c r="L26" s="173">
        <v>0</v>
      </c>
      <c r="M26" s="173">
        <v>0</v>
      </c>
      <c r="N26" s="173">
        <v>0</v>
      </c>
      <c r="O26" s="173">
        <v>0</v>
      </c>
      <c r="P26" s="173">
        <v>0</v>
      </c>
      <c r="Q26" s="173">
        <v>0</v>
      </c>
      <c r="R26" s="173">
        <v>0</v>
      </c>
      <c r="S26" s="173">
        <v>0</v>
      </c>
      <c r="T26" s="173">
        <v>0</v>
      </c>
      <c r="U26" s="173">
        <v>0</v>
      </c>
      <c r="V26" s="173">
        <v>0</v>
      </c>
      <c r="W26" s="173">
        <v>0</v>
      </c>
      <c r="X26" s="173">
        <v>0</v>
      </c>
      <c r="Y26" s="173">
        <v>0</v>
      </c>
      <c r="Z26" s="173">
        <v>0</v>
      </c>
      <c r="AA26" s="173">
        <v>0</v>
      </c>
      <c r="AB26" s="173">
        <v>0</v>
      </c>
      <c r="AC26" s="173">
        <v>0</v>
      </c>
      <c r="AD26" s="173">
        <v>0</v>
      </c>
      <c r="AE26" s="173">
        <v>0</v>
      </c>
    </row>
    <row r="27" spans="1:31">
      <c r="C27" s="3" t="s">
        <v>807</v>
      </c>
      <c r="E27" s="3" t="s">
        <v>64</v>
      </c>
      <c r="L27" s="173">
        <v>0</v>
      </c>
      <c r="M27" s="173">
        <v>0</v>
      </c>
      <c r="N27" s="173">
        <v>0</v>
      </c>
      <c r="O27" s="173">
        <v>0</v>
      </c>
      <c r="P27" s="173">
        <v>0</v>
      </c>
      <c r="Q27" s="173">
        <v>0</v>
      </c>
      <c r="R27" s="173">
        <v>0</v>
      </c>
      <c r="S27" s="173">
        <v>0</v>
      </c>
      <c r="T27" s="173">
        <v>0</v>
      </c>
      <c r="U27" s="173">
        <v>0</v>
      </c>
      <c r="V27" s="173">
        <v>0</v>
      </c>
      <c r="W27" s="173">
        <v>0</v>
      </c>
      <c r="X27" s="173">
        <v>0</v>
      </c>
      <c r="Y27" s="173">
        <v>0</v>
      </c>
      <c r="Z27" s="173">
        <v>0</v>
      </c>
      <c r="AA27" s="173">
        <v>0</v>
      </c>
      <c r="AB27" s="173">
        <v>0</v>
      </c>
      <c r="AC27" s="173">
        <v>0</v>
      </c>
      <c r="AD27" s="173">
        <v>0</v>
      </c>
      <c r="AE27" s="173">
        <v>0</v>
      </c>
    </row>
    <row r="28" spans="1:31">
      <c r="C28" s="3" t="s">
        <v>807</v>
      </c>
      <c r="E28" s="3" t="s">
        <v>64</v>
      </c>
      <c r="L28" s="173">
        <v>0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3">
        <v>0</v>
      </c>
      <c r="W28" s="173">
        <v>0</v>
      </c>
      <c r="X28" s="173">
        <v>0</v>
      </c>
      <c r="Y28" s="173">
        <v>0</v>
      </c>
      <c r="Z28" s="173">
        <v>0</v>
      </c>
      <c r="AA28" s="173">
        <v>0</v>
      </c>
      <c r="AB28" s="173">
        <v>0</v>
      </c>
      <c r="AC28" s="173">
        <v>0</v>
      </c>
      <c r="AD28" s="173">
        <v>0</v>
      </c>
      <c r="AE28" s="173">
        <v>0</v>
      </c>
    </row>
    <row r="29" spans="1:31">
      <c r="C29" s="14"/>
      <c r="D29" s="14"/>
      <c r="E29" s="14"/>
      <c r="F29" s="14"/>
      <c r="G29" s="14"/>
      <c r="H29" s="14"/>
      <c r="I29" s="14"/>
      <c r="J29" s="14"/>
      <c r="K29" s="14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1:31">
      <c r="C30" s="17" t="s">
        <v>808</v>
      </c>
      <c r="E30" s="3" t="s">
        <v>64</v>
      </c>
      <c r="L30" s="27">
        <f t="shared" ref="L30:AE30" si="0">SUM(L18:L28)*(L$13="")+L$13</f>
        <v>0</v>
      </c>
      <c r="M30" s="27">
        <f t="shared" si="0"/>
        <v>0</v>
      </c>
      <c r="N30" s="27">
        <f t="shared" si="0"/>
        <v>0</v>
      </c>
      <c r="O30" s="27">
        <f t="shared" si="0"/>
        <v>0</v>
      </c>
      <c r="P30" s="27">
        <f t="shared" si="0"/>
        <v>548</v>
      </c>
      <c r="Q30" s="27">
        <f t="shared" si="0"/>
        <v>539</v>
      </c>
      <c r="R30" s="27">
        <f t="shared" si="0"/>
        <v>542</v>
      </c>
      <c r="S30" s="27">
        <f t="shared" si="0"/>
        <v>553</v>
      </c>
      <c r="T30" s="27">
        <f t="shared" si="0"/>
        <v>568</v>
      </c>
      <c r="U30" s="27">
        <f t="shared" si="0"/>
        <v>586</v>
      </c>
      <c r="V30" s="27">
        <f t="shared" si="0"/>
        <v>0</v>
      </c>
      <c r="W30" s="27">
        <f t="shared" si="0"/>
        <v>0</v>
      </c>
      <c r="X30" s="27">
        <f t="shared" si="0"/>
        <v>0</v>
      </c>
      <c r="Y30" s="27">
        <f t="shared" si="0"/>
        <v>0</v>
      </c>
      <c r="Z30" s="27">
        <f t="shared" si="0"/>
        <v>0</v>
      </c>
      <c r="AA30" s="27">
        <f t="shared" si="0"/>
        <v>0</v>
      </c>
      <c r="AB30" s="27">
        <f t="shared" si="0"/>
        <v>0</v>
      </c>
      <c r="AC30" s="27">
        <f t="shared" si="0"/>
        <v>0</v>
      </c>
      <c r="AD30" s="27">
        <f t="shared" si="0"/>
        <v>0</v>
      </c>
      <c r="AE30" s="27">
        <f t="shared" si="0"/>
        <v>0</v>
      </c>
    </row>
    <row r="32" spans="1:31" customFormat="1" ht="14.5">
      <c r="A32" s="3"/>
      <c r="B32" s="3"/>
      <c r="C32" s="6" t="s">
        <v>796</v>
      </c>
      <c r="D32" s="7"/>
      <c r="E32" s="7"/>
      <c r="F32" s="7"/>
      <c r="G32" s="7"/>
      <c r="H32" s="7"/>
      <c r="I32" s="221"/>
      <c r="J32" s="7"/>
      <c r="K32" s="22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</row>
    <row r="33" spans="1:32">
      <c r="C33" s="3" t="str">
        <f t="shared" ref="C33:C41" si="1">C18</f>
        <v>ATCO</v>
      </c>
      <c r="E33" s="3" t="s">
        <v>29</v>
      </c>
      <c r="I33" s="1017">
        <f>AVERAGE(Q63:U63)</f>
        <v>0.8553103776272255</v>
      </c>
      <c r="J33" s="1017">
        <f>1-I33</f>
        <v>0.1446896223727745</v>
      </c>
      <c r="K33" s="156"/>
      <c r="L33" s="173">
        <v>0</v>
      </c>
      <c r="M33" s="173">
        <v>0</v>
      </c>
      <c r="N33" s="173">
        <v>0</v>
      </c>
      <c r="O33" s="173">
        <v>0</v>
      </c>
      <c r="P33" s="173">
        <v>42570.22</v>
      </c>
      <c r="Q33" s="173">
        <v>41766.311000000002</v>
      </c>
      <c r="R33" s="173">
        <v>37727.608</v>
      </c>
      <c r="S33" s="173">
        <v>42351.201999999997</v>
      </c>
      <c r="T33" s="173">
        <v>43785.09</v>
      </c>
      <c r="U33" s="173">
        <v>45622.175999999999</v>
      </c>
      <c r="V33" s="173">
        <v>0</v>
      </c>
      <c r="W33" s="173">
        <v>0</v>
      </c>
      <c r="X33" s="173">
        <v>0</v>
      </c>
      <c r="Y33" s="173">
        <v>0</v>
      </c>
      <c r="Z33" s="173">
        <v>0</v>
      </c>
      <c r="AA33" s="173">
        <v>0</v>
      </c>
      <c r="AB33" s="173">
        <v>0</v>
      </c>
      <c r="AC33" s="173">
        <v>0</v>
      </c>
      <c r="AD33" s="173">
        <v>0</v>
      </c>
      <c r="AE33" s="173">
        <v>0</v>
      </c>
    </row>
    <row r="34" spans="1:32">
      <c r="B34" s="1127"/>
      <c r="C34" s="3" t="str">
        <f t="shared" si="1"/>
        <v>Corporate Services</v>
      </c>
      <c r="E34" s="3" t="s">
        <v>29</v>
      </c>
      <c r="I34" s="1017">
        <f>AVERAGE(Q64:U64)</f>
        <v>0.8553103776272255</v>
      </c>
      <c r="J34" s="1017">
        <f>1-I34</f>
        <v>0.1446896223727745</v>
      </c>
      <c r="K34" s="156"/>
      <c r="L34" s="173">
        <v>0</v>
      </c>
      <c r="M34" s="173">
        <v>0</v>
      </c>
      <c r="N34" s="173">
        <v>0</v>
      </c>
      <c r="O34" s="173">
        <v>0</v>
      </c>
      <c r="P34" s="173">
        <v>4607.7089999999998</v>
      </c>
      <c r="Q34" s="173">
        <v>4387.8969999999999</v>
      </c>
      <c r="R34" s="173">
        <v>4130.2910000000002</v>
      </c>
      <c r="S34" s="173">
        <v>4021.172</v>
      </c>
      <c r="T34" s="173">
        <v>4092.9949999999999</v>
      </c>
      <c r="U34" s="173">
        <v>4172.9520000000002</v>
      </c>
      <c r="V34" s="173">
        <v>0</v>
      </c>
      <c r="W34" s="173">
        <v>0</v>
      </c>
      <c r="X34" s="173">
        <v>0</v>
      </c>
      <c r="Y34" s="173">
        <v>0</v>
      </c>
      <c r="Z34" s="173">
        <v>0</v>
      </c>
      <c r="AA34" s="173">
        <v>0</v>
      </c>
      <c r="AB34" s="173">
        <v>0</v>
      </c>
      <c r="AC34" s="173">
        <v>0</v>
      </c>
      <c r="AD34" s="173">
        <v>0</v>
      </c>
      <c r="AE34" s="173">
        <v>0</v>
      </c>
    </row>
    <row r="35" spans="1:32">
      <c r="C35" s="3" t="str">
        <f t="shared" si="1"/>
        <v>Data Assistant</v>
      </c>
      <c r="E35" s="3" t="s">
        <v>29</v>
      </c>
      <c r="I35" s="1017">
        <f>AVERAGE(Q65:U65)</f>
        <v>0.8553103776272255</v>
      </c>
      <c r="J35" s="1017">
        <f>1-I35</f>
        <v>0.1446896223727745</v>
      </c>
      <c r="K35" s="156"/>
      <c r="L35" s="173">
        <v>0</v>
      </c>
      <c r="M35" s="173">
        <v>0</v>
      </c>
      <c r="N35" s="173">
        <v>0</v>
      </c>
      <c r="O35" s="173">
        <v>0</v>
      </c>
      <c r="P35" s="173">
        <v>2657.4690000000001</v>
      </c>
      <c r="Q35" s="173">
        <v>2606.7829999999999</v>
      </c>
      <c r="R35" s="173">
        <v>2431.1289999999999</v>
      </c>
      <c r="S35" s="173">
        <v>2694.6280000000002</v>
      </c>
      <c r="T35" s="173">
        <v>2741.7420000000002</v>
      </c>
      <c r="U35" s="173">
        <v>2794.5659999999998</v>
      </c>
      <c r="V35" s="173">
        <v>0</v>
      </c>
      <c r="W35" s="173">
        <v>0</v>
      </c>
      <c r="X35" s="173">
        <v>0</v>
      </c>
      <c r="Y35" s="173">
        <v>0</v>
      </c>
      <c r="Z35" s="173">
        <v>0</v>
      </c>
      <c r="AA35" s="173">
        <v>0</v>
      </c>
      <c r="AB35" s="173">
        <v>0</v>
      </c>
      <c r="AC35" s="173">
        <v>0</v>
      </c>
      <c r="AD35" s="173">
        <v>0</v>
      </c>
      <c r="AE35" s="173">
        <v>0</v>
      </c>
    </row>
    <row r="36" spans="1:32">
      <c r="C36" s="3" t="str">
        <f t="shared" si="1"/>
        <v>Engineer</v>
      </c>
      <c r="E36" s="3" t="s">
        <v>29</v>
      </c>
      <c r="I36" s="1017">
        <f>AVERAGE(Q66:U66)</f>
        <v>0.8553103776272255</v>
      </c>
      <c r="J36" s="1017">
        <f>1-I36</f>
        <v>0.1446896223727745</v>
      </c>
      <c r="K36" s="156"/>
      <c r="L36" s="173">
        <v>0</v>
      </c>
      <c r="M36" s="173">
        <v>0</v>
      </c>
      <c r="N36" s="173">
        <v>0</v>
      </c>
      <c r="O36" s="173">
        <v>0</v>
      </c>
      <c r="P36" s="173">
        <v>8716.9060000000009</v>
      </c>
      <c r="Q36" s="173">
        <v>8670.9760000000006</v>
      </c>
      <c r="R36" s="173">
        <v>9539.2129999999997</v>
      </c>
      <c r="S36" s="173">
        <v>11343.152</v>
      </c>
      <c r="T36" s="173">
        <v>11929.678</v>
      </c>
      <c r="U36" s="173">
        <v>12292.822</v>
      </c>
      <c r="V36" s="173">
        <v>0</v>
      </c>
      <c r="W36" s="173">
        <v>0</v>
      </c>
      <c r="X36" s="173">
        <v>0</v>
      </c>
      <c r="Y36" s="173">
        <v>0</v>
      </c>
      <c r="Z36" s="173">
        <v>0</v>
      </c>
      <c r="AA36" s="173">
        <v>0</v>
      </c>
      <c r="AB36" s="173">
        <v>0</v>
      </c>
      <c r="AC36" s="173">
        <v>0</v>
      </c>
      <c r="AD36" s="173">
        <v>0</v>
      </c>
      <c r="AE36" s="173">
        <v>0</v>
      </c>
    </row>
    <row r="37" spans="1:32">
      <c r="C37" s="3" t="str">
        <f t="shared" si="1"/>
        <v>Op Mgt Supp</v>
      </c>
      <c r="E37" s="3" t="s">
        <v>29</v>
      </c>
      <c r="I37" s="1017">
        <f>AVERAGE(Q67:U67)</f>
        <v>0.8553103776272255</v>
      </c>
      <c r="J37" s="1017">
        <f>1-I37</f>
        <v>0.1446896223727745</v>
      </c>
      <c r="K37" s="156"/>
      <c r="L37" s="173">
        <v>0</v>
      </c>
      <c r="M37" s="173">
        <v>0</v>
      </c>
      <c r="N37" s="173">
        <v>0</v>
      </c>
      <c r="O37" s="173">
        <v>0</v>
      </c>
      <c r="P37" s="173">
        <v>7127.6959999999999</v>
      </c>
      <c r="Q37" s="173">
        <v>6993.4</v>
      </c>
      <c r="R37" s="173">
        <v>7129.4129999999996</v>
      </c>
      <c r="S37" s="173">
        <v>8410.3459999999995</v>
      </c>
      <c r="T37" s="173">
        <v>8749.4950000000008</v>
      </c>
      <c r="U37" s="173">
        <v>8920.4840000000004</v>
      </c>
      <c r="V37" s="173">
        <v>0</v>
      </c>
      <c r="W37" s="173">
        <v>0</v>
      </c>
      <c r="X37" s="173">
        <v>0</v>
      </c>
      <c r="Y37" s="173">
        <v>0</v>
      </c>
      <c r="Z37" s="173">
        <v>0</v>
      </c>
      <c r="AA37" s="173">
        <v>0</v>
      </c>
      <c r="AB37" s="173">
        <v>0</v>
      </c>
      <c r="AC37" s="173">
        <v>0</v>
      </c>
      <c r="AD37" s="173">
        <v>0</v>
      </c>
      <c r="AE37" s="173">
        <v>0</v>
      </c>
    </row>
    <row r="38" spans="1:32">
      <c r="C38" s="3" t="str">
        <f t="shared" si="1"/>
        <v>EWSS</v>
      </c>
      <c r="E38" s="3" t="s">
        <v>29</v>
      </c>
      <c r="I38" s="1017"/>
      <c r="J38" s="1017"/>
      <c r="K38" s="156"/>
      <c r="L38" s="173">
        <v>0</v>
      </c>
      <c r="M38" s="173">
        <v>0</v>
      </c>
      <c r="N38" s="173">
        <v>0</v>
      </c>
      <c r="O38" s="173">
        <v>0</v>
      </c>
      <c r="P38" s="173">
        <v>0</v>
      </c>
      <c r="Q38" s="173">
        <v>-1357.366</v>
      </c>
      <c r="R38" s="173">
        <v>-4009.154</v>
      </c>
      <c r="S38" s="173">
        <v>0</v>
      </c>
      <c r="T38" s="173">
        <v>0</v>
      </c>
      <c r="U38" s="173">
        <v>0</v>
      </c>
      <c r="V38" s="173">
        <v>0</v>
      </c>
      <c r="W38" s="173">
        <v>0</v>
      </c>
      <c r="X38" s="173">
        <v>0</v>
      </c>
      <c r="Y38" s="173">
        <v>0</v>
      </c>
      <c r="Z38" s="173">
        <v>0</v>
      </c>
      <c r="AA38" s="173">
        <v>0</v>
      </c>
      <c r="AB38" s="173">
        <v>0</v>
      </c>
      <c r="AC38" s="173">
        <v>0</v>
      </c>
      <c r="AD38" s="173">
        <v>0</v>
      </c>
      <c r="AE38" s="173">
        <v>0</v>
      </c>
    </row>
    <row r="39" spans="1:32">
      <c r="C39" s="3" t="str">
        <f t="shared" si="1"/>
        <v>Overtime</v>
      </c>
      <c r="E39" s="3" t="s">
        <v>29</v>
      </c>
      <c r="K39" s="156"/>
      <c r="L39" s="173">
        <v>0</v>
      </c>
      <c r="M39" s="173">
        <v>0</v>
      </c>
      <c r="N39" s="173">
        <v>0</v>
      </c>
      <c r="O39" s="173">
        <v>0</v>
      </c>
      <c r="P39" s="173">
        <v>1870</v>
      </c>
      <c r="Q39" s="173">
        <v>661</v>
      </c>
      <c r="R39" s="173">
        <v>960.5</v>
      </c>
      <c r="S39" s="173">
        <v>1412.5</v>
      </c>
      <c r="T39" s="173">
        <v>1608</v>
      </c>
      <c r="U39" s="173">
        <v>1785</v>
      </c>
      <c r="V39" s="173">
        <v>0</v>
      </c>
      <c r="W39" s="173">
        <v>0</v>
      </c>
      <c r="X39" s="173">
        <v>0</v>
      </c>
      <c r="Y39" s="173">
        <v>0</v>
      </c>
      <c r="Z39" s="173">
        <v>0</v>
      </c>
      <c r="AA39" s="173">
        <v>0</v>
      </c>
      <c r="AB39" s="173">
        <v>0</v>
      </c>
      <c r="AC39" s="173">
        <v>0</v>
      </c>
      <c r="AD39" s="173">
        <v>0</v>
      </c>
      <c r="AE39" s="173">
        <v>0</v>
      </c>
    </row>
    <row r="40" spans="1:32">
      <c r="C40" s="3" t="str">
        <f t="shared" si="1"/>
        <v>&lt;&lt; add staff category &gt;&gt;</v>
      </c>
      <c r="E40" s="3" t="s">
        <v>29</v>
      </c>
      <c r="K40" s="156"/>
      <c r="L40" s="173">
        <v>0</v>
      </c>
      <c r="M40" s="173">
        <v>0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173">
        <v>0</v>
      </c>
      <c r="U40" s="173">
        <v>0</v>
      </c>
      <c r="V40" s="173">
        <v>0</v>
      </c>
      <c r="W40" s="173">
        <v>0</v>
      </c>
      <c r="X40" s="173">
        <v>0</v>
      </c>
      <c r="Y40" s="173">
        <v>0</v>
      </c>
      <c r="Z40" s="173">
        <v>0</v>
      </c>
      <c r="AA40" s="173">
        <v>0</v>
      </c>
      <c r="AB40" s="173">
        <v>0</v>
      </c>
      <c r="AC40" s="173">
        <v>0</v>
      </c>
      <c r="AD40" s="173">
        <v>0</v>
      </c>
      <c r="AE40" s="173">
        <v>0</v>
      </c>
    </row>
    <row r="41" spans="1:32">
      <c r="C41" s="3" t="str">
        <f t="shared" si="1"/>
        <v>&lt;&lt; add staff category &gt;&gt;</v>
      </c>
      <c r="E41" s="3" t="s">
        <v>29</v>
      </c>
      <c r="K41" s="156"/>
      <c r="L41" s="229">
        <v>0</v>
      </c>
      <c r="M41" s="229">
        <v>0</v>
      </c>
      <c r="N41" s="229">
        <v>0</v>
      </c>
      <c r="O41" s="229">
        <v>0</v>
      </c>
      <c r="P41" s="229">
        <v>0</v>
      </c>
      <c r="Q41" s="229">
        <v>0</v>
      </c>
      <c r="R41" s="229">
        <v>0</v>
      </c>
      <c r="S41" s="229">
        <v>0</v>
      </c>
      <c r="T41" s="229">
        <v>0</v>
      </c>
      <c r="U41" s="229">
        <v>0</v>
      </c>
      <c r="V41" s="229">
        <v>0</v>
      </c>
      <c r="W41" s="229">
        <v>0</v>
      </c>
      <c r="X41" s="229">
        <v>0</v>
      </c>
      <c r="Y41" s="229">
        <v>0</v>
      </c>
      <c r="Z41" s="229">
        <v>0</v>
      </c>
      <c r="AA41" s="229">
        <v>0</v>
      </c>
      <c r="AB41" s="229">
        <v>0</v>
      </c>
      <c r="AC41" s="229">
        <v>0</v>
      </c>
      <c r="AD41" s="229">
        <v>0</v>
      </c>
      <c r="AE41" s="229">
        <v>0</v>
      </c>
    </row>
    <row r="42" spans="1:32" ht="10.9" customHeight="1">
      <c r="C42" s="14"/>
      <c r="D42" s="14"/>
      <c r="E42" s="14"/>
      <c r="F42" s="14"/>
      <c r="G42" s="14"/>
      <c r="H42" s="14"/>
      <c r="I42" s="14"/>
      <c r="J42" s="14"/>
      <c r="K42" s="14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</row>
    <row r="43" spans="1:32">
      <c r="C43" s="17" t="s">
        <v>809</v>
      </c>
      <c r="E43" s="3" t="s">
        <v>29</v>
      </c>
      <c r="L43" s="27">
        <f t="shared" ref="L43:AE43" si="2">SUM(L33:L41)*(L$14="")+L$14</f>
        <v>0</v>
      </c>
      <c r="M43" s="27">
        <f t="shared" si="2"/>
        <v>0</v>
      </c>
      <c r="N43" s="27">
        <f t="shared" si="2"/>
        <v>0</v>
      </c>
      <c r="O43" s="27">
        <f t="shared" si="2"/>
        <v>0</v>
      </c>
      <c r="P43" s="27">
        <f t="shared" si="2"/>
        <v>67550</v>
      </c>
      <c r="Q43" s="27">
        <f t="shared" si="2"/>
        <v>63729.001000000004</v>
      </c>
      <c r="R43" s="27">
        <f t="shared" si="2"/>
        <v>57908.999999999993</v>
      </c>
      <c r="S43" s="27">
        <f t="shared" si="2"/>
        <v>70233</v>
      </c>
      <c r="T43" s="27">
        <f t="shared" si="2"/>
        <v>72907</v>
      </c>
      <c r="U43" s="27">
        <f t="shared" si="2"/>
        <v>75588</v>
      </c>
      <c r="V43" s="27">
        <f t="shared" si="2"/>
        <v>0</v>
      </c>
      <c r="W43" s="27">
        <f t="shared" si="2"/>
        <v>0</v>
      </c>
      <c r="X43" s="27">
        <f t="shared" si="2"/>
        <v>0</v>
      </c>
      <c r="Y43" s="27">
        <f t="shared" si="2"/>
        <v>0</v>
      </c>
      <c r="Z43" s="27">
        <f t="shared" si="2"/>
        <v>0</v>
      </c>
      <c r="AA43" s="27">
        <f t="shared" si="2"/>
        <v>0</v>
      </c>
      <c r="AB43" s="27">
        <f t="shared" si="2"/>
        <v>0</v>
      </c>
      <c r="AC43" s="27">
        <f t="shared" si="2"/>
        <v>0</v>
      </c>
      <c r="AD43" s="27">
        <f t="shared" si="2"/>
        <v>0</v>
      </c>
      <c r="AE43" s="27">
        <f t="shared" si="2"/>
        <v>0</v>
      </c>
    </row>
    <row r="44" spans="1:32">
      <c r="C44" s="39" t="s">
        <v>810</v>
      </c>
      <c r="E44" s="39" t="s">
        <v>29</v>
      </c>
      <c r="F44" s="39"/>
      <c r="G44" s="39"/>
      <c r="L44" s="150">
        <f t="shared" ref="L44:AE44" si="3">L15</f>
        <v>0</v>
      </c>
      <c r="M44" s="150">
        <f t="shared" si="3"/>
        <v>0</v>
      </c>
      <c r="N44" s="150">
        <f t="shared" si="3"/>
        <v>0</v>
      </c>
      <c r="O44" s="150">
        <f t="shared" si="3"/>
        <v>0</v>
      </c>
      <c r="P44" s="150">
        <f t="shared" si="3"/>
        <v>13466</v>
      </c>
      <c r="Q44" s="150">
        <f t="shared" si="3"/>
        <v>13121</v>
      </c>
      <c r="R44" s="150">
        <f t="shared" si="3"/>
        <v>12941</v>
      </c>
      <c r="S44" s="150">
        <f t="shared" si="3"/>
        <v>14256</v>
      </c>
      <c r="T44" s="150">
        <f t="shared" si="3"/>
        <v>14082</v>
      </c>
      <c r="U44" s="150">
        <f t="shared" si="3"/>
        <v>13657</v>
      </c>
      <c r="V44" s="150">
        <f t="shared" si="3"/>
        <v>0</v>
      </c>
      <c r="W44" s="150">
        <f t="shared" si="3"/>
        <v>0</v>
      </c>
      <c r="X44" s="150">
        <f t="shared" si="3"/>
        <v>0</v>
      </c>
      <c r="Y44" s="150">
        <f t="shared" si="3"/>
        <v>0</v>
      </c>
      <c r="Z44" s="150">
        <f t="shared" si="3"/>
        <v>0</v>
      </c>
      <c r="AA44" s="150">
        <f t="shared" si="3"/>
        <v>0</v>
      </c>
      <c r="AB44" s="150">
        <f t="shared" si="3"/>
        <v>0</v>
      </c>
      <c r="AC44" s="150">
        <f t="shared" si="3"/>
        <v>0</v>
      </c>
      <c r="AD44" s="150">
        <f t="shared" si="3"/>
        <v>0</v>
      </c>
      <c r="AE44" s="150">
        <f t="shared" si="3"/>
        <v>0</v>
      </c>
    </row>
    <row r="45" spans="1:32" customFormat="1" ht="10.9" customHeight="1">
      <c r="A45" s="151"/>
      <c r="B45" s="151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</row>
    <row r="46" spans="1:32" customFormat="1" ht="10.9" customHeight="1" thickBot="1">
      <c r="A46" s="151"/>
      <c r="B46" s="151"/>
      <c r="C46" s="6" t="s">
        <v>811</v>
      </c>
      <c r="D46" s="7"/>
      <c r="E46" s="7"/>
      <c r="F46" s="7"/>
      <c r="G46" s="7"/>
      <c r="H46" s="7"/>
      <c r="I46" s="7"/>
      <c r="J46" s="7"/>
      <c r="K46" s="22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151"/>
    </row>
    <row r="47" spans="1:32" customFormat="1" ht="10.9" customHeight="1">
      <c r="A47" s="151"/>
      <c r="B47" s="151"/>
      <c r="C47" s="3" t="str">
        <f t="shared" ref="C47:C55" si="4">C33</f>
        <v>ATCO</v>
      </c>
      <c r="D47" s="3"/>
      <c r="E47" s="3" t="s">
        <v>29</v>
      </c>
      <c r="F47" s="3"/>
      <c r="G47" s="3"/>
      <c r="H47" s="3"/>
      <c r="I47" s="3"/>
      <c r="J47" s="3"/>
      <c r="K47" s="156"/>
      <c r="L47" s="210">
        <f t="shared" ref="L47:AE47" si="5">IFERROR(1000*L33/L18,0)</f>
        <v>0</v>
      </c>
      <c r="M47" s="210">
        <f t="shared" si="5"/>
        <v>0</v>
      </c>
      <c r="N47" s="210">
        <f t="shared" si="5"/>
        <v>0</v>
      </c>
      <c r="O47" s="210">
        <f t="shared" si="5"/>
        <v>0</v>
      </c>
      <c r="P47" s="210">
        <f t="shared" si="5"/>
        <v>137767.70226537218</v>
      </c>
      <c r="Q47" s="210">
        <f t="shared" si="5"/>
        <v>138758.50830564785</v>
      </c>
      <c r="R47" s="210">
        <f t="shared" si="5"/>
        <v>129648.13745704468</v>
      </c>
      <c r="S47" s="210">
        <f t="shared" si="5"/>
        <v>141170.67333333334</v>
      </c>
      <c r="T47" s="210">
        <f t="shared" si="5"/>
        <v>140788.07073954985</v>
      </c>
      <c r="U47" s="210">
        <f t="shared" si="5"/>
        <v>139092</v>
      </c>
      <c r="V47" s="210">
        <f t="shared" si="5"/>
        <v>0</v>
      </c>
      <c r="W47" s="210">
        <f t="shared" si="5"/>
        <v>0</v>
      </c>
      <c r="X47" s="210">
        <f t="shared" si="5"/>
        <v>0</v>
      </c>
      <c r="Y47" s="210">
        <f t="shared" si="5"/>
        <v>0</v>
      </c>
      <c r="Z47" s="210">
        <f t="shared" si="5"/>
        <v>0</v>
      </c>
      <c r="AA47" s="210">
        <f t="shared" si="5"/>
        <v>0</v>
      </c>
      <c r="AB47" s="210">
        <f t="shared" si="5"/>
        <v>0</v>
      </c>
      <c r="AC47" s="210">
        <f t="shared" si="5"/>
        <v>0</v>
      </c>
      <c r="AD47" s="210">
        <f t="shared" si="5"/>
        <v>0</v>
      </c>
      <c r="AE47" s="210">
        <f t="shared" si="5"/>
        <v>0</v>
      </c>
      <c r="AF47" s="151"/>
    </row>
    <row r="48" spans="1:32" customFormat="1" ht="10.9" customHeight="1">
      <c r="A48" s="151"/>
      <c r="B48" s="1127"/>
      <c r="C48" s="3" t="str">
        <f t="shared" si="4"/>
        <v>Corporate Services</v>
      </c>
      <c r="D48" s="3"/>
      <c r="E48" s="3" t="s">
        <v>29</v>
      </c>
      <c r="F48" s="3"/>
      <c r="G48" s="3"/>
      <c r="H48" s="3"/>
      <c r="I48" s="3"/>
      <c r="J48" s="3"/>
      <c r="K48" s="156"/>
      <c r="L48" s="210">
        <f t="shared" ref="L48:AE48" si="6">IFERROR(1000*L34/L19,0)</f>
        <v>0</v>
      </c>
      <c r="M48" s="210">
        <f t="shared" si="6"/>
        <v>0</v>
      </c>
      <c r="N48" s="210">
        <f t="shared" si="6"/>
        <v>0</v>
      </c>
      <c r="O48" s="210">
        <f t="shared" si="6"/>
        <v>0</v>
      </c>
      <c r="P48" s="210">
        <f t="shared" si="6"/>
        <v>67760.426470588238</v>
      </c>
      <c r="Q48" s="210">
        <f t="shared" si="6"/>
        <v>66483.287878787873</v>
      </c>
      <c r="R48" s="210">
        <f t="shared" si="6"/>
        <v>63542.938461538462</v>
      </c>
      <c r="S48" s="210">
        <f t="shared" si="6"/>
        <v>70546.877192982458</v>
      </c>
      <c r="T48" s="210">
        <f t="shared" si="6"/>
        <v>71806.929824561405</v>
      </c>
      <c r="U48" s="210">
        <f t="shared" si="6"/>
        <v>73209.68421052632</v>
      </c>
      <c r="V48" s="210">
        <f t="shared" si="6"/>
        <v>0</v>
      </c>
      <c r="W48" s="210">
        <f t="shared" si="6"/>
        <v>0</v>
      </c>
      <c r="X48" s="210">
        <f t="shared" si="6"/>
        <v>0</v>
      </c>
      <c r="Y48" s="210">
        <f t="shared" si="6"/>
        <v>0</v>
      </c>
      <c r="Z48" s="210">
        <f t="shared" si="6"/>
        <v>0</v>
      </c>
      <c r="AA48" s="210">
        <f t="shared" si="6"/>
        <v>0</v>
      </c>
      <c r="AB48" s="210">
        <f t="shared" si="6"/>
        <v>0</v>
      </c>
      <c r="AC48" s="210">
        <f t="shared" si="6"/>
        <v>0</v>
      </c>
      <c r="AD48" s="210">
        <f t="shared" si="6"/>
        <v>0</v>
      </c>
      <c r="AE48" s="210">
        <f t="shared" si="6"/>
        <v>0</v>
      </c>
      <c r="AF48" s="151"/>
    </row>
    <row r="49" spans="1:32" customFormat="1" ht="10.9" customHeight="1">
      <c r="A49" s="151"/>
      <c r="B49" s="151"/>
      <c r="C49" s="3" t="str">
        <f t="shared" si="4"/>
        <v>Data Assistant</v>
      </c>
      <c r="D49" s="3"/>
      <c r="E49" s="3" t="s">
        <v>29</v>
      </c>
      <c r="F49" s="3"/>
      <c r="G49" s="3"/>
      <c r="H49" s="3"/>
      <c r="I49" s="3"/>
      <c r="J49" s="3"/>
      <c r="K49" s="156"/>
      <c r="L49" s="210">
        <f t="shared" ref="L49:AE49" si="7">IFERROR(1000*L35/L20,0)</f>
        <v>0</v>
      </c>
      <c r="M49" s="210">
        <f t="shared" si="7"/>
        <v>0</v>
      </c>
      <c r="N49" s="210">
        <f t="shared" si="7"/>
        <v>0</v>
      </c>
      <c r="O49" s="210">
        <f t="shared" si="7"/>
        <v>0</v>
      </c>
      <c r="P49" s="210">
        <f t="shared" si="7"/>
        <v>68140.230769230766</v>
      </c>
      <c r="Q49" s="210">
        <f t="shared" si="7"/>
        <v>66840.58974358975</v>
      </c>
      <c r="R49" s="210">
        <f t="shared" si="7"/>
        <v>63977.07894736842</v>
      </c>
      <c r="S49" s="210">
        <f t="shared" si="7"/>
        <v>70911.263157894733</v>
      </c>
      <c r="T49" s="210">
        <f t="shared" si="7"/>
        <v>72151.105263157893</v>
      </c>
      <c r="U49" s="210">
        <f t="shared" si="7"/>
        <v>73541.210526315786</v>
      </c>
      <c r="V49" s="210">
        <f t="shared" si="7"/>
        <v>0</v>
      </c>
      <c r="W49" s="210">
        <f t="shared" si="7"/>
        <v>0</v>
      </c>
      <c r="X49" s="210">
        <f t="shared" si="7"/>
        <v>0</v>
      </c>
      <c r="Y49" s="210">
        <f t="shared" si="7"/>
        <v>0</v>
      </c>
      <c r="Z49" s="210">
        <f t="shared" si="7"/>
        <v>0</v>
      </c>
      <c r="AA49" s="210">
        <f t="shared" si="7"/>
        <v>0</v>
      </c>
      <c r="AB49" s="210">
        <f t="shared" si="7"/>
        <v>0</v>
      </c>
      <c r="AC49" s="210">
        <f t="shared" si="7"/>
        <v>0</v>
      </c>
      <c r="AD49" s="210">
        <f t="shared" si="7"/>
        <v>0</v>
      </c>
      <c r="AE49" s="210">
        <f t="shared" si="7"/>
        <v>0</v>
      </c>
      <c r="AF49" s="151"/>
    </row>
    <row r="50" spans="1:32" customFormat="1" ht="10.9" customHeight="1">
      <c r="A50" s="151"/>
      <c r="B50" s="151"/>
      <c r="C50" s="3" t="str">
        <f t="shared" si="4"/>
        <v>Engineer</v>
      </c>
      <c r="D50" s="3"/>
      <c r="E50" s="3" t="s">
        <v>29</v>
      </c>
      <c r="F50" s="3"/>
      <c r="G50" s="3"/>
      <c r="H50" s="3"/>
      <c r="I50" s="3"/>
      <c r="J50" s="3"/>
      <c r="K50" s="156"/>
      <c r="L50" s="210">
        <f t="shared" ref="L50:AE50" si="8">IFERROR(1000*L36/L21,0)</f>
        <v>0</v>
      </c>
      <c r="M50" s="210">
        <f t="shared" si="8"/>
        <v>0</v>
      </c>
      <c r="N50" s="210">
        <f t="shared" si="8"/>
        <v>0</v>
      </c>
      <c r="O50" s="210">
        <f t="shared" si="8"/>
        <v>0</v>
      </c>
      <c r="P50" s="210">
        <f t="shared" si="8"/>
        <v>121068.13888888889</v>
      </c>
      <c r="Q50" s="210">
        <f t="shared" si="8"/>
        <v>118780.49315068492</v>
      </c>
      <c r="R50" s="210">
        <f t="shared" si="8"/>
        <v>113562.05952380953</v>
      </c>
      <c r="S50" s="210">
        <f t="shared" si="8"/>
        <v>126035.02222222222</v>
      </c>
      <c r="T50" s="210">
        <f t="shared" si="8"/>
        <v>128276.10752688172</v>
      </c>
      <c r="U50" s="210">
        <f t="shared" si="8"/>
        <v>130774.70212765958</v>
      </c>
      <c r="V50" s="210">
        <f t="shared" si="8"/>
        <v>0</v>
      </c>
      <c r="W50" s="210">
        <f t="shared" si="8"/>
        <v>0</v>
      </c>
      <c r="X50" s="210">
        <f t="shared" si="8"/>
        <v>0</v>
      </c>
      <c r="Y50" s="210">
        <f t="shared" si="8"/>
        <v>0</v>
      </c>
      <c r="Z50" s="210">
        <f t="shared" si="8"/>
        <v>0</v>
      </c>
      <c r="AA50" s="210">
        <f t="shared" si="8"/>
        <v>0</v>
      </c>
      <c r="AB50" s="210">
        <f t="shared" si="8"/>
        <v>0</v>
      </c>
      <c r="AC50" s="210">
        <f t="shared" si="8"/>
        <v>0</v>
      </c>
      <c r="AD50" s="210">
        <f t="shared" si="8"/>
        <v>0</v>
      </c>
      <c r="AE50" s="210">
        <f t="shared" si="8"/>
        <v>0</v>
      </c>
      <c r="AF50" s="151"/>
    </row>
    <row r="51" spans="1:32" customFormat="1" ht="10.9" customHeight="1">
      <c r="A51" s="151"/>
      <c r="B51" s="151"/>
      <c r="C51" s="3" t="str">
        <f t="shared" si="4"/>
        <v>Op Mgt Supp</v>
      </c>
      <c r="D51" s="3"/>
      <c r="E51" s="3" t="s">
        <v>29</v>
      </c>
      <c r="F51" s="3"/>
      <c r="G51" s="3"/>
      <c r="H51" s="3"/>
      <c r="I51" s="3"/>
      <c r="J51" s="3"/>
      <c r="K51" s="156"/>
      <c r="L51" s="210">
        <f t="shared" ref="L51:AE51" si="9">IFERROR(1000*L37/L22,0)</f>
        <v>0</v>
      </c>
      <c r="M51" s="210">
        <f t="shared" si="9"/>
        <v>0</v>
      </c>
      <c r="N51" s="210">
        <f t="shared" si="9"/>
        <v>0</v>
      </c>
      <c r="O51" s="210">
        <f t="shared" si="9"/>
        <v>0</v>
      </c>
      <c r="P51" s="210">
        <f t="shared" si="9"/>
        <v>118794.93333333333</v>
      </c>
      <c r="Q51" s="210">
        <f t="shared" si="9"/>
        <v>116556.66666666667</v>
      </c>
      <c r="R51" s="210">
        <f t="shared" si="9"/>
        <v>111397.078125</v>
      </c>
      <c r="S51" s="210">
        <f t="shared" si="9"/>
        <v>123681.55882352941</v>
      </c>
      <c r="T51" s="210">
        <f t="shared" si="9"/>
        <v>126804.27536231885</v>
      </c>
      <c r="U51" s="210">
        <f t="shared" si="9"/>
        <v>129282.37681159421</v>
      </c>
      <c r="V51" s="210">
        <f t="shared" si="9"/>
        <v>0</v>
      </c>
      <c r="W51" s="210">
        <f t="shared" si="9"/>
        <v>0</v>
      </c>
      <c r="X51" s="210">
        <f t="shared" si="9"/>
        <v>0</v>
      </c>
      <c r="Y51" s="210">
        <f t="shared" si="9"/>
        <v>0</v>
      </c>
      <c r="Z51" s="210">
        <f t="shared" si="9"/>
        <v>0</v>
      </c>
      <c r="AA51" s="210">
        <f t="shared" si="9"/>
        <v>0</v>
      </c>
      <c r="AB51" s="210">
        <f t="shared" si="9"/>
        <v>0</v>
      </c>
      <c r="AC51" s="210">
        <f t="shared" si="9"/>
        <v>0</v>
      </c>
      <c r="AD51" s="210">
        <f t="shared" si="9"/>
        <v>0</v>
      </c>
      <c r="AE51" s="210">
        <f t="shared" si="9"/>
        <v>0</v>
      </c>
      <c r="AF51" s="151"/>
    </row>
    <row r="52" spans="1:32" customFormat="1" ht="10.9" customHeight="1">
      <c r="A52" s="151"/>
      <c r="B52" s="151"/>
      <c r="C52" s="3" t="str">
        <f t="shared" si="4"/>
        <v>EWSS</v>
      </c>
      <c r="D52" s="3"/>
      <c r="E52" s="3" t="s">
        <v>29</v>
      </c>
      <c r="F52" s="3"/>
      <c r="G52" s="3"/>
      <c r="H52" s="3"/>
      <c r="I52" s="3"/>
      <c r="J52" s="3"/>
      <c r="K52" s="156"/>
      <c r="L52" s="210">
        <f t="shared" ref="L52:AE52" si="10">IFERROR(1000*L38/L23,0)</f>
        <v>0</v>
      </c>
      <c r="M52" s="210">
        <f t="shared" si="10"/>
        <v>0</v>
      </c>
      <c r="N52" s="210">
        <f t="shared" si="10"/>
        <v>0</v>
      </c>
      <c r="O52" s="210">
        <f t="shared" si="10"/>
        <v>0</v>
      </c>
      <c r="P52" s="210">
        <f t="shared" si="10"/>
        <v>0</v>
      </c>
      <c r="Q52" s="210">
        <f t="shared" si="10"/>
        <v>0</v>
      </c>
      <c r="R52" s="210">
        <f t="shared" si="10"/>
        <v>0</v>
      </c>
      <c r="S52" s="210">
        <f t="shared" si="10"/>
        <v>0</v>
      </c>
      <c r="T52" s="210">
        <f t="shared" si="10"/>
        <v>0</v>
      </c>
      <c r="U52" s="210">
        <f t="shared" si="10"/>
        <v>0</v>
      </c>
      <c r="V52" s="210">
        <f t="shared" si="10"/>
        <v>0</v>
      </c>
      <c r="W52" s="210">
        <f t="shared" si="10"/>
        <v>0</v>
      </c>
      <c r="X52" s="210">
        <f t="shared" si="10"/>
        <v>0</v>
      </c>
      <c r="Y52" s="210">
        <f t="shared" si="10"/>
        <v>0</v>
      </c>
      <c r="Z52" s="210">
        <f t="shared" si="10"/>
        <v>0</v>
      </c>
      <c r="AA52" s="210">
        <f t="shared" si="10"/>
        <v>0</v>
      </c>
      <c r="AB52" s="210">
        <f t="shared" si="10"/>
        <v>0</v>
      </c>
      <c r="AC52" s="210">
        <f t="shared" si="10"/>
        <v>0</v>
      </c>
      <c r="AD52" s="210">
        <f t="shared" si="10"/>
        <v>0</v>
      </c>
      <c r="AE52" s="210">
        <f t="shared" si="10"/>
        <v>0</v>
      </c>
      <c r="AF52" s="151"/>
    </row>
    <row r="53" spans="1:32" customFormat="1" ht="10.9" customHeight="1">
      <c r="A53" s="151"/>
      <c r="B53" s="151"/>
      <c r="C53" s="3" t="str">
        <f t="shared" si="4"/>
        <v>Overtime</v>
      </c>
      <c r="D53" s="3"/>
      <c r="E53" s="3" t="s">
        <v>29</v>
      </c>
      <c r="F53" s="3"/>
      <c r="G53" s="3"/>
      <c r="H53" s="3"/>
      <c r="I53" s="3"/>
      <c r="J53" s="3"/>
      <c r="K53" s="156"/>
      <c r="L53" s="210">
        <f t="shared" ref="L53:AE53" si="11">IFERROR(1000*L39/L24,0)</f>
        <v>0</v>
      </c>
      <c r="M53" s="210">
        <f t="shared" si="11"/>
        <v>0</v>
      </c>
      <c r="N53" s="210">
        <f t="shared" si="11"/>
        <v>0</v>
      </c>
      <c r="O53" s="210">
        <f t="shared" si="11"/>
        <v>0</v>
      </c>
      <c r="P53" s="210">
        <f t="shared" si="11"/>
        <v>0</v>
      </c>
      <c r="Q53" s="210">
        <f t="shared" si="11"/>
        <v>0</v>
      </c>
      <c r="R53" s="210">
        <f t="shared" si="11"/>
        <v>0</v>
      </c>
      <c r="S53" s="210">
        <f t="shared" si="11"/>
        <v>0</v>
      </c>
      <c r="T53" s="210">
        <f t="shared" si="11"/>
        <v>0</v>
      </c>
      <c r="U53" s="210">
        <f t="shared" si="11"/>
        <v>0</v>
      </c>
      <c r="V53" s="210">
        <f t="shared" si="11"/>
        <v>0</v>
      </c>
      <c r="W53" s="210">
        <f t="shared" si="11"/>
        <v>0</v>
      </c>
      <c r="X53" s="210">
        <f t="shared" si="11"/>
        <v>0</v>
      </c>
      <c r="Y53" s="210">
        <f t="shared" si="11"/>
        <v>0</v>
      </c>
      <c r="Z53" s="210">
        <f t="shared" si="11"/>
        <v>0</v>
      </c>
      <c r="AA53" s="210">
        <f t="shared" si="11"/>
        <v>0</v>
      </c>
      <c r="AB53" s="210">
        <f t="shared" si="11"/>
        <v>0</v>
      </c>
      <c r="AC53" s="210">
        <f t="shared" si="11"/>
        <v>0</v>
      </c>
      <c r="AD53" s="210">
        <f t="shared" si="11"/>
        <v>0</v>
      </c>
      <c r="AE53" s="210">
        <f t="shared" si="11"/>
        <v>0</v>
      </c>
      <c r="AF53" s="151"/>
    </row>
    <row r="54" spans="1:32" customFormat="1" ht="10.9" customHeight="1">
      <c r="A54" s="151"/>
      <c r="B54" s="151"/>
      <c r="C54" s="3" t="str">
        <f t="shared" si="4"/>
        <v>&lt;&lt; add staff category &gt;&gt;</v>
      </c>
      <c r="D54" s="3"/>
      <c r="E54" s="3" t="s">
        <v>29</v>
      </c>
      <c r="F54" s="3"/>
      <c r="G54" s="3"/>
      <c r="H54" s="3"/>
      <c r="I54" s="3"/>
      <c r="J54" s="3"/>
      <c r="K54" s="156"/>
      <c r="L54" s="210">
        <f t="shared" ref="L54:AE54" si="12">IFERROR(1000*L40/L25,0)</f>
        <v>0</v>
      </c>
      <c r="M54" s="210">
        <f t="shared" si="12"/>
        <v>0</v>
      </c>
      <c r="N54" s="210">
        <f t="shared" si="12"/>
        <v>0</v>
      </c>
      <c r="O54" s="210">
        <f t="shared" si="12"/>
        <v>0</v>
      </c>
      <c r="P54" s="210">
        <f t="shared" si="12"/>
        <v>0</v>
      </c>
      <c r="Q54" s="210">
        <f t="shared" si="12"/>
        <v>0</v>
      </c>
      <c r="R54" s="210">
        <f t="shared" si="12"/>
        <v>0</v>
      </c>
      <c r="S54" s="210">
        <f t="shared" si="12"/>
        <v>0</v>
      </c>
      <c r="T54" s="210">
        <f t="shared" si="12"/>
        <v>0</v>
      </c>
      <c r="U54" s="210">
        <f t="shared" si="12"/>
        <v>0</v>
      </c>
      <c r="V54" s="210">
        <f t="shared" si="12"/>
        <v>0</v>
      </c>
      <c r="W54" s="210">
        <f t="shared" si="12"/>
        <v>0</v>
      </c>
      <c r="X54" s="210">
        <f t="shared" si="12"/>
        <v>0</v>
      </c>
      <c r="Y54" s="210">
        <f t="shared" si="12"/>
        <v>0</v>
      </c>
      <c r="Z54" s="210">
        <f t="shared" si="12"/>
        <v>0</v>
      </c>
      <c r="AA54" s="210">
        <f t="shared" si="12"/>
        <v>0</v>
      </c>
      <c r="AB54" s="210">
        <f t="shared" si="12"/>
        <v>0</v>
      </c>
      <c r="AC54" s="210">
        <f t="shared" si="12"/>
        <v>0</v>
      </c>
      <c r="AD54" s="210">
        <f t="shared" si="12"/>
        <v>0</v>
      </c>
      <c r="AE54" s="210">
        <f t="shared" si="12"/>
        <v>0</v>
      </c>
      <c r="AF54" s="151"/>
    </row>
    <row r="55" spans="1:32" customFormat="1" ht="10.9" customHeight="1">
      <c r="A55" s="151"/>
      <c r="B55" s="151"/>
      <c r="C55" s="3" t="str">
        <f t="shared" si="4"/>
        <v>&lt;&lt; add staff category &gt;&gt;</v>
      </c>
      <c r="D55" s="3"/>
      <c r="E55" s="3" t="s">
        <v>29</v>
      </c>
      <c r="F55" s="3"/>
      <c r="G55" s="3"/>
      <c r="H55" s="3"/>
      <c r="I55" s="3"/>
      <c r="J55" s="3"/>
      <c r="K55" s="156"/>
      <c r="L55" s="210">
        <f t="shared" ref="L55:AE55" si="13">IFERROR(1000*L41/L26,0)</f>
        <v>0</v>
      </c>
      <c r="M55" s="210">
        <f t="shared" si="13"/>
        <v>0</v>
      </c>
      <c r="N55" s="210">
        <f t="shared" si="13"/>
        <v>0</v>
      </c>
      <c r="O55" s="210">
        <f t="shared" si="13"/>
        <v>0</v>
      </c>
      <c r="P55" s="210">
        <f t="shared" si="13"/>
        <v>0</v>
      </c>
      <c r="Q55" s="210">
        <f t="shared" si="13"/>
        <v>0</v>
      </c>
      <c r="R55" s="210">
        <f t="shared" si="13"/>
        <v>0</v>
      </c>
      <c r="S55" s="210">
        <f t="shared" si="13"/>
        <v>0</v>
      </c>
      <c r="T55" s="210">
        <f t="shared" si="13"/>
        <v>0</v>
      </c>
      <c r="U55" s="210">
        <f t="shared" si="13"/>
        <v>0</v>
      </c>
      <c r="V55" s="210">
        <f t="shared" si="13"/>
        <v>0</v>
      </c>
      <c r="W55" s="210">
        <f t="shared" si="13"/>
        <v>0</v>
      </c>
      <c r="X55" s="210">
        <f t="shared" si="13"/>
        <v>0</v>
      </c>
      <c r="Y55" s="210">
        <f t="shared" si="13"/>
        <v>0</v>
      </c>
      <c r="Z55" s="210">
        <f t="shared" si="13"/>
        <v>0</v>
      </c>
      <c r="AA55" s="210">
        <f t="shared" si="13"/>
        <v>0</v>
      </c>
      <c r="AB55" s="210">
        <f t="shared" si="13"/>
        <v>0</v>
      </c>
      <c r="AC55" s="210">
        <f t="shared" si="13"/>
        <v>0</v>
      </c>
      <c r="AD55" s="210">
        <f t="shared" si="13"/>
        <v>0</v>
      </c>
      <c r="AE55" s="210">
        <f t="shared" si="13"/>
        <v>0</v>
      </c>
      <c r="AF55" s="151"/>
    </row>
    <row r="56" spans="1:32" customFormat="1" ht="10.9" customHeight="1">
      <c r="A56" s="151"/>
      <c r="B56" s="151"/>
      <c r="C56" s="14"/>
      <c r="D56" s="14"/>
      <c r="E56" s="14"/>
      <c r="F56" s="14"/>
      <c r="G56" s="14"/>
      <c r="H56" s="14"/>
      <c r="I56" s="14"/>
      <c r="J56" s="14"/>
      <c r="K56" s="14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151"/>
    </row>
    <row r="57" spans="1:32" customFormat="1" ht="10.9" customHeight="1">
      <c r="A57" s="151"/>
      <c r="B57" s="151"/>
      <c r="C57" s="17" t="s">
        <v>809</v>
      </c>
      <c r="D57" s="3"/>
      <c r="E57" s="3" t="s">
        <v>29</v>
      </c>
      <c r="F57" s="3"/>
      <c r="G57" s="3"/>
      <c r="H57" s="3"/>
      <c r="I57" s="3"/>
      <c r="J57" s="3"/>
      <c r="K57" s="3"/>
      <c r="L57" s="27">
        <f t="shared" ref="L57:AE57" si="14">IFERROR(1000*L43/L30,0)</f>
        <v>0</v>
      </c>
      <c r="M57" s="27">
        <f t="shared" si="14"/>
        <v>0</v>
      </c>
      <c r="N57" s="27">
        <f t="shared" si="14"/>
        <v>0</v>
      </c>
      <c r="O57" s="27">
        <f t="shared" si="14"/>
        <v>0</v>
      </c>
      <c r="P57" s="27">
        <f t="shared" si="14"/>
        <v>123266.42335766423</v>
      </c>
      <c r="Q57" s="27">
        <f t="shared" si="14"/>
        <v>118235.62337662339</v>
      </c>
      <c r="R57" s="27">
        <f t="shared" si="14"/>
        <v>106843.17343173431</v>
      </c>
      <c r="S57" s="27">
        <f t="shared" si="14"/>
        <v>127003.61663652802</v>
      </c>
      <c r="T57" s="27">
        <f t="shared" si="14"/>
        <v>128357.39436619719</v>
      </c>
      <c r="U57" s="27">
        <f t="shared" si="14"/>
        <v>128989.76109215018</v>
      </c>
      <c r="V57" s="27">
        <f t="shared" si="14"/>
        <v>0</v>
      </c>
      <c r="W57" s="27">
        <f t="shared" si="14"/>
        <v>0</v>
      </c>
      <c r="X57" s="27">
        <f t="shared" si="14"/>
        <v>0</v>
      </c>
      <c r="Y57" s="27">
        <f t="shared" si="14"/>
        <v>0</v>
      </c>
      <c r="Z57" s="27">
        <f t="shared" si="14"/>
        <v>0</v>
      </c>
      <c r="AA57" s="27">
        <f t="shared" si="14"/>
        <v>0</v>
      </c>
      <c r="AB57" s="27">
        <f t="shared" si="14"/>
        <v>0</v>
      </c>
      <c r="AC57" s="27">
        <f t="shared" si="14"/>
        <v>0</v>
      </c>
      <c r="AD57" s="27">
        <f t="shared" si="14"/>
        <v>0</v>
      </c>
      <c r="AE57" s="27">
        <f t="shared" si="14"/>
        <v>0</v>
      </c>
      <c r="AF57" s="151"/>
    </row>
    <row r="58" spans="1:32" customFormat="1" ht="10.9" customHeight="1">
      <c r="A58" s="151"/>
      <c r="B58" s="151"/>
      <c r="C58" s="39" t="s">
        <v>810</v>
      </c>
      <c r="D58" s="3"/>
      <c r="E58" s="39" t="s">
        <v>29</v>
      </c>
      <c r="F58" s="39"/>
      <c r="G58" s="39"/>
      <c r="H58" s="3"/>
      <c r="I58" s="3"/>
      <c r="J58" s="3"/>
      <c r="K58" s="3"/>
      <c r="L58" s="150">
        <f t="shared" ref="L58:AE58" si="15">IFERROR(1000*L15/L30,0)</f>
        <v>0</v>
      </c>
      <c r="M58" s="150">
        <f t="shared" si="15"/>
        <v>0</v>
      </c>
      <c r="N58" s="150">
        <f t="shared" si="15"/>
        <v>0</v>
      </c>
      <c r="O58" s="150">
        <f t="shared" si="15"/>
        <v>0</v>
      </c>
      <c r="P58" s="150">
        <f t="shared" si="15"/>
        <v>24572.992700729927</v>
      </c>
      <c r="Q58" s="150">
        <f t="shared" si="15"/>
        <v>24343.228200371057</v>
      </c>
      <c r="R58" s="150">
        <f t="shared" si="15"/>
        <v>23876.383763837639</v>
      </c>
      <c r="S58" s="150">
        <f t="shared" si="15"/>
        <v>25779.385171790236</v>
      </c>
      <c r="T58" s="150">
        <f t="shared" si="15"/>
        <v>24792.25352112676</v>
      </c>
      <c r="U58" s="150">
        <f t="shared" si="15"/>
        <v>23305.460750853243</v>
      </c>
      <c r="V58" s="150">
        <f t="shared" si="15"/>
        <v>0</v>
      </c>
      <c r="W58" s="150">
        <f t="shared" si="15"/>
        <v>0</v>
      </c>
      <c r="X58" s="150">
        <f t="shared" si="15"/>
        <v>0</v>
      </c>
      <c r="Y58" s="150">
        <f t="shared" si="15"/>
        <v>0</v>
      </c>
      <c r="Z58" s="150">
        <f t="shared" si="15"/>
        <v>0</v>
      </c>
      <c r="AA58" s="150">
        <f t="shared" si="15"/>
        <v>0</v>
      </c>
      <c r="AB58" s="150">
        <f t="shared" si="15"/>
        <v>0</v>
      </c>
      <c r="AC58" s="150">
        <f t="shared" si="15"/>
        <v>0</v>
      </c>
      <c r="AD58" s="150">
        <f t="shared" si="15"/>
        <v>0</v>
      </c>
      <c r="AE58" s="150">
        <f t="shared" si="15"/>
        <v>0</v>
      </c>
      <c r="AF58" s="151"/>
    </row>
    <row r="59" spans="1:32" customFormat="1" ht="10.9" customHeight="1">
      <c r="A59" s="151"/>
      <c r="B59" s="151"/>
      <c r="C59" s="151"/>
      <c r="D59" s="151"/>
      <c r="E59" s="151"/>
      <c r="F59" s="151"/>
      <c r="G59" s="151"/>
      <c r="H59" s="151"/>
      <c r="I59" s="151"/>
      <c r="J59" s="151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</row>
    <row r="60" spans="1:32" customFormat="1" ht="14.5">
      <c r="A60" s="3"/>
      <c r="B60" s="152" t="s">
        <v>150</v>
      </c>
      <c r="C60" s="29"/>
      <c r="D60" s="29"/>
      <c r="E60" s="29"/>
      <c r="F60" s="29"/>
      <c r="G60" s="29"/>
      <c r="H60" s="29"/>
      <c r="I60" s="29"/>
      <c r="J60" s="29"/>
      <c r="K60" s="29"/>
      <c r="L60" s="152" t="s">
        <v>812</v>
      </c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3"/>
    </row>
    <row r="62" spans="1:32">
      <c r="C62" s="6" t="s">
        <v>813</v>
      </c>
      <c r="D62" s="7"/>
      <c r="E62" s="7"/>
      <c r="F62" s="7"/>
      <c r="G62" s="7"/>
      <c r="H62" s="7"/>
      <c r="I62" s="221"/>
      <c r="J62" s="7"/>
      <c r="K62" s="22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</row>
    <row r="63" spans="1:32" outlineLevel="1">
      <c r="C63" s="3" t="str">
        <f>C47</f>
        <v>ATCO</v>
      </c>
      <c r="E63" s="3" t="s">
        <v>29</v>
      </c>
      <c r="K63" s="156"/>
      <c r="L63" s="223">
        <v>0</v>
      </c>
      <c r="M63" s="223">
        <v>0</v>
      </c>
      <c r="N63" s="223">
        <v>0</v>
      </c>
      <c r="O63" s="223">
        <v>0</v>
      </c>
      <c r="P63" s="1599">
        <v>0.85594374537379714</v>
      </c>
      <c r="Q63" s="1599">
        <v>0.85582701752734236</v>
      </c>
      <c r="R63" s="1599">
        <v>0.85648172132138356</v>
      </c>
      <c r="S63" s="1599">
        <v>0.85400025628977827</v>
      </c>
      <c r="T63" s="1599">
        <v>0.85447213573456593</v>
      </c>
      <c r="U63" s="1599">
        <v>0.85577075726305762</v>
      </c>
      <c r="V63" s="1590" t="s">
        <v>814</v>
      </c>
      <c r="W63" s="223">
        <v>0</v>
      </c>
      <c r="X63" s="223">
        <v>0</v>
      </c>
      <c r="Y63" s="223">
        <v>0</v>
      </c>
      <c r="Z63" s="223">
        <v>0</v>
      </c>
      <c r="AA63" s="223">
        <v>0</v>
      </c>
      <c r="AB63" s="223">
        <v>0</v>
      </c>
      <c r="AC63" s="223">
        <v>0</v>
      </c>
      <c r="AD63" s="223">
        <v>0</v>
      </c>
      <c r="AE63" s="223">
        <v>0</v>
      </c>
    </row>
    <row r="64" spans="1:32" outlineLevel="1">
      <c r="C64" s="3" t="str">
        <f t="shared" ref="C64:C71" si="16">C48</f>
        <v>Corporate Services</v>
      </c>
      <c r="E64" s="3" t="s">
        <v>29</v>
      </c>
      <c r="K64" s="156"/>
      <c r="L64" s="223">
        <v>0</v>
      </c>
      <c r="M64" s="223">
        <v>0</v>
      </c>
      <c r="N64" s="223">
        <v>0</v>
      </c>
      <c r="O64" s="223">
        <v>0</v>
      </c>
      <c r="P64" s="1599">
        <v>0.85594374537379714</v>
      </c>
      <c r="Q64" s="1599">
        <v>0.85582701752734236</v>
      </c>
      <c r="R64" s="1599">
        <v>0.85648172132138356</v>
      </c>
      <c r="S64" s="1599">
        <v>0.85400025628977827</v>
      </c>
      <c r="T64" s="1599">
        <v>0.85447213573456593</v>
      </c>
      <c r="U64" s="1599">
        <v>0.85577075726305762</v>
      </c>
      <c r="V64" s="1592" t="s">
        <v>814</v>
      </c>
      <c r="W64" s="223">
        <v>0</v>
      </c>
      <c r="X64" s="223">
        <v>0</v>
      </c>
      <c r="Y64" s="223">
        <v>0</v>
      </c>
      <c r="Z64" s="223">
        <v>0</v>
      </c>
      <c r="AA64" s="223">
        <v>0</v>
      </c>
      <c r="AB64" s="223">
        <v>0</v>
      </c>
      <c r="AC64" s="223">
        <v>0</v>
      </c>
      <c r="AD64" s="223">
        <v>0</v>
      </c>
      <c r="AE64" s="223">
        <v>0</v>
      </c>
    </row>
    <row r="65" spans="3:31" outlineLevel="1">
      <c r="C65" s="3" t="str">
        <f t="shared" si="16"/>
        <v>Data Assistant</v>
      </c>
      <c r="E65" s="3" t="s">
        <v>29</v>
      </c>
      <c r="K65" s="156"/>
      <c r="L65" s="223">
        <v>0</v>
      </c>
      <c r="M65" s="223">
        <v>0</v>
      </c>
      <c r="N65" s="223">
        <v>0</v>
      </c>
      <c r="O65" s="223">
        <v>0</v>
      </c>
      <c r="P65" s="1599">
        <v>0.85594374537379714</v>
      </c>
      <c r="Q65" s="1599">
        <v>0.85582701752734236</v>
      </c>
      <c r="R65" s="1599">
        <v>0.85648172132138356</v>
      </c>
      <c r="S65" s="1599">
        <v>0.85400025628977827</v>
      </c>
      <c r="T65" s="1599">
        <v>0.85447213573456593</v>
      </c>
      <c r="U65" s="1599">
        <v>0.85577075726305762</v>
      </c>
      <c r="V65" s="1592" t="s">
        <v>814</v>
      </c>
      <c r="W65" s="223">
        <v>0</v>
      </c>
      <c r="X65" s="223">
        <v>0</v>
      </c>
      <c r="Y65" s="223">
        <v>0</v>
      </c>
      <c r="Z65" s="223">
        <v>0</v>
      </c>
      <c r="AA65" s="223">
        <v>0</v>
      </c>
      <c r="AB65" s="223">
        <v>0</v>
      </c>
      <c r="AC65" s="223">
        <v>0</v>
      </c>
      <c r="AD65" s="223">
        <v>0</v>
      </c>
      <c r="AE65" s="223">
        <v>0</v>
      </c>
    </row>
    <row r="66" spans="3:31" outlineLevel="1">
      <c r="C66" s="3" t="str">
        <f t="shared" si="16"/>
        <v>Engineer</v>
      </c>
      <c r="E66" s="3" t="s">
        <v>29</v>
      </c>
      <c r="K66" s="156"/>
      <c r="L66" s="223">
        <v>0</v>
      </c>
      <c r="M66" s="223">
        <v>0</v>
      </c>
      <c r="N66" s="223">
        <v>0</v>
      </c>
      <c r="O66" s="223">
        <v>0</v>
      </c>
      <c r="P66" s="1599">
        <v>0.85594374537379714</v>
      </c>
      <c r="Q66" s="1599">
        <v>0.85582701752734236</v>
      </c>
      <c r="R66" s="1599">
        <v>0.85648172132138356</v>
      </c>
      <c r="S66" s="1599">
        <v>0.85400025628977827</v>
      </c>
      <c r="T66" s="1599">
        <v>0.85447213573456593</v>
      </c>
      <c r="U66" s="1599">
        <v>0.85577075726305762</v>
      </c>
      <c r="V66" s="1592" t="s">
        <v>814</v>
      </c>
      <c r="W66" s="223">
        <v>0</v>
      </c>
      <c r="X66" s="223">
        <v>0</v>
      </c>
      <c r="Y66" s="223">
        <v>0</v>
      </c>
      <c r="Z66" s="223">
        <v>0</v>
      </c>
      <c r="AA66" s="223">
        <v>0</v>
      </c>
      <c r="AB66" s="223">
        <v>0</v>
      </c>
      <c r="AC66" s="223">
        <v>0</v>
      </c>
      <c r="AD66" s="223">
        <v>0</v>
      </c>
      <c r="AE66" s="223">
        <v>0</v>
      </c>
    </row>
    <row r="67" spans="3:31" outlineLevel="1">
      <c r="C67" s="3" t="str">
        <f t="shared" si="16"/>
        <v>Op Mgt Supp</v>
      </c>
      <c r="E67" s="3" t="s">
        <v>29</v>
      </c>
      <c r="K67" s="156"/>
      <c r="L67" s="223">
        <v>0</v>
      </c>
      <c r="M67" s="223">
        <v>0</v>
      </c>
      <c r="N67" s="223">
        <v>0</v>
      </c>
      <c r="O67" s="223">
        <v>0</v>
      </c>
      <c r="P67" s="1599">
        <v>0.85594374537379714</v>
      </c>
      <c r="Q67" s="1599">
        <v>0.85582701752734236</v>
      </c>
      <c r="R67" s="1599">
        <v>0.85648172132138356</v>
      </c>
      <c r="S67" s="1599">
        <v>0.85400025628977827</v>
      </c>
      <c r="T67" s="1599">
        <v>0.85447213573456593</v>
      </c>
      <c r="U67" s="1599">
        <v>0.85577075726305762</v>
      </c>
      <c r="V67" s="1592" t="s">
        <v>814</v>
      </c>
      <c r="W67" s="223">
        <v>0</v>
      </c>
      <c r="X67" s="223">
        <v>0</v>
      </c>
      <c r="Y67" s="223">
        <v>0</v>
      </c>
      <c r="Z67" s="223">
        <v>0</v>
      </c>
      <c r="AA67" s="223">
        <v>0</v>
      </c>
      <c r="AB67" s="223">
        <v>0</v>
      </c>
      <c r="AC67" s="223">
        <v>0</v>
      </c>
      <c r="AD67" s="223">
        <v>0</v>
      </c>
      <c r="AE67" s="223">
        <v>0</v>
      </c>
    </row>
    <row r="68" spans="3:31" outlineLevel="1">
      <c r="C68" s="3" t="str">
        <f t="shared" si="16"/>
        <v>EWSS</v>
      </c>
      <c r="E68" s="3" t="s">
        <v>29</v>
      </c>
      <c r="K68" s="156"/>
      <c r="L68" s="223">
        <v>0</v>
      </c>
      <c r="M68" s="223">
        <v>0</v>
      </c>
      <c r="N68" s="223">
        <v>0</v>
      </c>
      <c r="O68" s="223">
        <v>0</v>
      </c>
      <c r="P68" s="1599">
        <v>0.85594374537379714</v>
      </c>
      <c r="Q68" s="1599">
        <v>0.85582701752734236</v>
      </c>
      <c r="R68" s="1599">
        <v>0.85648172132138356</v>
      </c>
      <c r="S68" s="1599">
        <v>0.85400025628977827</v>
      </c>
      <c r="T68" s="1599">
        <v>0.85447213573456593</v>
      </c>
      <c r="U68" s="1599">
        <v>0.85577075726305762</v>
      </c>
      <c r="V68" s="1592" t="s">
        <v>814</v>
      </c>
      <c r="W68" s="223">
        <v>0</v>
      </c>
      <c r="X68" s="223">
        <v>0</v>
      </c>
      <c r="Y68" s="223">
        <v>0</v>
      </c>
      <c r="Z68" s="223">
        <v>0</v>
      </c>
      <c r="AA68" s="223">
        <v>0</v>
      </c>
      <c r="AB68" s="223">
        <v>0</v>
      </c>
      <c r="AC68" s="223">
        <v>0</v>
      </c>
      <c r="AD68" s="223">
        <v>0</v>
      </c>
      <c r="AE68" s="223">
        <v>0</v>
      </c>
    </row>
    <row r="69" spans="3:31" outlineLevel="1">
      <c r="C69" s="3" t="str">
        <f t="shared" si="16"/>
        <v>Overtime</v>
      </c>
      <c r="E69" s="3" t="s">
        <v>29</v>
      </c>
      <c r="K69" s="156"/>
      <c r="L69" s="223">
        <v>0</v>
      </c>
      <c r="M69" s="223">
        <v>0</v>
      </c>
      <c r="N69" s="223">
        <v>0</v>
      </c>
      <c r="O69" s="223">
        <v>0</v>
      </c>
      <c r="P69" s="1599">
        <v>0.85594374537379714</v>
      </c>
      <c r="Q69" s="1599">
        <v>0.85582701752734236</v>
      </c>
      <c r="R69" s="1599">
        <v>0.85648172132138356</v>
      </c>
      <c r="S69" s="1599">
        <v>0.85400025628977827</v>
      </c>
      <c r="T69" s="1599">
        <v>0.85447213573456593</v>
      </c>
      <c r="U69" s="1599">
        <v>0.85577075726305762</v>
      </c>
      <c r="V69" s="1592" t="s">
        <v>814</v>
      </c>
      <c r="W69" s="223">
        <v>0</v>
      </c>
      <c r="X69" s="223">
        <v>0</v>
      </c>
      <c r="Y69" s="223">
        <v>0</v>
      </c>
      <c r="Z69" s="223">
        <v>0</v>
      </c>
      <c r="AA69" s="223">
        <v>0</v>
      </c>
      <c r="AB69" s="223">
        <v>0</v>
      </c>
      <c r="AC69" s="223">
        <v>0</v>
      </c>
      <c r="AD69" s="223">
        <v>0</v>
      </c>
      <c r="AE69" s="223">
        <v>0</v>
      </c>
    </row>
    <row r="70" spans="3:31" outlineLevel="1">
      <c r="C70" s="3" t="str">
        <f t="shared" si="16"/>
        <v>&lt;&lt; add staff category &gt;&gt;</v>
      </c>
      <c r="E70" s="3" t="s">
        <v>29</v>
      </c>
      <c r="K70" s="156"/>
      <c r="L70" s="223">
        <v>0</v>
      </c>
      <c r="M70" s="223">
        <v>0</v>
      </c>
      <c r="N70" s="223">
        <v>0</v>
      </c>
      <c r="O70" s="223">
        <v>0</v>
      </c>
      <c r="P70" s="223">
        <v>0</v>
      </c>
      <c r="Q70" s="223">
        <v>0</v>
      </c>
      <c r="R70" s="223">
        <v>0</v>
      </c>
      <c r="S70" s="223">
        <v>0</v>
      </c>
      <c r="T70" s="223">
        <v>0</v>
      </c>
      <c r="U70" s="223">
        <v>0</v>
      </c>
      <c r="V70" s="223">
        <v>0</v>
      </c>
      <c r="W70" s="223">
        <v>0</v>
      </c>
      <c r="X70" s="223">
        <v>0</v>
      </c>
      <c r="Y70" s="223">
        <v>0</v>
      </c>
      <c r="Z70" s="223">
        <v>0</v>
      </c>
      <c r="AA70" s="223">
        <v>0</v>
      </c>
      <c r="AB70" s="223">
        <v>0</v>
      </c>
      <c r="AC70" s="223">
        <v>0</v>
      </c>
      <c r="AD70" s="223">
        <v>0</v>
      </c>
      <c r="AE70" s="223">
        <v>0</v>
      </c>
    </row>
    <row r="71" spans="3:31" outlineLevel="1">
      <c r="C71" s="3" t="str">
        <f t="shared" si="16"/>
        <v>&lt;&lt; add staff category &gt;&gt;</v>
      </c>
      <c r="E71" s="3" t="s">
        <v>29</v>
      </c>
      <c r="K71" s="156"/>
      <c r="L71" s="223">
        <v>0</v>
      </c>
      <c r="M71" s="223">
        <v>0</v>
      </c>
      <c r="N71" s="223">
        <v>0</v>
      </c>
      <c r="O71" s="223">
        <v>0</v>
      </c>
      <c r="P71" s="223">
        <v>0</v>
      </c>
      <c r="Q71" s="223">
        <v>0</v>
      </c>
      <c r="R71" s="223">
        <v>0</v>
      </c>
      <c r="S71" s="223">
        <v>0</v>
      </c>
      <c r="T71" s="223">
        <v>0</v>
      </c>
      <c r="U71" s="223">
        <v>0</v>
      </c>
      <c r="V71" s="223">
        <v>0</v>
      </c>
      <c r="W71" s="223">
        <v>0</v>
      </c>
      <c r="X71" s="223">
        <v>0</v>
      </c>
      <c r="Y71" s="223">
        <v>0</v>
      </c>
      <c r="Z71" s="223">
        <v>0</v>
      </c>
      <c r="AA71" s="223">
        <v>0</v>
      </c>
      <c r="AB71" s="223">
        <v>0</v>
      </c>
      <c r="AC71" s="223">
        <v>0</v>
      </c>
      <c r="AD71" s="223">
        <v>0</v>
      </c>
      <c r="AE71" s="223">
        <v>0</v>
      </c>
    </row>
    <row r="73" spans="3:31" ht="13.5" thickBot="1">
      <c r="C73" s="6" t="s">
        <v>797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spans="3:31">
      <c r="C74" s="3" t="s">
        <v>796</v>
      </c>
      <c r="E74" s="3" t="s">
        <v>29</v>
      </c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pans="3:31">
      <c r="C75" s="39" t="s">
        <v>799</v>
      </c>
      <c r="D75" s="39"/>
      <c r="E75" s="39" t="s">
        <v>29</v>
      </c>
      <c r="F75" s="39"/>
      <c r="G75" s="39"/>
      <c r="H75" s="39"/>
      <c r="I75" s="39"/>
      <c r="J75" s="226"/>
      <c r="K75" s="226"/>
      <c r="L75" s="227"/>
      <c r="M75" s="227"/>
      <c r="N75" s="227"/>
      <c r="O75" s="227"/>
      <c r="P75" s="1606">
        <v>11517</v>
      </c>
      <c r="Q75" s="1607">
        <v>11238</v>
      </c>
      <c r="R75" s="1607">
        <v>11103</v>
      </c>
      <c r="S75" s="1607">
        <v>11887</v>
      </c>
      <c r="T75" s="1607">
        <v>12145</v>
      </c>
      <c r="U75" s="1607">
        <v>12414</v>
      </c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pans="3:31" ht="10.9" customHeight="1">
      <c r="J76" s="148"/>
      <c r="K76" s="148"/>
    </row>
    <row r="77" spans="3:31" ht="13.5" thickBot="1">
      <c r="C77" s="6" t="s">
        <v>815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</row>
    <row r="78" spans="3:31">
      <c r="C78" s="3" t="s">
        <v>796</v>
      </c>
      <c r="E78" s="3" t="s">
        <v>29</v>
      </c>
      <c r="L78" s="27">
        <f t="shared" ref="L78:AE78" si="17">(SUMPRODUCT(L33:L41,L63:L71)*(L74="")+L74)</f>
        <v>0</v>
      </c>
      <c r="M78" s="27">
        <f t="shared" si="17"/>
        <v>0</v>
      </c>
      <c r="N78" s="27">
        <f t="shared" si="17"/>
        <v>0</v>
      </c>
      <c r="O78" s="27">
        <f t="shared" si="17"/>
        <v>0</v>
      </c>
      <c r="P78" s="27">
        <f t="shared" si="17"/>
        <v>57818.999999999993</v>
      </c>
      <c r="Q78" s="27">
        <f t="shared" si="17"/>
        <v>54541.00085582702</v>
      </c>
      <c r="R78" s="27">
        <f>(SUMPRODUCT(R33:R41,R63:R71)*(R74="")+R74)</f>
        <v>49598.000000000007</v>
      </c>
      <c r="S78" s="27">
        <f t="shared" si="17"/>
        <v>59979</v>
      </c>
      <c r="T78" s="27">
        <f t="shared" si="17"/>
        <v>62296.999999999985</v>
      </c>
      <c r="U78" s="27">
        <f>(SUMPRODUCT(U33:U41,U63:U71)*(U74="")+U74)</f>
        <v>64686</v>
      </c>
      <c r="V78" s="27">
        <f t="shared" si="17"/>
        <v>0</v>
      </c>
      <c r="W78" s="27">
        <f t="shared" si="17"/>
        <v>0</v>
      </c>
      <c r="X78" s="27">
        <f t="shared" si="17"/>
        <v>0</v>
      </c>
      <c r="Y78" s="27">
        <f t="shared" si="17"/>
        <v>0</v>
      </c>
      <c r="Z78" s="27">
        <f t="shared" si="17"/>
        <v>0</v>
      </c>
      <c r="AA78" s="27">
        <f t="shared" si="17"/>
        <v>0</v>
      </c>
      <c r="AB78" s="27">
        <f t="shared" si="17"/>
        <v>0</v>
      </c>
      <c r="AC78" s="27">
        <f t="shared" si="17"/>
        <v>0</v>
      </c>
      <c r="AD78" s="27">
        <f t="shared" si="17"/>
        <v>0</v>
      </c>
      <c r="AE78" s="27">
        <f t="shared" si="17"/>
        <v>0</v>
      </c>
    </row>
    <row r="79" spans="3:31">
      <c r="C79" s="3" t="s">
        <v>799</v>
      </c>
      <c r="E79" s="3" t="s">
        <v>29</v>
      </c>
      <c r="L79" s="150">
        <f t="shared" ref="L79:AE79" si="18">IF(SUM(L33:L41)=0,0,L44*SUMPRODUCT(L33:L41,$H$33:$H$41)/SUM(L33:L41))*(L75="")+L75</f>
        <v>0</v>
      </c>
      <c r="M79" s="150">
        <f t="shared" si="18"/>
        <v>0</v>
      </c>
      <c r="N79" s="150">
        <f t="shared" si="18"/>
        <v>0</v>
      </c>
      <c r="O79" s="150">
        <f t="shared" si="18"/>
        <v>0</v>
      </c>
      <c r="P79" s="150">
        <f t="shared" si="18"/>
        <v>11517</v>
      </c>
      <c r="Q79" s="150">
        <f t="shared" si="18"/>
        <v>11238</v>
      </c>
      <c r="R79" s="150">
        <f t="shared" si="18"/>
        <v>11103</v>
      </c>
      <c r="S79" s="150">
        <f t="shared" si="18"/>
        <v>11887</v>
      </c>
      <c r="T79" s="150">
        <f t="shared" si="18"/>
        <v>12145</v>
      </c>
      <c r="U79" s="150">
        <f t="shared" si="18"/>
        <v>12414</v>
      </c>
      <c r="V79" s="150">
        <f t="shared" si="18"/>
        <v>0</v>
      </c>
      <c r="W79" s="150">
        <f t="shared" si="18"/>
        <v>0</v>
      </c>
      <c r="X79" s="150">
        <f t="shared" si="18"/>
        <v>0</v>
      </c>
      <c r="Y79" s="150">
        <f t="shared" si="18"/>
        <v>0</v>
      </c>
      <c r="Z79" s="150">
        <f t="shared" si="18"/>
        <v>0</v>
      </c>
      <c r="AA79" s="150">
        <f t="shared" si="18"/>
        <v>0</v>
      </c>
      <c r="AB79" s="150">
        <f t="shared" si="18"/>
        <v>0</v>
      </c>
      <c r="AC79" s="150">
        <f t="shared" si="18"/>
        <v>0</v>
      </c>
      <c r="AD79" s="150">
        <f t="shared" si="18"/>
        <v>0</v>
      </c>
      <c r="AE79" s="150">
        <f t="shared" si="18"/>
        <v>0</v>
      </c>
    </row>
    <row r="80" spans="3:31">
      <c r="C80" s="17"/>
      <c r="D80" s="17"/>
      <c r="E80" s="17"/>
      <c r="F80" s="17"/>
      <c r="G80" s="17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</row>
    <row r="81" spans="2:31">
      <c r="B81" s="152" t="s">
        <v>24</v>
      </c>
      <c r="C81" s="29"/>
      <c r="D81" s="29"/>
      <c r="E81" s="29"/>
      <c r="F81" s="29"/>
      <c r="G81" s="29"/>
      <c r="H81" s="29"/>
      <c r="I81" s="29"/>
      <c r="J81" s="29"/>
      <c r="K81" s="29"/>
      <c r="L81" s="152" t="s">
        <v>812</v>
      </c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3" spans="2:31" ht="13.5" thickBot="1">
      <c r="C83" s="6" t="s">
        <v>816</v>
      </c>
      <c r="D83" s="7"/>
      <c r="E83" s="7"/>
      <c r="F83" s="7"/>
      <c r="G83" s="7"/>
      <c r="H83" s="7"/>
      <c r="I83" s="221"/>
      <c r="J83" s="7"/>
      <c r="K83" s="22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</row>
    <row r="84" spans="2:31" outlineLevel="1">
      <c r="C84" s="3" t="str">
        <f>C63</f>
        <v>ATCO</v>
      </c>
      <c r="E84" s="3" t="s">
        <v>29</v>
      </c>
      <c r="K84" s="156"/>
      <c r="L84" s="223">
        <v>0</v>
      </c>
      <c r="M84" s="223">
        <v>0</v>
      </c>
      <c r="N84" s="223">
        <v>0</v>
      </c>
      <c r="O84" s="223">
        <v>0</v>
      </c>
      <c r="P84" s="1598">
        <v>0.14405625462620286</v>
      </c>
      <c r="Q84" s="1598">
        <v>0.14417298247265764</v>
      </c>
      <c r="R84" s="1598">
        <v>0.14351827867861644</v>
      </c>
      <c r="S84" s="1598">
        <v>0.14599974371022173</v>
      </c>
      <c r="T84" s="1598">
        <v>0.14552786426543407</v>
      </c>
      <c r="U84" s="1598">
        <v>0.14422924273694238</v>
      </c>
      <c r="V84" s="223">
        <v>0</v>
      </c>
      <c r="W84" s="223">
        <v>0</v>
      </c>
      <c r="X84" s="223">
        <v>0</v>
      </c>
      <c r="Y84" s="223">
        <v>0</v>
      </c>
      <c r="Z84" s="223">
        <v>0</v>
      </c>
      <c r="AA84" s="223">
        <v>0</v>
      </c>
      <c r="AB84" s="223">
        <v>0</v>
      </c>
      <c r="AC84" s="223">
        <v>0</v>
      </c>
      <c r="AD84" s="223">
        <v>0</v>
      </c>
      <c r="AE84" s="223">
        <v>0</v>
      </c>
    </row>
    <row r="85" spans="2:31" outlineLevel="1">
      <c r="C85" s="3" t="str">
        <f t="shared" ref="C85:C92" si="19">C64</f>
        <v>Corporate Services</v>
      </c>
      <c r="E85" s="3" t="s">
        <v>29</v>
      </c>
      <c r="K85" s="156"/>
      <c r="L85" s="223">
        <v>0</v>
      </c>
      <c r="M85" s="223">
        <v>0</v>
      </c>
      <c r="N85" s="223">
        <v>0</v>
      </c>
      <c r="O85" s="223">
        <v>0</v>
      </c>
      <c r="P85" s="1598">
        <v>0.14405625462620286</v>
      </c>
      <c r="Q85" s="1598">
        <v>0.14417298247265764</v>
      </c>
      <c r="R85" s="1598">
        <v>0.14351827867861644</v>
      </c>
      <c r="S85" s="1598">
        <v>0.14599974371022173</v>
      </c>
      <c r="T85" s="1598">
        <v>0.14552786426543407</v>
      </c>
      <c r="U85" s="1598">
        <v>0.14422924273694238</v>
      </c>
      <c r="V85" s="223">
        <v>0</v>
      </c>
      <c r="W85" s="223">
        <v>0</v>
      </c>
      <c r="X85" s="223">
        <v>0</v>
      </c>
      <c r="Y85" s="223">
        <v>0</v>
      </c>
      <c r="Z85" s="223">
        <v>0</v>
      </c>
      <c r="AA85" s="223">
        <v>0</v>
      </c>
      <c r="AB85" s="223">
        <v>0</v>
      </c>
      <c r="AC85" s="223">
        <v>0</v>
      </c>
      <c r="AD85" s="223">
        <v>0</v>
      </c>
      <c r="AE85" s="223">
        <v>0</v>
      </c>
    </row>
    <row r="86" spans="2:31" outlineLevel="1">
      <c r="C86" s="3" t="str">
        <f t="shared" si="19"/>
        <v>Data Assistant</v>
      </c>
      <c r="E86" s="3" t="s">
        <v>29</v>
      </c>
      <c r="K86" s="156"/>
      <c r="L86" s="223">
        <v>0</v>
      </c>
      <c r="M86" s="223">
        <v>0</v>
      </c>
      <c r="N86" s="223">
        <v>0</v>
      </c>
      <c r="O86" s="223">
        <v>0</v>
      </c>
      <c r="P86" s="1598">
        <v>0.14405625462620286</v>
      </c>
      <c r="Q86" s="1598">
        <v>0.14417298247265764</v>
      </c>
      <c r="R86" s="1598">
        <v>0.14351827867861644</v>
      </c>
      <c r="S86" s="1598">
        <v>0.14599974371022173</v>
      </c>
      <c r="T86" s="1598">
        <v>0.14552786426543407</v>
      </c>
      <c r="U86" s="1598">
        <v>0.14422924273694238</v>
      </c>
      <c r="V86" s="223">
        <v>0</v>
      </c>
      <c r="W86" s="223">
        <v>0</v>
      </c>
      <c r="X86" s="223">
        <v>0</v>
      </c>
      <c r="Y86" s="223">
        <v>0</v>
      </c>
      <c r="Z86" s="223">
        <v>0</v>
      </c>
      <c r="AA86" s="223">
        <v>0</v>
      </c>
      <c r="AB86" s="223">
        <v>0</v>
      </c>
      <c r="AC86" s="223">
        <v>0</v>
      </c>
      <c r="AD86" s="223">
        <v>0</v>
      </c>
      <c r="AE86" s="223">
        <v>0</v>
      </c>
    </row>
    <row r="87" spans="2:31" outlineLevel="1">
      <c r="C87" s="3" t="str">
        <f t="shared" si="19"/>
        <v>Engineer</v>
      </c>
      <c r="E87" s="3" t="s">
        <v>29</v>
      </c>
      <c r="K87" s="156"/>
      <c r="L87" s="223">
        <v>0</v>
      </c>
      <c r="M87" s="223">
        <v>0</v>
      </c>
      <c r="N87" s="223">
        <v>0</v>
      </c>
      <c r="O87" s="223">
        <v>0</v>
      </c>
      <c r="P87" s="1598">
        <v>0.14405625462620286</v>
      </c>
      <c r="Q87" s="1598">
        <v>0.14417298247265764</v>
      </c>
      <c r="R87" s="1598">
        <v>0.14351827867861644</v>
      </c>
      <c r="S87" s="1598">
        <v>0.14599974371022173</v>
      </c>
      <c r="T87" s="1598">
        <v>0.14552786426543407</v>
      </c>
      <c r="U87" s="1598">
        <v>0.14422924273694238</v>
      </c>
      <c r="V87" s="223">
        <v>0</v>
      </c>
      <c r="W87" s="223">
        <v>0</v>
      </c>
      <c r="X87" s="223">
        <v>0</v>
      </c>
      <c r="Y87" s="223">
        <v>0</v>
      </c>
      <c r="Z87" s="223">
        <v>0</v>
      </c>
      <c r="AA87" s="223">
        <v>0</v>
      </c>
      <c r="AB87" s="223">
        <v>0</v>
      </c>
      <c r="AC87" s="223">
        <v>0</v>
      </c>
      <c r="AD87" s="223">
        <v>0</v>
      </c>
      <c r="AE87" s="223">
        <v>0</v>
      </c>
    </row>
    <row r="88" spans="2:31" outlineLevel="1">
      <c r="C88" s="3" t="str">
        <f t="shared" si="19"/>
        <v>Op Mgt Supp</v>
      </c>
      <c r="E88" s="3" t="s">
        <v>29</v>
      </c>
      <c r="K88" s="156"/>
      <c r="L88" s="223">
        <v>0</v>
      </c>
      <c r="M88" s="223">
        <v>0</v>
      </c>
      <c r="N88" s="223">
        <v>0</v>
      </c>
      <c r="O88" s="223">
        <v>0</v>
      </c>
      <c r="P88" s="1598">
        <v>0.14405625462620286</v>
      </c>
      <c r="Q88" s="1598">
        <v>0.14417298247265764</v>
      </c>
      <c r="R88" s="1598">
        <v>0.14351827867861644</v>
      </c>
      <c r="S88" s="1598">
        <v>0.14599974371022173</v>
      </c>
      <c r="T88" s="1598">
        <v>0.14552786426543407</v>
      </c>
      <c r="U88" s="1598">
        <v>0.14422924273694238</v>
      </c>
      <c r="V88" s="223">
        <v>0</v>
      </c>
      <c r="W88" s="223">
        <v>0</v>
      </c>
      <c r="X88" s="223">
        <v>0</v>
      </c>
      <c r="Y88" s="223">
        <v>0</v>
      </c>
      <c r="Z88" s="223">
        <v>0</v>
      </c>
      <c r="AA88" s="223">
        <v>0</v>
      </c>
      <c r="AB88" s="223">
        <v>0</v>
      </c>
      <c r="AC88" s="223">
        <v>0</v>
      </c>
      <c r="AD88" s="223">
        <v>0</v>
      </c>
      <c r="AE88" s="223">
        <v>0</v>
      </c>
    </row>
    <row r="89" spans="2:31" outlineLevel="1">
      <c r="C89" s="3" t="str">
        <f t="shared" si="19"/>
        <v>EWSS</v>
      </c>
      <c r="E89" s="3" t="s">
        <v>29</v>
      </c>
      <c r="K89" s="156"/>
      <c r="L89" s="223">
        <v>0</v>
      </c>
      <c r="M89" s="223">
        <v>0</v>
      </c>
      <c r="N89" s="223">
        <v>0</v>
      </c>
      <c r="O89" s="223">
        <v>0</v>
      </c>
      <c r="P89" s="1598">
        <v>0.14405625462620286</v>
      </c>
      <c r="Q89" s="1598">
        <v>0.14417298247265764</v>
      </c>
      <c r="R89" s="1598">
        <v>0.14351827867861644</v>
      </c>
      <c r="S89" s="1598">
        <v>0.14599974371022173</v>
      </c>
      <c r="T89" s="1598">
        <v>0.14552786426543407</v>
      </c>
      <c r="U89" s="1598">
        <v>0.14422924273694238</v>
      </c>
      <c r="V89" s="223">
        <v>0</v>
      </c>
      <c r="W89" s="223">
        <v>0</v>
      </c>
      <c r="X89" s="223">
        <v>0</v>
      </c>
      <c r="Y89" s="223">
        <v>0</v>
      </c>
      <c r="Z89" s="223">
        <v>0</v>
      </c>
      <c r="AA89" s="223">
        <v>0</v>
      </c>
      <c r="AB89" s="223">
        <v>0</v>
      </c>
      <c r="AC89" s="223">
        <v>0</v>
      </c>
      <c r="AD89" s="223">
        <v>0</v>
      </c>
      <c r="AE89" s="223">
        <v>0</v>
      </c>
    </row>
    <row r="90" spans="2:31" outlineLevel="1">
      <c r="C90" s="3" t="str">
        <f t="shared" si="19"/>
        <v>Overtime</v>
      </c>
      <c r="E90" s="3" t="s">
        <v>29</v>
      </c>
      <c r="K90" s="156"/>
      <c r="L90" s="223">
        <v>0</v>
      </c>
      <c r="M90" s="223">
        <v>0</v>
      </c>
      <c r="N90" s="223">
        <v>0</v>
      </c>
      <c r="O90" s="223">
        <v>0</v>
      </c>
      <c r="P90" s="1598">
        <v>0.14405625462620286</v>
      </c>
      <c r="Q90" s="1598">
        <v>0.14417298247265764</v>
      </c>
      <c r="R90" s="1598">
        <v>0.14351827867861644</v>
      </c>
      <c r="S90" s="1598">
        <v>0.14599974371022173</v>
      </c>
      <c r="T90" s="1598">
        <v>0.14552786426543407</v>
      </c>
      <c r="U90" s="1598">
        <v>0.14422924273694238</v>
      </c>
      <c r="V90" s="223">
        <v>0</v>
      </c>
      <c r="W90" s="223">
        <v>0</v>
      </c>
      <c r="X90" s="223">
        <v>0</v>
      </c>
      <c r="Y90" s="223">
        <v>0</v>
      </c>
      <c r="Z90" s="223">
        <v>0</v>
      </c>
      <c r="AA90" s="223">
        <v>0</v>
      </c>
      <c r="AB90" s="223">
        <v>0</v>
      </c>
      <c r="AC90" s="223">
        <v>0</v>
      </c>
      <c r="AD90" s="223">
        <v>0</v>
      </c>
      <c r="AE90" s="223">
        <v>0</v>
      </c>
    </row>
    <row r="91" spans="2:31" outlineLevel="1">
      <c r="C91" s="3" t="str">
        <f t="shared" si="19"/>
        <v>&lt;&lt; add staff category &gt;&gt;</v>
      </c>
      <c r="E91" s="3" t="s">
        <v>29</v>
      </c>
      <c r="K91" s="156"/>
      <c r="L91" s="223">
        <v>0</v>
      </c>
      <c r="M91" s="223">
        <v>0</v>
      </c>
      <c r="N91" s="223">
        <v>0</v>
      </c>
      <c r="O91" s="223">
        <v>0</v>
      </c>
      <c r="P91" s="223">
        <v>0</v>
      </c>
      <c r="Q91" s="223">
        <v>0</v>
      </c>
      <c r="R91" s="223">
        <v>0</v>
      </c>
      <c r="S91" s="223">
        <v>0</v>
      </c>
      <c r="T91" s="223">
        <v>0</v>
      </c>
      <c r="U91" s="223">
        <v>0</v>
      </c>
      <c r="V91" s="223">
        <v>0</v>
      </c>
      <c r="W91" s="223">
        <v>0</v>
      </c>
      <c r="X91" s="223">
        <v>0</v>
      </c>
      <c r="Y91" s="223">
        <v>0</v>
      </c>
      <c r="Z91" s="223">
        <v>0</v>
      </c>
      <c r="AA91" s="223">
        <v>0</v>
      </c>
      <c r="AB91" s="223">
        <v>0</v>
      </c>
      <c r="AC91" s="223">
        <v>0</v>
      </c>
      <c r="AD91" s="223">
        <v>0</v>
      </c>
      <c r="AE91" s="223">
        <v>0</v>
      </c>
    </row>
    <row r="92" spans="2:31" outlineLevel="1">
      <c r="C92" s="3" t="str">
        <f t="shared" si="19"/>
        <v>&lt;&lt; add staff category &gt;&gt;</v>
      </c>
      <c r="E92" s="3" t="s">
        <v>29</v>
      </c>
      <c r="K92" s="156"/>
      <c r="L92" s="223">
        <v>0</v>
      </c>
      <c r="M92" s="223">
        <v>0</v>
      </c>
      <c r="N92" s="223">
        <v>0</v>
      </c>
      <c r="O92" s="223">
        <v>0</v>
      </c>
      <c r="P92" s="223">
        <v>0</v>
      </c>
      <c r="Q92" s="223">
        <v>0</v>
      </c>
      <c r="R92" s="223">
        <v>0</v>
      </c>
      <c r="S92" s="223">
        <v>0</v>
      </c>
      <c r="T92" s="223">
        <v>0</v>
      </c>
      <c r="U92" s="223">
        <v>0</v>
      </c>
      <c r="V92" s="223">
        <v>0</v>
      </c>
      <c r="W92" s="223">
        <v>0</v>
      </c>
      <c r="X92" s="223">
        <v>0</v>
      </c>
      <c r="Y92" s="223">
        <v>0</v>
      </c>
      <c r="Z92" s="223">
        <v>0</v>
      </c>
      <c r="AA92" s="223">
        <v>0</v>
      </c>
      <c r="AB92" s="223">
        <v>0</v>
      </c>
      <c r="AC92" s="223">
        <v>0</v>
      </c>
      <c r="AD92" s="223">
        <v>0</v>
      </c>
      <c r="AE92" s="223">
        <v>0</v>
      </c>
    </row>
    <row r="94" spans="2:31" ht="13.5" thickBot="1">
      <c r="C94" s="6" t="s">
        <v>797</v>
      </c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</row>
    <row r="95" spans="2:31">
      <c r="C95" s="3" t="s">
        <v>796</v>
      </c>
      <c r="E95" s="3" t="s">
        <v>29</v>
      </c>
      <c r="L95" s="149"/>
      <c r="M95" s="149"/>
      <c r="N95" s="149"/>
      <c r="O95" s="149"/>
      <c r="P95" s="149"/>
      <c r="Q95" s="149"/>
      <c r="R95" s="149"/>
      <c r="S95" s="149"/>
      <c r="T95" s="149"/>
      <c r="U95" s="149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pans="2:31">
      <c r="C96" s="39" t="s">
        <v>799</v>
      </c>
      <c r="D96" s="39"/>
      <c r="E96" s="39" t="s">
        <v>29</v>
      </c>
      <c r="F96" s="39"/>
      <c r="G96" s="39"/>
      <c r="H96" s="39"/>
      <c r="I96" s="39"/>
      <c r="J96" s="39"/>
      <c r="K96" s="39"/>
      <c r="L96" s="228"/>
      <c r="M96" s="228"/>
      <c r="N96" s="228"/>
      <c r="O96" s="228"/>
      <c r="P96" s="1606">
        <v>1949</v>
      </c>
      <c r="Q96" s="1607">
        <v>1883</v>
      </c>
      <c r="R96" s="1607">
        <v>1838</v>
      </c>
      <c r="S96" s="1607">
        <v>2001</v>
      </c>
      <c r="T96" s="1607">
        <v>2036</v>
      </c>
      <c r="U96" s="1607">
        <v>2071</v>
      </c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8" spans="1:32" ht="13.5" thickBot="1">
      <c r="C98" s="6" t="s">
        <v>815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1:32">
      <c r="C99" s="3" t="s">
        <v>796</v>
      </c>
      <c r="E99" s="3" t="s">
        <v>29</v>
      </c>
      <c r="L99" s="27">
        <f t="shared" ref="L99:AE99" si="20">(SUMPRODUCT(L33:L41,L84:L92)*(L95="")+L95)</f>
        <v>0</v>
      </c>
      <c r="M99" s="27">
        <f t="shared" si="20"/>
        <v>0</v>
      </c>
      <c r="N99" s="27">
        <f t="shared" si="20"/>
        <v>0</v>
      </c>
      <c r="O99" s="27">
        <f t="shared" si="20"/>
        <v>0</v>
      </c>
      <c r="P99" s="27">
        <f t="shared" si="20"/>
        <v>9731.0000000000036</v>
      </c>
      <c r="Q99" s="27">
        <f t="shared" si="20"/>
        <v>9188.0001441729819</v>
      </c>
      <c r="R99" s="27">
        <f t="shared" si="20"/>
        <v>8310.9999999999982</v>
      </c>
      <c r="S99" s="27">
        <f t="shared" si="20"/>
        <v>10254.000000000002</v>
      </c>
      <c r="T99" s="27">
        <f t="shared" si="20"/>
        <v>10610.000000000002</v>
      </c>
      <c r="U99" s="27">
        <f t="shared" si="20"/>
        <v>10901.999999999998</v>
      </c>
      <c r="V99" s="27">
        <f t="shared" si="20"/>
        <v>0</v>
      </c>
      <c r="W99" s="27">
        <f t="shared" si="20"/>
        <v>0</v>
      </c>
      <c r="X99" s="27">
        <f t="shared" si="20"/>
        <v>0</v>
      </c>
      <c r="Y99" s="27">
        <f t="shared" si="20"/>
        <v>0</v>
      </c>
      <c r="Z99" s="27">
        <f t="shared" si="20"/>
        <v>0</v>
      </c>
      <c r="AA99" s="27">
        <f t="shared" si="20"/>
        <v>0</v>
      </c>
      <c r="AB99" s="27">
        <f t="shared" si="20"/>
        <v>0</v>
      </c>
      <c r="AC99" s="27">
        <f t="shared" si="20"/>
        <v>0</v>
      </c>
      <c r="AD99" s="27">
        <f t="shared" si="20"/>
        <v>0</v>
      </c>
      <c r="AE99" s="27">
        <f t="shared" si="20"/>
        <v>0</v>
      </c>
    </row>
    <row r="100" spans="1:32">
      <c r="C100" s="39" t="s">
        <v>799</v>
      </c>
      <c r="D100" s="39"/>
      <c r="E100" s="39" t="s">
        <v>29</v>
      </c>
      <c r="L100" s="150">
        <f t="shared" ref="L100:AE100" si="21">IF(SUM(L33:L41)=0,0,L44*SUMPRODUCT(L33:L41,$H$33:$H$41)/SUM(L33:L41))*(L96="")+L96</f>
        <v>0</v>
      </c>
      <c r="M100" s="150">
        <f t="shared" si="21"/>
        <v>0</v>
      </c>
      <c r="N100" s="150">
        <f t="shared" si="21"/>
        <v>0</v>
      </c>
      <c r="O100" s="150">
        <f t="shared" si="21"/>
        <v>0</v>
      </c>
      <c r="P100" s="150">
        <f t="shared" si="21"/>
        <v>1949</v>
      </c>
      <c r="Q100" s="150">
        <f t="shared" si="21"/>
        <v>1883</v>
      </c>
      <c r="R100" s="150">
        <f t="shared" si="21"/>
        <v>1838</v>
      </c>
      <c r="S100" s="150">
        <f t="shared" si="21"/>
        <v>2001</v>
      </c>
      <c r="T100" s="150">
        <f t="shared" si="21"/>
        <v>2036</v>
      </c>
      <c r="U100" s="150">
        <f t="shared" si="21"/>
        <v>2071</v>
      </c>
      <c r="V100" s="150">
        <f t="shared" si="21"/>
        <v>0</v>
      </c>
      <c r="W100" s="150">
        <f t="shared" si="21"/>
        <v>0</v>
      </c>
      <c r="X100" s="150">
        <f t="shared" si="21"/>
        <v>0</v>
      </c>
      <c r="Y100" s="150">
        <f t="shared" si="21"/>
        <v>0</v>
      </c>
      <c r="Z100" s="150">
        <f t="shared" si="21"/>
        <v>0</v>
      </c>
      <c r="AA100" s="150">
        <f t="shared" si="21"/>
        <v>0</v>
      </c>
      <c r="AB100" s="150">
        <f t="shared" si="21"/>
        <v>0</v>
      </c>
      <c r="AC100" s="150">
        <f t="shared" si="21"/>
        <v>0</v>
      </c>
      <c r="AD100" s="150">
        <f t="shared" si="21"/>
        <v>0</v>
      </c>
      <c r="AE100" s="150">
        <f t="shared" si="21"/>
        <v>0</v>
      </c>
    </row>
    <row r="101" spans="1:32">
      <c r="C101" s="17"/>
      <c r="D101" s="17"/>
      <c r="E101" s="17"/>
      <c r="F101" s="17"/>
      <c r="G101" s="17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</row>
    <row r="102" spans="1:32">
      <c r="B102" s="20" t="s">
        <v>817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4" spans="1:32" ht="13.5" thickBot="1">
      <c r="C104" s="6" t="s">
        <v>797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</row>
    <row r="105" spans="1:32">
      <c r="C105" s="3" t="s">
        <v>818</v>
      </c>
      <c r="E105" s="3" t="s">
        <v>29</v>
      </c>
      <c r="L105" s="149"/>
      <c r="M105" s="149"/>
      <c r="N105" s="149"/>
      <c r="O105" s="149"/>
      <c r="P105" s="149"/>
      <c r="Q105" s="149"/>
      <c r="R105" s="149"/>
      <c r="S105" s="149"/>
      <c r="T105" s="149"/>
      <c r="U105" s="149"/>
      <c r="V105" s="149"/>
      <c r="W105" s="149"/>
      <c r="X105" s="149"/>
      <c r="Y105" s="149"/>
      <c r="Z105" s="149"/>
      <c r="AA105" s="149"/>
      <c r="AB105" s="149"/>
      <c r="AC105" s="149"/>
      <c r="AD105" s="149"/>
      <c r="AE105" s="149"/>
    </row>
    <row r="107" spans="1:32" s="7" customFormat="1" ht="13.5" thickBot="1">
      <c r="A107" s="3"/>
      <c r="B107" s="3"/>
      <c r="C107" s="6" t="s">
        <v>817</v>
      </c>
      <c r="I107" s="221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3"/>
    </row>
    <row r="108" spans="1:32">
      <c r="C108" s="1593" t="s">
        <v>819</v>
      </c>
      <c r="D108" s="1593" t="s">
        <v>814</v>
      </c>
      <c r="E108" s="1593" t="s">
        <v>29</v>
      </c>
      <c r="F108" s="1593" t="s">
        <v>814</v>
      </c>
      <c r="G108" s="1608" t="s">
        <v>820</v>
      </c>
      <c r="H108" s="1609">
        <v>1</v>
      </c>
      <c r="I108" s="220">
        <f>IFERROR(AVERAGE(Q147:U147),0)</f>
        <v>0.84551701999999995</v>
      </c>
      <c r="J108" s="220">
        <f>IF(I108=0,0,1-I108)</f>
        <v>0.15448298000000005</v>
      </c>
      <c r="K108" s="23"/>
      <c r="L108" s="176">
        <v>0</v>
      </c>
      <c r="M108" s="176">
        <v>0</v>
      </c>
      <c r="N108" s="176">
        <v>0</v>
      </c>
      <c r="O108" s="176">
        <v>0</v>
      </c>
      <c r="P108" s="1594">
        <v>1284</v>
      </c>
      <c r="Q108" s="1590">
        <v>401</v>
      </c>
      <c r="R108" s="1590">
        <v>782</v>
      </c>
      <c r="S108" s="1595">
        <v>1113</v>
      </c>
      <c r="T108" s="1595">
        <v>1266</v>
      </c>
      <c r="U108" s="1595">
        <v>1365</v>
      </c>
      <c r="V108" s="176">
        <v>0</v>
      </c>
      <c r="W108" s="176">
        <v>0</v>
      </c>
      <c r="X108" s="176">
        <v>0</v>
      </c>
      <c r="Y108" s="176">
        <v>0</v>
      </c>
      <c r="Z108" s="176">
        <v>0</v>
      </c>
      <c r="AA108" s="176">
        <v>0</v>
      </c>
      <c r="AB108" s="176">
        <v>0</v>
      </c>
      <c r="AC108" s="176">
        <v>0</v>
      </c>
      <c r="AD108" s="176">
        <v>0</v>
      </c>
      <c r="AE108" s="176">
        <v>0</v>
      </c>
    </row>
    <row r="109" spans="1:32">
      <c r="C109" s="1593" t="s">
        <v>821</v>
      </c>
      <c r="D109" s="1593" t="s">
        <v>814</v>
      </c>
      <c r="E109" s="1593" t="s">
        <v>29</v>
      </c>
      <c r="F109" s="1593" t="s">
        <v>814</v>
      </c>
      <c r="G109" s="1610" t="s">
        <v>822</v>
      </c>
      <c r="H109" s="1611">
        <v>2</v>
      </c>
      <c r="I109" s="220">
        <f t="shared" ref="I109:I133" si="22">IFERROR(AVERAGE(Q148:U148),0)</f>
        <v>0</v>
      </c>
      <c r="J109" s="220">
        <f t="shared" ref="J109:J133" si="23">IF(I109=0,0,1-I109)</f>
        <v>0</v>
      </c>
      <c r="K109" s="23"/>
      <c r="L109" s="176">
        <v>0</v>
      </c>
      <c r="M109" s="176">
        <v>0</v>
      </c>
      <c r="N109" s="176">
        <v>0</v>
      </c>
      <c r="O109" s="176">
        <v>0</v>
      </c>
      <c r="P109" s="176">
        <v>0</v>
      </c>
      <c r="Q109" s="176">
        <v>0</v>
      </c>
      <c r="R109" s="176">
        <v>0</v>
      </c>
      <c r="S109" s="176">
        <v>0</v>
      </c>
      <c r="T109" s="176">
        <v>0</v>
      </c>
      <c r="U109" s="176">
        <v>0</v>
      </c>
      <c r="V109" s="176">
        <v>0</v>
      </c>
      <c r="W109" s="176">
        <v>0</v>
      </c>
      <c r="X109" s="176">
        <v>0</v>
      </c>
      <c r="Y109" s="176">
        <v>0</v>
      </c>
      <c r="Z109" s="176">
        <v>0</v>
      </c>
      <c r="AA109" s="176">
        <v>0</v>
      </c>
      <c r="AB109" s="176">
        <v>0</v>
      </c>
      <c r="AC109" s="176">
        <v>0</v>
      </c>
      <c r="AD109" s="176">
        <v>0</v>
      </c>
      <c r="AE109" s="176">
        <v>0</v>
      </c>
    </row>
    <row r="110" spans="1:32">
      <c r="C110" s="1593" t="s">
        <v>823</v>
      </c>
      <c r="D110" s="1593" t="s">
        <v>814</v>
      </c>
      <c r="E110" s="1593" t="s">
        <v>29</v>
      </c>
      <c r="F110" s="1593" t="s">
        <v>814</v>
      </c>
      <c r="G110" s="1610" t="s">
        <v>820</v>
      </c>
      <c r="H110" s="1612" t="s">
        <v>824</v>
      </c>
      <c r="I110" s="220">
        <f t="shared" si="22"/>
        <v>0.76972259999999992</v>
      </c>
      <c r="J110" s="220">
        <f t="shared" si="23"/>
        <v>0.23027740000000008</v>
      </c>
      <c r="K110" s="23"/>
      <c r="L110" s="176">
        <v>0</v>
      </c>
      <c r="M110" s="176">
        <v>0</v>
      </c>
      <c r="N110" s="176">
        <v>0</v>
      </c>
      <c r="O110" s="176">
        <v>0</v>
      </c>
      <c r="P110" s="1591">
        <v>480</v>
      </c>
      <c r="Q110" s="1592">
        <v>470</v>
      </c>
      <c r="R110" s="1592">
        <v>621</v>
      </c>
      <c r="S110" s="1592">
        <v>635</v>
      </c>
      <c r="T110" s="1592">
        <v>635</v>
      </c>
      <c r="U110" s="1592">
        <v>635</v>
      </c>
      <c r="V110" s="176">
        <v>0</v>
      </c>
      <c r="W110" s="176">
        <v>0</v>
      </c>
      <c r="X110" s="176">
        <v>0</v>
      </c>
      <c r="Y110" s="176">
        <v>0</v>
      </c>
      <c r="Z110" s="176">
        <v>0</v>
      </c>
      <c r="AA110" s="176">
        <v>0</v>
      </c>
      <c r="AB110" s="176">
        <v>0</v>
      </c>
      <c r="AC110" s="176">
        <v>0</v>
      </c>
      <c r="AD110" s="176">
        <v>0</v>
      </c>
      <c r="AE110" s="176">
        <v>0</v>
      </c>
    </row>
    <row r="111" spans="1:32">
      <c r="C111" s="1593" t="s">
        <v>825</v>
      </c>
      <c r="D111" s="1593" t="s">
        <v>814</v>
      </c>
      <c r="E111" s="1593" t="s">
        <v>29</v>
      </c>
      <c r="F111" s="1593" t="s">
        <v>814</v>
      </c>
      <c r="G111" s="1610" t="s">
        <v>825</v>
      </c>
      <c r="H111" s="1611">
        <v>3</v>
      </c>
      <c r="I111" s="220">
        <f t="shared" si="22"/>
        <v>0</v>
      </c>
      <c r="J111" s="220">
        <f t="shared" si="23"/>
        <v>0</v>
      </c>
      <c r="K111" s="23"/>
      <c r="L111" s="176">
        <v>0</v>
      </c>
      <c r="M111" s="176">
        <v>0</v>
      </c>
      <c r="N111" s="176">
        <v>0</v>
      </c>
      <c r="O111" s="176">
        <v>0</v>
      </c>
      <c r="P111" s="176">
        <v>0</v>
      </c>
      <c r="Q111" s="176">
        <v>0</v>
      </c>
      <c r="R111" s="176">
        <v>0</v>
      </c>
      <c r="S111" s="176">
        <v>0</v>
      </c>
      <c r="T111" s="176">
        <v>0</v>
      </c>
      <c r="U111" s="176">
        <v>0</v>
      </c>
      <c r="V111" s="176">
        <v>0</v>
      </c>
      <c r="W111" s="176">
        <v>0</v>
      </c>
      <c r="X111" s="176">
        <v>0</v>
      </c>
      <c r="Y111" s="176">
        <v>0</v>
      </c>
      <c r="Z111" s="176">
        <v>0</v>
      </c>
      <c r="AA111" s="176">
        <v>0</v>
      </c>
      <c r="AB111" s="176">
        <v>0</v>
      </c>
      <c r="AC111" s="176">
        <v>0</v>
      </c>
      <c r="AD111" s="176">
        <v>0</v>
      </c>
      <c r="AE111" s="176">
        <v>0</v>
      </c>
    </row>
    <row r="112" spans="1:32">
      <c r="C112" s="1593" t="s">
        <v>826</v>
      </c>
      <c r="D112" s="1593" t="s">
        <v>814</v>
      </c>
      <c r="E112" s="1593" t="s">
        <v>29</v>
      </c>
      <c r="F112" s="1593" t="s">
        <v>814</v>
      </c>
      <c r="G112" s="1610" t="s">
        <v>827</v>
      </c>
      <c r="H112" s="1611">
        <v>4</v>
      </c>
      <c r="I112" s="220">
        <f t="shared" si="22"/>
        <v>0.78660408000000004</v>
      </c>
      <c r="J112" s="220">
        <f t="shared" si="23"/>
        <v>0.21339591999999996</v>
      </c>
      <c r="K112" s="23"/>
      <c r="L112" s="176">
        <v>0</v>
      </c>
      <c r="M112" s="176">
        <v>0</v>
      </c>
      <c r="N112" s="176">
        <v>0</v>
      </c>
      <c r="O112" s="176">
        <v>0</v>
      </c>
      <c r="P112" s="1596">
        <v>4185</v>
      </c>
      <c r="Q112" s="1597">
        <v>4048</v>
      </c>
      <c r="R112" s="1597">
        <v>5017</v>
      </c>
      <c r="S112" s="1597">
        <v>5837</v>
      </c>
      <c r="T112" s="1597">
        <v>6220</v>
      </c>
      <c r="U112" s="1597">
        <v>6268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176">
        <v>0</v>
      </c>
      <c r="AD112" s="176">
        <v>0</v>
      </c>
      <c r="AE112" s="176">
        <v>0</v>
      </c>
    </row>
    <row r="113" spans="3:31">
      <c r="C113" s="1593" t="s">
        <v>828</v>
      </c>
      <c r="D113" s="1593" t="s">
        <v>814</v>
      </c>
      <c r="E113" s="1593" t="s">
        <v>29</v>
      </c>
      <c r="F113" s="1593" t="s">
        <v>814</v>
      </c>
      <c r="G113" s="1610" t="s">
        <v>827</v>
      </c>
      <c r="H113" s="1612" t="s">
        <v>824</v>
      </c>
      <c r="I113" s="220">
        <f t="shared" si="22"/>
        <v>0.78660408000000004</v>
      </c>
      <c r="J113" s="220">
        <f t="shared" si="23"/>
        <v>0.21339591999999996</v>
      </c>
      <c r="K113" s="23"/>
      <c r="L113" s="176">
        <v>0</v>
      </c>
      <c r="M113" s="176">
        <v>0</v>
      </c>
      <c r="N113" s="176">
        <v>0</v>
      </c>
      <c r="O113" s="176">
        <v>0</v>
      </c>
      <c r="P113" s="1591">
        <v>779</v>
      </c>
      <c r="Q113" s="1592">
        <v>879</v>
      </c>
      <c r="R113" s="1597">
        <v>1093</v>
      </c>
      <c r="S113" s="1597">
        <v>1378</v>
      </c>
      <c r="T113" s="1597">
        <v>1378</v>
      </c>
      <c r="U113" s="1597">
        <v>1378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176">
        <v>0</v>
      </c>
      <c r="AD113" s="176">
        <v>0</v>
      </c>
      <c r="AE113" s="176">
        <v>0</v>
      </c>
    </row>
    <row r="114" spans="3:31">
      <c r="C114" s="1593" t="s">
        <v>829</v>
      </c>
      <c r="D114" s="1593" t="s">
        <v>814</v>
      </c>
      <c r="E114" s="1593" t="s">
        <v>29</v>
      </c>
      <c r="F114" s="1593" t="s">
        <v>814</v>
      </c>
      <c r="G114" s="1610" t="s">
        <v>827</v>
      </c>
      <c r="H114" s="1612" t="s">
        <v>824</v>
      </c>
      <c r="I114" s="220">
        <f t="shared" si="22"/>
        <v>0.78660408000000004</v>
      </c>
      <c r="J114" s="220">
        <f t="shared" si="23"/>
        <v>0.21339591999999996</v>
      </c>
      <c r="K114" s="23"/>
      <c r="L114" s="176">
        <v>0</v>
      </c>
      <c r="M114" s="176">
        <v>0</v>
      </c>
      <c r="N114" s="176">
        <v>0</v>
      </c>
      <c r="O114" s="176">
        <v>0</v>
      </c>
      <c r="P114" s="1591">
        <v>833</v>
      </c>
      <c r="Q114" s="1592">
        <v>914</v>
      </c>
      <c r="R114" s="1597">
        <v>1162</v>
      </c>
      <c r="S114" s="1597">
        <v>1340</v>
      </c>
      <c r="T114" s="1597">
        <v>1340</v>
      </c>
      <c r="U114" s="1597">
        <v>1340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176">
        <v>0</v>
      </c>
      <c r="AD114" s="176">
        <v>0</v>
      </c>
      <c r="AE114" s="176">
        <v>0</v>
      </c>
    </row>
    <row r="115" spans="3:31">
      <c r="C115" s="1593" t="s">
        <v>830</v>
      </c>
      <c r="D115" s="1593" t="s">
        <v>814</v>
      </c>
      <c r="E115" s="1593" t="s">
        <v>29</v>
      </c>
      <c r="F115" s="1593" t="s">
        <v>814</v>
      </c>
      <c r="G115" s="1610" t="s">
        <v>827</v>
      </c>
      <c r="H115" s="1612" t="s">
        <v>824</v>
      </c>
      <c r="I115" s="220">
        <f t="shared" si="22"/>
        <v>0</v>
      </c>
      <c r="J115" s="220">
        <f t="shared" si="23"/>
        <v>0</v>
      </c>
      <c r="K115" s="23"/>
      <c r="L115" s="176">
        <v>0</v>
      </c>
      <c r="M115" s="176">
        <v>0</v>
      </c>
      <c r="N115" s="176">
        <v>0</v>
      </c>
      <c r="O115" s="176">
        <v>0</v>
      </c>
      <c r="P115" s="176">
        <v>0</v>
      </c>
      <c r="Q115" s="176">
        <v>0</v>
      </c>
      <c r="R115" s="176">
        <v>0</v>
      </c>
      <c r="S115" s="176">
        <v>0</v>
      </c>
      <c r="T115" s="176">
        <v>0</v>
      </c>
      <c r="U115" s="176">
        <v>0</v>
      </c>
      <c r="V115" s="176">
        <v>0</v>
      </c>
      <c r="W115" s="176">
        <v>0</v>
      </c>
      <c r="X115" s="176">
        <v>0</v>
      </c>
      <c r="Y115" s="176">
        <v>0</v>
      </c>
      <c r="Z115" s="176">
        <v>0</v>
      </c>
      <c r="AA115" s="176">
        <v>0</v>
      </c>
      <c r="AB115" s="176">
        <v>0</v>
      </c>
      <c r="AC115" s="176">
        <v>0</v>
      </c>
      <c r="AD115" s="176">
        <v>0</v>
      </c>
      <c r="AE115" s="176">
        <v>0</v>
      </c>
    </row>
    <row r="116" spans="3:31">
      <c r="C116" s="1593" t="s">
        <v>831</v>
      </c>
      <c r="D116" s="1593" t="s">
        <v>814</v>
      </c>
      <c r="E116" s="1593" t="s">
        <v>29</v>
      </c>
      <c r="F116" s="1593" t="s">
        <v>814</v>
      </c>
      <c r="G116" s="1610" t="s">
        <v>827</v>
      </c>
      <c r="H116" s="1612" t="s">
        <v>824</v>
      </c>
      <c r="I116" s="220">
        <f t="shared" si="22"/>
        <v>0.78660408000000004</v>
      </c>
      <c r="J116" s="220">
        <f t="shared" si="23"/>
        <v>0.21339591999999996</v>
      </c>
      <c r="K116" s="23"/>
      <c r="L116" s="176">
        <v>0</v>
      </c>
      <c r="M116" s="176">
        <v>0</v>
      </c>
      <c r="N116" s="176">
        <v>0</v>
      </c>
      <c r="O116" s="176">
        <v>0</v>
      </c>
      <c r="P116" s="1591">
        <v>435</v>
      </c>
      <c r="Q116" s="1592">
        <v>423</v>
      </c>
      <c r="R116" s="1592">
        <v>453</v>
      </c>
      <c r="S116" s="1592">
        <v>774</v>
      </c>
      <c r="T116" s="1592">
        <v>778</v>
      </c>
      <c r="U116" s="1592">
        <v>779</v>
      </c>
      <c r="V116" s="176">
        <v>0</v>
      </c>
      <c r="W116" s="176">
        <v>0</v>
      </c>
      <c r="X116" s="176">
        <v>0</v>
      </c>
      <c r="Y116" s="176">
        <v>0</v>
      </c>
      <c r="Z116" s="176">
        <v>0</v>
      </c>
      <c r="AA116" s="176">
        <v>0</v>
      </c>
      <c r="AB116" s="176">
        <v>0</v>
      </c>
      <c r="AC116" s="176">
        <v>0</v>
      </c>
      <c r="AD116" s="176">
        <v>0</v>
      </c>
      <c r="AE116" s="176">
        <v>0</v>
      </c>
    </row>
    <row r="117" spans="3:31">
      <c r="C117" s="1593" t="s">
        <v>832</v>
      </c>
      <c r="D117" s="1593" t="s">
        <v>814</v>
      </c>
      <c r="E117" s="1593" t="s">
        <v>29</v>
      </c>
      <c r="F117" s="1593" t="s">
        <v>814</v>
      </c>
      <c r="G117" s="1610" t="s">
        <v>820</v>
      </c>
      <c r="H117" s="1612" t="s">
        <v>824</v>
      </c>
      <c r="I117" s="220">
        <f t="shared" si="22"/>
        <v>0.83032225999999998</v>
      </c>
      <c r="J117" s="220">
        <f t="shared" si="23"/>
        <v>0.16967774000000002</v>
      </c>
      <c r="K117" s="23"/>
      <c r="L117" s="176">
        <v>0</v>
      </c>
      <c r="M117" s="176">
        <v>0</v>
      </c>
      <c r="N117" s="176">
        <v>0</v>
      </c>
      <c r="O117" s="176">
        <v>0</v>
      </c>
      <c r="P117" s="1591">
        <v>453</v>
      </c>
      <c r="Q117" s="1592">
        <v>249</v>
      </c>
      <c r="R117" s="1592">
        <v>389</v>
      </c>
      <c r="S117" s="1592">
        <v>383</v>
      </c>
      <c r="T117" s="1592">
        <v>376</v>
      </c>
      <c r="U117" s="1592">
        <v>370</v>
      </c>
      <c r="V117" s="176">
        <v>0</v>
      </c>
      <c r="W117" s="176">
        <v>0</v>
      </c>
      <c r="X117" s="176">
        <v>0</v>
      </c>
      <c r="Y117" s="176">
        <v>0</v>
      </c>
      <c r="Z117" s="176">
        <v>0</v>
      </c>
      <c r="AA117" s="176">
        <v>0</v>
      </c>
      <c r="AB117" s="176">
        <v>0</v>
      </c>
      <c r="AC117" s="176">
        <v>0</v>
      </c>
      <c r="AD117" s="176">
        <v>0</v>
      </c>
      <c r="AE117" s="176">
        <v>0</v>
      </c>
    </row>
    <row r="118" spans="3:31">
      <c r="C118" s="1593" t="s">
        <v>833</v>
      </c>
      <c r="D118" s="1593" t="s">
        <v>814</v>
      </c>
      <c r="E118" s="1593" t="s">
        <v>29</v>
      </c>
      <c r="F118" s="1593" t="s">
        <v>814</v>
      </c>
      <c r="G118" s="1610" t="s">
        <v>834</v>
      </c>
      <c r="H118" s="1611">
        <v>5</v>
      </c>
      <c r="I118" s="220">
        <f t="shared" si="22"/>
        <v>0.82244038000000008</v>
      </c>
      <c r="J118" s="220">
        <f t="shared" si="23"/>
        <v>0.17755961999999992</v>
      </c>
      <c r="K118" s="23"/>
      <c r="L118" s="176">
        <v>0</v>
      </c>
      <c r="M118" s="176">
        <v>0</v>
      </c>
      <c r="N118" s="176">
        <v>0</v>
      </c>
      <c r="O118" s="176">
        <v>0</v>
      </c>
      <c r="P118" s="1596">
        <v>2574</v>
      </c>
      <c r="Q118" s="1597">
        <v>2734</v>
      </c>
      <c r="R118" s="1597">
        <v>2921</v>
      </c>
      <c r="S118" s="1597">
        <v>2947</v>
      </c>
      <c r="T118" s="1597">
        <v>2997</v>
      </c>
      <c r="U118" s="1597">
        <v>2997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176">
        <v>0</v>
      </c>
      <c r="AD118" s="176">
        <v>0</v>
      </c>
      <c r="AE118" s="176">
        <v>0</v>
      </c>
    </row>
    <row r="119" spans="3:31">
      <c r="C119" s="1593" t="s">
        <v>835</v>
      </c>
      <c r="D119" s="1593" t="s">
        <v>814</v>
      </c>
      <c r="E119" s="1593" t="s">
        <v>29</v>
      </c>
      <c r="F119" s="1593" t="s">
        <v>814</v>
      </c>
      <c r="G119" s="1610" t="s">
        <v>835</v>
      </c>
      <c r="H119" s="1611">
        <v>6</v>
      </c>
      <c r="I119" s="220">
        <f t="shared" si="22"/>
        <v>0.82244038000000008</v>
      </c>
      <c r="J119" s="220">
        <f t="shared" si="23"/>
        <v>0.17755961999999992</v>
      </c>
      <c r="K119" s="23"/>
      <c r="L119" s="176">
        <v>0</v>
      </c>
      <c r="M119" s="176">
        <v>0</v>
      </c>
      <c r="N119" s="176">
        <v>0</v>
      </c>
      <c r="O119" s="176">
        <v>0</v>
      </c>
      <c r="P119" s="1596">
        <v>1660</v>
      </c>
      <c r="Q119" s="1597">
        <v>1612</v>
      </c>
      <c r="R119" s="1597">
        <v>2319</v>
      </c>
      <c r="S119" s="1597">
        <v>2907</v>
      </c>
      <c r="T119" s="1597">
        <v>3028</v>
      </c>
      <c r="U119" s="1597">
        <v>3266</v>
      </c>
      <c r="V119" s="176">
        <v>0</v>
      </c>
      <c r="W119" s="176">
        <v>0</v>
      </c>
      <c r="X119" s="176">
        <v>0</v>
      </c>
      <c r="Y119" s="176">
        <v>0</v>
      </c>
      <c r="Z119" s="176">
        <v>0</v>
      </c>
      <c r="AA119" s="176">
        <v>0</v>
      </c>
      <c r="AB119" s="176">
        <v>0</v>
      </c>
      <c r="AC119" s="176">
        <v>0</v>
      </c>
      <c r="AD119" s="176">
        <v>0</v>
      </c>
      <c r="AE119" s="176">
        <v>0</v>
      </c>
    </row>
    <row r="120" spans="3:31">
      <c r="C120" s="1593" t="s">
        <v>836</v>
      </c>
      <c r="D120" s="1593" t="s">
        <v>814</v>
      </c>
      <c r="E120" s="1593" t="s">
        <v>29</v>
      </c>
      <c r="F120" s="1593" t="s">
        <v>814</v>
      </c>
      <c r="G120" s="1610" t="s">
        <v>820</v>
      </c>
      <c r="H120" s="1612" t="s">
        <v>824</v>
      </c>
      <c r="I120" s="220">
        <f t="shared" si="22"/>
        <v>0.82244038000000008</v>
      </c>
      <c r="J120" s="220">
        <f t="shared" si="23"/>
        <v>0.17755961999999992</v>
      </c>
      <c r="K120" s="23"/>
      <c r="L120" s="176">
        <v>0</v>
      </c>
      <c r="M120" s="176">
        <v>0</v>
      </c>
      <c r="N120" s="176">
        <v>0</v>
      </c>
      <c r="O120" s="176">
        <v>0</v>
      </c>
      <c r="P120" s="176">
        <v>0</v>
      </c>
      <c r="Q120" s="176">
        <v>0</v>
      </c>
      <c r="R120" s="176">
        <v>0</v>
      </c>
      <c r="S120" s="1592">
        <v>190</v>
      </c>
      <c r="T120" s="1592">
        <v>280</v>
      </c>
      <c r="U120" s="1592">
        <v>274</v>
      </c>
      <c r="V120" s="176">
        <v>0</v>
      </c>
      <c r="W120" s="176">
        <v>0</v>
      </c>
      <c r="X120" s="176">
        <v>0</v>
      </c>
      <c r="Y120" s="176">
        <v>0</v>
      </c>
      <c r="Z120" s="176">
        <v>0</v>
      </c>
      <c r="AA120" s="176">
        <v>0</v>
      </c>
      <c r="AB120" s="176">
        <v>0</v>
      </c>
      <c r="AC120" s="176">
        <v>0</v>
      </c>
      <c r="AD120" s="176">
        <v>0</v>
      </c>
      <c r="AE120" s="176">
        <v>0</v>
      </c>
    </row>
    <row r="121" spans="3:31">
      <c r="C121" s="1593" t="s">
        <v>837</v>
      </c>
      <c r="D121" s="1593" t="s">
        <v>814</v>
      </c>
      <c r="E121" s="1593" t="s">
        <v>29</v>
      </c>
      <c r="F121" s="1593" t="s">
        <v>814</v>
      </c>
      <c r="G121" s="1610" t="s">
        <v>837</v>
      </c>
      <c r="H121" s="1611">
        <v>7</v>
      </c>
      <c r="I121" s="220">
        <f t="shared" si="22"/>
        <v>0.82244038000000008</v>
      </c>
      <c r="J121" s="220">
        <f t="shared" si="23"/>
        <v>0.17755961999999992</v>
      </c>
      <c r="K121" s="23"/>
      <c r="L121" s="176">
        <v>0</v>
      </c>
      <c r="M121" s="176">
        <v>0</v>
      </c>
      <c r="N121" s="176">
        <v>0</v>
      </c>
      <c r="O121" s="176">
        <v>0</v>
      </c>
      <c r="P121" s="1596">
        <v>1013</v>
      </c>
      <c r="Q121" s="1592">
        <v>414</v>
      </c>
      <c r="R121" s="1597">
        <v>1118</v>
      </c>
      <c r="S121" s="1597">
        <v>1626</v>
      </c>
      <c r="T121" s="1597">
        <v>1545</v>
      </c>
      <c r="U121" s="1597">
        <v>1625</v>
      </c>
      <c r="V121" s="176">
        <v>0</v>
      </c>
      <c r="W121" s="176">
        <v>0</v>
      </c>
      <c r="X121" s="176">
        <v>0</v>
      </c>
      <c r="Y121" s="176">
        <v>0</v>
      </c>
      <c r="Z121" s="176">
        <v>0</v>
      </c>
      <c r="AA121" s="176">
        <v>0</v>
      </c>
      <c r="AB121" s="176">
        <v>0</v>
      </c>
      <c r="AC121" s="176">
        <v>0</v>
      </c>
      <c r="AD121" s="176">
        <v>0</v>
      </c>
      <c r="AE121" s="176">
        <v>0</v>
      </c>
    </row>
    <row r="122" spans="3:31">
      <c r="C122" s="1593" t="s">
        <v>838</v>
      </c>
      <c r="D122" s="1593" t="s">
        <v>814</v>
      </c>
      <c r="E122" s="1593" t="s">
        <v>29</v>
      </c>
      <c r="F122" s="1593" t="s">
        <v>814</v>
      </c>
      <c r="G122" s="1610" t="s">
        <v>838</v>
      </c>
      <c r="H122" s="1611">
        <v>8</v>
      </c>
      <c r="I122" s="220">
        <f t="shared" si="22"/>
        <v>0</v>
      </c>
      <c r="J122" s="220">
        <f t="shared" si="23"/>
        <v>0</v>
      </c>
      <c r="K122" s="23"/>
      <c r="L122" s="176">
        <v>0</v>
      </c>
      <c r="M122" s="176">
        <v>0</v>
      </c>
      <c r="N122" s="176">
        <v>0</v>
      </c>
      <c r="O122" s="176">
        <v>0</v>
      </c>
      <c r="P122" s="176">
        <v>0</v>
      </c>
      <c r="Q122" s="176">
        <v>0</v>
      </c>
      <c r="R122" s="176">
        <v>0</v>
      </c>
      <c r="S122" s="176">
        <v>0</v>
      </c>
      <c r="T122" s="176">
        <v>0</v>
      </c>
      <c r="U122" s="176">
        <v>0</v>
      </c>
      <c r="V122" s="176">
        <v>0</v>
      </c>
      <c r="W122" s="176">
        <v>0</v>
      </c>
      <c r="X122" s="176">
        <v>0</v>
      </c>
      <c r="Y122" s="176">
        <v>0</v>
      </c>
      <c r="Z122" s="176">
        <v>0</v>
      </c>
      <c r="AA122" s="176">
        <v>0</v>
      </c>
      <c r="AB122" s="176">
        <v>0</v>
      </c>
      <c r="AC122" s="176">
        <v>0</v>
      </c>
      <c r="AD122" s="176">
        <v>0</v>
      </c>
      <c r="AE122" s="176">
        <v>0</v>
      </c>
    </row>
    <row r="123" spans="3:31">
      <c r="C123" s="1593" t="s">
        <v>839</v>
      </c>
      <c r="D123" s="1593" t="s">
        <v>814</v>
      </c>
      <c r="E123" s="1593" t="s">
        <v>29</v>
      </c>
      <c r="F123" s="1593" t="s">
        <v>814</v>
      </c>
      <c r="G123" s="1610" t="s">
        <v>840</v>
      </c>
      <c r="H123" s="1611">
        <v>9</v>
      </c>
      <c r="I123" s="220">
        <f t="shared" si="22"/>
        <v>0.82244038000000008</v>
      </c>
      <c r="J123" s="220">
        <f t="shared" si="23"/>
        <v>0.17755961999999992</v>
      </c>
      <c r="K123" s="23"/>
      <c r="L123" s="176">
        <v>0</v>
      </c>
      <c r="M123" s="176">
        <v>0</v>
      </c>
      <c r="N123" s="176">
        <v>0</v>
      </c>
      <c r="O123" s="176">
        <v>0</v>
      </c>
      <c r="P123" s="1591">
        <v>949</v>
      </c>
      <c r="Q123" s="1592">
        <v>809</v>
      </c>
      <c r="R123" s="1597">
        <v>1594</v>
      </c>
      <c r="S123" s="1597">
        <v>1399</v>
      </c>
      <c r="T123" s="1597">
        <v>1455</v>
      </c>
      <c r="U123" s="1597">
        <v>1400</v>
      </c>
      <c r="V123" s="176">
        <v>0</v>
      </c>
      <c r="W123" s="176">
        <v>0</v>
      </c>
      <c r="X123" s="176">
        <v>0</v>
      </c>
      <c r="Y123" s="176">
        <v>0</v>
      </c>
      <c r="Z123" s="176">
        <v>0</v>
      </c>
      <c r="AA123" s="176">
        <v>0</v>
      </c>
      <c r="AB123" s="176">
        <v>0</v>
      </c>
      <c r="AC123" s="176">
        <v>0</v>
      </c>
      <c r="AD123" s="176">
        <v>0</v>
      </c>
      <c r="AE123" s="176">
        <v>0</v>
      </c>
    </row>
    <row r="124" spans="3:31">
      <c r="C124" s="1593" t="s">
        <v>841</v>
      </c>
      <c r="D124" s="1593" t="s">
        <v>814</v>
      </c>
      <c r="E124" s="1593" t="s">
        <v>29</v>
      </c>
      <c r="F124" s="1593" t="s">
        <v>814</v>
      </c>
      <c r="G124" s="1610" t="s">
        <v>820</v>
      </c>
      <c r="H124" s="1612" t="s">
        <v>824</v>
      </c>
      <c r="I124" s="220">
        <f t="shared" si="22"/>
        <v>0.82244038000000008</v>
      </c>
      <c r="J124" s="220">
        <f t="shared" si="23"/>
        <v>0.17755961999999992</v>
      </c>
      <c r="K124" s="23"/>
      <c r="L124" s="176">
        <v>0</v>
      </c>
      <c r="M124" s="176">
        <v>0</v>
      </c>
      <c r="N124" s="176">
        <v>0</v>
      </c>
      <c r="O124" s="176">
        <v>0</v>
      </c>
      <c r="P124" s="176">
        <v>0</v>
      </c>
      <c r="Q124" s="176">
        <v>0</v>
      </c>
      <c r="R124" s="1592">
        <v>161</v>
      </c>
      <c r="S124" s="1592">
        <v>332</v>
      </c>
      <c r="T124" s="1592">
        <v>332</v>
      </c>
      <c r="U124" s="1592">
        <v>332</v>
      </c>
      <c r="V124" s="176">
        <v>0</v>
      </c>
      <c r="W124" s="176">
        <v>0</v>
      </c>
      <c r="X124" s="176">
        <v>0</v>
      </c>
      <c r="Y124" s="176">
        <v>0</v>
      </c>
      <c r="Z124" s="176">
        <v>0</v>
      </c>
      <c r="AA124" s="176">
        <v>0</v>
      </c>
      <c r="AB124" s="176">
        <v>0</v>
      </c>
      <c r="AC124" s="176">
        <v>0</v>
      </c>
      <c r="AD124" s="176">
        <v>0</v>
      </c>
      <c r="AE124" s="176">
        <v>0</v>
      </c>
    </row>
    <row r="125" spans="3:31">
      <c r="C125" s="1593" t="s">
        <v>842</v>
      </c>
      <c r="D125" s="1593" t="s">
        <v>814</v>
      </c>
      <c r="E125" s="1593" t="s">
        <v>29</v>
      </c>
      <c r="F125" s="1593" t="s">
        <v>814</v>
      </c>
      <c r="G125" s="1610" t="s">
        <v>842</v>
      </c>
      <c r="H125" s="1611">
        <v>10</v>
      </c>
      <c r="I125" s="220">
        <f t="shared" si="22"/>
        <v>0</v>
      </c>
      <c r="J125" s="220">
        <f t="shared" si="23"/>
        <v>0</v>
      </c>
      <c r="K125" s="23"/>
      <c r="L125" s="176">
        <v>0</v>
      </c>
      <c r="M125" s="176">
        <v>0</v>
      </c>
      <c r="N125" s="176">
        <v>0</v>
      </c>
      <c r="O125" s="176">
        <v>0</v>
      </c>
      <c r="P125" s="176">
        <v>0</v>
      </c>
      <c r="Q125" s="176">
        <v>0</v>
      </c>
      <c r="R125" s="176">
        <v>0</v>
      </c>
      <c r="S125" s="176">
        <v>0</v>
      </c>
      <c r="T125" s="176">
        <v>0</v>
      </c>
      <c r="U125" s="176">
        <v>0</v>
      </c>
      <c r="V125" s="176">
        <v>0</v>
      </c>
      <c r="W125" s="176">
        <v>0</v>
      </c>
      <c r="X125" s="176">
        <v>0</v>
      </c>
      <c r="Y125" s="176">
        <v>0</v>
      </c>
      <c r="Z125" s="176">
        <v>0</v>
      </c>
      <c r="AA125" s="176">
        <v>0</v>
      </c>
      <c r="AB125" s="176">
        <v>0</v>
      </c>
      <c r="AC125" s="176">
        <v>0</v>
      </c>
      <c r="AD125" s="176">
        <v>0</v>
      </c>
      <c r="AE125" s="176">
        <v>0</v>
      </c>
    </row>
    <row r="126" spans="3:31">
      <c r="C126" s="1593" t="s">
        <v>843</v>
      </c>
      <c r="D126" s="1593" t="s">
        <v>814</v>
      </c>
      <c r="E126" s="1593" t="s">
        <v>29</v>
      </c>
      <c r="F126" s="1593" t="s">
        <v>814</v>
      </c>
      <c r="G126" s="1610" t="s">
        <v>820</v>
      </c>
      <c r="H126" s="1612" t="s">
        <v>824</v>
      </c>
      <c r="I126" s="220">
        <f t="shared" si="22"/>
        <v>0.82244038000000008</v>
      </c>
      <c r="J126" s="220">
        <f t="shared" si="23"/>
        <v>0.17755961999999992</v>
      </c>
      <c r="K126" s="23"/>
      <c r="L126" s="176">
        <v>0</v>
      </c>
      <c r="M126" s="176">
        <v>0</v>
      </c>
      <c r="N126" s="176">
        <v>0</v>
      </c>
      <c r="O126" s="176">
        <v>0</v>
      </c>
      <c r="P126" s="1591">
        <v>538</v>
      </c>
      <c r="Q126" s="1592">
        <v>520</v>
      </c>
      <c r="R126" s="1592">
        <v>527</v>
      </c>
      <c r="S126" s="1592">
        <v>799</v>
      </c>
      <c r="T126" s="1592">
        <v>799</v>
      </c>
      <c r="U126" s="1592">
        <v>799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176">
        <v>0</v>
      </c>
      <c r="AD126" s="176">
        <v>0</v>
      </c>
      <c r="AE126" s="176">
        <v>0</v>
      </c>
    </row>
    <row r="127" spans="3:31">
      <c r="C127" s="1593" t="s">
        <v>844</v>
      </c>
      <c r="D127" s="1593" t="s">
        <v>814</v>
      </c>
      <c r="E127" s="1593" t="s">
        <v>29</v>
      </c>
      <c r="F127" s="1593" t="s">
        <v>814</v>
      </c>
      <c r="G127" s="1610" t="s">
        <v>820</v>
      </c>
      <c r="H127" s="1612" t="s">
        <v>824</v>
      </c>
      <c r="I127" s="220">
        <f t="shared" si="22"/>
        <v>0</v>
      </c>
      <c r="J127" s="220">
        <f t="shared" si="23"/>
        <v>0</v>
      </c>
      <c r="K127" s="23"/>
      <c r="L127" s="176">
        <v>0</v>
      </c>
      <c r="M127" s="176">
        <v>0</v>
      </c>
      <c r="N127" s="176">
        <v>0</v>
      </c>
      <c r="O127" s="176">
        <v>0</v>
      </c>
      <c r="P127" s="176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176">
        <v>0</v>
      </c>
      <c r="AD127" s="176">
        <v>0</v>
      </c>
      <c r="AE127" s="176">
        <v>0</v>
      </c>
    </row>
    <row r="128" spans="3:31" s="36" customFormat="1">
      <c r="C128" s="1593" t="s">
        <v>845</v>
      </c>
      <c r="D128" s="1593" t="s">
        <v>814</v>
      </c>
      <c r="E128" s="1593" t="s">
        <v>29</v>
      </c>
      <c r="F128" s="1593" t="s">
        <v>814</v>
      </c>
      <c r="G128" s="1610" t="s">
        <v>820</v>
      </c>
      <c r="H128" s="1612" t="s">
        <v>824</v>
      </c>
      <c r="I128" s="220">
        <f t="shared" si="22"/>
        <v>0.82244038000000008</v>
      </c>
      <c r="J128" s="220">
        <f t="shared" si="23"/>
        <v>0.17755961999999992</v>
      </c>
      <c r="K128" s="23"/>
      <c r="L128" s="176">
        <v>0</v>
      </c>
      <c r="M128" s="176">
        <v>0</v>
      </c>
      <c r="N128" s="176">
        <v>0</v>
      </c>
      <c r="O128" s="176">
        <v>0</v>
      </c>
      <c r="P128" s="176">
        <v>0</v>
      </c>
      <c r="Q128" s="1592">
        <v>339</v>
      </c>
      <c r="R128" s="1592">
        <v>693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176">
        <v>0</v>
      </c>
      <c r="AD128" s="176">
        <v>0</v>
      </c>
      <c r="AE128" s="176">
        <v>0</v>
      </c>
    </row>
    <row r="129" spans="2:31" s="36" customFormat="1">
      <c r="C129" s="1593" t="s">
        <v>846</v>
      </c>
      <c r="D129" s="1593" t="s">
        <v>814</v>
      </c>
      <c r="E129" s="1593" t="s">
        <v>29</v>
      </c>
      <c r="F129" s="1593" t="s">
        <v>814</v>
      </c>
      <c r="G129" s="1610" t="s">
        <v>820</v>
      </c>
      <c r="H129" s="1612" t="s">
        <v>824</v>
      </c>
      <c r="I129" s="220">
        <f t="shared" si="22"/>
        <v>0.82244038000000008</v>
      </c>
      <c r="J129" s="220">
        <f t="shared" si="23"/>
        <v>0.17755961999999992</v>
      </c>
      <c r="K129" s="23"/>
      <c r="L129" s="176">
        <v>0</v>
      </c>
      <c r="M129" s="176">
        <v>0</v>
      </c>
      <c r="N129" s="176">
        <v>0</v>
      </c>
      <c r="O129" s="176">
        <v>0</v>
      </c>
      <c r="P129" s="176">
        <v>0</v>
      </c>
      <c r="Q129" s="1592">
        <v>873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176">
        <v>0</v>
      </c>
      <c r="AD129" s="176">
        <v>0</v>
      </c>
      <c r="AE129" s="176">
        <v>0</v>
      </c>
    </row>
    <row r="130" spans="2:31" s="36" customFormat="1">
      <c r="C130" s="1593" t="s">
        <v>847</v>
      </c>
      <c r="D130" s="1593" t="s">
        <v>814</v>
      </c>
      <c r="E130" s="1593" t="s">
        <v>29</v>
      </c>
      <c r="F130" s="1593" t="s">
        <v>814</v>
      </c>
      <c r="G130" s="1610" t="s">
        <v>820</v>
      </c>
      <c r="H130" s="1612" t="s">
        <v>824</v>
      </c>
      <c r="I130" s="220">
        <f t="shared" si="22"/>
        <v>0.82244038000000008</v>
      </c>
      <c r="J130" s="220">
        <f t="shared" si="23"/>
        <v>0.17755961999999992</v>
      </c>
      <c r="K130" s="23"/>
      <c r="L130" s="176">
        <v>0</v>
      </c>
      <c r="M130" s="176">
        <v>0</v>
      </c>
      <c r="N130" s="176">
        <v>0</v>
      </c>
      <c r="O130" s="176">
        <v>0</v>
      </c>
      <c r="P130" s="1591">
        <v>355</v>
      </c>
      <c r="Q130" s="1592">
        <v>83</v>
      </c>
      <c r="R130" s="1592">
        <v>350</v>
      </c>
      <c r="S130" s="1597">
        <v>1063</v>
      </c>
      <c r="T130" s="1592">
        <v>819</v>
      </c>
      <c r="U130" s="1592">
        <v>899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176">
        <v>0</v>
      </c>
      <c r="AD130" s="176">
        <v>0</v>
      </c>
      <c r="AE130" s="176">
        <v>0</v>
      </c>
    </row>
    <row r="131" spans="2:31">
      <c r="C131" s="1593" t="s">
        <v>848</v>
      </c>
      <c r="D131" s="1593" t="s">
        <v>814</v>
      </c>
      <c r="E131" s="1593" t="s">
        <v>29</v>
      </c>
      <c r="F131" s="1593" t="s">
        <v>814</v>
      </c>
      <c r="G131" s="1610" t="s">
        <v>820</v>
      </c>
      <c r="H131" s="1612" t="s">
        <v>824</v>
      </c>
      <c r="I131" s="220">
        <f t="shared" si="22"/>
        <v>0.82244038000000008</v>
      </c>
      <c r="J131" s="220">
        <f t="shared" si="23"/>
        <v>0.17755961999999992</v>
      </c>
      <c r="K131" s="23"/>
      <c r="L131" s="176">
        <v>0</v>
      </c>
      <c r="M131" s="176">
        <v>0</v>
      </c>
      <c r="N131" s="176">
        <v>0</v>
      </c>
      <c r="O131" s="176">
        <v>0</v>
      </c>
      <c r="P131" s="1591">
        <v>523</v>
      </c>
      <c r="Q131" s="1592">
        <v>437</v>
      </c>
      <c r="R131" s="1592">
        <v>761</v>
      </c>
      <c r="S131" s="1597">
        <v>1068</v>
      </c>
      <c r="T131" s="1597">
        <v>1068</v>
      </c>
      <c r="U131" s="1597">
        <v>1068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176">
        <v>0</v>
      </c>
      <c r="AD131" s="176">
        <v>0</v>
      </c>
      <c r="AE131" s="176">
        <v>0</v>
      </c>
    </row>
    <row r="132" spans="2:31">
      <c r="C132" s="1593" t="s">
        <v>831</v>
      </c>
      <c r="D132" s="1593" t="s">
        <v>814</v>
      </c>
      <c r="E132" s="1593" t="s">
        <v>29</v>
      </c>
      <c r="F132" s="1593" t="s">
        <v>814</v>
      </c>
      <c r="G132" s="1610" t="s">
        <v>820</v>
      </c>
      <c r="H132" s="1612" t="s">
        <v>824</v>
      </c>
      <c r="I132" s="220">
        <f t="shared" si="22"/>
        <v>0.82244038000000008</v>
      </c>
      <c r="J132" s="220">
        <f t="shared" si="23"/>
        <v>0.17755961999999992</v>
      </c>
      <c r="K132" s="23"/>
      <c r="L132" s="176">
        <v>0</v>
      </c>
      <c r="M132" s="176">
        <v>0</v>
      </c>
      <c r="N132" s="176">
        <v>0</v>
      </c>
      <c r="O132" s="176">
        <v>0</v>
      </c>
      <c r="P132" s="1596">
        <v>3794</v>
      </c>
      <c r="Q132" s="1592">
        <v>297</v>
      </c>
      <c r="R132" s="1597">
        <v>1290</v>
      </c>
      <c r="S132" s="1597">
        <v>2253</v>
      </c>
      <c r="T132" s="1597">
        <v>2355</v>
      </c>
      <c r="U132" s="1597">
        <v>2360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176">
        <v>0</v>
      </c>
      <c r="AD132" s="176">
        <v>0</v>
      </c>
      <c r="AE132" s="176">
        <v>0</v>
      </c>
    </row>
    <row r="133" spans="2:31">
      <c r="C133" s="1593" t="s">
        <v>849</v>
      </c>
      <c r="D133" s="1593" t="s">
        <v>814</v>
      </c>
      <c r="E133" s="1593" t="s">
        <v>29</v>
      </c>
      <c r="F133" s="1593" t="s">
        <v>814</v>
      </c>
      <c r="G133" s="1610" t="s">
        <v>849</v>
      </c>
      <c r="H133" s="1611">
        <v>11</v>
      </c>
      <c r="I133" s="220">
        <f t="shared" si="22"/>
        <v>0.82467119999999983</v>
      </c>
      <c r="J133" s="220">
        <f t="shared" si="23"/>
        <v>0.17532880000000017</v>
      </c>
      <c r="K133" s="23"/>
      <c r="L133" s="176">
        <v>0</v>
      </c>
      <c r="M133" s="176">
        <v>0</v>
      </c>
      <c r="N133" s="176">
        <v>0</v>
      </c>
      <c r="O133" s="176">
        <v>0</v>
      </c>
      <c r="P133" s="1596">
        <v>11839</v>
      </c>
      <c r="Q133" s="1597">
        <v>10946</v>
      </c>
      <c r="R133" s="1597">
        <v>13035</v>
      </c>
      <c r="S133" s="1597">
        <v>16170</v>
      </c>
      <c r="T133" s="1597">
        <v>16875</v>
      </c>
      <c r="U133" s="1597">
        <v>15224</v>
      </c>
      <c r="V133" s="176">
        <v>0</v>
      </c>
      <c r="W133" s="176">
        <v>0</v>
      </c>
      <c r="X133" s="176">
        <v>0</v>
      </c>
      <c r="Y133" s="176">
        <v>0</v>
      </c>
      <c r="Z133" s="176">
        <v>0</v>
      </c>
      <c r="AA133" s="176">
        <v>0</v>
      </c>
      <c r="AB133" s="176">
        <v>0</v>
      </c>
      <c r="AC133" s="176">
        <v>0</v>
      </c>
      <c r="AD133" s="176">
        <v>0</v>
      </c>
      <c r="AE133" s="176">
        <v>0</v>
      </c>
    </row>
    <row r="134" spans="2:31">
      <c r="C134" s="1593" t="s">
        <v>814</v>
      </c>
      <c r="D134" s="1593" t="s">
        <v>814</v>
      </c>
      <c r="E134" s="1593" t="s">
        <v>814</v>
      </c>
      <c r="F134" s="1593" t="s">
        <v>814</v>
      </c>
      <c r="G134" s="1610" t="s">
        <v>814</v>
      </c>
      <c r="H134" s="1611" t="s">
        <v>814</v>
      </c>
      <c r="I134" s="220"/>
      <c r="J134" s="220"/>
      <c r="K134" s="23"/>
      <c r="L134" s="176">
        <v>0</v>
      </c>
      <c r="M134" s="176">
        <v>0</v>
      </c>
      <c r="N134" s="176">
        <v>0</v>
      </c>
      <c r="O134" s="176">
        <v>0</v>
      </c>
      <c r="P134" s="176">
        <v>0</v>
      </c>
      <c r="Q134" s="176">
        <v>0</v>
      </c>
      <c r="R134" s="176">
        <v>0</v>
      </c>
      <c r="S134" s="176">
        <v>0</v>
      </c>
      <c r="T134" s="176">
        <v>0</v>
      </c>
      <c r="U134" s="176">
        <v>0</v>
      </c>
      <c r="V134" s="176">
        <v>0</v>
      </c>
      <c r="W134" s="176">
        <v>0</v>
      </c>
      <c r="X134" s="176">
        <v>0</v>
      </c>
      <c r="Y134" s="176">
        <v>0</v>
      </c>
      <c r="Z134" s="176">
        <v>0</v>
      </c>
      <c r="AA134" s="176">
        <v>0</v>
      </c>
      <c r="AB134" s="176">
        <v>0</v>
      </c>
      <c r="AC134" s="176">
        <v>0</v>
      </c>
      <c r="AD134" s="176">
        <v>0</v>
      </c>
      <c r="AE134" s="176">
        <v>0</v>
      </c>
    </row>
    <row r="135" spans="2:31">
      <c r="C135" s="1593" t="s">
        <v>814</v>
      </c>
      <c r="D135" s="1593" t="s">
        <v>814</v>
      </c>
      <c r="E135" s="1593" t="s">
        <v>814</v>
      </c>
      <c r="F135" s="1593" t="s">
        <v>814</v>
      </c>
      <c r="G135" s="1610" t="s">
        <v>814</v>
      </c>
      <c r="H135" s="1611" t="s">
        <v>814</v>
      </c>
      <c r="I135" s="220"/>
      <c r="J135" s="220"/>
      <c r="K135" s="23"/>
      <c r="L135" s="176">
        <v>0</v>
      </c>
      <c r="M135" s="176">
        <v>0</v>
      </c>
      <c r="N135" s="176">
        <v>0</v>
      </c>
      <c r="O135" s="176">
        <v>0</v>
      </c>
      <c r="P135" s="176">
        <v>0</v>
      </c>
      <c r="Q135" s="176">
        <v>0</v>
      </c>
      <c r="R135" s="176">
        <v>0</v>
      </c>
      <c r="S135" s="176">
        <v>0</v>
      </c>
      <c r="T135" s="176">
        <v>0</v>
      </c>
      <c r="U135" s="176">
        <v>0</v>
      </c>
      <c r="V135" s="176">
        <v>0</v>
      </c>
      <c r="W135" s="176">
        <v>0</v>
      </c>
      <c r="X135" s="176">
        <v>0</v>
      </c>
      <c r="Y135" s="176">
        <v>0</v>
      </c>
      <c r="Z135" s="176">
        <v>0</v>
      </c>
      <c r="AA135" s="176">
        <v>0</v>
      </c>
      <c r="AB135" s="176">
        <v>0</v>
      </c>
      <c r="AC135" s="176">
        <v>0</v>
      </c>
      <c r="AD135" s="176">
        <v>0</v>
      </c>
      <c r="AE135" s="176">
        <v>0</v>
      </c>
    </row>
    <row r="136" spans="2:31">
      <c r="C136" s="1593" t="s">
        <v>814</v>
      </c>
      <c r="D136" s="1593" t="s">
        <v>814</v>
      </c>
      <c r="E136" s="1593" t="s">
        <v>814</v>
      </c>
      <c r="F136" s="1593" t="s">
        <v>814</v>
      </c>
      <c r="G136" s="1610" t="s">
        <v>814</v>
      </c>
      <c r="H136" s="1611" t="s">
        <v>814</v>
      </c>
      <c r="I136" s="220"/>
      <c r="J136" s="220"/>
      <c r="K136" s="23"/>
      <c r="L136" s="176">
        <v>0</v>
      </c>
      <c r="M136" s="176">
        <v>0</v>
      </c>
      <c r="N136" s="176">
        <v>0</v>
      </c>
      <c r="O136" s="176">
        <v>0</v>
      </c>
      <c r="P136" s="176">
        <v>0</v>
      </c>
      <c r="Q136" s="176">
        <v>0</v>
      </c>
      <c r="R136" s="176">
        <v>0</v>
      </c>
      <c r="S136" s="176">
        <v>0</v>
      </c>
      <c r="T136" s="176">
        <v>0</v>
      </c>
      <c r="U136" s="176">
        <v>0</v>
      </c>
      <c r="V136" s="176">
        <v>0</v>
      </c>
      <c r="W136" s="176">
        <v>0</v>
      </c>
      <c r="X136" s="176">
        <v>0</v>
      </c>
      <c r="Y136" s="176">
        <v>0</v>
      </c>
      <c r="Z136" s="176">
        <v>0</v>
      </c>
      <c r="AA136" s="176">
        <v>0</v>
      </c>
      <c r="AB136" s="176">
        <v>0</v>
      </c>
      <c r="AC136" s="176">
        <v>0</v>
      </c>
      <c r="AD136" s="176">
        <v>0</v>
      </c>
      <c r="AE136" s="176">
        <v>0</v>
      </c>
    </row>
    <row r="137" spans="2:31">
      <c r="C137" s="1593" t="s">
        <v>814</v>
      </c>
      <c r="D137" s="1593" t="s">
        <v>814</v>
      </c>
      <c r="E137" s="1593" t="s">
        <v>814</v>
      </c>
      <c r="F137" s="1593" t="s">
        <v>814</v>
      </c>
      <c r="G137" s="1610" t="s">
        <v>814</v>
      </c>
      <c r="H137" s="1611" t="s">
        <v>814</v>
      </c>
      <c r="I137" s="220"/>
      <c r="J137" s="220"/>
      <c r="K137" s="23"/>
      <c r="L137" s="176">
        <v>0</v>
      </c>
      <c r="M137" s="176">
        <v>0</v>
      </c>
      <c r="N137" s="176">
        <v>0</v>
      </c>
      <c r="O137" s="176">
        <v>0</v>
      </c>
      <c r="P137" s="176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176">
        <v>0</v>
      </c>
      <c r="AD137" s="176">
        <v>0</v>
      </c>
      <c r="AE137" s="176">
        <v>0</v>
      </c>
    </row>
    <row r="138" spans="2:31">
      <c r="C138" s="1593" t="s">
        <v>814</v>
      </c>
      <c r="D138" s="1593" t="s">
        <v>814</v>
      </c>
      <c r="E138" s="1593" t="s">
        <v>814</v>
      </c>
      <c r="F138" s="1593" t="s">
        <v>814</v>
      </c>
      <c r="G138" s="1610" t="s">
        <v>814</v>
      </c>
      <c r="H138" s="1611" t="s">
        <v>814</v>
      </c>
      <c r="I138" s="220"/>
      <c r="J138" s="220"/>
      <c r="K138" s="23"/>
      <c r="L138" s="176">
        <v>0</v>
      </c>
      <c r="M138" s="176">
        <v>0</v>
      </c>
      <c r="N138" s="176">
        <v>0</v>
      </c>
      <c r="O138" s="176">
        <v>0</v>
      </c>
      <c r="P138" s="176">
        <v>0</v>
      </c>
      <c r="Q138" s="176">
        <v>0</v>
      </c>
      <c r="R138" s="176">
        <v>0</v>
      </c>
      <c r="S138" s="176">
        <v>0</v>
      </c>
      <c r="T138" s="176">
        <v>0</v>
      </c>
      <c r="U138" s="176">
        <v>0</v>
      </c>
      <c r="V138" s="176">
        <v>0</v>
      </c>
      <c r="W138" s="176">
        <v>0</v>
      </c>
      <c r="X138" s="176">
        <v>0</v>
      </c>
      <c r="Y138" s="176">
        <v>0</v>
      </c>
      <c r="Z138" s="176">
        <v>0</v>
      </c>
      <c r="AA138" s="176">
        <v>0</v>
      </c>
      <c r="AB138" s="176">
        <v>0</v>
      </c>
      <c r="AC138" s="176">
        <v>0</v>
      </c>
      <c r="AD138" s="176">
        <v>0</v>
      </c>
      <c r="AE138" s="176">
        <v>0</v>
      </c>
    </row>
    <row r="139" spans="2:31">
      <c r="C139" s="1593" t="s">
        <v>814</v>
      </c>
      <c r="D139" s="1593" t="s">
        <v>814</v>
      </c>
      <c r="E139" s="1593" t="s">
        <v>814</v>
      </c>
      <c r="F139" s="1593" t="s">
        <v>814</v>
      </c>
      <c r="G139" s="1610" t="s">
        <v>814</v>
      </c>
      <c r="H139" s="1611" t="s">
        <v>814</v>
      </c>
      <c r="I139" s="220"/>
      <c r="J139" s="220"/>
      <c r="K139" s="23"/>
      <c r="L139" s="176">
        <v>0</v>
      </c>
      <c r="M139" s="176">
        <v>0</v>
      </c>
      <c r="N139" s="176">
        <v>0</v>
      </c>
      <c r="O139" s="176">
        <v>0</v>
      </c>
      <c r="P139" s="176">
        <v>0</v>
      </c>
      <c r="Q139" s="176">
        <v>0</v>
      </c>
      <c r="R139" s="176">
        <v>0</v>
      </c>
      <c r="S139" s="176">
        <v>0</v>
      </c>
      <c r="T139" s="176">
        <v>0</v>
      </c>
      <c r="U139" s="176">
        <v>0</v>
      </c>
      <c r="V139" s="176">
        <v>0</v>
      </c>
      <c r="W139" s="176">
        <v>0</v>
      </c>
      <c r="X139" s="176">
        <v>0</v>
      </c>
      <c r="Y139" s="176">
        <v>0</v>
      </c>
      <c r="Z139" s="176">
        <v>0</v>
      </c>
      <c r="AA139" s="176">
        <v>0</v>
      </c>
      <c r="AB139" s="176">
        <v>0</v>
      </c>
      <c r="AC139" s="176">
        <v>0</v>
      </c>
      <c r="AD139" s="176">
        <v>0</v>
      </c>
      <c r="AE139" s="176">
        <v>0</v>
      </c>
    </row>
    <row r="140" spans="2:31" ht="10.9" customHeight="1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</row>
    <row r="141" spans="2:31">
      <c r="C141" s="17" t="s">
        <v>850</v>
      </c>
      <c r="D141" s="17"/>
      <c r="E141" s="3" t="s">
        <v>29</v>
      </c>
      <c r="F141" s="17"/>
      <c r="G141" s="17"/>
      <c r="I141" s="224">
        <f>SUM(Q184:U184)/SUM(Q141:U141)</f>
        <v>0.81444895873841161</v>
      </c>
      <c r="J141" s="225">
        <f>SUM(Q226:U226)/SUM(Q141:U141)</f>
        <v>0.18555104126158847</v>
      </c>
      <c r="K141" s="156"/>
      <c r="L141" s="27">
        <f t="shared" ref="L141:AE141" si="24">SUM(L108:L139)*(L$105="")+L$105</f>
        <v>0</v>
      </c>
      <c r="M141" s="27">
        <f t="shared" si="24"/>
        <v>0</v>
      </c>
      <c r="N141" s="27">
        <f t="shared" si="24"/>
        <v>0</v>
      </c>
      <c r="O141" s="27">
        <f t="shared" si="24"/>
        <v>0</v>
      </c>
      <c r="P141" s="27">
        <f t="shared" si="24"/>
        <v>31694</v>
      </c>
      <c r="Q141" s="27">
        <f t="shared" si="24"/>
        <v>26448</v>
      </c>
      <c r="R141" s="27">
        <f t="shared" si="24"/>
        <v>34286</v>
      </c>
      <c r="S141" s="27">
        <f t="shared" si="24"/>
        <v>42214</v>
      </c>
      <c r="T141" s="27">
        <f t="shared" si="24"/>
        <v>43546</v>
      </c>
      <c r="U141" s="27">
        <f t="shared" si="24"/>
        <v>42379</v>
      </c>
      <c r="V141" s="27">
        <f t="shared" si="24"/>
        <v>0</v>
      </c>
      <c r="W141" s="27">
        <f t="shared" si="24"/>
        <v>0</v>
      </c>
      <c r="X141" s="27">
        <f t="shared" si="24"/>
        <v>0</v>
      </c>
      <c r="Y141" s="27">
        <f t="shared" si="24"/>
        <v>0</v>
      </c>
      <c r="Z141" s="27">
        <f t="shared" si="24"/>
        <v>0</v>
      </c>
      <c r="AA141" s="27">
        <f t="shared" si="24"/>
        <v>0</v>
      </c>
      <c r="AB141" s="27">
        <f t="shared" si="24"/>
        <v>0</v>
      </c>
      <c r="AC141" s="27">
        <f t="shared" si="24"/>
        <v>0</v>
      </c>
      <c r="AD141" s="27">
        <f t="shared" si="24"/>
        <v>0</v>
      </c>
      <c r="AE141" s="27">
        <f t="shared" si="24"/>
        <v>0</v>
      </c>
    </row>
    <row r="143" spans="2:31">
      <c r="L143" s="26"/>
      <c r="M143" s="26"/>
      <c r="N143" s="26"/>
      <c r="O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</row>
    <row r="144" spans="2:31">
      <c r="B144" s="152" t="s">
        <v>150</v>
      </c>
      <c r="C144" s="29"/>
      <c r="D144" s="29"/>
      <c r="E144" s="29"/>
      <c r="F144" s="29"/>
      <c r="G144" s="29"/>
      <c r="H144" s="29"/>
      <c r="I144" s="29" t="s">
        <v>851</v>
      </c>
      <c r="J144" s="29"/>
      <c r="K144" s="29"/>
      <c r="L144" s="29"/>
      <c r="M144" s="29"/>
      <c r="N144" s="29"/>
      <c r="O144" s="29"/>
      <c r="P144" s="29"/>
      <c r="Q144" s="222"/>
      <c r="R144" s="222"/>
      <c r="S144" s="222"/>
      <c r="T144" s="222"/>
      <c r="U144" s="222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6" spans="3:31" ht="13.5" thickBot="1">
      <c r="C146" s="7" t="s">
        <v>852</v>
      </c>
      <c r="D146" s="7"/>
      <c r="E146" s="7"/>
      <c r="F146" s="7"/>
      <c r="G146" s="7"/>
      <c r="H146" s="7"/>
      <c r="I146" s="7"/>
      <c r="J146" s="7"/>
      <c r="K146" s="7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</row>
    <row r="147" spans="3:31" outlineLevel="1">
      <c r="C147" s="983" t="str">
        <f t="shared" ref="C147:C178" si="25">C108</f>
        <v>Travel</v>
      </c>
      <c r="E147" s="3" t="s">
        <v>43</v>
      </c>
      <c r="L147" s="219">
        <v>0</v>
      </c>
      <c r="M147" s="219">
        <v>0</v>
      </c>
      <c r="N147" s="219">
        <v>0</v>
      </c>
      <c r="O147" s="219">
        <v>0</v>
      </c>
      <c r="P147" s="1598">
        <v>0.85747660000000003</v>
      </c>
      <c r="Q147" s="1599">
        <v>0.87032419999999999</v>
      </c>
      <c r="R147" s="1599">
        <v>0.83887469999999997</v>
      </c>
      <c r="S147" s="1599">
        <v>0.83917339999999996</v>
      </c>
      <c r="T147" s="1599">
        <v>0.83965239999999997</v>
      </c>
      <c r="U147" s="1599">
        <v>0.83956039999999998</v>
      </c>
      <c r="V147" s="219">
        <v>0</v>
      </c>
      <c r="W147" s="219">
        <v>0</v>
      </c>
      <c r="X147" s="219">
        <v>0</v>
      </c>
      <c r="Y147" s="219">
        <v>0</v>
      </c>
      <c r="Z147" s="219">
        <v>0</v>
      </c>
      <c r="AA147" s="219">
        <v>0</v>
      </c>
      <c r="AB147" s="219">
        <v>0</v>
      </c>
      <c r="AC147" s="219">
        <v>0</v>
      </c>
      <c r="AD147" s="219">
        <v>0</v>
      </c>
      <c r="AE147" s="219">
        <v>0</v>
      </c>
    </row>
    <row r="148" spans="3:31" outlineLevel="1">
      <c r="C148" s="983" t="str">
        <f t="shared" si="25"/>
        <v>Training (Redected)</v>
      </c>
      <c r="E148" s="3" t="s">
        <v>43</v>
      </c>
      <c r="L148" s="219">
        <v>0</v>
      </c>
      <c r="M148" s="219">
        <v>0</v>
      </c>
      <c r="N148" s="219">
        <v>0</v>
      </c>
      <c r="O148" s="219">
        <v>0</v>
      </c>
      <c r="P148" s="1604" t="s">
        <v>824</v>
      </c>
      <c r="Q148" s="1605" t="s">
        <v>824</v>
      </c>
      <c r="R148" s="1605" t="s">
        <v>824</v>
      </c>
      <c r="S148" s="1605" t="s">
        <v>824</v>
      </c>
      <c r="T148" s="1605" t="s">
        <v>824</v>
      </c>
      <c r="U148" s="1605" t="s">
        <v>824</v>
      </c>
      <c r="V148" s="219">
        <v>0</v>
      </c>
      <c r="W148" s="219">
        <v>0</v>
      </c>
      <c r="X148" s="219">
        <v>0</v>
      </c>
      <c r="Y148" s="219">
        <v>0</v>
      </c>
      <c r="Z148" s="219">
        <v>0</v>
      </c>
      <c r="AA148" s="219">
        <v>0</v>
      </c>
      <c r="AB148" s="219">
        <v>0</v>
      </c>
      <c r="AC148" s="219">
        <v>0</v>
      </c>
      <c r="AD148" s="219">
        <v>0</v>
      </c>
      <c r="AE148" s="219">
        <v>0</v>
      </c>
    </row>
    <row r="149" spans="3:31" outlineLevel="1">
      <c r="C149" s="983" t="str">
        <f t="shared" si="25"/>
        <v>Utilities</v>
      </c>
      <c r="E149" s="3" t="s">
        <v>43</v>
      </c>
      <c r="L149" s="219">
        <v>0</v>
      </c>
      <c r="M149" s="219">
        <v>0</v>
      </c>
      <c r="N149" s="219">
        <v>0</v>
      </c>
      <c r="O149" s="219">
        <v>0</v>
      </c>
      <c r="P149" s="1600">
        <v>0.85</v>
      </c>
      <c r="Q149" s="1601">
        <v>0.7765957</v>
      </c>
      <c r="R149" s="1601">
        <v>0.76650560000000001</v>
      </c>
      <c r="S149" s="1601">
        <v>0.76850390000000002</v>
      </c>
      <c r="T149" s="1601">
        <v>0.76850390000000002</v>
      </c>
      <c r="U149" s="1601">
        <v>0.76850390000000002</v>
      </c>
      <c r="V149" s="219">
        <v>0</v>
      </c>
      <c r="W149" s="219">
        <v>0</v>
      </c>
      <c r="X149" s="219">
        <v>0</v>
      </c>
      <c r="Y149" s="219">
        <v>0</v>
      </c>
      <c r="Z149" s="219">
        <v>0</v>
      </c>
      <c r="AA149" s="219">
        <v>0</v>
      </c>
      <c r="AB149" s="219">
        <v>0</v>
      </c>
      <c r="AC149" s="219">
        <v>0</v>
      </c>
      <c r="AD149" s="219">
        <v>0</v>
      </c>
      <c r="AE149" s="219">
        <v>0</v>
      </c>
    </row>
    <row r="150" spans="3:31" outlineLevel="1">
      <c r="C150" s="983" t="str">
        <f t="shared" si="25"/>
        <v>Telecoms (Redacted)</v>
      </c>
      <c r="E150" s="3" t="s">
        <v>43</v>
      </c>
      <c r="L150" s="219">
        <v>0</v>
      </c>
      <c r="M150" s="219">
        <v>0</v>
      </c>
      <c r="N150" s="219">
        <v>0</v>
      </c>
      <c r="O150" s="219">
        <v>0</v>
      </c>
      <c r="P150" s="1604" t="s">
        <v>824</v>
      </c>
      <c r="Q150" s="1605" t="s">
        <v>824</v>
      </c>
      <c r="R150" s="1605" t="s">
        <v>824</v>
      </c>
      <c r="S150" s="1605" t="s">
        <v>824</v>
      </c>
      <c r="T150" s="1605" t="s">
        <v>824</v>
      </c>
      <c r="U150" s="1605" t="s">
        <v>824</v>
      </c>
      <c r="V150" s="219">
        <v>0</v>
      </c>
      <c r="W150" s="219">
        <v>0</v>
      </c>
      <c r="X150" s="219">
        <v>0</v>
      </c>
      <c r="Y150" s="219">
        <v>0</v>
      </c>
      <c r="Z150" s="219">
        <v>0</v>
      </c>
      <c r="AA150" s="219">
        <v>0</v>
      </c>
      <c r="AB150" s="219">
        <v>0</v>
      </c>
      <c r="AC150" s="219">
        <v>0</v>
      </c>
      <c r="AD150" s="219">
        <v>0</v>
      </c>
      <c r="AE150" s="219">
        <v>0</v>
      </c>
    </row>
    <row r="151" spans="3:31" outlineLevel="1">
      <c r="C151" s="983" t="str">
        <f t="shared" si="25"/>
        <v>Maintenance</v>
      </c>
      <c r="E151" s="3" t="s">
        <v>43</v>
      </c>
      <c r="L151" s="219">
        <v>0</v>
      </c>
      <c r="M151" s="219">
        <v>0</v>
      </c>
      <c r="N151" s="219">
        <v>0</v>
      </c>
      <c r="O151" s="219">
        <v>0</v>
      </c>
      <c r="P151" s="1600">
        <v>0.80487799999999998</v>
      </c>
      <c r="Q151" s="1601">
        <v>0.79118770000000005</v>
      </c>
      <c r="R151" s="1601">
        <v>0.78252429999999995</v>
      </c>
      <c r="S151" s="1601">
        <v>0.78593630000000003</v>
      </c>
      <c r="T151" s="1601">
        <v>0.78676550000000001</v>
      </c>
      <c r="U151" s="1601">
        <v>0.78660660000000004</v>
      </c>
      <c r="V151" s="219">
        <v>0</v>
      </c>
      <c r="W151" s="219">
        <v>0</v>
      </c>
      <c r="X151" s="219">
        <v>0</v>
      </c>
      <c r="Y151" s="219">
        <v>0</v>
      </c>
      <c r="Z151" s="219">
        <v>0</v>
      </c>
      <c r="AA151" s="219">
        <v>0</v>
      </c>
      <c r="AB151" s="219">
        <v>0</v>
      </c>
      <c r="AC151" s="219">
        <v>0</v>
      </c>
      <c r="AD151" s="219">
        <v>0</v>
      </c>
      <c r="AE151" s="219">
        <v>0</v>
      </c>
    </row>
    <row r="152" spans="3:31" outlineLevel="1">
      <c r="C152" s="983" t="str">
        <f t="shared" si="25"/>
        <v>Spares</v>
      </c>
      <c r="E152" s="3" t="s">
        <v>43</v>
      </c>
      <c r="L152" s="219">
        <v>0</v>
      </c>
      <c r="M152" s="219">
        <v>0</v>
      </c>
      <c r="N152" s="219">
        <v>0</v>
      </c>
      <c r="O152" s="219">
        <v>0</v>
      </c>
      <c r="P152" s="1600">
        <v>0.80487799999999998</v>
      </c>
      <c r="Q152" s="1601">
        <v>0.79118770000000005</v>
      </c>
      <c r="R152" s="1601">
        <v>0.78252429999999995</v>
      </c>
      <c r="S152" s="1601">
        <v>0.78593630000000003</v>
      </c>
      <c r="T152" s="1601">
        <v>0.78676550000000001</v>
      </c>
      <c r="U152" s="1601">
        <v>0.78660660000000004</v>
      </c>
      <c r="V152" s="219">
        <v>0</v>
      </c>
      <c r="W152" s="219">
        <v>0</v>
      </c>
      <c r="X152" s="219">
        <v>0</v>
      </c>
      <c r="Y152" s="219">
        <v>0</v>
      </c>
      <c r="Z152" s="219">
        <v>0</v>
      </c>
      <c r="AA152" s="219">
        <v>0</v>
      </c>
      <c r="AB152" s="219">
        <v>0</v>
      </c>
      <c r="AC152" s="219">
        <v>0</v>
      </c>
      <c r="AD152" s="219">
        <v>0</v>
      </c>
      <c r="AE152" s="219">
        <v>0</v>
      </c>
    </row>
    <row r="153" spans="3:31" outlineLevel="1">
      <c r="C153" s="983" t="str">
        <f t="shared" si="25"/>
        <v>Power</v>
      </c>
      <c r="E153" s="3" t="s">
        <v>43</v>
      </c>
      <c r="L153" s="219">
        <v>0</v>
      </c>
      <c r="M153" s="219">
        <v>0</v>
      </c>
      <c r="N153" s="219">
        <v>0</v>
      </c>
      <c r="O153" s="219">
        <v>0</v>
      </c>
      <c r="P153" s="1600">
        <v>0.80487799999999998</v>
      </c>
      <c r="Q153" s="1601">
        <v>0.79118770000000005</v>
      </c>
      <c r="R153" s="1601">
        <v>0.78252429999999995</v>
      </c>
      <c r="S153" s="1601">
        <v>0.78593630000000003</v>
      </c>
      <c r="T153" s="1601">
        <v>0.78676550000000001</v>
      </c>
      <c r="U153" s="1601">
        <v>0.78660660000000004</v>
      </c>
      <c r="V153" s="219">
        <v>0</v>
      </c>
      <c r="W153" s="219">
        <v>0</v>
      </c>
      <c r="X153" s="219">
        <v>0</v>
      </c>
      <c r="Y153" s="219">
        <v>0</v>
      </c>
      <c r="Z153" s="219">
        <v>0</v>
      </c>
      <c r="AA153" s="219">
        <v>0</v>
      </c>
      <c r="AB153" s="219">
        <v>0</v>
      </c>
      <c r="AC153" s="219">
        <v>0</v>
      </c>
      <c r="AD153" s="219">
        <v>0</v>
      </c>
      <c r="AE153" s="219">
        <v>0</v>
      </c>
    </row>
    <row r="154" spans="3:31" outlineLevel="1">
      <c r="C154" s="983" t="str">
        <f t="shared" si="25"/>
        <v>Flight checking</v>
      </c>
      <c r="E154" s="3" t="s">
        <v>43</v>
      </c>
      <c r="L154" s="219">
        <v>0</v>
      </c>
      <c r="M154" s="219">
        <v>0</v>
      </c>
      <c r="N154" s="219">
        <v>0</v>
      </c>
      <c r="O154" s="219">
        <v>0</v>
      </c>
      <c r="P154" s="1604" t="s">
        <v>824</v>
      </c>
      <c r="Q154" s="1605" t="s">
        <v>824</v>
      </c>
      <c r="R154" s="1605" t="s">
        <v>824</v>
      </c>
      <c r="S154" s="1605" t="s">
        <v>824</v>
      </c>
      <c r="T154" s="1605" t="s">
        <v>824</v>
      </c>
      <c r="U154" s="1605" t="s">
        <v>824</v>
      </c>
      <c r="V154" s="219">
        <v>0</v>
      </c>
      <c r="W154" s="219">
        <v>0</v>
      </c>
      <c r="X154" s="219">
        <v>0</v>
      </c>
      <c r="Y154" s="219">
        <v>0</v>
      </c>
      <c r="Z154" s="219">
        <v>0</v>
      </c>
      <c r="AA154" s="219">
        <v>0</v>
      </c>
      <c r="AB154" s="219">
        <v>0</v>
      </c>
      <c r="AC154" s="219">
        <v>0</v>
      </c>
      <c r="AD154" s="219">
        <v>0</v>
      </c>
      <c r="AE154" s="219">
        <v>0</v>
      </c>
    </row>
    <row r="155" spans="3:31" outlineLevel="1">
      <c r="C155" s="983" t="str">
        <f t="shared" si="25"/>
        <v>Other</v>
      </c>
      <c r="E155" s="3" t="s">
        <v>43</v>
      </c>
      <c r="L155" s="219">
        <v>0</v>
      </c>
      <c r="M155" s="219">
        <v>0</v>
      </c>
      <c r="N155" s="219">
        <v>0</v>
      </c>
      <c r="O155" s="219">
        <v>0</v>
      </c>
      <c r="P155" s="1600">
        <v>0.80487799999999998</v>
      </c>
      <c r="Q155" s="1601">
        <v>0.79118770000000005</v>
      </c>
      <c r="R155" s="1601">
        <v>0.78252429999999995</v>
      </c>
      <c r="S155" s="1601">
        <v>0.78593630000000003</v>
      </c>
      <c r="T155" s="1601">
        <v>0.78676550000000001</v>
      </c>
      <c r="U155" s="1601">
        <v>0.78660660000000004</v>
      </c>
      <c r="V155" s="219">
        <v>0</v>
      </c>
      <c r="W155" s="219">
        <v>0</v>
      </c>
      <c r="X155" s="219">
        <v>0</v>
      </c>
      <c r="Y155" s="219">
        <v>0</v>
      </c>
      <c r="Z155" s="219">
        <v>0</v>
      </c>
      <c r="AA155" s="219">
        <v>0</v>
      </c>
      <c r="AB155" s="219">
        <v>0</v>
      </c>
      <c r="AC155" s="219">
        <v>0</v>
      </c>
      <c r="AD155" s="219">
        <v>0</v>
      </c>
      <c r="AE155" s="219">
        <v>0</v>
      </c>
    </row>
    <row r="156" spans="3:31" outlineLevel="1">
      <c r="C156" s="983" t="str">
        <f t="shared" si="25"/>
        <v>Subscriptions</v>
      </c>
      <c r="E156" s="3" t="s">
        <v>43</v>
      </c>
      <c r="L156" s="219">
        <v>0</v>
      </c>
      <c r="M156" s="219">
        <v>0</v>
      </c>
      <c r="N156" s="219">
        <v>0</v>
      </c>
      <c r="O156" s="219">
        <v>0</v>
      </c>
      <c r="P156" s="1600">
        <v>0.82119209999999998</v>
      </c>
      <c r="Q156" s="1601">
        <v>0.83935740000000003</v>
      </c>
      <c r="R156" s="1601">
        <v>0.82776349999999999</v>
      </c>
      <c r="S156" s="1601">
        <v>0.82767619999999997</v>
      </c>
      <c r="T156" s="1601">
        <v>0.82978719999999995</v>
      </c>
      <c r="U156" s="1601">
        <v>0.82702699999999996</v>
      </c>
      <c r="V156" s="219">
        <v>0</v>
      </c>
      <c r="W156" s="219">
        <v>0</v>
      </c>
      <c r="X156" s="219">
        <v>0</v>
      </c>
      <c r="Y156" s="219">
        <v>0</v>
      </c>
      <c r="Z156" s="219">
        <v>0</v>
      </c>
      <c r="AA156" s="219">
        <v>0</v>
      </c>
      <c r="AB156" s="219">
        <v>0</v>
      </c>
      <c r="AC156" s="219">
        <v>0</v>
      </c>
      <c r="AD156" s="219">
        <v>0</v>
      </c>
      <c r="AE156" s="219">
        <v>0</v>
      </c>
    </row>
    <row r="157" spans="3:31" outlineLevel="1">
      <c r="C157" s="983" t="str">
        <f t="shared" si="25"/>
        <v>Rent and rates</v>
      </c>
      <c r="E157" s="3" t="s">
        <v>43</v>
      </c>
      <c r="L157" s="219">
        <v>0</v>
      </c>
      <c r="M157" s="219">
        <v>0</v>
      </c>
      <c r="N157" s="219">
        <v>0</v>
      </c>
      <c r="O157" s="219">
        <v>0</v>
      </c>
      <c r="P157" s="1600">
        <v>0.67577739999999997</v>
      </c>
      <c r="Q157" s="1601">
        <v>0.82858880000000001</v>
      </c>
      <c r="R157" s="1601">
        <v>0.82090779999999997</v>
      </c>
      <c r="S157" s="1601">
        <v>0.82082060000000001</v>
      </c>
      <c r="T157" s="1601">
        <v>0.82034609999999997</v>
      </c>
      <c r="U157" s="1601">
        <v>0.82153860000000001</v>
      </c>
      <c r="V157" s="219">
        <v>0</v>
      </c>
      <c r="W157" s="219">
        <v>0</v>
      </c>
      <c r="X157" s="219">
        <v>0</v>
      </c>
      <c r="Y157" s="219">
        <v>0</v>
      </c>
      <c r="Z157" s="219">
        <v>0</v>
      </c>
      <c r="AA157" s="219">
        <v>0</v>
      </c>
      <c r="AB157" s="219">
        <v>0</v>
      </c>
      <c r="AC157" s="219">
        <v>0</v>
      </c>
      <c r="AD157" s="219">
        <v>0</v>
      </c>
      <c r="AE157" s="219">
        <v>0</v>
      </c>
    </row>
    <row r="158" spans="3:31" outlineLevel="1">
      <c r="C158" s="983" t="str">
        <f t="shared" si="25"/>
        <v>Computing</v>
      </c>
      <c r="E158" s="3" t="s">
        <v>43</v>
      </c>
      <c r="L158" s="219">
        <v>0</v>
      </c>
      <c r="M158" s="219">
        <v>0</v>
      </c>
      <c r="N158" s="219">
        <v>0</v>
      </c>
      <c r="O158" s="219">
        <v>0</v>
      </c>
      <c r="P158" s="1600">
        <v>0.67577739999999997</v>
      </c>
      <c r="Q158" s="1601">
        <v>0.82858880000000001</v>
      </c>
      <c r="R158" s="1601">
        <v>0.82090779999999997</v>
      </c>
      <c r="S158" s="1601">
        <v>0.82082060000000001</v>
      </c>
      <c r="T158" s="1601">
        <v>0.82034609999999997</v>
      </c>
      <c r="U158" s="1601">
        <v>0.82153860000000001</v>
      </c>
      <c r="V158" s="219">
        <v>0</v>
      </c>
      <c r="W158" s="219">
        <v>0</v>
      </c>
      <c r="X158" s="219">
        <v>0</v>
      </c>
      <c r="Y158" s="219">
        <v>0</v>
      </c>
      <c r="Z158" s="219">
        <v>0</v>
      </c>
      <c r="AA158" s="219">
        <v>0</v>
      </c>
      <c r="AB158" s="219">
        <v>0</v>
      </c>
      <c r="AC158" s="219">
        <v>0</v>
      </c>
      <c r="AD158" s="219">
        <v>0</v>
      </c>
      <c r="AE158" s="219">
        <v>0</v>
      </c>
    </row>
    <row r="159" spans="3:31" outlineLevel="1">
      <c r="C159" s="983" t="str">
        <f t="shared" si="25"/>
        <v>NIS</v>
      </c>
      <c r="E159" s="3" t="s">
        <v>43</v>
      </c>
      <c r="L159" s="219">
        <v>0</v>
      </c>
      <c r="M159" s="219">
        <v>0</v>
      </c>
      <c r="N159" s="219">
        <v>0</v>
      </c>
      <c r="O159" s="219">
        <v>0</v>
      </c>
      <c r="P159" s="1600">
        <v>0.67577739999999997</v>
      </c>
      <c r="Q159" s="1601">
        <v>0.82858880000000001</v>
      </c>
      <c r="R159" s="1601">
        <v>0.82090779999999997</v>
      </c>
      <c r="S159" s="1601">
        <v>0.82082060000000001</v>
      </c>
      <c r="T159" s="1601">
        <v>0.82034609999999997</v>
      </c>
      <c r="U159" s="1601">
        <v>0.82153860000000001</v>
      </c>
      <c r="V159" s="219">
        <v>0</v>
      </c>
      <c r="W159" s="219">
        <v>0</v>
      </c>
      <c r="X159" s="219">
        <v>0</v>
      </c>
      <c r="Y159" s="219">
        <v>0</v>
      </c>
      <c r="Z159" s="219">
        <v>0</v>
      </c>
      <c r="AA159" s="219">
        <v>0</v>
      </c>
      <c r="AB159" s="219">
        <v>0</v>
      </c>
      <c r="AC159" s="219">
        <v>0</v>
      </c>
      <c r="AD159" s="219">
        <v>0</v>
      </c>
      <c r="AE159" s="219">
        <v>0</v>
      </c>
    </row>
    <row r="160" spans="3:31" outlineLevel="1">
      <c r="C160" s="983" t="str">
        <f t="shared" si="25"/>
        <v>Consultancy</v>
      </c>
      <c r="E160" s="3" t="s">
        <v>43</v>
      </c>
      <c r="L160" s="219">
        <v>0</v>
      </c>
      <c r="M160" s="219">
        <v>0</v>
      </c>
      <c r="N160" s="219">
        <v>0</v>
      </c>
      <c r="O160" s="219">
        <v>0</v>
      </c>
      <c r="P160" s="1600">
        <v>0.67577739999999997</v>
      </c>
      <c r="Q160" s="1601">
        <v>0.82858880000000001</v>
      </c>
      <c r="R160" s="1601">
        <v>0.82090779999999997</v>
      </c>
      <c r="S160" s="1601">
        <v>0.82082060000000001</v>
      </c>
      <c r="T160" s="1601">
        <v>0.82034609999999997</v>
      </c>
      <c r="U160" s="1601">
        <v>0.82153860000000001</v>
      </c>
      <c r="V160" s="219">
        <v>0</v>
      </c>
      <c r="W160" s="219">
        <v>0</v>
      </c>
      <c r="X160" s="219">
        <v>0</v>
      </c>
      <c r="Y160" s="219">
        <v>0</v>
      </c>
      <c r="Z160" s="219">
        <v>0</v>
      </c>
      <c r="AA160" s="219">
        <v>0</v>
      </c>
      <c r="AB160" s="219">
        <v>0</v>
      </c>
      <c r="AC160" s="219">
        <v>0</v>
      </c>
      <c r="AD160" s="219">
        <v>0</v>
      </c>
      <c r="AE160" s="219">
        <v>0</v>
      </c>
    </row>
    <row r="161" spans="3:31" outlineLevel="1">
      <c r="C161" s="983" t="str">
        <f t="shared" si="25"/>
        <v>Insurance (Redacted)</v>
      </c>
      <c r="E161" s="3" t="s">
        <v>43</v>
      </c>
      <c r="L161" s="219">
        <v>0</v>
      </c>
      <c r="M161" s="219">
        <v>0</v>
      </c>
      <c r="N161" s="219">
        <v>0</v>
      </c>
      <c r="O161" s="219">
        <v>0</v>
      </c>
      <c r="P161" s="1604" t="s">
        <v>824</v>
      </c>
      <c r="Q161" s="1605" t="s">
        <v>824</v>
      </c>
      <c r="R161" s="1605" t="s">
        <v>824</v>
      </c>
      <c r="S161" s="1605" t="s">
        <v>824</v>
      </c>
      <c r="T161" s="1605" t="s">
        <v>824</v>
      </c>
      <c r="U161" s="1605" t="s">
        <v>824</v>
      </c>
      <c r="V161" s="219">
        <v>0</v>
      </c>
      <c r="W161" s="219">
        <v>0</v>
      </c>
      <c r="X161" s="219">
        <v>0</v>
      </c>
      <c r="Y161" s="219">
        <v>0</v>
      </c>
      <c r="Z161" s="219">
        <v>0</v>
      </c>
      <c r="AA161" s="219">
        <v>0</v>
      </c>
      <c r="AB161" s="219">
        <v>0</v>
      </c>
      <c r="AC161" s="219">
        <v>0</v>
      </c>
      <c r="AD161" s="219">
        <v>0</v>
      </c>
      <c r="AE161" s="219">
        <v>0</v>
      </c>
    </row>
    <row r="162" spans="3:31" outlineLevel="1">
      <c r="C162" s="983" t="str">
        <f t="shared" si="25"/>
        <v>Building repairs</v>
      </c>
      <c r="E162" s="3" t="s">
        <v>43</v>
      </c>
      <c r="L162" s="219">
        <v>0</v>
      </c>
      <c r="M162" s="219">
        <v>0</v>
      </c>
      <c r="N162" s="219">
        <v>0</v>
      </c>
      <c r="O162" s="219">
        <v>0</v>
      </c>
      <c r="P162" s="1600">
        <v>0.67577739999999997</v>
      </c>
      <c r="Q162" s="1601">
        <v>0.82858880000000001</v>
      </c>
      <c r="R162" s="1601">
        <v>0.82090779999999997</v>
      </c>
      <c r="S162" s="1601">
        <v>0.82082060000000001</v>
      </c>
      <c r="T162" s="1601">
        <v>0.82034609999999997</v>
      </c>
      <c r="U162" s="1601">
        <v>0.82153860000000001</v>
      </c>
      <c r="V162" s="219">
        <v>0</v>
      </c>
      <c r="W162" s="219">
        <v>0</v>
      </c>
      <c r="X162" s="219">
        <v>0</v>
      </c>
      <c r="Y162" s="219">
        <v>0</v>
      </c>
      <c r="Z162" s="219">
        <v>0</v>
      </c>
      <c r="AA162" s="219">
        <v>0</v>
      </c>
      <c r="AB162" s="219">
        <v>0</v>
      </c>
      <c r="AC162" s="219">
        <v>0</v>
      </c>
      <c r="AD162" s="219">
        <v>0</v>
      </c>
      <c r="AE162" s="219">
        <v>0</v>
      </c>
    </row>
    <row r="163" spans="3:31" outlineLevel="1">
      <c r="C163" s="983" t="str">
        <f t="shared" si="25"/>
        <v>Environmental</v>
      </c>
      <c r="E163" s="3" t="s">
        <v>43</v>
      </c>
      <c r="L163" s="219">
        <v>0</v>
      </c>
      <c r="M163" s="219">
        <v>0</v>
      </c>
      <c r="N163" s="219">
        <v>0</v>
      </c>
      <c r="O163" s="219">
        <v>0</v>
      </c>
      <c r="P163" s="1600">
        <v>0.67577739999999997</v>
      </c>
      <c r="Q163" s="1601">
        <v>0.82858880000000001</v>
      </c>
      <c r="R163" s="1601">
        <v>0.82090779999999997</v>
      </c>
      <c r="S163" s="1601">
        <v>0.82082060000000001</v>
      </c>
      <c r="T163" s="1601">
        <v>0.82034609999999997</v>
      </c>
      <c r="U163" s="1601">
        <v>0.82153860000000001</v>
      </c>
      <c r="V163" s="219">
        <v>0</v>
      </c>
      <c r="W163" s="219">
        <v>0</v>
      </c>
      <c r="X163" s="219">
        <v>0</v>
      </c>
      <c r="Y163" s="219">
        <v>0</v>
      </c>
      <c r="Z163" s="219">
        <v>0</v>
      </c>
      <c r="AA163" s="219">
        <v>0</v>
      </c>
      <c r="AB163" s="219">
        <v>0</v>
      </c>
      <c r="AC163" s="219">
        <v>0</v>
      </c>
      <c r="AD163" s="219">
        <v>0</v>
      </c>
      <c r="AE163" s="219">
        <v>0</v>
      </c>
    </row>
    <row r="164" spans="3:31" outlineLevel="1">
      <c r="C164" s="983" t="str">
        <f t="shared" si="25"/>
        <v>Security (Redacted)</v>
      </c>
      <c r="E164" s="3" t="s">
        <v>43</v>
      </c>
      <c r="L164" s="219">
        <v>0</v>
      </c>
      <c r="M164" s="219">
        <v>0</v>
      </c>
      <c r="N164" s="219">
        <v>0</v>
      </c>
      <c r="O164" s="219">
        <v>0</v>
      </c>
      <c r="P164" s="1604" t="s">
        <v>824</v>
      </c>
      <c r="Q164" s="1605" t="s">
        <v>824</v>
      </c>
      <c r="R164" s="1605" t="s">
        <v>824</v>
      </c>
      <c r="S164" s="1605" t="s">
        <v>824</v>
      </c>
      <c r="T164" s="1605" t="s">
        <v>824</v>
      </c>
      <c r="U164" s="1605" t="s">
        <v>824</v>
      </c>
      <c r="V164" s="219">
        <v>0</v>
      </c>
      <c r="W164" s="219">
        <v>0</v>
      </c>
      <c r="X164" s="219">
        <v>0</v>
      </c>
      <c r="Y164" s="219">
        <v>0</v>
      </c>
      <c r="Z164" s="219">
        <v>0</v>
      </c>
      <c r="AA164" s="219">
        <v>0</v>
      </c>
      <c r="AB164" s="219">
        <v>0</v>
      </c>
      <c r="AC164" s="219">
        <v>0</v>
      </c>
      <c r="AD164" s="219">
        <v>0</v>
      </c>
      <c r="AE164" s="219">
        <v>0</v>
      </c>
    </row>
    <row r="165" spans="3:31" outlineLevel="1">
      <c r="C165" s="983" t="str">
        <f t="shared" si="25"/>
        <v>Professional services</v>
      </c>
      <c r="E165" s="3" t="s">
        <v>43</v>
      </c>
      <c r="L165" s="219">
        <v>0</v>
      </c>
      <c r="M165" s="219">
        <v>0</v>
      </c>
      <c r="N165" s="219">
        <v>0</v>
      </c>
      <c r="O165" s="219">
        <v>0</v>
      </c>
      <c r="P165" s="1600">
        <v>0.67577739999999997</v>
      </c>
      <c r="Q165" s="1601">
        <v>0.82858880000000001</v>
      </c>
      <c r="R165" s="1601">
        <v>0.82090779999999997</v>
      </c>
      <c r="S165" s="1601">
        <v>0.82082060000000001</v>
      </c>
      <c r="T165" s="1601">
        <v>0.82034609999999997</v>
      </c>
      <c r="U165" s="1601">
        <v>0.82153860000000001</v>
      </c>
      <c r="V165" s="219">
        <v>0</v>
      </c>
      <c r="W165" s="219">
        <v>0</v>
      </c>
      <c r="X165" s="219">
        <v>0</v>
      </c>
      <c r="Y165" s="219">
        <v>0</v>
      </c>
      <c r="Z165" s="219">
        <v>0</v>
      </c>
      <c r="AA165" s="219">
        <v>0</v>
      </c>
      <c r="AB165" s="219">
        <v>0</v>
      </c>
      <c r="AC165" s="219">
        <v>0</v>
      </c>
      <c r="AD165" s="219">
        <v>0</v>
      </c>
      <c r="AE165" s="219">
        <v>0</v>
      </c>
    </row>
    <row r="166" spans="3:31" outlineLevel="1">
      <c r="C166" s="983" t="str">
        <f t="shared" si="25"/>
        <v>Cleaning (Redacted)</v>
      </c>
      <c r="E166" s="3" t="s">
        <v>43</v>
      </c>
      <c r="L166" s="219">
        <v>0</v>
      </c>
      <c r="M166" s="219">
        <v>0</v>
      </c>
      <c r="N166" s="219">
        <v>0</v>
      </c>
      <c r="O166" s="219">
        <v>0</v>
      </c>
      <c r="P166" s="1604" t="s">
        <v>824</v>
      </c>
      <c r="Q166" s="1605" t="s">
        <v>824</v>
      </c>
      <c r="R166" s="1605" t="s">
        <v>824</v>
      </c>
      <c r="S166" s="1605" t="s">
        <v>824</v>
      </c>
      <c r="T166" s="1605" t="s">
        <v>824</v>
      </c>
      <c r="U166" s="1605" t="s">
        <v>824</v>
      </c>
      <c r="V166" s="219">
        <v>0</v>
      </c>
      <c r="W166" s="219">
        <v>0</v>
      </c>
      <c r="X166" s="219">
        <v>0</v>
      </c>
      <c r="Y166" s="219">
        <v>0</v>
      </c>
      <c r="Z166" s="219">
        <v>0</v>
      </c>
      <c r="AA166" s="219">
        <v>0</v>
      </c>
      <c r="AB166" s="219">
        <v>0</v>
      </c>
      <c r="AC166" s="219">
        <v>0</v>
      </c>
      <c r="AD166" s="219">
        <v>0</v>
      </c>
      <c r="AE166" s="219">
        <v>0</v>
      </c>
    </row>
    <row r="167" spans="3:31" outlineLevel="1">
      <c r="C167" s="983" t="str">
        <f t="shared" si="25"/>
        <v>IAA Restructuring</v>
      </c>
      <c r="E167" s="3" t="s">
        <v>43</v>
      </c>
      <c r="L167" s="219">
        <v>0</v>
      </c>
      <c r="M167" s="219">
        <v>0</v>
      </c>
      <c r="N167" s="219">
        <v>0</v>
      </c>
      <c r="O167" s="219">
        <v>0</v>
      </c>
      <c r="P167" s="1600">
        <v>0.67577739999999997</v>
      </c>
      <c r="Q167" s="1601">
        <v>0.82858880000000001</v>
      </c>
      <c r="R167" s="1601">
        <v>0.82090779999999997</v>
      </c>
      <c r="S167" s="1601">
        <v>0.82082060000000001</v>
      </c>
      <c r="T167" s="1601">
        <v>0.82034609999999997</v>
      </c>
      <c r="U167" s="1601">
        <v>0.82153860000000001</v>
      </c>
      <c r="V167" s="219">
        <v>0</v>
      </c>
      <c r="W167" s="219">
        <v>0</v>
      </c>
      <c r="X167" s="219">
        <v>0</v>
      </c>
      <c r="Y167" s="219">
        <v>0</v>
      </c>
      <c r="Z167" s="219">
        <v>0</v>
      </c>
      <c r="AA167" s="219">
        <v>0</v>
      </c>
      <c r="AB167" s="219">
        <v>0</v>
      </c>
      <c r="AC167" s="219">
        <v>0</v>
      </c>
      <c r="AD167" s="219">
        <v>0</v>
      </c>
      <c r="AE167" s="219">
        <v>0</v>
      </c>
    </row>
    <row r="168" spans="3:31" outlineLevel="1">
      <c r="C168" s="983" t="str">
        <f t="shared" si="25"/>
        <v>Impairment</v>
      </c>
      <c r="E168" s="3" t="s">
        <v>43</v>
      </c>
      <c r="L168" s="219">
        <v>0</v>
      </c>
      <c r="M168" s="219">
        <v>0</v>
      </c>
      <c r="N168" s="219">
        <v>0</v>
      </c>
      <c r="O168" s="219">
        <v>0</v>
      </c>
      <c r="P168" s="1600">
        <v>0.67577739999999997</v>
      </c>
      <c r="Q168" s="1601">
        <v>0.82858880000000001</v>
      </c>
      <c r="R168" s="1601">
        <v>0.82090779999999997</v>
      </c>
      <c r="S168" s="1601">
        <v>0.82082060000000001</v>
      </c>
      <c r="T168" s="1601">
        <v>0.82034609999999997</v>
      </c>
      <c r="U168" s="1601">
        <v>0.82153860000000001</v>
      </c>
      <c r="V168" s="219">
        <v>0</v>
      </c>
      <c r="W168" s="219">
        <v>0</v>
      </c>
      <c r="X168" s="219">
        <v>0</v>
      </c>
      <c r="Y168" s="219">
        <v>0</v>
      </c>
      <c r="Z168" s="219">
        <v>0</v>
      </c>
      <c r="AA168" s="219">
        <v>0</v>
      </c>
      <c r="AB168" s="219">
        <v>0</v>
      </c>
      <c r="AC168" s="219">
        <v>0</v>
      </c>
      <c r="AD168" s="219">
        <v>0</v>
      </c>
      <c r="AE168" s="219">
        <v>0</v>
      </c>
    </row>
    <row r="169" spans="3:31" outlineLevel="1">
      <c r="C169" s="983" t="str">
        <f t="shared" si="25"/>
        <v>PR</v>
      </c>
      <c r="E169" s="3" t="s">
        <v>43</v>
      </c>
      <c r="L169" s="219">
        <v>0</v>
      </c>
      <c r="M169" s="219">
        <v>0</v>
      </c>
      <c r="N169" s="219">
        <v>0</v>
      </c>
      <c r="O169" s="219">
        <v>0</v>
      </c>
      <c r="P169" s="1600">
        <v>0.67577739999999997</v>
      </c>
      <c r="Q169" s="1601">
        <v>0.82858880000000001</v>
      </c>
      <c r="R169" s="1601">
        <v>0.82090779999999997</v>
      </c>
      <c r="S169" s="1601">
        <v>0.82082060000000001</v>
      </c>
      <c r="T169" s="1601">
        <v>0.82034609999999997</v>
      </c>
      <c r="U169" s="1601">
        <v>0.82153860000000001</v>
      </c>
      <c r="V169" s="219">
        <v>0</v>
      </c>
      <c r="W169" s="219">
        <v>0</v>
      </c>
      <c r="X169" s="219">
        <v>0</v>
      </c>
      <c r="Y169" s="219">
        <v>0</v>
      </c>
      <c r="Z169" s="219">
        <v>0</v>
      </c>
      <c r="AA169" s="219">
        <v>0</v>
      </c>
      <c r="AB169" s="219">
        <v>0</v>
      </c>
      <c r="AC169" s="219">
        <v>0</v>
      </c>
      <c r="AD169" s="219">
        <v>0</v>
      </c>
      <c r="AE169" s="219">
        <v>0</v>
      </c>
    </row>
    <row r="170" spans="3:31" outlineLevel="1">
      <c r="C170" s="983" t="str">
        <f t="shared" si="25"/>
        <v>Staff related</v>
      </c>
      <c r="E170" s="3" t="s">
        <v>43</v>
      </c>
      <c r="L170" s="219">
        <v>0</v>
      </c>
      <c r="M170" s="219">
        <v>0</v>
      </c>
      <c r="N170" s="219">
        <v>0</v>
      </c>
      <c r="O170" s="219">
        <v>0</v>
      </c>
      <c r="P170" s="1600">
        <v>0.67577739999999997</v>
      </c>
      <c r="Q170" s="1601">
        <v>0.82858880000000001</v>
      </c>
      <c r="R170" s="1601">
        <v>0.82090779999999997</v>
      </c>
      <c r="S170" s="1601">
        <v>0.82082060000000001</v>
      </c>
      <c r="T170" s="1601">
        <v>0.82034609999999997</v>
      </c>
      <c r="U170" s="1601">
        <v>0.82153860000000001</v>
      </c>
      <c r="V170" s="219">
        <v>0</v>
      </c>
      <c r="W170" s="219">
        <v>0</v>
      </c>
      <c r="X170" s="219">
        <v>0</v>
      </c>
      <c r="Y170" s="219">
        <v>0</v>
      </c>
      <c r="Z170" s="219">
        <v>0</v>
      </c>
      <c r="AA170" s="219">
        <v>0</v>
      </c>
      <c r="AB170" s="219">
        <v>0</v>
      </c>
      <c r="AC170" s="219">
        <v>0</v>
      </c>
      <c r="AD170" s="219">
        <v>0</v>
      </c>
      <c r="AE170" s="219">
        <v>0</v>
      </c>
    </row>
    <row r="171" spans="3:31" outlineLevel="1">
      <c r="C171" s="983" t="str">
        <f t="shared" si="25"/>
        <v>Other</v>
      </c>
      <c r="E171" s="3" t="s">
        <v>43</v>
      </c>
      <c r="L171" s="219">
        <v>0</v>
      </c>
      <c r="M171" s="219">
        <v>0</v>
      </c>
      <c r="N171" s="219">
        <v>0</v>
      </c>
      <c r="O171" s="219">
        <v>0</v>
      </c>
      <c r="P171" s="1600">
        <v>0.67577739999999997</v>
      </c>
      <c r="Q171" s="1601">
        <v>0.82858880000000001</v>
      </c>
      <c r="R171" s="1601">
        <v>0.82090779999999997</v>
      </c>
      <c r="S171" s="1601">
        <v>0.82082060000000001</v>
      </c>
      <c r="T171" s="1601">
        <v>0.82034609999999997</v>
      </c>
      <c r="U171" s="1601">
        <v>0.82153860000000001</v>
      </c>
      <c r="V171" s="219">
        <v>0</v>
      </c>
      <c r="W171" s="219">
        <v>0</v>
      </c>
      <c r="X171" s="219">
        <v>0</v>
      </c>
      <c r="Y171" s="219">
        <v>0</v>
      </c>
      <c r="Z171" s="219">
        <v>0</v>
      </c>
      <c r="AA171" s="219">
        <v>0</v>
      </c>
      <c r="AB171" s="219">
        <v>0</v>
      </c>
      <c r="AC171" s="219">
        <v>0</v>
      </c>
      <c r="AD171" s="219">
        <v>0</v>
      </c>
      <c r="AE171" s="219">
        <v>0</v>
      </c>
    </row>
    <row r="172" spans="3:31" outlineLevel="1">
      <c r="C172" s="983" t="str">
        <f t="shared" si="25"/>
        <v>Redacted</v>
      </c>
      <c r="E172" s="3" t="s">
        <v>43</v>
      </c>
      <c r="L172" s="219">
        <v>0</v>
      </c>
      <c r="M172" s="219">
        <v>0</v>
      </c>
      <c r="N172" s="219">
        <v>0</v>
      </c>
      <c r="O172" s="219">
        <v>0</v>
      </c>
      <c r="P172" s="1600">
        <v>0.79264159999999995</v>
      </c>
      <c r="Q172" s="1601">
        <v>0.83077719999999999</v>
      </c>
      <c r="R172" s="1601">
        <v>0.82820459999999996</v>
      </c>
      <c r="S172" s="1601">
        <v>0.82209849999999995</v>
      </c>
      <c r="T172" s="1601">
        <v>0.82065779999999999</v>
      </c>
      <c r="U172" s="1601">
        <v>0.82161790000000001</v>
      </c>
      <c r="V172" s="219">
        <v>0</v>
      </c>
      <c r="W172" s="219">
        <v>0</v>
      </c>
      <c r="X172" s="219">
        <v>0</v>
      </c>
      <c r="Y172" s="219">
        <v>0</v>
      </c>
      <c r="Z172" s="219">
        <v>0</v>
      </c>
      <c r="AA172" s="219">
        <v>0</v>
      </c>
      <c r="AB172" s="219">
        <v>0</v>
      </c>
      <c r="AC172" s="219">
        <v>0</v>
      </c>
      <c r="AD172" s="219">
        <v>0</v>
      </c>
      <c r="AE172" s="219">
        <v>0</v>
      </c>
    </row>
    <row r="173" spans="3:31" outlineLevel="1">
      <c r="C173" s="983" t="str">
        <f t="shared" si="25"/>
        <v> </v>
      </c>
      <c r="E173" s="3" t="s">
        <v>43</v>
      </c>
      <c r="L173" s="219">
        <v>0</v>
      </c>
      <c r="M173" s="219">
        <v>0</v>
      </c>
      <c r="N173" s="219">
        <v>0</v>
      </c>
      <c r="O173" s="219">
        <v>0</v>
      </c>
      <c r="P173" s="219">
        <v>0</v>
      </c>
      <c r="Q173" s="219">
        <v>0</v>
      </c>
      <c r="R173" s="219">
        <v>0</v>
      </c>
      <c r="S173" s="219">
        <v>0</v>
      </c>
      <c r="T173" s="219">
        <v>0</v>
      </c>
      <c r="U173" s="219">
        <v>0</v>
      </c>
      <c r="V173" s="219">
        <v>0</v>
      </c>
      <c r="W173" s="219">
        <v>0</v>
      </c>
      <c r="X173" s="219">
        <v>0</v>
      </c>
      <c r="Y173" s="219">
        <v>0</v>
      </c>
      <c r="Z173" s="219">
        <v>0</v>
      </c>
      <c r="AA173" s="219">
        <v>0</v>
      </c>
      <c r="AB173" s="219">
        <v>0</v>
      </c>
      <c r="AC173" s="219">
        <v>0</v>
      </c>
      <c r="AD173" s="219">
        <v>0</v>
      </c>
      <c r="AE173" s="219">
        <v>0</v>
      </c>
    </row>
    <row r="174" spans="3:31" outlineLevel="1">
      <c r="C174" s="983" t="str">
        <f t="shared" si="25"/>
        <v> </v>
      </c>
      <c r="E174" s="3" t="s">
        <v>43</v>
      </c>
      <c r="L174" s="219">
        <v>0</v>
      </c>
      <c r="M174" s="219">
        <v>0</v>
      </c>
      <c r="N174" s="219">
        <v>0</v>
      </c>
      <c r="O174" s="219">
        <v>0</v>
      </c>
      <c r="P174" s="219">
        <v>0</v>
      </c>
      <c r="Q174" s="219">
        <v>0</v>
      </c>
      <c r="R174" s="219">
        <v>0</v>
      </c>
      <c r="S174" s="219">
        <v>0</v>
      </c>
      <c r="T174" s="219">
        <v>0</v>
      </c>
      <c r="U174" s="219">
        <v>0</v>
      </c>
      <c r="V174" s="219">
        <v>0</v>
      </c>
      <c r="W174" s="219">
        <v>0</v>
      </c>
      <c r="X174" s="219">
        <v>0</v>
      </c>
      <c r="Y174" s="219">
        <v>0</v>
      </c>
      <c r="Z174" s="219">
        <v>0</v>
      </c>
      <c r="AA174" s="219">
        <v>0</v>
      </c>
      <c r="AB174" s="219">
        <v>0</v>
      </c>
      <c r="AC174" s="219">
        <v>0</v>
      </c>
      <c r="AD174" s="219">
        <v>0</v>
      </c>
      <c r="AE174" s="219">
        <v>0</v>
      </c>
    </row>
    <row r="175" spans="3:31" outlineLevel="1">
      <c r="C175" s="983" t="str">
        <f t="shared" si="25"/>
        <v> </v>
      </c>
      <c r="E175" s="3" t="s">
        <v>43</v>
      </c>
      <c r="L175" s="219">
        <v>0</v>
      </c>
      <c r="M175" s="219">
        <v>0</v>
      </c>
      <c r="N175" s="219">
        <v>0</v>
      </c>
      <c r="O175" s="219">
        <v>0</v>
      </c>
      <c r="P175" s="219">
        <v>0</v>
      </c>
      <c r="Q175" s="219">
        <v>0</v>
      </c>
      <c r="R175" s="219">
        <v>0</v>
      </c>
      <c r="S175" s="219">
        <v>0</v>
      </c>
      <c r="T175" s="219">
        <v>0</v>
      </c>
      <c r="U175" s="219">
        <v>0</v>
      </c>
      <c r="V175" s="219">
        <v>0</v>
      </c>
      <c r="W175" s="219">
        <v>0</v>
      </c>
      <c r="X175" s="219">
        <v>0</v>
      </c>
      <c r="Y175" s="219">
        <v>0</v>
      </c>
      <c r="Z175" s="219">
        <v>0</v>
      </c>
      <c r="AA175" s="219">
        <v>0</v>
      </c>
      <c r="AB175" s="219">
        <v>0</v>
      </c>
      <c r="AC175" s="219">
        <v>0</v>
      </c>
      <c r="AD175" s="219">
        <v>0</v>
      </c>
      <c r="AE175" s="219">
        <v>0</v>
      </c>
    </row>
    <row r="176" spans="3:31" outlineLevel="1">
      <c r="C176" s="983" t="str">
        <f t="shared" si="25"/>
        <v> </v>
      </c>
      <c r="E176" s="3" t="s">
        <v>43</v>
      </c>
      <c r="L176" s="219">
        <v>0</v>
      </c>
      <c r="M176" s="219">
        <v>0</v>
      </c>
      <c r="N176" s="219">
        <v>0</v>
      </c>
      <c r="O176" s="219">
        <v>0</v>
      </c>
      <c r="P176" s="219">
        <v>0</v>
      </c>
      <c r="Q176" s="219">
        <v>0</v>
      </c>
      <c r="R176" s="219">
        <v>0</v>
      </c>
      <c r="S176" s="219">
        <v>0</v>
      </c>
      <c r="T176" s="219">
        <v>0</v>
      </c>
      <c r="U176" s="219">
        <v>0</v>
      </c>
      <c r="V176" s="219">
        <v>0</v>
      </c>
      <c r="W176" s="219">
        <v>0</v>
      </c>
      <c r="X176" s="219">
        <v>0</v>
      </c>
      <c r="Y176" s="219">
        <v>0</v>
      </c>
      <c r="Z176" s="219">
        <v>0</v>
      </c>
      <c r="AA176" s="219">
        <v>0</v>
      </c>
      <c r="AB176" s="219">
        <v>0</v>
      </c>
      <c r="AC176" s="219">
        <v>0</v>
      </c>
      <c r="AD176" s="219">
        <v>0</v>
      </c>
      <c r="AE176" s="219">
        <v>0</v>
      </c>
    </row>
    <row r="177" spans="2:31" outlineLevel="1">
      <c r="C177" s="983" t="str">
        <f t="shared" si="25"/>
        <v> </v>
      </c>
      <c r="E177" s="3" t="s">
        <v>43</v>
      </c>
      <c r="L177" s="219">
        <v>0</v>
      </c>
      <c r="M177" s="219">
        <v>0</v>
      </c>
      <c r="N177" s="219">
        <v>0</v>
      </c>
      <c r="O177" s="219">
        <v>0</v>
      </c>
      <c r="P177" s="219">
        <v>0</v>
      </c>
      <c r="Q177" s="219">
        <v>0</v>
      </c>
      <c r="R177" s="219">
        <v>0</v>
      </c>
      <c r="S177" s="219">
        <v>0</v>
      </c>
      <c r="T177" s="219">
        <v>0</v>
      </c>
      <c r="U177" s="219">
        <v>0</v>
      </c>
      <c r="V177" s="219">
        <v>0</v>
      </c>
      <c r="W177" s="219">
        <v>0</v>
      </c>
      <c r="X177" s="219">
        <v>0</v>
      </c>
      <c r="Y177" s="219">
        <v>0</v>
      </c>
      <c r="Z177" s="219">
        <v>0</v>
      </c>
      <c r="AA177" s="219">
        <v>0</v>
      </c>
      <c r="AB177" s="219">
        <v>0</v>
      </c>
      <c r="AC177" s="219">
        <v>0</v>
      </c>
      <c r="AD177" s="219">
        <v>0</v>
      </c>
      <c r="AE177" s="219">
        <v>0</v>
      </c>
    </row>
    <row r="178" spans="2:31" outlineLevel="1">
      <c r="C178" s="983" t="str">
        <f t="shared" si="25"/>
        <v> </v>
      </c>
      <c r="E178" s="3" t="s">
        <v>43</v>
      </c>
      <c r="L178" s="219">
        <v>0</v>
      </c>
      <c r="M178" s="219">
        <v>0</v>
      </c>
      <c r="N178" s="219">
        <v>0</v>
      </c>
      <c r="O178" s="219">
        <v>0</v>
      </c>
      <c r="P178" s="219">
        <v>0</v>
      </c>
      <c r="Q178" s="219">
        <v>0</v>
      </c>
      <c r="R178" s="219">
        <v>0</v>
      </c>
      <c r="S178" s="219">
        <v>0</v>
      </c>
      <c r="T178" s="219">
        <v>0</v>
      </c>
      <c r="U178" s="219">
        <v>0</v>
      </c>
      <c r="V178" s="219">
        <v>0</v>
      </c>
      <c r="W178" s="219">
        <v>0</v>
      </c>
      <c r="X178" s="219">
        <v>0</v>
      </c>
      <c r="Y178" s="219">
        <v>0</v>
      </c>
      <c r="Z178" s="219">
        <v>0</v>
      </c>
      <c r="AA178" s="219">
        <v>0</v>
      </c>
      <c r="AB178" s="219">
        <v>0</v>
      </c>
      <c r="AC178" s="219">
        <v>0</v>
      </c>
      <c r="AD178" s="219">
        <v>0</v>
      </c>
      <c r="AE178" s="219">
        <v>0</v>
      </c>
    </row>
    <row r="180" spans="2:31" ht="13.5" thickBot="1">
      <c r="C180" s="6" t="s">
        <v>797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</row>
    <row r="181" spans="2:31">
      <c r="C181" s="3" t="s">
        <v>853</v>
      </c>
      <c r="E181" s="3" t="s">
        <v>29</v>
      </c>
      <c r="L181" s="149"/>
      <c r="M181" s="149"/>
      <c r="N181" s="149"/>
      <c r="O181" s="149"/>
      <c r="P181" s="149"/>
      <c r="Q181" s="149"/>
      <c r="R181" s="149"/>
      <c r="S181" s="149"/>
      <c r="T181" s="149"/>
      <c r="U181" s="149"/>
      <c r="V181" s="149"/>
      <c r="W181" s="38"/>
      <c r="X181" s="38"/>
      <c r="Y181" s="38"/>
      <c r="Z181" s="38"/>
      <c r="AA181" s="38"/>
      <c r="AB181" s="38"/>
      <c r="AC181" s="38"/>
      <c r="AD181" s="38"/>
      <c r="AE181" s="38"/>
    </row>
    <row r="182" spans="2:31">
      <c r="J182" s="148"/>
      <c r="K182" s="148"/>
    </row>
    <row r="183" spans="2:31" ht="13.5" thickBot="1">
      <c r="C183" s="6" t="s">
        <v>815</v>
      </c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</row>
    <row r="184" spans="2:31">
      <c r="C184" s="3" t="s">
        <v>853</v>
      </c>
      <c r="E184" s="3" t="s">
        <v>29</v>
      </c>
      <c r="L184" s="27">
        <f t="shared" ref="L184:AE184" si="26">(SUMPRODUCT(L108:L139,L147:L178)*(L181="")+L181)</f>
        <v>0</v>
      </c>
      <c r="M184" s="27">
        <f t="shared" si="26"/>
        <v>0</v>
      </c>
      <c r="N184" s="27">
        <f t="shared" si="26"/>
        <v>0</v>
      </c>
      <c r="O184" s="27">
        <f t="shared" si="26"/>
        <v>0</v>
      </c>
      <c r="P184" s="27">
        <f t="shared" si="26"/>
        <v>23989.000598499999</v>
      </c>
      <c r="Q184" s="27">
        <f t="shared" si="26"/>
        <v>21699.1708382</v>
      </c>
      <c r="R184" s="27">
        <f t="shared" si="26"/>
        <v>27927.179298199997</v>
      </c>
      <c r="S184" s="27">
        <f t="shared" si="26"/>
        <v>34335.180073399999</v>
      </c>
      <c r="T184" s="27">
        <f t="shared" si="26"/>
        <v>35396.853930900004</v>
      </c>
      <c r="U184" s="27">
        <f t="shared" si="26"/>
        <v>34469.034043100008</v>
      </c>
      <c r="V184" s="27">
        <f t="shared" si="26"/>
        <v>0</v>
      </c>
      <c r="W184" s="27">
        <f t="shared" si="26"/>
        <v>0</v>
      </c>
      <c r="X184" s="27">
        <f t="shared" si="26"/>
        <v>0</v>
      </c>
      <c r="Y184" s="27">
        <f t="shared" si="26"/>
        <v>0</v>
      </c>
      <c r="Z184" s="27">
        <f t="shared" si="26"/>
        <v>0</v>
      </c>
      <c r="AA184" s="27">
        <f t="shared" si="26"/>
        <v>0</v>
      </c>
      <c r="AB184" s="27">
        <f t="shared" si="26"/>
        <v>0</v>
      </c>
      <c r="AC184" s="27">
        <f t="shared" si="26"/>
        <v>0</v>
      </c>
      <c r="AD184" s="27">
        <f t="shared" si="26"/>
        <v>0</v>
      </c>
      <c r="AE184" s="27">
        <f t="shared" si="26"/>
        <v>0</v>
      </c>
    </row>
    <row r="185" spans="2:31">
      <c r="C185" s="17"/>
      <c r="D185" s="17"/>
      <c r="E185" s="17"/>
      <c r="F185" s="17"/>
      <c r="G185" s="17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</row>
    <row r="186" spans="2:31">
      <c r="B186" s="152" t="s">
        <v>24</v>
      </c>
      <c r="C186" s="29"/>
      <c r="D186" s="29"/>
      <c r="E186" s="29"/>
      <c r="F186" s="29"/>
      <c r="G186" s="29"/>
      <c r="H186" s="29"/>
      <c r="I186" s="29" t="s">
        <v>851</v>
      </c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</row>
    <row r="188" spans="2:31" ht="13.5" thickBot="1">
      <c r="C188" s="7" t="s">
        <v>854</v>
      </c>
      <c r="D188" s="7"/>
      <c r="E188" s="7"/>
      <c r="F188" s="7"/>
      <c r="G188" s="7"/>
      <c r="H188" s="7"/>
      <c r="I188" s="7"/>
      <c r="J188" s="7"/>
      <c r="K188" s="7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</row>
    <row r="189" spans="2:31" outlineLevel="1">
      <c r="C189" s="983" t="str">
        <f t="shared" ref="C189:C220" si="27">C108</f>
        <v>Travel</v>
      </c>
      <c r="E189" s="3" t="s">
        <v>43</v>
      </c>
      <c r="L189" s="219">
        <v>0</v>
      </c>
      <c r="M189" s="219">
        <v>0</v>
      </c>
      <c r="N189" s="219">
        <v>0</v>
      </c>
      <c r="O189" s="219">
        <v>0</v>
      </c>
      <c r="P189" s="1598">
        <v>0.14252339999999997</v>
      </c>
      <c r="Q189" s="1598">
        <v>0.12967580000000001</v>
      </c>
      <c r="R189" s="1598">
        <v>0.16112530000000003</v>
      </c>
      <c r="S189" s="1598">
        <v>0.16082660000000004</v>
      </c>
      <c r="T189" s="1598">
        <v>0.16034760000000003</v>
      </c>
      <c r="U189" s="1598">
        <v>0.16043960000000002</v>
      </c>
      <c r="V189" s="219">
        <v>0</v>
      </c>
      <c r="W189" s="219">
        <v>0</v>
      </c>
      <c r="X189" s="219">
        <v>0</v>
      </c>
      <c r="Y189" s="219">
        <v>0</v>
      </c>
      <c r="Z189" s="219">
        <v>0</v>
      </c>
      <c r="AA189" s="219">
        <v>0</v>
      </c>
      <c r="AB189" s="219">
        <v>0</v>
      </c>
      <c r="AC189" s="219">
        <v>0</v>
      </c>
      <c r="AD189" s="219">
        <v>0</v>
      </c>
      <c r="AE189" s="219">
        <v>0</v>
      </c>
    </row>
    <row r="190" spans="2:31" outlineLevel="1">
      <c r="C190" s="983" t="str">
        <f t="shared" si="27"/>
        <v>Training (Redected)</v>
      </c>
      <c r="E190" s="3" t="s">
        <v>43</v>
      </c>
      <c r="L190" s="219">
        <v>0</v>
      </c>
      <c r="M190" s="219">
        <v>0</v>
      </c>
      <c r="N190" s="219">
        <v>0</v>
      </c>
      <c r="O190" s="219">
        <v>0</v>
      </c>
      <c r="P190" s="219">
        <v>0</v>
      </c>
      <c r="Q190" s="219">
        <v>0</v>
      </c>
      <c r="R190" s="219">
        <v>0</v>
      </c>
      <c r="S190" s="219">
        <v>0</v>
      </c>
      <c r="T190" s="219">
        <v>0</v>
      </c>
      <c r="U190" s="219">
        <v>0</v>
      </c>
      <c r="V190" s="219">
        <v>0</v>
      </c>
      <c r="W190" s="219">
        <v>0</v>
      </c>
      <c r="X190" s="219">
        <v>0</v>
      </c>
      <c r="Y190" s="219">
        <v>0</v>
      </c>
      <c r="Z190" s="219">
        <v>0</v>
      </c>
      <c r="AA190" s="219">
        <v>0</v>
      </c>
      <c r="AB190" s="219">
        <v>0</v>
      </c>
      <c r="AC190" s="219">
        <v>0</v>
      </c>
      <c r="AD190" s="219">
        <v>0</v>
      </c>
      <c r="AE190" s="219">
        <v>0</v>
      </c>
    </row>
    <row r="191" spans="2:31" outlineLevel="1">
      <c r="C191" s="983" t="str">
        <f t="shared" si="27"/>
        <v>Utilities</v>
      </c>
      <c r="E191" s="3" t="s">
        <v>43</v>
      </c>
      <c r="L191" s="219">
        <v>0</v>
      </c>
      <c r="M191" s="219">
        <v>0</v>
      </c>
      <c r="N191" s="219">
        <v>0</v>
      </c>
      <c r="O191" s="219">
        <v>0</v>
      </c>
      <c r="P191" s="1598">
        <v>0.15000000000000002</v>
      </c>
      <c r="Q191" s="1598">
        <v>0.2234043</v>
      </c>
      <c r="R191" s="1598">
        <v>0.23349439999999999</v>
      </c>
      <c r="S191" s="1598">
        <v>0.23149609999999998</v>
      </c>
      <c r="T191" s="1598">
        <v>0.23149609999999998</v>
      </c>
      <c r="U191" s="1598">
        <v>0.23149609999999998</v>
      </c>
      <c r="V191" s="219">
        <v>0</v>
      </c>
      <c r="W191" s="219">
        <v>0</v>
      </c>
      <c r="X191" s="219">
        <v>0</v>
      </c>
      <c r="Y191" s="219">
        <v>0</v>
      </c>
      <c r="Z191" s="219">
        <v>0</v>
      </c>
      <c r="AA191" s="219">
        <v>0</v>
      </c>
      <c r="AB191" s="219">
        <v>0</v>
      </c>
      <c r="AC191" s="219">
        <v>0</v>
      </c>
      <c r="AD191" s="219">
        <v>0</v>
      </c>
      <c r="AE191" s="219">
        <v>0</v>
      </c>
    </row>
    <row r="192" spans="2:31" outlineLevel="1">
      <c r="C192" s="983" t="str">
        <f t="shared" si="27"/>
        <v>Telecoms (Redacted)</v>
      </c>
      <c r="E192" s="3" t="s">
        <v>43</v>
      </c>
      <c r="L192" s="219">
        <v>0</v>
      </c>
      <c r="M192" s="219">
        <v>0</v>
      </c>
      <c r="N192" s="219">
        <v>0</v>
      </c>
      <c r="O192" s="219">
        <v>0</v>
      </c>
      <c r="P192" s="219">
        <v>0</v>
      </c>
      <c r="Q192" s="219">
        <v>0</v>
      </c>
      <c r="R192" s="219">
        <v>0</v>
      </c>
      <c r="S192" s="219">
        <v>0</v>
      </c>
      <c r="T192" s="219">
        <v>0</v>
      </c>
      <c r="U192" s="219">
        <v>0</v>
      </c>
      <c r="V192" s="219">
        <v>0</v>
      </c>
      <c r="W192" s="219">
        <v>0</v>
      </c>
      <c r="X192" s="219">
        <v>0</v>
      </c>
      <c r="Y192" s="219">
        <v>0</v>
      </c>
      <c r="Z192" s="219">
        <v>0</v>
      </c>
      <c r="AA192" s="219">
        <v>0</v>
      </c>
      <c r="AB192" s="219">
        <v>0</v>
      </c>
      <c r="AC192" s="219">
        <v>0</v>
      </c>
      <c r="AD192" s="219">
        <v>0</v>
      </c>
      <c r="AE192" s="219">
        <v>0</v>
      </c>
    </row>
    <row r="193" spans="3:31" outlineLevel="1">
      <c r="C193" s="983" t="str">
        <f t="shared" si="27"/>
        <v>Maintenance</v>
      </c>
      <c r="E193" s="3" t="s">
        <v>43</v>
      </c>
      <c r="L193" s="219">
        <v>0</v>
      </c>
      <c r="M193" s="219">
        <v>0</v>
      </c>
      <c r="N193" s="219">
        <v>0</v>
      </c>
      <c r="O193" s="219">
        <v>0</v>
      </c>
      <c r="P193" s="1598">
        <v>0.19512200000000002</v>
      </c>
      <c r="Q193" s="1598">
        <v>0.20881229999999995</v>
      </c>
      <c r="R193" s="1598">
        <v>0.21747570000000005</v>
      </c>
      <c r="S193" s="1598">
        <v>0.21406369999999997</v>
      </c>
      <c r="T193" s="1598">
        <v>0.21323449999999999</v>
      </c>
      <c r="U193" s="1598">
        <v>0.21339339999999996</v>
      </c>
      <c r="V193" s="219">
        <v>0</v>
      </c>
      <c r="W193" s="219">
        <v>0</v>
      </c>
      <c r="X193" s="219">
        <v>0</v>
      </c>
      <c r="Y193" s="219">
        <v>0</v>
      </c>
      <c r="Z193" s="219">
        <v>0</v>
      </c>
      <c r="AA193" s="219">
        <v>0</v>
      </c>
      <c r="AB193" s="219">
        <v>0</v>
      </c>
      <c r="AC193" s="219">
        <v>0</v>
      </c>
      <c r="AD193" s="219">
        <v>0</v>
      </c>
      <c r="AE193" s="219">
        <v>0</v>
      </c>
    </row>
    <row r="194" spans="3:31" outlineLevel="1">
      <c r="C194" s="983" t="str">
        <f t="shared" si="27"/>
        <v>Spares</v>
      </c>
      <c r="E194" s="3" t="s">
        <v>43</v>
      </c>
      <c r="L194" s="219">
        <v>0</v>
      </c>
      <c r="M194" s="219">
        <v>0</v>
      </c>
      <c r="N194" s="219">
        <v>0</v>
      </c>
      <c r="O194" s="219">
        <v>0</v>
      </c>
      <c r="P194" s="1598">
        <v>0.19512200000000002</v>
      </c>
      <c r="Q194" s="1598">
        <v>0.20881229999999995</v>
      </c>
      <c r="R194" s="1598">
        <v>0.21747570000000005</v>
      </c>
      <c r="S194" s="1598">
        <v>0.21406369999999997</v>
      </c>
      <c r="T194" s="1598">
        <v>0.21323449999999999</v>
      </c>
      <c r="U194" s="1598">
        <v>0.21339339999999996</v>
      </c>
      <c r="V194" s="219">
        <v>0</v>
      </c>
      <c r="W194" s="219">
        <v>0</v>
      </c>
      <c r="X194" s="219">
        <v>0</v>
      </c>
      <c r="Y194" s="219">
        <v>0</v>
      </c>
      <c r="Z194" s="219">
        <v>0</v>
      </c>
      <c r="AA194" s="219">
        <v>0</v>
      </c>
      <c r="AB194" s="219">
        <v>0</v>
      </c>
      <c r="AC194" s="219">
        <v>0</v>
      </c>
      <c r="AD194" s="219">
        <v>0</v>
      </c>
      <c r="AE194" s="219">
        <v>0</v>
      </c>
    </row>
    <row r="195" spans="3:31" outlineLevel="1">
      <c r="C195" s="983" t="str">
        <f t="shared" si="27"/>
        <v>Power</v>
      </c>
      <c r="E195" s="3" t="s">
        <v>43</v>
      </c>
      <c r="L195" s="219">
        <v>0</v>
      </c>
      <c r="M195" s="219">
        <v>0</v>
      </c>
      <c r="N195" s="219">
        <v>0</v>
      </c>
      <c r="O195" s="219">
        <v>0</v>
      </c>
      <c r="P195" s="1598">
        <v>0.19512200000000002</v>
      </c>
      <c r="Q195" s="1598">
        <v>0.20881229999999995</v>
      </c>
      <c r="R195" s="1598">
        <v>0.21747570000000005</v>
      </c>
      <c r="S195" s="1598">
        <v>0.21406369999999997</v>
      </c>
      <c r="T195" s="1598">
        <v>0.21323449999999999</v>
      </c>
      <c r="U195" s="1598">
        <v>0.21339339999999996</v>
      </c>
      <c r="V195" s="219">
        <v>0</v>
      </c>
      <c r="W195" s="219">
        <v>0</v>
      </c>
      <c r="X195" s="219">
        <v>0</v>
      </c>
      <c r="Y195" s="219">
        <v>0</v>
      </c>
      <c r="Z195" s="219">
        <v>0</v>
      </c>
      <c r="AA195" s="219">
        <v>0</v>
      </c>
      <c r="AB195" s="219">
        <v>0</v>
      </c>
      <c r="AC195" s="219">
        <v>0</v>
      </c>
      <c r="AD195" s="219">
        <v>0</v>
      </c>
      <c r="AE195" s="219">
        <v>0</v>
      </c>
    </row>
    <row r="196" spans="3:31" outlineLevel="1">
      <c r="C196" s="983" t="str">
        <f t="shared" si="27"/>
        <v>Flight checking</v>
      </c>
      <c r="E196" s="3" t="s">
        <v>43</v>
      </c>
      <c r="L196" s="219">
        <v>0</v>
      </c>
      <c r="M196" s="219">
        <v>0</v>
      </c>
      <c r="N196" s="219">
        <v>0</v>
      </c>
      <c r="O196" s="219">
        <v>0</v>
      </c>
      <c r="P196" s="219">
        <v>0</v>
      </c>
      <c r="Q196" s="219">
        <v>0</v>
      </c>
      <c r="R196" s="219">
        <v>0</v>
      </c>
      <c r="S196" s="219">
        <v>0</v>
      </c>
      <c r="T196" s="219">
        <v>0</v>
      </c>
      <c r="U196" s="219">
        <v>0</v>
      </c>
      <c r="V196" s="219">
        <v>0</v>
      </c>
      <c r="W196" s="219">
        <v>0</v>
      </c>
      <c r="X196" s="219">
        <v>0</v>
      </c>
      <c r="Y196" s="219">
        <v>0</v>
      </c>
      <c r="Z196" s="219">
        <v>0</v>
      </c>
      <c r="AA196" s="219">
        <v>0</v>
      </c>
      <c r="AB196" s="219">
        <v>0</v>
      </c>
      <c r="AC196" s="219">
        <v>0</v>
      </c>
      <c r="AD196" s="219">
        <v>0</v>
      </c>
      <c r="AE196" s="219">
        <v>0</v>
      </c>
    </row>
    <row r="197" spans="3:31" outlineLevel="1">
      <c r="C197" s="983" t="str">
        <f t="shared" si="27"/>
        <v>Other</v>
      </c>
      <c r="E197" s="3" t="s">
        <v>43</v>
      </c>
      <c r="L197" s="219">
        <v>0</v>
      </c>
      <c r="M197" s="219">
        <v>0</v>
      </c>
      <c r="N197" s="219">
        <v>0</v>
      </c>
      <c r="O197" s="219">
        <v>0</v>
      </c>
      <c r="P197" s="1598">
        <v>0.19512200000000002</v>
      </c>
      <c r="Q197" s="1598">
        <v>0.20881229999999995</v>
      </c>
      <c r="R197" s="1598">
        <v>0.21747570000000005</v>
      </c>
      <c r="S197" s="1598">
        <v>0.21406369999999997</v>
      </c>
      <c r="T197" s="1598">
        <v>0.21323449999999999</v>
      </c>
      <c r="U197" s="1598">
        <v>0.21339339999999996</v>
      </c>
      <c r="V197" s="219">
        <v>0</v>
      </c>
      <c r="W197" s="219">
        <v>0</v>
      </c>
      <c r="X197" s="219">
        <v>0</v>
      </c>
      <c r="Y197" s="219">
        <v>0</v>
      </c>
      <c r="Z197" s="219">
        <v>0</v>
      </c>
      <c r="AA197" s="219">
        <v>0</v>
      </c>
      <c r="AB197" s="219">
        <v>0</v>
      </c>
      <c r="AC197" s="219">
        <v>0</v>
      </c>
      <c r="AD197" s="219">
        <v>0</v>
      </c>
      <c r="AE197" s="219">
        <v>0</v>
      </c>
    </row>
    <row r="198" spans="3:31" outlineLevel="1">
      <c r="C198" s="983" t="str">
        <f t="shared" si="27"/>
        <v>Subscriptions</v>
      </c>
      <c r="E198" s="3" t="s">
        <v>43</v>
      </c>
      <c r="L198" s="219">
        <v>0</v>
      </c>
      <c r="M198" s="219">
        <v>0</v>
      </c>
      <c r="N198" s="219">
        <v>0</v>
      </c>
      <c r="O198" s="219">
        <v>0</v>
      </c>
      <c r="P198" s="1598">
        <v>0.17880790000000002</v>
      </c>
      <c r="Q198" s="1598">
        <v>0.16064259999999997</v>
      </c>
      <c r="R198" s="1598">
        <v>0.17223650000000001</v>
      </c>
      <c r="S198" s="1598">
        <v>0.17232380000000003</v>
      </c>
      <c r="T198" s="1598">
        <v>0.17021280000000005</v>
      </c>
      <c r="U198" s="1598">
        <v>0.17297300000000004</v>
      </c>
      <c r="V198" s="219">
        <v>0</v>
      </c>
      <c r="W198" s="219">
        <v>0</v>
      </c>
      <c r="X198" s="219">
        <v>0</v>
      </c>
      <c r="Y198" s="219">
        <v>0</v>
      </c>
      <c r="Z198" s="219">
        <v>0</v>
      </c>
      <c r="AA198" s="219">
        <v>0</v>
      </c>
      <c r="AB198" s="219">
        <v>0</v>
      </c>
      <c r="AC198" s="219">
        <v>0</v>
      </c>
      <c r="AD198" s="219">
        <v>0</v>
      </c>
      <c r="AE198" s="219">
        <v>0</v>
      </c>
    </row>
    <row r="199" spans="3:31" outlineLevel="1">
      <c r="C199" s="983" t="str">
        <f t="shared" si="27"/>
        <v>Rent and rates</v>
      </c>
      <c r="E199" s="3" t="s">
        <v>43</v>
      </c>
      <c r="L199" s="219">
        <v>0</v>
      </c>
      <c r="M199" s="219">
        <v>0</v>
      </c>
      <c r="N199" s="219">
        <v>0</v>
      </c>
      <c r="O199" s="219">
        <v>0</v>
      </c>
      <c r="P199" s="1598">
        <v>0.32422260000000003</v>
      </c>
      <c r="Q199" s="1598">
        <v>0.17141119999999999</v>
      </c>
      <c r="R199" s="1598">
        <v>0.17909220000000003</v>
      </c>
      <c r="S199" s="1598">
        <v>0.17917939999999999</v>
      </c>
      <c r="T199" s="1598">
        <v>0.17965390000000003</v>
      </c>
      <c r="U199" s="1598">
        <v>0.17846139999999999</v>
      </c>
      <c r="V199" s="219">
        <v>0</v>
      </c>
      <c r="W199" s="219">
        <v>0</v>
      </c>
      <c r="X199" s="219">
        <v>0</v>
      </c>
      <c r="Y199" s="219">
        <v>0</v>
      </c>
      <c r="Z199" s="219">
        <v>0</v>
      </c>
      <c r="AA199" s="219">
        <v>0</v>
      </c>
      <c r="AB199" s="219">
        <v>0</v>
      </c>
      <c r="AC199" s="219">
        <v>0</v>
      </c>
      <c r="AD199" s="219">
        <v>0</v>
      </c>
      <c r="AE199" s="219">
        <v>0</v>
      </c>
    </row>
    <row r="200" spans="3:31" outlineLevel="1">
      <c r="C200" s="983" t="str">
        <f t="shared" si="27"/>
        <v>Computing</v>
      </c>
      <c r="E200" s="3" t="s">
        <v>43</v>
      </c>
      <c r="L200" s="219">
        <v>0</v>
      </c>
      <c r="M200" s="219">
        <v>0</v>
      </c>
      <c r="N200" s="219">
        <v>0</v>
      </c>
      <c r="O200" s="219">
        <v>0</v>
      </c>
      <c r="P200" s="1598">
        <v>0.32422260000000003</v>
      </c>
      <c r="Q200" s="1598">
        <v>0.17141119999999999</v>
      </c>
      <c r="R200" s="1598">
        <v>0.17909220000000003</v>
      </c>
      <c r="S200" s="1598">
        <v>0.17917939999999999</v>
      </c>
      <c r="T200" s="1598">
        <v>0.17965390000000003</v>
      </c>
      <c r="U200" s="1598">
        <v>0.17846139999999999</v>
      </c>
      <c r="V200" s="219">
        <v>0</v>
      </c>
      <c r="W200" s="219">
        <v>0</v>
      </c>
      <c r="X200" s="219">
        <v>0</v>
      </c>
      <c r="Y200" s="219">
        <v>0</v>
      </c>
      <c r="Z200" s="219">
        <v>0</v>
      </c>
      <c r="AA200" s="219">
        <v>0</v>
      </c>
      <c r="AB200" s="219">
        <v>0</v>
      </c>
      <c r="AC200" s="219">
        <v>0</v>
      </c>
      <c r="AD200" s="219">
        <v>0</v>
      </c>
      <c r="AE200" s="219">
        <v>0</v>
      </c>
    </row>
    <row r="201" spans="3:31" outlineLevel="1">
      <c r="C201" s="983" t="str">
        <f t="shared" si="27"/>
        <v>NIS</v>
      </c>
      <c r="E201" s="3" t="s">
        <v>43</v>
      </c>
      <c r="L201" s="219">
        <v>0</v>
      </c>
      <c r="M201" s="219">
        <v>0</v>
      </c>
      <c r="N201" s="219">
        <v>0</v>
      </c>
      <c r="O201" s="219">
        <v>0</v>
      </c>
      <c r="P201" s="1598">
        <v>0.32422260000000003</v>
      </c>
      <c r="Q201" s="1598">
        <v>0.17141119999999999</v>
      </c>
      <c r="R201" s="1598">
        <v>0.17909220000000003</v>
      </c>
      <c r="S201" s="1598">
        <v>0.17917939999999999</v>
      </c>
      <c r="T201" s="1598">
        <v>0.17965390000000003</v>
      </c>
      <c r="U201" s="1598">
        <v>0.17846139999999999</v>
      </c>
      <c r="V201" s="219">
        <v>0</v>
      </c>
      <c r="W201" s="219">
        <v>0</v>
      </c>
      <c r="X201" s="219">
        <v>0</v>
      </c>
      <c r="Y201" s="219">
        <v>0</v>
      </c>
      <c r="Z201" s="219">
        <v>0</v>
      </c>
      <c r="AA201" s="219">
        <v>0</v>
      </c>
      <c r="AB201" s="219">
        <v>0</v>
      </c>
      <c r="AC201" s="219">
        <v>0</v>
      </c>
      <c r="AD201" s="219">
        <v>0</v>
      </c>
      <c r="AE201" s="219">
        <v>0</v>
      </c>
    </row>
    <row r="202" spans="3:31" outlineLevel="1">
      <c r="C202" s="983" t="str">
        <f t="shared" si="27"/>
        <v>Consultancy</v>
      </c>
      <c r="E202" s="3" t="s">
        <v>43</v>
      </c>
      <c r="L202" s="219">
        <v>0</v>
      </c>
      <c r="M202" s="219">
        <v>0</v>
      </c>
      <c r="N202" s="219">
        <v>0</v>
      </c>
      <c r="O202" s="219">
        <v>0</v>
      </c>
      <c r="P202" s="1598">
        <v>0.32422260000000003</v>
      </c>
      <c r="Q202" s="1598">
        <v>0.17141119999999999</v>
      </c>
      <c r="R202" s="1598">
        <v>0.17909220000000003</v>
      </c>
      <c r="S202" s="1598">
        <v>0.17917939999999999</v>
      </c>
      <c r="T202" s="1598">
        <v>0.17965390000000003</v>
      </c>
      <c r="U202" s="1598">
        <v>0.17846139999999999</v>
      </c>
      <c r="V202" s="219">
        <v>0</v>
      </c>
      <c r="W202" s="219">
        <v>0</v>
      </c>
      <c r="X202" s="219">
        <v>0</v>
      </c>
      <c r="Y202" s="219">
        <v>0</v>
      </c>
      <c r="Z202" s="219">
        <v>0</v>
      </c>
      <c r="AA202" s="219">
        <v>0</v>
      </c>
      <c r="AB202" s="219">
        <v>0</v>
      </c>
      <c r="AC202" s="219">
        <v>0</v>
      </c>
      <c r="AD202" s="219">
        <v>0</v>
      </c>
      <c r="AE202" s="219">
        <v>0</v>
      </c>
    </row>
    <row r="203" spans="3:31" outlineLevel="1">
      <c r="C203" s="983" t="str">
        <f t="shared" si="27"/>
        <v>Insurance (Redacted)</v>
      </c>
      <c r="E203" s="3" t="s">
        <v>43</v>
      </c>
      <c r="L203" s="219">
        <v>0</v>
      </c>
      <c r="M203" s="219">
        <v>0</v>
      </c>
      <c r="N203" s="219">
        <v>0</v>
      </c>
      <c r="O203" s="219">
        <v>0</v>
      </c>
      <c r="P203" s="219">
        <v>0</v>
      </c>
      <c r="Q203" s="219">
        <v>0</v>
      </c>
      <c r="R203" s="219">
        <v>0</v>
      </c>
      <c r="S203" s="219">
        <v>0</v>
      </c>
      <c r="T203" s="219">
        <v>0</v>
      </c>
      <c r="U203" s="219">
        <v>0</v>
      </c>
      <c r="V203" s="219">
        <v>0</v>
      </c>
      <c r="W203" s="219">
        <v>0</v>
      </c>
      <c r="X203" s="219">
        <v>0</v>
      </c>
      <c r="Y203" s="219">
        <v>0</v>
      </c>
      <c r="Z203" s="219">
        <v>0</v>
      </c>
      <c r="AA203" s="219">
        <v>0</v>
      </c>
      <c r="AB203" s="219">
        <v>0</v>
      </c>
      <c r="AC203" s="219">
        <v>0</v>
      </c>
      <c r="AD203" s="219">
        <v>0</v>
      </c>
      <c r="AE203" s="219">
        <v>0</v>
      </c>
    </row>
    <row r="204" spans="3:31" outlineLevel="1">
      <c r="C204" s="983" t="str">
        <f t="shared" si="27"/>
        <v>Building repairs</v>
      </c>
      <c r="E204" s="3" t="s">
        <v>43</v>
      </c>
      <c r="L204" s="219">
        <v>0</v>
      </c>
      <c r="M204" s="219">
        <v>0</v>
      </c>
      <c r="N204" s="219">
        <v>0</v>
      </c>
      <c r="O204" s="219">
        <v>0</v>
      </c>
      <c r="P204" s="1598">
        <v>0.32422260000000003</v>
      </c>
      <c r="Q204" s="1598">
        <v>0.17141119999999999</v>
      </c>
      <c r="R204" s="1598">
        <v>0.17909220000000003</v>
      </c>
      <c r="S204" s="1598">
        <v>0.17917939999999999</v>
      </c>
      <c r="T204" s="1598">
        <v>0.17965390000000003</v>
      </c>
      <c r="U204" s="1598">
        <v>0.17846139999999999</v>
      </c>
      <c r="V204" s="219">
        <v>0</v>
      </c>
      <c r="W204" s="219">
        <v>0</v>
      </c>
      <c r="X204" s="219">
        <v>0</v>
      </c>
      <c r="Y204" s="219">
        <v>0</v>
      </c>
      <c r="Z204" s="219">
        <v>0</v>
      </c>
      <c r="AA204" s="219">
        <v>0</v>
      </c>
      <c r="AB204" s="219">
        <v>0</v>
      </c>
      <c r="AC204" s="219">
        <v>0</v>
      </c>
      <c r="AD204" s="219">
        <v>0</v>
      </c>
      <c r="AE204" s="219">
        <v>0</v>
      </c>
    </row>
    <row r="205" spans="3:31" outlineLevel="1">
      <c r="C205" s="983" t="str">
        <f t="shared" si="27"/>
        <v>Environmental</v>
      </c>
      <c r="E205" s="3" t="s">
        <v>43</v>
      </c>
      <c r="L205" s="219">
        <v>0</v>
      </c>
      <c r="M205" s="219">
        <v>0</v>
      </c>
      <c r="N205" s="219">
        <v>0</v>
      </c>
      <c r="O205" s="219">
        <v>0</v>
      </c>
      <c r="P205" s="1598">
        <v>0.32422260000000003</v>
      </c>
      <c r="Q205" s="1598">
        <v>0.17141119999999999</v>
      </c>
      <c r="R205" s="1598">
        <v>0.17909220000000003</v>
      </c>
      <c r="S205" s="1598">
        <v>0.17917939999999999</v>
      </c>
      <c r="T205" s="1598">
        <v>0.17965390000000003</v>
      </c>
      <c r="U205" s="1598">
        <v>0.17846139999999999</v>
      </c>
      <c r="V205" s="219">
        <v>0</v>
      </c>
      <c r="W205" s="219">
        <v>0</v>
      </c>
      <c r="X205" s="219">
        <v>0</v>
      </c>
      <c r="Y205" s="219">
        <v>0</v>
      </c>
      <c r="Z205" s="219">
        <v>0</v>
      </c>
      <c r="AA205" s="219">
        <v>0</v>
      </c>
      <c r="AB205" s="219">
        <v>0</v>
      </c>
      <c r="AC205" s="219">
        <v>0</v>
      </c>
      <c r="AD205" s="219">
        <v>0</v>
      </c>
      <c r="AE205" s="219">
        <v>0</v>
      </c>
    </row>
    <row r="206" spans="3:31" outlineLevel="1">
      <c r="C206" s="983" t="str">
        <f t="shared" si="27"/>
        <v>Security (Redacted)</v>
      </c>
      <c r="E206" s="3" t="s">
        <v>43</v>
      </c>
      <c r="L206" s="219">
        <v>0</v>
      </c>
      <c r="M206" s="219">
        <v>0</v>
      </c>
      <c r="N206" s="219">
        <v>0</v>
      </c>
      <c r="O206" s="219">
        <v>0</v>
      </c>
      <c r="P206" s="219">
        <v>0</v>
      </c>
      <c r="Q206" s="219">
        <v>0</v>
      </c>
      <c r="R206" s="219">
        <v>0</v>
      </c>
      <c r="S206" s="219">
        <v>0</v>
      </c>
      <c r="T206" s="219">
        <v>0</v>
      </c>
      <c r="U206" s="219">
        <v>0</v>
      </c>
      <c r="V206" s="219">
        <v>0</v>
      </c>
      <c r="W206" s="219">
        <v>0</v>
      </c>
      <c r="X206" s="219">
        <v>0</v>
      </c>
      <c r="Y206" s="219">
        <v>0</v>
      </c>
      <c r="Z206" s="219">
        <v>0</v>
      </c>
      <c r="AA206" s="219">
        <v>0</v>
      </c>
      <c r="AB206" s="219">
        <v>0</v>
      </c>
      <c r="AC206" s="219">
        <v>0</v>
      </c>
      <c r="AD206" s="219">
        <v>0</v>
      </c>
      <c r="AE206" s="219">
        <v>0</v>
      </c>
    </row>
    <row r="207" spans="3:31" outlineLevel="1">
      <c r="C207" s="983" t="str">
        <f t="shared" si="27"/>
        <v>Professional services</v>
      </c>
      <c r="E207" s="3" t="s">
        <v>43</v>
      </c>
      <c r="L207" s="219">
        <v>0</v>
      </c>
      <c r="M207" s="219">
        <v>0</v>
      </c>
      <c r="N207" s="219">
        <v>0</v>
      </c>
      <c r="O207" s="219">
        <v>0</v>
      </c>
      <c r="P207" s="1598">
        <v>0.32422260000000003</v>
      </c>
      <c r="Q207" s="1598">
        <v>0.17141119999999999</v>
      </c>
      <c r="R207" s="1598">
        <v>0.17909220000000003</v>
      </c>
      <c r="S207" s="1598">
        <v>0.17917939999999999</v>
      </c>
      <c r="T207" s="1598">
        <v>0.17965390000000003</v>
      </c>
      <c r="U207" s="1598">
        <v>0.17846139999999999</v>
      </c>
      <c r="V207" s="219">
        <v>0</v>
      </c>
      <c r="W207" s="219">
        <v>0</v>
      </c>
      <c r="X207" s="219">
        <v>0</v>
      </c>
      <c r="Y207" s="219">
        <v>0</v>
      </c>
      <c r="Z207" s="219">
        <v>0</v>
      </c>
      <c r="AA207" s="219">
        <v>0</v>
      </c>
      <c r="AB207" s="219">
        <v>0</v>
      </c>
      <c r="AC207" s="219">
        <v>0</v>
      </c>
      <c r="AD207" s="219">
        <v>0</v>
      </c>
      <c r="AE207" s="219">
        <v>0</v>
      </c>
    </row>
    <row r="208" spans="3:31" outlineLevel="1">
      <c r="C208" s="983" t="str">
        <f t="shared" si="27"/>
        <v>Cleaning (Redacted)</v>
      </c>
      <c r="E208" s="3" t="s">
        <v>43</v>
      </c>
      <c r="L208" s="219">
        <v>0</v>
      </c>
      <c r="M208" s="219">
        <v>0</v>
      </c>
      <c r="N208" s="219">
        <v>0</v>
      </c>
      <c r="O208" s="219">
        <v>0</v>
      </c>
      <c r="P208" s="219">
        <v>0</v>
      </c>
      <c r="Q208" s="219">
        <v>0</v>
      </c>
      <c r="R208" s="219">
        <v>0</v>
      </c>
      <c r="S208" s="219">
        <v>0</v>
      </c>
      <c r="T208" s="219">
        <v>0</v>
      </c>
      <c r="U208" s="219">
        <v>0</v>
      </c>
      <c r="V208" s="219">
        <v>0</v>
      </c>
      <c r="W208" s="219">
        <v>0</v>
      </c>
      <c r="X208" s="219">
        <v>0</v>
      </c>
      <c r="Y208" s="219">
        <v>0</v>
      </c>
      <c r="Z208" s="219">
        <v>0</v>
      </c>
      <c r="AA208" s="219">
        <v>0</v>
      </c>
      <c r="AB208" s="219">
        <v>0</v>
      </c>
      <c r="AC208" s="219">
        <v>0</v>
      </c>
      <c r="AD208" s="219">
        <v>0</v>
      </c>
      <c r="AE208" s="219">
        <v>0</v>
      </c>
    </row>
    <row r="209" spans="3:31" outlineLevel="1">
      <c r="C209" s="983" t="str">
        <f t="shared" si="27"/>
        <v>IAA Restructuring</v>
      </c>
      <c r="E209" s="3" t="s">
        <v>43</v>
      </c>
      <c r="L209" s="219">
        <v>0</v>
      </c>
      <c r="M209" s="219">
        <v>0</v>
      </c>
      <c r="N209" s="219">
        <v>0</v>
      </c>
      <c r="O209" s="219">
        <v>0</v>
      </c>
      <c r="P209" s="1598">
        <v>0.32422260000000003</v>
      </c>
      <c r="Q209" s="1598">
        <v>0.17141119999999999</v>
      </c>
      <c r="R209" s="1598">
        <v>0.17909220000000003</v>
      </c>
      <c r="S209" s="1598">
        <v>0.17917939999999999</v>
      </c>
      <c r="T209" s="1598">
        <v>0.17965390000000003</v>
      </c>
      <c r="U209" s="1598">
        <v>0.17846139999999999</v>
      </c>
      <c r="V209" s="219">
        <v>0</v>
      </c>
      <c r="W209" s="219">
        <v>0</v>
      </c>
      <c r="X209" s="219">
        <v>0</v>
      </c>
      <c r="Y209" s="219">
        <v>0</v>
      </c>
      <c r="Z209" s="219">
        <v>0</v>
      </c>
      <c r="AA209" s="219">
        <v>0</v>
      </c>
      <c r="AB209" s="219">
        <v>0</v>
      </c>
      <c r="AC209" s="219">
        <v>0</v>
      </c>
      <c r="AD209" s="219">
        <v>0</v>
      </c>
      <c r="AE209" s="219">
        <v>0</v>
      </c>
    </row>
    <row r="210" spans="3:31" outlineLevel="1">
      <c r="C210" s="983" t="str">
        <f t="shared" si="27"/>
        <v>Impairment</v>
      </c>
      <c r="E210" s="3" t="s">
        <v>43</v>
      </c>
      <c r="L210" s="219">
        <v>0</v>
      </c>
      <c r="M210" s="219">
        <v>0</v>
      </c>
      <c r="N210" s="219">
        <v>0</v>
      </c>
      <c r="O210" s="219">
        <v>0</v>
      </c>
      <c r="P210" s="1598">
        <v>0.32422260000000003</v>
      </c>
      <c r="Q210" s="1598">
        <v>0.17141119999999999</v>
      </c>
      <c r="R210" s="1598">
        <v>0.17909220000000003</v>
      </c>
      <c r="S210" s="1598">
        <v>0.17917939999999999</v>
      </c>
      <c r="T210" s="1598">
        <v>0.17965390000000003</v>
      </c>
      <c r="U210" s="1598">
        <v>0.17846139999999999</v>
      </c>
      <c r="V210" s="219">
        <v>0</v>
      </c>
      <c r="W210" s="219">
        <v>0</v>
      </c>
      <c r="X210" s="219">
        <v>0</v>
      </c>
      <c r="Y210" s="219">
        <v>0</v>
      </c>
      <c r="Z210" s="219">
        <v>0</v>
      </c>
      <c r="AA210" s="219">
        <v>0</v>
      </c>
      <c r="AB210" s="219">
        <v>0</v>
      </c>
      <c r="AC210" s="219">
        <v>0</v>
      </c>
      <c r="AD210" s="219">
        <v>0</v>
      </c>
      <c r="AE210" s="219">
        <v>0</v>
      </c>
    </row>
    <row r="211" spans="3:31" outlineLevel="1">
      <c r="C211" s="983" t="str">
        <f t="shared" si="27"/>
        <v>PR</v>
      </c>
      <c r="E211" s="3" t="s">
        <v>43</v>
      </c>
      <c r="L211" s="219">
        <v>0</v>
      </c>
      <c r="M211" s="219">
        <v>0</v>
      </c>
      <c r="N211" s="219">
        <v>0</v>
      </c>
      <c r="O211" s="219">
        <v>0</v>
      </c>
      <c r="P211" s="1598">
        <v>0.32422260000000003</v>
      </c>
      <c r="Q211" s="1598">
        <v>0.17141119999999999</v>
      </c>
      <c r="R211" s="1598">
        <v>0.17909220000000003</v>
      </c>
      <c r="S211" s="1598">
        <v>0.17917939999999999</v>
      </c>
      <c r="T211" s="1598">
        <v>0.17965390000000003</v>
      </c>
      <c r="U211" s="1598">
        <v>0.17846139999999999</v>
      </c>
      <c r="V211" s="219">
        <v>0</v>
      </c>
      <c r="W211" s="219">
        <v>0</v>
      </c>
      <c r="X211" s="219">
        <v>0</v>
      </c>
      <c r="Y211" s="219">
        <v>0</v>
      </c>
      <c r="Z211" s="219">
        <v>0</v>
      </c>
      <c r="AA211" s="219">
        <v>0</v>
      </c>
      <c r="AB211" s="219">
        <v>0</v>
      </c>
      <c r="AC211" s="219">
        <v>0</v>
      </c>
      <c r="AD211" s="219">
        <v>0</v>
      </c>
      <c r="AE211" s="219">
        <v>0</v>
      </c>
    </row>
    <row r="212" spans="3:31" outlineLevel="1">
      <c r="C212" s="983" t="str">
        <f t="shared" si="27"/>
        <v>Staff related</v>
      </c>
      <c r="E212" s="3" t="s">
        <v>43</v>
      </c>
      <c r="L212" s="219">
        <v>0</v>
      </c>
      <c r="M212" s="219">
        <v>0</v>
      </c>
      <c r="N212" s="219">
        <v>0</v>
      </c>
      <c r="O212" s="219">
        <v>0</v>
      </c>
      <c r="P212" s="1598">
        <v>0.32422260000000003</v>
      </c>
      <c r="Q212" s="1598">
        <v>0.17141119999999999</v>
      </c>
      <c r="R212" s="1598">
        <v>0.17909220000000003</v>
      </c>
      <c r="S212" s="1598">
        <v>0.17917939999999999</v>
      </c>
      <c r="T212" s="1598">
        <v>0.17965390000000003</v>
      </c>
      <c r="U212" s="1598">
        <v>0.17846139999999999</v>
      </c>
      <c r="V212" s="219">
        <v>0</v>
      </c>
      <c r="W212" s="219">
        <v>0</v>
      </c>
      <c r="X212" s="219">
        <v>0</v>
      </c>
      <c r="Y212" s="219">
        <v>0</v>
      </c>
      <c r="Z212" s="219">
        <v>0</v>
      </c>
      <c r="AA212" s="219">
        <v>0</v>
      </c>
      <c r="AB212" s="219">
        <v>0</v>
      </c>
      <c r="AC212" s="219">
        <v>0</v>
      </c>
      <c r="AD212" s="219">
        <v>0</v>
      </c>
      <c r="AE212" s="219">
        <v>0</v>
      </c>
    </row>
    <row r="213" spans="3:31" outlineLevel="1">
      <c r="C213" s="983" t="str">
        <f t="shared" si="27"/>
        <v>Other</v>
      </c>
      <c r="E213" s="3" t="s">
        <v>43</v>
      </c>
      <c r="L213" s="219"/>
      <c r="M213" s="219"/>
      <c r="N213" s="219"/>
      <c r="O213" s="219"/>
      <c r="P213" s="1598">
        <v>0.32422260000000003</v>
      </c>
      <c r="Q213" s="1598">
        <v>0.17141119999999999</v>
      </c>
      <c r="R213" s="1598">
        <v>0.17909220000000003</v>
      </c>
      <c r="S213" s="1598">
        <v>0.17917939999999999</v>
      </c>
      <c r="T213" s="1598">
        <v>0.17965390000000003</v>
      </c>
      <c r="U213" s="1598">
        <v>0.17846139999999999</v>
      </c>
      <c r="V213" s="219"/>
      <c r="W213" s="219"/>
      <c r="X213" s="219"/>
      <c r="Y213" s="219"/>
      <c r="Z213" s="219"/>
      <c r="AA213" s="219"/>
      <c r="AB213" s="219"/>
      <c r="AC213" s="219"/>
      <c r="AD213" s="219"/>
      <c r="AE213" s="219"/>
    </row>
    <row r="214" spans="3:31" outlineLevel="1">
      <c r="C214" s="983" t="str">
        <f t="shared" si="27"/>
        <v>Redacted</v>
      </c>
      <c r="E214" s="3" t="s">
        <v>43</v>
      </c>
      <c r="L214" s="219"/>
      <c r="M214" s="219"/>
      <c r="N214" s="219"/>
      <c r="O214" s="219"/>
      <c r="P214" s="1598">
        <v>0.20735840000000005</v>
      </c>
      <c r="Q214" s="1598">
        <v>0.16922280000000001</v>
      </c>
      <c r="R214" s="1598">
        <v>0.17179540000000004</v>
      </c>
      <c r="S214" s="1598">
        <v>0.17790150000000005</v>
      </c>
      <c r="T214" s="1598">
        <v>0.17934220000000001</v>
      </c>
      <c r="U214" s="1598">
        <v>0.17838209999999999</v>
      </c>
      <c r="V214" s="219"/>
      <c r="W214" s="219"/>
      <c r="X214" s="219"/>
      <c r="Y214" s="219"/>
      <c r="Z214" s="219"/>
      <c r="AA214" s="219"/>
      <c r="AB214" s="219"/>
      <c r="AC214" s="219"/>
      <c r="AD214" s="219"/>
      <c r="AE214" s="219"/>
    </row>
    <row r="215" spans="3:31" outlineLevel="1">
      <c r="C215" s="983" t="str">
        <f t="shared" si="27"/>
        <v> </v>
      </c>
      <c r="E215" s="3" t="s">
        <v>43</v>
      </c>
      <c r="L215" s="219"/>
      <c r="M215" s="219"/>
      <c r="N215" s="219"/>
      <c r="O215" s="219"/>
      <c r="P215" s="223"/>
      <c r="Q215" s="223"/>
      <c r="R215" s="223"/>
      <c r="S215" s="223"/>
      <c r="T215" s="223"/>
      <c r="U215" s="223"/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</row>
    <row r="216" spans="3:31" outlineLevel="1">
      <c r="C216" s="983" t="str">
        <f t="shared" si="27"/>
        <v> </v>
      </c>
      <c r="E216" s="3" t="s">
        <v>43</v>
      </c>
      <c r="L216" s="219"/>
      <c r="M216" s="219"/>
      <c r="N216" s="219"/>
      <c r="O216" s="219"/>
      <c r="P216" s="223"/>
      <c r="Q216" s="223"/>
      <c r="R216" s="223"/>
      <c r="S216" s="223"/>
      <c r="T216" s="223"/>
      <c r="U216" s="223"/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</row>
    <row r="217" spans="3:31" outlineLevel="1">
      <c r="C217" s="983" t="str">
        <f t="shared" si="27"/>
        <v> </v>
      </c>
      <c r="E217" s="3" t="s">
        <v>43</v>
      </c>
      <c r="L217" s="219"/>
      <c r="M217" s="219"/>
      <c r="N217" s="219"/>
      <c r="O217" s="219"/>
      <c r="P217" s="223"/>
      <c r="Q217" s="223"/>
      <c r="R217" s="223"/>
      <c r="S217" s="223"/>
      <c r="T217" s="223"/>
      <c r="U217" s="223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</row>
    <row r="218" spans="3:31" outlineLevel="1">
      <c r="C218" s="983" t="str">
        <f t="shared" si="27"/>
        <v> </v>
      </c>
      <c r="E218" s="3" t="s">
        <v>43</v>
      </c>
      <c r="L218" s="219"/>
      <c r="M218" s="219"/>
      <c r="N218" s="219"/>
      <c r="O218" s="219"/>
      <c r="P218" s="223"/>
      <c r="Q218" s="223"/>
      <c r="R218" s="223"/>
      <c r="S218" s="223"/>
      <c r="T218" s="223"/>
      <c r="U218" s="223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</row>
    <row r="219" spans="3:31" outlineLevel="1">
      <c r="C219" s="983" t="str">
        <f t="shared" si="27"/>
        <v> </v>
      </c>
      <c r="E219" s="3" t="s">
        <v>43</v>
      </c>
      <c r="L219" s="219"/>
      <c r="M219" s="219"/>
      <c r="N219" s="219"/>
      <c r="O219" s="219"/>
      <c r="P219" s="223"/>
      <c r="Q219" s="223"/>
      <c r="R219" s="223"/>
      <c r="S219" s="223"/>
      <c r="T219" s="223"/>
      <c r="U219" s="223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</row>
    <row r="220" spans="3:31" outlineLevel="1">
      <c r="C220" s="983" t="str">
        <f t="shared" si="27"/>
        <v> </v>
      </c>
      <c r="E220" s="3" t="s">
        <v>43</v>
      </c>
      <c r="L220" s="219"/>
      <c r="M220" s="219"/>
      <c r="N220" s="219"/>
      <c r="O220" s="219"/>
      <c r="P220" s="223"/>
      <c r="Q220" s="223"/>
      <c r="R220" s="223"/>
      <c r="S220" s="223"/>
      <c r="T220" s="223"/>
      <c r="U220" s="223"/>
      <c r="V220" s="219"/>
      <c r="W220" s="219">
        <v>0</v>
      </c>
      <c r="X220" s="219">
        <v>0</v>
      </c>
      <c r="Y220" s="219">
        <v>0</v>
      </c>
      <c r="Z220" s="219">
        <v>0</v>
      </c>
      <c r="AA220" s="219">
        <v>0</v>
      </c>
      <c r="AB220" s="219">
        <v>0</v>
      </c>
      <c r="AC220" s="219">
        <v>0</v>
      </c>
      <c r="AD220" s="219">
        <v>0</v>
      </c>
      <c r="AE220" s="219">
        <v>0</v>
      </c>
    </row>
    <row r="222" spans="3:31" ht="13.5" thickBot="1">
      <c r="C222" s="6" t="s">
        <v>797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</row>
    <row r="223" spans="3:31">
      <c r="C223" s="3" t="s">
        <v>853</v>
      </c>
      <c r="E223" s="3" t="s">
        <v>29</v>
      </c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</row>
    <row r="225" spans="2:31" ht="13.5" thickBot="1">
      <c r="C225" s="6" t="s">
        <v>815</v>
      </c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</row>
    <row r="226" spans="2:31">
      <c r="C226" s="3" t="s">
        <v>853</v>
      </c>
      <c r="E226" s="3" t="s">
        <v>29</v>
      </c>
      <c r="L226" s="27">
        <f t="shared" ref="L226:AE226" si="28">((SUMPRODUCT(L108:L139,L189:L220)*(L223="")+L223))</f>
        <v>0</v>
      </c>
      <c r="M226" s="27">
        <f t="shared" si="28"/>
        <v>0</v>
      </c>
      <c r="N226" s="27">
        <f t="shared" si="28"/>
        <v>0</v>
      </c>
      <c r="O226" s="27">
        <f t="shared" si="28"/>
        <v>0</v>
      </c>
      <c r="P226" s="27">
        <f t="shared" si="28"/>
        <v>7704.9994015000011</v>
      </c>
      <c r="Q226" s="27">
        <f t="shared" si="28"/>
        <v>4748.8291617999985</v>
      </c>
      <c r="R226" s="27">
        <f t="shared" si="28"/>
        <v>6358.8207018000003</v>
      </c>
      <c r="S226" s="27">
        <f t="shared" si="28"/>
        <v>7878.8199266000011</v>
      </c>
      <c r="T226" s="27">
        <f t="shared" si="28"/>
        <v>8149.1460691000002</v>
      </c>
      <c r="U226" s="27">
        <f t="shared" si="28"/>
        <v>7909.9659568999996</v>
      </c>
      <c r="V226" s="27">
        <f t="shared" si="28"/>
        <v>0</v>
      </c>
      <c r="W226" s="27">
        <f t="shared" si="28"/>
        <v>0</v>
      </c>
      <c r="X226" s="27">
        <f t="shared" si="28"/>
        <v>0</v>
      </c>
      <c r="Y226" s="27">
        <f t="shared" si="28"/>
        <v>0</v>
      </c>
      <c r="Z226" s="27">
        <f t="shared" si="28"/>
        <v>0</v>
      </c>
      <c r="AA226" s="27">
        <f t="shared" si="28"/>
        <v>0</v>
      </c>
      <c r="AB226" s="27">
        <f t="shared" si="28"/>
        <v>0</v>
      </c>
      <c r="AC226" s="27">
        <f t="shared" si="28"/>
        <v>0</v>
      </c>
      <c r="AD226" s="27">
        <f t="shared" si="28"/>
        <v>0</v>
      </c>
      <c r="AE226" s="27">
        <f t="shared" si="28"/>
        <v>0</v>
      </c>
    </row>
    <row r="227" spans="2:31">
      <c r="H227" s="148"/>
      <c r="L227" s="26"/>
      <c r="M227" s="26"/>
      <c r="N227" s="26"/>
      <c r="O227" s="26"/>
      <c r="P227" s="984"/>
      <c r="Q227" s="984"/>
      <c r="R227" s="984"/>
      <c r="S227" s="984"/>
      <c r="T227" s="984"/>
      <c r="U227" s="984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</row>
    <row r="228" spans="2:31">
      <c r="B228" s="20" t="s">
        <v>33</v>
      </c>
      <c r="C228" s="1613"/>
      <c r="D228" s="1613" t="s">
        <v>814</v>
      </c>
      <c r="E228" s="1613" t="s">
        <v>814</v>
      </c>
      <c r="F228" s="1613" t="s">
        <v>814</v>
      </c>
      <c r="G228" s="1613" t="s">
        <v>814</v>
      </c>
      <c r="H228" s="1613" t="s">
        <v>814</v>
      </c>
      <c r="I228" s="1613" t="s">
        <v>814</v>
      </c>
      <c r="J228" s="1613" t="s">
        <v>814</v>
      </c>
      <c r="K228" s="1613" t="s">
        <v>814</v>
      </c>
      <c r="L228" s="1613" t="s">
        <v>814</v>
      </c>
      <c r="M228" s="1613" t="s">
        <v>814</v>
      </c>
      <c r="N228" s="1613" t="s">
        <v>814</v>
      </c>
      <c r="O228" s="1613" t="s">
        <v>814</v>
      </c>
      <c r="P228" s="1613" t="s">
        <v>814</v>
      </c>
      <c r="Q228" s="1613" t="s">
        <v>814</v>
      </c>
      <c r="R228" s="1613" t="s">
        <v>814</v>
      </c>
      <c r="S228" s="1613" t="s">
        <v>814</v>
      </c>
      <c r="T228" s="1613" t="s">
        <v>814</v>
      </c>
      <c r="U228" s="1613" t="s">
        <v>814</v>
      </c>
      <c r="V228" s="1613" t="s">
        <v>814</v>
      </c>
      <c r="W228" s="1613" t="s">
        <v>814</v>
      </c>
      <c r="X228" s="1613" t="s">
        <v>814</v>
      </c>
      <c r="Y228" s="1613" t="s">
        <v>814</v>
      </c>
      <c r="Z228" s="1613" t="s">
        <v>814</v>
      </c>
      <c r="AA228" s="1613" t="s">
        <v>814</v>
      </c>
      <c r="AB228" s="1613" t="s">
        <v>814</v>
      </c>
      <c r="AC228" s="1613" t="s">
        <v>814</v>
      </c>
      <c r="AD228" s="1613" t="s">
        <v>814</v>
      </c>
      <c r="AE228" s="1613" t="s">
        <v>814</v>
      </c>
    </row>
    <row r="229" spans="2:31">
      <c r="B229" s="1593" t="s">
        <v>814</v>
      </c>
      <c r="C229" s="1593" t="s">
        <v>814</v>
      </c>
      <c r="D229" s="1593" t="s">
        <v>814</v>
      </c>
      <c r="E229" s="1593" t="s">
        <v>814</v>
      </c>
      <c r="F229" s="1593" t="s">
        <v>814</v>
      </c>
      <c r="G229" s="1593" t="s">
        <v>814</v>
      </c>
      <c r="H229" s="1593" t="s">
        <v>814</v>
      </c>
      <c r="I229" s="1593" t="s">
        <v>814</v>
      </c>
      <c r="J229" s="1593" t="s">
        <v>814</v>
      </c>
      <c r="K229" s="1593" t="s">
        <v>814</v>
      </c>
      <c r="L229" s="1593" t="s">
        <v>814</v>
      </c>
      <c r="M229" s="1593" t="s">
        <v>814</v>
      </c>
      <c r="N229" s="1593" t="s">
        <v>814</v>
      </c>
      <c r="O229" s="1593" t="s">
        <v>814</v>
      </c>
      <c r="P229" s="1593" t="s">
        <v>814</v>
      </c>
      <c r="Q229" s="1593" t="s">
        <v>814</v>
      </c>
      <c r="R229" s="1593" t="s">
        <v>814</v>
      </c>
      <c r="S229" s="1593" t="s">
        <v>814</v>
      </c>
      <c r="T229" s="1593" t="s">
        <v>814</v>
      </c>
      <c r="U229" s="1593" t="s">
        <v>814</v>
      </c>
      <c r="V229" s="1593" t="s">
        <v>814</v>
      </c>
      <c r="W229" s="1593" t="s">
        <v>814</v>
      </c>
      <c r="X229" s="1593" t="s">
        <v>814</v>
      </c>
      <c r="Y229" s="1593" t="s">
        <v>814</v>
      </c>
      <c r="Z229" s="1593" t="s">
        <v>814</v>
      </c>
      <c r="AA229" s="1593" t="s">
        <v>814</v>
      </c>
      <c r="AB229" s="1593" t="s">
        <v>814</v>
      </c>
      <c r="AC229" s="1593" t="s">
        <v>814</v>
      </c>
      <c r="AD229" s="1593" t="s">
        <v>814</v>
      </c>
      <c r="AE229" s="1593" t="s">
        <v>814</v>
      </c>
    </row>
    <row r="230" spans="2:31">
      <c r="B230" s="1593" t="s">
        <v>814</v>
      </c>
      <c r="C230" s="1614" t="s">
        <v>855</v>
      </c>
      <c r="D230" s="1614" t="s">
        <v>814</v>
      </c>
      <c r="E230" s="1614" t="s">
        <v>814</v>
      </c>
      <c r="F230" s="1614" t="s">
        <v>814</v>
      </c>
      <c r="G230" s="1614" t="s">
        <v>814</v>
      </c>
      <c r="H230" s="1614" t="s">
        <v>814</v>
      </c>
      <c r="I230" s="1614" t="s">
        <v>814</v>
      </c>
      <c r="J230" s="1614" t="s">
        <v>814</v>
      </c>
      <c r="K230" s="1614" t="s">
        <v>814</v>
      </c>
      <c r="L230" s="1614" t="s">
        <v>814</v>
      </c>
      <c r="M230" s="1614" t="s">
        <v>814</v>
      </c>
      <c r="N230" s="1614" t="s">
        <v>814</v>
      </c>
      <c r="O230" s="1614" t="s">
        <v>814</v>
      </c>
      <c r="P230" s="1614" t="s">
        <v>814</v>
      </c>
      <c r="Q230" s="1614" t="s">
        <v>814</v>
      </c>
      <c r="R230" s="1614" t="s">
        <v>814</v>
      </c>
      <c r="S230" s="1614" t="s">
        <v>814</v>
      </c>
      <c r="T230" s="1614" t="s">
        <v>814</v>
      </c>
      <c r="U230" s="1614" t="s">
        <v>814</v>
      </c>
      <c r="V230" s="1614" t="s">
        <v>814</v>
      </c>
      <c r="W230" s="1614" t="s">
        <v>814</v>
      </c>
      <c r="X230" s="1614" t="s">
        <v>814</v>
      </c>
      <c r="Y230" s="1614" t="s">
        <v>814</v>
      </c>
      <c r="Z230" s="1614" t="s">
        <v>814</v>
      </c>
      <c r="AA230" s="1614" t="s">
        <v>814</v>
      </c>
      <c r="AB230" s="1614" t="s">
        <v>814</v>
      </c>
      <c r="AC230" s="1614" t="s">
        <v>814</v>
      </c>
      <c r="AD230" s="1614" t="s">
        <v>814</v>
      </c>
      <c r="AE230" s="1614" t="s">
        <v>814</v>
      </c>
    </row>
    <row r="231" spans="2:31">
      <c r="B231" s="1593" t="s">
        <v>814</v>
      </c>
      <c r="C231" s="1593" t="s">
        <v>12</v>
      </c>
      <c r="D231" s="1593" t="s">
        <v>814</v>
      </c>
      <c r="E231" s="1593" t="s">
        <v>29</v>
      </c>
      <c r="F231" s="1593" t="s">
        <v>814</v>
      </c>
      <c r="G231" s="1593" t="s">
        <v>814</v>
      </c>
      <c r="H231" s="1593" t="s">
        <v>814</v>
      </c>
      <c r="I231" s="1593" t="s">
        <v>814</v>
      </c>
      <c r="J231" s="1593" t="s">
        <v>814</v>
      </c>
      <c r="K231" s="1593" t="s">
        <v>814</v>
      </c>
      <c r="L231" s="1586" t="s">
        <v>814</v>
      </c>
      <c r="M231" s="1587" t="s">
        <v>814</v>
      </c>
      <c r="N231" s="1587" t="s">
        <v>814</v>
      </c>
      <c r="O231" s="1587" t="s">
        <v>814</v>
      </c>
      <c r="P231" s="1587" t="s">
        <v>814</v>
      </c>
      <c r="Q231" s="1587" t="s">
        <v>814</v>
      </c>
      <c r="R231" s="1588">
        <v>1236</v>
      </c>
      <c r="S231" s="1587" t="s">
        <v>814</v>
      </c>
      <c r="T231" s="1587" t="s">
        <v>814</v>
      </c>
      <c r="U231" s="1587" t="s">
        <v>814</v>
      </c>
      <c r="V231" s="1587" t="s">
        <v>814</v>
      </c>
      <c r="W231" s="1587" t="s">
        <v>814</v>
      </c>
      <c r="X231" s="1587" t="s">
        <v>814</v>
      </c>
      <c r="Y231" s="1587" t="s">
        <v>814</v>
      </c>
      <c r="Z231" s="1587" t="s">
        <v>814</v>
      </c>
      <c r="AA231" s="1587" t="s">
        <v>814</v>
      </c>
      <c r="AB231" s="1587" t="s">
        <v>814</v>
      </c>
      <c r="AC231" s="1587" t="s">
        <v>814</v>
      </c>
      <c r="AD231" s="1587" t="s">
        <v>814</v>
      </c>
      <c r="AE231" s="1587" t="s">
        <v>814</v>
      </c>
    </row>
    <row r="232" spans="2:31">
      <c r="B232" s="1593" t="s">
        <v>814</v>
      </c>
      <c r="C232" s="1593" t="s">
        <v>814</v>
      </c>
      <c r="D232" s="1593" t="s">
        <v>814</v>
      </c>
      <c r="E232" s="1593" t="s">
        <v>814</v>
      </c>
      <c r="F232" s="1593" t="s">
        <v>814</v>
      </c>
      <c r="G232" s="1593" t="s">
        <v>814</v>
      </c>
      <c r="H232" s="1593" t="s">
        <v>814</v>
      </c>
      <c r="I232" s="1593" t="s">
        <v>814</v>
      </c>
      <c r="J232" s="1593" t="s">
        <v>814</v>
      </c>
      <c r="K232" s="1593" t="s">
        <v>814</v>
      </c>
      <c r="L232" s="1593" t="s">
        <v>814</v>
      </c>
      <c r="M232" s="1593" t="s">
        <v>814</v>
      </c>
      <c r="N232" s="1593" t="s">
        <v>814</v>
      </c>
      <c r="O232" s="1593" t="s">
        <v>814</v>
      </c>
      <c r="P232" s="1593" t="s">
        <v>814</v>
      </c>
      <c r="Q232" s="1593" t="s">
        <v>814</v>
      </c>
      <c r="R232" s="1620" t="s">
        <v>814</v>
      </c>
      <c r="S232" s="1593" t="s">
        <v>814</v>
      </c>
      <c r="T232" s="1593" t="s">
        <v>814</v>
      </c>
      <c r="U232" s="1593" t="s">
        <v>814</v>
      </c>
      <c r="V232" s="1593" t="s">
        <v>814</v>
      </c>
      <c r="W232" s="1593" t="s">
        <v>814</v>
      </c>
      <c r="X232" s="1593" t="s">
        <v>814</v>
      </c>
      <c r="Y232" s="1593" t="s">
        <v>814</v>
      </c>
      <c r="Z232" s="1593" t="s">
        <v>814</v>
      </c>
      <c r="AA232" s="1593" t="s">
        <v>814</v>
      </c>
      <c r="AB232" s="1593" t="s">
        <v>814</v>
      </c>
      <c r="AC232" s="1593" t="s">
        <v>814</v>
      </c>
      <c r="AD232" s="1593" t="s">
        <v>814</v>
      </c>
      <c r="AE232" s="1593" t="s">
        <v>814</v>
      </c>
    </row>
    <row r="233" spans="2:31">
      <c r="B233" s="1615"/>
      <c r="C233" s="1615" t="s">
        <v>856</v>
      </c>
      <c r="D233" s="1615"/>
      <c r="E233" s="1593" t="s">
        <v>29</v>
      </c>
      <c r="F233" s="1615"/>
      <c r="G233" s="1615"/>
      <c r="H233" s="1615"/>
      <c r="I233" s="1615"/>
      <c r="J233" s="1615"/>
      <c r="K233" s="1615"/>
      <c r="L233" s="1586" t="s">
        <v>814</v>
      </c>
      <c r="M233" s="1587" t="s">
        <v>814</v>
      </c>
      <c r="N233" s="1587" t="s">
        <v>814</v>
      </c>
      <c r="O233" s="1587" t="s">
        <v>814</v>
      </c>
      <c r="P233" s="1587" t="s">
        <v>814</v>
      </c>
      <c r="Q233" s="176">
        <v>0</v>
      </c>
      <c r="R233" s="1588">
        <v>1175</v>
      </c>
      <c r="S233" s="176">
        <v>0</v>
      </c>
      <c r="T233" s="176">
        <v>0</v>
      </c>
      <c r="U233" s="176">
        <v>0</v>
      </c>
      <c r="V233" s="1587" t="s">
        <v>814</v>
      </c>
      <c r="W233" s="1587" t="s">
        <v>814</v>
      </c>
      <c r="X233" s="1587" t="s">
        <v>814</v>
      </c>
      <c r="Y233" s="1587" t="s">
        <v>814</v>
      </c>
      <c r="Z233" s="1587" t="s">
        <v>814</v>
      </c>
      <c r="AA233" s="1587" t="s">
        <v>814</v>
      </c>
      <c r="AB233" s="1587" t="s">
        <v>814</v>
      </c>
      <c r="AC233" s="1587" t="s">
        <v>814</v>
      </c>
      <c r="AD233" s="1587" t="s">
        <v>814</v>
      </c>
      <c r="AE233" s="1587" t="s">
        <v>814</v>
      </c>
    </row>
    <row r="234" spans="2:31">
      <c r="B234" s="1615"/>
      <c r="C234" s="1615" t="s">
        <v>857</v>
      </c>
      <c r="D234" s="1615"/>
      <c r="E234" s="1593" t="s">
        <v>29</v>
      </c>
      <c r="F234" s="1615"/>
      <c r="G234" s="1615"/>
      <c r="H234" s="1615"/>
      <c r="I234" s="1615"/>
      <c r="J234" s="1615"/>
      <c r="K234" s="1615"/>
      <c r="L234" s="1616" t="s">
        <v>814</v>
      </c>
      <c r="M234" s="1617" t="s">
        <v>814</v>
      </c>
      <c r="N234" s="1617" t="s">
        <v>814</v>
      </c>
      <c r="O234" s="1617" t="s">
        <v>814</v>
      </c>
      <c r="P234" s="1617" t="s">
        <v>814</v>
      </c>
      <c r="Q234" s="176">
        <v>0</v>
      </c>
      <c r="R234" s="1588">
        <v>61</v>
      </c>
      <c r="S234" s="176">
        <v>0</v>
      </c>
      <c r="T234" s="176">
        <v>0</v>
      </c>
      <c r="U234" s="176">
        <v>0</v>
      </c>
      <c r="V234" s="1617" t="s">
        <v>814</v>
      </c>
      <c r="W234" s="1617" t="s">
        <v>814</v>
      </c>
      <c r="X234" s="1617" t="s">
        <v>814</v>
      </c>
      <c r="Y234" s="1617" t="s">
        <v>814</v>
      </c>
      <c r="Z234" s="1617" t="s">
        <v>814</v>
      </c>
      <c r="AA234" s="1617" t="s">
        <v>814</v>
      </c>
      <c r="AB234" s="1617" t="s">
        <v>814</v>
      </c>
      <c r="AC234" s="1617" t="s">
        <v>814</v>
      </c>
      <c r="AD234" s="1617" t="s">
        <v>814</v>
      </c>
      <c r="AE234" s="1617" t="s">
        <v>814</v>
      </c>
    </row>
    <row r="235" spans="2:31">
      <c r="B235" s="1593" t="s">
        <v>814</v>
      </c>
      <c r="C235" s="1593" t="s">
        <v>814</v>
      </c>
      <c r="D235" s="1593" t="s">
        <v>814</v>
      </c>
      <c r="E235" s="1593" t="s">
        <v>814</v>
      </c>
      <c r="F235" s="1593" t="s">
        <v>814</v>
      </c>
      <c r="G235" s="1593" t="s">
        <v>814</v>
      </c>
      <c r="H235" s="1593" t="s">
        <v>814</v>
      </c>
      <c r="I235" s="1593" t="s">
        <v>814</v>
      </c>
      <c r="J235" s="1593" t="s">
        <v>814</v>
      </c>
      <c r="K235" s="1593" t="s">
        <v>814</v>
      </c>
      <c r="L235" s="1593" t="s">
        <v>814</v>
      </c>
      <c r="M235" s="1593" t="s">
        <v>814</v>
      </c>
      <c r="N235" s="1593" t="s">
        <v>814</v>
      </c>
      <c r="O235" s="1593" t="s">
        <v>814</v>
      </c>
      <c r="P235" s="1593" t="s">
        <v>814</v>
      </c>
      <c r="Q235" s="1593" t="s">
        <v>814</v>
      </c>
      <c r="R235" s="1593" t="s">
        <v>814</v>
      </c>
      <c r="S235" s="1593" t="s">
        <v>814</v>
      </c>
      <c r="T235" s="1593" t="s">
        <v>814</v>
      </c>
      <c r="U235" s="1593" t="s">
        <v>814</v>
      </c>
      <c r="V235" s="1593" t="s">
        <v>814</v>
      </c>
      <c r="W235" s="1593" t="s">
        <v>814</v>
      </c>
      <c r="X235" s="1593" t="s">
        <v>814</v>
      </c>
      <c r="Y235" s="1593" t="s">
        <v>814</v>
      </c>
      <c r="Z235" s="1593" t="s">
        <v>814</v>
      </c>
      <c r="AA235" s="1593" t="s">
        <v>814</v>
      </c>
      <c r="AB235" s="1593" t="s">
        <v>814</v>
      </c>
      <c r="AC235" s="1593" t="s">
        <v>814</v>
      </c>
      <c r="AD235" s="1593" t="s">
        <v>814</v>
      </c>
      <c r="AE235" s="1593" t="s">
        <v>814</v>
      </c>
    </row>
    <row r="236" spans="2:31">
      <c r="B236" s="1618" t="s">
        <v>60</v>
      </c>
      <c r="C236" s="1619" t="s">
        <v>814</v>
      </c>
      <c r="D236" s="1619" t="s">
        <v>814</v>
      </c>
      <c r="E236" s="1619" t="s">
        <v>814</v>
      </c>
      <c r="F236" s="1619" t="s">
        <v>814</v>
      </c>
      <c r="G236" s="1619" t="s">
        <v>814</v>
      </c>
      <c r="H236" s="1619" t="s">
        <v>814</v>
      </c>
      <c r="I236" s="1619" t="s">
        <v>814</v>
      </c>
      <c r="J236" s="1619" t="s">
        <v>814</v>
      </c>
      <c r="K236" s="1619" t="s">
        <v>814</v>
      </c>
      <c r="L236" s="1619" t="s">
        <v>814</v>
      </c>
      <c r="M236" s="1619" t="s">
        <v>814</v>
      </c>
      <c r="N236" s="1619" t="s">
        <v>814</v>
      </c>
      <c r="O236" s="1619" t="s">
        <v>814</v>
      </c>
      <c r="P236" s="1619" t="s">
        <v>814</v>
      </c>
      <c r="Q236" s="1619" t="s">
        <v>814</v>
      </c>
      <c r="R236" s="1619" t="s">
        <v>814</v>
      </c>
      <c r="S236" s="1619" t="s">
        <v>814</v>
      </c>
      <c r="T236" s="1619" t="s">
        <v>814</v>
      </c>
      <c r="U236" s="1619" t="s">
        <v>814</v>
      </c>
      <c r="V236" s="1619" t="s">
        <v>814</v>
      </c>
      <c r="W236" s="1619" t="s">
        <v>814</v>
      </c>
      <c r="X236" s="1619" t="s">
        <v>814</v>
      </c>
      <c r="Y236" s="1619" t="s">
        <v>814</v>
      </c>
      <c r="Z236" s="1619" t="s">
        <v>814</v>
      </c>
      <c r="AA236" s="1619" t="s">
        <v>814</v>
      </c>
      <c r="AB236" s="1619" t="s">
        <v>814</v>
      </c>
      <c r="AC236" s="1619" t="s">
        <v>814</v>
      </c>
      <c r="AD236" s="1619" t="s">
        <v>814</v>
      </c>
      <c r="AE236" s="1619" t="s">
        <v>814</v>
      </c>
    </row>
    <row r="237" spans="2:31">
      <c r="P237" s="148"/>
      <c r="Q237" s="148"/>
      <c r="R237" s="148"/>
      <c r="S237" s="148"/>
      <c r="T237" s="148"/>
      <c r="U237" s="148"/>
    </row>
    <row r="238" spans="2:31">
      <c r="P238" s="148"/>
      <c r="Q238" s="148"/>
      <c r="R238" s="148"/>
      <c r="S238" s="148"/>
      <c r="T238" s="148"/>
      <c r="U238" s="148"/>
    </row>
    <row r="240" spans="2:31">
      <c r="P240" s="148"/>
      <c r="Q240" s="148"/>
      <c r="R240" s="148"/>
      <c r="S240" s="148"/>
      <c r="T240" s="148"/>
      <c r="U240" s="148"/>
    </row>
    <row r="241" spans="16:21">
      <c r="P241" s="148"/>
      <c r="Q241" s="148"/>
      <c r="R241" s="148"/>
      <c r="S241" s="148"/>
      <c r="T241" s="148"/>
      <c r="U241" s="148"/>
    </row>
    <row r="242" spans="16:21">
      <c r="P242" s="148"/>
      <c r="Q242" s="148"/>
      <c r="R242" s="148"/>
      <c r="S242" s="148"/>
      <c r="T242" s="148"/>
      <c r="U242" s="148"/>
    </row>
    <row r="244" spans="16:21">
      <c r="P244" s="148"/>
      <c r="Q244" s="148"/>
      <c r="R244" s="148"/>
      <c r="S244" s="148"/>
      <c r="T244" s="148"/>
      <c r="U244" s="148"/>
    </row>
    <row r="245" spans="16:21">
      <c r="P245" s="23"/>
      <c r="Q245" s="23"/>
      <c r="R245" s="23"/>
      <c r="S245" s="23"/>
      <c r="T245" s="23"/>
      <c r="U245" s="23"/>
    </row>
    <row r="246" spans="16:21">
      <c r="P246" s="148"/>
      <c r="Q246" s="148"/>
      <c r="R246" s="148"/>
      <c r="S246" s="148"/>
      <c r="T246" s="148"/>
      <c r="U246" s="148"/>
    </row>
    <row r="248" spans="16:21">
      <c r="P248" s="148"/>
      <c r="Q248" s="148"/>
      <c r="R248" s="148"/>
      <c r="S248" s="148"/>
      <c r="T248" s="148"/>
      <c r="U248" s="148"/>
    </row>
    <row r="249" spans="16:21">
      <c r="P249" s="23"/>
      <c r="Q249" s="23"/>
      <c r="R249" s="23"/>
      <c r="S249" s="23"/>
      <c r="T249" s="23"/>
      <c r="U249" s="23"/>
    </row>
    <row r="250" spans="16:21">
      <c r="P250" s="148"/>
      <c r="Q250" s="148"/>
      <c r="R250" s="148"/>
      <c r="S250" s="148"/>
      <c r="T250" s="148"/>
      <c r="U250" s="148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67D7-3156-4663-B158-58BFD9D397F4}">
  <sheetPr>
    <tabColor theme="9" tint="0.59999389629810485"/>
  </sheetPr>
  <dimension ref="A1:AF252"/>
  <sheetViews>
    <sheetView showGridLines="0" zoomScale="70" zoomScaleNormal="70" workbookViewId="0">
      <pane ySplit="6" topLeftCell="A47" activePane="bottomLeft" state="frozen"/>
      <selection pane="bottomLeft" activeCell="K53" sqref="K53"/>
    </sheetView>
  </sheetViews>
  <sheetFormatPr defaultColWidth="9.1796875" defaultRowHeight="13" outlineLevelRow="1" outlineLevelCol="1"/>
  <cols>
    <col min="1" max="1" width="6.72656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9.81640625" style="3" customWidth="1"/>
    <col min="7" max="7" width="24.7265625" style="3" customWidth="1" outlineLevel="1"/>
    <col min="8" max="8" width="11.7265625" style="3" customWidth="1" outlineLevel="1"/>
    <col min="9" max="9" width="11.54296875" style="3" customWidth="1" outlineLevel="1"/>
    <col min="10" max="10" width="13.453125" style="3" customWidth="1" outlineLevel="1"/>
    <col min="11" max="11" width="13.453125" style="3" customWidth="1"/>
    <col min="12" max="16" width="11.54296875" style="3" bestFit="1" customWidth="1"/>
    <col min="17" max="17" width="13.1796875" style="3" bestFit="1" customWidth="1"/>
    <col min="18" max="31" width="11.54296875" style="3" bestFit="1" customWidth="1"/>
    <col min="32" max="32" width="3.26953125" style="3" customWidth="1"/>
    <col min="33" max="16384" width="9.1796875" style="3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">
        <v>120</v>
      </c>
      <c r="L2" s="10">
        <v>42005</v>
      </c>
      <c r="M2" s="10">
        <v>42370</v>
      </c>
      <c r="N2" s="10">
        <v>42736</v>
      </c>
      <c r="O2" s="10">
        <v>43101</v>
      </c>
      <c r="P2" s="10">
        <v>43466</v>
      </c>
      <c r="Q2" s="10">
        <v>43831</v>
      </c>
      <c r="R2" s="10">
        <v>44197</v>
      </c>
      <c r="S2" s="10">
        <v>44562</v>
      </c>
      <c r="T2" s="10">
        <v>44927</v>
      </c>
      <c r="U2" s="10">
        <v>45292</v>
      </c>
      <c r="V2" s="10">
        <v>45658</v>
      </c>
      <c r="W2" s="10">
        <v>46023</v>
      </c>
      <c r="X2" s="10">
        <v>46388</v>
      </c>
      <c r="Y2" s="10">
        <v>46753</v>
      </c>
      <c r="Z2" s="10">
        <v>47119</v>
      </c>
      <c r="AA2" s="10">
        <v>47484</v>
      </c>
      <c r="AB2" s="10">
        <v>47849</v>
      </c>
      <c r="AC2" s="10">
        <v>48214</v>
      </c>
      <c r="AD2" s="10">
        <v>48580</v>
      </c>
      <c r="AE2" s="10">
        <v>48945</v>
      </c>
    </row>
    <row r="3" spans="2:31">
      <c r="B3" s="4"/>
      <c r="C3" s="215" t="s">
        <v>121</v>
      </c>
      <c r="D3" s="4"/>
      <c r="E3" s="4"/>
      <c r="F3" s="4"/>
      <c r="G3" s="4"/>
      <c r="H3" s="4"/>
      <c r="I3" s="4"/>
      <c r="J3" s="4"/>
      <c r="K3" s="5" t="s">
        <v>122</v>
      </c>
      <c r="L3" s="10">
        <v>42369</v>
      </c>
      <c r="M3" s="10">
        <v>42735</v>
      </c>
      <c r="N3" s="10">
        <v>43100</v>
      </c>
      <c r="O3" s="10">
        <v>43465</v>
      </c>
      <c r="P3" s="10">
        <v>43830</v>
      </c>
      <c r="Q3" s="10">
        <v>44196</v>
      </c>
      <c r="R3" s="10">
        <v>44561</v>
      </c>
      <c r="S3" s="10">
        <v>44926</v>
      </c>
      <c r="T3" s="10">
        <v>45291</v>
      </c>
      <c r="U3" s="10">
        <v>45657</v>
      </c>
      <c r="V3" s="10">
        <v>46022</v>
      </c>
      <c r="W3" s="10">
        <v>46387</v>
      </c>
      <c r="X3" s="10">
        <v>46752</v>
      </c>
      <c r="Y3" s="10">
        <v>47118</v>
      </c>
      <c r="Z3" s="10">
        <v>47483</v>
      </c>
      <c r="AA3" s="10">
        <v>47848</v>
      </c>
      <c r="AB3" s="10">
        <v>48213</v>
      </c>
      <c r="AC3" s="10">
        <v>48579</v>
      </c>
      <c r="AD3" s="10">
        <v>48944</v>
      </c>
      <c r="AE3" s="10">
        <v>49309</v>
      </c>
    </row>
    <row r="4" spans="2:31">
      <c r="B4" s="4"/>
      <c r="C4" s="1540" t="s">
        <v>123</v>
      </c>
      <c r="D4" s="177" t="s">
        <v>858</v>
      </c>
      <c r="E4" s="4"/>
      <c r="F4" s="4"/>
      <c r="G4" s="4"/>
      <c r="H4" s="4"/>
      <c r="I4" s="4"/>
      <c r="J4" s="4"/>
      <c r="K4" s="5" t="s">
        <v>124</v>
      </c>
      <c r="L4" s="11">
        <v>2015</v>
      </c>
      <c r="M4" s="11">
        <v>2016</v>
      </c>
      <c r="N4" s="11">
        <v>2017</v>
      </c>
      <c r="O4" s="11">
        <v>2018</v>
      </c>
      <c r="P4" s="11">
        <v>2019</v>
      </c>
      <c r="Q4" s="11">
        <v>2020</v>
      </c>
      <c r="R4" s="11">
        <v>2021</v>
      </c>
      <c r="S4" s="11">
        <v>2022</v>
      </c>
      <c r="T4" s="11">
        <v>2023</v>
      </c>
      <c r="U4" s="11">
        <v>2024</v>
      </c>
      <c r="V4" s="11">
        <v>2025</v>
      </c>
      <c r="W4" s="11">
        <v>2026</v>
      </c>
      <c r="X4" s="11">
        <v>2027</v>
      </c>
      <c r="Y4" s="11">
        <v>2028</v>
      </c>
      <c r="Z4" s="11">
        <v>2029</v>
      </c>
      <c r="AA4" s="11">
        <v>2030</v>
      </c>
      <c r="AB4" s="11">
        <v>2031</v>
      </c>
      <c r="AC4" s="11">
        <v>2032</v>
      </c>
      <c r="AD4" s="11">
        <v>2033</v>
      </c>
      <c r="AE4" s="11">
        <v>2034</v>
      </c>
    </row>
    <row r="5" spans="2:31">
      <c r="B5" s="4"/>
      <c r="C5" s="5" t="s">
        <v>859</v>
      </c>
      <c r="D5" s="4"/>
      <c r="E5" s="4"/>
      <c r="F5" s="4"/>
      <c r="G5" s="4"/>
      <c r="H5" s="4"/>
      <c r="I5" s="4"/>
      <c r="J5" s="4"/>
      <c r="K5" s="5" t="s">
        <v>125</v>
      </c>
      <c r="L5" s="11">
        <v>1</v>
      </c>
      <c r="M5" s="11">
        <v>2</v>
      </c>
      <c r="N5" s="11">
        <v>3</v>
      </c>
      <c r="O5" s="11">
        <v>4</v>
      </c>
      <c r="P5" s="11">
        <v>5</v>
      </c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11">
        <v>11</v>
      </c>
      <c r="W5" s="11">
        <v>12</v>
      </c>
      <c r="X5" s="11">
        <v>13</v>
      </c>
      <c r="Y5" s="11">
        <v>14</v>
      </c>
      <c r="Z5" s="11">
        <v>15</v>
      </c>
      <c r="AA5" s="11">
        <v>16</v>
      </c>
      <c r="AB5" s="11">
        <v>17</v>
      </c>
      <c r="AC5" s="11">
        <v>18</v>
      </c>
      <c r="AD5" s="11">
        <v>19</v>
      </c>
      <c r="AE5" s="11">
        <v>20</v>
      </c>
    </row>
    <row r="6" spans="2:31">
      <c r="B6" s="4"/>
      <c r="C6" s="5" t="s">
        <v>9</v>
      </c>
      <c r="D6" s="4"/>
      <c r="E6" s="5" t="s">
        <v>10</v>
      </c>
      <c r="F6" s="5"/>
      <c r="G6" s="5" t="s">
        <v>794</v>
      </c>
      <c r="H6" s="4"/>
      <c r="I6" s="5" t="s">
        <v>176</v>
      </c>
      <c r="J6" s="5" t="s">
        <v>177</v>
      </c>
      <c r="K6" s="5" t="s">
        <v>126</v>
      </c>
      <c r="L6" s="11" t="s">
        <v>127</v>
      </c>
      <c r="M6" s="11" t="s">
        <v>127</v>
      </c>
      <c r="N6" s="11" t="s">
        <v>127</v>
      </c>
      <c r="O6" s="11" t="s">
        <v>127</v>
      </c>
      <c r="P6" s="11" t="s">
        <v>127</v>
      </c>
      <c r="Q6" s="11" t="s">
        <v>128</v>
      </c>
      <c r="R6" s="11" t="s">
        <v>128</v>
      </c>
      <c r="S6" s="11" t="s">
        <v>128</v>
      </c>
      <c r="T6" s="11" t="s">
        <v>128</v>
      </c>
      <c r="U6" s="11" t="s">
        <v>128</v>
      </c>
      <c r="V6" s="11" t="s">
        <v>129</v>
      </c>
      <c r="W6" s="11" t="s">
        <v>129</v>
      </c>
      <c r="X6" s="11" t="s">
        <v>129</v>
      </c>
      <c r="Y6" s="11" t="s">
        <v>129</v>
      </c>
      <c r="Z6" s="11" t="s">
        <v>129</v>
      </c>
      <c r="AA6" s="11" t="s">
        <v>130</v>
      </c>
      <c r="AB6" s="11" t="s">
        <v>130</v>
      </c>
      <c r="AC6" s="11" t="s">
        <v>130</v>
      </c>
      <c r="AD6" s="11" t="s">
        <v>130</v>
      </c>
      <c r="AE6" s="11" t="s">
        <v>130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795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796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797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798</v>
      </c>
      <c r="E13" s="3" t="s">
        <v>64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pans="2:31">
      <c r="C14" s="3" t="s">
        <v>796</v>
      </c>
      <c r="E14" s="3" t="s">
        <v>29</v>
      </c>
      <c r="L14" s="38"/>
      <c r="M14" s="38"/>
      <c r="N14" s="38"/>
      <c r="O14" s="38"/>
      <c r="P14" s="38"/>
      <c r="Q14" s="149"/>
      <c r="R14" s="149"/>
      <c r="S14" s="149"/>
      <c r="T14" s="149"/>
      <c r="U14" s="149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pans="2:31">
      <c r="C15" s="3" t="s">
        <v>799</v>
      </c>
      <c r="E15" s="3" t="s">
        <v>29</v>
      </c>
      <c r="L15" s="38"/>
      <c r="M15" s="38"/>
      <c r="N15" s="38"/>
      <c r="O15" s="38"/>
      <c r="P15" s="149">
        <v>13465.999999999996</v>
      </c>
      <c r="Q15" s="149">
        <v>13121.000085722129</v>
      </c>
      <c r="R15" s="149">
        <v>12940.999623841613</v>
      </c>
      <c r="S15" s="149">
        <v>14049.527128548769</v>
      </c>
      <c r="T15" s="149">
        <v>13882.615507373619</v>
      </c>
      <c r="U15" s="149">
        <v>13564.15437605033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7" spans="3:31" ht="13.5" thickBot="1">
      <c r="C17" s="6" t="s">
        <v>798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3:31">
      <c r="C18" s="3" t="s">
        <v>860</v>
      </c>
      <c r="E18" s="3" t="s">
        <v>64</v>
      </c>
      <c r="L18" s="173">
        <v>0</v>
      </c>
      <c r="M18" s="173">
        <v>0</v>
      </c>
      <c r="N18" s="173">
        <v>0</v>
      </c>
      <c r="O18" s="173">
        <v>0</v>
      </c>
      <c r="P18" s="173">
        <v>309</v>
      </c>
      <c r="Q18" s="173">
        <v>301</v>
      </c>
      <c r="R18" s="173">
        <v>290</v>
      </c>
      <c r="S18" s="173">
        <v>290</v>
      </c>
      <c r="T18" s="173">
        <v>290</v>
      </c>
      <c r="U18" s="173">
        <v>300</v>
      </c>
      <c r="V18" s="173">
        <v>0</v>
      </c>
      <c r="W18" s="173">
        <v>0</v>
      </c>
      <c r="X18" s="173">
        <v>0</v>
      </c>
      <c r="Y18" s="173">
        <v>0</v>
      </c>
      <c r="Z18" s="173">
        <v>0</v>
      </c>
      <c r="AA18" s="173">
        <v>0</v>
      </c>
      <c r="AB18" s="173">
        <v>0</v>
      </c>
      <c r="AC18" s="173">
        <v>0</v>
      </c>
      <c r="AD18" s="173">
        <v>0</v>
      </c>
      <c r="AE18" s="173">
        <v>0</v>
      </c>
    </row>
    <row r="19" spans="3:31">
      <c r="C19" s="3" t="s">
        <v>861</v>
      </c>
      <c r="E19" s="3" t="s">
        <v>64</v>
      </c>
      <c r="L19" s="173">
        <v>0</v>
      </c>
      <c r="M19" s="173">
        <v>0</v>
      </c>
      <c r="N19" s="173">
        <v>0</v>
      </c>
      <c r="O19" s="173">
        <v>0</v>
      </c>
      <c r="P19" s="173">
        <v>68</v>
      </c>
      <c r="Q19" s="173">
        <v>68</v>
      </c>
      <c r="R19" s="173">
        <v>68</v>
      </c>
      <c r="S19" s="173">
        <v>57</v>
      </c>
      <c r="T19" s="173">
        <v>57</v>
      </c>
      <c r="U19" s="173">
        <v>57</v>
      </c>
      <c r="V19" s="173">
        <v>0</v>
      </c>
      <c r="W19" s="173">
        <v>0</v>
      </c>
      <c r="X19" s="173">
        <v>0</v>
      </c>
      <c r="Y19" s="173">
        <v>0</v>
      </c>
      <c r="Z19" s="173">
        <v>0</v>
      </c>
      <c r="AA19" s="173">
        <v>0</v>
      </c>
      <c r="AB19" s="173">
        <v>0</v>
      </c>
      <c r="AC19" s="173">
        <v>0</v>
      </c>
      <c r="AD19" s="173">
        <v>0</v>
      </c>
      <c r="AE19" s="173">
        <v>0</v>
      </c>
    </row>
    <row r="20" spans="3:31">
      <c r="C20" s="3" t="s">
        <v>802</v>
      </c>
      <c r="E20" s="3" t="s">
        <v>64</v>
      </c>
      <c r="L20" s="173">
        <v>0</v>
      </c>
      <c r="M20" s="173">
        <v>0</v>
      </c>
      <c r="N20" s="173">
        <v>0</v>
      </c>
      <c r="O20" s="173">
        <v>0</v>
      </c>
      <c r="P20" s="173">
        <v>39</v>
      </c>
      <c r="Q20" s="173">
        <v>39</v>
      </c>
      <c r="R20" s="173">
        <v>39</v>
      </c>
      <c r="S20" s="173">
        <v>38</v>
      </c>
      <c r="T20" s="173">
        <v>38</v>
      </c>
      <c r="U20" s="173">
        <v>38</v>
      </c>
      <c r="V20" s="173">
        <v>0</v>
      </c>
      <c r="W20" s="173">
        <v>0</v>
      </c>
      <c r="X20" s="173">
        <v>0</v>
      </c>
      <c r="Y20" s="173">
        <v>0</v>
      </c>
      <c r="Z20" s="173">
        <v>0</v>
      </c>
      <c r="AA20" s="173">
        <v>0</v>
      </c>
      <c r="AB20" s="173">
        <v>0</v>
      </c>
      <c r="AC20" s="173">
        <v>0</v>
      </c>
      <c r="AD20" s="173">
        <v>0</v>
      </c>
      <c r="AE20" s="173">
        <v>0</v>
      </c>
    </row>
    <row r="21" spans="3:31">
      <c r="C21" s="3" t="s">
        <v>803</v>
      </c>
      <c r="E21" s="3" t="s">
        <v>64</v>
      </c>
      <c r="L21" s="173">
        <v>0</v>
      </c>
      <c r="M21" s="173">
        <v>0</v>
      </c>
      <c r="N21" s="173">
        <v>0</v>
      </c>
      <c r="O21" s="173">
        <v>0</v>
      </c>
      <c r="P21" s="173">
        <v>72</v>
      </c>
      <c r="Q21" s="173">
        <v>72</v>
      </c>
      <c r="R21" s="173">
        <v>72</v>
      </c>
      <c r="S21" s="173">
        <v>87</v>
      </c>
      <c r="T21" s="173">
        <v>90.5</v>
      </c>
      <c r="U21" s="173">
        <v>90.5</v>
      </c>
      <c r="V21" s="173">
        <v>0</v>
      </c>
      <c r="W21" s="173">
        <v>0</v>
      </c>
      <c r="X21" s="173">
        <v>0</v>
      </c>
      <c r="Y21" s="173">
        <v>0</v>
      </c>
      <c r="Z21" s="173">
        <v>0</v>
      </c>
      <c r="AA21" s="173">
        <v>0</v>
      </c>
      <c r="AB21" s="173">
        <v>0</v>
      </c>
      <c r="AC21" s="173">
        <v>0</v>
      </c>
      <c r="AD21" s="173">
        <v>0</v>
      </c>
      <c r="AE21" s="173">
        <v>0</v>
      </c>
    </row>
    <row r="22" spans="3:31">
      <c r="C22" s="3" t="s">
        <v>804</v>
      </c>
      <c r="E22" s="3" t="s">
        <v>64</v>
      </c>
      <c r="L22" s="173">
        <v>0</v>
      </c>
      <c r="M22" s="173">
        <v>0</v>
      </c>
      <c r="N22" s="173">
        <v>0</v>
      </c>
      <c r="O22" s="173">
        <v>0</v>
      </c>
      <c r="P22" s="173">
        <v>60</v>
      </c>
      <c r="Q22" s="173">
        <v>60</v>
      </c>
      <c r="R22" s="173">
        <v>60</v>
      </c>
      <c r="S22" s="173">
        <v>66.5</v>
      </c>
      <c r="T22" s="173">
        <v>66.5</v>
      </c>
      <c r="U22" s="173">
        <v>66.5</v>
      </c>
      <c r="V22" s="173">
        <v>0</v>
      </c>
      <c r="W22" s="173">
        <v>0</v>
      </c>
      <c r="X22" s="173">
        <v>0</v>
      </c>
      <c r="Y22" s="173">
        <v>0</v>
      </c>
      <c r="Z22" s="173">
        <v>0</v>
      </c>
      <c r="AA22" s="173">
        <v>0</v>
      </c>
      <c r="AB22" s="173">
        <v>0</v>
      </c>
      <c r="AC22" s="173">
        <v>0</v>
      </c>
      <c r="AD22" s="173">
        <v>0</v>
      </c>
      <c r="AE22" s="173">
        <v>0</v>
      </c>
    </row>
    <row r="23" spans="3:31">
      <c r="C23" s="3" t="s">
        <v>805</v>
      </c>
      <c r="E23" s="3" t="s">
        <v>64</v>
      </c>
      <c r="L23" s="173">
        <v>0</v>
      </c>
      <c r="M23" s="173">
        <v>0</v>
      </c>
      <c r="N23" s="173">
        <v>0</v>
      </c>
      <c r="O23" s="173">
        <v>0</v>
      </c>
      <c r="P23" s="173">
        <v>0</v>
      </c>
      <c r="Q23" s="173">
        <v>0</v>
      </c>
      <c r="R23" s="173">
        <v>0</v>
      </c>
      <c r="S23" s="173">
        <v>0</v>
      </c>
      <c r="T23" s="173">
        <v>0</v>
      </c>
      <c r="U23" s="173">
        <v>0</v>
      </c>
      <c r="V23" s="173">
        <v>0</v>
      </c>
      <c r="W23" s="173">
        <v>0</v>
      </c>
      <c r="X23" s="173">
        <v>0</v>
      </c>
      <c r="Y23" s="173">
        <v>0</v>
      </c>
      <c r="Z23" s="173">
        <v>0</v>
      </c>
      <c r="AA23" s="173">
        <v>0</v>
      </c>
      <c r="AB23" s="173">
        <v>0</v>
      </c>
      <c r="AC23" s="173">
        <v>0</v>
      </c>
      <c r="AD23" s="173">
        <v>0</v>
      </c>
      <c r="AE23" s="173">
        <v>0</v>
      </c>
    </row>
    <row r="24" spans="3:31">
      <c r="C24" s="3" t="s">
        <v>806</v>
      </c>
      <c r="E24" s="3" t="s">
        <v>64</v>
      </c>
      <c r="L24" s="173">
        <v>0</v>
      </c>
      <c r="M24" s="173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0</v>
      </c>
      <c r="S24" s="173">
        <v>0</v>
      </c>
      <c r="T24" s="173">
        <v>0</v>
      </c>
      <c r="U24" s="173">
        <v>0</v>
      </c>
      <c r="V24" s="173">
        <v>0</v>
      </c>
      <c r="W24" s="173">
        <v>0</v>
      </c>
      <c r="X24" s="173">
        <v>0</v>
      </c>
      <c r="Y24" s="173">
        <v>0</v>
      </c>
      <c r="Z24" s="173">
        <v>0</v>
      </c>
      <c r="AA24" s="173">
        <v>0</v>
      </c>
      <c r="AB24" s="173">
        <v>0</v>
      </c>
      <c r="AC24" s="173">
        <v>0</v>
      </c>
      <c r="AD24" s="173">
        <v>0</v>
      </c>
      <c r="AE24" s="173">
        <v>0</v>
      </c>
    </row>
    <row r="25" spans="3:31">
      <c r="C25" s="3" t="s">
        <v>807</v>
      </c>
      <c r="E25" s="3" t="s">
        <v>64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0</v>
      </c>
      <c r="T25" s="173">
        <v>0</v>
      </c>
      <c r="U25" s="173">
        <v>0</v>
      </c>
      <c r="V25" s="173">
        <v>0</v>
      </c>
      <c r="W25" s="173">
        <v>0</v>
      </c>
      <c r="X25" s="173">
        <v>0</v>
      </c>
      <c r="Y25" s="173">
        <v>0</v>
      </c>
      <c r="Z25" s="173">
        <v>0</v>
      </c>
      <c r="AA25" s="173">
        <v>0</v>
      </c>
      <c r="AB25" s="173">
        <v>0</v>
      </c>
      <c r="AC25" s="173">
        <v>0</v>
      </c>
      <c r="AD25" s="173">
        <v>0</v>
      </c>
      <c r="AE25" s="173">
        <v>0</v>
      </c>
    </row>
    <row r="26" spans="3:31">
      <c r="C26" s="3" t="s">
        <v>807</v>
      </c>
      <c r="E26" s="3" t="s">
        <v>64</v>
      </c>
      <c r="L26" s="173">
        <v>0</v>
      </c>
      <c r="M26" s="173">
        <v>0</v>
      </c>
      <c r="N26" s="173">
        <v>0</v>
      </c>
      <c r="O26" s="173">
        <v>0</v>
      </c>
      <c r="P26" s="173">
        <v>0</v>
      </c>
      <c r="Q26" s="173">
        <v>0</v>
      </c>
      <c r="R26" s="173">
        <v>0</v>
      </c>
      <c r="S26" s="173">
        <v>0</v>
      </c>
      <c r="T26" s="173">
        <v>0</v>
      </c>
      <c r="U26" s="173">
        <v>0</v>
      </c>
      <c r="V26" s="173">
        <v>0</v>
      </c>
      <c r="W26" s="173">
        <v>0</v>
      </c>
      <c r="X26" s="173">
        <v>0</v>
      </c>
      <c r="Y26" s="173">
        <v>0</v>
      </c>
      <c r="Z26" s="173">
        <v>0</v>
      </c>
      <c r="AA26" s="173">
        <v>0</v>
      </c>
      <c r="AB26" s="173">
        <v>0</v>
      </c>
      <c r="AC26" s="173">
        <v>0</v>
      </c>
      <c r="AD26" s="173">
        <v>0</v>
      </c>
      <c r="AE26" s="173">
        <v>0</v>
      </c>
    </row>
    <row r="27" spans="3:31">
      <c r="C27" s="3" t="s">
        <v>807</v>
      </c>
      <c r="E27" s="3" t="s">
        <v>64</v>
      </c>
      <c r="L27" s="173">
        <v>0</v>
      </c>
      <c r="M27" s="173">
        <v>0</v>
      </c>
      <c r="N27" s="173">
        <v>0</v>
      </c>
      <c r="O27" s="173">
        <v>0</v>
      </c>
      <c r="P27" s="173">
        <v>0</v>
      </c>
      <c r="Q27" s="173">
        <v>0</v>
      </c>
      <c r="R27" s="173">
        <v>0</v>
      </c>
      <c r="S27" s="173">
        <v>0</v>
      </c>
      <c r="T27" s="173">
        <v>0</v>
      </c>
      <c r="U27" s="173">
        <v>0</v>
      </c>
      <c r="V27" s="173">
        <v>0</v>
      </c>
      <c r="W27" s="173">
        <v>0</v>
      </c>
      <c r="X27" s="173">
        <v>0</v>
      </c>
      <c r="Y27" s="173">
        <v>0</v>
      </c>
      <c r="Z27" s="173">
        <v>0</v>
      </c>
      <c r="AA27" s="173">
        <v>0</v>
      </c>
      <c r="AB27" s="173">
        <v>0</v>
      </c>
      <c r="AC27" s="173">
        <v>0</v>
      </c>
      <c r="AD27" s="173">
        <v>0</v>
      </c>
      <c r="AE27" s="173">
        <v>0</v>
      </c>
    </row>
    <row r="28" spans="3:31">
      <c r="C28" s="3" t="s">
        <v>807</v>
      </c>
      <c r="E28" s="3" t="s">
        <v>64</v>
      </c>
      <c r="L28" s="173">
        <v>0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3">
        <v>0</v>
      </c>
      <c r="W28" s="173">
        <v>0</v>
      </c>
      <c r="X28" s="173">
        <v>0</v>
      </c>
      <c r="Y28" s="173">
        <v>0</v>
      </c>
      <c r="Z28" s="173">
        <v>0</v>
      </c>
      <c r="AA28" s="173">
        <v>0</v>
      </c>
      <c r="AB28" s="173">
        <v>0</v>
      </c>
      <c r="AC28" s="173">
        <v>0</v>
      </c>
      <c r="AD28" s="173">
        <v>0</v>
      </c>
      <c r="AE28" s="173">
        <v>0</v>
      </c>
    </row>
    <row r="29" spans="3:31">
      <c r="C29" s="1058"/>
    </row>
    <row r="30" spans="3:31">
      <c r="C30" s="14"/>
      <c r="D30" s="14"/>
      <c r="E30" s="14"/>
      <c r="F30" s="14"/>
      <c r="G30" s="14"/>
      <c r="H30" s="14"/>
      <c r="I30" s="14"/>
      <c r="J30" s="14"/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3:31">
      <c r="C31" s="17" t="s">
        <v>808</v>
      </c>
      <c r="E31" s="3" t="s">
        <v>64</v>
      </c>
      <c r="L31" s="27">
        <f t="shared" ref="L31:AE31" si="0">SUM(L18:L28)*(L$13="")+L$13</f>
        <v>0</v>
      </c>
      <c r="M31" s="27">
        <f t="shared" si="0"/>
        <v>0</v>
      </c>
      <c r="N31" s="27">
        <f t="shared" si="0"/>
        <v>0</v>
      </c>
      <c r="O31" s="27">
        <f t="shared" si="0"/>
        <v>0</v>
      </c>
      <c r="P31" s="27">
        <f t="shared" si="0"/>
        <v>548</v>
      </c>
      <c r="Q31" s="27">
        <f t="shared" si="0"/>
        <v>540</v>
      </c>
      <c r="R31" s="27">
        <f t="shared" si="0"/>
        <v>529</v>
      </c>
      <c r="S31" s="27">
        <f t="shared" si="0"/>
        <v>538.5</v>
      </c>
      <c r="T31" s="27">
        <f t="shared" si="0"/>
        <v>542</v>
      </c>
      <c r="U31" s="27">
        <f t="shared" si="0"/>
        <v>552</v>
      </c>
      <c r="V31" s="27">
        <f t="shared" si="0"/>
        <v>0</v>
      </c>
      <c r="W31" s="27">
        <f t="shared" si="0"/>
        <v>0</v>
      </c>
      <c r="X31" s="27">
        <f t="shared" si="0"/>
        <v>0</v>
      </c>
      <c r="Y31" s="27">
        <f t="shared" si="0"/>
        <v>0</v>
      </c>
      <c r="Z31" s="27">
        <f t="shared" si="0"/>
        <v>0</v>
      </c>
      <c r="AA31" s="27">
        <f t="shared" si="0"/>
        <v>0</v>
      </c>
      <c r="AB31" s="27">
        <f t="shared" si="0"/>
        <v>0</v>
      </c>
      <c r="AC31" s="27">
        <f t="shared" si="0"/>
        <v>0</v>
      </c>
      <c r="AD31" s="27">
        <f t="shared" si="0"/>
        <v>0</v>
      </c>
      <c r="AE31" s="27">
        <f t="shared" si="0"/>
        <v>0</v>
      </c>
    </row>
    <row r="33" spans="1:32" s="7" customFormat="1" ht="13.5" thickBot="1">
      <c r="A33" s="3"/>
      <c r="B33" s="3"/>
      <c r="C33" s="6" t="s">
        <v>796</v>
      </c>
      <c r="I33" s="221"/>
      <c r="K33" s="22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</row>
    <row r="34" spans="1:32">
      <c r="C34" s="3" t="str">
        <f>C18</f>
        <v>ATCOs</v>
      </c>
      <c r="E34" s="3" t="s">
        <v>29</v>
      </c>
      <c r="I34" s="1017">
        <f>AVERAGE(Q65:U65)</f>
        <v>0.86454593617818498</v>
      </c>
      <c r="J34" s="1017">
        <f>1-I34</f>
        <v>0.13545406382181502</v>
      </c>
      <c r="K34" s="156"/>
      <c r="L34" s="173">
        <v>0</v>
      </c>
      <c r="M34" s="173">
        <v>0</v>
      </c>
      <c r="N34" s="173">
        <v>0</v>
      </c>
      <c r="O34" s="173">
        <v>0</v>
      </c>
      <c r="P34" s="173">
        <v>42570.219939619688</v>
      </c>
      <c r="Q34" s="173">
        <v>40620.303471706553</v>
      </c>
      <c r="R34" s="173">
        <v>37287.841498845228</v>
      </c>
      <c r="S34" s="173">
        <v>41020.047239419844</v>
      </c>
      <c r="T34" s="173">
        <v>41350.049349888068</v>
      </c>
      <c r="U34" s="173">
        <v>42068.870573879278</v>
      </c>
      <c r="V34" s="173">
        <v>0</v>
      </c>
      <c r="W34" s="173">
        <v>0</v>
      </c>
      <c r="X34" s="173">
        <v>0</v>
      </c>
      <c r="Y34" s="173">
        <v>0</v>
      </c>
      <c r="Z34" s="173">
        <v>0</v>
      </c>
      <c r="AA34" s="173">
        <v>0</v>
      </c>
      <c r="AB34" s="173">
        <v>0</v>
      </c>
      <c r="AC34" s="173">
        <v>0</v>
      </c>
      <c r="AD34" s="173">
        <v>0</v>
      </c>
      <c r="AE34" s="173">
        <v>0</v>
      </c>
    </row>
    <row r="35" spans="1:32">
      <c r="C35" s="3" t="str">
        <f t="shared" ref="C35:C42" si="1">C19</f>
        <v>Corp Serv</v>
      </c>
      <c r="E35" s="3" t="s">
        <v>29</v>
      </c>
      <c r="I35" s="1017">
        <f>AVERAGE(Q66:U66)</f>
        <v>0.83119999999999994</v>
      </c>
      <c r="J35" s="1017">
        <f>1-I35</f>
        <v>0.16880000000000006</v>
      </c>
      <c r="K35" s="156"/>
      <c r="L35" s="173">
        <v>0</v>
      </c>
      <c r="M35" s="173">
        <v>0</v>
      </c>
      <c r="N35" s="173">
        <v>0</v>
      </c>
      <c r="O35" s="173">
        <v>0</v>
      </c>
      <c r="P35" s="173">
        <v>4607.7094876199517</v>
      </c>
      <c r="Q35" s="173">
        <v>4447.1261280387935</v>
      </c>
      <c r="R35" s="173">
        <v>4484.804862168774</v>
      </c>
      <c r="S35" s="173">
        <v>3944.1176625362345</v>
      </c>
      <c r="T35" s="173">
        <v>3969.0229693569681</v>
      </c>
      <c r="U35" s="173">
        <v>3988.37227354791</v>
      </c>
      <c r="V35" s="173">
        <v>0</v>
      </c>
      <c r="W35" s="173">
        <v>0</v>
      </c>
      <c r="X35" s="173">
        <v>0</v>
      </c>
      <c r="Y35" s="173">
        <v>0</v>
      </c>
      <c r="Z35" s="173">
        <v>0</v>
      </c>
      <c r="AA35" s="173">
        <v>0</v>
      </c>
      <c r="AB35" s="173">
        <v>0</v>
      </c>
      <c r="AC35" s="173">
        <v>0</v>
      </c>
      <c r="AD35" s="173">
        <v>0</v>
      </c>
      <c r="AE35" s="173">
        <v>0</v>
      </c>
    </row>
    <row r="36" spans="1:32">
      <c r="C36" s="3" t="str">
        <f t="shared" si="1"/>
        <v>Data Assistant</v>
      </c>
      <c r="E36" s="3" t="s">
        <v>29</v>
      </c>
      <c r="I36" s="1017">
        <f>AVERAGE(Q67:U67)</f>
        <v>0.88139999999999996</v>
      </c>
      <c r="J36" s="1017">
        <f>1-I36</f>
        <v>0.11860000000000004</v>
      </c>
      <c r="K36" s="156"/>
      <c r="L36" s="173">
        <v>0</v>
      </c>
      <c r="M36" s="173">
        <v>0</v>
      </c>
      <c r="N36" s="173">
        <v>0</v>
      </c>
      <c r="O36" s="173">
        <v>0</v>
      </c>
      <c r="P36" s="173">
        <v>2657.4687635893943</v>
      </c>
      <c r="Q36" s="173">
        <v>2566.3463505983909</v>
      </c>
      <c r="R36" s="173">
        <v>2591.5299034484083</v>
      </c>
      <c r="S36" s="173">
        <v>2647.013383859804</v>
      </c>
      <c r="T36" s="173">
        <v>2661.3350416008402</v>
      </c>
      <c r="U36" s="173">
        <v>2671.3654239030329</v>
      </c>
      <c r="V36" s="173">
        <v>0</v>
      </c>
      <c r="W36" s="173">
        <v>0</v>
      </c>
      <c r="X36" s="173">
        <v>0</v>
      </c>
      <c r="Y36" s="173">
        <v>0</v>
      </c>
      <c r="Z36" s="173">
        <v>0</v>
      </c>
      <c r="AA36" s="173">
        <v>0</v>
      </c>
      <c r="AB36" s="173">
        <v>0</v>
      </c>
      <c r="AC36" s="173">
        <v>0</v>
      </c>
      <c r="AD36" s="173">
        <v>0</v>
      </c>
      <c r="AE36" s="173">
        <v>0</v>
      </c>
    </row>
    <row r="37" spans="1:32">
      <c r="C37" s="3" t="str">
        <f t="shared" si="1"/>
        <v>Engineer</v>
      </c>
      <c r="E37" s="3" t="s">
        <v>29</v>
      </c>
      <c r="I37" s="1017">
        <f>AVERAGE(Q68:U68)</f>
        <v>0.85920000000000007</v>
      </c>
      <c r="J37" s="1017">
        <f>1-I37</f>
        <v>0.14079999999999993</v>
      </c>
      <c r="K37" s="156"/>
      <c r="L37" s="173">
        <v>0</v>
      </c>
      <c r="M37" s="173">
        <v>0</v>
      </c>
      <c r="N37" s="173">
        <v>0</v>
      </c>
      <c r="O37" s="173">
        <v>0</v>
      </c>
      <c r="P37" s="173">
        <v>8716.9059840986229</v>
      </c>
      <c r="Q37" s="173">
        <v>8414.1503617657745</v>
      </c>
      <c r="R37" s="173">
        <v>8487.8302281715441</v>
      </c>
      <c r="S37" s="173">
        <v>10758.397332821294</v>
      </c>
      <c r="T37" s="173">
        <v>11259.728856573429</v>
      </c>
      <c r="U37" s="173">
        <v>11311.982289862355</v>
      </c>
      <c r="V37" s="173">
        <v>0</v>
      </c>
      <c r="W37" s="173">
        <v>0</v>
      </c>
      <c r="X37" s="173">
        <v>0</v>
      </c>
      <c r="Y37" s="173">
        <v>0</v>
      </c>
      <c r="Z37" s="173">
        <v>0</v>
      </c>
      <c r="AA37" s="173">
        <v>0</v>
      </c>
      <c r="AB37" s="173">
        <v>0</v>
      </c>
      <c r="AC37" s="173">
        <v>0</v>
      </c>
      <c r="AD37" s="173">
        <v>0</v>
      </c>
      <c r="AE37" s="173">
        <v>0</v>
      </c>
    </row>
    <row r="38" spans="1:32">
      <c r="C38" s="3" t="str">
        <f t="shared" si="1"/>
        <v>Op Mgt Supp</v>
      </c>
      <c r="E38" s="3" t="s">
        <v>29</v>
      </c>
      <c r="I38" s="1017">
        <f>AVERAGE(Q69:U69)</f>
        <v>0.85219999999999985</v>
      </c>
      <c r="J38" s="1017">
        <f>1-I38</f>
        <v>0.14780000000000015</v>
      </c>
      <c r="K38" s="156"/>
      <c r="L38" s="173">
        <v>0</v>
      </c>
      <c r="M38" s="173">
        <v>0</v>
      </c>
      <c r="N38" s="173">
        <v>0</v>
      </c>
      <c r="O38" s="173">
        <v>0</v>
      </c>
      <c r="P38" s="173">
        <v>7127.6958250723501</v>
      </c>
      <c r="Q38" s="173">
        <v>6879.1734129476699</v>
      </c>
      <c r="R38" s="173">
        <v>6937.193043844979</v>
      </c>
      <c r="S38" s="173">
        <v>8066.8666560562951</v>
      </c>
      <c r="T38" s="173">
        <v>8118.0148448349491</v>
      </c>
      <c r="U38" s="173">
        <v>8157.8486600387068</v>
      </c>
      <c r="V38" s="173">
        <v>0</v>
      </c>
      <c r="W38" s="173">
        <v>0</v>
      </c>
      <c r="X38" s="173">
        <v>0</v>
      </c>
      <c r="Y38" s="173">
        <v>0</v>
      </c>
      <c r="Z38" s="173">
        <v>0</v>
      </c>
      <c r="AA38" s="173">
        <v>0</v>
      </c>
      <c r="AB38" s="173">
        <v>0</v>
      </c>
      <c r="AC38" s="173">
        <v>0</v>
      </c>
      <c r="AD38" s="173">
        <v>0</v>
      </c>
      <c r="AE38" s="173">
        <v>0</v>
      </c>
    </row>
    <row r="39" spans="1:32">
      <c r="C39" s="3" t="str">
        <f t="shared" si="1"/>
        <v>EWSS</v>
      </c>
      <c r="E39" s="3" t="s">
        <v>29</v>
      </c>
      <c r="K39" s="156"/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-1357.3664329869314</v>
      </c>
      <c r="R39" s="173">
        <v>-4009.154181917203</v>
      </c>
      <c r="S39" s="173">
        <v>0</v>
      </c>
      <c r="T39" s="173">
        <v>0</v>
      </c>
      <c r="U39" s="173">
        <v>0</v>
      </c>
      <c r="V39" s="173">
        <v>0</v>
      </c>
      <c r="W39" s="173">
        <v>0</v>
      </c>
      <c r="X39" s="173">
        <v>0</v>
      </c>
      <c r="Y39" s="173">
        <v>0</v>
      </c>
      <c r="Z39" s="173">
        <v>0</v>
      </c>
      <c r="AA39" s="173">
        <v>0</v>
      </c>
      <c r="AB39" s="173">
        <v>0</v>
      </c>
      <c r="AC39" s="173">
        <v>0</v>
      </c>
      <c r="AD39" s="173">
        <v>0</v>
      </c>
      <c r="AE39" s="173">
        <v>0</v>
      </c>
    </row>
    <row r="40" spans="1:32">
      <c r="C40" s="3" t="str">
        <f t="shared" si="1"/>
        <v>Overtime</v>
      </c>
      <c r="E40" s="3" t="s">
        <v>29</v>
      </c>
      <c r="K40" s="156"/>
      <c r="L40" s="173">
        <v>0</v>
      </c>
      <c r="M40" s="173">
        <v>0</v>
      </c>
      <c r="N40" s="173">
        <v>0</v>
      </c>
      <c r="O40" s="173">
        <v>0</v>
      </c>
      <c r="P40" s="173">
        <v>1869.9999999999995</v>
      </c>
      <c r="Q40" s="173">
        <v>661.00001849483533</v>
      </c>
      <c r="R40" s="173">
        <v>660.99999999999955</v>
      </c>
      <c r="S40" s="173">
        <v>951.47217449337427</v>
      </c>
      <c r="T40" s="173">
        <v>1341.3252361240848</v>
      </c>
      <c r="U40" s="173">
        <v>1527.0447448331904</v>
      </c>
      <c r="V40" s="173">
        <v>0</v>
      </c>
      <c r="W40" s="173">
        <v>0</v>
      </c>
      <c r="X40" s="173">
        <v>0</v>
      </c>
      <c r="Y40" s="173">
        <v>0</v>
      </c>
      <c r="Z40" s="173">
        <v>0</v>
      </c>
      <c r="AA40" s="173">
        <v>0</v>
      </c>
      <c r="AB40" s="173">
        <v>0</v>
      </c>
      <c r="AC40" s="173">
        <v>0</v>
      </c>
      <c r="AD40" s="173">
        <v>0</v>
      </c>
      <c r="AE40" s="173">
        <v>0</v>
      </c>
    </row>
    <row r="41" spans="1:32">
      <c r="C41" s="3" t="str">
        <f t="shared" si="1"/>
        <v>&lt;&lt; add staff category &gt;&gt;</v>
      </c>
      <c r="E41" s="3" t="s">
        <v>29</v>
      </c>
      <c r="K41" s="156"/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3">
        <v>0</v>
      </c>
      <c r="W41" s="173">
        <v>0</v>
      </c>
      <c r="X41" s="173">
        <v>0</v>
      </c>
      <c r="Y41" s="173">
        <v>0</v>
      </c>
      <c r="Z41" s="173">
        <v>0</v>
      </c>
      <c r="AA41" s="173">
        <v>0</v>
      </c>
      <c r="AB41" s="173">
        <v>0</v>
      </c>
      <c r="AC41" s="173">
        <v>0</v>
      </c>
      <c r="AD41" s="173">
        <v>0</v>
      </c>
      <c r="AE41" s="173">
        <v>0</v>
      </c>
    </row>
    <row r="42" spans="1:32">
      <c r="C42" s="3" t="str">
        <f t="shared" si="1"/>
        <v>&lt;&lt; add staff category &gt;&gt;</v>
      </c>
      <c r="E42" s="3" t="s">
        <v>29</v>
      </c>
      <c r="K42" s="156"/>
      <c r="L42" s="229">
        <v>0</v>
      </c>
      <c r="M42" s="229">
        <v>0</v>
      </c>
      <c r="N42" s="229">
        <v>0</v>
      </c>
      <c r="O42" s="229">
        <v>0</v>
      </c>
      <c r="P42" s="229">
        <v>0</v>
      </c>
      <c r="Q42" s="229">
        <v>0</v>
      </c>
      <c r="R42" s="229">
        <v>0</v>
      </c>
      <c r="S42" s="229">
        <v>0</v>
      </c>
      <c r="T42" s="229">
        <v>0</v>
      </c>
      <c r="U42" s="229">
        <v>0</v>
      </c>
      <c r="V42" s="229">
        <v>0</v>
      </c>
      <c r="W42" s="229">
        <v>0</v>
      </c>
      <c r="X42" s="229">
        <v>0</v>
      </c>
      <c r="Y42" s="229">
        <v>0</v>
      </c>
      <c r="Z42" s="229">
        <v>0</v>
      </c>
      <c r="AA42" s="229">
        <v>0</v>
      </c>
      <c r="AB42" s="229">
        <v>0</v>
      </c>
      <c r="AC42" s="229">
        <v>0</v>
      </c>
      <c r="AD42" s="229">
        <v>0</v>
      </c>
      <c r="AE42" s="229">
        <v>0</v>
      </c>
    </row>
    <row r="43" spans="1:32">
      <c r="D43" s="36"/>
      <c r="E43" s="36"/>
      <c r="F43" s="36"/>
      <c r="G43" s="36"/>
      <c r="H43" s="36"/>
      <c r="I43" s="36"/>
      <c r="J43" s="3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</row>
    <row r="44" spans="1:32" ht="10.9" customHeight="1">
      <c r="C44" s="14"/>
      <c r="D44" s="14"/>
      <c r="E44" s="14"/>
      <c r="F44" s="14"/>
      <c r="G44" s="14"/>
      <c r="H44" s="14"/>
      <c r="I44" s="14"/>
      <c r="J44" s="14"/>
      <c r="K44" s="1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2">
      <c r="C45" s="17" t="s">
        <v>809</v>
      </c>
      <c r="E45" s="3" t="s">
        <v>29</v>
      </c>
      <c r="L45" s="27">
        <f t="shared" ref="L45:AE45" si="2">SUM(L34:L43)*(L$14="")+L$14</f>
        <v>0</v>
      </c>
      <c r="M45" s="27">
        <f t="shared" si="2"/>
        <v>0</v>
      </c>
      <c r="N45" s="27">
        <f t="shared" si="2"/>
        <v>0</v>
      </c>
      <c r="O45" s="27">
        <f t="shared" si="2"/>
        <v>0</v>
      </c>
      <c r="P45" s="27">
        <f t="shared" si="2"/>
        <v>67550</v>
      </c>
      <c r="Q45" s="27">
        <f t="shared" si="2"/>
        <v>62230.733310565083</v>
      </c>
      <c r="R45" s="27">
        <f t="shared" si="2"/>
        <v>56441.045354561727</v>
      </c>
      <c r="S45" s="27">
        <f t="shared" si="2"/>
        <v>67387.91444918685</v>
      </c>
      <c r="T45" s="27">
        <f t="shared" si="2"/>
        <v>68699.476298378344</v>
      </c>
      <c r="U45" s="27">
        <f t="shared" si="2"/>
        <v>69725.483966064465</v>
      </c>
      <c r="V45" s="27">
        <f t="shared" si="2"/>
        <v>0</v>
      </c>
      <c r="W45" s="27">
        <f t="shared" si="2"/>
        <v>0</v>
      </c>
      <c r="X45" s="27">
        <f t="shared" si="2"/>
        <v>0</v>
      </c>
      <c r="Y45" s="27">
        <f t="shared" si="2"/>
        <v>0</v>
      </c>
      <c r="Z45" s="27">
        <f t="shared" si="2"/>
        <v>0</v>
      </c>
      <c r="AA45" s="27">
        <f t="shared" si="2"/>
        <v>0</v>
      </c>
      <c r="AB45" s="27">
        <f t="shared" si="2"/>
        <v>0</v>
      </c>
      <c r="AC45" s="27">
        <f t="shared" si="2"/>
        <v>0</v>
      </c>
      <c r="AD45" s="27">
        <f t="shared" si="2"/>
        <v>0</v>
      </c>
      <c r="AE45" s="27">
        <f t="shared" si="2"/>
        <v>0</v>
      </c>
    </row>
    <row r="46" spans="1:32">
      <c r="C46" s="39" t="s">
        <v>810</v>
      </c>
      <c r="E46" s="39" t="s">
        <v>29</v>
      </c>
      <c r="F46" s="39"/>
      <c r="G46" s="39"/>
      <c r="L46" s="150">
        <f t="shared" ref="L46:AE46" si="3">L15</f>
        <v>0</v>
      </c>
      <c r="M46" s="150">
        <f t="shared" si="3"/>
        <v>0</v>
      </c>
      <c r="N46" s="150">
        <f t="shared" si="3"/>
        <v>0</v>
      </c>
      <c r="O46" s="150">
        <f t="shared" si="3"/>
        <v>0</v>
      </c>
      <c r="P46" s="150">
        <f t="shared" si="3"/>
        <v>13465.999999999996</v>
      </c>
      <c r="Q46" s="150">
        <f t="shared" si="3"/>
        <v>13121.000085722129</v>
      </c>
      <c r="R46" s="150">
        <f t="shared" si="3"/>
        <v>12940.999623841613</v>
      </c>
      <c r="S46" s="150">
        <f t="shared" si="3"/>
        <v>14049.527128548769</v>
      </c>
      <c r="T46" s="150">
        <f t="shared" si="3"/>
        <v>13882.615507373619</v>
      </c>
      <c r="U46" s="150">
        <f t="shared" si="3"/>
        <v>13564.15437605033</v>
      </c>
      <c r="V46" s="150">
        <f t="shared" si="3"/>
        <v>0</v>
      </c>
      <c r="W46" s="150">
        <f t="shared" si="3"/>
        <v>0</v>
      </c>
      <c r="X46" s="150">
        <f t="shared" si="3"/>
        <v>0</v>
      </c>
      <c r="Y46" s="150">
        <f t="shared" si="3"/>
        <v>0</v>
      </c>
      <c r="Z46" s="150">
        <f t="shared" si="3"/>
        <v>0</v>
      </c>
      <c r="AA46" s="150">
        <f t="shared" si="3"/>
        <v>0</v>
      </c>
      <c r="AB46" s="150">
        <f t="shared" si="3"/>
        <v>0</v>
      </c>
      <c r="AC46" s="150">
        <f t="shared" si="3"/>
        <v>0</v>
      </c>
      <c r="AD46" s="150">
        <f t="shared" si="3"/>
        <v>0</v>
      </c>
      <c r="AE46" s="150">
        <f t="shared" si="3"/>
        <v>0</v>
      </c>
    </row>
    <row r="47" spans="1:32" customFormat="1" ht="14.5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0"/>
      <c r="Q47" s="150"/>
      <c r="R47" s="150"/>
      <c r="S47" s="150"/>
      <c r="T47" s="150"/>
      <c r="U47" s="150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</row>
    <row r="48" spans="1:32" customFormat="1" ht="15" thickBot="1">
      <c r="A48" s="151"/>
      <c r="B48" s="151"/>
      <c r="C48" s="6" t="s">
        <v>811</v>
      </c>
      <c r="D48" s="7"/>
      <c r="E48" s="7"/>
      <c r="F48" s="7"/>
      <c r="G48" s="7"/>
      <c r="H48" s="7"/>
      <c r="I48" s="7"/>
      <c r="J48" s="7"/>
      <c r="K48" s="22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151"/>
    </row>
    <row r="49" spans="1:32" customFormat="1" ht="14.5">
      <c r="A49" s="151"/>
      <c r="B49" s="151"/>
      <c r="C49" s="3" t="str">
        <f t="shared" ref="C49:C57" si="4">C34</f>
        <v>ATCOs</v>
      </c>
      <c r="D49" s="3"/>
      <c r="E49" s="3" t="s">
        <v>29</v>
      </c>
      <c r="F49" s="3"/>
      <c r="G49" s="3"/>
      <c r="H49" s="3"/>
      <c r="I49" s="3"/>
      <c r="J49" s="3"/>
      <c r="K49" s="156"/>
      <c r="L49" s="210">
        <f>IFERROR(1000*L34/L18,0)</f>
        <v>0</v>
      </c>
      <c r="M49" s="210">
        <f t="shared" ref="M49:AE49" si="5">IFERROR(1000*M34/M18,0)</f>
        <v>0</v>
      </c>
      <c r="N49" s="210">
        <f t="shared" si="5"/>
        <v>0</v>
      </c>
      <c r="O49" s="210">
        <f t="shared" si="5"/>
        <v>0</v>
      </c>
      <c r="P49" s="210">
        <f t="shared" si="5"/>
        <v>137767.70206996665</v>
      </c>
      <c r="Q49" s="210">
        <f t="shared" si="5"/>
        <v>134951.17432460649</v>
      </c>
      <c r="R49" s="210">
        <f t="shared" si="5"/>
        <v>128578.76378912147</v>
      </c>
      <c r="S49" s="210">
        <f t="shared" si="5"/>
        <v>141448.43875662016</v>
      </c>
      <c r="T49" s="210">
        <f t="shared" si="5"/>
        <v>142586.37706857955</v>
      </c>
      <c r="U49" s="210">
        <f t="shared" si="5"/>
        <v>140229.5685795976</v>
      </c>
      <c r="V49" s="210">
        <f t="shared" si="5"/>
        <v>0</v>
      </c>
      <c r="W49" s="210">
        <f t="shared" si="5"/>
        <v>0</v>
      </c>
      <c r="X49" s="210">
        <f t="shared" si="5"/>
        <v>0</v>
      </c>
      <c r="Y49" s="210">
        <f t="shared" si="5"/>
        <v>0</v>
      </c>
      <c r="Z49" s="210">
        <f t="shared" si="5"/>
        <v>0</v>
      </c>
      <c r="AA49" s="210">
        <f t="shared" si="5"/>
        <v>0</v>
      </c>
      <c r="AB49" s="210">
        <f t="shared" si="5"/>
        <v>0</v>
      </c>
      <c r="AC49" s="210">
        <f t="shared" si="5"/>
        <v>0</v>
      </c>
      <c r="AD49" s="210">
        <f t="shared" si="5"/>
        <v>0</v>
      </c>
      <c r="AE49" s="210">
        <f t="shared" si="5"/>
        <v>0</v>
      </c>
      <c r="AF49" s="151"/>
    </row>
    <row r="50" spans="1:32" customFormat="1" ht="14.5">
      <c r="A50" s="151"/>
      <c r="B50" s="151"/>
      <c r="C50" s="3" t="str">
        <f t="shared" si="4"/>
        <v>Corp Serv</v>
      </c>
      <c r="D50" s="3"/>
      <c r="E50" s="3" t="s">
        <v>29</v>
      </c>
      <c r="F50" s="3"/>
      <c r="G50" s="3"/>
      <c r="H50" s="3"/>
      <c r="I50" s="3"/>
      <c r="J50" s="3"/>
      <c r="K50" s="156"/>
      <c r="L50" s="210">
        <f t="shared" ref="L50:AE57" si="6">IFERROR(1000*L35/L19,0)</f>
        <v>0</v>
      </c>
      <c r="M50" s="210">
        <f t="shared" si="6"/>
        <v>0</v>
      </c>
      <c r="N50" s="210">
        <f t="shared" si="6"/>
        <v>0</v>
      </c>
      <c r="O50" s="210">
        <f t="shared" si="6"/>
        <v>0</v>
      </c>
      <c r="P50" s="210">
        <f t="shared" si="6"/>
        <v>67760.433641469877</v>
      </c>
      <c r="Q50" s="210">
        <f t="shared" si="6"/>
        <v>65398.913647629321</v>
      </c>
      <c r="R50" s="210">
        <f t="shared" si="6"/>
        <v>65953.012678952553</v>
      </c>
      <c r="S50" s="210">
        <f t="shared" si="6"/>
        <v>69195.046711162009</v>
      </c>
      <c r="T50" s="210">
        <f t="shared" si="6"/>
        <v>69631.981918543301</v>
      </c>
      <c r="U50" s="210">
        <f t="shared" si="6"/>
        <v>69971.443395577371</v>
      </c>
      <c r="V50" s="210">
        <f t="shared" si="6"/>
        <v>0</v>
      </c>
      <c r="W50" s="210">
        <f t="shared" si="6"/>
        <v>0</v>
      </c>
      <c r="X50" s="210">
        <f t="shared" si="6"/>
        <v>0</v>
      </c>
      <c r="Y50" s="210">
        <f t="shared" si="6"/>
        <v>0</v>
      </c>
      <c r="Z50" s="210">
        <f t="shared" si="6"/>
        <v>0</v>
      </c>
      <c r="AA50" s="210">
        <f t="shared" si="6"/>
        <v>0</v>
      </c>
      <c r="AB50" s="210">
        <f t="shared" si="6"/>
        <v>0</v>
      </c>
      <c r="AC50" s="210">
        <f t="shared" si="6"/>
        <v>0</v>
      </c>
      <c r="AD50" s="210">
        <f t="shared" si="6"/>
        <v>0</v>
      </c>
      <c r="AE50" s="210">
        <f t="shared" si="6"/>
        <v>0</v>
      </c>
      <c r="AF50" s="151"/>
    </row>
    <row r="51" spans="1:32" customFormat="1" ht="14.5">
      <c r="A51" s="151"/>
      <c r="B51" s="151"/>
      <c r="C51" s="3" t="str">
        <f t="shared" si="4"/>
        <v>Data Assistant</v>
      </c>
      <c r="D51" s="3"/>
      <c r="E51" s="3" t="s">
        <v>29</v>
      </c>
      <c r="F51" s="3"/>
      <c r="G51" s="3"/>
      <c r="H51" s="3"/>
      <c r="I51" s="3"/>
      <c r="J51" s="3"/>
      <c r="K51" s="156"/>
      <c r="L51" s="210">
        <f t="shared" si="6"/>
        <v>0</v>
      </c>
      <c r="M51" s="210">
        <f t="shared" si="6"/>
        <v>0</v>
      </c>
      <c r="N51" s="210">
        <f t="shared" si="6"/>
        <v>0</v>
      </c>
      <c r="O51" s="210">
        <f t="shared" si="6"/>
        <v>0</v>
      </c>
      <c r="P51" s="210">
        <f t="shared" si="6"/>
        <v>68140.224707420362</v>
      </c>
      <c r="Q51" s="210">
        <f t="shared" si="6"/>
        <v>65803.752579445922</v>
      </c>
      <c r="R51" s="210">
        <f t="shared" si="6"/>
        <v>66449.484703805341</v>
      </c>
      <c r="S51" s="210">
        <f t="shared" si="6"/>
        <v>69658.246943679056</v>
      </c>
      <c r="T51" s="210">
        <f t="shared" si="6"/>
        <v>70035.132673706321</v>
      </c>
      <c r="U51" s="210">
        <f t="shared" si="6"/>
        <v>70299.090102711401</v>
      </c>
      <c r="V51" s="210">
        <f t="shared" si="6"/>
        <v>0</v>
      </c>
      <c r="W51" s="210">
        <f t="shared" si="6"/>
        <v>0</v>
      </c>
      <c r="X51" s="210">
        <f t="shared" si="6"/>
        <v>0</v>
      </c>
      <c r="Y51" s="210">
        <f t="shared" si="6"/>
        <v>0</v>
      </c>
      <c r="Z51" s="210">
        <f t="shared" si="6"/>
        <v>0</v>
      </c>
      <c r="AA51" s="210">
        <f t="shared" si="6"/>
        <v>0</v>
      </c>
      <c r="AB51" s="210">
        <f t="shared" si="6"/>
        <v>0</v>
      </c>
      <c r="AC51" s="210">
        <f t="shared" si="6"/>
        <v>0</v>
      </c>
      <c r="AD51" s="210">
        <f t="shared" si="6"/>
        <v>0</v>
      </c>
      <c r="AE51" s="210">
        <f t="shared" si="6"/>
        <v>0</v>
      </c>
      <c r="AF51" s="151"/>
    </row>
    <row r="52" spans="1:32" customFormat="1" ht="14.5">
      <c r="A52" s="151"/>
      <c r="B52" s="151"/>
      <c r="C52" s="3" t="str">
        <f t="shared" si="4"/>
        <v>Engineer</v>
      </c>
      <c r="D52" s="3"/>
      <c r="E52" s="3" t="s">
        <v>29</v>
      </c>
      <c r="F52" s="3"/>
      <c r="G52" s="3"/>
      <c r="H52" s="3"/>
      <c r="I52" s="3"/>
      <c r="J52" s="3"/>
      <c r="K52" s="156"/>
      <c r="L52" s="210">
        <f t="shared" si="6"/>
        <v>0</v>
      </c>
      <c r="M52" s="210">
        <f t="shared" si="6"/>
        <v>0</v>
      </c>
      <c r="N52" s="210">
        <f t="shared" si="6"/>
        <v>0</v>
      </c>
      <c r="O52" s="210">
        <f t="shared" si="6"/>
        <v>0</v>
      </c>
      <c r="P52" s="210">
        <f t="shared" si="6"/>
        <v>121068.13866803642</v>
      </c>
      <c r="Q52" s="210">
        <f t="shared" si="6"/>
        <v>116863.19946896908</v>
      </c>
      <c r="R52" s="210">
        <f t="shared" si="6"/>
        <v>117886.530946827</v>
      </c>
      <c r="S52" s="210">
        <f t="shared" si="6"/>
        <v>123659.73945771603</v>
      </c>
      <c r="T52" s="210">
        <f t="shared" si="6"/>
        <v>124416.89344280033</v>
      </c>
      <c r="U52" s="210">
        <f t="shared" si="6"/>
        <v>124994.27944599287</v>
      </c>
      <c r="V52" s="210">
        <f t="shared" si="6"/>
        <v>0</v>
      </c>
      <c r="W52" s="210">
        <f t="shared" si="6"/>
        <v>0</v>
      </c>
      <c r="X52" s="210">
        <f t="shared" si="6"/>
        <v>0</v>
      </c>
      <c r="Y52" s="210">
        <f t="shared" si="6"/>
        <v>0</v>
      </c>
      <c r="Z52" s="210">
        <f t="shared" si="6"/>
        <v>0</v>
      </c>
      <c r="AA52" s="210">
        <f t="shared" si="6"/>
        <v>0</v>
      </c>
      <c r="AB52" s="210">
        <f t="shared" si="6"/>
        <v>0</v>
      </c>
      <c r="AC52" s="210">
        <f t="shared" si="6"/>
        <v>0</v>
      </c>
      <c r="AD52" s="210">
        <f t="shared" si="6"/>
        <v>0</v>
      </c>
      <c r="AE52" s="210">
        <f t="shared" si="6"/>
        <v>0</v>
      </c>
      <c r="AF52" s="151"/>
    </row>
    <row r="53" spans="1:32" customFormat="1" ht="14.5">
      <c r="A53" s="151"/>
      <c r="B53" s="151"/>
      <c r="C53" s="3" t="str">
        <f t="shared" si="4"/>
        <v>Op Mgt Supp</v>
      </c>
      <c r="D53" s="3"/>
      <c r="E53" s="3" t="s">
        <v>29</v>
      </c>
      <c r="F53" s="3"/>
      <c r="G53" s="3"/>
      <c r="H53" s="3"/>
      <c r="I53" s="3"/>
      <c r="J53" s="3"/>
      <c r="K53" s="156"/>
      <c r="L53" s="210">
        <f t="shared" si="6"/>
        <v>0</v>
      </c>
      <c r="M53" s="210">
        <f t="shared" si="6"/>
        <v>0</v>
      </c>
      <c r="N53" s="210">
        <f t="shared" si="6"/>
        <v>0</v>
      </c>
      <c r="O53" s="210">
        <f t="shared" si="6"/>
        <v>0</v>
      </c>
      <c r="P53" s="210">
        <f t="shared" si="6"/>
        <v>118794.9304178725</v>
      </c>
      <c r="Q53" s="210">
        <f t="shared" si="6"/>
        <v>114652.8902157945</v>
      </c>
      <c r="R53" s="210">
        <f t="shared" si="6"/>
        <v>115619.88406408299</v>
      </c>
      <c r="S53" s="210">
        <f t="shared" si="6"/>
        <v>121306.26550460594</v>
      </c>
      <c r="T53" s="210">
        <f t="shared" si="6"/>
        <v>122075.41120052554</v>
      </c>
      <c r="U53" s="210">
        <f t="shared" si="6"/>
        <v>122674.41594043169</v>
      </c>
      <c r="V53" s="210">
        <f t="shared" si="6"/>
        <v>0</v>
      </c>
      <c r="W53" s="210">
        <f t="shared" si="6"/>
        <v>0</v>
      </c>
      <c r="X53" s="210">
        <f t="shared" si="6"/>
        <v>0</v>
      </c>
      <c r="Y53" s="210">
        <f t="shared" si="6"/>
        <v>0</v>
      </c>
      <c r="Z53" s="210">
        <f t="shared" si="6"/>
        <v>0</v>
      </c>
      <c r="AA53" s="210">
        <f t="shared" si="6"/>
        <v>0</v>
      </c>
      <c r="AB53" s="210">
        <f t="shared" si="6"/>
        <v>0</v>
      </c>
      <c r="AC53" s="210">
        <f t="shared" si="6"/>
        <v>0</v>
      </c>
      <c r="AD53" s="210">
        <f t="shared" si="6"/>
        <v>0</v>
      </c>
      <c r="AE53" s="210">
        <f t="shared" si="6"/>
        <v>0</v>
      </c>
      <c r="AF53" s="151"/>
    </row>
    <row r="54" spans="1:32" customFormat="1" ht="14.5">
      <c r="A54" s="151"/>
      <c r="B54" s="151"/>
      <c r="C54" s="3" t="str">
        <f t="shared" si="4"/>
        <v>EWSS</v>
      </c>
      <c r="D54" s="3"/>
      <c r="E54" s="3" t="s">
        <v>29</v>
      </c>
      <c r="F54" s="3"/>
      <c r="G54" s="3"/>
      <c r="H54" s="3"/>
      <c r="I54" s="3"/>
      <c r="J54" s="3"/>
      <c r="K54" s="156"/>
      <c r="L54" s="210">
        <f t="shared" si="6"/>
        <v>0</v>
      </c>
      <c r="M54" s="210">
        <f t="shared" si="6"/>
        <v>0</v>
      </c>
      <c r="N54" s="210">
        <f t="shared" si="6"/>
        <v>0</v>
      </c>
      <c r="O54" s="210">
        <f t="shared" si="6"/>
        <v>0</v>
      </c>
      <c r="P54" s="210">
        <f t="shared" si="6"/>
        <v>0</v>
      </c>
      <c r="Q54" s="210">
        <f t="shared" si="6"/>
        <v>0</v>
      </c>
      <c r="R54" s="210">
        <f t="shared" si="6"/>
        <v>0</v>
      </c>
      <c r="S54" s="210">
        <f t="shared" si="6"/>
        <v>0</v>
      </c>
      <c r="T54" s="210">
        <f t="shared" si="6"/>
        <v>0</v>
      </c>
      <c r="U54" s="210">
        <f t="shared" si="6"/>
        <v>0</v>
      </c>
      <c r="V54" s="210">
        <f t="shared" si="6"/>
        <v>0</v>
      </c>
      <c r="W54" s="210">
        <f t="shared" si="6"/>
        <v>0</v>
      </c>
      <c r="X54" s="210">
        <f t="shared" si="6"/>
        <v>0</v>
      </c>
      <c r="Y54" s="210">
        <f t="shared" si="6"/>
        <v>0</v>
      </c>
      <c r="Z54" s="210">
        <f t="shared" si="6"/>
        <v>0</v>
      </c>
      <c r="AA54" s="210">
        <f t="shared" si="6"/>
        <v>0</v>
      </c>
      <c r="AB54" s="210">
        <f t="shared" si="6"/>
        <v>0</v>
      </c>
      <c r="AC54" s="210">
        <f t="shared" si="6"/>
        <v>0</v>
      </c>
      <c r="AD54" s="210">
        <f t="shared" si="6"/>
        <v>0</v>
      </c>
      <c r="AE54" s="210">
        <f t="shared" si="6"/>
        <v>0</v>
      </c>
      <c r="AF54" s="151"/>
    </row>
    <row r="55" spans="1:32" customFormat="1" ht="14.5">
      <c r="A55" s="151"/>
      <c r="B55" s="151"/>
      <c r="C55" s="3" t="str">
        <f t="shared" si="4"/>
        <v>Overtime</v>
      </c>
      <c r="D55" s="3"/>
      <c r="E55" s="3" t="s">
        <v>29</v>
      </c>
      <c r="F55" s="3"/>
      <c r="G55" s="3"/>
      <c r="H55" s="3"/>
      <c r="I55" s="3"/>
      <c r="J55" s="3"/>
      <c r="K55" s="156"/>
      <c r="L55" s="210">
        <f t="shared" si="6"/>
        <v>0</v>
      </c>
      <c r="M55" s="210">
        <f t="shared" si="6"/>
        <v>0</v>
      </c>
      <c r="N55" s="210">
        <f t="shared" si="6"/>
        <v>0</v>
      </c>
      <c r="O55" s="210">
        <f t="shared" si="6"/>
        <v>0</v>
      </c>
      <c r="P55" s="210">
        <f t="shared" si="6"/>
        <v>0</v>
      </c>
      <c r="Q55" s="210">
        <f t="shared" si="6"/>
        <v>0</v>
      </c>
      <c r="R55" s="210">
        <f t="shared" si="6"/>
        <v>0</v>
      </c>
      <c r="S55" s="210">
        <f t="shared" si="6"/>
        <v>0</v>
      </c>
      <c r="T55" s="210">
        <f t="shared" si="6"/>
        <v>0</v>
      </c>
      <c r="U55" s="210">
        <f t="shared" si="6"/>
        <v>0</v>
      </c>
      <c r="V55" s="210">
        <f t="shared" si="6"/>
        <v>0</v>
      </c>
      <c r="W55" s="210">
        <f t="shared" si="6"/>
        <v>0</v>
      </c>
      <c r="X55" s="210">
        <f t="shared" si="6"/>
        <v>0</v>
      </c>
      <c r="Y55" s="210">
        <f t="shared" si="6"/>
        <v>0</v>
      </c>
      <c r="Z55" s="210">
        <f t="shared" si="6"/>
        <v>0</v>
      </c>
      <c r="AA55" s="210">
        <f t="shared" si="6"/>
        <v>0</v>
      </c>
      <c r="AB55" s="210">
        <f t="shared" si="6"/>
        <v>0</v>
      </c>
      <c r="AC55" s="210">
        <f t="shared" si="6"/>
        <v>0</v>
      </c>
      <c r="AD55" s="210">
        <f t="shared" si="6"/>
        <v>0</v>
      </c>
      <c r="AE55" s="210">
        <f t="shared" si="6"/>
        <v>0</v>
      </c>
      <c r="AF55" s="151"/>
    </row>
    <row r="56" spans="1:32" customFormat="1" ht="14.5">
      <c r="A56" s="151"/>
      <c r="B56" s="151"/>
      <c r="C56" s="3" t="str">
        <f t="shared" si="4"/>
        <v>&lt;&lt; add staff category &gt;&gt;</v>
      </c>
      <c r="D56" s="3"/>
      <c r="E56" s="3" t="s">
        <v>29</v>
      </c>
      <c r="F56" s="3"/>
      <c r="G56" s="3"/>
      <c r="H56" s="3"/>
      <c r="I56" s="3"/>
      <c r="J56" s="3"/>
      <c r="K56" s="156"/>
      <c r="L56" s="210">
        <f t="shared" si="6"/>
        <v>0</v>
      </c>
      <c r="M56" s="210">
        <f t="shared" si="6"/>
        <v>0</v>
      </c>
      <c r="N56" s="210">
        <f t="shared" si="6"/>
        <v>0</v>
      </c>
      <c r="O56" s="210">
        <f t="shared" si="6"/>
        <v>0</v>
      </c>
      <c r="P56" s="210">
        <f t="shared" si="6"/>
        <v>0</v>
      </c>
      <c r="Q56" s="210">
        <f t="shared" si="6"/>
        <v>0</v>
      </c>
      <c r="R56" s="210">
        <f t="shared" si="6"/>
        <v>0</v>
      </c>
      <c r="S56" s="210">
        <f t="shared" si="6"/>
        <v>0</v>
      </c>
      <c r="T56" s="210">
        <f t="shared" si="6"/>
        <v>0</v>
      </c>
      <c r="U56" s="210">
        <f t="shared" si="6"/>
        <v>0</v>
      </c>
      <c r="V56" s="210">
        <f t="shared" si="6"/>
        <v>0</v>
      </c>
      <c r="W56" s="210">
        <f t="shared" si="6"/>
        <v>0</v>
      </c>
      <c r="X56" s="210">
        <f t="shared" si="6"/>
        <v>0</v>
      </c>
      <c r="Y56" s="210">
        <f t="shared" si="6"/>
        <v>0</v>
      </c>
      <c r="Z56" s="210">
        <f t="shared" si="6"/>
        <v>0</v>
      </c>
      <c r="AA56" s="210">
        <f t="shared" si="6"/>
        <v>0</v>
      </c>
      <c r="AB56" s="210">
        <f t="shared" si="6"/>
        <v>0</v>
      </c>
      <c r="AC56" s="210">
        <f t="shared" si="6"/>
        <v>0</v>
      </c>
      <c r="AD56" s="210">
        <f t="shared" si="6"/>
        <v>0</v>
      </c>
      <c r="AE56" s="210">
        <f t="shared" si="6"/>
        <v>0</v>
      </c>
      <c r="AF56" s="151"/>
    </row>
    <row r="57" spans="1:32" customFormat="1" ht="14.5">
      <c r="A57" s="151"/>
      <c r="B57" s="151"/>
      <c r="C57" s="3" t="str">
        <f t="shared" si="4"/>
        <v>&lt;&lt; add staff category &gt;&gt;</v>
      </c>
      <c r="D57" s="3"/>
      <c r="E57" s="3" t="s">
        <v>29</v>
      </c>
      <c r="F57" s="3"/>
      <c r="G57" s="3"/>
      <c r="H57" s="3"/>
      <c r="I57" s="3"/>
      <c r="J57" s="3"/>
      <c r="K57" s="156"/>
      <c r="L57" s="210">
        <f t="shared" si="6"/>
        <v>0</v>
      </c>
      <c r="M57" s="210">
        <f t="shared" si="6"/>
        <v>0</v>
      </c>
      <c r="N57" s="210">
        <f t="shared" si="6"/>
        <v>0</v>
      </c>
      <c r="O57" s="210">
        <f t="shared" si="6"/>
        <v>0</v>
      </c>
      <c r="P57" s="210">
        <f t="shared" si="6"/>
        <v>0</v>
      </c>
      <c r="Q57" s="210">
        <f t="shared" si="6"/>
        <v>0</v>
      </c>
      <c r="R57" s="210">
        <f t="shared" si="6"/>
        <v>0</v>
      </c>
      <c r="S57" s="210">
        <f t="shared" si="6"/>
        <v>0</v>
      </c>
      <c r="T57" s="210">
        <f t="shared" si="6"/>
        <v>0</v>
      </c>
      <c r="U57" s="210">
        <f t="shared" si="6"/>
        <v>0</v>
      </c>
      <c r="V57" s="210">
        <f t="shared" si="6"/>
        <v>0</v>
      </c>
      <c r="W57" s="210">
        <f t="shared" si="6"/>
        <v>0</v>
      </c>
      <c r="X57" s="210">
        <f t="shared" si="6"/>
        <v>0</v>
      </c>
      <c r="Y57" s="210">
        <f t="shared" si="6"/>
        <v>0</v>
      </c>
      <c r="Z57" s="210">
        <f t="shared" si="6"/>
        <v>0</v>
      </c>
      <c r="AA57" s="210">
        <f t="shared" si="6"/>
        <v>0</v>
      </c>
      <c r="AB57" s="210">
        <f t="shared" si="6"/>
        <v>0</v>
      </c>
      <c r="AC57" s="210">
        <f t="shared" si="6"/>
        <v>0</v>
      </c>
      <c r="AD57" s="210">
        <f t="shared" si="6"/>
        <v>0</v>
      </c>
      <c r="AE57" s="210">
        <f t="shared" si="6"/>
        <v>0</v>
      </c>
      <c r="AF57" s="151"/>
    </row>
    <row r="58" spans="1:32" customFormat="1" ht="14.5">
      <c r="A58" s="151"/>
      <c r="B58" s="151"/>
      <c r="C58" s="14"/>
      <c r="D58" s="14"/>
      <c r="E58" s="14"/>
      <c r="F58" s="14"/>
      <c r="G58" s="14"/>
      <c r="H58" s="14"/>
      <c r="I58" s="14"/>
      <c r="J58" s="14"/>
      <c r="K58" s="14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151"/>
    </row>
    <row r="59" spans="1:32" customFormat="1" ht="14.5">
      <c r="A59" s="151"/>
      <c r="B59" s="151"/>
      <c r="C59" s="17" t="s">
        <v>809</v>
      </c>
      <c r="D59" s="3"/>
      <c r="E59" s="3" t="s">
        <v>29</v>
      </c>
      <c r="F59" s="3"/>
      <c r="G59" s="3"/>
      <c r="H59" s="3"/>
      <c r="I59" s="3"/>
      <c r="J59" s="3"/>
      <c r="K59" s="3"/>
      <c r="L59" s="27">
        <f>IFERROR(1000*L45/L31,0)</f>
        <v>0</v>
      </c>
      <c r="M59" s="27">
        <f>IFERROR(1000*M45/M31,0)</f>
        <v>0</v>
      </c>
      <c r="N59" s="27">
        <f>IFERROR(1000*N45/N31,0)</f>
        <v>0</v>
      </c>
      <c r="O59" s="27">
        <f>IFERROR(1000*O45/O31,0)</f>
        <v>0</v>
      </c>
      <c r="P59" s="27">
        <f>IFERROR(1000*P45/P31,0)</f>
        <v>123266.42335766423</v>
      </c>
      <c r="Q59" s="27">
        <f t="shared" ref="Q59:AE59" si="7">IFERROR(1000*Q45/Q31,0)</f>
        <v>115242.09872326867</v>
      </c>
      <c r="R59" s="27">
        <f t="shared" si="7"/>
        <v>106693.84755115637</v>
      </c>
      <c r="S59" s="27">
        <f t="shared" si="7"/>
        <v>125140.04540238969</v>
      </c>
      <c r="T59" s="27">
        <f t="shared" si="7"/>
        <v>126751.80128852093</v>
      </c>
      <c r="U59" s="27">
        <f t="shared" si="7"/>
        <v>126314.28254721824</v>
      </c>
      <c r="V59" s="27">
        <f t="shared" si="7"/>
        <v>0</v>
      </c>
      <c r="W59" s="27">
        <f t="shared" si="7"/>
        <v>0</v>
      </c>
      <c r="X59" s="27">
        <f t="shared" si="7"/>
        <v>0</v>
      </c>
      <c r="Y59" s="27">
        <f t="shared" si="7"/>
        <v>0</v>
      </c>
      <c r="Z59" s="27">
        <f t="shared" si="7"/>
        <v>0</v>
      </c>
      <c r="AA59" s="27">
        <f t="shared" si="7"/>
        <v>0</v>
      </c>
      <c r="AB59" s="27">
        <f t="shared" si="7"/>
        <v>0</v>
      </c>
      <c r="AC59" s="27">
        <f t="shared" si="7"/>
        <v>0</v>
      </c>
      <c r="AD59" s="27">
        <f t="shared" si="7"/>
        <v>0</v>
      </c>
      <c r="AE59" s="27">
        <f t="shared" si="7"/>
        <v>0</v>
      </c>
      <c r="AF59" s="151"/>
    </row>
    <row r="60" spans="1:32" customFormat="1" ht="14.5">
      <c r="A60" s="151"/>
      <c r="B60" s="151"/>
      <c r="C60" s="39" t="s">
        <v>810</v>
      </c>
      <c r="D60" s="3"/>
      <c r="E60" s="39" t="s">
        <v>29</v>
      </c>
      <c r="F60" s="39"/>
      <c r="G60" s="39"/>
      <c r="H60" s="3"/>
      <c r="I60" s="3"/>
      <c r="J60" s="3"/>
      <c r="K60" s="3"/>
      <c r="L60" s="150">
        <f>IFERROR(1000*L15/L31,0)</f>
        <v>0</v>
      </c>
      <c r="M60" s="150">
        <f>IFERROR(1000*M15/M31,0)</f>
        <v>0</v>
      </c>
      <c r="N60" s="150">
        <f>IFERROR(1000*N15/N31,0)</f>
        <v>0</v>
      </c>
      <c r="O60" s="150">
        <f>IFERROR(1000*O15/O31,0)</f>
        <v>0</v>
      </c>
      <c r="P60" s="150">
        <f>IFERROR(1000*P15/P31,0)</f>
        <v>24572.992700729919</v>
      </c>
      <c r="Q60" s="150">
        <f t="shared" ref="Q60:AE60" si="8">IFERROR(1000*Q15/Q31,0)</f>
        <v>24298.148306892832</v>
      </c>
      <c r="R60" s="150">
        <f t="shared" si="8"/>
        <v>24463.137285144829</v>
      </c>
      <c r="S60" s="150">
        <f t="shared" si="8"/>
        <v>26090.115373349618</v>
      </c>
      <c r="T60" s="150">
        <f t="shared" si="8"/>
        <v>25613.681747921808</v>
      </c>
      <c r="U60" s="150">
        <f t="shared" si="8"/>
        <v>24572.743434873788</v>
      </c>
      <c r="V60" s="150">
        <f t="shared" si="8"/>
        <v>0</v>
      </c>
      <c r="W60" s="150">
        <f t="shared" si="8"/>
        <v>0</v>
      </c>
      <c r="X60" s="150">
        <f t="shared" si="8"/>
        <v>0</v>
      </c>
      <c r="Y60" s="150">
        <f t="shared" si="8"/>
        <v>0</v>
      </c>
      <c r="Z60" s="150">
        <f t="shared" si="8"/>
        <v>0</v>
      </c>
      <c r="AA60" s="150">
        <f t="shared" si="8"/>
        <v>0</v>
      </c>
      <c r="AB60" s="150">
        <f t="shared" si="8"/>
        <v>0</v>
      </c>
      <c r="AC60" s="150">
        <f t="shared" si="8"/>
        <v>0</v>
      </c>
      <c r="AD60" s="150">
        <f t="shared" si="8"/>
        <v>0</v>
      </c>
      <c r="AE60" s="150">
        <f t="shared" si="8"/>
        <v>0</v>
      </c>
      <c r="AF60" s="151"/>
    </row>
    <row r="61" spans="1:32" customFormat="1" ht="14.5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</row>
    <row r="62" spans="1:32" s="7" customFormat="1" ht="13.5" thickBot="1">
      <c r="A62" s="3"/>
      <c r="B62" s="152" t="s">
        <v>150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3"/>
    </row>
    <row r="64" spans="1:32" ht="13.5" thickBot="1">
      <c r="C64" s="6" t="s">
        <v>813</v>
      </c>
      <c r="D64" s="7"/>
      <c r="E64" s="7"/>
      <c r="F64" s="7"/>
      <c r="G64" s="7"/>
      <c r="H64" s="7"/>
      <c r="I64" s="221"/>
      <c r="J64" s="7"/>
      <c r="K64" s="22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</row>
    <row r="65" spans="3:31" outlineLevel="1">
      <c r="C65" s="3" t="str">
        <f>C18</f>
        <v>ATCOs</v>
      </c>
      <c r="E65" s="3" t="s">
        <v>29</v>
      </c>
      <c r="K65" s="156"/>
      <c r="L65" s="223">
        <v>0</v>
      </c>
      <c r="M65" s="223">
        <v>0</v>
      </c>
      <c r="N65" s="223">
        <v>0</v>
      </c>
      <c r="O65" s="223">
        <v>0</v>
      </c>
      <c r="P65" s="223">
        <v>0.85409961876069318</v>
      </c>
      <c r="Q65" s="223">
        <v>0.85408934974178818</v>
      </c>
      <c r="R65" s="223">
        <v>0.87065727020497996</v>
      </c>
      <c r="S65" s="223">
        <v>0.87067047643303597</v>
      </c>
      <c r="T65" s="223">
        <v>0.86906558357538144</v>
      </c>
      <c r="U65" s="223">
        <v>0.85824700093573958</v>
      </c>
      <c r="V65" s="223">
        <v>0</v>
      </c>
      <c r="W65" s="223">
        <v>0</v>
      </c>
      <c r="X65" s="223">
        <v>0</v>
      </c>
      <c r="Y65" s="223">
        <v>0</v>
      </c>
      <c r="Z65" s="223">
        <v>0</v>
      </c>
      <c r="AA65" s="223">
        <v>0</v>
      </c>
      <c r="AB65" s="223">
        <v>0</v>
      </c>
      <c r="AC65" s="223">
        <v>0</v>
      </c>
      <c r="AD65" s="223">
        <v>0</v>
      </c>
      <c r="AE65" s="223">
        <v>0</v>
      </c>
    </row>
    <row r="66" spans="3:31" outlineLevel="1">
      <c r="C66" s="3" t="str">
        <f t="shared" ref="C66:C71" si="9">C19</f>
        <v>Corp Serv</v>
      </c>
      <c r="E66" s="3" t="s">
        <v>29</v>
      </c>
      <c r="K66" s="156"/>
      <c r="L66" s="223">
        <v>0</v>
      </c>
      <c r="M66" s="223">
        <v>0</v>
      </c>
      <c r="N66" s="223">
        <v>0</v>
      </c>
      <c r="O66" s="223">
        <v>0</v>
      </c>
      <c r="P66" s="223">
        <v>0.84399999999999997</v>
      </c>
      <c r="Q66" s="223">
        <v>0.83900000000000019</v>
      </c>
      <c r="R66" s="223">
        <v>0.83299999999999996</v>
      </c>
      <c r="S66" s="223">
        <v>0.82799999999999996</v>
      </c>
      <c r="T66" s="223">
        <v>0.82799999999999985</v>
      </c>
      <c r="U66" s="223">
        <v>0.82799999999999996</v>
      </c>
      <c r="V66" s="223">
        <v>0</v>
      </c>
      <c r="W66" s="223">
        <v>0</v>
      </c>
      <c r="X66" s="223">
        <v>0</v>
      </c>
      <c r="Y66" s="223">
        <v>0</v>
      </c>
      <c r="Z66" s="223">
        <v>0</v>
      </c>
      <c r="AA66" s="223">
        <v>0</v>
      </c>
      <c r="AB66" s="223">
        <v>0</v>
      </c>
      <c r="AC66" s="223">
        <v>0</v>
      </c>
      <c r="AD66" s="223">
        <v>0</v>
      </c>
      <c r="AE66" s="223">
        <v>0</v>
      </c>
    </row>
    <row r="67" spans="3:31" outlineLevel="1">
      <c r="C67" s="3" t="str">
        <f t="shared" si="9"/>
        <v>Data Assistant</v>
      </c>
      <c r="E67" s="3" t="s">
        <v>29</v>
      </c>
      <c r="K67" s="156"/>
      <c r="L67" s="223">
        <v>0</v>
      </c>
      <c r="M67" s="223">
        <v>0</v>
      </c>
      <c r="N67" s="223">
        <v>0</v>
      </c>
      <c r="O67" s="223">
        <v>0</v>
      </c>
      <c r="P67" s="223">
        <v>0.88900000000000001</v>
      </c>
      <c r="Q67" s="223">
        <v>0.88200000000000012</v>
      </c>
      <c r="R67" s="223">
        <v>0.88100000000000023</v>
      </c>
      <c r="S67" s="223">
        <v>0.88200000000000001</v>
      </c>
      <c r="T67" s="223">
        <v>0.88099999999999978</v>
      </c>
      <c r="U67" s="223">
        <v>0.88100000000000001</v>
      </c>
      <c r="V67" s="223">
        <v>0</v>
      </c>
      <c r="W67" s="223">
        <v>0</v>
      </c>
      <c r="X67" s="223">
        <v>0</v>
      </c>
      <c r="Y67" s="223">
        <v>0</v>
      </c>
      <c r="Z67" s="223">
        <v>0</v>
      </c>
      <c r="AA67" s="223">
        <v>0</v>
      </c>
      <c r="AB67" s="223">
        <v>0</v>
      </c>
      <c r="AC67" s="223">
        <v>0</v>
      </c>
      <c r="AD67" s="223">
        <v>0</v>
      </c>
      <c r="AE67" s="223">
        <v>0</v>
      </c>
    </row>
    <row r="68" spans="3:31" outlineLevel="1">
      <c r="C68" s="3" t="str">
        <f t="shared" si="9"/>
        <v>Engineer</v>
      </c>
      <c r="E68" s="3" t="s">
        <v>29</v>
      </c>
      <c r="K68" s="156"/>
      <c r="L68" s="223">
        <v>0</v>
      </c>
      <c r="M68" s="223">
        <v>0</v>
      </c>
      <c r="N68" s="223">
        <v>0</v>
      </c>
      <c r="O68" s="223">
        <v>0</v>
      </c>
      <c r="P68" s="223">
        <v>0.86900000000000011</v>
      </c>
      <c r="Q68" s="223">
        <v>0.85899999999999999</v>
      </c>
      <c r="R68" s="223">
        <v>0.8600000000000001</v>
      </c>
      <c r="S68" s="223">
        <v>0.85899999999999999</v>
      </c>
      <c r="T68" s="223">
        <v>0.85899999999999987</v>
      </c>
      <c r="U68" s="223">
        <v>0.8590000000000001</v>
      </c>
      <c r="V68" s="223">
        <v>0</v>
      </c>
      <c r="W68" s="223">
        <v>0</v>
      </c>
      <c r="X68" s="223">
        <v>0</v>
      </c>
      <c r="Y68" s="223">
        <v>0</v>
      </c>
      <c r="Z68" s="223">
        <v>0</v>
      </c>
      <c r="AA68" s="223">
        <v>0</v>
      </c>
      <c r="AB68" s="223">
        <v>0</v>
      </c>
      <c r="AC68" s="223">
        <v>0</v>
      </c>
      <c r="AD68" s="223">
        <v>0</v>
      </c>
      <c r="AE68" s="223">
        <v>0</v>
      </c>
    </row>
    <row r="69" spans="3:31" outlineLevel="1">
      <c r="C69" s="3" t="str">
        <f t="shared" si="9"/>
        <v>Op Mgt Supp</v>
      </c>
      <c r="E69" s="3" t="s">
        <v>29</v>
      </c>
      <c r="K69" s="156"/>
      <c r="L69" s="223">
        <v>0</v>
      </c>
      <c r="M69" s="223">
        <v>0</v>
      </c>
      <c r="N69" s="223">
        <v>0</v>
      </c>
      <c r="O69" s="223">
        <v>0</v>
      </c>
      <c r="P69" s="223">
        <v>0.85</v>
      </c>
      <c r="Q69" s="223">
        <v>0.85399999999999987</v>
      </c>
      <c r="R69" s="223">
        <v>0.85399999999999998</v>
      </c>
      <c r="S69" s="223">
        <v>0.85</v>
      </c>
      <c r="T69" s="223">
        <v>0.84999999999999987</v>
      </c>
      <c r="U69" s="223">
        <v>0.85300000000000009</v>
      </c>
      <c r="V69" s="223">
        <v>0</v>
      </c>
      <c r="W69" s="223">
        <v>0</v>
      </c>
      <c r="X69" s="223">
        <v>0</v>
      </c>
      <c r="Y69" s="223">
        <v>0</v>
      </c>
      <c r="Z69" s="223">
        <v>0</v>
      </c>
      <c r="AA69" s="223">
        <v>0</v>
      </c>
      <c r="AB69" s="223">
        <v>0</v>
      </c>
      <c r="AC69" s="223">
        <v>0</v>
      </c>
      <c r="AD69" s="223">
        <v>0</v>
      </c>
      <c r="AE69" s="223">
        <v>0</v>
      </c>
    </row>
    <row r="70" spans="3:31" outlineLevel="1">
      <c r="C70" s="3" t="str">
        <f t="shared" si="9"/>
        <v>EWSS</v>
      </c>
      <c r="E70" s="3" t="s">
        <v>29</v>
      </c>
      <c r="K70" s="156"/>
      <c r="L70" s="223">
        <v>0</v>
      </c>
      <c r="M70" s="223">
        <v>0</v>
      </c>
      <c r="N70" s="223">
        <v>0</v>
      </c>
      <c r="O70" s="223">
        <v>0</v>
      </c>
      <c r="P70" s="223">
        <v>0</v>
      </c>
      <c r="Q70" s="223">
        <v>0.85762160063524018</v>
      </c>
      <c r="R70" s="223">
        <v>0.8606313874322874</v>
      </c>
      <c r="S70" s="223">
        <v>0</v>
      </c>
      <c r="T70" s="223">
        <v>0</v>
      </c>
      <c r="U70" s="223">
        <v>0</v>
      </c>
      <c r="V70" s="223">
        <v>0</v>
      </c>
      <c r="W70" s="223">
        <v>0</v>
      </c>
      <c r="X70" s="223">
        <v>0</v>
      </c>
      <c r="Y70" s="223">
        <v>0</v>
      </c>
      <c r="Z70" s="223">
        <v>0</v>
      </c>
      <c r="AA70" s="223">
        <v>0</v>
      </c>
      <c r="AB70" s="223">
        <v>0</v>
      </c>
      <c r="AC70" s="223">
        <v>0</v>
      </c>
      <c r="AD70" s="223">
        <v>0</v>
      </c>
      <c r="AE70" s="223">
        <v>0</v>
      </c>
    </row>
    <row r="71" spans="3:31" outlineLevel="1">
      <c r="C71" s="3" t="str">
        <f t="shared" si="9"/>
        <v>Overtime</v>
      </c>
      <c r="E71" s="3" t="s">
        <v>29</v>
      </c>
      <c r="K71" s="156"/>
      <c r="L71" s="223">
        <v>0</v>
      </c>
      <c r="M71" s="223">
        <v>0</v>
      </c>
      <c r="N71" s="223">
        <v>0</v>
      </c>
      <c r="O71" s="223">
        <v>0</v>
      </c>
      <c r="P71" s="223">
        <v>0.85409961876069318</v>
      </c>
      <c r="Q71" s="223">
        <v>0.85408934974178818</v>
      </c>
      <c r="R71" s="223">
        <v>0.87065727020497996</v>
      </c>
      <c r="S71" s="223">
        <v>0.87067047643303597</v>
      </c>
      <c r="T71" s="223">
        <v>0.86906558357538144</v>
      </c>
      <c r="U71" s="223">
        <v>0.85824700093573958</v>
      </c>
      <c r="V71" s="223">
        <v>0</v>
      </c>
      <c r="W71" s="223">
        <v>0</v>
      </c>
      <c r="X71" s="223">
        <v>0</v>
      </c>
      <c r="Y71" s="223">
        <v>0</v>
      </c>
      <c r="Z71" s="223">
        <v>0</v>
      </c>
      <c r="AA71" s="223">
        <v>0</v>
      </c>
      <c r="AB71" s="223">
        <v>0</v>
      </c>
      <c r="AC71" s="223">
        <v>0</v>
      </c>
      <c r="AD71" s="223">
        <v>0</v>
      </c>
      <c r="AE71" s="223">
        <v>0</v>
      </c>
    </row>
    <row r="72" spans="3:31" outlineLevel="1">
      <c r="C72" s="3" t="s">
        <v>862</v>
      </c>
      <c r="E72" s="3" t="s">
        <v>29</v>
      </c>
      <c r="K72" s="156"/>
      <c r="L72" s="223">
        <v>0</v>
      </c>
      <c r="M72" s="223">
        <v>0</v>
      </c>
      <c r="N72" s="223">
        <v>0</v>
      </c>
      <c r="O72" s="223">
        <v>0</v>
      </c>
      <c r="P72" s="223">
        <v>0</v>
      </c>
      <c r="Q72" s="223">
        <v>0</v>
      </c>
      <c r="R72" s="223">
        <v>0</v>
      </c>
      <c r="S72" s="223">
        <v>0</v>
      </c>
      <c r="T72" s="223">
        <v>0</v>
      </c>
      <c r="U72" s="223">
        <v>0</v>
      </c>
      <c r="V72" s="223">
        <v>0</v>
      </c>
      <c r="W72" s="223">
        <v>0</v>
      </c>
      <c r="X72" s="223">
        <v>0</v>
      </c>
      <c r="Y72" s="223">
        <v>0</v>
      </c>
      <c r="Z72" s="223">
        <v>0</v>
      </c>
      <c r="AA72" s="223">
        <v>0</v>
      </c>
      <c r="AB72" s="223">
        <v>0</v>
      </c>
      <c r="AC72" s="223">
        <v>0</v>
      </c>
      <c r="AD72" s="223">
        <v>0</v>
      </c>
      <c r="AE72" s="223">
        <v>0</v>
      </c>
    </row>
    <row r="73" spans="3:31" outlineLevel="1">
      <c r="C73" s="3" t="s">
        <v>862</v>
      </c>
      <c r="E73" s="3" t="s">
        <v>29</v>
      </c>
      <c r="K73" s="156"/>
      <c r="L73" s="223">
        <v>0</v>
      </c>
      <c r="M73" s="223">
        <v>0</v>
      </c>
      <c r="N73" s="223">
        <v>0</v>
      </c>
      <c r="O73" s="223">
        <v>0</v>
      </c>
      <c r="P73" s="223">
        <v>0</v>
      </c>
      <c r="Q73" s="223">
        <v>0</v>
      </c>
      <c r="R73" s="223">
        <v>0</v>
      </c>
      <c r="S73" s="223">
        <v>0</v>
      </c>
      <c r="T73" s="223">
        <v>0</v>
      </c>
      <c r="U73" s="223">
        <v>0</v>
      </c>
      <c r="V73" s="223">
        <v>0</v>
      </c>
      <c r="W73" s="223">
        <v>0</v>
      </c>
      <c r="X73" s="223">
        <v>0</v>
      </c>
      <c r="Y73" s="223">
        <v>0</v>
      </c>
      <c r="Z73" s="223">
        <v>0</v>
      </c>
      <c r="AA73" s="223">
        <v>0</v>
      </c>
      <c r="AB73" s="223">
        <v>0</v>
      </c>
      <c r="AC73" s="223">
        <v>0</v>
      </c>
      <c r="AD73" s="223">
        <v>0</v>
      </c>
      <c r="AE73" s="223">
        <v>0</v>
      </c>
    </row>
    <row r="75" spans="3:31" ht="13.5" thickBot="1">
      <c r="C75" s="6" t="s">
        <v>797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3:31">
      <c r="C76" s="3" t="s">
        <v>796</v>
      </c>
      <c r="E76" s="3" t="s">
        <v>29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pans="3:31">
      <c r="C77" s="39" t="s">
        <v>799</v>
      </c>
      <c r="D77" s="39"/>
      <c r="E77" s="39" t="s">
        <v>29</v>
      </c>
      <c r="F77" s="39"/>
      <c r="G77" s="39"/>
      <c r="H77" s="39"/>
      <c r="I77" s="39"/>
      <c r="J77" s="226"/>
      <c r="K77" s="226"/>
      <c r="L77" s="227"/>
      <c r="M77" s="227"/>
      <c r="N77" s="227"/>
      <c r="O77" s="227"/>
      <c r="P77" s="227">
        <f>'ANSP Opex (CAR)'!P77</f>
        <v>11514</v>
      </c>
      <c r="Q77" s="227">
        <f>'ANSP Opex (CAR)'!Q77</f>
        <v>11198</v>
      </c>
      <c r="R77" s="227">
        <f>'ANSP Opex (CAR)'!R77</f>
        <v>11177</v>
      </c>
      <c r="S77" s="227">
        <f>S$15*'ANSP Opex (CAR)'!S77/'ANSP Opex (CAR)'!S$15</f>
        <v>12124.591916986037</v>
      </c>
      <c r="T77" s="227">
        <f>T$15*'ANSP Opex (CAR)'!T77/'ANSP Opex (CAR)'!T$15</f>
        <v>11935.742758847677</v>
      </c>
      <c r="U77" s="227">
        <f>U$15*'ANSP Opex (CAR)'!U77/'ANSP Opex (CAR)'!U$15</f>
        <v>11579.525682905214</v>
      </c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pans="3:31" ht="10.9" customHeight="1">
      <c r="J78" s="148"/>
      <c r="K78" s="148"/>
    </row>
    <row r="79" spans="3:31" ht="13.5" thickBot="1">
      <c r="C79" s="6" t="s">
        <v>815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3:31">
      <c r="C80" s="3" t="s">
        <v>796</v>
      </c>
      <c r="E80" s="3" t="s">
        <v>29</v>
      </c>
      <c r="L80" s="27">
        <f t="shared" ref="L80:T80" si="10">(SUMPRODUCT(L34:L42,L65:L73)*(L76="")+L76)</f>
        <v>0</v>
      </c>
      <c r="M80" s="27">
        <f t="shared" si="10"/>
        <v>0</v>
      </c>
      <c r="N80" s="27">
        <f t="shared" si="10"/>
        <v>0</v>
      </c>
      <c r="O80" s="27">
        <f t="shared" si="10"/>
        <v>0</v>
      </c>
      <c r="P80" s="27">
        <f t="shared" si="10"/>
        <v>57841.304197945945</v>
      </c>
      <c r="Q80" s="27">
        <f t="shared" si="10"/>
        <v>53191.040439599157</v>
      </c>
      <c r="R80" s="27">
        <f t="shared" si="10"/>
        <v>48832.907971608467</v>
      </c>
      <c r="S80" s="27">
        <f t="shared" si="10"/>
        <v>58242.058000415935</v>
      </c>
      <c r="T80" s="27">
        <f t="shared" si="10"/>
        <v>59305.011264412045</v>
      </c>
      <c r="U80" s="27">
        <f>(SUMPRODUCT(U34:U42,U65:U73)*(U76="")+U76)</f>
        <v>59747.546450294474</v>
      </c>
      <c r="V80" s="27">
        <f t="shared" ref="V80:AE80" si="11">(SUMPRODUCT(V34:V42,V65:V73)*(V76="")+V76)</f>
        <v>0</v>
      </c>
      <c r="W80" s="27">
        <f t="shared" si="11"/>
        <v>0</v>
      </c>
      <c r="X80" s="27">
        <f t="shared" si="11"/>
        <v>0</v>
      </c>
      <c r="Y80" s="27">
        <f t="shared" si="11"/>
        <v>0</v>
      </c>
      <c r="Z80" s="27">
        <f t="shared" si="11"/>
        <v>0</v>
      </c>
      <c r="AA80" s="27">
        <f t="shared" si="11"/>
        <v>0</v>
      </c>
      <c r="AB80" s="27">
        <f t="shared" si="11"/>
        <v>0</v>
      </c>
      <c r="AC80" s="27">
        <f t="shared" si="11"/>
        <v>0</v>
      </c>
      <c r="AD80" s="27">
        <f t="shared" si="11"/>
        <v>0</v>
      </c>
      <c r="AE80" s="27">
        <f t="shared" si="11"/>
        <v>0</v>
      </c>
    </row>
    <row r="81" spans="2:31">
      <c r="C81" s="3" t="s">
        <v>799</v>
      </c>
      <c r="E81" s="3" t="s">
        <v>29</v>
      </c>
      <c r="L81" s="150">
        <f t="shared" ref="L81:AE81" si="12">IF(SUM(L34:L43)=0,0,L46*SUMPRODUCT(L34:L43,$H$34:$H$43)/SUM(L34:L43))*(L77="")+L77</f>
        <v>0</v>
      </c>
      <c r="M81" s="150">
        <f t="shared" si="12"/>
        <v>0</v>
      </c>
      <c r="N81" s="150">
        <f t="shared" si="12"/>
        <v>0</v>
      </c>
      <c r="O81" s="150">
        <f t="shared" si="12"/>
        <v>0</v>
      </c>
      <c r="P81" s="150">
        <f t="shared" si="12"/>
        <v>11514</v>
      </c>
      <c r="Q81" s="150">
        <f t="shared" si="12"/>
        <v>11198</v>
      </c>
      <c r="R81" s="150">
        <f t="shared" si="12"/>
        <v>11177</v>
      </c>
      <c r="S81" s="150">
        <f t="shared" si="12"/>
        <v>12124.591916986037</v>
      </c>
      <c r="T81" s="150">
        <f t="shared" si="12"/>
        <v>11935.742758847677</v>
      </c>
      <c r="U81" s="150">
        <f t="shared" si="12"/>
        <v>11579.525682905214</v>
      </c>
      <c r="V81" s="150">
        <f t="shared" si="12"/>
        <v>0</v>
      </c>
      <c r="W81" s="150">
        <f t="shared" si="12"/>
        <v>0</v>
      </c>
      <c r="X81" s="150">
        <f t="shared" si="12"/>
        <v>0</v>
      </c>
      <c r="Y81" s="150">
        <f t="shared" si="12"/>
        <v>0</v>
      </c>
      <c r="Z81" s="150">
        <f t="shared" si="12"/>
        <v>0</v>
      </c>
      <c r="AA81" s="150">
        <f t="shared" si="12"/>
        <v>0</v>
      </c>
      <c r="AB81" s="150">
        <f t="shared" si="12"/>
        <v>0</v>
      </c>
      <c r="AC81" s="150">
        <f t="shared" si="12"/>
        <v>0</v>
      </c>
      <c r="AD81" s="150">
        <f t="shared" si="12"/>
        <v>0</v>
      </c>
      <c r="AE81" s="150">
        <f t="shared" si="12"/>
        <v>0</v>
      </c>
    </row>
    <row r="82" spans="2:31">
      <c r="C82" s="17"/>
      <c r="D82" s="17"/>
      <c r="E82" s="17"/>
      <c r="F82" s="17"/>
      <c r="G82" s="17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2:31">
      <c r="B83" s="152" t="s">
        <v>24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5" spans="2:31" ht="13.5" thickBot="1">
      <c r="C85" s="6" t="s">
        <v>816</v>
      </c>
      <c r="D85" s="7"/>
      <c r="E85" s="7"/>
      <c r="F85" s="7"/>
      <c r="G85" s="7"/>
      <c r="H85" s="7"/>
      <c r="I85" s="221"/>
      <c r="J85" s="7"/>
      <c r="K85" s="22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</row>
    <row r="86" spans="2:31" outlineLevel="1">
      <c r="C86" s="3" t="str">
        <f t="shared" ref="C86:C94" si="13">C65</f>
        <v>ATCOs</v>
      </c>
      <c r="E86" s="3" t="s">
        <v>29</v>
      </c>
      <c r="K86" s="156"/>
      <c r="L86" s="223">
        <v>0</v>
      </c>
      <c r="M86" s="223">
        <v>0</v>
      </c>
      <c r="N86" s="223">
        <v>0</v>
      </c>
      <c r="O86" s="223">
        <v>0</v>
      </c>
      <c r="P86" s="223">
        <v>0.14590038123930682</v>
      </c>
      <c r="Q86" s="223">
        <v>0.14591065025821182</v>
      </c>
      <c r="R86" s="223">
        <v>0.12934272979502004</v>
      </c>
      <c r="S86" s="223">
        <v>0.12932952356696403</v>
      </c>
      <c r="T86" s="223">
        <v>0.13093441642461856</v>
      </c>
      <c r="U86" s="223">
        <v>0.14175299906426042</v>
      </c>
      <c r="V86" s="223">
        <v>0</v>
      </c>
      <c r="W86" s="223">
        <v>0</v>
      </c>
      <c r="X86" s="223">
        <v>0</v>
      </c>
      <c r="Y86" s="223">
        <v>0</v>
      </c>
      <c r="Z86" s="223">
        <v>0</v>
      </c>
      <c r="AA86" s="223">
        <v>0</v>
      </c>
      <c r="AB86" s="223">
        <v>0</v>
      </c>
      <c r="AC86" s="223">
        <v>0</v>
      </c>
      <c r="AD86" s="223">
        <v>0</v>
      </c>
      <c r="AE86" s="223">
        <v>0</v>
      </c>
    </row>
    <row r="87" spans="2:31" outlineLevel="1">
      <c r="C87" s="3" t="str">
        <f t="shared" si="13"/>
        <v>Corp Serv</v>
      </c>
      <c r="E87" s="3" t="s">
        <v>29</v>
      </c>
      <c r="K87" s="156"/>
      <c r="L87" s="223">
        <v>0</v>
      </c>
      <c r="M87" s="223">
        <v>0</v>
      </c>
      <c r="N87" s="223">
        <v>0</v>
      </c>
      <c r="O87" s="223">
        <v>0</v>
      </c>
      <c r="P87" s="223">
        <v>0.15600000000000003</v>
      </c>
      <c r="Q87" s="223">
        <v>0.16099999999999981</v>
      </c>
      <c r="R87" s="223">
        <v>0.16700000000000004</v>
      </c>
      <c r="S87" s="223">
        <v>0.17200000000000004</v>
      </c>
      <c r="T87" s="223">
        <v>0.17200000000000015</v>
      </c>
      <c r="U87" s="223">
        <v>0.17200000000000004</v>
      </c>
      <c r="V87" s="223">
        <v>0</v>
      </c>
      <c r="W87" s="223">
        <v>0</v>
      </c>
      <c r="X87" s="223">
        <v>0</v>
      </c>
      <c r="Y87" s="223">
        <v>0</v>
      </c>
      <c r="Z87" s="223">
        <v>0</v>
      </c>
      <c r="AA87" s="223">
        <v>0</v>
      </c>
      <c r="AB87" s="223">
        <v>0</v>
      </c>
      <c r="AC87" s="223">
        <v>0</v>
      </c>
      <c r="AD87" s="223">
        <v>0</v>
      </c>
      <c r="AE87" s="223">
        <v>0</v>
      </c>
    </row>
    <row r="88" spans="2:31" outlineLevel="1">
      <c r="C88" s="3" t="str">
        <f t="shared" si="13"/>
        <v>Data Assistant</v>
      </c>
      <c r="E88" s="3" t="s">
        <v>29</v>
      </c>
      <c r="K88" s="156"/>
      <c r="L88" s="223">
        <v>0</v>
      </c>
      <c r="M88" s="223">
        <v>0</v>
      </c>
      <c r="N88" s="223">
        <v>0</v>
      </c>
      <c r="O88" s="223">
        <v>0</v>
      </c>
      <c r="P88" s="223">
        <v>0.11099999999999999</v>
      </c>
      <c r="Q88" s="223">
        <v>0.11799999999999988</v>
      </c>
      <c r="R88" s="223">
        <v>0.11899999999999977</v>
      </c>
      <c r="S88" s="223">
        <v>0.11799999999999999</v>
      </c>
      <c r="T88" s="223">
        <v>0.11900000000000022</v>
      </c>
      <c r="U88" s="223">
        <v>0.11899999999999999</v>
      </c>
      <c r="V88" s="223">
        <v>0</v>
      </c>
      <c r="W88" s="223">
        <v>0</v>
      </c>
      <c r="X88" s="223">
        <v>0</v>
      </c>
      <c r="Y88" s="223">
        <v>0</v>
      </c>
      <c r="Z88" s="223">
        <v>0</v>
      </c>
      <c r="AA88" s="223">
        <v>0</v>
      </c>
      <c r="AB88" s="223">
        <v>0</v>
      </c>
      <c r="AC88" s="223">
        <v>0</v>
      </c>
      <c r="AD88" s="223">
        <v>0</v>
      </c>
      <c r="AE88" s="223">
        <v>0</v>
      </c>
    </row>
    <row r="89" spans="2:31" outlineLevel="1">
      <c r="C89" s="3" t="str">
        <f t="shared" si="13"/>
        <v>Engineer</v>
      </c>
      <c r="E89" s="3" t="s">
        <v>29</v>
      </c>
      <c r="K89" s="156"/>
      <c r="L89" s="223">
        <v>0</v>
      </c>
      <c r="M89" s="223">
        <v>0</v>
      </c>
      <c r="N89" s="223">
        <v>0</v>
      </c>
      <c r="O89" s="223">
        <v>0</v>
      </c>
      <c r="P89" s="223">
        <v>0.13099999999999989</v>
      </c>
      <c r="Q89" s="223">
        <v>0.14100000000000001</v>
      </c>
      <c r="R89" s="223">
        <v>0.1399999999999999</v>
      </c>
      <c r="S89" s="223">
        <v>0.14100000000000001</v>
      </c>
      <c r="T89" s="223">
        <v>0.14100000000000013</v>
      </c>
      <c r="U89" s="223">
        <v>0.1409999999999999</v>
      </c>
      <c r="V89" s="223">
        <v>0</v>
      </c>
      <c r="W89" s="223">
        <v>0</v>
      </c>
      <c r="X89" s="223">
        <v>0</v>
      </c>
      <c r="Y89" s="223">
        <v>0</v>
      </c>
      <c r="Z89" s="223">
        <v>0</v>
      </c>
      <c r="AA89" s="223">
        <v>0</v>
      </c>
      <c r="AB89" s="223">
        <v>0</v>
      </c>
      <c r="AC89" s="223">
        <v>0</v>
      </c>
      <c r="AD89" s="223">
        <v>0</v>
      </c>
      <c r="AE89" s="223">
        <v>0</v>
      </c>
    </row>
    <row r="90" spans="2:31" outlineLevel="1">
      <c r="C90" s="3" t="str">
        <f t="shared" si="13"/>
        <v>Op Mgt Supp</v>
      </c>
      <c r="E90" s="3" t="s">
        <v>29</v>
      </c>
      <c r="K90" s="156"/>
      <c r="L90" s="223">
        <v>0</v>
      </c>
      <c r="M90" s="223">
        <v>0</v>
      </c>
      <c r="N90" s="223">
        <v>0</v>
      </c>
      <c r="O90" s="223">
        <v>0</v>
      </c>
      <c r="P90" s="223">
        <v>0.15000000000000002</v>
      </c>
      <c r="Q90" s="223">
        <v>0.14600000000000013</v>
      </c>
      <c r="R90" s="223">
        <v>0.14600000000000002</v>
      </c>
      <c r="S90" s="223">
        <v>0.15000000000000002</v>
      </c>
      <c r="T90" s="223">
        <v>0.15000000000000013</v>
      </c>
      <c r="U90" s="223">
        <v>0.14699999999999991</v>
      </c>
      <c r="V90" s="223">
        <v>0</v>
      </c>
      <c r="W90" s="223">
        <v>0</v>
      </c>
      <c r="X90" s="223">
        <v>0</v>
      </c>
      <c r="Y90" s="223">
        <v>0</v>
      </c>
      <c r="Z90" s="223">
        <v>0</v>
      </c>
      <c r="AA90" s="223">
        <v>0</v>
      </c>
      <c r="AB90" s="223">
        <v>0</v>
      </c>
      <c r="AC90" s="223">
        <v>0</v>
      </c>
      <c r="AD90" s="223">
        <v>0</v>
      </c>
      <c r="AE90" s="223">
        <v>0</v>
      </c>
    </row>
    <row r="91" spans="2:31" outlineLevel="1">
      <c r="C91" s="3" t="str">
        <f t="shared" si="13"/>
        <v>EWSS</v>
      </c>
      <c r="E91" s="3" t="s">
        <v>29</v>
      </c>
      <c r="K91" s="156"/>
      <c r="L91" s="223">
        <v>0</v>
      </c>
      <c r="M91" s="223">
        <v>0</v>
      </c>
      <c r="N91" s="223">
        <v>0</v>
      </c>
      <c r="O91" s="223">
        <v>0</v>
      </c>
      <c r="P91" s="223">
        <v>0</v>
      </c>
      <c r="Q91" s="223">
        <v>0.14237839936475982</v>
      </c>
      <c r="R91" s="223">
        <v>0.1393686125677126</v>
      </c>
      <c r="S91" s="223">
        <v>0</v>
      </c>
      <c r="T91" s="223">
        <v>0</v>
      </c>
      <c r="U91" s="223">
        <v>0</v>
      </c>
      <c r="V91" s="223">
        <v>0</v>
      </c>
      <c r="W91" s="223">
        <v>0</v>
      </c>
      <c r="X91" s="223">
        <v>0</v>
      </c>
      <c r="Y91" s="223">
        <v>0</v>
      </c>
      <c r="Z91" s="223">
        <v>0</v>
      </c>
      <c r="AA91" s="223">
        <v>0</v>
      </c>
      <c r="AB91" s="223">
        <v>0</v>
      </c>
      <c r="AC91" s="223">
        <v>0</v>
      </c>
      <c r="AD91" s="223">
        <v>0</v>
      </c>
      <c r="AE91" s="223">
        <v>0</v>
      </c>
    </row>
    <row r="92" spans="2:31" outlineLevel="1">
      <c r="C92" s="3" t="str">
        <f t="shared" si="13"/>
        <v>Overtime</v>
      </c>
      <c r="E92" s="3" t="s">
        <v>29</v>
      </c>
      <c r="K92" s="156"/>
      <c r="L92" s="223">
        <v>0</v>
      </c>
      <c r="M92" s="223">
        <v>0</v>
      </c>
      <c r="N92" s="223">
        <v>0</v>
      </c>
      <c r="O92" s="223">
        <v>0</v>
      </c>
      <c r="P92" s="223">
        <v>0.14590038123930682</v>
      </c>
      <c r="Q92" s="223">
        <v>0.14591065025821182</v>
      </c>
      <c r="R92" s="223">
        <v>0.12934272979502004</v>
      </c>
      <c r="S92" s="223">
        <v>0.12932952356696403</v>
      </c>
      <c r="T92" s="223">
        <v>0.13093441642461856</v>
      </c>
      <c r="U92" s="223">
        <v>0.14175299906426042</v>
      </c>
      <c r="V92" s="223">
        <v>0</v>
      </c>
      <c r="W92" s="223">
        <v>0</v>
      </c>
      <c r="X92" s="223">
        <v>0</v>
      </c>
      <c r="Y92" s="223">
        <v>0</v>
      </c>
      <c r="Z92" s="223">
        <v>0</v>
      </c>
      <c r="AA92" s="223">
        <v>0</v>
      </c>
      <c r="AB92" s="223">
        <v>0</v>
      </c>
      <c r="AC92" s="223">
        <v>0</v>
      </c>
      <c r="AD92" s="223">
        <v>0</v>
      </c>
      <c r="AE92" s="223">
        <v>0</v>
      </c>
    </row>
    <row r="93" spans="2:31" outlineLevel="1">
      <c r="C93" s="3" t="str">
        <f t="shared" si="13"/>
        <v>&lt;&lt; add cost &gt;&gt;</v>
      </c>
      <c r="E93" s="3" t="s">
        <v>29</v>
      </c>
      <c r="K93" s="156"/>
      <c r="L93" s="223">
        <v>0</v>
      </c>
      <c r="M93" s="223">
        <v>0</v>
      </c>
      <c r="N93" s="223">
        <v>0</v>
      </c>
      <c r="O93" s="223">
        <v>0</v>
      </c>
      <c r="P93" s="223">
        <v>0</v>
      </c>
      <c r="Q93" s="223">
        <v>0</v>
      </c>
      <c r="R93" s="223">
        <v>0</v>
      </c>
      <c r="S93" s="223">
        <v>0</v>
      </c>
      <c r="T93" s="223">
        <v>0</v>
      </c>
      <c r="U93" s="223">
        <v>0</v>
      </c>
      <c r="V93" s="223">
        <v>0</v>
      </c>
      <c r="W93" s="223">
        <v>0</v>
      </c>
      <c r="X93" s="223">
        <v>0</v>
      </c>
      <c r="Y93" s="223">
        <v>0</v>
      </c>
      <c r="Z93" s="223">
        <v>0</v>
      </c>
      <c r="AA93" s="223">
        <v>0</v>
      </c>
      <c r="AB93" s="223">
        <v>0</v>
      </c>
      <c r="AC93" s="223">
        <v>0</v>
      </c>
      <c r="AD93" s="223">
        <v>0</v>
      </c>
      <c r="AE93" s="223">
        <v>0</v>
      </c>
    </row>
    <row r="94" spans="2:31" outlineLevel="1">
      <c r="C94" s="3" t="str">
        <f t="shared" si="13"/>
        <v>&lt;&lt; add cost &gt;&gt;</v>
      </c>
      <c r="E94" s="3" t="s">
        <v>29</v>
      </c>
      <c r="K94" s="156"/>
      <c r="L94" s="223">
        <v>0</v>
      </c>
      <c r="M94" s="223">
        <v>0</v>
      </c>
      <c r="N94" s="223">
        <v>0</v>
      </c>
      <c r="O94" s="223">
        <v>0</v>
      </c>
      <c r="P94" s="223">
        <v>0</v>
      </c>
      <c r="Q94" s="223">
        <v>0</v>
      </c>
      <c r="R94" s="223">
        <v>0</v>
      </c>
      <c r="S94" s="223">
        <v>0</v>
      </c>
      <c r="T94" s="223">
        <v>0</v>
      </c>
      <c r="U94" s="223">
        <v>0</v>
      </c>
      <c r="V94" s="223">
        <v>0</v>
      </c>
      <c r="W94" s="223">
        <v>0</v>
      </c>
      <c r="X94" s="223">
        <v>0</v>
      </c>
      <c r="Y94" s="223">
        <v>0</v>
      </c>
      <c r="Z94" s="223">
        <v>0</v>
      </c>
      <c r="AA94" s="223">
        <v>0</v>
      </c>
      <c r="AB94" s="223">
        <v>0</v>
      </c>
      <c r="AC94" s="223">
        <v>0</v>
      </c>
      <c r="AD94" s="223">
        <v>0</v>
      </c>
      <c r="AE94" s="223">
        <v>0</v>
      </c>
    </row>
    <row r="96" spans="2:31" ht="13.5" thickBot="1">
      <c r="C96" s="6" t="s">
        <v>797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2">
      <c r="C97" s="3" t="s">
        <v>796</v>
      </c>
      <c r="E97" s="3" t="s">
        <v>29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pans="1:32">
      <c r="C98" s="39" t="s">
        <v>799</v>
      </c>
      <c r="D98" s="39"/>
      <c r="E98" s="39" t="s">
        <v>29</v>
      </c>
      <c r="F98" s="39"/>
      <c r="G98" s="39"/>
      <c r="H98" s="39"/>
      <c r="I98" s="39"/>
      <c r="J98" s="39"/>
      <c r="K98" s="39"/>
      <c r="L98" s="228"/>
      <c r="M98" s="228"/>
      <c r="N98" s="228"/>
      <c r="O98" s="228"/>
      <c r="P98" s="227">
        <f>'ANSP Opex (CAR)'!P98</f>
        <v>1949</v>
      </c>
      <c r="Q98" s="227">
        <f>'ANSP Opex (CAR)'!Q98</f>
        <v>1883</v>
      </c>
      <c r="R98" s="227">
        <f>'ANSP Opex (CAR)'!R98</f>
        <v>1689</v>
      </c>
      <c r="S98" s="227">
        <f>S$15*'ANSP Opex (CAR)'!S98/'ANSP Opex (CAR)'!S$15</f>
        <v>1849.9377357875603</v>
      </c>
      <c r="T98" s="227">
        <f>T$15*'ANSP Opex (CAR)'!T98/'ANSP Opex (CAR)'!T$15</f>
        <v>1878.7372122934346</v>
      </c>
      <c r="U98" s="227">
        <f>U$15*'ANSP Opex (CAR)'!U98/'ANSP Opex (CAR)'!U$15</f>
        <v>1923.0193545792872</v>
      </c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100" spans="1:32" ht="13.5" thickBot="1">
      <c r="C100" s="6" t="s">
        <v>815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2">
      <c r="C101" s="3" t="s">
        <v>796</v>
      </c>
      <c r="E101" s="3" t="s">
        <v>29</v>
      </c>
      <c r="L101" s="27">
        <f>(SUMPRODUCT(L34:L42,L86:L94)*(L97="")+L97)</f>
        <v>0</v>
      </c>
      <c r="M101" s="27">
        <f t="shared" ref="M101:AE101" si="14">(SUMPRODUCT(M34:M42,M86:M94)*(M97="")+M97)</f>
        <v>0</v>
      </c>
      <c r="N101" s="27">
        <f t="shared" si="14"/>
        <v>0</v>
      </c>
      <c r="O101" s="27">
        <f t="shared" si="14"/>
        <v>0</v>
      </c>
      <c r="P101" s="27">
        <f t="shared" si="14"/>
        <v>9708.6958020540642</v>
      </c>
      <c r="Q101" s="27">
        <f t="shared" si="14"/>
        <v>9039.6928709659296</v>
      </c>
      <c r="R101" s="27">
        <f t="shared" si="14"/>
        <v>7608.1373829532649</v>
      </c>
      <c r="S101" s="27">
        <f t="shared" si="14"/>
        <v>9145.8564487709136</v>
      </c>
      <c r="T101" s="27">
        <f t="shared" si="14"/>
        <v>9394.4650339662912</v>
      </c>
      <c r="U101" s="27">
        <f t="shared" si="14"/>
        <v>9977.9375157700069</v>
      </c>
      <c r="V101" s="27">
        <f t="shared" si="14"/>
        <v>0</v>
      </c>
      <c r="W101" s="27">
        <f t="shared" si="14"/>
        <v>0</v>
      </c>
      <c r="X101" s="27">
        <f t="shared" si="14"/>
        <v>0</v>
      </c>
      <c r="Y101" s="27">
        <f t="shared" si="14"/>
        <v>0</v>
      </c>
      <c r="Z101" s="27">
        <f t="shared" si="14"/>
        <v>0</v>
      </c>
      <c r="AA101" s="27">
        <f t="shared" si="14"/>
        <v>0</v>
      </c>
      <c r="AB101" s="27">
        <f t="shared" si="14"/>
        <v>0</v>
      </c>
      <c r="AC101" s="27">
        <f t="shared" si="14"/>
        <v>0</v>
      </c>
      <c r="AD101" s="27">
        <f t="shared" si="14"/>
        <v>0</v>
      </c>
      <c r="AE101" s="27">
        <f t="shared" si="14"/>
        <v>0</v>
      </c>
    </row>
    <row r="102" spans="1:32">
      <c r="C102" s="3" t="s">
        <v>799</v>
      </c>
      <c r="E102" s="3" t="s">
        <v>29</v>
      </c>
      <c r="L102" s="150">
        <f t="shared" ref="L102:AE102" si="15">IF(SUM(L34:L43)=0,0,L46*SUMPRODUCT(L34:L43,$H$34:$H$43)/SUM(L34:L43))*(L98="")+L98</f>
        <v>0</v>
      </c>
      <c r="M102" s="150">
        <f t="shared" si="15"/>
        <v>0</v>
      </c>
      <c r="N102" s="150">
        <f t="shared" si="15"/>
        <v>0</v>
      </c>
      <c r="O102" s="150">
        <f t="shared" si="15"/>
        <v>0</v>
      </c>
      <c r="P102" s="150">
        <f t="shared" si="15"/>
        <v>1949</v>
      </c>
      <c r="Q102" s="150">
        <f t="shared" si="15"/>
        <v>1883</v>
      </c>
      <c r="R102" s="150">
        <f t="shared" si="15"/>
        <v>1689</v>
      </c>
      <c r="S102" s="150">
        <f t="shared" si="15"/>
        <v>1849.9377357875603</v>
      </c>
      <c r="T102" s="150">
        <f t="shared" si="15"/>
        <v>1878.7372122934346</v>
      </c>
      <c r="U102" s="150">
        <f t="shared" si="15"/>
        <v>1923.0193545792872</v>
      </c>
      <c r="V102" s="150">
        <f t="shared" si="15"/>
        <v>0</v>
      </c>
      <c r="W102" s="150">
        <f t="shared" si="15"/>
        <v>0</v>
      </c>
      <c r="X102" s="150">
        <f t="shared" si="15"/>
        <v>0</v>
      </c>
      <c r="Y102" s="150">
        <f t="shared" si="15"/>
        <v>0</v>
      </c>
      <c r="Z102" s="150">
        <f t="shared" si="15"/>
        <v>0</v>
      </c>
      <c r="AA102" s="150">
        <f t="shared" si="15"/>
        <v>0</v>
      </c>
      <c r="AB102" s="150">
        <f t="shared" si="15"/>
        <v>0</v>
      </c>
      <c r="AC102" s="150">
        <f t="shared" si="15"/>
        <v>0</v>
      </c>
      <c r="AD102" s="150">
        <f t="shared" si="15"/>
        <v>0</v>
      </c>
      <c r="AE102" s="150">
        <f t="shared" si="15"/>
        <v>0</v>
      </c>
    </row>
    <row r="103" spans="1:32">
      <c r="C103" s="17"/>
      <c r="D103" s="17"/>
      <c r="E103" s="17"/>
      <c r="F103" s="17"/>
      <c r="G103" s="17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2">
      <c r="B104" s="20" t="s">
        <v>817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6" spans="1:32" ht="13.5" thickBot="1">
      <c r="C106" s="6" t="s">
        <v>797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2">
      <c r="C107" s="3" t="s">
        <v>818</v>
      </c>
      <c r="E107" s="3" t="s">
        <v>29</v>
      </c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</row>
    <row r="109" spans="1:32" s="7" customFormat="1" ht="13.5" thickBot="1">
      <c r="A109" s="3"/>
      <c r="B109" s="3"/>
      <c r="C109" s="6" t="s">
        <v>817</v>
      </c>
      <c r="I109" s="221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3"/>
    </row>
    <row r="110" spans="1:32">
      <c r="C110" s="1593" t="s">
        <v>819</v>
      </c>
      <c r="E110" s="1593" t="s">
        <v>29</v>
      </c>
      <c r="F110" s="1593" t="s">
        <v>814</v>
      </c>
      <c r="G110" s="1608" t="s">
        <v>820</v>
      </c>
      <c r="H110" s="1063">
        <f>IF(G110="","",IF(ISNA(MATCH(G110,G$109:G109,0)),1+MAX(H$109:H109),0))</f>
        <v>1</v>
      </c>
      <c r="I110" s="220"/>
      <c r="J110" s="220"/>
      <c r="K110" s="148"/>
      <c r="L110" s="176">
        <v>0</v>
      </c>
      <c r="M110" s="176">
        <v>0</v>
      </c>
      <c r="N110" s="176">
        <v>0</v>
      </c>
      <c r="O110" s="176">
        <v>0</v>
      </c>
      <c r="P110" s="173">
        <v>1284</v>
      </c>
      <c r="Q110" s="173">
        <v>1095.252</v>
      </c>
      <c r="R110" s="173">
        <v>1185.1320000000001</v>
      </c>
      <c r="S110" s="173">
        <v>1284</v>
      </c>
      <c r="T110" s="173">
        <v>1284</v>
      </c>
      <c r="U110" s="173">
        <v>1284</v>
      </c>
      <c r="V110" s="176">
        <v>0</v>
      </c>
      <c r="W110" s="176">
        <v>0</v>
      </c>
      <c r="X110" s="176">
        <v>0</v>
      </c>
      <c r="Y110" s="176">
        <v>0</v>
      </c>
      <c r="Z110" s="176">
        <v>0</v>
      </c>
      <c r="AA110" s="176">
        <v>0</v>
      </c>
      <c r="AB110" s="176">
        <v>0</v>
      </c>
      <c r="AC110" s="176">
        <v>0</v>
      </c>
      <c r="AD110" s="176">
        <v>0</v>
      </c>
      <c r="AE110" s="176">
        <v>0</v>
      </c>
    </row>
    <row r="111" spans="1:32">
      <c r="C111" s="1593" t="s">
        <v>821</v>
      </c>
      <c r="E111" s="1593" t="s">
        <v>29</v>
      </c>
      <c r="F111" s="1593" t="s">
        <v>814</v>
      </c>
      <c r="G111" s="1610" t="s">
        <v>822</v>
      </c>
      <c r="H111" s="1063">
        <f>IF(G111="","",IF(ISNA(MATCH(G111,G$109:G110,0)),1+MAX(H$109:H110),0))</f>
        <v>2</v>
      </c>
      <c r="I111" s="220"/>
      <c r="J111" s="220"/>
      <c r="K111" s="148"/>
      <c r="L111" s="176">
        <v>0</v>
      </c>
      <c r="M111" s="176">
        <v>0</v>
      </c>
      <c r="N111" s="176">
        <v>0</v>
      </c>
      <c r="O111" s="176">
        <v>0</v>
      </c>
      <c r="P111" s="173">
        <v>0</v>
      </c>
      <c r="Q111" s="173">
        <v>0</v>
      </c>
      <c r="R111" s="173">
        <v>0</v>
      </c>
      <c r="S111" s="173">
        <v>0</v>
      </c>
      <c r="T111" s="173">
        <v>0</v>
      </c>
      <c r="U111" s="173">
        <v>0</v>
      </c>
      <c r="V111" s="176">
        <v>0</v>
      </c>
      <c r="W111" s="176">
        <v>0</v>
      </c>
      <c r="X111" s="176">
        <v>0</v>
      </c>
      <c r="Y111" s="176">
        <v>0</v>
      </c>
      <c r="Z111" s="176">
        <v>0</v>
      </c>
      <c r="AA111" s="176">
        <v>0</v>
      </c>
      <c r="AB111" s="176">
        <v>0</v>
      </c>
      <c r="AC111" s="176">
        <v>0</v>
      </c>
      <c r="AD111" s="176">
        <v>0</v>
      </c>
      <c r="AE111" s="176">
        <v>0</v>
      </c>
    </row>
    <row r="112" spans="1:32">
      <c r="C112" s="1593" t="s">
        <v>823</v>
      </c>
      <c r="E112" s="1593" t="s">
        <v>29</v>
      </c>
      <c r="F112" s="1593" t="s">
        <v>814</v>
      </c>
      <c r="G112" s="1610" t="s">
        <v>820</v>
      </c>
      <c r="H112" s="1063">
        <f>IF(G112="","",IF(ISNA(MATCH(G112,G$109:G111,0)),1+MAX(H$109:H111),0))</f>
        <v>0</v>
      </c>
      <c r="I112" s="220"/>
      <c r="J112" s="220"/>
      <c r="K112" s="148"/>
      <c r="L112" s="176">
        <v>0</v>
      </c>
      <c r="M112" s="176">
        <v>0</v>
      </c>
      <c r="N112" s="176">
        <v>0</v>
      </c>
      <c r="O112" s="176">
        <v>0</v>
      </c>
      <c r="P112" s="173">
        <v>480</v>
      </c>
      <c r="Q112" s="173">
        <v>409.44</v>
      </c>
      <c r="R112" s="173">
        <v>443.04</v>
      </c>
      <c r="S112" s="173">
        <v>480</v>
      </c>
      <c r="T112" s="173">
        <v>480</v>
      </c>
      <c r="U112" s="173">
        <v>480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176">
        <v>0</v>
      </c>
      <c r="AD112" s="176">
        <v>0</v>
      </c>
      <c r="AE112" s="176">
        <v>0</v>
      </c>
    </row>
    <row r="113" spans="3:31">
      <c r="C113" s="1593" t="s">
        <v>825</v>
      </c>
      <c r="E113" s="1593" t="s">
        <v>29</v>
      </c>
      <c r="F113" s="1593" t="s">
        <v>814</v>
      </c>
      <c r="G113" s="1610" t="s">
        <v>825</v>
      </c>
      <c r="H113" s="1063">
        <f>IF(G113="","",IF(ISNA(MATCH(G113,G$109:G112,0)),1+MAX(H$109:H112),0))</f>
        <v>3</v>
      </c>
      <c r="I113" s="220"/>
      <c r="J113" s="220"/>
      <c r="K113" s="148"/>
      <c r="L113" s="176">
        <v>0</v>
      </c>
      <c r="M113" s="176">
        <v>0</v>
      </c>
      <c r="N113" s="176">
        <v>0</v>
      </c>
      <c r="O113" s="176">
        <v>0</v>
      </c>
      <c r="P113" s="173">
        <v>0</v>
      </c>
      <c r="Q113" s="173">
        <v>0</v>
      </c>
      <c r="R113" s="173">
        <v>0</v>
      </c>
      <c r="S113" s="173">
        <v>0</v>
      </c>
      <c r="T113" s="173">
        <v>0</v>
      </c>
      <c r="U113" s="173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176">
        <v>0</v>
      </c>
      <c r="AD113" s="176">
        <v>0</v>
      </c>
      <c r="AE113" s="176">
        <v>0</v>
      </c>
    </row>
    <row r="114" spans="3:31">
      <c r="C114" s="1593" t="s">
        <v>826</v>
      </c>
      <c r="E114" s="1593" t="s">
        <v>29</v>
      </c>
      <c r="F114" s="1593" t="s">
        <v>814</v>
      </c>
      <c r="G114" s="1610" t="s">
        <v>827</v>
      </c>
      <c r="H114" s="1063">
        <f>IF(G114="","",IF(ISNA(MATCH(G114,G$109:G113,0)),1+MAX(H$109:H113),0))</f>
        <v>4</v>
      </c>
      <c r="I114" s="220"/>
      <c r="J114" s="220"/>
      <c r="K114" s="148"/>
      <c r="L114" s="176">
        <v>0</v>
      </c>
      <c r="M114" s="176">
        <v>0</v>
      </c>
      <c r="N114" s="176">
        <v>0</v>
      </c>
      <c r="O114" s="176">
        <v>0</v>
      </c>
      <c r="P114" s="173">
        <v>4185</v>
      </c>
      <c r="Q114" s="173">
        <v>3569.8049999999998</v>
      </c>
      <c r="R114" s="173">
        <v>3862.7550000000001</v>
      </c>
      <c r="S114" s="173">
        <v>4574.7071999999998</v>
      </c>
      <c r="T114" s="173">
        <v>4519.8107136000008</v>
      </c>
      <c r="U114" s="173">
        <v>4461.0531743232004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176">
        <v>0</v>
      </c>
      <c r="AD114" s="176">
        <v>0</v>
      </c>
      <c r="AE114" s="176">
        <v>0</v>
      </c>
    </row>
    <row r="115" spans="3:31">
      <c r="C115" s="1593" t="s">
        <v>828</v>
      </c>
      <c r="E115" s="1593" t="s">
        <v>29</v>
      </c>
      <c r="F115" s="1593" t="s">
        <v>814</v>
      </c>
      <c r="G115" s="1610" t="s">
        <v>827</v>
      </c>
      <c r="H115" s="1063">
        <f>IF(G115="","",IF(ISNA(MATCH(G115,G$109:G114,0)),1+MAX(H$109:H114),0))</f>
        <v>0</v>
      </c>
      <c r="I115" s="220"/>
      <c r="J115" s="220"/>
      <c r="K115" s="148"/>
      <c r="L115" s="176">
        <v>0</v>
      </c>
      <c r="M115" s="176">
        <v>0</v>
      </c>
      <c r="N115" s="176">
        <v>0</v>
      </c>
      <c r="O115" s="176">
        <v>0</v>
      </c>
      <c r="P115" s="173">
        <v>779</v>
      </c>
      <c r="Q115" s="173">
        <v>664.48699999999997</v>
      </c>
      <c r="R115" s="173">
        <v>719.01700000000005</v>
      </c>
      <c r="S115" s="173">
        <v>872.48000000000013</v>
      </c>
      <c r="T115" s="173">
        <v>872.48000000000013</v>
      </c>
      <c r="U115" s="173">
        <v>872.48000000000013</v>
      </c>
      <c r="V115" s="176">
        <v>0</v>
      </c>
      <c r="W115" s="176">
        <v>0</v>
      </c>
      <c r="X115" s="176">
        <v>0</v>
      </c>
      <c r="Y115" s="176">
        <v>0</v>
      </c>
      <c r="Z115" s="176">
        <v>0</v>
      </c>
      <c r="AA115" s="176">
        <v>0</v>
      </c>
      <c r="AB115" s="176">
        <v>0</v>
      </c>
      <c r="AC115" s="176">
        <v>0</v>
      </c>
      <c r="AD115" s="176">
        <v>0</v>
      </c>
      <c r="AE115" s="176">
        <v>0</v>
      </c>
    </row>
    <row r="116" spans="3:31">
      <c r="C116" s="1593" t="s">
        <v>829</v>
      </c>
      <c r="E116" s="1593" t="s">
        <v>29</v>
      </c>
      <c r="F116" s="1593" t="s">
        <v>814</v>
      </c>
      <c r="G116" s="1610" t="s">
        <v>827</v>
      </c>
      <c r="H116" s="1063">
        <f>IF(G116="","",IF(ISNA(MATCH(G116,G$109:G115,0)),1+MAX(H$109:H115),0))</f>
        <v>0</v>
      </c>
      <c r="I116" s="220"/>
      <c r="J116" s="220"/>
      <c r="K116" s="148"/>
      <c r="L116" s="176">
        <v>0</v>
      </c>
      <c r="M116" s="176">
        <v>0</v>
      </c>
      <c r="N116" s="176">
        <v>0</v>
      </c>
      <c r="O116" s="176">
        <v>0</v>
      </c>
      <c r="P116" s="173">
        <v>833</v>
      </c>
      <c r="Q116" s="173">
        <v>710.54899999999998</v>
      </c>
      <c r="R116" s="173">
        <v>768.85900000000004</v>
      </c>
      <c r="S116" s="173">
        <v>833</v>
      </c>
      <c r="T116" s="173">
        <v>833</v>
      </c>
      <c r="U116" s="173">
        <v>833</v>
      </c>
      <c r="V116" s="176">
        <v>0</v>
      </c>
      <c r="W116" s="176">
        <v>0</v>
      </c>
      <c r="X116" s="176">
        <v>0</v>
      </c>
      <c r="Y116" s="176">
        <v>0</v>
      </c>
      <c r="Z116" s="176">
        <v>0</v>
      </c>
      <c r="AA116" s="176">
        <v>0</v>
      </c>
      <c r="AB116" s="176">
        <v>0</v>
      </c>
      <c r="AC116" s="176">
        <v>0</v>
      </c>
      <c r="AD116" s="176">
        <v>0</v>
      </c>
      <c r="AE116" s="176">
        <v>0</v>
      </c>
    </row>
    <row r="117" spans="3:31">
      <c r="C117" s="1593" t="s">
        <v>830</v>
      </c>
      <c r="E117" s="1593" t="s">
        <v>29</v>
      </c>
      <c r="F117" s="1593" t="s">
        <v>814</v>
      </c>
      <c r="G117" s="1610" t="s">
        <v>827</v>
      </c>
      <c r="H117" s="1063">
        <f>IF(G117="","",IF(ISNA(MATCH(G117,G$109:G116,0)),1+MAX(H$109:H116),0))</f>
        <v>0</v>
      </c>
      <c r="I117" s="220"/>
      <c r="J117" s="220"/>
      <c r="K117" s="148"/>
      <c r="L117" s="176">
        <v>0</v>
      </c>
      <c r="M117" s="176">
        <v>0</v>
      </c>
      <c r="N117" s="176">
        <v>0</v>
      </c>
      <c r="O117" s="176">
        <v>0</v>
      </c>
      <c r="P117" s="173">
        <v>0</v>
      </c>
      <c r="Q117" s="173">
        <v>0</v>
      </c>
      <c r="R117" s="173">
        <v>0</v>
      </c>
      <c r="S117" s="173">
        <v>0</v>
      </c>
      <c r="T117" s="173">
        <v>0</v>
      </c>
      <c r="U117" s="173">
        <v>0</v>
      </c>
      <c r="V117" s="176">
        <v>0</v>
      </c>
      <c r="W117" s="176">
        <v>0</v>
      </c>
      <c r="X117" s="176">
        <v>0</v>
      </c>
      <c r="Y117" s="176">
        <v>0</v>
      </c>
      <c r="Z117" s="176">
        <v>0</v>
      </c>
      <c r="AA117" s="176">
        <v>0</v>
      </c>
      <c r="AB117" s="176">
        <v>0</v>
      </c>
      <c r="AC117" s="176">
        <v>0</v>
      </c>
      <c r="AD117" s="176">
        <v>0</v>
      </c>
      <c r="AE117" s="176">
        <v>0</v>
      </c>
    </row>
    <row r="118" spans="3:31">
      <c r="C118" s="1593" t="s">
        <v>831</v>
      </c>
      <c r="E118" s="1593" t="s">
        <v>29</v>
      </c>
      <c r="F118" s="1593" t="s">
        <v>814</v>
      </c>
      <c r="G118" s="1610" t="s">
        <v>827</v>
      </c>
      <c r="H118" s="1063">
        <f>IF(G118="","",IF(ISNA(MATCH(G118,G$109:G117,0)),1+MAX(H$109:H117),0))</f>
        <v>0</v>
      </c>
      <c r="I118" s="220"/>
      <c r="J118" s="220"/>
      <c r="K118" s="148"/>
      <c r="L118" s="176">
        <v>0</v>
      </c>
      <c r="M118" s="176">
        <v>0</v>
      </c>
      <c r="N118" s="176">
        <v>0</v>
      </c>
      <c r="O118" s="176">
        <v>0</v>
      </c>
      <c r="P118" s="173">
        <v>435</v>
      </c>
      <c r="Q118" s="173">
        <v>371.05500000000001</v>
      </c>
      <c r="R118" s="173">
        <v>401.505</v>
      </c>
      <c r="S118" s="173">
        <v>435</v>
      </c>
      <c r="T118" s="173">
        <v>435</v>
      </c>
      <c r="U118" s="173">
        <v>435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176">
        <v>0</v>
      </c>
      <c r="AD118" s="176">
        <v>0</v>
      </c>
      <c r="AE118" s="176">
        <v>0</v>
      </c>
    </row>
    <row r="119" spans="3:31">
      <c r="C119" s="1593" t="s">
        <v>832</v>
      </c>
      <c r="E119" s="1593" t="s">
        <v>29</v>
      </c>
      <c r="F119" s="1593" t="s">
        <v>814</v>
      </c>
      <c r="G119" s="1610" t="s">
        <v>820</v>
      </c>
      <c r="H119" s="1063">
        <f>IF(G119="","",IF(ISNA(MATCH(G119,G$109:G118,0)),1+MAX(H$109:H118),0))</f>
        <v>0</v>
      </c>
      <c r="I119" s="220"/>
      <c r="J119" s="220"/>
      <c r="K119" s="148"/>
      <c r="L119" s="176">
        <v>0</v>
      </c>
      <c r="M119" s="176">
        <v>0</v>
      </c>
      <c r="N119" s="176">
        <v>0</v>
      </c>
      <c r="O119" s="176">
        <v>0</v>
      </c>
      <c r="P119" s="173">
        <v>453</v>
      </c>
      <c r="Q119" s="173">
        <v>386.40899999999999</v>
      </c>
      <c r="R119" s="173">
        <v>418.11900000000003</v>
      </c>
      <c r="S119" s="173">
        <v>453</v>
      </c>
      <c r="T119" s="173">
        <v>453</v>
      </c>
      <c r="U119" s="173">
        <v>453</v>
      </c>
      <c r="V119" s="176">
        <v>0</v>
      </c>
      <c r="W119" s="176">
        <v>0</v>
      </c>
      <c r="X119" s="176">
        <v>0</v>
      </c>
      <c r="Y119" s="176">
        <v>0</v>
      </c>
      <c r="Z119" s="176">
        <v>0</v>
      </c>
      <c r="AA119" s="176">
        <v>0</v>
      </c>
      <c r="AB119" s="176">
        <v>0</v>
      </c>
      <c r="AC119" s="176">
        <v>0</v>
      </c>
      <c r="AD119" s="176">
        <v>0</v>
      </c>
      <c r="AE119" s="176">
        <v>0</v>
      </c>
    </row>
    <row r="120" spans="3:31">
      <c r="C120" s="1593" t="s">
        <v>833</v>
      </c>
      <c r="E120" s="1593" t="s">
        <v>29</v>
      </c>
      <c r="F120" s="1593" t="s">
        <v>814</v>
      </c>
      <c r="G120" s="1610" t="s">
        <v>834</v>
      </c>
      <c r="H120" s="1063">
        <f>IF(G120="","",IF(ISNA(MATCH(G120,G$109:G119,0)),1+MAX(H$109:H119),0))</f>
        <v>5</v>
      </c>
      <c r="I120" s="220"/>
      <c r="J120" s="220"/>
      <c r="K120" s="148"/>
      <c r="L120" s="176">
        <v>0</v>
      </c>
      <c r="M120" s="176">
        <v>0</v>
      </c>
      <c r="N120" s="176">
        <v>0</v>
      </c>
      <c r="O120" s="176">
        <v>0</v>
      </c>
      <c r="P120" s="173">
        <v>2574</v>
      </c>
      <c r="Q120" s="173">
        <v>2195.6219999999998</v>
      </c>
      <c r="R120" s="173">
        <v>2375.8020000000001</v>
      </c>
      <c r="S120" s="173">
        <v>2574</v>
      </c>
      <c r="T120" s="173">
        <v>2574</v>
      </c>
      <c r="U120" s="173">
        <v>2574</v>
      </c>
      <c r="V120" s="176">
        <v>0</v>
      </c>
      <c r="W120" s="176">
        <v>0</v>
      </c>
      <c r="X120" s="176">
        <v>0</v>
      </c>
      <c r="Y120" s="176">
        <v>0</v>
      </c>
      <c r="Z120" s="176">
        <v>0</v>
      </c>
      <c r="AA120" s="176">
        <v>0</v>
      </c>
      <c r="AB120" s="176">
        <v>0</v>
      </c>
      <c r="AC120" s="176">
        <v>0</v>
      </c>
      <c r="AD120" s="176">
        <v>0</v>
      </c>
      <c r="AE120" s="176">
        <v>0</v>
      </c>
    </row>
    <row r="121" spans="3:31">
      <c r="C121" s="1593" t="s">
        <v>835</v>
      </c>
      <c r="E121" s="1593" t="s">
        <v>29</v>
      </c>
      <c r="F121" s="1593" t="s">
        <v>814</v>
      </c>
      <c r="G121" s="1610" t="s">
        <v>835</v>
      </c>
      <c r="H121" s="1063">
        <f>IF(G121="","",IF(ISNA(MATCH(G121,G$109:G120,0)),1+MAX(H$109:H120),0))</f>
        <v>6</v>
      </c>
      <c r="I121" s="220"/>
      <c r="J121" s="220"/>
      <c r="K121" s="148"/>
      <c r="L121" s="176">
        <v>0</v>
      </c>
      <c r="M121" s="176">
        <v>0</v>
      </c>
      <c r="N121" s="176">
        <v>0</v>
      </c>
      <c r="O121" s="176">
        <v>0</v>
      </c>
      <c r="P121" s="173">
        <v>1660</v>
      </c>
      <c r="Q121" s="173">
        <v>1415.98</v>
      </c>
      <c r="R121" s="173">
        <v>1532.18</v>
      </c>
      <c r="S121" s="173">
        <v>1548.6139999999998</v>
      </c>
      <c r="T121" s="173">
        <v>1613.0363424</v>
      </c>
      <c r="U121" s="173">
        <v>1683.5260305628799</v>
      </c>
      <c r="V121" s="176">
        <v>0</v>
      </c>
      <c r="W121" s="176">
        <v>0</v>
      </c>
      <c r="X121" s="176">
        <v>0</v>
      </c>
      <c r="Y121" s="176">
        <v>0</v>
      </c>
      <c r="Z121" s="176">
        <v>0</v>
      </c>
      <c r="AA121" s="176">
        <v>0</v>
      </c>
      <c r="AB121" s="176">
        <v>0</v>
      </c>
      <c r="AC121" s="176">
        <v>0</v>
      </c>
      <c r="AD121" s="176">
        <v>0</v>
      </c>
      <c r="AE121" s="176">
        <v>0</v>
      </c>
    </row>
    <row r="122" spans="3:31">
      <c r="C122" s="1593" t="s">
        <v>836</v>
      </c>
      <c r="E122" s="1593" t="s">
        <v>29</v>
      </c>
      <c r="F122" s="1593" t="s">
        <v>814</v>
      </c>
      <c r="G122" s="1610" t="s">
        <v>820</v>
      </c>
      <c r="H122" s="1063">
        <f>IF(G122="","",IF(ISNA(MATCH(G122,G$109:G121,0)),1+MAX(H$109:H121),0))</f>
        <v>0</v>
      </c>
      <c r="I122" s="220"/>
      <c r="J122" s="220"/>
      <c r="K122" s="148"/>
      <c r="L122" s="176">
        <v>0</v>
      </c>
      <c r="M122" s="176">
        <v>0</v>
      </c>
      <c r="N122" s="176">
        <v>0</v>
      </c>
      <c r="O122" s="176">
        <v>0</v>
      </c>
      <c r="P122" s="173">
        <v>0</v>
      </c>
      <c r="Q122" s="173">
        <v>0</v>
      </c>
      <c r="R122" s="173">
        <v>0</v>
      </c>
      <c r="S122" s="173">
        <v>190</v>
      </c>
      <c r="T122" s="173">
        <v>280</v>
      </c>
      <c r="U122" s="173">
        <v>274</v>
      </c>
      <c r="V122" s="176">
        <v>0</v>
      </c>
      <c r="W122" s="176">
        <v>0</v>
      </c>
      <c r="X122" s="176">
        <v>0</v>
      </c>
      <c r="Y122" s="176">
        <v>0</v>
      </c>
      <c r="Z122" s="176">
        <v>0</v>
      </c>
      <c r="AA122" s="176">
        <v>0</v>
      </c>
      <c r="AB122" s="176">
        <v>0</v>
      </c>
      <c r="AC122" s="176">
        <v>0</v>
      </c>
      <c r="AD122" s="176">
        <v>0</v>
      </c>
      <c r="AE122" s="176">
        <v>0</v>
      </c>
    </row>
    <row r="123" spans="3:31">
      <c r="C123" s="1593" t="s">
        <v>837</v>
      </c>
      <c r="E123" s="1593" t="s">
        <v>29</v>
      </c>
      <c r="F123" s="1593" t="s">
        <v>814</v>
      </c>
      <c r="G123" s="1610" t="s">
        <v>837</v>
      </c>
      <c r="H123" s="1063">
        <f>IF(G123="","",IF(ISNA(MATCH(G123,G$109:G122,0)),1+MAX(H$109:H122),0))</f>
        <v>7</v>
      </c>
      <c r="I123" s="220"/>
      <c r="J123" s="220"/>
      <c r="K123" s="148"/>
      <c r="L123" s="176">
        <v>0</v>
      </c>
      <c r="M123" s="176">
        <v>0</v>
      </c>
      <c r="N123" s="176">
        <v>0</v>
      </c>
      <c r="O123" s="176">
        <v>0</v>
      </c>
      <c r="P123" s="173">
        <v>1013</v>
      </c>
      <c r="Q123" s="173">
        <v>864.08900000000006</v>
      </c>
      <c r="R123" s="173">
        <v>934.99900000000002</v>
      </c>
      <c r="S123" s="173">
        <v>1013</v>
      </c>
      <c r="T123" s="173">
        <v>1013</v>
      </c>
      <c r="U123" s="173">
        <v>1013</v>
      </c>
      <c r="V123" s="176">
        <v>0</v>
      </c>
      <c r="W123" s="176">
        <v>0</v>
      </c>
      <c r="X123" s="176">
        <v>0</v>
      </c>
      <c r="Y123" s="176">
        <v>0</v>
      </c>
      <c r="Z123" s="176">
        <v>0</v>
      </c>
      <c r="AA123" s="176">
        <v>0</v>
      </c>
      <c r="AB123" s="176">
        <v>0</v>
      </c>
      <c r="AC123" s="176">
        <v>0</v>
      </c>
      <c r="AD123" s="176">
        <v>0</v>
      </c>
      <c r="AE123" s="176">
        <v>0</v>
      </c>
    </row>
    <row r="124" spans="3:31">
      <c r="C124" s="1593" t="s">
        <v>838</v>
      </c>
      <c r="E124" s="1593" t="s">
        <v>29</v>
      </c>
      <c r="F124" s="1593" t="s">
        <v>814</v>
      </c>
      <c r="G124" s="1610" t="s">
        <v>838</v>
      </c>
      <c r="H124" s="1063">
        <f>IF(G124="","",IF(ISNA(MATCH(G124,G$109:G123,0)),1+MAX(H$109:H123),0))</f>
        <v>8</v>
      </c>
      <c r="I124" s="220"/>
      <c r="J124" s="220"/>
      <c r="K124" s="148"/>
      <c r="L124" s="176">
        <v>0</v>
      </c>
      <c r="M124" s="176">
        <v>0</v>
      </c>
      <c r="N124" s="176">
        <v>0</v>
      </c>
      <c r="O124" s="176">
        <v>0</v>
      </c>
      <c r="P124" s="173">
        <v>0</v>
      </c>
      <c r="Q124" s="173">
        <v>0</v>
      </c>
      <c r="R124" s="173">
        <v>0</v>
      </c>
      <c r="S124" s="173">
        <v>0</v>
      </c>
      <c r="T124" s="173">
        <v>0</v>
      </c>
      <c r="U124" s="173">
        <v>0</v>
      </c>
      <c r="V124" s="176">
        <v>0</v>
      </c>
      <c r="W124" s="176">
        <v>0</v>
      </c>
      <c r="X124" s="176">
        <v>0</v>
      </c>
      <c r="Y124" s="176">
        <v>0</v>
      </c>
      <c r="Z124" s="176">
        <v>0</v>
      </c>
      <c r="AA124" s="176">
        <v>0</v>
      </c>
      <c r="AB124" s="176">
        <v>0</v>
      </c>
      <c r="AC124" s="176">
        <v>0</v>
      </c>
      <c r="AD124" s="176">
        <v>0</v>
      </c>
      <c r="AE124" s="176">
        <v>0</v>
      </c>
    </row>
    <row r="125" spans="3:31">
      <c r="C125" s="1593" t="s">
        <v>839</v>
      </c>
      <c r="E125" s="1593" t="s">
        <v>29</v>
      </c>
      <c r="F125" s="1593" t="s">
        <v>814</v>
      </c>
      <c r="G125" s="1610" t="s">
        <v>840</v>
      </c>
      <c r="H125" s="1063">
        <f>IF(G125="","",IF(ISNA(MATCH(G125,G$109:G124,0)),1+MAX(H$109:H124),0))</f>
        <v>9</v>
      </c>
      <c r="I125" s="220"/>
      <c r="J125" s="220"/>
      <c r="K125" s="148"/>
      <c r="L125" s="176">
        <v>0</v>
      </c>
      <c r="M125" s="176">
        <v>0</v>
      </c>
      <c r="N125" s="176">
        <v>0</v>
      </c>
      <c r="O125" s="176">
        <v>0</v>
      </c>
      <c r="P125" s="173">
        <v>949</v>
      </c>
      <c r="Q125" s="173">
        <v>809.49699999999996</v>
      </c>
      <c r="R125" s="173">
        <v>875.92700000000002</v>
      </c>
      <c r="S125" s="173">
        <v>873.08000000000015</v>
      </c>
      <c r="T125" s="173">
        <v>857.3645600000001</v>
      </c>
      <c r="U125" s="173">
        <v>843.64672703999997</v>
      </c>
      <c r="V125" s="176">
        <v>0</v>
      </c>
      <c r="W125" s="176">
        <v>0</v>
      </c>
      <c r="X125" s="176">
        <v>0</v>
      </c>
      <c r="Y125" s="176">
        <v>0</v>
      </c>
      <c r="Z125" s="176">
        <v>0</v>
      </c>
      <c r="AA125" s="176">
        <v>0</v>
      </c>
      <c r="AB125" s="176">
        <v>0</v>
      </c>
      <c r="AC125" s="176">
        <v>0</v>
      </c>
      <c r="AD125" s="176">
        <v>0</v>
      </c>
      <c r="AE125" s="176">
        <v>0</v>
      </c>
    </row>
    <row r="126" spans="3:31">
      <c r="C126" s="1593" t="s">
        <v>841</v>
      </c>
      <c r="E126" s="1593" t="s">
        <v>29</v>
      </c>
      <c r="F126" s="1593" t="s">
        <v>814</v>
      </c>
      <c r="G126" s="1610" t="s">
        <v>820</v>
      </c>
      <c r="H126" s="1063">
        <f>IF(G126="","",IF(ISNA(MATCH(G126,G$109:G125,0)),1+MAX(H$109:H125),0))</f>
        <v>0</v>
      </c>
      <c r="I126" s="220"/>
      <c r="J126" s="220"/>
      <c r="K126" s="148"/>
      <c r="L126" s="176">
        <v>0</v>
      </c>
      <c r="M126" s="176">
        <v>0</v>
      </c>
      <c r="N126" s="176">
        <v>0</v>
      </c>
      <c r="O126" s="176">
        <v>0</v>
      </c>
      <c r="P126" s="173">
        <v>0</v>
      </c>
      <c r="Q126" s="173">
        <v>0</v>
      </c>
      <c r="R126" s="173">
        <v>0</v>
      </c>
      <c r="S126" s="173">
        <v>332</v>
      </c>
      <c r="T126" s="173">
        <v>332</v>
      </c>
      <c r="U126" s="173">
        <v>332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176">
        <v>0</v>
      </c>
      <c r="AD126" s="176">
        <v>0</v>
      </c>
      <c r="AE126" s="176">
        <v>0</v>
      </c>
    </row>
    <row r="127" spans="3:31">
      <c r="C127" s="1593" t="s">
        <v>842</v>
      </c>
      <c r="E127" s="1593" t="s">
        <v>29</v>
      </c>
      <c r="F127" s="1593" t="s">
        <v>814</v>
      </c>
      <c r="G127" s="1610" t="s">
        <v>842</v>
      </c>
      <c r="H127" s="1063">
        <f>IF(G127="","",IF(ISNA(MATCH(G127,G$109:G126,0)),1+MAX(H$109:H126),0))</f>
        <v>10</v>
      </c>
      <c r="I127" s="220"/>
      <c r="J127" s="220"/>
      <c r="K127" s="148"/>
      <c r="L127" s="176">
        <v>0</v>
      </c>
      <c r="M127" s="176">
        <v>0</v>
      </c>
      <c r="N127" s="176">
        <v>0</v>
      </c>
      <c r="O127" s="176">
        <v>0</v>
      </c>
      <c r="P127" s="173">
        <v>0</v>
      </c>
      <c r="Q127" s="173">
        <v>0</v>
      </c>
      <c r="R127" s="173">
        <v>0</v>
      </c>
      <c r="S127" s="173">
        <v>0</v>
      </c>
      <c r="T127" s="173">
        <v>0</v>
      </c>
      <c r="U127" s="173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176">
        <v>0</v>
      </c>
      <c r="AD127" s="176">
        <v>0</v>
      </c>
      <c r="AE127" s="176">
        <v>0</v>
      </c>
    </row>
    <row r="128" spans="3:31">
      <c r="C128" s="1593" t="s">
        <v>843</v>
      </c>
      <c r="E128" s="1593" t="s">
        <v>29</v>
      </c>
      <c r="F128" s="1593" t="s">
        <v>814</v>
      </c>
      <c r="G128" s="1610" t="s">
        <v>820</v>
      </c>
      <c r="H128" s="1063">
        <f>IF(G128="","",IF(ISNA(MATCH(G128,G$109:G127,0)),1+MAX(H$109:H127),0))</f>
        <v>0</v>
      </c>
      <c r="I128" s="220"/>
      <c r="J128" s="220"/>
      <c r="K128" s="148"/>
      <c r="L128" s="176">
        <v>0</v>
      </c>
      <c r="M128" s="176">
        <v>0</v>
      </c>
      <c r="N128" s="176">
        <v>0</v>
      </c>
      <c r="O128" s="176">
        <v>0</v>
      </c>
      <c r="P128" s="173">
        <v>538</v>
      </c>
      <c r="Q128" s="173">
        <v>458.91399999999999</v>
      </c>
      <c r="R128" s="173">
        <v>496.57400000000001</v>
      </c>
      <c r="S128" s="173">
        <v>538</v>
      </c>
      <c r="T128" s="173">
        <v>538</v>
      </c>
      <c r="U128" s="173">
        <v>538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176">
        <v>0</v>
      </c>
      <c r="AD128" s="176">
        <v>0</v>
      </c>
      <c r="AE128" s="176">
        <v>0</v>
      </c>
    </row>
    <row r="129" spans="3:31">
      <c r="C129" s="1593" t="s">
        <v>844</v>
      </c>
      <c r="E129" s="1593" t="s">
        <v>29</v>
      </c>
      <c r="F129" s="1593" t="s">
        <v>814</v>
      </c>
      <c r="G129" s="1610" t="s">
        <v>820</v>
      </c>
      <c r="H129" s="1063">
        <f>IF(G129="","",IF(ISNA(MATCH(G129,G$109:G128,0)),1+MAX(H$109:H128),0))</f>
        <v>0</v>
      </c>
      <c r="I129" s="220"/>
      <c r="J129" s="220"/>
      <c r="K129" s="148"/>
      <c r="L129" s="176">
        <v>0</v>
      </c>
      <c r="M129" s="176">
        <v>0</v>
      </c>
      <c r="N129" s="176">
        <v>0</v>
      </c>
      <c r="O129" s="176">
        <v>0</v>
      </c>
      <c r="P129" s="173">
        <v>0</v>
      </c>
      <c r="Q129" s="173">
        <v>0</v>
      </c>
      <c r="R129" s="173">
        <v>0</v>
      </c>
      <c r="S129" s="173">
        <v>0</v>
      </c>
      <c r="T129" s="173">
        <v>0</v>
      </c>
      <c r="U129" s="173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176">
        <v>0</v>
      </c>
      <c r="AD129" s="176">
        <v>0</v>
      </c>
      <c r="AE129" s="176">
        <v>0</v>
      </c>
    </row>
    <row r="130" spans="3:31" s="36" customFormat="1">
      <c r="C130" s="1593" t="s">
        <v>845</v>
      </c>
      <c r="E130" s="1593" t="s">
        <v>29</v>
      </c>
      <c r="F130" s="1593" t="s">
        <v>814</v>
      </c>
      <c r="G130" s="1610" t="s">
        <v>820</v>
      </c>
      <c r="H130" s="1063">
        <f>IF(G130="","",IF(ISNA(MATCH(G130,G$109:G129,0)),1+MAX(H$109:H129),0))</f>
        <v>0</v>
      </c>
      <c r="I130" s="220"/>
      <c r="J130" s="220"/>
      <c r="K130" s="148"/>
      <c r="L130" s="176">
        <v>0</v>
      </c>
      <c r="M130" s="176">
        <v>0</v>
      </c>
      <c r="N130" s="176">
        <v>0</v>
      </c>
      <c r="O130" s="176">
        <v>0</v>
      </c>
      <c r="P130" s="173">
        <v>0</v>
      </c>
      <c r="Q130" s="173">
        <v>0</v>
      </c>
      <c r="R130" s="173">
        <v>0</v>
      </c>
      <c r="S130" s="173">
        <v>0</v>
      </c>
      <c r="T130" s="173">
        <v>0</v>
      </c>
      <c r="U130" s="173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176">
        <v>0</v>
      </c>
      <c r="AD130" s="176">
        <v>0</v>
      </c>
      <c r="AE130" s="176">
        <v>0</v>
      </c>
    </row>
    <row r="131" spans="3:31" s="36" customFormat="1">
      <c r="C131" s="1593" t="s">
        <v>846</v>
      </c>
      <c r="E131" s="1593" t="s">
        <v>29</v>
      </c>
      <c r="F131" s="1593" t="s">
        <v>814</v>
      </c>
      <c r="G131" s="1610" t="s">
        <v>820</v>
      </c>
      <c r="H131" s="1063">
        <f>IF(G131="","",IF(ISNA(MATCH(G131,G$109:G130,0)),1+MAX(H$109:H130),0))</f>
        <v>0</v>
      </c>
      <c r="I131" s="220"/>
      <c r="J131" s="220"/>
      <c r="K131" s="148"/>
      <c r="L131" s="176">
        <v>0</v>
      </c>
      <c r="M131" s="176">
        <v>0</v>
      </c>
      <c r="N131" s="176">
        <v>0</v>
      </c>
      <c r="O131" s="176">
        <v>0</v>
      </c>
      <c r="P131" s="173">
        <v>0</v>
      </c>
      <c r="Q131" s="173">
        <v>0</v>
      </c>
      <c r="R131" s="173">
        <v>0</v>
      </c>
      <c r="S131" s="173">
        <v>0</v>
      </c>
      <c r="T131" s="173">
        <v>0</v>
      </c>
      <c r="U131" s="173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176">
        <v>0</v>
      </c>
      <c r="AD131" s="176">
        <v>0</v>
      </c>
      <c r="AE131" s="176">
        <v>0</v>
      </c>
    </row>
    <row r="132" spans="3:31" s="36" customFormat="1">
      <c r="C132" s="1593" t="s">
        <v>847</v>
      </c>
      <c r="E132" s="1593" t="s">
        <v>29</v>
      </c>
      <c r="F132" s="1593" t="s">
        <v>814</v>
      </c>
      <c r="G132" s="1610" t="s">
        <v>820</v>
      </c>
      <c r="H132" s="1063">
        <f>IF(G132="","",IF(ISNA(MATCH(G132,G$109:G131,0)),1+MAX(H$109:H131),0))</f>
        <v>0</v>
      </c>
      <c r="I132" s="220"/>
      <c r="J132" s="220"/>
      <c r="K132" s="148"/>
      <c r="L132" s="176">
        <v>0</v>
      </c>
      <c r="M132" s="176">
        <v>0</v>
      </c>
      <c r="N132" s="176">
        <v>0</v>
      </c>
      <c r="O132" s="176">
        <v>0</v>
      </c>
      <c r="P132" s="173">
        <v>355</v>
      </c>
      <c r="Q132" s="173">
        <v>302.815</v>
      </c>
      <c r="R132" s="173">
        <v>327.66500000000002</v>
      </c>
      <c r="S132" s="173">
        <v>355</v>
      </c>
      <c r="T132" s="173">
        <v>355</v>
      </c>
      <c r="U132" s="173">
        <v>355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176">
        <v>0</v>
      </c>
      <c r="AD132" s="176">
        <v>0</v>
      </c>
      <c r="AE132" s="176">
        <v>0</v>
      </c>
    </row>
    <row r="133" spans="3:31">
      <c r="C133" s="1593" t="s">
        <v>848</v>
      </c>
      <c r="E133" s="1593" t="s">
        <v>29</v>
      </c>
      <c r="F133" s="1593" t="s">
        <v>814</v>
      </c>
      <c r="G133" s="1610" t="s">
        <v>820</v>
      </c>
      <c r="H133" s="1063">
        <f>IF(G133="","",IF(ISNA(MATCH(G133,G$109:G132,0)),1+MAX(H$109:H132),0))</f>
        <v>0</v>
      </c>
      <c r="I133" s="220"/>
      <c r="J133" s="220"/>
      <c r="K133" s="148"/>
      <c r="L133" s="176">
        <v>0</v>
      </c>
      <c r="M133" s="176">
        <v>0</v>
      </c>
      <c r="N133" s="176">
        <v>0</v>
      </c>
      <c r="O133" s="176">
        <v>0</v>
      </c>
      <c r="P133" s="173">
        <v>523</v>
      </c>
      <c r="Q133" s="173">
        <v>446.11900000000003</v>
      </c>
      <c r="R133" s="173">
        <v>482.72899999999998</v>
      </c>
      <c r="S133" s="173">
        <v>523</v>
      </c>
      <c r="T133" s="173">
        <v>523</v>
      </c>
      <c r="U133" s="173">
        <v>523</v>
      </c>
      <c r="V133" s="176">
        <v>0</v>
      </c>
      <c r="W133" s="176">
        <v>0</v>
      </c>
      <c r="X133" s="176">
        <v>0</v>
      </c>
      <c r="Y133" s="176">
        <v>0</v>
      </c>
      <c r="Z133" s="176">
        <v>0</v>
      </c>
      <c r="AA133" s="176">
        <v>0</v>
      </c>
      <c r="AB133" s="176">
        <v>0</v>
      </c>
      <c r="AC133" s="176">
        <v>0</v>
      </c>
      <c r="AD133" s="176">
        <v>0</v>
      </c>
      <c r="AE133" s="176">
        <v>0</v>
      </c>
    </row>
    <row r="134" spans="3:31">
      <c r="C134" s="1593" t="s">
        <v>831</v>
      </c>
      <c r="E134" s="1593" t="s">
        <v>29</v>
      </c>
      <c r="F134" s="1593" t="s">
        <v>814</v>
      </c>
      <c r="G134" s="1610" t="s">
        <v>820</v>
      </c>
      <c r="H134" s="1063">
        <f>IF(G134="","",IF(ISNA(MATCH(G134,G$109:G133,0)),1+MAX(H$109:H133),0))</f>
        <v>0</v>
      </c>
      <c r="I134" s="220"/>
      <c r="J134" s="220"/>
      <c r="K134" s="148"/>
      <c r="L134" s="176">
        <v>0</v>
      </c>
      <c r="M134" s="176">
        <v>0</v>
      </c>
      <c r="N134" s="176">
        <v>0</v>
      </c>
      <c r="O134" s="176">
        <v>0</v>
      </c>
      <c r="P134" s="173">
        <v>3794</v>
      </c>
      <c r="Q134" s="173">
        <v>3236.2820000000002</v>
      </c>
      <c r="R134" s="173">
        <v>3501.8620000000001</v>
      </c>
      <c r="S134" s="173">
        <v>3794</v>
      </c>
      <c r="T134" s="173">
        <v>3794</v>
      </c>
      <c r="U134" s="173">
        <v>3794</v>
      </c>
      <c r="V134" s="176">
        <v>0</v>
      </c>
      <c r="W134" s="176">
        <v>0</v>
      </c>
      <c r="X134" s="176">
        <v>0</v>
      </c>
      <c r="Y134" s="176">
        <v>0</v>
      </c>
      <c r="Z134" s="176">
        <v>0</v>
      </c>
      <c r="AA134" s="176">
        <v>0</v>
      </c>
      <c r="AB134" s="176">
        <v>0</v>
      </c>
      <c r="AC134" s="176">
        <v>0</v>
      </c>
      <c r="AD134" s="176">
        <v>0</v>
      </c>
      <c r="AE134" s="176">
        <v>0</v>
      </c>
    </row>
    <row r="135" spans="3:31">
      <c r="C135" s="1593" t="s">
        <v>849</v>
      </c>
      <c r="E135" s="1593" t="s">
        <v>29</v>
      </c>
      <c r="F135" s="1593" t="s">
        <v>814</v>
      </c>
      <c r="G135" s="1610" t="s">
        <v>849</v>
      </c>
      <c r="H135" s="1063">
        <f>IF(G135="","",IF(ISNA(MATCH(G135,G$109:G134,0)),1+MAX(H$109:H134),0))</f>
        <v>11</v>
      </c>
      <c r="I135" s="220"/>
      <c r="J135" s="220"/>
      <c r="K135" s="148"/>
      <c r="L135" s="176">
        <v>0</v>
      </c>
      <c r="M135" s="176">
        <v>0</v>
      </c>
      <c r="N135" s="176">
        <v>0</v>
      </c>
      <c r="O135" s="176">
        <v>0</v>
      </c>
      <c r="P135" s="176">
        <v>11839</v>
      </c>
      <c r="Q135" s="176">
        <v>10098.666999999999</v>
      </c>
      <c r="R135" s="176">
        <v>10927.397000000001</v>
      </c>
      <c r="S135" s="176">
        <v>11312.669</v>
      </c>
      <c r="T135" s="176">
        <v>11723.357446823529</v>
      </c>
      <c r="U135" s="176">
        <v>12494.084939317881</v>
      </c>
      <c r="V135" s="176">
        <v>0</v>
      </c>
      <c r="W135" s="176">
        <v>0</v>
      </c>
      <c r="X135" s="176">
        <v>0</v>
      </c>
      <c r="Y135" s="176">
        <v>0</v>
      </c>
      <c r="Z135" s="176">
        <v>0</v>
      </c>
      <c r="AA135" s="176">
        <v>0</v>
      </c>
      <c r="AB135" s="176">
        <v>0</v>
      </c>
      <c r="AC135" s="176">
        <v>0</v>
      </c>
      <c r="AD135" s="176">
        <v>0</v>
      </c>
      <c r="AE135" s="176">
        <v>0</v>
      </c>
    </row>
    <row r="136" spans="3:31">
      <c r="G136" s="1062"/>
      <c r="H136" s="1063" t="str">
        <f>IF(G136="","",IF(ISNA(MATCH(G136,G$109:G135,0)),1+MAX(H$109:H135),0))</f>
        <v/>
      </c>
      <c r="I136" s="220"/>
      <c r="J136" s="220"/>
      <c r="L136" s="176">
        <v>0</v>
      </c>
      <c r="M136" s="176">
        <v>0</v>
      </c>
      <c r="N136" s="176">
        <v>0</v>
      </c>
      <c r="O136" s="176">
        <v>0</v>
      </c>
      <c r="P136" s="176">
        <v>0</v>
      </c>
      <c r="Q136" s="176">
        <v>0</v>
      </c>
      <c r="R136" s="176">
        <v>0</v>
      </c>
      <c r="S136" s="176">
        <v>0</v>
      </c>
      <c r="T136" s="176">
        <v>0</v>
      </c>
      <c r="U136" s="176">
        <v>0</v>
      </c>
      <c r="V136" s="176">
        <v>0</v>
      </c>
      <c r="W136" s="176">
        <v>0</v>
      </c>
      <c r="X136" s="176">
        <v>0</v>
      </c>
      <c r="Y136" s="176">
        <v>0</v>
      </c>
      <c r="Z136" s="176">
        <v>0</v>
      </c>
      <c r="AA136" s="176">
        <v>0</v>
      </c>
      <c r="AB136" s="176">
        <v>0</v>
      </c>
      <c r="AC136" s="176">
        <v>0</v>
      </c>
      <c r="AD136" s="176">
        <v>0</v>
      </c>
      <c r="AE136" s="176">
        <v>0</v>
      </c>
    </row>
    <row r="137" spans="3:31">
      <c r="G137" s="1062"/>
      <c r="H137" s="1063" t="str">
        <f>IF(G137="","",IF(ISNA(MATCH(G137,G$109:G136,0)),1+MAX(H$109:H136),0))</f>
        <v/>
      </c>
      <c r="I137" s="220"/>
      <c r="J137" s="220"/>
      <c r="L137" s="176">
        <v>0</v>
      </c>
      <c r="M137" s="176">
        <v>0</v>
      </c>
      <c r="N137" s="176">
        <v>0</v>
      </c>
      <c r="O137" s="176">
        <v>0</v>
      </c>
      <c r="P137" s="176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176">
        <v>0</v>
      </c>
      <c r="AD137" s="176">
        <v>0</v>
      </c>
      <c r="AE137" s="176">
        <v>0</v>
      </c>
    </row>
    <row r="138" spans="3:31">
      <c r="G138" s="1062"/>
      <c r="H138" s="1063" t="str">
        <f>IF(G138="","",IF(ISNA(MATCH(G138,G$109:G137,0)),1+MAX(H$109:H137),0))</f>
        <v/>
      </c>
      <c r="I138" s="220"/>
      <c r="J138" s="220"/>
      <c r="L138" s="176">
        <v>0</v>
      </c>
      <c r="M138" s="176">
        <v>0</v>
      </c>
      <c r="N138" s="176">
        <v>0</v>
      </c>
      <c r="O138" s="176">
        <v>0</v>
      </c>
      <c r="P138" s="176">
        <v>0</v>
      </c>
      <c r="Q138" s="176">
        <v>0</v>
      </c>
      <c r="R138" s="176">
        <v>0</v>
      </c>
      <c r="S138" s="176">
        <v>0</v>
      </c>
      <c r="T138" s="176">
        <v>0</v>
      </c>
      <c r="U138" s="176">
        <v>0</v>
      </c>
      <c r="V138" s="176">
        <v>0</v>
      </c>
      <c r="W138" s="176">
        <v>0</v>
      </c>
      <c r="X138" s="176">
        <v>0</v>
      </c>
      <c r="Y138" s="176">
        <v>0</v>
      </c>
      <c r="Z138" s="176">
        <v>0</v>
      </c>
      <c r="AA138" s="176">
        <v>0</v>
      </c>
      <c r="AB138" s="176">
        <v>0</v>
      </c>
      <c r="AC138" s="176">
        <v>0</v>
      </c>
      <c r="AD138" s="176">
        <v>0</v>
      </c>
      <c r="AE138" s="176">
        <v>0</v>
      </c>
    </row>
    <row r="139" spans="3:31">
      <c r="G139" s="1062"/>
      <c r="H139" s="1063" t="str">
        <f>IF(G139="","",IF(ISNA(MATCH(G139,G$109:G138,0)),1+MAX(H$109:H138),0))</f>
        <v/>
      </c>
      <c r="I139" s="220"/>
      <c r="J139" s="220"/>
      <c r="L139" s="176">
        <v>0</v>
      </c>
      <c r="M139" s="176">
        <v>0</v>
      </c>
      <c r="N139" s="176">
        <v>0</v>
      </c>
      <c r="O139" s="176">
        <v>0</v>
      </c>
      <c r="P139" s="176">
        <v>0</v>
      </c>
      <c r="Q139" s="176">
        <v>0</v>
      </c>
      <c r="R139" s="176">
        <v>0</v>
      </c>
      <c r="S139" s="176">
        <v>0</v>
      </c>
      <c r="T139" s="176">
        <v>0</v>
      </c>
      <c r="U139" s="176">
        <v>0</v>
      </c>
      <c r="V139" s="176">
        <v>0</v>
      </c>
      <c r="W139" s="176">
        <v>0</v>
      </c>
      <c r="X139" s="176">
        <v>0</v>
      </c>
      <c r="Y139" s="176">
        <v>0</v>
      </c>
      <c r="Z139" s="176">
        <v>0</v>
      </c>
      <c r="AA139" s="176">
        <v>0</v>
      </c>
      <c r="AB139" s="176">
        <v>0</v>
      </c>
      <c r="AC139" s="176">
        <v>0</v>
      </c>
      <c r="AD139" s="176">
        <v>0</v>
      </c>
      <c r="AE139" s="176">
        <v>0</v>
      </c>
    </row>
    <row r="140" spans="3:31">
      <c r="G140" s="1062"/>
      <c r="H140" s="1063" t="str">
        <f>IF(G140="","",IF(ISNA(MATCH(G140,G$109:G139,0)),1+MAX(H$109:H139),0))</f>
        <v/>
      </c>
      <c r="I140" s="220"/>
      <c r="J140" s="220"/>
      <c r="L140" s="176">
        <v>0</v>
      </c>
      <c r="M140" s="176">
        <v>0</v>
      </c>
      <c r="N140" s="176">
        <v>0</v>
      </c>
      <c r="O140" s="176">
        <v>0</v>
      </c>
      <c r="P140" s="176">
        <v>0</v>
      </c>
      <c r="Q140" s="176">
        <v>0</v>
      </c>
      <c r="R140" s="176">
        <v>0</v>
      </c>
      <c r="S140" s="176">
        <v>0</v>
      </c>
      <c r="T140" s="176">
        <v>0</v>
      </c>
      <c r="U140" s="176">
        <v>0</v>
      </c>
      <c r="V140" s="176">
        <v>0</v>
      </c>
      <c r="W140" s="176">
        <v>0</v>
      </c>
      <c r="X140" s="176">
        <v>0</v>
      </c>
      <c r="Y140" s="176">
        <v>0</v>
      </c>
      <c r="Z140" s="176">
        <v>0</v>
      </c>
      <c r="AA140" s="176">
        <v>0</v>
      </c>
      <c r="AB140" s="176">
        <v>0</v>
      </c>
      <c r="AC140" s="176">
        <v>0</v>
      </c>
      <c r="AD140" s="176">
        <v>0</v>
      </c>
      <c r="AE140" s="176">
        <v>0</v>
      </c>
    </row>
    <row r="141" spans="3:31">
      <c r="G141" s="1062"/>
      <c r="H141" s="1063" t="str">
        <f>IF(G141="","",IF(ISNA(MATCH(G141,G$109:G140,0)),1+MAX(H$109:H140),0))</f>
        <v/>
      </c>
      <c r="I141" s="220"/>
      <c r="J141" s="220"/>
      <c r="L141" s="176">
        <v>0</v>
      </c>
      <c r="M141" s="176">
        <v>0</v>
      </c>
      <c r="N141" s="176">
        <v>0</v>
      </c>
      <c r="O141" s="176">
        <v>0</v>
      </c>
      <c r="P141" s="176">
        <v>0</v>
      </c>
      <c r="Q141" s="176">
        <v>0</v>
      </c>
      <c r="R141" s="176">
        <v>0</v>
      </c>
      <c r="S141" s="176">
        <v>0</v>
      </c>
      <c r="T141" s="176">
        <v>0</v>
      </c>
      <c r="U141" s="176">
        <v>0</v>
      </c>
      <c r="V141" s="176">
        <v>0</v>
      </c>
      <c r="W141" s="176">
        <v>0</v>
      </c>
      <c r="X141" s="176">
        <v>0</v>
      </c>
      <c r="Y141" s="176">
        <v>0</v>
      </c>
      <c r="Z141" s="176">
        <v>0</v>
      </c>
      <c r="AA141" s="176">
        <v>0</v>
      </c>
      <c r="AB141" s="176">
        <v>0</v>
      </c>
      <c r="AC141" s="176">
        <v>0</v>
      </c>
      <c r="AD141" s="176">
        <v>0</v>
      </c>
      <c r="AE141" s="176">
        <v>0</v>
      </c>
    </row>
    <row r="142" spans="3:31" ht="10.9" customHeight="1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</row>
    <row r="143" spans="3:31">
      <c r="C143" s="17" t="s">
        <v>850</v>
      </c>
      <c r="D143" s="17"/>
      <c r="E143" s="3" t="s">
        <v>29</v>
      </c>
      <c r="F143" s="17"/>
      <c r="G143" s="17"/>
      <c r="I143" s="224">
        <f>SUM(Q186:U186)/SUM(Q143:U143)</f>
        <v>0.81591810139833632</v>
      </c>
      <c r="J143" s="225">
        <f>SUM(Q228:U228)/SUM(Q143:U143)</f>
        <v>0.18428152164603062</v>
      </c>
      <c r="K143" s="156"/>
      <c r="L143" s="27">
        <f t="shared" ref="L143:AE143" si="16">SUM(L110:L141)*(L$107="")+L$107</f>
        <v>0</v>
      </c>
      <c r="M143" s="27">
        <f t="shared" si="16"/>
        <v>0</v>
      </c>
      <c r="N143" s="27">
        <f t="shared" si="16"/>
        <v>0</v>
      </c>
      <c r="O143" s="27">
        <f t="shared" si="16"/>
        <v>0</v>
      </c>
      <c r="P143" s="27">
        <f t="shared" si="16"/>
        <v>31694</v>
      </c>
      <c r="Q143" s="27">
        <f t="shared" si="16"/>
        <v>27034.981999999996</v>
      </c>
      <c r="R143" s="27">
        <f t="shared" si="16"/>
        <v>29253.562000000002</v>
      </c>
      <c r="S143" s="27">
        <f t="shared" si="16"/>
        <v>31985.550199999998</v>
      </c>
      <c r="T143" s="27">
        <f t="shared" si="16"/>
        <v>32480.049062823535</v>
      </c>
      <c r="U143" s="27">
        <f t="shared" si="16"/>
        <v>33242.79087124396</v>
      </c>
      <c r="V143" s="27">
        <f t="shared" si="16"/>
        <v>0</v>
      </c>
      <c r="W143" s="27">
        <f t="shared" si="16"/>
        <v>0</v>
      </c>
      <c r="X143" s="27">
        <f t="shared" si="16"/>
        <v>0</v>
      </c>
      <c r="Y143" s="27">
        <f t="shared" si="16"/>
        <v>0</v>
      </c>
      <c r="Z143" s="27">
        <f t="shared" si="16"/>
        <v>0</v>
      </c>
      <c r="AA143" s="27">
        <f t="shared" si="16"/>
        <v>0</v>
      </c>
      <c r="AB143" s="27">
        <f t="shared" si="16"/>
        <v>0</v>
      </c>
      <c r="AC143" s="27">
        <f t="shared" si="16"/>
        <v>0</v>
      </c>
      <c r="AD143" s="27">
        <f t="shared" si="16"/>
        <v>0</v>
      </c>
      <c r="AE143" s="27">
        <f t="shared" si="16"/>
        <v>0</v>
      </c>
    </row>
    <row r="144" spans="3:31">
      <c r="P144" s="150"/>
      <c r="Q144" s="150"/>
      <c r="R144" s="150"/>
      <c r="S144" s="150"/>
      <c r="T144" s="150"/>
      <c r="U144" s="150"/>
    </row>
    <row r="145" spans="2:31">
      <c r="L145" s="26"/>
      <c r="M145" s="26"/>
      <c r="N145" s="26"/>
      <c r="O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2:31">
      <c r="B146" s="152" t="s">
        <v>150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22"/>
      <c r="R146" s="222"/>
      <c r="S146" s="222"/>
      <c r="T146" s="222"/>
      <c r="U146" s="222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8" spans="2:31" ht="13.5" thickBot="1">
      <c r="C148" s="7" t="s">
        <v>852</v>
      </c>
      <c r="D148" s="7"/>
      <c r="E148" s="7"/>
      <c r="F148" s="7"/>
      <c r="G148" s="7"/>
      <c r="H148" s="7"/>
      <c r="I148" s="7"/>
      <c r="J148" s="7"/>
      <c r="K148" s="7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</row>
    <row r="149" spans="2:31" outlineLevel="1">
      <c r="C149" s="983" t="str">
        <f t="shared" ref="C149:C180" si="17">C110</f>
        <v>Travel</v>
      </c>
      <c r="E149" s="3" t="s">
        <v>43</v>
      </c>
      <c r="L149" s="219">
        <v>0</v>
      </c>
      <c r="M149" s="219">
        <v>0</v>
      </c>
      <c r="N149" s="219">
        <v>0</v>
      </c>
      <c r="O149" s="219">
        <v>0</v>
      </c>
      <c r="P149" s="223">
        <v>0.85747663551401865</v>
      </c>
      <c r="Q149" s="223">
        <v>0.87032418952618451</v>
      </c>
      <c r="R149" s="223">
        <v>0.83887468030690537</v>
      </c>
      <c r="S149" s="223">
        <v>0.83917340521114103</v>
      </c>
      <c r="T149" s="223">
        <v>0.83965244865718791</v>
      </c>
      <c r="U149" s="223">
        <v>0.83956043956043958</v>
      </c>
      <c r="V149" s="219">
        <v>0</v>
      </c>
      <c r="W149" s="219">
        <v>0</v>
      </c>
      <c r="X149" s="219">
        <v>0</v>
      </c>
      <c r="Y149" s="219">
        <v>0</v>
      </c>
      <c r="Z149" s="219">
        <v>0</v>
      </c>
      <c r="AA149" s="219">
        <v>0</v>
      </c>
      <c r="AB149" s="219">
        <v>0</v>
      </c>
      <c r="AC149" s="219">
        <v>0</v>
      </c>
      <c r="AD149" s="219">
        <v>0</v>
      </c>
      <c r="AE149" s="219">
        <v>0</v>
      </c>
    </row>
    <row r="150" spans="2:31" outlineLevel="1">
      <c r="C150" s="983" t="str">
        <f t="shared" si="17"/>
        <v>Training (Redected)</v>
      </c>
      <c r="E150" s="3" t="s">
        <v>43</v>
      </c>
      <c r="L150" s="219">
        <v>0</v>
      </c>
      <c r="M150" s="219">
        <v>0</v>
      </c>
      <c r="N150" s="219">
        <v>0</v>
      </c>
      <c r="O150" s="219">
        <v>0</v>
      </c>
      <c r="P150" s="223">
        <v>0</v>
      </c>
      <c r="Q150" s="223">
        <v>0</v>
      </c>
      <c r="R150" s="223">
        <v>0</v>
      </c>
      <c r="S150" s="223">
        <v>0</v>
      </c>
      <c r="T150" s="223">
        <v>0</v>
      </c>
      <c r="U150" s="223">
        <v>0</v>
      </c>
      <c r="V150" s="219">
        <v>0</v>
      </c>
      <c r="W150" s="219">
        <v>0</v>
      </c>
      <c r="X150" s="219">
        <v>0</v>
      </c>
      <c r="Y150" s="219">
        <v>0</v>
      </c>
      <c r="Z150" s="219">
        <v>0</v>
      </c>
      <c r="AA150" s="219">
        <v>0</v>
      </c>
      <c r="AB150" s="219">
        <v>0</v>
      </c>
      <c r="AC150" s="219">
        <v>0</v>
      </c>
      <c r="AD150" s="219">
        <v>0</v>
      </c>
      <c r="AE150" s="219">
        <v>0</v>
      </c>
    </row>
    <row r="151" spans="2:31" outlineLevel="1">
      <c r="C151" s="983" t="str">
        <f t="shared" si="17"/>
        <v>Utilities</v>
      </c>
      <c r="E151" s="3" t="s">
        <v>43</v>
      </c>
      <c r="L151" s="219">
        <v>0</v>
      </c>
      <c r="M151" s="219">
        <v>0</v>
      </c>
      <c r="N151" s="219">
        <v>0</v>
      </c>
      <c r="O151" s="219">
        <v>0</v>
      </c>
      <c r="P151" s="223">
        <v>0.85</v>
      </c>
      <c r="Q151" s="223">
        <v>0.77659574468085102</v>
      </c>
      <c r="R151" s="223">
        <v>0.76650563607085342</v>
      </c>
      <c r="S151" s="223">
        <v>0.76850393700787401</v>
      </c>
      <c r="T151" s="223">
        <v>0.76850393700787401</v>
      </c>
      <c r="U151" s="223">
        <v>0.76850393700787401</v>
      </c>
      <c r="V151" s="219">
        <v>0</v>
      </c>
      <c r="W151" s="219">
        <v>0</v>
      </c>
      <c r="X151" s="219">
        <v>0</v>
      </c>
      <c r="Y151" s="219">
        <v>0</v>
      </c>
      <c r="Z151" s="219">
        <v>0</v>
      </c>
      <c r="AA151" s="219">
        <v>0</v>
      </c>
      <c r="AB151" s="219">
        <v>0</v>
      </c>
      <c r="AC151" s="219">
        <v>0</v>
      </c>
      <c r="AD151" s="219">
        <v>0</v>
      </c>
      <c r="AE151" s="219">
        <v>0</v>
      </c>
    </row>
    <row r="152" spans="2:31" outlineLevel="1">
      <c r="C152" s="983" t="str">
        <f t="shared" si="17"/>
        <v>Telecoms (Redacted)</v>
      </c>
      <c r="E152" s="3" t="s">
        <v>43</v>
      </c>
      <c r="L152" s="219">
        <v>0</v>
      </c>
      <c r="M152" s="219">
        <v>0</v>
      </c>
      <c r="N152" s="219">
        <v>0</v>
      </c>
      <c r="O152" s="219">
        <v>0</v>
      </c>
      <c r="P152" s="223">
        <v>0</v>
      </c>
      <c r="Q152" s="223">
        <v>0</v>
      </c>
      <c r="R152" s="223">
        <v>0</v>
      </c>
      <c r="S152" s="223">
        <v>0</v>
      </c>
      <c r="T152" s="223">
        <v>0</v>
      </c>
      <c r="U152" s="223">
        <v>0</v>
      </c>
      <c r="V152" s="219">
        <v>0</v>
      </c>
      <c r="W152" s="219">
        <v>0</v>
      </c>
      <c r="X152" s="219">
        <v>0</v>
      </c>
      <c r="Y152" s="219">
        <v>0</v>
      </c>
      <c r="Z152" s="219">
        <v>0</v>
      </c>
      <c r="AA152" s="219">
        <v>0</v>
      </c>
      <c r="AB152" s="219">
        <v>0</v>
      </c>
      <c r="AC152" s="219">
        <v>0</v>
      </c>
      <c r="AD152" s="219">
        <v>0</v>
      </c>
      <c r="AE152" s="219">
        <v>0</v>
      </c>
    </row>
    <row r="153" spans="2:31" outlineLevel="1">
      <c r="C153" s="983" t="str">
        <f t="shared" si="17"/>
        <v>Maintenance</v>
      </c>
      <c r="E153" s="3" t="s">
        <v>43</v>
      </c>
      <c r="L153" s="219">
        <v>0</v>
      </c>
      <c r="M153" s="219">
        <v>0</v>
      </c>
      <c r="N153" s="219">
        <v>0</v>
      </c>
      <c r="O153" s="219">
        <v>0</v>
      </c>
      <c r="P153" s="223">
        <v>0.80487804878048785</v>
      </c>
      <c r="Q153" s="223">
        <v>0.79118773946360155</v>
      </c>
      <c r="R153" s="223">
        <v>0.78252427184466022</v>
      </c>
      <c r="S153" s="223">
        <v>0.78593632758066245</v>
      </c>
      <c r="T153" s="223">
        <v>0.78676546259133473</v>
      </c>
      <c r="U153" s="223">
        <v>0.78660659430677859</v>
      </c>
      <c r="V153" s="219">
        <v>0</v>
      </c>
      <c r="W153" s="219">
        <v>0</v>
      </c>
      <c r="X153" s="219">
        <v>0</v>
      </c>
      <c r="Y153" s="219">
        <v>0</v>
      </c>
      <c r="Z153" s="219">
        <v>0</v>
      </c>
      <c r="AA153" s="219">
        <v>0</v>
      </c>
      <c r="AB153" s="219">
        <v>0</v>
      </c>
      <c r="AC153" s="219">
        <v>0</v>
      </c>
      <c r="AD153" s="219">
        <v>0</v>
      </c>
      <c r="AE153" s="219">
        <v>0</v>
      </c>
    </row>
    <row r="154" spans="2:31" outlineLevel="1">
      <c r="C154" s="983" t="str">
        <f t="shared" si="17"/>
        <v>Spares</v>
      </c>
      <c r="E154" s="3" t="s">
        <v>43</v>
      </c>
      <c r="L154" s="219">
        <v>0</v>
      </c>
      <c r="M154" s="219">
        <v>0</v>
      </c>
      <c r="N154" s="219">
        <v>0</v>
      </c>
      <c r="O154" s="219">
        <v>0</v>
      </c>
      <c r="P154" s="223">
        <v>0.80487804878048785</v>
      </c>
      <c r="Q154" s="223">
        <v>0.79118773946360155</v>
      </c>
      <c r="R154" s="223">
        <v>0.78252427184466034</v>
      </c>
      <c r="S154" s="223">
        <v>0.78593632758066245</v>
      </c>
      <c r="T154" s="223">
        <v>0.78676546259133484</v>
      </c>
      <c r="U154" s="223">
        <v>0.78660659430677859</v>
      </c>
      <c r="V154" s="219">
        <v>0</v>
      </c>
      <c r="W154" s="219">
        <v>0</v>
      </c>
      <c r="X154" s="219">
        <v>0</v>
      </c>
      <c r="Y154" s="219">
        <v>0</v>
      </c>
      <c r="Z154" s="219">
        <v>0</v>
      </c>
      <c r="AA154" s="219">
        <v>0</v>
      </c>
      <c r="AB154" s="219">
        <v>0</v>
      </c>
      <c r="AC154" s="219">
        <v>0</v>
      </c>
      <c r="AD154" s="219">
        <v>0</v>
      </c>
      <c r="AE154" s="219">
        <v>0</v>
      </c>
    </row>
    <row r="155" spans="2:31" outlineLevel="1">
      <c r="C155" s="983" t="str">
        <f t="shared" si="17"/>
        <v>Power</v>
      </c>
      <c r="E155" s="3" t="s">
        <v>43</v>
      </c>
      <c r="L155" s="219">
        <v>0</v>
      </c>
      <c r="M155" s="219">
        <v>0</v>
      </c>
      <c r="N155" s="219">
        <v>0</v>
      </c>
      <c r="O155" s="219">
        <v>0</v>
      </c>
      <c r="P155" s="223">
        <v>0.80487804878048785</v>
      </c>
      <c r="Q155" s="223">
        <v>0.79118773946360155</v>
      </c>
      <c r="R155" s="223">
        <v>0.78252427184466034</v>
      </c>
      <c r="S155" s="223">
        <v>0.78593632758066245</v>
      </c>
      <c r="T155" s="223">
        <v>0.78676546259133473</v>
      </c>
      <c r="U155" s="223">
        <v>0.78660659430677859</v>
      </c>
      <c r="V155" s="219">
        <v>0</v>
      </c>
      <c r="W155" s="219">
        <v>0</v>
      </c>
      <c r="X155" s="219">
        <v>0</v>
      </c>
      <c r="Y155" s="219">
        <v>0</v>
      </c>
      <c r="Z155" s="219">
        <v>0</v>
      </c>
      <c r="AA155" s="219">
        <v>0</v>
      </c>
      <c r="AB155" s="219">
        <v>0</v>
      </c>
      <c r="AC155" s="219">
        <v>0</v>
      </c>
      <c r="AD155" s="219">
        <v>0</v>
      </c>
      <c r="AE155" s="219">
        <v>0</v>
      </c>
    </row>
    <row r="156" spans="2:31" outlineLevel="1">
      <c r="C156" s="983" t="str">
        <f t="shared" si="17"/>
        <v>Flight checking</v>
      </c>
      <c r="E156" s="3" t="s">
        <v>43</v>
      </c>
      <c r="L156" s="219">
        <v>0</v>
      </c>
      <c r="M156" s="219">
        <v>0</v>
      </c>
      <c r="N156" s="219">
        <v>0</v>
      </c>
      <c r="O156" s="219">
        <v>0</v>
      </c>
      <c r="P156" s="223">
        <v>0</v>
      </c>
      <c r="Q156" s="223">
        <v>0</v>
      </c>
      <c r="R156" s="223">
        <v>0</v>
      </c>
      <c r="S156" s="223">
        <v>0</v>
      </c>
      <c r="T156" s="223">
        <v>0</v>
      </c>
      <c r="U156" s="223">
        <v>0</v>
      </c>
      <c r="V156" s="219">
        <v>0</v>
      </c>
      <c r="W156" s="219">
        <v>0</v>
      </c>
      <c r="X156" s="219">
        <v>0</v>
      </c>
      <c r="Y156" s="219">
        <v>0</v>
      </c>
      <c r="Z156" s="219">
        <v>0</v>
      </c>
      <c r="AA156" s="219">
        <v>0</v>
      </c>
      <c r="AB156" s="219">
        <v>0</v>
      </c>
      <c r="AC156" s="219">
        <v>0</v>
      </c>
      <c r="AD156" s="219">
        <v>0</v>
      </c>
      <c r="AE156" s="219">
        <v>0</v>
      </c>
    </row>
    <row r="157" spans="2:31" outlineLevel="1">
      <c r="C157" s="983" t="str">
        <f t="shared" si="17"/>
        <v>Other</v>
      </c>
      <c r="E157" s="3" t="s">
        <v>43</v>
      </c>
      <c r="L157" s="219">
        <v>0</v>
      </c>
      <c r="M157" s="219">
        <v>0</v>
      </c>
      <c r="N157" s="219">
        <v>0</v>
      </c>
      <c r="O157" s="219">
        <v>0</v>
      </c>
      <c r="P157" s="223">
        <v>0.80487804878048785</v>
      </c>
      <c r="Q157" s="223">
        <v>0.79118773946360144</v>
      </c>
      <c r="R157" s="223">
        <v>0.78252427184466022</v>
      </c>
      <c r="S157" s="223">
        <v>0.78593632758066245</v>
      </c>
      <c r="T157" s="223">
        <v>0.78676546259133473</v>
      </c>
      <c r="U157" s="223">
        <v>0.78660659430677859</v>
      </c>
      <c r="V157" s="219">
        <v>0</v>
      </c>
      <c r="W157" s="219">
        <v>0</v>
      </c>
      <c r="X157" s="219">
        <v>0</v>
      </c>
      <c r="Y157" s="219">
        <v>0</v>
      </c>
      <c r="Z157" s="219">
        <v>0</v>
      </c>
      <c r="AA157" s="219">
        <v>0</v>
      </c>
      <c r="AB157" s="219">
        <v>0</v>
      </c>
      <c r="AC157" s="219">
        <v>0</v>
      </c>
      <c r="AD157" s="219">
        <v>0</v>
      </c>
      <c r="AE157" s="219">
        <v>0</v>
      </c>
    </row>
    <row r="158" spans="2:31" outlineLevel="1">
      <c r="C158" s="983" t="str">
        <f t="shared" si="17"/>
        <v>Subscriptions</v>
      </c>
      <c r="E158" s="3" t="s">
        <v>43</v>
      </c>
      <c r="L158" s="219">
        <v>0</v>
      </c>
      <c r="M158" s="219">
        <v>0</v>
      </c>
      <c r="N158" s="219">
        <v>0</v>
      </c>
      <c r="O158" s="219">
        <v>0</v>
      </c>
      <c r="P158" s="223">
        <v>0.82119205298013243</v>
      </c>
      <c r="Q158" s="223">
        <v>0.8393574297188755</v>
      </c>
      <c r="R158" s="223">
        <v>0.82776349614395883</v>
      </c>
      <c r="S158" s="223">
        <v>0.82767624020887731</v>
      </c>
      <c r="T158" s="223">
        <v>0.82978723404255328</v>
      </c>
      <c r="U158" s="223">
        <v>0.82702702702702702</v>
      </c>
      <c r="V158" s="219">
        <v>0</v>
      </c>
      <c r="W158" s="219">
        <v>0</v>
      </c>
      <c r="X158" s="219">
        <v>0</v>
      </c>
      <c r="Y158" s="219">
        <v>0</v>
      </c>
      <c r="Z158" s="219">
        <v>0</v>
      </c>
      <c r="AA158" s="219">
        <v>0</v>
      </c>
      <c r="AB158" s="219">
        <v>0</v>
      </c>
      <c r="AC158" s="219">
        <v>0</v>
      </c>
      <c r="AD158" s="219">
        <v>0</v>
      </c>
      <c r="AE158" s="219">
        <v>0</v>
      </c>
    </row>
    <row r="159" spans="2:31" outlineLevel="1">
      <c r="C159" s="983" t="str">
        <f t="shared" si="17"/>
        <v>Rent and rates</v>
      </c>
      <c r="E159" s="3" t="s">
        <v>43</v>
      </c>
      <c r="L159" s="219">
        <v>0</v>
      </c>
      <c r="M159" s="219">
        <v>0</v>
      </c>
      <c r="N159" s="219">
        <v>0</v>
      </c>
      <c r="O159" s="219">
        <v>0</v>
      </c>
      <c r="P159" s="223">
        <v>0.67577736759903451</v>
      </c>
      <c r="Q159" s="223">
        <v>0.82858878666898106</v>
      </c>
      <c r="R159" s="223">
        <v>0.82090782299987319</v>
      </c>
      <c r="S159" s="223">
        <v>0.82082055620175542</v>
      </c>
      <c r="T159" s="223">
        <v>0.82034609334032527</v>
      </c>
      <c r="U159" s="223">
        <v>0.82153861955628593</v>
      </c>
      <c r="V159" s="219">
        <v>0</v>
      </c>
      <c r="W159" s="219">
        <v>0</v>
      </c>
      <c r="X159" s="219">
        <v>0</v>
      </c>
      <c r="Y159" s="219">
        <v>0</v>
      </c>
      <c r="Z159" s="219">
        <v>0</v>
      </c>
      <c r="AA159" s="219">
        <v>0</v>
      </c>
      <c r="AB159" s="219">
        <v>0</v>
      </c>
      <c r="AC159" s="219">
        <v>0</v>
      </c>
      <c r="AD159" s="219">
        <v>0</v>
      </c>
      <c r="AE159" s="219">
        <v>0</v>
      </c>
    </row>
    <row r="160" spans="2:31" outlineLevel="1">
      <c r="C160" s="983" t="str">
        <f t="shared" si="17"/>
        <v>Computing</v>
      </c>
      <c r="E160" s="3" t="s">
        <v>43</v>
      </c>
      <c r="L160" s="219">
        <v>0</v>
      </c>
      <c r="M160" s="219">
        <v>0</v>
      </c>
      <c r="N160" s="219">
        <v>0</v>
      </c>
      <c r="O160" s="219">
        <v>0</v>
      </c>
      <c r="P160" s="223">
        <v>0.67577736759903451</v>
      </c>
      <c r="Q160" s="223">
        <v>0.82858878666898106</v>
      </c>
      <c r="R160" s="223">
        <v>0.82090782299987319</v>
      </c>
      <c r="S160" s="223">
        <v>0.82082055620175542</v>
      </c>
      <c r="T160" s="223">
        <v>0.82034609334032504</v>
      </c>
      <c r="U160" s="223">
        <v>0.82153861955628593</v>
      </c>
      <c r="V160" s="219">
        <v>0</v>
      </c>
      <c r="W160" s="219">
        <v>0</v>
      </c>
      <c r="X160" s="219">
        <v>0</v>
      </c>
      <c r="Y160" s="219">
        <v>0</v>
      </c>
      <c r="Z160" s="219">
        <v>0</v>
      </c>
      <c r="AA160" s="219">
        <v>0</v>
      </c>
      <c r="AB160" s="219">
        <v>0</v>
      </c>
      <c r="AC160" s="219">
        <v>0</v>
      </c>
      <c r="AD160" s="219">
        <v>0</v>
      </c>
      <c r="AE160" s="219">
        <v>0</v>
      </c>
    </row>
    <row r="161" spans="3:31" outlineLevel="1">
      <c r="C161" s="983" t="str">
        <f t="shared" si="17"/>
        <v>NIS</v>
      </c>
      <c r="E161" s="3" t="s">
        <v>43</v>
      </c>
      <c r="L161" s="219">
        <v>0</v>
      </c>
      <c r="M161" s="219">
        <v>0</v>
      </c>
      <c r="N161" s="219">
        <v>0</v>
      </c>
      <c r="O161" s="219">
        <v>0</v>
      </c>
      <c r="P161" s="223">
        <v>0.67577736759903451</v>
      </c>
      <c r="Q161" s="223">
        <v>0.82858878666898106</v>
      </c>
      <c r="R161" s="223">
        <v>0.82090782299987319</v>
      </c>
      <c r="S161" s="223">
        <v>0.82082055620175542</v>
      </c>
      <c r="T161" s="223">
        <v>0.82034609334032516</v>
      </c>
      <c r="U161" s="223">
        <v>0.82153861955628593</v>
      </c>
      <c r="V161" s="219">
        <v>0</v>
      </c>
      <c r="W161" s="219">
        <v>0</v>
      </c>
      <c r="X161" s="219">
        <v>0</v>
      </c>
      <c r="Y161" s="219">
        <v>0</v>
      </c>
      <c r="Z161" s="219">
        <v>0</v>
      </c>
      <c r="AA161" s="219">
        <v>0</v>
      </c>
      <c r="AB161" s="219">
        <v>0</v>
      </c>
      <c r="AC161" s="219">
        <v>0</v>
      </c>
      <c r="AD161" s="219">
        <v>0</v>
      </c>
      <c r="AE161" s="219">
        <v>0</v>
      </c>
    </row>
    <row r="162" spans="3:31" outlineLevel="1">
      <c r="C162" s="983" t="str">
        <f t="shared" si="17"/>
        <v>Consultancy</v>
      </c>
      <c r="E162" s="3" t="s">
        <v>43</v>
      </c>
      <c r="L162" s="219">
        <v>0</v>
      </c>
      <c r="M162" s="219">
        <v>0</v>
      </c>
      <c r="N162" s="219">
        <v>0</v>
      </c>
      <c r="O162" s="219">
        <v>0</v>
      </c>
      <c r="P162" s="223">
        <v>0.67577736759903451</v>
      </c>
      <c r="Q162" s="223">
        <v>0.82858878666898106</v>
      </c>
      <c r="R162" s="223">
        <v>0.8209078229998733</v>
      </c>
      <c r="S162" s="223">
        <v>0.82082055620175531</v>
      </c>
      <c r="T162" s="223">
        <v>0.82034609334032516</v>
      </c>
      <c r="U162" s="223">
        <v>0.82153861955628593</v>
      </c>
      <c r="V162" s="219">
        <v>0</v>
      </c>
      <c r="W162" s="219">
        <v>0</v>
      </c>
      <c r="X162" s="219">
        <v>0</v>
      </c>
      <c r="Y162" s="219">
        <v>0</v>
      </c>
      <c r="Z162" s="219">
        <v>0</v>
      </c>
      <c r="AA162" s="219">
        <v>0</v>
      </c>
      <c r="AB162" s="219">
        <v>0</v>
      </c>
      <c r="AC162" s="219">
        <v>0</v>
      </c>
      <c r="AD162" s="219">
        <v>0</v>
      </c>
      <c r="AE162" s="219">
        <v>0</v>
      </c>
    </row>
    <row r="163" spans="3:31" outlineLevel="1">
      <c r="C163" s="983" t="str">
        <f t="shared" si="17"/>
        <v>Insurance (Redacted)</v>
      </c>
      <c r="E163" s="3" t="s">
        <v>43</v>
      </c>
      <c r="L163" s="219">
        <v>0</v>
      </c>
      <c r="M163" s="219">
        <v>0</v>
      </c>
      <c r="N163" s="219">
        <v>0</v>
      </c>
      <c r="O163" s="219">
        <v>0</v>
      </c>
      <c r="P163" s="223">
        <v>0</v>
      </c>
      <c r="Q163" s="223">
        <v>0</v>
      </c>
      <c r="R163" s="223">
        <v>0</v>
      </c>
      <c r="S163" s="223">
        <v>0</v>
      </c>
      <c r="T163" s="223">
        <v>0</v>
      </c>
      <c r="U163" s="223">
        <v>0</v>
      </c>
      <c r="V163" s="219">
        <v>0</v>
      </c>
      <c r="W163" s="219">
        <v>0</v>
      </c>
      <c r="X163" s="219">
        <v>0</v>
      </c>
      <c r="Y163" s="219">
        <v>0</v>
      </c>
      <c r="Z163" s="219">
        <v>0</v>
      </c>
      <c r="AA163" s="219">
        <v>0</v>
      </c>
      <c r="AB163" s="219">
        <v>0</v>
      </c>
      <c r="AC163" s="219">
        <v>0</v>
      </c>
      <c r="AD163" s="219">
        <v>0</v>
      </c>
      <c r="AE163" s="219">
        <v>0</v>
      </c>
    </row>
    <row r="164" spans="3:31" outlineLevel="1">
      <c r="C164" s="983" t="str">
        <f t="shared" si="17"/>
        <v>Building repairs</v>
      </c>
      <c r="E164" s="3" t="s">
        <v>43</v>
      </c>
      <c r="L164" s="219">
        <v>0</v>
      </c>
      <c r="M164" s="219">
        <v>0</v>
      </c>
      <c r="N164" s="219">
        <v>0</v>
      </c>
      <c r="O164" s="219">
        <v>0</v>
      </c>
      <c r="P164" s="223">
        <v>0.67577736759903451</v>
      </c>
      <c r="Q164" s="223">
        <v>0.82858878666898106</v>
      </c>
      <c r="R164" s="223">
        <v>0.82090782299987319</v>
      </c>
      <c r="S164" s="223">
        <v>0.82082055620175531</v>
      </c>
      <c r="T164" s="223">
        <v>0.82034609334032516</v>
      </c>
      <c r="U164" s="223">
        <v>0.82153861955628593</v>
      </c>
      <c r="V164" s="219">
        <v>0</v>
      </c>
      <c r="W164" s="219">
        <v>0</v>
      </c>
      <c r="X164" s="219">
        <v>0</v>
      </c>
      <c r="Y164" s="219">
        <v>0</v>
      </c>
      <c r="Z164" s="219">
        <v>0</v>
      </c>
      <c r="AA164" s="219">
        <v>0</v>
      </c>
      <c r="AB164" s="219">
        <v>0</v>
      </c>
      <c r="AC164" s="219">
        <v>0</v>
      </c>
      <c r="AD164" s="219">
        <v>0</v>
      </c>
      <c r="AE164" s="219">
        <v>0</v>
      </c>
    </row>
    <row r="165" spans="3:31" outlineLevel="1">
      <c r="C165" s="983" t="str">
        <f t="shared" si="17"/>
        <v>Environmental</v>
      </c>
      <c r="E165" s="3" t="s">
        <v>43</v>
      </c>
      <c r="L165" s="219">
        <v>0</v>
      </c>
      <c r="M165" s="219">
        <v>0</v>
      </c>
      <c r="N165" s="219">
        <v>0</v>
      </c>
      <c r="O165" s="219">
        <v>0</v>
      </c>
      <c r="P165" s="223">
        <v>0.67577736759903451</v>
      </c>
      <c r="Q165" s="223">
        <v>0.82858878666898106</v>
      </c>
      <c r="R165" s="223">
        <v>0.82090782299987319</v>
      </c>
      <c r="S165" s="223">
        <v>0.82082055620175531</v>
      </c>
      <c r="T165" s="223">
        <v>0.82034609334032516</v>
      </c>
      <c r="U165" s="223">
        <v>0.82153861955628593</v>
      </c>
      <c r="V165" s="219">
        <v>0</v>
      </c>
      <c r="W165" s="219">
        <v>0</v>
      </c>
      <c r="X165" s="219">
        <v>0</v>
      </c>
      <c r="Y165" s="219">
        <v>0</v>
      </c>
      <c r="Z165" s="219">
        <v>0</v>
      </c>
      <c r="AA165" s="219">
        <v>0</v>
      </c>
      <c r="AB165" s="219">
        <v>0</v>
      </c>
      <c r="AC165" s="219">
        <v>0</v>
      </c>
      <c r="AD165" s="219">
        <v>0</v>
      </c>
      <c r="AE165" s="219">
        <v>0</v>
      </c>
    </row>
    <row r="166" spans="3:31" outlineLevel="1">
      <c r="C166" s="983" t="str">
        <f t="shared" si="17"/>
        <v>Security (Redacted)</v>
      </c>
      <c r="E166" s="3" t="s">
        <v>43</v>
      </c>
      <c r="L166" s="219">
        <v>0</v>
      </c>
      <c r="M166" s="219">
        <v>0</v>
      </c>
      <c r="N166" s="219">
        <v>0</v>
      </c>
      <c r="O166" s="219">
        <v>0</v>
      </c>
      <c r="P166" s="223">
        <v>0</v>
      </c>
      <c r="Q166" s="223">
        <v>0</v>
      </c>
      <c r="R166" s="223">
        <v>0</v>
      </c>
      <c r="S166" s="223">
        <v>0</v>
      </c>
      <c r="T166" s="223">
        <v>0</v>
      </c>
      <c r="U166" s="223">
        <v>0</v>
      </c>
      <c r="V166" s="219">
        <v>0</v>
      </c>
      <c r="W166" s="219">
        <v>0</v>
      </c>
      <c r="X166" s="219">
        <v>0</v>
      </c>
      <c r="Y166" s="219">
        <v>0</v>
      </c>
      <c r="Z166" s="219">
        <v>0</v>
      </c>
      <c r="AA166" s="219">
        <v>0</v>
      </c>
      <c r="AB166" s="219">
        <v>0</v>
      </c>
      <c r="AC166" s="219">
        <v>0</v>
      </c>
      <c r="AD166" s="219">
        <v>0</v>
      </c>
      <c r="AE166" s="219">
        <v>0</v>
      </c>
    </row>
    <row r="167" spans="3:31" outlineLevel="1">
      <c r="C167" s="983" t="str">
        <f t="shared" si="17"/>
        <v>Professional services</v>
      </c>
      <c r="E167" s="3" t="s">
        <v>43</v>
      </c>
      <c r="L167" s="219">
        <v>0</v>
      </c>
      <c r="M167" s="219">
        <v>0</v>
      </c>
      <c r="N167" s="219">
        <v>0</v>
      </c>
      <c r="O167" s="219">
        <v>0</v>
      </c>
      <c r="P167" s="223">
        <v>0.67577736759903451</v>
      </c>
      <c r="Q167" s="223">
        <v>0.82858878666898106</v>
      </c>
      <c r="R167" s="223">
        <v>0.82090782299987319</v>
      </c>
      <c r="S167" s="223">
        <v>0.82082055620175531</v>
      </c>
      <c r="T167" s="223">
        <v>0.82034609334032516</v>
      </c>
      <c r="U167" s="223">
        <v>0.82153861955628593</v>
      </c>
      <c r="V167" s="219">
        <v>0</v>
      </c>
      <c r="W167" s="219">
        <v>0</v>
      </c>
      <c r="X167" s="219">
        <v>0</v>
      </c>
      <c r="Y167" s="219">
        <v>0</v>
      </c>
      <c r="Z167" s="219">
        <v>0</v>
      </c>
      <c r="AA167" s="219">
        <v>0</v>
      </c>
      <c r="AB167" s="219">
        <v>0</v>
      </c>
      <c r="AC167" s="219">
        <v>0</v>
      </c>
      <c r="AD167" s="219">
        <v>0</v>
      </c>
      <c r="AE167" s="219">
        <v>0</v>
      </c>
    </row>
    <row r="168" spans="3:31" outlineLevel="1">
      <c r="C168" s="983" t="str">
        <f t="shared" si="17"/>
        <v>Cleaning (Redacted)</v>
      </c>
      <c r="E168" s="3" t="s">
        <v>43</v>
      </c>
      <c r="L168" s="219">
        <v>0</v>
      </c>
      <c r="M168" s="219">
        <v>0</v>
      </c>
      <c r="N168" s="219">
        <v>0</v>
      </c>
      <c r="O168" s="219">
        <v>0</v>
      </c>
      <c r="P168" s="223">
        <v>0</v>
      </c>
      <c r="Q168" s="223">
        <v>0</v>
      </c>
      <c r="R168" s="223">
        <v>0</v>
      </c>
      <c r="S168" s="223">
        <v>0</v>
      </c>
      <c r="T168" s="223">
        <v>0</v>
      </c>
      <c r="U168" s="223">
        <v>0</v>
      </c>
      <c r="V168" s="219">
        <v>0</v>
      </c>
      <c r="W168" s="219">
        <v>0</v>
      </c>
      <c r="X168" s="219">
        <v>0</v>
      </c>
      <c r="Y168" s="219">
        <v>0</v>
      </c>
      <c r="Z168" s="219">
        <v>0</v>
      </c>
      <c r="AA168" s="219">
        <v>0</v>
      </c>
      <c r="AB168" s="219">
        <v>0</v>
      </c>
      <c r="AC168" s="219">
        <v>0</v>
      </c>
      <c r="AD168" s="219">
        <v>0</v>
      </c>
      <c r="AE168" s="219">
        <v>0</v>
      </c>
    </row>
    <row r="169" spans="3:31" outlineLevel="1">
      <c r="C169" s="983" t="str">
        <f t="shared" si="17"/>
        <v>IAA Restructuring</v>
      </c>
      <c r="E169" s="3" t="s">
        <v>43</v>
      </c>
      <c r="L169" s="219">
        <v>0</v>
      </c>
      <c r="M169" s="219">
        <v>0</v>
      </c>
      <c r="N169" s="219">
        <v>0</v>
      </c>
      <c r="O169" s="219">
        <v>0</v>
      </c>
      <c r="P169" s="223">
        <v>0.67577736759903451</v>
      </c>
      <c r="Q169" s="223">
        <v>0.82858878666898106</v>
      </c>
      <c r="R169" s="223">
        <v>0.82090782299987319</v>
      </c>
      <c r="S169" s="223">
        <v>0.82082055620175531</v>
      </c>
      <c r="T169" s="223">
        <v>0.82034609334032516</v>
      </c>
      <c r="U169" s="223">
        <v>0.82153861955628593</v>
      </c>
      <c r="V169" s="219">
        <v>0</v>
      </c>
      <c r="W169" s="219">
        <v>0</v>
      </c>
      <c r="X169" s="219">
        <v>0</v>
      </c>
      <c r="Y169" s="219">
        <v>0</v>
      </c>
      <c r="Z169" s="219">
        <v>0</v>
      </c>
      <c r="AA169" s="219">
        <v>0</v>
      </c>
      <c r="AB169" s="219">
        <v>0</v>
      </c>
      <c r="AC169" s="219">
        <v>0</v>
      </c>
      <c r="AD169" s="219">
        <v>0</v>
      </c>
      <c r="AE169" s="219">
        <v>0</v>
      </c>
    </row>
    <row r="170" spans="3:31" outlineLevel="1">
      <c r="C170" s="983" t="str">
        <f t="shared" si="17"/>
        <v>Impairment</v>
      </c>
      <c r="E170" s="3" t="s">
        <v>43</v>
      </c>
      <c r="L170" s="219">
        <v>0</v>
      </c>
      <c r="M170" s="219">
        <v>0</v>
      </c>
      <c r="N170" s="219">
        <v>0</v>
      </c>
      <c r="O170" s="219">
        <v>0</v>
      </c>
      <c r="P170" s="223">
        <v>0.67577736759903451</v>
      </c>
      <c r="Q170" s="223">
        <v>0.82858878666898106</v>
      </c>
      <c r="R170" s="223">
        <v>0.82090782299987319</v>
      </c>
      <c r="S170" s="223">
        <v>0.82082055620175531</v>
      </c>
      <c r="T170" s="223">
        <v>0.82034609334032516</v>
      </c>
      <c r="U170" s="223">
        <v>0.82153861955628593</v>
      </c>
      <c r="V170" s="219">
        <v>0</v>
      </c>
      <c r="W170" s="219">
        <v>0</v>
      </c>
      <c r="X170" s="219">
        <v>0</v>
      </c>
      <c r="Y170" s="219">
        <v>0</v>
      </c>
      <c r="Z170" s="219">
        <v>0</v>
      </c>
      <c r="AA170" s="219">
        <v>0</v>
      </c>
      <c r="AB170" s="219">
        <v>0</v>
      </c>
      <c r="AC170" s="219">
        <v>0</v>
      </c>
      <c r="AD170" s="219">
        <v>0</v>
      </c>
      <c r="AE170" s="219">
        <v>0</v>
      </c>
    </row>
    <row r="171" spans="3:31" outlineLevel="1">
      <c r="C171" s="983" t="str">
        <f t="shared" si="17"/>
        <v>PR</v>
      </c>
      <c r="E171" s="3" t="s">
        <v>43</v>
      </c>
      <c r="L171" s="219">
        <v>0</v>
      </c>
      <c r="M171" s="219">
        <v>0</v>
      </c>
      <c r="N171" s="219">
        <v>0</v>
      </c>
      <c r="O171" s="219">
        <v>0</v>
      </c>
      <c r="P171" s="223">
        <v>0.67577736759903451</v>
      </c>
      <c r="Q171" s="223">
        <v>0.82858878666898106</v>
      </c>
      <c r="R171" s="223">
        <v>0.82090782299987308</v>
      </c>
      <c r="S171" s="223">
        <v>0.82082055620175531</v>
      </c>
      <c r="T171" s="223">
        <v>0.82034609334032516</v>
      </c>
      <c r="U171" s="223">
        <v>0.82153861955628593</v>
      </c>
      <c r="V171" s="219">
        <v>0</v>
      </c>
      <c r="W171" s="219">
        <v>0</v>
      </c>
      <c r="X171" s="219">
        <v>0</v>
      </c>
      <c r="Y171" s="219">
        <v>0</v>
      </c>
      <c r="Z171" s="219">
        <v>0</v>
      </c>
      <c r="AA171" s="219">
        <v>0</v>
      </c>
      <c r="AB171" s="219">
        <v>0</v>
      </c>
      <c r="AC171" s="219">
        <v>0</v>
      </c>
      <c r="AD171" s="219">
        <v>0</v>
      </c>
      <c r="AE171" s="219">
        <v>0</v>
      </c>
    </row>
    <row r="172" spans="3:31" outlineLevel="1">
      <c r="C172" s="983" t="str">
        <f t="shared" si="17"/>
        <v>Staff related</v>
      </c>
      <c r="E172" s="3" t="s">
        <v>43</v>
      </c>
      <c r="L172" s="219">
        <v>0</v>
      </c>
      <c r="M172" s="219">
        <v>0</v>
      </c>
      <c r="N172" s="219">
        <v>0</v>
      </c>
      <c r="O172" s="219">
        <v>0</v>
      </c>
      <c r="P172" s="223">
        <v>0.67577736759903451</v>
      </c>
      <c r="Q172" s="223">
        <v>0.82858878666898106</v>
      </c>
      <c r="R172" s="223">
        <v>0.82090782299987319</v>
      </c>
      <c r="S172" s="223">
        <v>0.82082055620175531</v>
      </c>
      <c r="T172" s="223">
        <v>0.82034609334032516</v>
      </c>
      <c r="U172" s="223">
        <v>0.82153861955628593</v>
      </c>
      <c r="V172" s="219">
        <v>0</v>
      </c>
      <c r="W172" s="219">
        <v>0</v>
      </c>
      <c r="X172" s="219">
        <v>0</v>
      </c>
      <c r="Y172" s="219">
        <v>0</v>
      </c>
      <c r="Z172" s="219">
        <v>0</v>
      </c>
      <c r="AA172" s="219">
        <v>0</v>
      </c>
      <c r="AB172" s="219">
        <v>0</v>
      </c>
      <c r="AC172" s="219">
        <v>0</v>
      </c>
      <c r="AD172" s="219">
        <v>0</v>
      </c>
      <c r="AE172" s="219">
        <v>0</v>
      </c>
    </row>
    <row r="173" spans="3:31" outlineLevel="1">
      <c r="C173" s="983" t="str">
        <f t="shared" si="17"/>
        <v>Other</v>
      </c>
      <c r="E173" s="3" t="s">
        <v>43</v>
      </c>
      <c r="L173" s="219">
        <v>0</v>
      </c>
      <c r="M173" s="219">
        <v>0</v>
      </c>
      <c r="N173" s="219">
        <v>0</v>
      </c>
      <c r="O173" s="219">
        <v>0</v>
      </c>
      <c r="P173" s="223">
        <v>0.67577736759903451</v>
      </c>
      <c r="Q173" s="223">
        <v>0.82858878666898106</v>
      </c>
      <c r="R173" s="223">
        <v>0.82090782299987319</v>
      </c>
      <c r="S173" s="223">
        <v>0.82082055620175531</v>
      </c>
      <c r="T173" s="223">
        <v>0.82034609334032516</v>
      </c>
      <c r="U173" s="223">
        <v>0.82153861955628593</v>
      </c>
      <c r="V173" s="219">
        <v>0</v>
      </c>
      <c r="W173" s="219">
        <v>0</v>
      </c>
      <c r="X173" s="219">
        <v>0</v>
      </c>
      <c r="Y173" s="219">
        <v>0</v>
      </c>
      <c r="Z173" s="219">
        <v>0</v>
      </c>
      <c r="AA173" s="219">
        <v>0</v>
      </c>
      <c r="AB173" s="219">
        <v>0</v>
      </c>
      <c r="AC173" s="219">
        <v>0</v>
      </c>
      <c r="AD173" s="219">
        <v>0</v>
      </c>
      <c r="AE173" s="219">
        <v>0</v>
      </c>
    </row>
    <row r="174" spans="3:31" outlineLevel="1">
      <c r="C174" s="983" t="str">
        <f t="shared" si="17"/>
        <v>Redacted</v>
      </c>
      <c r="E174" s="3" t="s">
        <v>43</v>
      </c>
      <c r="L174" s="219">
        <v>0</v>
      </c>
      <c r="M174" s="219">
        <v>0</v>
      </c>
      <c r="N174" s="219">
        <v>0</v>
      </c>
      <c r="O174" s="219">
        <v>0</v>
      </c>
      <c r="P174" s="223">
        <v>0.79264155293229233</v>
      </c>
      <c r="Q174" s="223">
        <v>0.82752502439318276</v>
      </c>
      <c r="R174" s="223">
        <v>0.82579888892029363</v>
      </c>
      <c r="S174" s="223">
        <v>0.8234765152354746</v>
      </c>
      <c r="T174" s="223">
        <v>0.82226588824158287</v>
      </c>
      <c r="U174" s="223">
        <v>0.82172476798299865</v>
      </c>
      <c r="V174" s="219">
        <v>0</v>
      </c>
      <c r="W174" s="219">
        <v>0</v>
      </c>
      <c r="X174" s="219">
        <v>0</v>
      </c>
      <c r="Y174" s="219">
        <v>0</v>
      </c>
      <c r="Z174" s="219">
        <v>0</v>
      </c>
      <c r="AA174" s="219">
        <v>0</v>
      </c>
      <c r="AB174" s="219">
        <v>0</v>
      </c>
      <c r="AC174" s="219">
        <v>0</v>
      </c>
      <c r="AD174" s="219">
        <v>0</v>
      </c>
      <c r="AE174" s="219">
        <v>0</v>
      </c>
    </row>
    <row r="175" spans="3:31" outlineLevel="1">
      <c r="C175" s="983">
        <f t="shared" si="17"/>
        <v>0</v>
      </c>
      <c r="L175" s="219">
        <v>0</v>
      </c>
      <c r="M175" s="219">
        <v>0</v>
      </c>
      <c r="N175" s="219">
        <v>0</v>
      </c>
      <c r="O175" s="219">
        <v>0</v>
      </c>
      <c r="P175" s="219">
        <v>0</v>
      </c>
      <c r="Q175" s="219">
        <v>0</v>
      </c>
      <c r="R175" s="219">
        <v>0</v>
      </c>
      <c r="S175" s="219">
        <v>0</v>
      </c>
      <c r="T175" s="219">
        <v>0</v>
      </c>
      <c r="U175" s="219">
        <v>0</v>
      </c>
      <c r="V175" s="219">
        <v>0</v>
      </c>
      <c r="W175" s="219">
        <v>0</v>
      </c>
      <c r="X175" s="219">
        <v>0</v>
      </c>
      <c r="Y175" s="219">
        <v>0</v>
      </c>
      <c r="Z175" s="219">
        <v>0</v>
      </c>
      <c r="AA175" s="219">
        <v>0</v>
      </c>
      <c r="AB175" s="219">
        <v>0</v>
      </c>
      <c r="AC175" s="219">
        <v>0</v>
      </c>
      <c r="AD175" s="219">
        <v>0</v>
      </c>
      <c r="AE175" s="219">
        <v>0</v>
      </c>
    </row>
    <row r="176" spans="3:31" outlineLevel="1">
      <c r="C176" s="983">
        <f t="shared" si="17"/>
        <v>0</v>
      </c>
      <c r="L176" s="219">
        <v>0</v>
      </c>
      <c r="M176" s="219">
        <v>0</v>
      </c>
      <c r="N176" s="219">
        <v>0</v>
      </c>
      <c r="O176" s="219">
        <v>0</v>
      </c>
      <c r="P176" s="219">
        <v>0</v>
      </c>
      <c r="Q176" s="219">
        <v>0</v>
      </c>
      <c r="R176" s="219">
        <v>0</v>
      </c>
      <c r="S176" s="219">
        <v>0</v>
      </c>
      <c r="T176" s="219">
        <v>0</v>
      </c>
      <c r="U176" s="219">
        <v>0</v>
      </c>
      <c r="V176" s="219">
        <v>0</v>
      </c>
      <c r="W176" s="219">
        <v>0</v>
      </c>
      <c r="X176" s="219">
        <v>0</v>
      </c>
      <c r="Y176" s="219">
        <v>0</v>
      </c>
      <c r="Z176" s="219">
        <v>0</v>
      </c>
      <c r="AA176" s="219">
        <v>0</v>
      </c>
      <c r="AB176" s="219">
        <v>0</v>
      </c>
      <c r="AC176" s="219">
        <v>0</v>
      </c>
      <c r="AD176" s="219">
        <v>0</v>
      </c>
      <c r="AE176" s="219">
        <v>0</v>
      </c>
    </row>
    <row r="177" spans="2:31" outlineLevel="1">
      <c r="C177" s="983">
        <f t="shared" si="17"/>
        <v>0</v>
      </c>
      <c r="L177" s="219">
        <v>0</v>
      </c>
      <c r="M177" s="219">
        <v>0</v>
      </c>
      <c r="N177" s="219">
        <v>0</v>
      </c>
      <c r="O177" s="219">
        <v>0</v>
      </c>
      <c r="P177" s="219">
        <v>0</v>
      </c>
      <c r="Q177" s="219">
        <v>0</v>
      </c>
      <c r="R177" s="219">
        <v>0</v>
      </c>
      <c r="S177" s="219">
        <v>0</v>
      </c>
      <c r="T177" s="219">
        <v>0</v>
      </c>
      <c r="U177" s="219">
        <v>0</v>
      </c>
      <c r="V177" s="219">
        <v>0</v>
      </c>
      <c r="W177" s="219">
        <v>0</v>
      </c>
      <c r="X177" s="219">
        <v>0</v>
      </c>
      <c r="Y177" s="219">
        <v>0</v>
      </c>
      <c r="Z177" s="219">
        <v>0</v>
      </c>
      <c r="AA177" s="219">
        <v>0</v>
      </c>
      <c r="AB177" s="219">
        <v>0</v>
      </c>
      <c r="AC177" s="219">
        <v>0</v>
      </c>
      <c r="AD177" s="219">
        <v>0</v>
      </c>
      <c r="AE177" s="219">
        <v>0</v>
      </c>
    </row>
    <row r="178" spans="2:31" outlineLevel="1">
      <c r="C178" s="983">
        <f t="shared" si="17"/>
        <v>0</v>
      </c>
      <c r="L178" s="219">
        <v>0</v>
      </c>
      <c r="M178" s="219">
        <v>0</v>
      </c>
      <c r="N178" s="219">
        <v>0</v>
      </c>
      <c r="O178" s="219">
        <v>0</v>
      </c>
      <c r="P178" s="219">
        <v>0</v>
      </c>
      <c r="Q178" s="219">
        <v>0</v>
      </c>
      <c r="R178" s="219">
        <v>0</v>
      </c>
      <c r="S178" s="219">
        <v>0</v>
      </c>
      <c r="T178" s="219">
        <v>0</v>
      </c>
      <c r="U178" s="219">
        <v>0</v>
      </c>
      <c r="V178" s="219">
        <v>0</v>
      </c>
      <c r="W178" s="219">
        <v>0</v>
      </c>
      <c r="X178" s="219">
        <v>0</v>
      </c>
      <c r="Y178" s="219">
        <v>0</v>
      </c>
      <c r="Z178" s="219">
        <v>0</v>
      </c>
      <c r="AA178" s="219">
        <v>0</v>
      </c>
      <c r="AB178" s="219">
        <v>0</v>
      </c>
      <c r="AC178" s="219">
        <v>0</v>
      </c>
      <c r="AD178" s="219">
        <v>0</v>
      </c>
      <c r="AE178" s="219">
        <v>0</v>
      </c>
    </row>
    <row r="179" spans="2:31" outlineLevel="1">
      <c r="C179" s="983">
        <f t="shared" si="17"/>
        <v>0</v>
      </c>
      <c r="L179" s="219">
        <v>0</v>
      </c>
      <c r="M179" s="219">
        <v>0</v>
      </c>
      <c r="N179" s="219">
        <v>0</v>
      </c>
      <c r="O179" s="219">
        <v>0</v>
      </c>
      <c r="P179" s="219">
        <v>0</v>
      </c>
      <c r="Q179" s="219">
        <v>0</v>
      </c>
      <c r="R179" s="219">
        <v>0</v>
      </c>
      <c r="S179" s="219">
        <v>0</v>
      </c>
      <c r="T179" s="219">
        <v>0</v>
      </c>
      <c r="U179" s="219">
        <v>0</v>
      </c>
      <c r="V179" s="219">
        <v>0</v>
      </c>
      <c r="W179" s="219">
        <v>0</v>
      </c>
      <c r="X179" s="219">
        <v>0</v>
      </c>
      <c r="Y179" s="219">
        <v>0</v>
      </c>
      <c r="Z179" s="219">
        <v>0</v>
      </c>
      <c r="AA179" s="219">
        <v>0</v>
      </c>
      <c r="AB179" s="219">
        <v>0</v>
      </c>
      <c r="AC179" s="219">
        <v>0</v>
      </c>
      <c r="AD179" s="219">
        <v>0</v>
      </c>
      <c r="AE179" s="219">
        <v>0</v>
      </c>
    </row>
    <row r="180" spans="2:31" outlineLevel="1">
      <c r="C180" s="983">
        <f t="shared" si="17"/>
        <v>0</v>
      </c>
      <c r="L180" s="219">
        <v>0</v>
      </c>
      <c r="M180" s="219">
        <v>0</v>
      </c>
      <c r="N180" s="219">
        <v>0</v>
      </c>
      <c r="O180" s="219">
        <v>0</v>
      </c>
      <c r="P180" s="219">
        <v>0</v>
      </c>
      <c r="Q180" s="219">
        <v>0</v>
      </c>
      <c r="R180" s="219">
        <v>0</v>
      </c>
      <c r="S180" s="219">
        <v>0</v>
      </c>
      <c r="T180" s="219">
        <v>0</v>
      </c>
      <c r="U180" s="219">
        <v>0</v>
      </c>
      <c r="V180" s="219">
        <v>0</v>
      </c>
      <c r="W180" s="219">
        <v>0</v>
      </c>
      <c r="X180" s="219">
        <v>0</v>
      </c>
      <c r="Y180" s="219">
        <v>0</v>
      </c>
      <c r="Z180" s="219">
        <v>0</v>
      </c>
      <c r="AA180" s="219">
        <v>0</v>
      </c>
      <c r="AB180" s="219">
        <v>0</v>
      </c>
      <c r="AC180" s="219">
        <v>0</v>
      </c>
      <c r="AD180" s="219">
        <v>0</v>
      </c>
      <c r="AE180" s="219">
        <v>0</v>
      </c>
    </row>
    <row r="182" spans="2:31" ht="13.5" thickBot="1">
      <c r="C182" s="6" t="s">
        <v>797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2:31">
      <c r="C183" s="3" t="s">
        <v>853</v>
      </c>
      <c r="E183" s="3" t="s">
        <v>29</v>
      </c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38"/>
      <c r="X183" s="38"/>
      <c r="Y183" s="38"/>
      <c r="Z183" s="38"/>
      <c r="AA183" s="38"/>
      <c r="AB183" s="38"/>
      <c r="AC183" s="38"/>
      <c r="AD183" s="38"/>
      <c r="AE183" s="38"/>
    </row>
    <row r="184" spans="2:31">
      <c r="J184" s="148"/>
      <c r="K184" s="148"/>
    </row>
    <row r="185" spans="2:31" ht="13.5" thickBot="1">
      <c r="C185" s="6" t="s">
        <v>815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2:31">
      <c r="C186" s="3" t="s">
        <v>853</v>
      </c>
      <c r="E186" s="3" t="s">
        <v>29</v>
      </c>
      <c r="L186" s="27">
        <f t="shared" ref="L186:AE186" si="18">(SUMPRODUCT(L110:L141,L149:L180)*(L183="")+L183)</f>
        <v>0</v>
      </c>
      <c r="M186" s="27">
        <f t="shared" si="18"/>
        <v>0</v>
      </c>
      <c r="N186" s="27">
        <f t="shared" si="18"/>
        <v>0</v>
      </c>
      <c r="O186" s="27">
        <f t="shared" si="18"/>
        <v>0</v>
      </c>
      <c r="P186" s="27">
        <f t="shared" si="18"/>
        <v>23989</v>
      </c>
      <c r="Q186" s="27">
        <f t="shared" si="18"/>
        <v>22219.904127703208</v>
      </c>
      <c r="R186" s="27">
        <f t="shared" si="18"/>
        <v>23847.194348905974</v>
      </c>
      <c r="S186" s="27">
        <f t="shared" si="18"/>
        <v>26051.747671261168</v>
      </c>
      <c r="T186" s="27">
        <f t="shared" si="18"/>
        <v>26447.913000832457</v>
      </c>
      <c r="U186" s="27">
        <f t="shared" si="18"/>
        <v>27082.126971130165</v>
      </c>
      <c r="V186" s="27">
        <f t="shared" si="18"/>
        <v>0</v>
      </c>
      <c r="W186" s="27">
        <f t="shared" si="18"/>
        <v>0</v>
      </c>
      <c r="X186" s="27">
        <f t="shared" si="18"/>
        <v>0</v>
      </c>
      <c r="Y186" s="27">
        <f t="shared" si="18"/>
        <v>0</v>
      </c>
      <c r="Z186" s="27">
        <f t="shared" si="18"/>
        <v>0</v>
      </c>
      <c r="AA186" s="27">
        <f t="shared" si="18"/>
        <v>0</v>
      </c>
      <c r="AB186" s="27">
        <f t="shared" si="18"/>
        <v>0</v>
      </c>
      <c r="AC186" s="27">
        <f t="shared" si="18"/>
        <v>0</v>
      </c>
      <c r="AD186" s="27">
        <f t="shared" si="18"/>
        <v>0</v>
      </c>
      <c r="AE186" s="27">
        <f t="shared" si="18"/>
        <v>0</v>
      </c>
    </row>
    <row r="187" spans="2:31">
      <c r="C187" s="17"/>
      <c r="D187" s="17"/>
      <c r="E187" s="17"/>
      <c r="F187" s="17"/>
      <c r="G187" s="17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</row>
    <row r="188" spans="2:31">
      <c r="B188" s="152" t="s">
        <v>24</v>
      </c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90" spans="2:31" ht="13.5" thickBot="1">
      <c r="C190" s="7" t="s">
        <v>854</v>
      </c>
      <c r="D190" s="7"/>
      <c r="E190" s="7"/>
      <c r="F190" s="7"/>
      <c r="G190" s="7"/>
      <c r="H190" s="7"/>
      <c r="I190" s="7"/>
      <c r="J190" s="7"/>
      <c r="K190" s="7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</row>
    <row r="191" spans="2:31" outlineLevel="1">
      <c r="C191" s="983" t="str">
        <f t="shared" ref="C191:C222" si="19">C110</f>
        <v>Travel</v>
      </c>
      <c r="E191" s="3" t="s">
        <v>43</v>
      </c>
      <c r="L191" s="219">
        <v>0</v>
      </c>
      <c r="M191" s="219">
        <v>0</v>
      </c>
      <c r="N191" s="219">
        <v>0</v>
      </c>
      <c r="O191" s="219">
        <v>0</v>
      </c>
      <c r="P191" s="1658">
        <v>0.14252339999999997</v>
      </c>
      <c r="Q191" s="1658">
        <v>0.12967580000000001</v>
      </c>
      <c r="R191" s="1658">
        <v>0.16112530000000003</v>
      </c>
      <c r="S191" s="1658">
        <v>0.16082660000000004</v>
      </c>
      <c r="T191" s="1658">
        <v>0.16034760000000003</v>
      </c>
      <c r="U191" s="1658">
        <v>0.16043960000000002</v>
      </c>
      <c r="V191" s="219">
        <v>0</v>
      </c>
      <c r="W191" s="219">
        <v>0</v>
      </c>
      <c r="X191" s="219">
        <v>0</v>
      </c>
      <c r="Y191" s="219">
        <v>0</v>
      </c>
      <c r="Z191" s="219">
        <v>0</v>
      </c>
      <c r="AA191" s="219">
        <v>0</v>
      </c>
      <c r="AB191" s="219">
        <v>0</v>
      </c>
      <c r="AC191" s="219">
        <v>0</v>
      </c>
      <c r="AD191" s="219">
        <v>0</v>
      </c>
      <c r="AE191" s="219">
        <v>0</v>
      </c>
    </row>
    <row r="192" spans="2:31" outlineLevel="1">
      <c r="C192" s="983" t="str">
        <f t="shared" si="19"/>
        <v>Training (Redected)</v>
      </c>
      <c r="E192" s="3" t="s">
        <v>43</v>
      </c>
      <c r="L192" s="219">
        <v>0</v>
      </c>
      <c r="M192" s="219">
        <v>0</v>
      </c>
      <c r="N192" s="219">
        <v>0</v>
      </c>
      <c r="O192" s="219">
        <v>0</v>
      </c>
      <c r="P192" s="219">
        <v>0</v>
      </c>
      <c r="Q192" s="219">
        <v>0</v>
      </c>
      <c r="R192" s="219">
        <v>0</v>
      </c>
      <c r="S192" s="219">
        <v>0</v>
      </c>
      <c r="T192" s="219">
        <v>0</v>
      </c>
      <c r="U192" s="219">
        <v>0</v>
      </c>
      <c r="V192" s="219">
        <v>0</v>
      </c>
      <c r="W192" s="219">
        <v>0</v>
      </c>
      <c r="X192" s="219">
        <v>0</v>
      </c>
      <c r="Y192" s="219">
        <v>0</v>
      </c>
      <c r="Z192" s="219">
        <v>0</v>
      </c>
      <c r="AA192" s="219">
        <v>0</v>
      </c>
      <c r="AB192" s="219">
        <v>0</v>
      </c>
      <c r="AC192" s="219">
        <v>0</v>
      </c>
      <c r="AD192" s="219">
        <v>0</v>
      </c>
      <c r="AE192" s="219">
        <v>0</v>
      </c>
    </row>
    <row r="193" spans="3:31" outlineLevel="1">
      <c r="C193" s="983" t="str">
        <f t="shared" si="19"/>
        <v>Utilities</v>
      </c>
      <c r="E193" s="3" t="s">
        <v>43</v>
      </c>
      <c r="L193" s="219">
        <v>0</v>
      </c>
      <c r="M193" s="219">
        <v>0</v>
      </c>
      <c r="N193" s="219">
        <v>0</v>
      </c>
      <c r="O193" s="219">
        <v>0</v>
      </c>
      <c r="P193" s="1658">
        <v>0.15000000000000002</v>
      </c>
      <c r="Q193" s="1658">
        <v>0.2234043</v>
      </c>
      <c r="R193" s="1658">
        <v>0.23349439999999999</v>
      </c>
      <c r="S193" s="1658">
        <v>0.23149609999999998</v>
      </c>
      <c r="T193" s="1658">
        <v>0.23149609999999998</v>
      </c>
      <c r="U193" s="1658">
        <v>0.23149609999999998</v>
      </c>
      <c r="V193" s="219">
        <v>0</v>
      </c>
      <c r="W193" s="219">
        <v>0</v>
      </c>
      <c r="X193" s="219">
        <v>0</v>
      </c>
      <c r="Y193" s="219">
        <v>0</v>
      </c>
      <c r="Z193" s="219">
        <v>0</v>
      </c>
      <c r="AA193" s="219">
        <v>0</v>
      </c>
      <c r="AB193" s="219">
        <v>0</v>
      </c>
      <c r="AC193" s="219">
        <v>0</v>
      </c>
      <c r="AD193" s="219">
        <v>0</v>
      </c>
      <c r="AE193" s="219">
        <v>0</v>
      </c>
    </row>
    <row r="194" spans="3:31" outlineLevel="1">
      <c r="C194" s="983" t="str">
        <f t="shared" si="19"/>
        <v>Telecoms (Redacted)</v>
      </c>
      <c r="E194" s="3" t="s">
        <v>43</v>
      </c>
      <c r="L194" s="219">
        <v>0</v>
      </c>
      <c r="M194" s="219">
        <v>0</v>
      </c>
      <c r="N194" s="219">
        <v>0</v>
      </c>
      <c r="O194" s="219">
        <v>0</v>
      </c>
      <c r="P194" s="219">
        <v>0</v>
      </c>
      <c r="Q194" s="219">
        <v>0</v>
      </c>
      <c r="R194" s="219">
        <v>0</v>
      </c>
      <c r="S194" s="219">
        <v>0</v>
      </c>
      <c r="T194" s="219">
        <v>0</v>
      </c>
      <c r="U194" s="219">
        <v>0</v>
      </c>
      <c r="V194" s="219">
        <v>0</v>
      </c>
      <c r="W194" s="219">
        <v>0</v>
      </c>
      <c r="X194" s="219">
        <v>0</v>
      </c>
      <c r="Y194" s="219">
        <v>0</v>
      </c>
      <c r="Z194" s="219">
        <v>0</v>
      </c>
      <c r="AA194" s="219">
        <v>0</v>
      </c>
      <c r="AB194" s="219">
        <v>0</v>
      </c>
      <c r="AC194" s="219">
        <v>0</v>
      </c>
      <c r="AD194" s="219">
        <v>0</v>
      </c>
      <c r="AE194" s="219">
        <v>0</v>
      </c>
    </row>
    <row r="195" spans="3:31" outlineLevel="1">
      <c r="C195" s="983" t="str">
        <f t="shared" si="19"/>
        <v>Maintenance</v>
      </c>
      <c r="E195" s="3" t="s">
        <v>43</v>
      </c>
      <c r="L195" s="219">
        <v>0</v>
      </c>
      <c r="M195" s="219">
        <v>0</v>
      </c>
      <c r="N195" s="219">
        <v>0</v>
      </c>
      <c r="O195" s="219">
        <v>0</v>
      </c>
      <c r="P195" s="1658">
        <v>0.19512200000000002</v>
      </c>
      <c r="Q195" s="1658">
        <v>0.20881229999999995</v>
      </c>
      <c r="R195" s="1658">
        <v>0.21747570000000005</v>
      </c>
      <c r="S195" s="1658">
        <v>0.21406369999999997</v>
      </c>
      <c r="T195" s="1658">
        <v>0.21323449999999999</v>
      </c>
      <c r="U195" s="1658">
        <v>0.21339339999999996</v>
      </c>
      <c r="V195" s="219">
        <v>0</v>
      </c>
      <c r="W195" s="219">
        <v>0</v>
      </c>
      <c r="X195" s="219">
        <v>0</v>
      </c>
      <c r="Y195" s="219">
        <v>0</v>
      </c>
      <c r="Z195" s="219">
        <v>0</v>
      </c>
      <c r="AA195" s="219">
        <v>0</v>
      </c>
      <c r="AB195" s="219">
        <v>0</v>
      </c>
      <c r="AC195" s="219">
        <v>0</v>
      </c>
      <c r="AD195" s="219">
        <v>0</v>
      </c>
      <c r="AE195" s="219">
        <v>0</v>
      </c>
    </row>
    <row r="196" spans="3:31" outlineLevel="1">
      <c r="C196" s="983" t="str">
        <f t="shared" si="19"/>
        <v>Spares</v>
      </c>
      <c r="E196" s="3" t="s">
        <v>43</v>
      </c>
      <c r="L196" s="219">
        <v>0</v>
      </c>
      <c r="M196" s="219">
        <v>0</v>
      </c>
      <c r="N196" s="219">
        <v>0</v>
      </c>
      <c r="O196" s="219">
        <v>0</v>
      </c>
      <c r="P196" s="1658">
        <v>0.19512200000000002</v>
      </c>
      <c r="Q196" s="1658">
        <v>0.20881229999999995</v>
      </c>
      <c r="R196" s="1658">
        <v>0.21747570000000005</v>
      </c>
      <c r="S196" s="1658">
        <v>0.21406369999999997</v>
      </c>
      <c r="T196" s="1658">
        <v>0.21323449999999999</v>
      </c>
      <c r="U196" s="1658">
        <v>0.21339339999999996</v>
      </c>
      <c r="V196" s="219">
        <v>0</v>
      </c>
      <c r="W196" s="219">
        <v>0</v>
      </c>
      <c r="X196" s="219">
        <v>0</v>
      </c>
      <c r="Y196" s="219">
        <v>0</v>
      </c>
      <c r="Z196" s="219">
        <v>0</v>
      </c>
      <c r="AA196" s="219">
        <v>0</v>
      </c>
      <c r="AB196" s="219">
        <v>0</v>
      </c>
      <c r="AC196" s="219">
        <v>0</v>
      </c>
      <c r="AD196" s="219">
        <v>0</v>
      </c>
      <c r="AE196" s="219">
        <v>0</v>
      </c>
    </row>
    <row r="197" spans="3:31" outlineLevel="1">
      <c r="C197" s="983" t="str">
        <f t="shared" si="19"/>
        <v>Power</v>
      </c>
      <c r="E197" s="3" t="s">
        <v>43</v>
      </c>
      <c r="L197" s="219">
        <v>0</v>
      </c>
      <c r="M197" s="219">
        <v>0</v>
      </c>
      <c r="N197" s="219">
        <v>0</v>
      </c>
      <c r="O197" s="219">
        <v>0</v>
      </c>
      <c r="P197" s="1658">
        <v>0.19512200000000002</v>
      </c>
      <c r="Q197" s="1658">
        <v>0.20881229999999995</v>
      </c>
      <c r="R197" s="1658">
        <v>0.21747570000000005</v>
      </c>
      <c r="S197" s="1658">
        <v>0.21406369999999997</v>
      </c>
      <c r="T197" s="1658">
        <v>0.21323449999999999</v>
      </c>
      <c r="U197" s="1658">
        <v>0.21339339999999996</v>
      </c>
      <c r="V197" s="219">
        <v>0</v>
      </c>
      <c r="W197" s="219">
        <v>0</v>
      </c>
      <c r="X197" s="219">
        <v>0</v>
      </c>
      <c r="Y197" s="219">
        <v>0</v>
      </c>
      <c r="Z197" s="219">
        <v>0</v>
      </c>
      <c r="AA197" s="219">
        <v>0</v>
      </c>
      <c r="AB197" s="219">
        <v>0</v>
      </c>
      <c r="AC197" s="219">
        <v>0</v>
      </c>
      <c r="AD197" s="219">
        <v>0</v>
      </c>
      <c r="AE197" s="219">
        <v>0</v>
      </c>
    </row>
    <row r="198" spans="3:31" outlineLevel="1">
      <c r="C198" s="983" t="str">
        <f t="shared" si="19"/>
        <v>Flight checking</v>
      </c>
      <c r="E198" s="3" t="s">
        <v>43</v>
      </c>
      <c r="L198" s="219">
        <v>0</v>
      </c>
      <c r="M198" s="219">
        <v>0</v>
      </c>
      <c r="N198" s="219">
        <v>0</v>
      </c>
      <c r="O198" s="219">
        <v>0</v>
      </c>
      <c r="P198" s="219">
        <v>0</v>
      </c>
      <c r="Q198" s="219">
        <v>0</v>
      </c>
      <c r="R198" s="219">
        <v>0</v>
      </c>
      <c r="S198" s="219">
        <v>0</v>
      </c>
      <c r="T198" s="219">
        <v>0</v>
      </c>
      <c r="U198" s="219">
        <v>0</v>
      </c>
      <c r="V198" s="219">
        <v>0</v>
      </c>
      <c r="W198" s="219">
        <v>0</v>
      </c>
      <c r="X198" s="219">
        <v>0</v>
      </c>
      <c r="Y198" s="219">
        <v>0</v>
      </c>
      <c r="Z198" s="219">
        <v>0</v>
      </c>
      <c r="AA198" s="219">
        <v>0</v>
      </c>
      <c r="AB198" s="219">
        <v>0</v>
      </c>
      <c r="AC198" s="219">
        <v>0</v>
      </c>
      <c r="AD198" s="219">
        <v>0</v>
      </c>
      <c r="AE198" s="219">
        <v>0</v>
      </c>
    </row>
    <row r="199" spans="3:31" outlineLevel="1">
      <c r="C199" s="983" t="str">
        <f t="shared" si="19"/>
        <v>Other</v>
      </c>
      <c r="E199" s="3" t="s">
        <v>43</v>
      </c>
      <c r="L199" s="219">
        <v>0</v>
      </c>
      <c r="M199" s="219">
        <v>0</v>
      </c>
      <c r="N199" s="219">
        <v>0</v>
      </c>
      <c r="O199" s="219">
        <v>0</v>
      </c>
      <c r="P199" s="1658">
        <v>0.19512200000000002</v>
      </c>
      <c r="Q199" s="1658">
        <v>0.20881229999999995</v>
      </c>
      <c r="R199" s="1658">
        <v>0.21747570000000005</v>
      </c>
      <c r="S199" s="1658">
        <v>0.21406369999999997</v>
      </c>
      <c r="T199" s="1658">
        <v>0.21323449999999999</v>
      </c>
      <c r="U199" s="1658">
        <v>0.21339339999999996</v>
      </c>
      <c r="V199" s="219">
        <v>0</v>
      </c>
      <c r="W199" s="219">
        <v>0</v>
      </c>
      <c r="X199" s="219">
        <v>0</v>
      </c>
      <c r="Y199" s="219">
        <v>0</v>
      </c>
      <c r="Z199" s="219">
        <v>0</v>
      </c>
      <c r="AA199" s="219">
        <v>0</v>
      </c>
      <c r="AB199" s="219">
        <v>0</v>
      </c>
      <c r="AC199" s="219">
        <v>0</v>
      </c>
      <c r="AD199" s="219">
        <v>0</v>
      </c>
      <c r="AE199" s="219">
        <v>0</v>
      </c>
    </row>
    <row r="200" spans="3:31" outlineLevel="1">
      <c r="C200" s="983" t="str">
        <f t="shared" si="19"/>
        <v>Subscriptions</v>
      </c>
      <c r="E200" s="3" t="s">
        <v>43</v>
      </c>
      <c r="L200" s="219">
        <v>0</v>
      </c>
      <c r="M200" s="219">
        <v>0</v>
      </c>
      <c r="N200" s="219">
        <v>0</v>
      </c>
      <c r="O200" s="219">
        <v>0</v>
      </c>
      <c r="P200" s="1658">
        <v>0.17880790000000002</v>
      </c>
      <c r="Q200" s="1658">
        <v>0.16064259999999997</v>
      </c>
      <c r="R200" s="1658">
        <v>0.17223650000000001</v>
      </c>
      <c r="S200" s="1658">
        <v>0.17232380000000003</v>
      </c>
      <c r="T200" s="1658">
        <v>0.17021280000000005</v>
      </c>
      <c r="U200" s="1658">
        <v>0.17297300000000004</v>
      </c>
      <c r="V200" s="219">
        <v>0</v>
      </c>
      <c r="W200" s="219">
        <v>0</v>
      </c>
      <c r="X200" s="219">
        <v>0</v>
      </c>
      <c r="Y200" s="219">
        <v>0</v>
      </c>
      <c r="Z200" s="219">
        <v>0</v>
      </c>
      <c r="AA200" s="219">
        <v>0</v>
      </c>
      <c r="AB200" s="219">
        <v>0</v>
      </c>
      <c r="AC200" s="219">
        <v>0</v>
      </c>
      <c r="AD200" s="219">
        <v>0</v>
      </c>
      <c r="AE200" s="219">
        <v>0</v>
      </c>
    </row>
    <row r="201" spans="3:31" outlineLevel="1">
      <c r="C201" s="983" t="str">
        <f t="shared" si="19"/>
        <v>Rent and rates</v>
      </c>
      <c r="E201" s="3" t="s">
        <v>43</v>
      </c>
      <c r="L201" s="219">
        <v>0</v>
      </c>
      <c r="M201" s="219">
        <v>0</v>
      </c>
      <c r="N201" s="219">
        <v>0</v>
      </c>
      <c r="O201" s="219">
        <v>0</v>
      </c>
      <c r="P201" s="1658">
        <v>0.32422260000000003</v>
      </c>
      <c r="Q201" s="1658">
        <v>0.17141119999999999</v>
      </c>
      <c r="R201" s="1658">
        <v>0.17909220000000003</v>
      </c>
      <c r="S201" s="1658">
        <v>0.17917939999999999</v>
      </c>
      <c r="T201" s="1658">
        <v>0.17965390000000003</v>
      </c>
      <c r="U201" s="1658">
        <v>0.17846139999999999</v>
      </c>
      <c r="V201" s="219">
        <v>0</v>
      </c>
      <c r="W201" s="219">
        <v>0</v>
      </c>
      <c r="X201" s="219">
        <v>0</v>
      </c>
      <c r="Y201" s="219">
        <v>0</v>
      </c>
      <c r="Z201" s="219">
        <v>0</v>
      </c>
      <c r="AA201" s="219">
        <v>0</v>
      </c>
      <c r="AB201" s="219">
        <v>0</v>
      </c>
      <c r="AC201" s="219">
        <v>0</v>
      </c>
      <c r="AD201" s="219">
        <v>0</v>
      </c>
      <c r="AE201" s="219">
        <v>0</v>
      </c>
    </row>
    <row r="202" spans="3:31" outlineLevel="1">
      <c r="C202" s="983" t="str">
        <f t="shared" si="19"/>
        <v>Computing</v>
      </c>
      <c r="E202" s="3" t="s">
        <v>43</v>
      </c>
      <c r="L202" s="219">
        <v>0</v>
      </c>
      <c r="M202" s="219">
        <v>0</v>
      </c>
      <c r="N202" s="219">
        <v>0</v>
      </c>
      <c r="O202" s="219">
        <v>0</v>
      </c>
      <c r="P202" s="1658">
        <v>0.32422260000000003</v>
      </c>
      <c r="Q202" s="1658">
        <v>0.17141119999999999</v>
      </c>
      <c r="R202" s="1658">
        <v>0.17909220000000003</v>
      </c>
      <c r="S202" s="1658">
        <v>0.17917939999999999</v>
      </c>
      <c r="T202" s="1658">
        <v>0.17965390000000003</v>
      </c>
      <c r="U202" s="1658">
        <v>0.17846139999999999</v>
      </c>
      <c r="V202" s="219">
        <v>0</v>
      </c>
      <c r="W202" s="219">
        <v>0</v>
      </c>
      <c r="X202" s="219">
        <v>0</v>
      </c>
      <c r="Y202" s="219">
        <v>0</v>
      </c>
      <c r="Z202" s="219">
        <v>0</v>
      </c>
      <c r="AA202" s="219">
        <v>0</v>
      </c>
      <c r="AB202" s="219">
        <v>0</v>
      </c>
      <c r="AC202" s="219">
        <v>0</v>
      </c>
      <c r="AD202" s="219">
        <v>0</v>
      </c>
      <c r="AE202" s="219">
        <v>0</v>
      </c>
    </row>
    <row r="203" spans="3:31" outlineLevel="1">
      <c r="C203" s="983" t="str">
        <f t="shared" si="19"/>
        <v>NIS</v>
      </c>
      <c r="E203" s="3" t="s">
        <v>43</v>
      </c>
      <c r="L203" s="219">
        <v>0</v>
      </c>
      <c r="M203" s="219">
        <v>0</v>
      </c>
      <c r="N203" s="219">
        <v>0</v>
      </c>
      <c r="O203" s="219">
        <v>0</v>
      </c>
      <c r="P203" s="1658">
        <v>0.32422260000000003</v>
      </c>
      <c r="Q203" s="1658">
        <v>0.17141119999999999</v>
      </c>
      <c r="R203" s="1658">
        <v>0.17909220000000003</v>
      </c>
      <c r="S203" s="1658">
        <v>0.17917939999999999</v>
      </c>
      <c r="T203" s="1658">
        <v>0.17965390000000003</v>
      </c>
      <c r="U203" s="1658">
        <v>0.17846139999999999</v>
      </c>
      <c r="V203" s="219">
        <v>0</v>
      </c>
      <c r="W203" s="219">
        <v>0</v>
      </c>
      <c r="X203" s="219">
        <v>0</v>
      </c>
      <c r="Y203" s="219">
        <v>0</v>
      </c>
      <c r="Z203" s="219">
        <v>0</v>
      </c>
      <c r="AA203" s="219">
        <v>0</v>
      </c>
      <c r="AB203" s="219">
        <v>0</v>
      </c>
      <c r="AC203" s="219">
        <v>0</v>
      </c>
      <c r="AD203" s="219">
        <v>0</v>
      </c>
      <c r="AE203" s="219">
        <v>0</v>
      </c>
    </row>
    <row r="204" spans="3:31" outlineLevel="1">
      <c r="C204" s="983" t="str">
        <f t="shared" si="19"/>
        <v>Consultancy</v>
      </c>
      <c r="E204" s="3" t="s">
        <v>43</v>
      </c>
      <c r="L204" s="219">
        <v>0</v>
      </c>
      <c r="M204" s="219">
        <v>0</v>
      </c>
      <c r="N204" s="219">
        <v>0</v>
      </c>
      <c r="O204" s="219">
        <v>0</v>
      </c>
      <c r="P204" s="1658">
        <v>0.32422260000000003</v>
      </c>
      <c r="Q204" s="1658">
        <v>0.17141119999999999</v>
      </c>
      <c r="R204" s="1658">
        <v>0.17909220000000003</v>
      </c>
      <c r="S204" s="1658">
        <v>0.17917939999999999</v>
      </c>
      <c r="T204" s="1658">
        <v>0.17965390000000003</v>
      </c>
      <c r="U204" s="1658">
        <v>0.17846139999999999</v>
      </c>
      <c r="V204" s="219">
        <v>0</v>
      </c>
      <c r="W204" s="219">
        <v>0</v>
      </c>
      <c r="X204" s="219">
        <v>0</v>
      </c>
      <c r="Y204" s="219">
        <v>0</v>
      </c>
      <c r="Z204" s="219">
        <v>0</v>
      </c>
      <c r="AA204" s="219">
        <v>0</v>
      </c>
      <c r="AB204" s="219">
        <v>0</v>
      </c>
      <c r="AC204" s="219">
        <v>0</v>
      </c>
      <c r="AD204" s="219">
        <v>0</v>
      </c>
      <c r="AE204" s="219">
        <v>0</v>
      </c>
    </row>
    <row r="205" spans="3:31" outlineLevel="1">
      <c r="C205" s="983" t="str">
        <f t="shared" si="19"/>
        <v>Insurance (Redacted)</v>
      </c>
      <c r="E205" s="3" t="s">
        <v>43</v>
      </c>
      <c r="L205" s="219">
        <v>0</v>
      </c>
      <c r="M205" s="219">
        <v>0</v>
      </c>
      <c r="N205" s="219">
        <v>0</v>
      </c>
      <c r="O205" s="219">
        <v>0</v>
      </c>
      <c r="P205" s="219">
        <v>0</v>
      </c>
      <c r="Q205" s="219">
        <v>0</v>
      </c>
      <c r="R205" s="219">
        <v>0</v>
      </c>
      <c r="S205" s="219">
        <v>0</v>
      </c>
      <c r="T205" s="219">
        <v>0</v>
      </c>
      <c r="U205" s="219">
        <v>0</v>
      </c>
      <c r="V205" s="219">
        <v>0</v>
      </c>
      <c r="W205" s="219">
        <v>0</v>
      </c>
      <c r="X205" s="219">
        <v>0</v>
      </c>
      <c r="Y205" s="219">
        <v>0</v>
      </c>
      <c r="Z205" s="219">
        <v>0</v>
      </c>
      <c r="AA205" s="219">
        <v>0</v>
      </c>
      <c r="AB205" s="219">
        <v>0</v>
      </c>
      <c r="AC205" s="219">
        <v>0</v>
      </c>
      <c r="AD205" s="219">
        <v>0</v>
      </c>
      <c r="AE205" s="219">
        <v>0</v>
      </c>
    </row>
    <row r="206" spans="3:31" outlineLevel="1">
      <c r="C206" s="983" t="str">
        <f t="shared" si="19"/>
        <v>Building repairs</v>
      </c>
      <c r="E206" s="3" t="s">
        <v>43</v>
      </c>
      <c r="L206" s="219">
        <v>0</v>
      </c>
      <c r="M206" s="219">
        <v>0</v>
      </c>
      <c r="N206" s="219">
        <v>0</v>
      </c>
      <c r="O206" s="219">
        <v>0</v>
      </c>
      <c r="P206" s="1658">
        <v>0.32422260000000003</v>
      </c>
      <c r="Q206" s="1658">
        <v>0.17141119999999999</v>
      </c>
      <c r="R206" s="1658">
        <v>0.17909220000000003</v>
      </c>
      <c r="S206" s="1658">
        <v>0.17917939999999999</v>
      </c>
      <c r="T206" s="1658">
        <v>0.17965390000000003</v>
      </c>
      <c r="U206" s="1658">
        <v>0.17846139999999999</v>
      </c>
      <c r="V206" s="219">
        <v>0</v>
      </c>
      <c r="W206" s="219">
        <v>0</v>
      </c>
      <c r="X206" s="219">
        <v>0</v>
      </c>
      <c r="Y206" s="219">
        <v>0</v>
      </c>
      <c r="Z206" s="219">
        <v>0</v>
      </c>
      <c r="AA206" s="219">
        <v>0</v>
      </c>
      <c r="AB206" s="219">
        <v>0</v>
      </c>
      <c r="AC206" s="219">
        <v>0</v>
      </c>
      <c r="AD206" s="219">
        <v>0</v>
      </c>
      <c r="AE206" s="219">
        <v>0</v>
      </c>
    </row>
    <row r="207" spans="3:31" outlineLevel="1">
      <c r="C207" s="983" t="str">
        <f t="shared" si="19"/>
        <v>Environmental</v>
      </c>
      <c r="E207" s="3" t="s">
        <v>43</v>
      </c>
      <c r="L207" s="219">
        <v>0</v>
      </c>
      <c r="M207" s="219">
        <v>0</v>
      </c>
      <c r="N207" s="219">
        <v>0</v>
      </c>
      <c r="O207" s="219">
        <v>0</v>
      </c>
      <c r="P207" s="1658">
        <v>0.32422260000000003</v>
      </c>
      <c r="Q207" s="1658">
        <v>0.17141119999999999</v>
      </c>
      <c r="R207" s="1658">
        <v>0.17909220000000003</v>
      </c>
      <c r="S207" s="1658">
        <v>0.17917939999999999</v>
      </c>
      <c r="T207" s="1658">
        <v>0.17965390000000003</v>
      </c>
      <c r="U207" s="1658">
        <v>0.17846139999999999</v>
      </c>
      <c r="V207" s="219">
        <v>0</v>
      </c>
      <c r="W207" s="219">
        <v>0</v>
      </c>
      <c r="X207" s="219">
        <v>0</v>
      </c>
      <c r="Y207" s="219">
        <v>0</v>
      </c>
      <c r="Z207" s="219">
        <v>0</v>
      </c>
      <c r="AA207" s="219">
        <v>0</v>
      </c>
      <c r="AB207" s="219">
        <v>0</v>
      </c>
      <c r="AC207" s="219">
        <v>0</v>
      </c>
      <c r="AD207" s="219">
        <v>0</v>
      </c>
      <c r="AE207" s="219">
        <v>0</v>
      </c>
    </row>
    <row r="208" spans="3:31" outlineLevel="1">
      <c r="C208" s="983" t="str">
        <f t="shared" si="19"/>
        <v>Security (Redacted)</v>
      </c>
      <c r="E208" s="3" t="s">
        <v>43</v>
      </c>
      <c r="L208" s="219">
        <v>0</v>
      </c>
      <c r="M208" s="219">
        <v>0</v>
      </c>
      <c r="N208" s="219">
        <v>0</v>
      </c>
      <c r="O208" s="219">
        <v>0</v>
      </c>
      <c r="P208" s="219">
        <v>0</v>
      </c>
      <c r="Q208" s="219">
        <v>0</v>
      </c>
      <c r="R208" s="219">
        <v>0</v>
      </c>
      <c r="S208" s="219">
        <v>0</v>
      </c>
      <c r="T208" s="219">
        <v>0</v>
      </c>
      <c r="U208" s="219">
        <v>0</v>
      </c>
      <c r="V208" s="219">
        <v>0</v>
      </c>
      <c r="W208" s="219">
        <v>0</v>
      </c>
      <c r="X208" s="219">
        <v>0</v>
      </c>
      <c r="Y208" s="219">
        <v>0</v>
      </c>
      <c r="Z208" s="219">
        <v>0</v>
      </c>
      <c r="AA208" s="219">
        <v>0</v>
      </c>
      <c r="AB208" s="219">
        <v>0</v>
      </c>
      <c r="AC208" s="219">
        <v>0</v>
      </c>
      <c r="AD208" s="219">
        <v>0</v>
      </c>
      <c r="AE208" s="219">
        <v>0</v>
      </c>
    </row>
    <row r="209" spans="3:31" outlineLevel="1">
      <c r="C209" s="983" t="str">
        <f t="shared" si="19"/>
        <v>Professional services</v>
      </c>
      <c r="E209" s="3" t="s">
        <v>43</v>
      </c>
      <c r="L209" s="219">
        <v>0</v>
      </c>
      <c r="M209" s="219">
        <v>0</v>
      </c>
      <c r="N209" s="219">
        <v>0</v>
      </c>
      <c r="O209" s="219">
        <v>0</v>
      </c>
      <c r="P209" s="1658">
        <v>0.32422260000000003</v>
      </c>
      <c r="Q209" s="1658">
        <v>0.17141119999999999</v>
      </c>
      <c r="R209" s="1658">
        <v>0.17909220000000003</v>
      </c>
      <c r="S209" s="1658">
        <v>0.17917939999999999</v>
      </c>
      <c r="T209" s="1658">
        <v>0.17965390000000003</v>
      </c>
      <c r="U209" s="1658">
        <v>0.17846139999999999</v>
      </c>
      <c r="V209" s="219">
        <v>0</v>
      </c>
      <c r="W209" s="219">
        <v>0</v>
      </c>
      <c r="X209" s="219">
        <v>0</v>
      </c>
      <c r="Y209" s="219">
        <v>0</v>
      </c>
      <c r="Z209" s="219">
        <v>0</v>
      </c>
      <c r="AA209" s="219">
        <v>0</v>
      </c>
      <c r="AB209" s="219">
        <v>0</v>
      </c>
      <c r="AC209" s="219">
        <v>0</v>
      </c>
      <c r="AD209" s="219">
        <v>0</v>
      </c>
      <c r="AE209" s="219">
        <v>0</v>
      </c>
    </row>
    <row r="210" spans="3:31" outlineLevel="1">
      <c r="C210" s="983" t="str">
        <f t="shared" si="19"/>
        <v>Cleaning (Redacted)</v>
      </c>
      <c r="E210" s="3" t="s">
        <v>43</v>
      </c>
      <c r="L210" s="219">
        <v>0</v>
      </c>
      <c r="M210" s="219">
        <v>0</v>
      </c>
      <c r="N210" s="219">
        <v>0</v>
      </c>
      <c r="O210" s="219">
        <v>0</v>
      </c>
      <c r="P210" s="219">
        <v>0</v>
      </c>
      <c r="Q210" s="219">
        <v>0</v>
      </c>
      <c r="R210" s="219">
        <v>0</v>
      </c>
      <c r="S210" s="219">
        <v>0</v>
      </c>
      <c r="T210" s="219">
        <v>0</v>
      </c>
      <c r="U210" s="219">
        <v>0</v>
      </c>
      <c r="V210" s="219">
        <v>0</v>
      </c>
      <c r="W210" s="219">
        <v>0</v>
      </c>
      <c r="X210" s="219">
        <v>0</v>
      </c>
      <c r="Y210" s="219">
        <v>0</v>
      </c>
      <c r="Z210" s="219">
        <v>0</v>
      </c>
      <c r="AA210" s="219">
        <v>0</v>
      </c>
      <c r="AB210" s="219">
        <v>0</v>
      </c>
      <c r="AC210" s="219">
        <v>0</v>
      </c>
      <c r="AD210" s="219">
        <v>0</v>
      </c>
      <c r="AE210" s="219">
        <v>0</v>
      </c>
    </row>
    <row r="211" spans="3:31" outlineLevel="1">
      <c r="C211" s="983" t="str">
        <f t="shared" si="19"/>
        <v>IAA Restructuring</v>
      </c>
      <c r="E211" s="3" t="s">
        <v>43</v>
      </c>
      <c r="L211" s="219">
        <v>0</v>
      </c>
      <c r="M211" s="219">
        <v>0</v>
      </c>
      <c r="N211" s="219">
        <v>0</v>
      </c>
      <c r="O211" s="219">
        <v>0</v>
      </c>
      <c r="P211" s="1658">
        <v>0.32422260000000003</v>
      </c>
      <c r="Q211" s="1658">
        <v>0.17141119999999999</v>
      </c>
      <c r="R211" s="1658">
        <v>0.17909220000000003</v>
      </c>
      <c r="S211" s="1658">
        <v>0.17917939999999999</v>
      </c>
      <c r="T211" s="1658">
        <v>0.17965390000000003</v>
      </c>
      <c r="U211" s="1658">
        <v>0.17846139999999999</v>
      </c>
      <c r="V211" s="219">
        <v>0</v>
      </c>
      <c r="W211" s="219">
        <v>0</v>
      </c>
      <c r="X211" s="219">
        <v>0</v>
      </c>
      <c r="Y211" s="219">
        <v>0</v>
      </c>
      <c r="Z211" s="219">
        <v>0</v>
      </c>
      <c r="AA211" s="219">
        <v>0</v>
      </c>
      <c r="AB211" s="219">
        <v>0</v>
      </c>
      <c r="AC211" s="219">
        <v>0</v>
      </c>
      <c r="AD211" s="219">
        <v>0</v>
      </c>
      <c r="AE211" s="219">
        <v>0</v>
      </c>
    </row>
    <row r="212" spans="3:31" outlineLevel="1">
      <c r="C212" s="983" t="str">
        <f t="shared" si="19"/>
        <v>Impairment</v>
      </c>
      <c r="E212" s="3" t="s">
        <v>43</v>
      </c>
      <c r="L212" s="219">
        <v>0</v>
      </c>
      <c r="M212" s="219">
        <v>0</v>
      </c>
      <c r="N212" s="219">
        <v>0</v>
      </c>
      <c r="O212" s="219">
        <v>0</v>
      </c>
      <c r="P212" s="1658">
        <v>0.32422260000000003</v>
      </c>
      <c r="Q212" s="1658">
        <v>0.17141119999999999</v>
      </c>
      <c r="R212" s="1658">
        <v>0.17909220000000003</v>
      </c>
      <c r="S212" s="1658">
        <v>0.17917939999999999</v>
      </c>
      <c r="T212" s="1658">
        <v>0.17965390000000003</v>
      </c>
      <c r="U212" s="1658">
        <v>0.17846139999999999</v>
      </c>
      <c r="V212" s="219">
        <v>0</v>
      </c>
      <c r="W212" s="219">
        <v>0</v>
      </c>
      <c r="X212" s="219">
        <v>0</v>
      </c>
      <c r="Y212" s="219">
        <v>0</v>
      </c>
      <c r="Z212" s="219">
        <v>0</v>
      </c>
      <c r="AA212" s="219">
        <v>0</v>
      </c>
      <c r="AB212" s="219">
        <v>0</v>
      </c>
      <c r="AC212" s="219">
        <v>0</v>
      </c>
      <c r="AD212" s="219">
        <v>0</v>
      </c>
      <c r="AE212" s="219">
        <v>0</v>
      </c>
    </row>
    <row r="213" spans="3:31" outlineLevel="1">
      <c r="C213" s="983" t="str">
        <f t="shared" si="19"/>
        <v>PR</v>
      </c>
      <c r="E213" s="3" t="s">
        <v>43</v>
      </c>
      <c r="L213" s="219">
        <v>0</v>
      </c>
      <c r="M213" s="219">
        <v>0</v>
      </c>
      <c r="N213" s="219">
        <v>0</v>
      </c>
      <c r="O213" s="219">
        <v>0</v>
      </c>
      <c r="P213" s="1658">
        <v>0.32422260000000003</v>
      </c>
      <c r="Q213" s="1658">
        <v>0.17141119999999999</v>
      </c>
      <c r="R213" s="1658">
        <v>0.17909220000000003</v>
      </c>
      <c r="S213" s="1658">
        <v>0.17917939999999999</v>
      </c>
      <c r="T213" s="1658">
        <v>0.17965390000000003</v>
      </c>
      <c r="U213" s="1658">
        <v>0.17846139999999999</v>
      </c>
      <c r="V213" s="219">
        <v>0</v>
      </c>
      <c r="W213" s="219">
        <v>0</v>
      </c>
      <c r="X213" s="219">
        <v>0</v>
      </c>
      <c r="Y213" s="219">
        <v>0</v>
      </c>
      <c r="Z213" s="219">
        <v>0</v>
      </c>
      <c r="AA213" s="219">
        <v>0</v>
      </c>
      <c r="AB213" s="219">
        <v>0</v>
      </c>
      <c r="AC213" s="219">
        <v>0</v>
      </c>
      <c r="AD213" s="219">
        <v>0</v>
      </c>
      <c r="AE213" s="219">
        <v>0</v>
      </c>
    </row>
    <row r="214" spans="3:31" outlineLevel="1">
      <c r="C214" s="983" t="str">
        <f t="shared" si="19"/>
        <v>Staff related</v>
      </c>
      <c r="E214" s="3" t="s">
        <v>43</v>
      </c>
      <c r="L214" s="219">
        <v>0</v>
      </c>
      <c r="M214" s="219">
        <v>0</v>
      </c>
      <c r="N214" s="219">
        <v>0</v>
      </c>
      <c r="O214" s="219">
        <v>0</v>
      </c>
      <c r="P214" s="1658">
        <v>0.32422260000000003</v>
      </c>
      <c r="Q214" s="1658">
        <v>0.17141119999999999</v>
      </c>
      <c r="R214" s="1658">
        <v>0.17909220000000003</v>
      </c>
      <c r="S214" s="1658">
        <v>0.17917939999999999</v>
      </c>
      <c r="T214" s="1658">
        <v>0.17965390000000003</v>
      </c>
      <c r="U214" s="1658">
        <v>0.17846139999999999</v>
      </c>
      <c r="V214" s="219">
        <v>0</v>
      </c>
      <c r="W214" s="219">
        <v>0</v>
      </c>
      <c r="X214" s="219">
        <v>0</v>
      </c>
      <c r="Y214" s="219">
        <v>0</v>
      </c>
      <c r="Z214" s="219">
        <v>0</v>
      </c>
      <c r="AA214" s="219">
        <v>0</v>
      </c>
      <c r="AB214" s="219">
        <v>0</v>
      </c>
      <c r="AC214" s="219">
        <v>0</v>
      </c>
      <c r="AD214" s="219">
        <v>0</v>
      </c>
      <c r="AE214" s="219">
        <v>0</v>
      </c>
    </row>
    <row r="215" spans="3:31" outlineLevel="1">
      <c r="C215" s="983" t="str">
        <f t="shared" si="19"/>
        <v>Other</v>
      </c>
      <c r="E215" s="3" t="s">
        <v>43</v>
      </c>
      <c r="L215" s="219"/>
      <c r="M215" s="219"/>
      <c r="N215" s="219"/>
      <c r="O215" s="219"/>
      <c r="P215" s="1658">
        <v>0.32422260000000003</v>
      </c>
      <c r="Q215" s="1658">
        <v>0.17141119999999999</v>
      </c>
      <c r="R215" s="1658">
        <v>0.17909220000000003</v>
      </c>
      <c r="S215" s="1658">
        <v>0.17917939999999999</v>
      </c>
      <c r="T215" s="1658">
        <v>0.17965390000000003</v>
      </c>
      <c r="U215" s="1658">
        <v>0.17846139999999999</v>
      </c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</row>
    <row r="216" spans="3:31" outlineLevel="1">
      <c r="C216" s="983" t="str">
        <f t="shared" si="19"/>
        <v>Redacted</v>
      </c>
      <c r="E216" s="3" t="s">
        <v>43</v>
      </c>
      <c r="L216" s="219"/>
      <c r="M216" s="219"/>
      <c r="N216" s="219"/>
      <c r="O216" s="219"/>
      <c r="P216" s="1658">
        <v>0.20735840000000005</v>
      </c>
      <c r="Q216" s="1658">
        <v>0.17247500000000004</v>
      </c>
      <c r="R216" s="1658">
        <v>0.1742011</v>
      </c>
      <c r="S216" s="1658">
        <v>0.17681899999999995</v>
      </c>
      <c r="T216" s="1658">
        <v>0.17902709999999999</v>
      </c>
      <c r="U216" s="1658">
        <v>0.17925489999999999</v>
      </c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</row>
    <row r="217" spans="3:31" outlineLevel="1">
      <c r="C217" s="983">
        <f t="shared" si="19"/>
        <v>0</v>
      </c>
      <c r="L217" s="219"/>
      <c r="M217" s="219"/>
      <c r="N217" s="219"/>
      <c r="O217" s="219"/>
      <c r="P217" s="223"/>
      <c r="Q217" s="223"/>
      <c r="R217" s="223"/>
      <c r="S217" s="223"/>
      <c r="T217" s="223"/>
      <c r="U217" s="223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</row>
    <row r="218" spans="3:31" outlineLevel="1">
      <c r="C218" s="983">
        <f t="shared" si="19"/>
        <v>0</v>
      </c>
      <c r="L218" s="219"/>
      <c r="M218" s="219"/>
      <c r="N218" s="219"/>
      <c r="O218" s="219"/>
      <c r="P218" s="223"/>
      <c r="Q218" s="223"/>
      <c r="R218" s="223"/>
      <c r="S218" s="223"/>
      <c r="T218" s="223"/>
      <c r="U218" s="223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</row>
    <row r="219" spans="3:31" outlineLevel="1">
      <c r="C219" s="983">
        <f t="shared" si="19"/>
        <v>0</v>
      </c>
      <c r="L219" s="219"/>
      <c r="M219" s="219"/>
      <c r="N219" s="219"/>
      <c r="O219" s="219"/>
      <c r="P219" s="223"/>
      <c r="Q219" s="223"/>
      <c r="R219" s="223"/>
      <c r="S219" s="223"/>
      <c r="T219" s="223"/>
      <c r="U219" s="223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</row>
    <row r="220" spans="3:31" outlineLevel="1">
      <c r="C220" s="983">
        <f t="shared" si="19"/>
        <v>0</v>
      </c>
      <c r="L220" s="219"/>
      <c r="M220" s="219"/>
      <c r="N220" s="219"/>
      <c r="O220" s="219"/>
      <c r="P220" s="223"/>
      <c r="Q220" s="223"/>
      <c r="R220" s="223"/>
      <c r="S220" s="223"/>
      <c r="T220" s="223"/>
      <c r="U220" s="223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</row>
    <row r="221" spans="3:31" outlineLevel="1">
      <c r="C221" s="983">
        <f t="shared" si="19"/>
        <v>0</v>
      </c>
      <c r="L221" s="219"/>
      <c r="M221" s="219"/>
      <c r="N221" s="219"/>
      <c r="O221" s="219"/>
      <c r="P221" s="223"/>
      <c r="Q221" s="223"/>
      <c r="R221" s="223"/>
      <c r="S221" s="223"/>
      <c r="T221" s="223"/>
      <c r="U221" s="223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</row>
    <row r="222" spans="3:31" outlineLevel="1">
      <c r="C222" s="983">
        <f t="shared" si="19"/>
        <v>0</v>
      </c>
      <c r="L222" s="219">
        <v>0</v>
      </c>
      <c r="M222" s="219">
        <v>0</v>
      </c>
      <c r="N222" s="219">
        <v>0</v>
      </c>
      <c r="O222" s="219">
        <v>0</v>
      </c>
      <c r="P222" s="223"/>
      <c r="Q222" s="223"/>
      <c r="R222" s="223"/>
      <c r="S222" s="223"/>
      <c r="T222" s="223"/>
      <c r="U222" s="223"/>
      <c r="V222" s="219">
        <v>0</v>
      </c>
      <c r="W222" s="219">
        <v>0</v>
      </c>
      <c r="X222" s="219">
        <v>0</v>
      </c>
      <c r="Y222" s="219">
        <v>0</v>
      </c>
      <c r="Z222" s="219">
        <v>0</v>
      </c>
      <c r="AA222" s="219">
        <v>0</v>
      </c>
      <c r="AB222" s="219">
        <v>0</v>
      </c>
      <c r="AC222" s="219">
        <v>0</v>
      </c>
      <c r="AD222" s="219">
        <v>0</v>
      </c>
      <c r="AE222" s="219">
        <v>0</v>
      </c>
    </row>
    <row r="224" spans="3:31" ht="13.5" thickBot="1">
      <c r="C224" s="6" t="s">
        <v>797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2:31">
      <c r="C225" s="3" t="s">
        <v>853</v>
      </c>
      <c r="E225" s="3" t="s">
        <v>29</v>
      </c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</row>
    <row r="227" spans="2:31" ht="13.5" thickBot="1">
      <c r="C227" s="6" t="s">
        <v>815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2:31">
      <c r="C228" s="3" t="s">
        <v>853</v>
      </c>
      <c r="E228" s="3" t="s">
        <v>29</v>
      </c>
      <c r="L228" s="27">
        <f t="shared" ref="L228:AE228" si="20">((SUMPRODUCT(L110:L141,L191:L222)*(L225="")+L225))</f>
        <v>0</v>
      </c>
      <c r="M228" s="27">
        <f t="shared" si="20"/>
        <v>0</v>
      </c>
      <c r="N228" s="27">
        <f t="shared" si="20"/>
        <v>0</v>
      </c>
      <c r="O228" s="27">
        <f t="shared" si="20"/>
        <v>0</v>
      </c>
      <c r="P228" s="27">
        <f t="shared" si="20"/>
        <v>7704.9994015000011</v>
      </c>
      <c r="Q228" s="27">
        <f t="shared" si="20"/>
        <v>4815.0782170244001</v>
      </c>
      <c r="R228" s="27">
        <f t="shared" si="20"/>
        <v>5406.3676012346004</v>
      </c>
      <c r="S228" s="27">
        <f t="shared" si="20"/>
        <v>5937.1453084392388</v>
      </c>
      <c r="T228" s="27">
        <f t="shared" si="20"/>
        <v>6047.2939927170391</v>
      </c>
      <c r="U228" s="27">
        <f t="shared" si="20"/>
        <v>6172.9042316342238</v>
      </c>
      <c r="V228" s="27">
        <f t="shared" si="20"/>
        <v>0</v>
      </c>
      <c r="W228" s="27">
        <f t="shared" si="20"/>
        <v>0</v>
      </c>
      <c r="X228" s="27">
        <f t="shared" si="20"/>
        <v>0</v>
      </c>
      <c r="Y228" s="27">
        <f t="shared" si="20"/>
        <v>0</v>
      </c>
      <c r="Z228" s="27">
        <f t="shared" si="20"/>
        <v>0</v>
      </c>
      <c r="AA228" s="27">
        <f t="shared" si="20"/>
        <v>0</v>
      </c>
      <c r="AB228" s="27">
        <f t="shared" si="20"/>
        <v>0</v>
      </c>
      <c r="AC228" s="27">
        <f t="shared" si="20"/>
        <v>0</v>
      </c>
      <c r="AD228" s="27">
        <f t="shared" si="20"/>
        <v>0</v>
      </c>
      <c r="AE228" s="27">
        <f t="shared" si="20"/>
        <v>0</v>
      </c>
    </row>
    <row r="229" spans="2:31">
      <c r="H229" s="148"/>
      <c r="L229" s="26"/>
      <c r="M229" s="26"/>
      <c r="N229" s="26"/>
      <c r="O229" s="26"/>
      <c r="P229" s="984"/>
      <c r="Q229" s="984"/>
      <c r="R229" s="984"/>
      <c r="S229" s="984"/>
      <c r="T229" s="984"/>
      <c r="U229" s="984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</row>
    <row r="230" spans="2:31">
      <c r="B230" s="20" t="s">
        <v>33</v>
      </c>
      <c r="C230" s="1613"/>
      <c r="D230" s="1613" t="s">
        <v>814</v>
      </c>
      <c r="E230" s="1613" t="s">
        <v>814</v>
      </c>
      <c r="F230" s="1613" t="s">
        <v>814</v>
      </c>
      <c r="G230" s="1613" t="s">
        <v>814</v>
      </c>
      <c r="H230" s="1613" t="s">
        <v>814</v>
      </c>
      <c r="I230" s="1613" t="s">
        <v>814</v>
      </c>
      <c r="J230" s="1613" t="s">
        <v>814</v>
      </c>
      <c r="K230" s="1613" t="s">
        <v>814</v>
      </c>
      <c r="L230" s="1613" t="s">
        <v>814</v>
      </c>
      <c r="M230" s="1613" t="s">
        <v>814</v>
      </c>
      <c r="N230" s="1613" t="s">
        <v>814</v>
      </c>
      <c r="O230" s="1613" t="s">
        <v>814</v>
      </c>
      <c r="P230" s="1613" t="s">
        <v>814</v>
      </c>
      <c r="Q230" s="1613" t="s">
        <v>814</v>
      </c>
      <c r="R230" s="1613" t="s">
        <v>814</v>
      </c>
      <c r="S230" s="1613" t="s">
        <v>814</v>
      </c>
      <c r="T230" s="1613" t="s">
        <v>814</v>
      </c>
      <c r="U230" s="1613" t="s">
        <v>814</v>
      </c>
      <c r="V230" s="1613" t="s">
        <v>814</v>
      </c>
      <c r="W230" s="1613" t="s">
        <v>814</v>
      </c>
      <c r="X230" s="1613" t="s">
        <v>814</v>
      </c>
      <c r="Y230" s="1613" t="s">
        <v>814</v>
      </c>
      <c r="Z230" s="1613" t="s">
        <v>814</v>
      </c>
      <c r="AA230" s="1613" t="s">
        <v>814</v>
      </c>
      <c r="AB230" s="1613" t="s">
        <v>814</v>
      </c>
      <c r="AC230" s="1613" t="s">
        <v>814</v>
      </c>
      <c r="AD230" s="1613" t="s">
        <v>814</v>
      </c>
      <c r="AE230" s="1613" t="s">
        <v>814</v>
      </c>
    </row>
    <row r="231" spans="2:31">
      <c r="B231" s="1593" t="s">
        <v>814</v>
      </c>
      <c r="C231" s="1593" t="s">
        <v>814</v>
      </c>
      <c r="D231" s="1593" t="s">
        <v>814</v>
      </c>
      <c r="E231" s="1593" t="s">
        <v>814</v>
      </c>
      <c r="F231" s="1593" t="s">
        <v>814</v>
      </c>
      <c r="G231" s="1593" t="s">
        <v>814</v>
      </c>
      <c r="H231" s="1593" t="s">
        <v>814</v>
      </c>
      <c r="I231" s="1593" t="s">
        <v>814</v>
      </c>
      <c r="J231" s="1593" t="s">
        <v>814</v>
      </c>
      <c r="K231" s="1593" t="s">
        <v>814</v>
      </c>
      <c r="L231" s="1593" t="s">
        <v>814</v>
      </c>
      <c r="M231" s="1593" t="s">
        <v>814</v>
      </c>
      <c r="N231" s="1593" t="s">
        <v>814</v>
      </c>
      <c r="O231" s="1593" t="s">
        <v>814</v>
      </c>
      <c r="P231" s="1593" t="s">
        <v>814</v>
      </c>
      <c r="Q231" s="1593" t="s">
        <v>814</v>
      </c>
      <c r="R231" s="1593" t="s">
        <v>814</v>
      </c>
      <c r="S231" s="1593" t="s">
        <v>814</v>
      </c>
      <c r="T231" s="1593" t="s">
        <v>814</v>
      </c>
      <c r="U231" s="1593" t="s">
        <v>814</v>
      </c>
      <c r="V231" s="1593" t="s">
        <v>814</v>
      </c>
      <c r="W231" s="1593" t="s">
        <v>814</v>
      </c>
      <c r="X231" s="1593" t="s">
        <v>814</v>
      </c>
      <c r="Y231" s="1593" t="s">
        <v>814</v>
      </c>
      <c r="Z231" s="1593" t="s">
        <v>814</v>
      </c>
      <c r="AA231" s="1593" t="s">
        <v>814</v>
      </c>
      <c r="AB231" s="1593" t="s">
        <v>814</v>
      </c>
      <c r="AC231" s="1593" t="s">
        <v>814</v>
      </c>
      <c r="AD231" s="1593" t="s">
        <v>814</v>
      </c>
      <c r="AE231" s="1593" t="s">
        <v>814</v>
      </c>
    </row>
    <row r="232" spans="2:31" ht="13.5" thickBot="1">
      <c r="B232" s="1593" t="s">
        <v>814</v>
      </c>
      <c r="C232" s="1614" t="s">
        <v>855</v>
      </c>
      <c r="D232" s="1614" t="s">
        <v>814</v>
      </c>
      <c r="E232" s="1614" t="s">
        <v>814</v>
      </c>
      <c r="F232" s="1614" t="s">
        <v>814</v>
      </c>
      <c r="G232" s="1614" t="s">
        <v>814</v>
      </c>
      <c r="H232" s="1614" t="s">
        <v>814</v>
      </c>
      <c r="I232" s="1614" t="s">
        <v>814</v>
      </c>
      <c r="J232" s="1614" t="s">
        <v>814</v>
      </c>
      <c r="K232" s="1614" t="s">
        <v>814</v>
      </c>
      <c r="L232" s="1614" t="s">
        <v>814</v>
      </c>
      <c r="M232" s="1614" t="s">
        <v>814</v>
      </c>
      <c r="N232" s="1614" t="s">
        <v>814</v>
      </c>
      <c r="O232" s="1614" t="s">
        <v>814</v>
      </c>
      <c r="P232" s="1614" t="s">
        <v>814</v>
      </c>
      <c r="Q232" s="1614" t="s">
        <v>814</v>
      </c>
      <c r="R232" s="1614" t="s">
        <v>814</v>
      </c>
      <c r="S232" s="1614" t="s">
        <v>814</v>
      </c>
      <c r="T232" s="1614" t="s">
        <v>814</v>
      </c>
      <c r="U232" s="1614" t="s">
        <v>814</v>
      </c>
      <c r="V232" s="1614" t="s">
        <v>814</v>
      </c>
      <c r="W232" s="1614" t="s">
        <v>814</v>
      </c>
      <c r="X232" s="1614" t="s">
        <v>814</v>
      </c>
      <c r="Y232" s="1614" t="s">
        <v>814</v>
      </c>
      <c r="Z232" s="1614" t="s">
        <v>814</v>
      </c>
      <c r="AA232" s="1614" t="s">
        <v>814</v>
      </c>
      <c r="AB232" s="1614" t="s">
        <v>814</v>
      </c>
      <c r="AC232" s="1614" t="s">
        <v>814</v>
      </c>
      <c r="AD232" s="1614" t="s">
        <v>814</v>
      </c>
      <c r="AE232" s="1614" t="s">
        <v>814</v>
      </c>
    </row>
    <row r="233" spans="2:31">
      <c r="B233" s="1593" t="s">
        <v>814</v>
      </c>
      <c r="C233" s="1593" t="s">
        <v>12</v>
      </c>
      <c r="D233" s="1593" t="s">
        <v>814</v>
      </c>
      <c r="E233" s="1593" t="s">
        <v>29</v>
      </c>
      <c r="F233" s="1593" t="s">
        <v>814</v>
      </c>
      <c r="G233" s="1593" t="s">
        <v>814</v>
      </c>
      <c r="H233" s="1593" t="s">
        <v>814</v>
      </c>
      <c r="I233" s="1593" t="s">
        <v>814</v>
      </c>
      <c r="J233" s="1593" t="s">
        <v>814</v>
      </c>
      <c r="K233" s="1593" t="s">
        <v>814</v>
      </c>
      <c r="L233" s="1586" t="s">
        <v>814</v>
      </c>
      <c r="M233" s="1587" t="s">
        <v>814</v>
      </c>
      <c r="N233" s="1587" t="s">
        <v>814</v>
      </c>
      <c r="O233" s="1587" t="s">
        <v>814</v>
      </c>
      <c r="P233" s="1587" t="s">
        <v>814</v>
      </c>
      <c r="Q233" s="1587" t="s">
        <v>814</v>
      </c>
      <c r="R233" s="1588">
        <v>1236</v>
      </c>
      <c r="S233" s="1587" t="s">
        <v>814</v>
      </c>
      <c r="T233" s="1587" t="s">
        <v>814</v>
      </c>
      <c r="U233" s="1587" t="s">
        <v>814</v>
      </c>
      <c r="V233" s="1587" t="s">
        <v>814</v>
      </c>
      <c r="W233" s="1587" t="s">
        <v>814</v>
      </c>
      <c r="X233" s="1587" t="s">
        <v>814</v>
      </c>
      <c r="Y233" s="1587" t="s">
        <v>814</v>
      </c>
      <c r="Z233" s="1587" t="s">
        <v>814</v>
      </c>
      <c r="AA233" s="1587" t="s">
        <v>814</v>
      </c>
      <c r="AB233" s="1587" t="s">
        <v>814</v>
      </c>
      <c r="AC233" s="1587" t="s">
        <v>814</v>
      </c>
      <c r="AD233" s="1587" t="s">
        <v>814</v>
      </c>
      <c r="AE233" s="1587" t="s">
        <v>814</v>
      </c>
    </row>
    <row r="234" spans="2:31">
      <c r="B234" s="1593" t="s">
        <v>814</v>
      </c>
      <c r="C234" s="1593" t="s">
        <v>814</v>
      </c>
      <c r="D234" s="1593" t="s">
        <v>814</v>
      </c>
      <c r="E234" s="1593" t="s">
        <v>814</v>
      </c>
      <c r="F234" s="1593" t="s">
        <v>814</v>
      </c>
      <c r="G234" s="1593" t="s">
        <v>814</v>
      </c>
      <c r="H234" s="1593" t="s">
        <v>814</v>
      </c>
      <c r="I234" s="1593" t="s">
        <v>814</v>
      </c>
      <c r="J234" s="1593" t="s">
        <v>814</v>
      </c>
      <c r="K234" s="1593" t="s">
        <v>814</v>
      </c>
      <c r="L234" s="1593" t="s">
        <v>814</v>
      </c>
      <c r="M234" s="1593" t="s">
        <v>814</v>
      </c>
      <c r="N234" s="1593" t="s">
        <v>814</v>
      </c>
      <c r="O234" s="1593" t="s">
        <v>814</v>
      </c>
      <c r="P234" s="1593" t="s">
        <v>814</v>
      </c>
      <c r="Q234" s="1593" t="s">
        <v>814</v>
      </c>
      <c r="R234" s="1620" t="s">
        <v>814</v>
      </c>
      <c r="S234" s="1593" t="s">
        <v>814</v>
      </c>
      <c r="T234" s="1593" t="s">
        <v>814</v>
      </c>
      <c r="U234" s="1593" t="s">
        <v>814</v>
      </c>
      <c r="V234" s="1593" t="s">
        <v>814</v>
      </c>
      <c r="W234" s="1593" t="s">
        <v>814</v>
      </c>
      <c r="X234" s="1593" t="s">
        <v>814</v>
      </c>
      <c r="Y234" s="1593" t="s">
        <v>814</v>
      </c>
      <c r="Z234" s="1593" t="s">
        <v>814</v>
      </c>
      <c r="AA234" s="1593" t="s">
        <v>814</v>
      </c>
      <c r="AB234" s="1593" t="s">
        <v>814</v>
      </c>
      <c r="AC234" s="1593" t="s">
        <v>814</v>
      </c>
      <c r="AD234" s="1593" t="s">
        <v>814</v>
      </c>
      <c r="AE234" s="1593" t="s">
        <v>814</v>
      </c>
    </row>
    <row r="235" spans="2:31">
      <c r="B235" s="1615"/>
      <c r="C235" s="1615" t="s">
        <v>856</v>
      </c>
      <c r="D235" s="1615"/>
      <c r="E235" s="1593" t="s">
        <v>29</v>
      </c>
      <c r="F235" s="1615"/>
      <c r="G235" s="1615"/>
      <c r="H235" s="1615"/>
      <c r="I235" s="1615"/>
      <c r="J235" s="1615"/>
      <c r="K235" s="1615"/>
      <c r="L235" s="1586" t="s">
        <v>814</v>
      </c>
      <c r="M235" s="1587" t="s">
        <v>814</v>
      </c>
      <c r="N235" s="1587" t="s">
        <v>814</v>
      </c>
      <c r="O235" s="1587" t="s">
        <v>814</v>
      </c>
      <c r="P235" s="1587" t="s">
        <v>814</v>
      </c>
      <c r="Q235" s="176">
        <v>0</v>
      </c>
      <c r="R235" s="1650">
        <v>1175</v>
      </c>
      <c r="S235" s="176">
        <v>0</v>
      </c>
      <c r="T235" s="176">
        <v>0</v>
      </c>
      <c r="U235" s="176">
        <v>0</v>
      </c>
      <c r="V235" s="1587" t="s">
        <v>814</v>
      </c>
      <c r="W235" s="1587" t="s">
        <v>814</v>
      </c>
      <c r="X235" s="1587" t="s">
        <v>814</v>
      </c>
      <c r="Y235" s="1587" t="s">
        <v>814</v>
      </c>
      <c r="Z235" s="1587" t="s">
        <v>814</v>
      </c>
      <c r="AA235" s="1587" t="s">
        <v>814</v>
      </c>
      <c r="AB235" s="1587" t="s">
        <v>814</v>
      </c>
      <c r="AC235" s="1587" t="s">
        <v>814</v>
      </c>
      <c r="AD235" s="1587" t="s">
        <v>814</v>
      </c>
      <c r="AE235" s="1587" t="s">
        <v>814</v>
      </c>
    </row>
    <row r="236" spans="2:31">
      <c r="B236" s="1615"/>
      <c r="C236" s="1615" t="s">
        <v>857</v>
      </c>
      <c r="D236" s="1615"/>
      <c r="E236" s="1593" t="s">
        <v>29</v>
      </c>
      <c r="F236" s="1615"/>
      <c r="G236" s="1615"/>
      <c r="H236" s="1615"/>
      <c r="I236" s="1615"/>
      <c r="J236" s="1615"/>
      <c r="K236" s="1615"/>
      <c r="L236" s="1616" t="s">
        <v>814</v>
      </c>
      <c r="M236" s="1617" t="s">
        <v>814</v>
      </c>
      <c r="N236" s="1617" t="s">
        <v>814</v>
      </c>
      <c r="O236" s="1617" t="s">
        <v>814</v>
      </c>
      <c r="P236" s="1617" t="s">
        <v>814</v>
      </c>
      <c r="Q236" s="176">
        <v>0</v>
      </c>
      <c r="R236" s="1650">
        <v>61</v>
      </c>
      <c r="S236" s="176">
        <v>0</v>
      </c>
      <c r="T236" s="176">
        <v>0</v>
      </c>
      <c r="U236" s="176">
        <v>0</v>
      </c>
      <c r="V236" s="1617" t="s">
        <v>814</v>
      </c>
      <c r="W236" s="1617" t="s">
        <v>814</v>
      </c>
      <c r="X236" s="1617" t="s">
        <v>814</v>
      </c>
      <c r="Y236" s="1617" t="s">
        <v>814</v>
      </c>
      <c r="Z236" s="1617" t="s">
        <v>814</v>
      </c>
      <c r="AA236" s="1617" t="s">
        <v>814</v>
      </c>
      <c r="AB236" s="1617" t="s">
        <v>814</v>
      </c>
      <c r="AC236" s="1617" t="s">
        <v>814</v>
      </c>
      <c r="AD236" s="1617" t="s">
        <v>814</v>
      </c>
      <c r="AE236" s="1617" t="s">
        <v>814</v>
      </c>
    </row>
    <row r="237" spans="2:31">
      <c r="B237" s="1593" t="s">
        <v>814</v>
      </c>
      <c r="C237" s="1593" t="s">
        <v>814</v>
      </c>
      <c r="D237" s="1593" t="s">
        <v>814</v>
      </c>
      <c r="E237" s="1593" t="s">
        <v>814</v>
      </c>
      <c r="F237" s="1593" t="s">
        <v>814</v>
      </c>
      <c r="G237" s="1593" t="s">
        <v>814</v>
      </c>
      <c r="H237" s="1593" t="s">
        <v>814</v>
      </c>
      <c r="I237" s="1593" t="s">
        <v>814</v>
      </c>
      <c r="J237" s="1593" t="s">
        <v>814</v>
      </c>
      <c r="K237" s="1593" t="s">
        <v>814</v>
      </c>
      <c r="L237" s="1593" t="s">
        <v>814</v>
      </c>
      <c r="M237" s="1593" t="s">
        <v>814</v>
      </c>
      <c r="N237" s="1593" t="s">
        <v>814</v>
      </c>
      <c r="O237" s="1593" t="s">
        <v>814</v>
      </c>
      <c r="P237" s="1593" t="s">
        <v>814</v>
      </c>
      <c r="Q237" s="1593" t="s">
        <v>814</v>
      </c>
      <c r="R237" s="1593" t="s">
        <v>814</v>
      </c>
      <c r="S237" s="1593" t="s">
        <v>814</v>
      </c>
      <c r="T237" s="1593" t="s">
        <v>814</v>
      </c>
      <c r="U237" s="1593" t="s">
        <v>814</v>
      </c>
      <c r="V237" s="1593" t="s">
        <v>814</v>
      </c>
      <c r="W237" s="1593" t="s">
        <v>814</v>
      </c>
      <c r="X237" s="1593" t="s">
        <v>814</v>
      </c>
      <c r="Y237" s="1593" t="s">
        <v>814</v>
      </c>
      <c r="Z237" s="1593" t="s">
        <v>814</v>
      </c>
      <c r="AA237" s="1593" t="s">
        <v>814</v>
      </c>
      <c r="AB237" s="1593" t="s">
        <v>814</v>
      </c>
      <c r="AC237" s="1593" t="s">
        <v>814</v>
      </c>
      <c r="AD237" s="1593" t="s">
        <v>814</v>
      </c>
      <c r="AE237" s="1593" t="s">
        <v>814</v>
      </c>
    </row>
    <row r="238" spans="2:31">
      <c r="B238" s="1618" t="s">
        <v>60</v>
      </c>
      <c r="C238" s="1619" t="s">
        <v>814</v>
      </c>
      <c r="D238" s="1619" t="s">
        <v>814</v>
      </c>
      <c r="E238" s="1619" t="s">
        <v>814</v>
      </c>
      <c r="F238" s="1619" t="s">
        <v>814</v>
      </c>
      <c r="G238" s="1619" t="s">
        <v>814</v>
      </c>
      <c r="H238" s="1619" t="s">
        <v>814</v>
      </c>
      <c r="I238" s="1619" t="s">
        <v>814</v>
      </c>
      <c r="J238" s="1619" t="s">
        <v>814</v>
      </c>
      <c r="K238" s="1619" t="s">
        <v>814</v>
      </c>
      <c r="L238" s="1619" t="s">
        <v>814</v>
      </c>
      <c r="M238" s="1619" t="s">
        <v>814</v>
      </c>
      <c r="N238" s="1619" t="s">
        <v>814</v>
      </c>
      <c r="O238" s="1619" t="s">
        <v>814</v>
      </c>
      <c r="P238" s="1619" t="s">
        <v>814</v>
      </c>
      <c r="Q238" s="1619" t="s">
        <v>814</v>
      </c>
      <c r="R238" s="1619" t="s">
        <v>814</v>
      </c>
      <c r="S238" s="1619" t="s">
        <v>814</v>
      </c>
      <c r="T238" s="1619" t="s">
        <v>814</v>
      </c>
      <c r="U238" s="1619" t="s">
        <v>814</v>
      </c>
      <c r="V238" s="1619" t="s">
        <v>814</v>
      </c>
      <c r="W238" s="1619" t="s">
        <v>814</v>
      </c>
      <c r="X238" s="1619" t="s">
        <v>814</v>
      </c>
      <c r="Y238" s="1619" t="s">
        <v>814</v>
      </c>
      <c r="Z238" s="1619" t="s">
        <v>814</v>
      </c>
      <c r="AA238" s="1619" t="s">
        <v>814</v>
      </c>
      <c r="AB238" s="1619" t="s">
        <v>814</v>
      </c>
      <c r="AC238" s="1619" t="s">
        <v>814</v>
      </c>
      <c r="AD238" s="1619" t="s">
        <v>814</v>
      </c>
      <c r="AE238" s="1619" t="s">
        <v>814</v>
      </c>
    </row>
    <row r="239" spans="2:31">
      <c r="P239" s="148"/>
      <c r="Q239" s="148"/>
      <c r="R239" s="148"/>
      <c r="S239" s="148"/>
      <c r="T239" s="148"/>
      <c r="U239" s="148"/>
    </row>
    <row r="240" spans="2:31">
      <c r="P240" s="148"/>
      <c r="Q240" s="148"/>
      <c r="R240" s="148"/>
      <c r="S240" s="148"/>
      <c r="T240" s="148"/>
      <c r="U240" s="148"/>
    </row>
    <row r="242" spans="16:21">
      <c r="P242" s="148"/>
      <c r="Q242" s="148"/>
      <c r="R242" s="148"/>
      <c r="S242" s="148"/>
      <c r="T242" s="148"/>
      <c r="U242" s="148"/>
    </row>
    <row r="243" spans="16:21">
      <c r="P243" s="148"/>
      <c r="Q243" s="148"/>
      <c r="R243" s="148"/>
      <c r="S243" s="148"/>
      <c r="T243" s="148"/>
      <c r="U243" s="148"/>
    </row>
    <row r="244" spans="16:21">
      <c r="P244" s="148"/>
      <c r="Q244" s="148"/>
      <c r="R244" s="148"/>
      <c r="S244" s="148"/>
      <c r="T244" s="148"/>
      <c r="U244" s="148"/>
    </row>
    <row r="246" spans="16:21">
      <c r="P246" s="148"/>
      <c r="Q246" s="148"/>
      <c r="R246" s="148"/>
      <c r="S246" s="148"/>
      <c r="T246" s="148"/>
      <c r="U246" s="148"/>
    </row>
    <row r="247" spans="16:21">
      <c r="P247" s="23"/>
      <c r="Q247" s="23"/>
      <c r="R247" s="23"/>
      <c r="S247" s="23"/>
      <c r="T247" s="23"/>
      <c r="U247" s="23"/>
    </row>
    <row r="248" spans="16:21">
      <c r="P248" s="148"/>
      <c r="Q248" s="148"/>
      <c r="R248" s="148"/>
      <c r="S248" s="148"/>
      <c r="T248" s="148"/>
      <c r="U248" s="148"/>
    </row>
    <row r="250" spans="16:21">
      <c r="P250" s="148"/>
      <c r="Q250" s="148"/>
      <c r="R250" s="148"/>
      <c r="S250" s="148"/>
      <c r="T250" s="148"/>
      <c r="U250" s="148"/>
    </row>
    <row r="251" spans="16:21">
      <c r="P251" s="23"/>
      <c r="Q251" s="23"/>
      <c r="R251" s="23"/>
      <c r="S251" s="23"/>
      <c r="T251" s="23"/>
      <c r="U251" s="23"/>
    </row>
    <row r="252" spans="16:21">
      <c r="P252" s="148"/>
      <c r="Q252" s="148"/>
      <c r="R252" s="148"/>
      <c r="S252" s="148"/>
      <c r="T252" s="148"/>
      <c r="U252" s="148"/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74DE7-377F-48BC-95A2-58E8D9BED1D9}">
  <sheetPr>
    <tabColor theme="9" tint="0.59999389629810485"/>
  </sheetPr>
  <dimension ref="A1:AF252"/>
  <sheetViews>
    <sheetView showGridLines="0" zoomScale="70" zoomScaleNormal="70" workbookViewId="0">
      <pane ySplit="6" topLeftCell="A7" activePane="bottomLeft" state="frozen"/>
      <selection pane="bottomLeft" activeCell="V16" sqref="V16"/>
    </sheetView>
  </sheetViews>
  <sheetFormatPr defaultColWidth="9.1796875" defaultRowHeight="13" outlineLevelRow="1" outlineLevelCol="1"/>
  <cols>
    <col min="1" max="1" width="6.72656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9.81640625" style="3" customWidth="1"/>
    <col min="7" max="7" width="24.7265625" style="3" customWidth="1" outlineLevel="1"/>
    <col min="8" max="8" width="11.7265625" style="3" customWidth="1" outlineLevel="1"/>
    <col min="9" max="9" width="11.54296875" style="3" customWidth="1" outlineLevel="1"/>
    <col min="10" max="10" width="13.453125" style="3" customWidth="1" outlineLevel="1"/>
    <col min="11" max="11" width="13.453125" style="3" customWidth="1"/>
    <col min="12" max="16" width="11.54296875" style="3" bestFit="1" customWidth="1"/>
    <col min="17" max="17" width="13.1796875" style="3" bestFit="1" customWidth="1"/>
    <col min="18" max="31" width="11.54296875" style="3" bestFit="1" customWidth="1"/>
    <col min="32" max="32" width="3.26953125" style="3" customWidth="1"/>
    <col min="33" max="16384" width="9.1796875" style="3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">
        <v>120</v>
      </c>
      <c r="L2" s="10">
        <v>42005</v>
      </c>
      <c r="M2" s="10">
        <v>42370</v>
      </c>
      <c r="N2" s="10">
        <v>42736</v>
      </c>
      <c r="O2" s="10">
        <v>43101</v>
      </c>
      <c r="P2" s="10">
        <v>43466</v>
      </c>
      <c r="Q2" s="10">
        <v>43831</v>
      </c>
      <c r="R2" s="10">
        <v>44197</v>
      </c>
      <c r="S2" s="10">
        <v>44562</v>
      </c>
      <c r="T2" s="10">
        <v>44927</v>
      </c>
      <c r="U2" s="10">
        <v>45292</v>
      </c>
      <c r="V2" s="10">
        <v>45658</v>
      </c>
      <c r="W2" s="10">
        <v>46023</v>
      </c>
      <c r="X2" s="10">
        <v>46388</v>
      </c>
      <c r="Y2" s="10">
        <v>46753</v>
      </c>
      <c r="Z2" s="10">
        <v>47119</v>
      </c>
      <c r="AA2" s="10">
        <v>47484</v>
      </c>
      <c r="AB2" s="10">
        <v>47849</v>
      </c>
      <c r="AC2" s="10">
        <v>48214</v>
      </c>
      <c r="AD2" s="10">
        <v>48580</v>
      </c>
      <c r="AE2" s="10">
        <v>48945</v>
      </c>
    </row>
    <row r="3" spans="2:31">
      <c r="B3" s="4"/>
      <c r="C3" s="215" t="s">
        <v>121</v>
      </c>
      <c r="D3" s="4"/>
      <c r="E3" s="4"/>
      <c r="F3" s="4"/>
      <c r="G3" s="4"/>
      <c r="H3" s="4"/>
      <c r="I3" s="4"/>
      <c r="J3" s="4"/>
      <c r="K3" s="5" t="s">
        <v>122</v>
      </c>
      <c r="L3" s="10">
        <v>42369</v>
      </c>
      <c r="M3" s="10">
        <v>42735</v>
      </c>
      <c r="N3" s="10">
        <v>43100</v>
      </c>
      <c r="O3" s="10">
        <v>43465</v>
      </c>
      <c r="P3" s="10">
        <v>43830</v>
      </c>
      <c r="Q3" s="10">
        <v>44196</v>
      </c>
      <c r="R3" s="10">
        <v>44561</v>
      </c>
      <c r="S3" s="10">
        <v>44926</v>
      </c>
      <c r="T3" s="10">
        <v>45291</v>
      </c>
      <c r="U3" s="10">
        <v>45657</v>
      </c>
      <c r="V3" s="10">
        <v>46022</v>
      </c>
      <c r="W3" s="10">
        <v>46387</v>
      </c>
      <c r="X3" s="10">
        <v>46752</v>
      </c>
      <c r="Y3" s="10">
        <v>47118</v>
      </c>
      <c r="Z3" s="10">
        <v>47483</v>
      </c>
      <c r="AA3" s="10">
        <v>47848</v>
      </c>
      <c r="AB3" s="10">
        <v>48213</v>
      </c>
      <c r="AC3" s="10">
        <v>48579</v>
      </c>
      <c r="AD3" s="10">
        <v>48944</v>
      </c>
      <c r="AE3" s="10">
        <v>49309</v>
      </c>
    </row>
    <row r="4" spans="2:31">
      <c r="B4" s="4"/>
      <c r="C4" s="1540" t="s">
        <v>123</v>
      </c>
      <c r="D4" s="177" t="s">
        <v>858</v>
      </c>
      <c r="E4" s="4"/>
      <c r="F4" s="4"/>
      <c r="G4" s="4"/>
      <c r="H4" s="4"/>
      <c r="I4" s="4"/>
      <c r="J4" s="4"/>
      <c r="K4" s="5" t="s">
        <v>124</v>
      </c>
      <c r="L4" s="11">
        <v>2015</v>
      </c>
      <c r="M4" s="11">
        <v>2016</v>
      </c>
      <c r="N4" s="11">
        <v>2017</v>
      </c>
      <c r="O4" s="11">
        <v>2018</v>
      </c>
      <c r="P4" s="11">
        <v>2019</v>
      </c>
      <c r="Q4" s="11">
        <v>2020</v>
      </c>
      <c r="R4" s="11">
        <v>2021</v>
      </c>
      <c r="S4" s="11">
        <v>2022</v>
      </c>
      <c r="T4" s="11">
        <v>2023</v>
      </c>
      <c r="U4" s="11">
        <v>2024</v>
      </c>
      <c r="V4" s="11">
        <v>2025</v>
      </c>
      <c r="W4" s="11">
        <v>2026</v>
      </c>
      <c r="X4" s="11">
        <v>2027</v>
      </c>
      <c r="Y4" s="11">
        <v>2028</v>
      </c>
      <c r="Z4" s="11">
        <v>2029</v>
      </c>
      <c r="AA4" s="11">
        <v>2030</v>
      </c>
      <c r="AB4" s="11">
        <v>2031</v>
      </c>
      <c r="AC4" s="11">
        <v>2032</v>
      </c>
      <c r="AD4" s="11">
        <v>2033</v>
      </c>
      <c r="AE4" s="11">
        <v>2034</v>
      </c>
    </row>
    <row r="5" spans="2:31">
      <c r="B5" s="4"/>
      <c r="C5" s="5" t="s">
        <v>859</v>
      </c>
      <c r="D5" s="4"/>
      <c r="E5" s="4"/>
      <c r="F5" s="4"/>
      <c r="G5" s="4"/>
      <c r="H5" s="4"/>
      <c r="I5" s="4"/>
      <c r="J5" s="4"/>
      <c r="K5" s="5" t="s">
        <v>125</v>
      </c>
      <c r="L5" s="11">
        <v>1</v>
      </c>
      <c r="M5" s="11">
        <v>2</v>
      </c>
      <c r="N5" s="11">
        <v>3</v>
      </c>
      <c r="O5" s="11">
        <v>4</v>
      </c>
      <c r="P5" s="11">
        <v>5</v>
      </c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11">
        <v>11</v>
      </c>
      <c r="W5" s="11">
        <v>12</v>
      </c>
      <c r="X5" s="11">
        <v>13</v>
      </c>
      <c r="Y5" s="11">
        <v>14</v>
      </c>
      <c r="Z5" s="11">
        <v>15</v>
      </c>
      <c r="AA5" s="11">
        <v>16</v>
      </c>
      <c r="AB5" s="11">
        <v>17</v>
      </c>
      <c r="AC5" s="11">
        <v>18</v>
      </c>
      <c r="AD5" s="11">
        <v>19</v>
      </c>
      <c r="AE5" s="11">
        <v>20</v>
      </c>
    </row>
    <row r="6" spans="2:31">
      <c r="B6" s="4"/>
      <c r="C6" s="5" t="s">
        <v>9</v>
      </c>
      <c r="D6" s="4"/>
      <c r="E6" s="5" t="s">
        <v>10</v>
      </c>
      <c r="F6" s="5"/>
      <c r="G6" s="5" t="s">
        <v>794</v>
      </c>
      <c r="H6" s="4"/>
      <c r="I6" s="5" t="s">
        <v>176</v>
      </c>
      <c r="J6" s="5" t="s">
        <v>177</v>
      </c>
      <c r="K6" s="5" t="s">
        <v>126</v>
      </c>
      <c r="L6" s="11" t="s">
        <v>127</v>
      </c>
      <c r="M6" s="11" t="s">
        <v>127</v>
      </c>
      <c r="N6" s="11" t="s">
        <v>127</v>
      </c>
      <c r="O6" s="11" t="s">
        <v>127</v>
      </c>
      <c r="P6" s="11" t="s">
        <v>127</v>
      </c>
      <c r="Q6" s="11" t="s">
        <v>128</v>
      </c>
      <c r="R6" s="11" t="s">
        <v>128</v>
      </c>
      <c r="S6" s="11" t="s">
        <v>128</v>
      </c>
      <c r="T6" s="11" t="s">
        <v>128</v>
      </c>
      <c r="U6" s="11" t="s">
        <v>128</v>
      </c>
      <c r="V6" s="11" t="s">
        <v>129</v>
      </c>
      <c r="W6" s="11" t="s">
        <v>129</v>
      </c>
      <c r="X6" s="11" t="s">
        <v>129</v>
      </c>
      <c r="Y6" s="11" t="s">
        <v>129</v>
      </c>
      <c r="Z6" s="11" t="s">
        <v>129</v>
      </c>
      <c r="AA6" s="11" t="s">
        <v>130</v>
      </c>
      <c r="AB6" s="11" t="s">
        <v>130</v>
      </c>
      <c r="AC6" s="11" t="s">
        <v>130</v>
      </c>
      <c r="AD6" s="11" t="s">
        <v>130</v>
      </c>
      <c r="AE6" s="11" t="s">
        <v>130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795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796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797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798</v>
      </c>
      <c r="E13" s="3" t="s">
        <v>64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pans="2:31">
      <c r="C14" s="3" t="s">
        <v>796</v>
      </c>
      <c r="E14" s="3" t="s">
        <v>29</v>
      </c>
      <c r="L14" s="38"/>
      <c r="M14" s="38"/>
      <c r="N14" s="38"/>
      <c r="O14" s="38"/>
      <c r="P14" s="38"/>
      <c r="Q14" s="149"/>
      <c r="R14" s="149"/>
      <c r="S14" s="149"/>
      <c r="T14" s="149"/>
      <c r="U14" s="149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pans="2:31">
      <c r="C15" s="3" t="s">
        <v>799</v>
      </c>
      <c r="E15" s="3" t="s">
        <v>29</v>
      </c>
      <c r="L15" s="38"/>
      <c r="M15" s="38"/>
      <c r="N15" s="38"/>
      <c r="O15" s="38"/>
      <c r="P15" s="149">
        <v>13465.999999999996</v>
      </c>
      <c r="Q15" s="149">
        <v>13121</v>
      </c>
      <c r="R15" s="149">
        <v>12941</v>
      </c>
      <c r="S15" s="149">
        <v>14050</v>
      </c>
      <c r="T15" s="149">
        <v>13855</v>
      </c>
      <c r="U15" s="149">
        <v>13430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7" spans="3:31" ht="13.5" thickBot="1">
      <c r="C17" s="6" t="s">
        <v>798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3:31">
      <c r="C18" s="3" t="s">
        <v>860</v>
      </c>
      <c r="E18" s="3" t="s">
        <v>64</v>
      </c>
      <c r="L18" s="173">
        <v>0</v>
      </c>
      <c r="M18" s="173">
        <v>0</v>
      </c>
      <c r="N18" s="173">
        <v>0</v>
      </c>
      <c r="O18" s="173">
        <v>0</v>
      </c>
      <c r="P18" s="173">
        <v>309</v>
      </c>
      <c r="Q18" s="173">
        <v>301</v>
      </c>
      <c r="R18" s="173">
        <v>290</v>
      </c>
      <c r="S18" s="173">
        <v>290</v>
      </c>
      <c r="T18" s="173">
        <v>295</v>
      </c>
      <c r="U18" s="173">
        <v>325</v>
      </c>
      <c r="V18" s="173">
        <v>0</v>
      </c>
      <c r="W18" s="173">
        <v>0</v>
      </c>
      <c r="X18" s="173">
        <v>0</v>
      </c>
      <c r="Y18" s="173">
        <v>0</v>
      </c>
      <c r="Z18" s="173">
        <v>0</v>
      </c>
      <c r="AA18" s="173">
        <v>0</v>
      </c>
      <c r="AB18" s="173">
        <v>0</v>
      </c>
      <c r="AC18" s="173">
        <v>0</v>
      </c>
      <c r="AD18" s="173">
        <v>0</v>
      </c>
      <c r="AE18" s="173">
        <v>0</v>
      </c>
    </row>
    <row r="19" spans="3:31">
      <c r="C19" s="3" t="s">
        <v>861</v>
      </c>
      <c r="E19" s="3" t="s">
        <v>64</v>
      </c>
      <c r="L19" s="173">
        <v>0</v>
      </c>
      <c r="M19" s="173">
        <v>0</v>
      </c>
      <c r="N19" s="173">
        <v>0</v>
      </c>
      <c r="O19" s="173">
        <v>0</v>
      </c>
      <c r="P19" s="173">
        <v>68</v>
      </c>
      <c r="Q19" s="173">
        <v>68</v>
      </c>
      <c r="R19" s="173">
        <v>68</v>
      </c>
      <c r="S19" s="173">
        <v>57</v>
      </c>
      <c r="T19" s="173">
        <v>57</v>
      </c>
      <c r="U19" s="173">
        <v>57</v>
      </c>
      <c r="V19" s="173">
        <v>0</v>
      </c>
      <c r="W19" s="173">
        <v>0</v>
      </c>
      <c r="X19" s="173">
        <v>0</v>
      </c>
      <c r="Y19" s="173">
        <v>0</v>
      </c>
      <c r="Z19" s="173">
        <v>0</v>
      </c>
      <c r="AA19" s="173">
        <v>0</v>
      </c>
      <c r="AB19" s="173">
        <v>0</v>
      </c>
      <c r="AC19" s="173">
        <v>0</v>
      </c>
      <c r="AD19" s="173">
        <v>0</v>
      </c>
      <c r="AE19" s="173">
        <v>0</v>
      </c>
    </row>
    <row r="20" spans="3:31">
      <c r="C20" s="3" t="s">
        <v>802</v>
      </c>
      <c r="E20" s="3" t="s">
        <v>64</v>
      </c>
      <c r="L20" s="173">
        <v>0</v>
      </c>
      <c r="M20" s="173">
        <v>0</v>
      </c>
      <c r="N20" s="173">
        <v>0</v>
      </c>
      <c r="O20" s="173">
        <v>0</v>
      </c>
      <c r="P20" s="173">
        <v>39</v>
      </c>
      <c r="Q20" s="173">
        <v>39</v>
      </c>
      <c r="R20" s="173">
        <v>39</v>
      </c>
      <c r="S20" s="173">
        <v>38</v>
      </c>
      <c r="T20" s="173">
        <v>38</v>
      </c>
      <c r="U20" s="173">
        <v>38</v>
      </c>
      <c r="V20" s="173">
        <v>0</v>
      </c>
      <c r="W20" s="173">
        <v>0</v>
      </c>
      <c r="X20" s="173">
        <v>0</v>
      </c>
      <c r="Y20" s="173">
        <v>0</v>
      </c>
      <c r="Z20" s="173">
        <v>0</v>
      </c>
      <c r="AA20" s="173">
        <v>0</v>
      </c>
      <c r="AB20" s="173">
        <v>0</v>
      </c>
      <c r="AC20" s="173">
        <v>0</v>
      </c>
      <c r="AD20" s="173">
        <v>0</v>
      </c>
      <c r="AE20" s="173">
        <v>0</v>
      </c>
    </row>
    <row r="21" spans="3:31">
      <c r="C21" s="3" t="s">
        <v>803</v>
      </c>
      <c r="E21" s="3" t="s">
        <v>64</v>
      </c>
      <c r="L21" s="173">
        <v>0</v>
      </c>
      <c r="M21" s="173">
        <v>0</v>
      </c>
      <c r="N21" s="173">
        <v>0</v>
      </c>
      <c r="O21" s="173">
        <v>0</v>
      </c>
      <c r="P21" s="173">
        <v>72</v>
      </c>
      <c r="Q21" s="173">
        <v>72</v>
      </c>
      <c r="R21" s="173">
        <v>72</v>
      </c>
      <c r="S21" s="173">
        <v>87</v>
      </c>
      <c r="T21" s="173">
        <v>90.5</v>
      </c>
      <c r="U21" s="173">
        <v>90.5</v>
      </c>
      <c r="V21" s="173">
        <v>0</v>
      </c>
      <c r="W21" s="173">
        <v>0</v>
      </c>
      <c r="X21" s="173">
        <v>0</v>
      </c>
      <c r="Y21" s="173">
        <v>0</v>
      </c>
      <c r="Z21" s="173">
        <v>0</v>
      </c>
      <c r="AA21" s="173">
        <v>0</v>
      </c>
      <c r="AB21" s="173">
        <v>0</v>
      </c>
      <c r="AC21" s="173">
        <v>0</v>
      </c>
      <c r="AD21" s="173">
        <v>0</v>
      </c>
      <c r="AE21" s="173">
        <v>0</v>
      </c>
    </row>
    <row r="22" spans="3:31">
      <c r="C22" s="3" t="s">
        <v>804</v>
      </c>
      <c r="E22" s="3" t="s">
        <v>64</v>
      </c>
      <c r="L22" s="173">
        <v>0</v>
      </c>
      <c r="M22" s="173">
        <v>0</v>
      </c>
      <c r="N22" s="173">
        <v>0</v>
      </c>
      <c r="O22" s="173">
        <v>0</v>
      </c>
      <c r="P22" s="173">
        <v>60</v>
      </c>
      <c r="Q22" s="173">
        <v>60</v>
      </c>
      <c r="R22" s="173">
        <v>60</v>
      </c>
      <c r="S22" s="173">
        <v>66.5</v>
      </c>
      <c r="T22" s="173">
        <v>66.5</v>
      </c>
      <c r="U22" s="173">
        <v>66.5</v>
      </c>
      <c r="V22" s="173">
        <v>0</v>
      </c>
      <c r="W22" s="173">
        <v>0</v>
      </c>
      <c r="X22" s="173">
        <v>0</v>
      </c>
      <c r="Y22" s="173">
        <v>0</v>
      </c>
      <c r="Z22" s="173">
        <v>0</v>
      </c>
      <c r="AA22" s="173">
        <v>0</v>
      </c>
      <c r="AB22" s="173">
        <v>0</v>
      </c>
      <c r="AC22" s="173">
        <v>0</v>
      </c>
      <c r="AD22" s="173">
        <v>0</v>
      </c>
      <c r="AE22" s="173">
        <v>0</v>
      </c>
    </row>
    <row r="23" spans="3:31">
      <c r="C23" s="3" t="s">
        <v>805</v>
      </c>
      <c r="E23" s="3" t="s">
        <v>64</v>
      </c>
      <c r="L23" s="173">
        <v>0</v>
      </c>
      <c r="M23" s="173">
        <v>0</v>
      </c>
      <c r="N23" s="173">
        <v>0</v>
      </c>
      <c r="O23" s="173">
        <v>0</v>
      </c>
      <c r="P23" s="173">
        <v>0</v>
      </c>
      <c r="Q23" s="173">
        <v>0</v>
      </c>
      <c r="R23" s="173">
        <v>0</v>
      </c>
      <c r="S23" s="173">
        <v>0</v>
      </c>
      <c r="T23" s="173">
        <v>0</v>
      </c>
      <c r="U23" s="173">
        <v>0</v>
      </c>
      <c r="V23" s="173">
        <v>0</v>
      </c>
      <c r="W23" s="173">
        <v>0</v>
      </c>
      <c r="X23" s="173">
        <v>0</v>
      </c>
      <c r="Y23" s="173">
        <v>0</v>
      </c>
      <c r="Z23" s="173">
        <v>0</v>
      </c>
      <c r="AA23" s="173">
        <v>0</v>
      </c>
      <c r="AB23" s="173">
        <v>0</v>
      </c>
      <c r="AC23" s="173">
        <v>0</v>
      </c>
      <c r="AD23" s="173">
        <v>0</v>
      </c>
      <c r="AE23" s="173">
        <v>0</v>
      </c>
    </row>
    <row r="24" spans="3:31">
      <c r="C24" s="3" t="s">
        <v>806</v>
      </c>
      <c r="E24" s="3" t="s">
        <v>64</v>
      </c>
      <c r="L24" s="173">
        <v>0</v>
      </c>
      <c r="M24" s="173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0</v>
      </c>
      <c r="S24" s="173">
        <v>0</v>
      </c>
      <c r="T24" s="173">
        <v>0</v>
      </c>
      <c r="U24" s="173">
        <v>0</v>
      </c>
      <c r="V24" s="173">
        <v>0</v>
      </c>
      <c r="W24" s="173">
        <v>0</v>
      </c>
      <c r="X24" s="173">
        <v>0</v>
      </c>
      <c r="Y24" s="173">
        <v>0</v>
      </c>
      <c r="Z24" s="173">
        <v>0</v>
      </c>
      <c r="AA24" s="173">
        <v>0</v>
      </c>
      <c r="AB24" s="173">
        <v>0</v>
      </c>
      <c r="AC24" s="173">
        <v>0</v>
      </c>
      <c r="AD24" s="173">
        <v>0</v>
      </c>
      <c r="AE24" s="173">
        <v>0</v>
      </c>
    </row>
    <row r="25" spans="3:31">
      <c r="C25" s="3" t="s">
        <v>807</v>
      </c>
      <c r="E25" s="3" t="s">
        <v>64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0</v>
      </c>
      <c r="T25" s="173">
        <v>0</v>
      </c>
      <c r="U25" s="173">
        <v>0</v>
      </c>
      <c r="V25" s="173">
        <v>0</v>
      </c>
      <c r="W25" s="173">
        <v>0</v>
      </c>
      <c r="X25" s="173">
        <v>0</v>
      </c>
      <c r="Y25" s="173">
        <v>0</v>
      </c>
      <c r="Z25" s="173">
        <v>0</v>
      </c>
      <c r="AA25" s="173">
        <v>0</v>
      </c>
      <c r="AB25" s="173">
        <v>0</v>
      </c>
      <c r="AC25" s="173">
        <v>0</v>
      </c>
      <c r="AD25" s="173">
        <v>0</v>
      </c>
      <c r="AE25" s="173">
        <v>0</v>
      </c>
    </row>
    <row r="26" spans="3:31">
      <c r="C26" s="3" t="s">
        <v>807</v>
      </c>
      <c r="E26" s="3" t="s">
        <v>64</v>
      </c>
      <c r="L26" s="173">
        <v>0</v>
      </c>
      <c r="M26" s="173">
        <v>0</v>
      </c>
      <c r="N26" s="173">
        <v>0</v>
      </c>
      <c r="O26" s="173">
        <v>0</v>
      </c>
      <c r="P26" s="173">
        <v>0</v>
      </c>
      <c r="Q26" s="173">
        <v>0</v>
      </c>
      <c r="R26" s="173">
        <v>0</v>
      </c>
      <c r="S26" s="173">
        <v>0</v>
      </c>
      <c r="T26" s="173">
        <v>0</v>
      </c>
      <c r="U26" s="173">
        <v>0</v>
      </c>
      <c r="V26" s="173">
        <v>0</v>
      </c>
      <c r="W26" s="173">
        <v>0</v>
      </c>
      <c r="X26" s="173">
        <v>0</v>
      </c>
      <c r="Y26" s="173">
        <v>0</v>
      </c>
      <c r="Z26" s="173">
        <v>0</v>
      </c>
      <c r="AA26" s="173">
        <v>0</v>
      </c>
      <c r="AB26" s="173">
        <v>0</v>
      </c>
      <c r="AC26" s="173">
        <v>0</v>
      </c>
      <c r="AD26" s="173">
        <v>0</v>
      </c>
      <c r="AE26" s="173">
        <v>0</v>
      </c>
    </row>
    <row r="27" spans="3:31">
      <c r="C27" s="3" t="s">
        <v>807</v>
      </c>
      <c r="E27" s="3" t="s">
        <v>64</v>
      </c>
      <c r="L27" s="173">
        <v>0</v>
      </c>
      <c r="M27" s="173">
        <v>0</v>
      </c>
      <c r="N27" s="173">
        <v>0</v>
      </c>
      <c r="O27" s="173">
        <v>0</v>
      </c>
      <c r="P27" s="173">
        <v>0</v>
      </c>
      <c r="Q27" s="173">
        <v>0</v>
      </c>
      <c r="R27" s="173">
        <v>0</v>
      </c>
      <c r="S27" s="173">
        <v>0</v>
      </c>
      <c r="T27" s="173">
        <v>0</v>
      </c>
      <c r="U27" s="173">
        <v>0</v>
      </c>
      <c r="V27" s="173">
        <v>0</v>
      </c>
      <c r="W27" s="173">
        <v>0</v>
      </c>
      <c r="X27" s="173">
        <v>0</v>
      </c>
      <c r="Y27" s="173">
        <v>0</v>
      </c>
      <c r="Z27" s="173">
        <v>0</v>
      </c>
      <c r="AA27" s="173">
        <v>0</v>
      </c>
      <c r="AB27" s="173">
        <v>0</v>
      </c>
      <c r="AC27" s="173">
        <v>0</v>
      </c>
      <c r="AD27" s="173">
        <v>0</v>
      </c>
      <c r="AE27" s="173">
        <v>0</v>
      </c>
    </row>
    <row r="28" spans="3:31">
      <c r="C28" s="3" t="s">
        <v>807</v>
      </c>
      <c r="E28" s="3" t="s">
        <v>64</v>
      </c>
      <c r="L28" s="173">
        <v>0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3">
        <v>0</v>
      </c>
      <c r="W28" s="173">
        <v>0</v>
      </c>
      <c r="X28" s="173">
        <v>0</v>
      </c>
      <c r="Y28" s="173">
        <v>0</v>
      </c>
      <c r="Z28" s="173">
        <v>0</v>
      </c>
      <c r="AA28" s="173">
        <v>0</v>
      </c>
      <c r="AB28" s="173">
        <v>0</v>
      </c>
      <c r="AC28" s="173">
        <v>0</v>
      </c>
      <c r="AD28" s="173">
        <v>0</v>
      </c>
      <c r="AE28" s="173">
        <v>0</v>
      </c>
    </row>
    <row r="29" spans="3:31">
      <c r="C29" s="1058"/>
    </row>
    <row r="30" spans="3:31">
      <c r="C30" s="14"/>
      <c r="D30" s="14"/>
      <c r="E30" s="14"/>
      <c r="F30" s="14"/>
      <c r="G30" s="14"/>
      <c r="H30" s="14"/>
      <c r="I30" s="14"/>
      <c r="J30" s="14"/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3:31">
      <c r="C31" s="17" t="s">
        <v>808</v>
      </c>
      <c r="E31" s="3" t="s">
        <v>64</v>
      </c>
      <c r="L31" s="27">
        <f t="shared" ref="L31:AE31" si="0">SUM(L18:L28)*(L$13="")+L$13</f>
        <v>0</v>
      </c>
      <c r="M31" s="27">
        <f t="shared" si="0"/>
        <v>0</v>
      </c>
      <c r="N31" s="27">
        <f t="shared" si="0"/>
        <v>0</v>
      </c>
      <c r="O31" s="27">
        <f t="shared" si="0"/>
        <v>0</v>
      </c>
      <c r="P31" s="27">
        <f t="shared" si="0"/>
        <v>548</v>
      </c>
      <c r="Q31" s="27">
        <f t="shared" si="0"/>
        <v>540</v>
      </c>
      <c r="R31" s="27">
        <f t="shared" si="0"/>
        <v>529</v>
      </c>
      <c r="S31" s="27">
        <f t="shared" si="0"/>
        <v>538.5</v>
      </c>
      <c r="T31" s="27">
        <f t="shared" si="0"/>
        <v>547</v>
      </c>
      <c r="U31" s="27">
        <f t="shared" si="0"/>
        <v>577</v>
      </c>
      <c r="V31" s="27">
        <f t="shared" si="0"/>
        <v>0</v>
      </c>
      <c r="W31" s="27">
        <f t="shared" si="0"/>
        <v>0</v>
      </c>
      <c r="X31" s="27">
        <f t="shared" si="0"/>
        <v>0</v>
      </c>
      <c r="Y31" s="27">
        <f t="shared" si="0"/>
        <v>0</v>
      </c>
      <c r="Z31" s="27">
        <f t="shared" si="0"/>
        <v>0</v>
      </c>
      <c r="AA31" s="27">
        <f t="shared" si="0"/>
        <v>0</v>
      </c>
      <c r="AB31" s="27">
        <f t="shared" si="0"/>
        <v>0</v>
      </c>
      <c r="AC31" s="27">
        <f t="shared" si="0"/>
        <v>0</v>
      </c>
      <c r="AD31" s="27">
        <f t="shared" si="0"/>
        <v>0</v>
      </c>
      <c r="AE31" s="27">
        <f t="shared" si="0"/>
        <v>0</v>
      </c>
    </row>
    <row r="33" spans="1:32" s="7" customFormat="1" ht="13.5" thickBot="1">
      <c r="A33" s="3"/>
      <c r="B33" s="3"/>
      <c r="C33" s="6" t="s">
        <v>796</v>
      </c>
      <c r="I33" s="221"/>
      <c r="K33" s="22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</row>
    <row r="34" spans="1:32">
      <c r="C34" s="3" t="str">
        <f>C18</f>
        <v>ATCOs</v>
      </c>
      <c r="E34" s="3" t="s">
        <v>29</v>
      </c>
      <c r="I34" s="1017">
        <f>AVERAGE(Q65:U65)</f>
        <v>0.86084612939999994</v>
      </c>
      <c r="J34" s="1017">
        <f>1-I34</f>
        <v>0.13915387060000006</v>
      </c>
      <c r="K34" s="156"/>
      <c r="L34" s="173">
        <v>0</v>
      </c>
      <c r="M34" s="173">
        <v>0</v>
      </c>
      <c r="N34" s="173">
        <v>0</v>
      </c>
      <c r="O34" s="173">
        <v>0</v>
      </c>
      <c r="P34" s="1594">
        <v>42570.219940000003</v>
      </c>
      <c r="Q34" s="1595">
        <v>40620.303472</v>
      </c>
      <c r="R34" s="1595">
        <v>37287.841499000002</v>
      </c>
      <c r="S34" s="1595">
        <v>41020.047239</v>
      </c>
      <c r="T34" s="1595">
        <v>41592.493971999997</v>
      </c>
      <c r="U34" s="1595">
        <v>43155.394869999996</v>
      </c>
      <c r="V34" s="173">
        <v>0</v>
      </c>
      <c r="W34" s="173">
        <v>0</v>
      </c>
      <c r="X34" s="173">
        <v>0</v>
      </c>
      <c r="Y34" s="173">
        <v>0</v>
      </c>
      <c r="Z34" s="173">
        <v>0</v>
      </c>
      <c r="AA34" s="173">
        <v>0</v>
      </c>
      <c r="AB34" s="173">
        <v>0</v>
      </c>
      <c r="AC34" s="173">
        <v>0</v>
      </c>
      <c r="AD34" s="173">
        <v>0</v>
      </c>
      <c r="AE34" s="173">
        <v>0</v>
      </c>
    </row>
    <row r="35" spans="1:32">
      <c r="C35" s="3" t="str">
        <f t="shared" ref="C35:C42" si="1">C19</f>
        <v>Corp Serv</v>
      </c>
      <c r="E35" s="3" t="s">
        <v>29</v>
      </c>
      <c r="I35" s="1017">
        <f>AVERAGE(Q66:U66)</f>
        <v>0.83119999999999994</v>
      </c>
      <c r="J35" s="1017">
        <f>1-I35</f>
        <v>0.16880000000000006</v>
      </c>
      <c r="K35" s="156"/>
      <c r="L35" s="173">
        <v>0</v>
      </c>
      <c r="M35" s="173">
        <v>0</v>
      </c>
      <c r="N35" s="173">
        <v>0</v>
      </c>
      <c r="O35" s="173">
        <v>0</v>
      </c>
      <c r="P35" s="1596">
        <v>4607.7094880000004</v>
      </c>
      <c r="Q35" s="1597">
        <v>4447.1261279999999</v>
      </c>
      <c r="R35" s="1597">
        <v>4484.804862</v>
      </c>
      <c r="S35" s="1597">
        <v>3944.117663</v>
      </c>
      <c r="T35" s="1597">
        <v>3965.3657400000002</v>
      </c>
      <c r="U35" s="1597">
        <v>3972.4737420000001</v>
      </c>
      <c r="V35" s="173">
        <v>0</v>
      </c>
      <c r="W35" s="173">
        <v>0</v>
      </c>
      <c r="X35" s="173">
        <v>0</v>
      </c>
      <c r="Y35" s="173">
        <v>0</v>
      </c>
      <c r="Z35" s="173">
        <v>0</v>
      </c>
      <c r="AA35" s="173">
        <v>0</v>
      </c>
      <c r="AB35" s="173">
        <v>0</v>
      </c>
      <c r="AC35" s="173">
        <v>0</v>
      </c>
      <c r="AD35" s="173">
        <v>0</v>
      </c>
      <c r="AE35" s="173">
        <v>0</v>
      </c>
    </row>
    <row r="36" spans="1:32">
      <c r="C36" s="3" t="str">
        <f t="shared" si="1"/>
        <v>Data Assistant</v>
      </c>
      <c r="E36" s="3" t="s">
        <v>29</v>
      </c>
      <c r="I36" s="1017">
        <f>AVERAGE(Q67:U67)</f>
        <v>0.88139999999999996</v>
      </c>
      <c r="J36" s="1017">
        <f>1-I36</f>
        <v>0.11860000000000004</v>
      </c>
      <c r="K36" s="156"/>
      <c r="L36" s="173">
        <v>0</v>
      </c>
      <c r="M36" s="173">
        <v>0</v>
      </c>
      <c r="N36" s="173">
        <v>0</v>
      </c>
      <c r="O36" s="173">
        <v>0</v>
      </c>
      <c r="P36" s="1596">
        <v>2657.4687640000002</v>
      </c>
      <c r="Q36" s="1597">
        <v>2566.3463510000001</v>
      </c>
      <c r="R36" s="1597">
        <v>2591.5299030000001</v>
      </c>
      <c r="S36" s="1597">
        <v>2647.0133839999999</v>
      </c>
      <c r="T36" s="1597">
        <v>2658.5501420000001</v>
      </c>
      <c r="U36" s="1597">
        <v>2659.259039</v>
      </c>
      <c r="V36" s="173">
        <v>0</v>
      </c>
      <c r="W36" s="173">
        <v>0</v>
      </c>
      <c r="X36" s="173">
        <v>0</v>
      </c>
      <c r="Y36" s="173">
        <v>0</v>
      </c>
      <c r="Z36" s="173">
        <v>0</v>
      </c>
      <c r="AA36" s="173">
        <v>0</v>
      </c>
      <c r="AB36" s="173">
        <v>0</v>
      </c>
      <c r="AC36" s="173">
        <v>0</v>
      </c>
      <c r="AD36" s="173">
        <v>0</v>
      </c>
      <c r="AE36" s="173">
        <v>0</v>
      </c>
    </row>
    <row r="37" spans="1:32">
      <c r="C37" s="3" t="str">
        <f t="shared" si="1"/>
        <v>Engineer</v>
      </c>
      <c r="E37" s="3" t="s">
        <v>29</v>
      </c>
      <c r="I37" s="1017">
        <f>AVERAGE(Q68:U68)</f>
        <v>0.85919999999999985</v>
      </c>
      <c r="J37" s="1017">
        <f>1-I37</f>
        <v>0.14080000000000015</v>
      </c>
      <c r="K37" s="156"/>
      <c r="L37" s="173">
        <v>0</v>
      </c>
      <c r="M37" s="173">
        <v>0</v>
      </c>
      <c r="N37" s="173">
        <v>0</v>
      </c>
      <c r="O37" s="173">
        <v>0</v>
      </c>
      <c r="P37" s="1596">
        <v>8716.9059840000009</v>
      </c>
      <c r="Q37" s="1597">
        <v>8414.1503620000003</v>
      </c>
      <c r="R37" s="1597">
        <v>8487.8302280000007</v>
      </c>
      <c r="S37" s="1597">
        <v>10758.397333000001</v>
      </c>
      <c r="T37" s="1597">
        <v>11249.05551</v>
      </c>
      <c r="U37" s="1597">
        <v>11265.583626</v>
      </c>
      <c r="V37" s="173">
        <v>0</v>
      </c>
      <c r="W37" s="173">
        <v>0</v>
      </c>
      <c r="X37" s="173">
        <v>0</v>
      </c>
      <c r="Y37" s="173">
        <v>0</v>
      </c>
      <c r="Z37" s="173">
        <v>0</v>
      </c>
      <c r="AA37" s="173">
        <v>0</v>
      </c>
      <c r="AB37" s="173">
        <v>0</v>
      </c>
      <c r="AC37" s="173">
        <v>0</v>
      </c>
      <c r="AD37" s="173">
        <v>0</v>
      </c>
      <c r="AE37" s="173">
        <v>0</v>
      </c>
    </row>
    <row r="38" spans="1:32">
      <c r="C38" s="3" t="str">
        <f t="shared" si="1"/>
        <v>Op Mgt Supp</v>
      </c>
      <c r="E38" s="3" t="s">
        <v>29</v>
      </c>
      <c r="I38" s="1017">
        <f>AVERAGE(Q69:U69)</f>
        <v>0.85220000000000007</v>
      </c>
      <c r="J38" s="1017">
        <f>1-I38</f>
        <v>0.14779999999999993</v>
      </c>
      <c r="K38" s="156"/>
      <c r="L38" s="173">
        <v>0</v>
      </c>
      <c r="M38" s="173">
        <v>0</v>
      </c>
      <c r="N38" s="173">
        <v>0</v>
      </c>
      <c r="O38" s="173">
        <v>0</v>
      </c>
      <c r="P38" s="1596">
        <v>7127.6958249999998</v>
      </c>
      <c r="Q38" s="1597">
        <v>6879.1734130000004</v>
      </c>
      <c r="R38" s="1597">
        <v>6937.1930439999996</v>
      </c>
      <c r="S38" s="1597">
        <v>8066.8666560000001</v>
      </c>
      <c r="T38" s="1597">
        <v>8110.56369</v>
      </c>
      <c r="U38" s="1597">
        <v>8125.4573549999996</v>
      </c>
      <c r="V38" s="173">
        <v>0</v>
      </c>
      <c r="W38" s="173">
        <v>0</v>
      </c>
      <c r="X38" s="173">
        <v>0</v>
      </c>
      <c r="Y38" s="173">
        <v>0</v>
      </c>
      <c r="Z38" s="173">
        <v>0</v>
      </c>
      <c r="AA38" s="173">
        <v>0</v>
      </c>
      <c r="AB38" s="173">
        <v>0</v>
      </c>
      <c r="AC38" s="173">
        <v>0</v>
      </c>
      <c r="AD38" s="173">
        <v>0</v>
      </c>
      <c r="AE38" s="173">
        <v>0</v>
      </c>
    </row>
    <row r="39" spans="1:32">
      <c r="C39" s="3" t="str">
        <f t="shared" si="1"/>
        <v>EWSS</v>
      </c>
      <c r="E39" s="3" t="s">
        <v>29</v>
      </c>
      <c r="K39" s="156"/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-1357.3664329999999</v>
      </c>
      <c r="R39" s="173">
        <v>-4009.1541820000002</v>
      </c>
      <c r="S39" s="173">
        <v>0</v>
      </c>
      <c r="T39" s="173">
        <v>0</v>
      </c>
      <c r="U39" s="173">
        <v>0</v>
      </c>
      <c r="V39" s="173">
        <v>0</v>
      </c>
      <c r="W39" s="173">
        <v>0</v>
      </c>
      <c r="X39" s="173">
        <v>0</v>
      </c>
      <c r="Y39" s="173">
        <v>0</v>
      </c>
      <c r="Z39" s="173">
        <v>0</v>
      </c>
      <c r="AA39" s="173">
        <v>0</v>
      </c>
      <c r="AB39" s="173">
        <v>0</v>
      </c>
      <c r="AC39" s="173">
        <v>0</v>
      </c>
      <c r="AD39" s="173">
        <v>0</v>
      </c>
      <c r="AE39" s="173">
        <v>0</v>
      </c>
    </row>
    <row r="40" spans="1:32">
      <c r="C40" s="3" t="str">
        <f t="shared" si="1"/>
        <v>Overtime</v>
      </c>
      <c r="E40" s="3" t="s">
        <v>29</v>
      </c>
      <c r="K40" s="156"/>
      <c r="L40" s="173">
        <v>0</v>
      </c>
      <c r="M40" s="173">
        <v>0</v>
      </c>
      <c r="N40" s="173">
        <v>0</v>
      </c>
      <c r="O40" s="173">
        <v>0</v>
      </c>
      <c r="P40" s="1596">
        <v>1870</v>
      </c>
      <c r="Q40" s="1597">
        <v>661.00001799999995</v>
      </c>
      <c r="R40" s="1597">
        <v>661</v>
      </c>
      <c r="S40" s="1597">
        <v>951.472174</v>
      </c>
      <c r="T40" s="1597">
        <v>1373.7962520000001</v>
      </c>
      <c r="U40" s="1597">
        <v>1666.120864</v>
      </c>
      <c r="V40" s="173">
        <v>0</v>
      </c>
      <c r="W40" s="173">
        <v>0</v>
      </c>
      <c r="X40" s="173">
        <v>0</v>
      </c>
      <c r="Y40" s="173">
        <v>0</v>
      </c>
      <c r="Z40" s="173">
        <v>0</v>
      </c>
      <c r="AA40" s="173">
        <v>0</v>
      </c>
      <c r="AB40" s="173">
        <v>0</v>
      </c>
      <c r="AC40" s="173">
        <v>0</v>
      </c>
      <c r="AD40" s="173">
        <v>0</v>
      </c>
      <c r="AE40" s="173">
        <v>0</v>
      </c>
    </row>
    <row r="41" spans="1:32">
      <c r="C41" s="3" t="str">
        <f t="shared" si="1"/>
        <v>&lt;&lt; add staff category &gt;&gt;</v>
      </c>
      <c r="E41" s="3" t="s">
        <v>29</v>
      </c>
      <c r="K41" s="156"/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3">
        <v>0</v>
      </c>
      <c r="W41" s="173">
        <v>0</v>
      </c>
      <c r="X41" s="173">
        <v>0</v>
      </c>
      <c r="Y41" s="173">
        <v>0</v>
      </c>
      <c r="Z41" s="173">
        <v>0</v>
      </c>
      <c r="AA41" s="173">
        <v>0</v>
      </c>
      <c r="AB41" s="173">
        <v>0</v>
      </c>
      <c r="AC41" s="173">
        <v>0</v>
      </c>
      <c r="AD41" s="173">
        <v>0</v>
      </c>
      <c r="AE41" s="173">
        <v>0</v>
      </c>
    </row>
    <row r="42" spans="1:32">
      <c r="C42" s="3" t="str">
        <f t="shared" si="1"/>
        <v>&lt;&lt; add staff category &gt;&gt;</v>
      </c>
      <c r="E42" s="3" t="s">
        <v>29</v>
      </c>
      <c r="K42" s="156"/>
      <c r="L42" s="229">
        <v>0</v>
      </c>
      <c r="M42" s="229">
        <v>0</v>
      </c>
      <c r="N42" s="229">
        <v>0</v>
      </c>
      <c r="O42" s="229">
        <v>0</v>
      </c>
      <c r="P42" s="229">
        <v>0</v>
      </c>
      <c r="Q42" s="229">
        <v>0</v>
      </c>
      <c r="R42" s="229">
        <v>0</v>
      </c>
      <c r="S42" s="229">
        <v>0</v>
      </c>
      <c r="T42" s="229">
        <v>0</v>
      </c>
      <c r="U42" s="229">
        <v>0</v>
      </c>
      <c r="V42" s="229">
        <v>0</v>
      </c>
      <c r="W42" s="229">
        <v>0</v>
      </c>
      <c r="X42" s="229">
        <v>0</v>
      </c>
      <c r="Y42" s="229">
        <v>0</v>
      </c>
      <c r="Z42" s="229">
        <v>0</v>
      </c>
      <c r="AA42" s="229">
        <v>0</v>
      </c>
      <c r="AB42" s="229">
        <v>0</v>
      </c>
      <c r="AC42" s="229">
        <v>0</v>
      </c>
      <c r="AD42" s="229">
        <v>0</v>
      </c>
      <c r="AE42" s="229">
        <v>0</v>
      </c>
    </row>
    <row r="43" spans="1:32">
      <c r="D43" s="36"/>
      <c r="E43" s="36"/>
      <c r="F43" s="36"/>
      <c r="G43" s="36"/>
      <c r="H43" s="36"/>
      <c r="I43" s="36"/>
      <c r="J43" s="3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</row>
    <row r="44" spans="1:32" ht="10.9" customHeight="1">
      <c r="C44" s="14"/>
      <c r="D44" s="14"/>
      <c r="E44" s="14"/>
      <c r="F44" s="14"/>
      <c r="G44" s="14"/>
      <c r="H44" s="14"/>
      <c r="I44" s="14"/>
      <c r="J44" s="14"/>
      <c r="K44" s="1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2">
      <c r="C45" s="17" t="s">
        <v>809</v>
      </c>
      <c r="E45" s="3" t="s">
        <v>29</v>
      </c>
      <c r="L45" s="27">
        <f t="shared" ref="L45:AE45" si="2">SUM(L34:L43)*(L$14="")+L$14</f>
        <v>0</v>
      </c>
      <c r="M45" s="27">
        <f t="shared" si="2"/>
        <v>0</v>
      </c>
      <c r="N45" s="27">
        <f t="shared" si="2"/>
        <v>0</v>
      </c>
      <c r="O45" s="27">
        <f t="shared" si="2"/>
        <v>0</v>
      </c>
      <c r="P45" s="27">
        <f t="shared" si="2"/>
        <v>67550.000001000008</v>
      </c>
      <c r="Q45" s="27">
        <f t="shared" si="2"/>
        <v>62230.733310999996</v>
      </c>
      <c r="R45" s="27">
        <f t="shared" si="2"/>
        <v>56441.045354000002</v>
      </c>
      <c r="S45" s="27">
        <f t="shared" si="2"/>
        <v>67387.914448999989</v>
      </c>
      <c r="T45" s="27">
        <f t="shared" si="2"/>
        <v>68949.825305999999</v>
      </c>
      <c r="U45" s="27">
        <f t="shared" si="2"/>
        <v>70844.289495999998</v>
      </c>
      <c r="V45" s="27">
        <f t="shared" si="2"/>
        <v>0</v>
      </c>
      <c r="W45" s="27">
        <f t="shared" si="2"/>
        <v>0</v>
      </c>
      <c r="X45" s="27">
        <f t="shared" si="2"/>
        <v>0</v>
      </c>
      <c r="Y45" s="27">
        <f t="shared" si="2"/>
        <v>0</v>
      </c>
      <c r="Z45" s="27">
        <f t="shared" si="2"/>
        <v>0</v>
      </c>
      <c r="AA45" s="27">
        <f t="shared" si="2"/>
        <v>0</v>
      </c>
      <c r="AB45" s="27">
        <f t="shared" si="2"/>
        <v>0</v>
      </c>
      <c r="AC45" s="27">
        <f t="shared" si="2"/>
        <v>0</v>
      </c>
      <c r="AD45" s="27">
        <f t="shared" si="2"/>
        <v>0</v>
      </c>
      <c r="AE45" s="27">
        <f t="shared" si="2"/>
        <v>0</v>
      </c>
    </row>
    <row r="46" spans="1:32">
      <c r="C46" s="39" t="s">
        <v>810</v>
      </c>
      <c r="E46" s="39" t="s">
        <v>29</v>
      </c>
      <c r="F46" s="39"/>
      <c r="G46" s="39"/>
      <c r="L46" s="150">
        <f t="shared" ref="L46:AE46" si="3">L15</f>
        <v>0</v>
      </c>
      <c r="M46" s="150">
        <f t="shared" si="3"/>
        <v>0</v>
      </c>
      <c r="N46" s="150">
        <f t="shared" si="3"/>
        <v>0</v>
      </c>
      <c r="O46" s="150">
        <f t="shared" si="3"/>
        <v>0</v>
      </c>
      <c r="P46" s="150">
        <f t="shared" si="3"/>
        <v>13465.999999999996</v>
      </c>
      <c r="Q46" s="150">
        <f t="shared" si="3"/>
        <v>13121</v>
      </c>
      <c r="R46" s="150">
        <f t="shared" si="3"/>
        <v>12941</v>
      </c>
      <c r="S46" s="150">
        <f t="shared" si="3"/>
        <v>14050</v>
      </c>
      <c r="T46" s="150">
        <f t="shared" si="3"/>
        <v>13855</v>
      </c>
      <c r="U46" s="150">
        <f t="shared" si="3"/>
        <v>13430</v>
      </c>
      <c r="V46" s="150">
        <f t="shared" si="3"/>
        <v>0</v>
      </c>
      <c r="W46" s="150">
        <f t="shared" si="3"/>
        <v>0</v>
      </c>
      <c r="X46" s="150">
        <f t="shared" si="3"/>
        <v>0</v>
      </c>
      <c r="Y46" s="150">
        <f t="shared" si="3"/>
        <v>0</v>
      </c>
      <c r="Z46" s="150">
        <f t="shared" si="3"/>
        <v>0</v>
      </c>
      <c r="AA46" s="150">
        <f t="shared" si="3"/>
        <v>0</v>
      </c>
      <c r="AB46" s="150">
        <f t="shared" si="3"/>
        <v>0</v>
      </c>
      <c r="AC46" s="150">
        <f t="shared" si="3"/>
        <v>0</v>
      </c>
      <c r="AD46" s="150">
        <f t="shared" si="3"/>
        <v>0</v>
      </c>
      <c r="AE46" s="150">
        <f t="shared" si="3"/>
        <v>0</v>
      </c>
    </row>
    <row r="47" spans="1:32" customFormat="1" ht="14.5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0"/>
      <c r="Q47" s="150"/>
      <c r="R47" s="150"/>
      <c r="S47" s="150"/>
      <c r="T47" s="150"/>
      <c r="U47" s="150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</row>
    <row r="48" spans="1:32" customFormat="1" ht="15" thickBot="1">
      <c r="A48" s="151"/>
      <c r="B48" s="151"/>
      <c r="C48" s="6" t="s">
        <v>811</v>
      </c>
      <c r="D48" s="7"/>
      <c r="E48" s="7"/>
      <c r="F48" s="7"/>
      <c r="G48" s="7"/>
      <c r="H48" s="7"/>
      <c r="I48" s="7"/>
      <c r="J48" s="7"/>
      <c r="K48" s="22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151"/>
    </row>
    <row r="49" spans="1:32" customFormat="1" ht="14.5">
      <c r="A49" s="151"/>
      <c r="B49" s="151"/>
      <c r="C49" s="3" t="str">
        <f t="shared" ref="C49:C57" si="4">C34</f>
        <v>ATCOs</v>
      </c>
      <c r="D49" s="3"/>
      <c r="E49" s="3" t="s">
        <v>29</v>
      </c>
      <c r="F49" s="3"/>
      <c r="G49" s="3"/>
      <c r="H49" s="3"/>
      <c r="I49" s="3"/>
      <c r="J49" s="3"/>
      <c r="K49" s="156"/>
      <c r="L49" s="210">
        <f>IFERROR(1000*L34/L18,0)</f>
        <v>0</v>
      </c>
      <c r="M49" s="210">
        <f t="shared" ref="M49:AE49" si="5">IFERROR(1000*M34/M18,0)</f>
        <v>0</v>
      </c>
      <c r="N49" s="210">
        <f t="shared" si="5"/>
        <v>0</v>
      </c>
      <c r="O49" s="210">
        <f t="shared" si="5"/>
        <v>0</v>
      </c>
      <c r="P49" s="210">
        <f t="shared" si="5"/>
        <v>137767.70207119742</v>
      </c>
      <c r="Q49" s="210">
        <f t="shared" si="5"/>
        <v>134951.17432558141</v>
      </c>
      <c r="R49" s="210">
        <f t="shared" si="5"/>
        <v>128578.76378965519</v>
      </c>
      <c r="S49" s="210">
        <f t="shared" si="5"/>
        <v>141448.43875517242</v>
      </c>
      <c r="T49" s="210">
        <f t="shared" si="5"/>
        <v>140991.50498983049</v>
      </c>
      <c r="U49" s="210">
        <f t="shared" si="5"/>
        <v>132785.83036923077</v>
      </c>
      <c r="V49" s="210">
        <f t="shared" si="5"/>
        <v>0</v>
      </c>
      <c r="W49" s="210">
        <f t="shared" si="5"/>
        <v>0</v>
      </c>
      <c r="X49" s="210">
        <f t="shared" si="5"/>
        <v>0</v>
      </c>
      <c r="Y49" s="210">
        <f t="shared" si="5"/>
        <v>0</v>
      </c>
      <c r="Z49" s="210">
        <f t="shared" si="5"/>
        <v>0</v>
      </c>
      <c r="AA49" s="210">
        <f t="shared" si="5"/>
        <v>0</v>
      </c>
      <c r="AB49" s="210">
        <f t="shared" si="5"/>
        <v>0</v>
      </c>
      <c r="AC49" s="210">
        <f t="shared" si="5"/>
        <v>0</v>
      </c>
      <c r="AD49" s="210">
        <f t="shared" si="5"/>
        <v>0</v>
      </c>
      <c r="AE49" s="210">
        <f t="shared" si="5"/>
        <v>0</v>
      </c>
      <c r="AF49" s="151"/>
    </row>
    <row r="50" spans="1:32" customFormat="1" ht="14.5">
      <c r="A50" s="151"/>
      <c r="B50" s="151"/>
      <c r="C50" s="3" t="str">
        <f t="shared" si="4"/>
        <v>Corp Serv</v>
      </c>
      <c r="D50" s="3"/>
      <c r="E50" s="3" t="s">
        <v>29</v>
      </c>
      <c r="F50" s="3"/>
      <c r="G50" s="3"/>
      <c r="H50" s="3"/>
      <c r="I50" s="3"/>
      <c r="J50" s="3"/>
      <c r="K50" s="156"/>
      <c r="L50" s="210">
        <f t="shared" ref="L50:AE57" si="6">IFERROR(1000*L35/L19,0)</f>
        <v>0</v>
      </c>
      <c r="M50" s="210">
        <f t="shared" si="6"/>
        <v>0</v>
      </c>
      <c r="N50" s="210">
        <f t="shared" si="6"/>
        <v>0</v>
      </c>
      <c r="O50" s="210">
        <f t="shared" si="6"/>
        <v>0</v>
      </c>
      <c r="P50" s="210">
        <f t="shared" si="6"/>
        <v>67760.433647058831</v>
      </c>
      <c r="Q50" s="210">
        <f t="shared" si="6"/>
        <v>65398.91364705882</v>
      </c>
      <c r="R50" s="210">
        <f t="shared" si="6"/>
        <v>65953.012676470578</v>
      </c>
      <c r="S50" s="210">
        <f t="shared" si="6"/>
        <v>69195.046719298247</v>
      </c>
      <c r="T50" s="210">
        <f t="shared" si="6"/>
        <v>69567.820000000007</v>
      </c>
      <c r="U50" s="210">
        <f t="shared" si="6"/>
        <v>69692.521789473685</v>
      </c>
      <c r="V50" s="210">
        <f t="shared" si="6"/>
        <v>0</v>
      </c>
      <c r="W50" s="210">
        <f t="shared" si="6"/>
        <v>0</v>
      </c>
      <c r="X50" s="210">
        <f t="shared" si="6"/>
        <v>0</v>
      </c>
      <c r="Y50" s="210">
        <f t="shared" si="6"/>
        <v>0</v>
      </c>
      <c r="Z50" s="210">
        <f t="shared" si="6"/>
        <v>0</v>
      </c>
      <c r="AA50" s="210">
        <f t="shared" si="6"/>
        <v>0</v>
      </c>
      <c r="AB50" s="210">
        <f t="shared" si="6"/>
        <v>0</v>
      </c>
      <c r="AC50" s="210">
        <f t="shared" si="6"/>
        <v>0</v>
      </c>
      <c r="AD50" s="210">
        <f t="shared" si="6"/>
        <v>0</v>
      </c>
      <c r="AE50" s="210">
        <f t="shared" si="6"/>
        <v>0</v>
      </c>
      <c r="AF50" s="151"/>
    </row>
    <row r="51" spans="1:32" customFormat="1" ht="14.5">
      <c r="A51" s="151"/>
      <c r="B51" s="151"/>
      <c r="C51" s="3" t="str">
        <f t="shared" si="4"/>
        <v>Data Assistant</v>
      </c>
      <c r="D51" s="3"/>
      <c r="E51" s="3" t="s">
        <v>29</v>
      </c>
      <c r="F51" s="3"/>
      <c r="G51" s="3"/>
      <c r="H51" s="3"/>
      <c r="I51" s="3"/>
      <c r="J51" s="3"/>
      <c r="K51" s="156"/>
      <c r="L51" s="210">
        <f t="shared" si="6"/>
        <v>0</v>
      </c>
      <c r="M51" s="210">
        <f t="shared" si="6"/>
        <v>0</v>
      </c>
      <c r="N51" s="210">
        <f t="shared" si="6"/>
        <v>0</v>
      </c>
      <c r="O51" s="210">
        <f t="shared" si="6"/>
        <v>0</v>
      </c>
      <c r="P51" s="210">
        <f t="shared" si="6"/>
        <v>68140.224717948717</v>
      </c>
      <c r="Q51" s="210">
        <f t="shared" si="6"/>
        <v>65803.752589743599</v>
      </c>
      <c r="R51" s="210">
        <f t="shared" si="6"/>
        <v>66449.484692307684</v>
      </c>
      <c r="S51" s="210">
        <f t="shared" si="6"/>
        <v>69658.246947368418</v>
      </c>
      <c r="T51" s="210">
        <f t="shared" si="6"/>
        <v>69961.845842105264</v>
      </c>
      <c r="U51" s="210">
        <f t="shared" si="6"/>
        <v>69980.501026315789</v>
      </c>
      <c r="V51" s="210">
        <f t="shared" si="6"/>
        <v>0</v>
      </c>
      <c r="W51" s="210">
        <f t="shared" si="6"/>
        <v>0</v>
      </c>
      <c r="X51" s="210">
        <f t="shared" si="6"/>
        <v>0</v>
      </c>
      <c r="Y51" s="210">
        <f t="shared" si="6"/>
        <v>0</v>
      </c>
      <c r="Z51" s="210">
        <f t="shared" si="6"/>
        <v>0</v>
      </c>
      <c r="AA51" s="210">
        <f t="shared" si="6"/>
        <v>0</v>
      </c>
      <c r="AB51" s="210">
        <f t="shared" si="6"/>
        <v>0</v>
      </c>
      <c r="AC51" s="210">
        <f t="shared" si="6"/>
        <v>0</v>
      </c>
      <c r="AD51" s="210">
        <f t="shared" si="6"/>
        <v>0</v>
      </c>
      <c r="AE51" s="210">
        <f t="shared" si="6"/>
        <v>0</v>
      </c>
      <c r="AF51" s="151"/>
    </row>
    <row r="52" spans="1:32" customFormat="1" ht="14.5">
      <c r="A52" s="151"/>
      <c r="B52" s="151"/>
      <c r="C52" s="3" t="str">
        <f t="shared" si="4"/>
        <v>Engineer</v>
      </c>
      <c r="D52" s="3"/>
      <c r="E52" s="3" t="s">
        <v>29</v>
      </c>
      <c r="F52" s="3"/>
      <c r="G52" s="3"/>
      <c r="H52" s="3"/>
      <c r="I52" s="3"/>
      <c r="J52" s="3"/>
      <c r="K52" s="156"/>
      <c r="L52" s="210">
        <f t="shared" si="6"/>
        <v>0</v>
      </c>
      <c r="M52" s="210">
        <f t="shared" si="6"/>
        <v>0</v>
      </c>
      <c r="N52" s="210">
        <f t="shared" si="6"/>
        <v>0</v>
      </c>
      <c r="O52" s="210">
        <f t="shared" si="6"/>
        <v>0</v>
      </c>
      <c r="P52" s="210">
        <f t="shared" si="6"/>
        <v>121068.13866666668</v>
      </c>
      <c r="Q52" s="210">
        <f t="shared" si="6"/>
        <v>116863.19947222222</v>
      </c>
      <c r="R52" s="210">
        <f t="shared" si="6"/>
        <v>117886.53094444444</v>
      </c>
      <c r="S52" s="210">
        <f t="shared" si="6"/>
        <v>123659.73945977012</v>
      </c>
      <c r="T52" s="210">
        <f t="shared" si="6"/>
        <v>124298.95591160221</v>
      </c>
      <c r="U52" s="210">
        <f t="shared" si="6"/>
        <v>124481.58702762431</v>
      </c>
      <c r="V52" s="210">
        <f t="shared" si="6"/>
        <v>0</v>
      </c>
      <c r="W52" s="210">
        <f t="shared" si="6"/>
        <v>0</v>
      </c>
      <c r="X52" s="210">
        <f t="shared" si="6"/>
        <v>0</v>
      </c>
      <c r="Y52" s="210">
        <f t="shared" si="6"/>
        <v>0</v>
      </c>
      <c r="Z52" s="210">
        <f t="shared" si="6"/>
        <v>0</v>
      </c>
      <c r="AA52" s="210">
        <f t="shared" si="6"/>
        <v>0</v>
      </c>
      <c r="AB52" s="210">
        <f t="shared" si="6"/>
        <v>0</v>
      </c>
      <c r="AC52" s="210">
        <f t="shared" si="6"/>
        <v>0</v>
      </c>
      <c r="AD52" s="210">
        <f t="shared" si="6"/>
        <v>0</v>
      </c>
      <c r="AE52" s="210">
        <f t="shared" si="6"/>
        <v>0</v>
      </c>
      <c r="AF52" s="151"/>
    </row>
    <row r="53" spans="1:32" customFormat="1" ht="14.5">
      <c r="A53" s="151"/>
      <c r="B53" s="151"/>
      <c r="C53" s="3" t="str">
        <f t="shared" si="4"/>
        <v>Op Mgt Supp</v>
      </c>
      <c r="D53" s="3"/>
      <c r="E53" s="3" t="s">
        <v>29</v>
      </c>
      <c r="F53" s="3"/>
      <c r="G53" s="3"/>
      <c r="H53" s="3"/>
      <c r="I53" s="3"/>
      <c r="J53" s="3"/>
      <c r="K53" s="156"/>
      <c r="L53" s="210">
        <f t="shared" si="6"/>
        <v>0</v>
      </c>
      <c r="M53" s="210">
        <f t="shared" si="6"/>
        <v>0</v>
      </c>
      <c r="N53" s="210">
        <f t="shared" si="6"/>
        <v>0</v>
      </c>
      <c r="O53" s="210">
        <f t="shared" si="6"/>
        <v>0</v>
      </c>
      <c r="P53" s="210">
        <f t="shared" si="6"/>
        <v>118794.93041666667</v>
      </c>
      <c r="Q53" s="210">
        <f t="shared" si="6"/>
        <v>114652.89021666668</v>
      </c>
      <c r="R53" s="210">
        <f t="shared" si="6"/>
        <v>115619.88406666667</v>
      </c>
      <c r="S53" s="210">
        <f t="shared" si="6"/>
        <v>121306.26550375941</v>
      </c>
      <c r="T53" s="210">
        <f t="shared" si="6"/>
        <v>121963.3637593985</v>
      </c>
      <c r="U53" s="210">
        <f t="shared" si="6"/>
        <v>122187.32864661653</v>
      </c>
      <c r="V53" s="210">
        <f t="shared" si="6"/>
        <v>0</v>
      </c>
      <c r="W53" s="210">
        <f t="shared" si="6"/>
        <v>0</v>
      </c>
      <c r="X53" s="210">
        <f t="shared" si="6"/>
        <v>0</v>
      </c>
      <c r="Y53" s="210">
        <f t="shared" si="6"/>
        <v>0</v>
      </c>
      <c r="Z53" s="210">
        <f t="shared" si="6"/>
        <v>0</v>
      </c>
      <c r="AA53" s="210">
        <f t="shared" si="6"/>
        <v>0</v>
      </c>
      <c r="AB53" s="210">
        <f t="shared" si="6"/>
        <v>0</v>
      </c>
      <c r="AC53" s="210">
        <f t="shared" si="6"/>
        <v>0</v>
      </c>
      <c r="AD53" s="210">
        <f t="shared" si="6"/>
        <v>0</v>
      </c>
      <c r="AE53" s="210">
        <f t="shared" si="6"/>
        <v>0</v>
      </c>
      <c r="AF53" s="151"/>
    </row>
    <row r="54" spans="1:32" customFormat="1" ht="14.5">
      <c r="A54" s="151"/>
      <c r="B54" s="151"/>
      <c r="C54" s="3" t="str">
        <f t="shared" si="4"/>
        <v>EWSS</v>
      </c>
      <c r="D54" s="3"/>
      <c r="E54" s="3" t="s">
        <v>29</v>
      </c>
      <c r="F54" s="3"/>
      <c r="G54" s="3"/>
      <c r="H54" s="3"/>
      <c r="I54" s="3"/>
      <c r="J54" s="3"/>
      <c r="K54" s="156"/>
      <c r="L54" s="210">
        <f t="shared" si="6"/>
        <v>0</v>
      </c>
      <c r="M54" s="210">
        <f t="shared" si="6"/>
        <v>0</v>
      </c>
      <c r="N54" s="210">
        <f t="shared" si="6"/>
        <v>0</v>
      </c>
      <c r="O54" s="210">
        <f t="shared" si="6"/>
        <v>0</v>
      </c>
      <c r="P54" s="210">
        <f t="shared" si="6"/>
        <v>0</v>
      </c>
      <c r="Q54" s="210">
        <f t="shared" si="6"/>
        <v>0</v>
      </c>
      <c r="R54" s="210">
        <f t="shared" si="6"/>
        <v>0</v>
      </c>
      <c r="S54" s="210">
        <f t="shared" si="6"/>
        <v>0</v>
      </c>
      <c r="T54" s="210">
        <f t="shared" si="6"/>
        <v>0</v>
      </c>
      <c r="U54" s="210">
        <f t="shared" si="6"/>
        <v>0</v>
      </c>
      <c r="V54" s="210">
        <f t="shared" si="6"/>
        <v>0</v>
      </c>
      <c r="W54" s="210">
        <f t="shared" si="6"/>
        <v>0</v>
      </c>
      <c r="X54" s="210">
        <f t="shared" si="6"/>
        <v>0</v>
      </c>
      <c r="Y54" s="210">
        <f t="shared" si="6"/>
        <v>0</v>
      </c>
      <c r="Z54" s="210">
        <f t="shared" si="6"/>
        <v>0</v>
      </c>
      <c r="AA54" s="210">
        <f t="shared" si="6"/>
        <v>0</v>
      </c>
      <c r="AB54" s="210">
        <f t="shared" si="6"/>
        <v>0</v>
      </c>
      <c r="AC54" s="210">
        <f t="shared" si="6"/>
        <v>0</v>
      </c>
      <c r="AD54" s="210">
        <f t="shared" si="6"/>
        <v>0</v>
      </c>
      <c r="AE54" s="210">
        <f t="shared" si="6"/>
        <v>0</v>
      </c>
      <c r="AF54" s="151"/>
    </row>
    <row r="55" spans="1:32" customFormat="1" ht="14.5">
      <c r="A55" s="151"/>
      <c r="B55" s="151"/>
      <c r="C55" s="3" t="str">
        <f t="shared" si="4"/>
        <v>Overtime</v>
      </c>
      <c r="D55" s="3"/>
      <c r="E55" s="3" t="s">
        <v>29</v>
      </c>
      <c r="F55" s="3"/>
      <c r="G55" s="3"/>
      <c r="H55" s="3"/>
      <c r="I55" s="3"/>
      <c r="J55" s="3"/>
      <c r="K55" s="156"/>
      <c r="L55" s="210">
        <f t="shared" si="6"/>
        <v>0</v>
      </c>
      <c r="M55" s="210">
        <f t="shared" si="6"/>
        <v>0</v>
      </c>
      <c r="N55" s="210">
        <f t="shared" si="6"/>
        <v>0</v>
      </c>
      <c r="O55" s="210">
        <f t="shared" si="6"/>
        <v>0</v>
      </c>
      <c r="P55" s="210">
        <f t="shared" si="6"/>
        <v>0</v>
      </c>
      <c r="Q55" s="210">
        <f t="shared" si="6"/>
        <v>0</v>
      </c>
      <c r="R55" s="210">
        <f t="shared" si="6"/>
        <v>0</v>
      </c>
      <c r="S55" s="210">
        <f t="shared" si="6"/>
        <v>0</v>
      </c>
      <c r="T55" s="210">
        <f t="shared" si="6"/>
        <v>0</v>
      </c>
      <c r="U55" s="210">
        <f t="shared" si="6"/>
        <v>0</v>
      </c>
      <c r="V55" s="210">
        <f t="shared" si="6"/>
        <v>0</v>
      </c>
      <c r="W55" s="210">
        <f t="shared" si="6"/>
        <v>0</v>
      </c>
      <c r="X55" s="210">
        <f t="shared" si="6"/>
        <v>0</v>
      </c>
      <c r="Y55" s="210">
        <f t="shared" si="6"/>
        <v>0</v>
      </c>
      <c r="Z55" s="210">
        <f t="shared" si="6"/>
        <v>0</v>
      </c>
      <c r="AA55" s="210">
        <f t="shared" si="6"/>
        <v>0</v>
      </c>
      <c r="AB55" s="210">
        <f t="shared" si="6"/>
        <v>0</v>
      </c>
      <c r="AC55" s="210">
        <f t="shared" si="6"/>
        <v>0</v>
      </c>
      <c r="AD55" s="210">
        <f t="shared" si="6"/>
        <v>0</v>
      </c>
      <c r="AE55" s="210">
        <f t="shared" si="6"/>
        <v>0</v>
      </c>
      <c r="AF55" s="151"/>
    </row>
    <row r="56" spans="1:32" customFormat="1" ht="14.5">
      <c r="A56" s="151"/>
      <c r="B56" s="151"/>
      <c r="C56" s="3" t="str">
        <f t="shared" si="4"/>
        <v>&lt;&lt; add staff category &gt;&gt;</v>
      </c>
      <c r="D56" s="3"/>
      <c r="E56" s="3" t="s">
        <v>29</v>
      </c>
      <c r="F56" s="3"/>
      <c r="G56" s="3"/>
      <c r="H56" s="3"/>
      <c r="I56" s="3"/>
      <c r="J56" s="3"/>
      <c r="K56" s="156"/>
      <c r="L56" s="210">
        <f t="shared" si="6"/>
        <v>0</v>
      </c>
      <c r="M56" s="210">
        <f t="shared" si="6"/>
        <v>0</v>
      </c>
      <c r="N56" s="210">
        <f t="shared" si="6"/>
        <v>0</v>
      </c>
      <c r="O56" s="210">
        <f t="shared" si="6"/>
        <v>0</v>
      </c>
      <c r="P56" s="210">
        <f t="shared" si="6"/>
        <v>0</v>
      </c>
      <c r="Q56" s="210">
        <f t="shared" si="6"/>
        <v>0</v>
      </c>
      <c r="R56" s="210">
        <f t="shared" si="6"/>
        <v>0</v>
      </c>
      <c r="S56" s="210">
        <f t="shared" si="6"/>
        <v>0</v>
      </c>
      <c r="T56" s="210">
        <f t="shared" si="6"/>
        <v>0</v>
      </c>
      <c r="U56" s="210">
        <f t="shared" si="6"/>
        <v>0</v>
      </c>
      <c r="V56" s="210">
        <f t="shared" si="6"/>
        <v>0</v>
      </c>
      <c r="W56" s="210">
        <f t="shared" si="6"/>
        <v>0</v>
      </c>
      <c r="X56" s="210">
        <f t="shared" si="6"/>
        <v>0</v>
      </c>
      <c r="Y56" s="210">
        <f t="shared" si="6"/>
        <v>0</v>
      </c>
      <c r="Z56" s="210">
        <f t="shared" si="6"/>
        <v>0</v>
      </c>
      <c r="AA56" s="210">
        <f t="shared" si="6"/>
        <v>0</v>
      </c>
      <c r="AB56" s="210">
        <f t="shared" si="6"/>
        <v>0</v>
      </c>
      <c r="AC56" s="210">
        <f t="shared" si="6"/>
        <v>0</v>
      </c>
      <c r="AD56" s="210">
        <f t="shared" si="6"/>
        <v>0</v>
      </c>
      <c r="AE56" s="210">
        <f t="shared" si="6"/>
        <v>0</v>
      </c>
      <c r="AF56" s="151"/>
    </row>
    <row r="57" spans="1:32" customFormat="1" ht="14.5">
      <c r="A57" s="151"/>
      <c r="B57" s="151"/>
      <c r="C57" s="3" t="str">
        <f t="shared" si="4"/>
        <v>&lt;&lt; add staff category &gt;&gt;</v>
      </c>
      <c r="D57" s="3"/>
      <c r="E57" s="3" t="s">
        <v>29</v>
      </c>
      <c r="F57" s="3"/>
      <c r="G57" s="3"/>
      <c r="H57" s="3"/>
      <c r="I57" s="3"/>
      <c r="J57" s="3"/>
      <c r="K57" s="156"/>
      <c r="L57" s="210">
        <f t="shared" si="6"/>
        <v>0</v>
      </c>
      <c r="M57" s="210">
        <f t="shared" si="6"/>
        <v>0</v>
      </c>
      <c r="N57" s="210">
        <f t="shared" si="6"/>
        <v>0</v>
      </c>
      <c r="O57" s="210">
        <f t="shared" si="6"/>
        <v>0</v>
      </c>
      <c r="P57" s="210">
        <f t="shared" si="6"/>
        <v>0</v>
      </c>
      <c r="Q57" s="210">
        <f t="shared" si="6"/>
        <v>0</v>
      </c>
      <c r="R57" s="210">
        <f t="shared" si="6"/>
        <v>0</v>
      </c>
      <c r="S57" s="210">
        <f t="shared" si="6"/>
        <v>0</v>
      </c>
      <c r="T57" s="210">
        <f t="shared" si="6"/>
        <v>0</v>
      </c>
      <c r="U57" s="210">
        <f t="shared" si="6"/>
        <v>0</v>
      </c>
      <c r="V57" s="210">
        <f t="shared" si="6"/>
        <v>0</v>
      </c>
      <c r="W57" s="210">
        <f t="shared" si="6"/>
        <v>0</v>
      </c>
      <c r="X57" s="210">
        <f t="shared" si="6"/>
        <v>0</v>
      </c>
      <c r="Y57" s="210">
        <f t="shared" si="6"/>
        <v>0</v>
      </c>
      <c r="Z57" s="210">
        <f t="shared" si="6"/>
        <v>0</v>
      </c>
      <c r="AA57" s="210">
        <f t="shared" si="6"/>
        <v>0</v>
      </c>
      <c r="AB57" s="210">
        <f t="shared" si="6"/>
        <v>0</v>
      </c>
      <c r="AC57" s="210">
        <f t="shared" si="6"/>
        <v>0</v>
      </c>
      <c r="AD57" s="210">
        <f t="shared" si="6"/>
        <v>0</v>
      </c>
      <c r="AE57" s="210">
        <f t="shared" si="6"/>
        <v>0</v>
      </c>
      <c r="AF57" s="151"/>
    </row>
    <row r="58" spans="1:32" customFormat="1" ht="14.5">
      <c r="A58" s="151"/>
      <c r="B58" s="151"/>
      <c r="C58" s="14"/>
      <c r="D58" s="14"/>
      <c r="E58" s="14"/>
      <c r="F58" s="14"/>
      <c r="G58" s="14"/>
      <c r="H58" s="14"/>
      <c r="I58" s="14"/>
      <c r="J58" s="14"/>
      <c r="K58" s="14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151"/>
    </row>
    <row r="59" spans="1:32" customFormat="1" ht="14.5">
      <c r="A59" s="151"/>
      <c r="B59" s="151"/>
      <c r="C59" s="17" t="s">
        <v>809</v>
      </c>
      <c r="D59" s="3"/>
      <c r="E59" s="3" t="s">
        <v>29</v>
      </c>
      <c r="F59" s="3"/>
      <c r="G59" s="3"/>
      <c r="H59" s="3"/>
      <c r="I59" s="3"/>
      <c r="J59" s="3"/>
      <c r="K59" s="3"/>
      <c r="L59" s="27">
        <f>IFERROR(1000*L45/L31,0)</f>
        <v>0</v>
      </c>
      <c r="M59" s="27">
        <f>IFERROR(1000*M45/M31,0)</f>
        <v>0</v>
      </c>
      <c r="N59" s="27">
        <f>IFERROR(1000*N45/N31,0)</f>
        <v>0</v>
      </c>
      <c r="O59" s="27">
        <f>IFERROR(1000*O45/O31,0)</f>
        <v>0</v>
      </c>
      <c r="P59" s="27">
        <f>IFERROR(1000*P45/P31,0)</f>
        <v>123266.42335948905</v>
      </c>
      <c r="Q59" s="27">
        <f t="shared" ref="Q59:AE59" si="7">IFERROR(1000*Q45/Q31,0)</f>
        <v>115242.09872407407</v>
      </c>
      <c r="R59" s="27">
        <f t="shared" si="7"/>
        <v>106693.84755009452</v>
      </c>
      <c r="S59" s="27">
        <f t="shared" si="7"/>
        <v>125140.04540204268</v>
      </c>
      <c r="T59" s="27">
        <f t="shared" si="7"/>
        <v>126050.86893235831</v>
      </c>
      <c r="U59" s="27">
        <f t="shared" si="7"/>
        <v>122780.39774003465</v>
      </c>
      <c r="V59" s="27">
        <f t="shared" si="7"/>
        <v>0</v>
      </c>
      <c r="W59" s="27">
        <f t="shared" si="7"/>
        <v>0</v>
      </c>
      <c r="X59" s="27">
        <f t="shared" si="7"/>
        <v>0</v>
      </c>
      <c r="Y59" s="27">
        <f t="shared" si="7"/>
        <v>0</v>
      </c>
      <c r="Z59" s="27">
        <f t="shared" si="7"/>
        <v>0</v>
      </c>
      <c r="AA59" s="27">
        <f t="shared" si="7"/>
        <v>0</v>
      </c>
      <c r="AB59" s="27">
        <f t="shared" si="7"/>
        <v>0</v>
      </c>
      <c r="AC59" s="27">
        <f t="shared" si="7"/>
        <v>0</v>
      </c>
      <c r="AD59" s="27">
        <f t="shared" si="7"/>
        <v>0</v>
      </c>
      <c r="AE59" s="27">
        <f t="shared" si="7"/>
        <v>0</v>
      </c>
      <c r="AF59" s="151"/>
    </row>
    <row r="60" spans="1:32" customFormat="1" ht="14.5">
      <c r="A60" s="151"/>
      <c r="B60" s="151"/>
      <c r="C60" s="39" t="s">
        <v>810</v>
      </c>
      <c r="D60" s="3"/>
      <c r="E60" s="39" t="s">
        <v>29</v>
      </c>
      <c r="F60" s="39"/>
      <c r="G60" s="39"/>
      <c r="H60" s="3"/>
      <c r="I60" s="3"/>
      <c r="J60" s="3"/>
      <c r="K60" s="3"/>
      <c r="L60" s="150">
        <f>IFERROR(1000*L15/L31,0)</f>
        <v>0</v>
      </c>
      <c r="M60" s="150">
        <f>IFERROR(1000*M15/M31,0)</f>
        <v>0</v>
      </c>
      <c r="N60" s="150">
        <f>IFERROR(1000*N15/N31,0)</f>
        <v>0</v>
      </c>
      <c r="O60" s="150">
        <f>IFERROR(1000*O15/O31,0)</f>
        <v>0</v>
      </c>
      <c r="P60" s="150">
        <f>IFERROR(1000*P15/P31,0)</f>
        <v>24572.992700729919</v>
      </c>
      <c r="Q60" s="150">
        <f t="shared" ref="Q60:AE60" si="8">IFERROR(1000*Q15/Q31,0)</f>
        <v>24298.14814814815</v>
      </c>
      <c r="R60" s="150">
        <f t="shared" si="8"/>
        <v>24463.13799621928</v>
      </c>
      <c r="S60" s="150">
        <f t="shared" si="8"/>
        <v>26090.993500464254</v>
      </c>
      <c r="T60" s="150">
        <f t="shared" si="8"/>
        <v>25329.067641681901</v>
      </c>
      <c r="U60" s="150">
        <f t="shared" si="8"/>
        <v>23275.563258232236</v>
      </c>
      <c r="V60" s="150">
        <f t="shared" si="8"/>
        <v>0</v>
      </c>
      <c r="W60" s="150">
        <f t="shared" si="8"/>
        <v>0</v>
      </c>
      <c r="X60" s="150">
        <f t="shared" si="8"/>
        <v>0</v>
      </c>
      <c r="Y60" s="150">
        <f t="shared" si="8"/>
        <v>0</v>
      </c>
      <c r="Z60" s="150">
        <f t="shared" si="8"/>
        <v>0</v>
      </c>
      <c r="AA60" s="150">
        <f t="shared" si="8"/>
        <v>0</v>
      </c>
      <c r="AB60" s="150">
        <f t="shared" si="8"/>
        <v>0</v>
      </c>
      <c r="AC60" s="150">
        <f t="shared" si="8"/>
        <v>0</v>
      </c>
      <c r="AD60" s="150">
        <f t="shared" si="8"/>
        <v>0</v>
      </c>
      <c r="AE60" s="150">
        <f t="shared" si="8"/>
        <v>0</v>
      </c>
      <c r="AF60" s="151"/>
    </row>
    <row r="61" spans="1:32" customFormat="1" ht="14.5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</row>
    <row r="62" spans="1:32" s="7" customFormat="1" ht="13.5" thickBot="1">
      <c r="A62" s="3"/>
      <c r="B62" s="152" t="s">
        <v>150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3"/>
    </row>
    <row r="64" spans="1:32" ht="13.5" thickBot="1">
      <c r="C64" s="6" t="s">
        <v>813</v>
      </c>
      <c r="D64" s="7"/>
      <c r="E64" s="7"/>
      <c r="F64" s="7"/>
      <c r="G64" s="7"/>
      <c r="H64" s="7"/>
      <c r="I64" s="221"/>
      <c r="J64" s="7"/>
      <c r="K64" s="22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</row>
    <row r="65" spans="3:31" outlineLevel="1">
      <c r="C65" s="3" t="str">
        <f>C18</f>
        <v>ATCOs</v>
      </c>
      <c r="E65" s="3" t="s">
        <v>29</v>
      </c>
      <c r="K65" s="156"/>
      <c r="L65" s="223">
        <v>0</v>
      </c>
      <c r="M65" s="223">
        <v>0</v>
      </c>
      <c r="N65" s="223">
        <v>0</v>
      </c>
      <c r="O65" s="223">
        <v>0</v>
      </c>
      <c r="P65" s="1598">
        <v>0.85409961899999998</v>
      </c>
      <c r="Q65" s="1599">
        <v>0.85408934999999997</v>
      </c>
      <c r="R65" s="1599">
        <v>0.87065727000000004</v>
      </c>
      <c r="S65" s="1599">
        <v>0.87067047600000003</v>
      </c>
      <c r="T65" s="1599">
        <v>0.863188383</v>
      </c>
      <c r="U65" s="1599">
        <v>0.84562516799999998</v>
      </c>
      <c r="V65" s="223">
        <v>0</v>
      </c>
      <c r="W65" s="223">
        <v>0</v>
      </c>
      <c r="X65" s="223">
        <v>0</v>
      </c>
      <c r="Y65" s="223">
        <v>0</v>
      </c>
      <c r="Z65" s="223">
        <v>0</v>
      </c>
      <c r="AA65" s="223">
        <v>0</v>
      </c>
      <c r="AB65" s="223">
        <v>0</v>
      </c>
      <c r="AC65" s="223">
        <v>0</v>
      </c>
      <c r="AD65" s="223">
        <v>0</v>
      </c>
      <c r="AE65" s="223">
        <v>0</v>
      </c>
    </row>
    <row r="66" spans="3:31" outlineLevel="1">
      <c r="C66" s="3" t="str">
        <f t="shared" ref="C66:C71" si="9">C19</f>
        <v>Corp Serv</v>
      </c>
      <c r="E66" s="3" t="s">
        <v>29</v>
      </c>
      <c r="K66" s="156"/>
      <c r="L66" s="223">
        <v>0</v>
      </c>
      <c r="M66" s="223">
        <v>0</v>
      </c>
      <c r="N66" s="223">
        <v>0</v>
      </c>
      <c r="O66" s="223">
        <v>0</v>
      </c>
      <c r="P66" s="1600">
        <v>0.84399999999999997</v>
      </c>
      <c r="Q66" s="1601">
        <v>0.83899999999999997</v>
      </c>
      <c r="R66" s="1601">
        <v>0.83299999999999996</v>
      </c>
      <c r="S66" s="1601">
        <v>0.82799999999999996</v>
      </c>
      <c r="T66" s="1601">
        <v>0.82799999999999996</v>
      </c>
      <c r="U66" s="1601">
        <v>0.82799999999999996</v>
      </c>
      <c r="V66" s="223">
        <v>0</v>
      </c>
      <c r="W66" s="223">
        <v>0</v>
      </c>
      <c r="X66" s="223">
        <v>0</v>
      </c>
      <c r="Y66" s="223">
        <v>0</v>
      </c>
      <c r="Z66" s="223">
        <v>0</v>
      </c>
      <c r="AA66" s="223">
        <v>0</v>
      </c>
      <c r="AB66" s="223">
        <v>0</v>
      </c>
      <c r="AC66" s="223">
        <v>0</v>
      </c>
      <c r="AD66" s="223">
        <v>0</v>
      </c>
      <c r="AE66" s="223">
        <v>0</v>
      </c>
    </row>
    <row r="67" spans="3:31" outlineLevel="1">
      <c r="C67" s="3" t="str">
        <f t="shared" si="9"/>
        <v>Data Assistant</v>
      </c>
      <c r="E67" s="3" t="s">
        <v>29</v>
      </c>
      <c r="K67" s="156"/>
      <c r="L67" s="223">
        <v>0</v>
      </c>
      <c r="M67" s="223">
        <v>0</v>
      </c>
      <c r="N67" s="223">
        <v>0</v>
      </c>
      <c r="O67" s="223">
        <v>0</v>
      </c>
      <c r="P67" s="1600">
        <v>0.88900000000000001</v>
      </c>
      <c r="Q67" s="1601">
        <v>0.88200000000000001</v>
      </c>
      <c r="R67" s="1601">
        <v>0.88100000000000001</v>
      </c>
      <c r="S67" s="1601">
        <v>0.88200000000000001</v>
      </c>
      <c r="T67" s="1601">
        <v>0.88100000000000001</v>
      </c>
      <c r="U67" s="1601">
        <v>0.88100000000000001</v>
      </c>
      <c r="V67" s="223">
        <v>0</v>
      </c>
      <c r="W67" s="223">
        <v>0</v>
      </c>
      <c r="X67" s="223">
        <v>0</v>
      </c>
      <c r="Y67" s="223">
        <v>0</v>
      </c>
      <c r="Z67" s="223">
        <v>0</v>
      </c>
      <c r="AA67" s="223">
        <v>0</v>
      </c>
      <c r="AB67" s="223">
        <v>0</v>
      </c>
      <c r="AC67" s="223">
        <v>0</v>
      </c>
      <c r="AD67" s="223">
        <v>0</v>
      </c>
      <c r="AE67" s="223">
        <v>0</v>
      </c>
    </row>
    <row r="68" spans="3:31" outlineLevel="1">
      <c r="C68" s="3" t="str">
        <f t="shared" si="9"/>
        <v>Engineer</v>
      </c>
      <c r="E68" s="3" t="s">
        <v>29</v>
      </c>
      <c r="K68" s="156"/>
      <c r="L68" s="223">
        <v>0</v>
      </c>
      <c r="M68" s="223">
        <v>0</v>
      </c>
      <c r="N68" s="223">
        <v>0</v>
      </c>
      <c r="O68" s="223">
        <v>0</v>
      </c>
      <c r="P68" s="1600">
        <v>0.86899999999999999</v>
      </c>
      <c r="Q68" s="1601">
        <v>0.85899999999999999</v>
      </c>
      <c r="R68" s="1601">
        <v>0.86</v>
      </c>
      <c r="S68" s="1601">
        <v>0.85899999999999999</v>
      </c>
      <c r="T68" s="1601">
        <v>0.85899999999999999</v>
      </c>
      <c r="U68" s="1601">
        <v>0.85899999999999999</v>
      </c>
      <c r="V68" s="223">
        <v>0</v>
      </c>
      <c r="W68" s="223">
        <v>0</v>
      </c>
      <c r="X68" s="223">
        <v>0</v>
      </c>
      <c r="Y68" s="223">
        <v>0</v>
      </c>
      <c r="Z68" s="223">
        <v>0</v>
      </c>
      <c r="AA68" s="223">
        <v>0</v>
      </c>
      <c r="AB68" s="223">
        <v>0</v>
      </c>
      <c r="AC68" s="223">
        <v>0</v>
      </c>
      <c r="AD68" s="223">
        <v>0</v>
      </c>
      <c r="AE68" s="223">
        <v>0</v>
      </c>
    </row>
    <row r="69" spans="3:31" outlineLevel="1">
      <c r="C69" s="3" t="str">
        <f t="shared" si="9"/>
        <v>Op Mgt Supp</v>
      </c>
      <c r="E69" s="3" t="s">
        <v>29</v>
      </c>
      <c r="K69" s="156"/>
      <c r="L69" s="223">
        <v>0</v>
      </c>
      <c r="M69" s="223">
        <v>0</v>
      </c>
      <c r="N69" s="223">
        <v>0</v>
      </c>
      <c r="O69" s="223">
        <v>0</v>
      </c>
      <c r="P69" s="1600">
        <v>0.85</v>
      </c>
      <c r="Q69" s="1601">
        <v>0.85399999999999998</v>
      </c>
      <c r="R69" s="1601">
        <v>0.85399999999999998</v>
      </c>
      <c r="S69" s="1601">
        <v>0.85</v>
      </c>
      <c r="T69" s="1601">
        <v>0.85</v>
      </c>
      <c r="U69" s="1601">
        <v>0.85299999999999998</v>
      </c>
      <c r="V69" s="223">
        <v>0</v>
      </c>
      <c r="W69" s="223">
        <v>0</v>
      </c>
      <c r="X69" s="223">
        <v>0</v>
      </c>
      <c r="Y69" s="223">
        <v>0</v>
      </c>
      <c r="Z69" s="223">
        <v>0</v>
      </c>
      <c r="AA69" s="223">
        <v>0</v>
      </c>
      <c r="AB69" s="223">
        <v>0</v>
      </c>
      <c r="AC69" s="223">
        <v>0</v>
      </c>
      <c r="AD69" s="223">
        <v>0</v>
      </c>
      <c r="AE69" s="223">
        <v>0</v>
      </c>
    </row>
    <row r="70" spans="3:31" outlineLevel="1">
      <c r="C70" s="3" t="str">
        <f t="shared" si="9"/>
        <v>EWSS</v>
      </c>
      <c r="E70" s="3" t="s">
        <v>29</v>
      </c>
      <c r="K70" s="156"/>
      <c r="L70" s="223">
        <v>0</v>
      </c>
      <c r="M70" s="223">
        <v>0</v>
      </c>
      <c r="N70" s="223">
        <v>0</v>
      </c>
      <c r="O70" s="223">
        <v>0</v>
      </c>
      <c r="P70" s="223">
        <v>0</v>
      </c>
      <c r="Q70" s="1601">
        <v>0.85762160099999996</v>
      </c>
      <c r="R70" s="1601">
        <v>0.86063138699999997</v>
      </c>
      <c r="S70" s="223">
        <v>0</v>
      </c>
      <c r="T70" s="223">
        <v>0</v>
      </c>
      <c r="U70" s="223">
        <v>0</v>
      </c>
      <c r="V70" s="223">
        <v>0</v>
      </c>
      <c r="W70" s="223">
        <v>0</v>
      </c>
      <c r="X70" s="223">
        <v>0</v>
      </c>
      <c r="Y70" s="223">
        <v>0</v>
      </c>
      <c r="Z70" s="223">
        <v>0</v>
      </c>
      <c r="AA70" s="223">
        <v>0</v>
      </c>
      <c r="AB70" s="223">
        <v>0</v>
      </c>
      <c r="AC70" s="223">
        <v>0</v>
      </c>
      <c r="AD70" s="223">
        <v>0</v>
      </c>
      <c r="AE70" s="223">
        <v>0</v>
      </c>
    </row>
    <row r="71" spans="3:31" outlineLevel="1">
      <c r="C71" s="3" t="str">
        <f t="shared" si="9"/>
        <v>Overtime</v>
      </c>
      <c r="E71" s="3" t="s">
        <v>29</v>
      </c>
      <c r="K71" s="156"/>
      <c r="L71" s="223">
        <v>0</v>
      </c>
      <c r="M71" s="223">
        <v>0</v>
      </c>
      <c r="N71" s="223">
        <v>0</v>
      </c>
      <c r="O71" s="223">
        <v>0</v>
      </c>
      <c r="P71" s="1600">
        <v>0.85409961899999998</v>
      </c>
      <c r="Q71" s="1601">
        <v>0.85408934999999997</v>
      </c>
      <c r="R71" s="1601">
        <v>0.87065727000000004</v>
      </c>
      <c r="S71" s="1601">
        <v>0.87067047600000003</v>
      </c>
      <c r="T71" s="1601">
        <v>0.863188383</v>
      </c>
      <c r="U71" s="1601">
        <v>0.84562516799999998</v>
      </c>
      <c r="V71" s="223">
        <v>0</v>
      </c>
      <c r="W71" s="223">
        <v>0</v>
      </c>
      <c r="X71" s="223">
        <v>0</v>
      </c>
      <c r="Y71" s="223">
        <v>0</v>
      </c>
      <c r="Z71" s="223">
        <v>0</v>
      </c>
      <c r="AA71" s="223">
        <v>0</v>
      </c>
      <c r="AB71" s="223">
        <v>0</v>
      </c>
      <c r="AC71" s="223">
        <v>0</v>
      </c>
      <c r="AD71" s="223">
        <v>0</v>
      </c>
      <c r="AE71" s="223">
        <v>0</v>
      </c>
    </row>
    <row r="72" spans="3:31" outlineLevel="1">
      <c r="C72" s="3" t="s">
        <v>862</v>
      </c>
      <c r="E72" s="3" t="s">
        <v>29</v>
      </c>
      <c r="K72" s="156"/>
      <c r="L72" s="223">
        <v>0</v>
      </c>
      <c r="M72" s="223">
        <v>0</v>
      </c>
      <c r="N72" s="223">
        <v>0</v>
      </c>
      <c r="O72" s="223">
        <v>0</v>
      </c>
      <c r="P72" s="223">
        <v>0</v>
      </c>
      <c r="Q72" s="223">
        <v>0</v>
      </c>
      <c r="R72" s="223">
        <v>0</v>
      </c>
      <c r="S72" s="223">
        <v>0</v>
      </c>
      <c r="T72" s="223">
        <v>0</v>
      </c>
      <c r="U72" s="223">
        <v>0</v>
      </c>
      <c r="V72" s="223">
        <v>0</v>
      </c>
      <c r="W72" s="223">
        <v>0</v>
      </c>
      <c r="X72" s="223">
        <v>0</v>
      </c>
      <c r="Y72" s="223">
        <v>0</v>
      </c>
      <c r="Z72" s="223">
        <v>0</v>
      </c>
      <c r="AA72" s="223">
        <v>0</v>
      </c>
      <c r="AB72" s="223">
        <v>0</v>
      </c>
      <c r="AC72" s="223">
        <v>0</v>
      </c>
      <c r="AD72" s="223">
        <v>0</v>
      </c>
      <c r="AE72" s="223">
        <v>0</v>
      </c>
    </row>
    <row r="73" spans="3:31" outlineLevel="1">
      <c r="C73" s="3" t="s">
        <v>862</v>
      </c>
      <c r="E73" s="3" t="s">
        <v>29</v>
      </c>
      <c r="K73" s="156"/>
      <c r="L73" s="223">
        <v>0</v>
      </c>
      <c r="M73" s="223">
        <v>0</v>
      </c>
      <c r="N73" s="223">
        <v>0</v>
      </c>
      <c r="O73" s="223">
        <v>0</v>
      </c>
      <c r="P73" s="223">
        <v>0</v>
      </c>
      <c r="Q73" s="223">
        <v>0</v>
      </c>
      <c r="R73" s="223">
        <v>0</v>
      </c>
      <c r="S73" s="223">
        <v>0</v>
      </c>
      <c r="T73" s="223">
        <v>0</v>
      </c>
      <c r="U73" s="223">
        <v>0</v>
      </c>
      <c r="V73" s="223">
        <v>0</v>
      </c>
      <c r="W73" s="223">
        <v>0</v>
      </c>
      <c r="X73" s="223">
        <v>0</v>
      </c>
      <c r="Y73" s="223">
        <v>0</v>
      </c>
      <c r="Z73" s="223">
        <v>0</v>
      </c>
      <c r="AA73" s="223">
        <v>0</v>
      </c>
      <c r="AB73" s="223">
        <v>0</v>
      </c>
      <c r="AC73" s="223">
        <v>0</v>
      </c>
      <c r="AD73" s="223">
        <v>0</v>
      </c>
      <c r="AE73" s="223">
        <v>0</v>
      </c>
    </row>
    <row r="75" spans="3:31" ht="13.5" thickBot="1">
      <c r="C75" s="6" t="s">
        <v>797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3:31">
      <c r="C76" s="3" t="s">
        <v>796</v>
      </c>
      <c r="E76" s="3" t="s">
        <v>29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pans="3:31">
      <c r="C77" s="39" t="s">
        <v>799</v>
      </c>
      <c r="D77" s="39"/>
      <c r="E77" s="39" t="s">
        <v>29</v>
      </c>
      <c r="F77" s="39"/>
      <c r="G77" s="39"/>
      <c r="H77" s="39"/>
      <c r="I77" s="39"/>
      <c r="J77" s="226"/>
      <c r="K77" s="226"/>
      <c r="L77" s="227"/>
      <c r="M77" s="227"/>
      <c r="N77" s="227"/>
      <c r="O77" s="227"/>
      <c r="P77" s="1606">
        <v>11514</v>
      </c>
      <c r="Q77" s="1607">
        <v>11198</v>
      </c>
      <c r="R77" s="1607">
        <v>11177</v>
      </c>
      <c r="S77" s="1607">
        <v>12125</v>
      </c>
      <c r="T77" s="1607">
        <v>11912</v>
      </c>
      <c r="U77" s="1607">
        <v>11465</v>
      </c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pans="3:31" ht="10.9" customHeight="1">
      <c r="J78" s="148"/>
      <c r="K78" s="148"/>
    </row>
    <row r="79" spans="3:31" ht="13.5" thickBot="1">
      <c r="C79" s="6" t="s">
        <v>815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3:31">
      <c r="C80" s="3" t="s">
        <v>796</v>
      </c>
      <c r="E80" s="3" t="s">
        <v>29</v>
      </c>
      <c r="L80" s="27">
        <f t="shared" ref="L80:T80" si="10">(SUMPRODUCT(L34:L42,L65:L73)*(L76="")+L76)</f>
        <v>0</v>
      </c>
      <c r="M80" s="27">
        <f t="shared" si="10"/>
        <v>0</v>
      </c>
      <c r="N80" s="27">
        <f t="shared" si="10"/>
        <v>0</v>
      </c>
      <c r="O80" s="27">
        <f t="shared" si="10"/>
        <v>0</v>
      </c>
      <c r="P80" s="27">
        <f t="shared" si="10"/>
        <v>57841.304209444206</v>
      </c>
      <c r="Q80" s="27">
        <f t="shared" si="10"/>
        <v>53191.04045014771</v>
      </c>
      <c r="R80" s="27">
        <f t="shared" si="10"/>
        <v>48832.907965075545</v>
      </c>
      <c r="S80" s="27">
        <f t="shared" si="10"/>
        <v>58242.057982058941</v>
      </c>
      <c r="T80" s="27">
        <f t="shared" si="10"/>
        <v>59270.425909375255</v>
      </c>
      <c r="U80" s="27">
        <f>(SUMPRODUCT(U34:U42,U65:U73)*(U76="")+U76)</f>
        <v>60142.36870286239</v>
      </c>
      <c r="V80" s="27">
        <f t="shared" ref="V80:AE80" si="11">(SUMPRODUCT(V34:V42,V65:V73)*(V76="")+V76)</f>
        <v>0</v>
      </c>
      <c r="W80" s="27">
        <f t="shared" si="11"/>
        <v>0</v>
      </c>
      <c r="X80" s="27">
        <f t="shared" si="11"/>
        <v>0</v>
      </c>
      <c r="Y80" s="27">
        <f t="shared" si="11"/>
        <v>0</v>
      </c>
      <c r="Z80" s="27">
        <f t="shared" si="11"/>
        <v>0</v>
      </c>
      <c r="AA80" s="27">
        <f t="shared" si="11"/>
        <v>0</v>
      </c>
      <c r="AB80" s="27">
        <f t="shared" si="11"/>
        <v>0</v>
      </c>
      <c r="AC80" s="27">
        <f t="shared" si="11"/>
        <v>0</v>
      </c>
      <c r="AD80" s="27">
        <f t="shared" si="11"/>
        <v>0</v>
      </c>
      <c r="AE80" s="27">
        <f t="shared" si="11"/>
        <v>0</v>
      </c>
    </row>
    <row r="81" spans="2:31">
      <c r="C81" s="3" t="s">
        <v>799</v>
      </c>
      <c r="E81" s="3" t="s">
        <v>29</v>
      </c>
      <c r="L81" s="150">
        <f t="shared" ref="L81:AE81" si="12">IF(SUM(L34:L43)=0,0,L46*SUMPRODUCT(L34:L43,$H$34:$H$43)/SUM(L34:L43))*(L77="")+L77</f>
        <v>0</v>
      </c>
      <c r="M81" s="150">
        <f t="shared" si="12"/>
        <v>0</v>
      </c>
      <c r="N81" s="150">
        <f t="shared" si="12"/>
        <v>0</v>
      </c>
      <c r="O81" s="150">
        <f t="shared" si="12"/>
        <v>0</v>
      </c>
      <c r="P81" s="150">
        <f t="shared" si="12"/>
        <v>11514</v>
      </c>
      <c r="Q81" s="150">
        <f t="shared" si="12"/>
        <v>11198</v>
      </c>
      <c r="R81" s="150">
        <f t="shared" si="12"/>
        <v>11177</v>
      </c>
      <c r="S81" s="150">
        <f t="shared" si="12"/>
        <v>12125</v>
      </c>
      <c r="T81" s="150">
        <f t="shared" si="12"/>
        <v>11912</v>
      </c>
      <c r="U81" s="150">
        <f t="shared" si="12"/>
        <v>11465</v>
      </c>
      <c r="V81" s="150">
        <f t="shared" si="12"/>
        <v>0</v>
      </c>
      <c r="W81" s="150">
        <f t="shared" si="12"/>
        <v>0</v>
      </c>
      <c r="X81" s="150">
        <f t="shared" si="12"/>
        <v>0</v>
      </c>
      <c r="Y81" s="150">
        <f t="shared" si="12"/>
        <v>0</v>
      </c>
      <c r="Z81" s="150">
        <f t="shared" si="12"/>
        <v>0</v>
      </c>
      <c r="AA81" s="150">
        <f t="shared" si="12"/>
        <v>0</v>
      </c>
      <c r="AB81" s="150">
        <f t="shared" si="12"/>
        <v>0</v>
      </c>
      <c r="AC81" s="150">
        <f t="shared" si="12"/>
        <v>0</v>
      </c>
      <c r="AD81" s="150">
        <f t="shared" si="12"/>
        <v>0</v>
      </c>
      <c r="AE81" s="150">
        <f t="shared" si="12"/>
        <v>0</v>
      </c>
    </row>
    <row r="82" spans="2:31">
      <c r="C82" s="17"/>
      <c r="D82" s="17"/>
      <c r="E82" s="17"/>
      <c r="F82" s="17"/>
      <c r="G82" s="17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2:31">
      <c r="B83" s="152" t="s">
        <v>24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5" spans="2:31" ht="13.5" thickBot="1">
      <c r="C85" s="6" t="s">
        <v>816</v>
      </c>
      <c r="D85" s="7"/>
      <c r="E85" s="7"/>
      <c r="F85" s="7"/>
      <c r="G85" s="7"/>
      <c r="H85" s="7"/>
      <c r="I85" s="221"/>
      <c r="J85" s="7"/>
      <c r="K85" s="22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</row>
    <row r="86" spans="2:31" outlineLevel="1">
      <c r="C86" s="3" t="str">
        <f t="shared" ref="C86:C94" si="13">C65</f>
        <v>ATCOs</v>
      </c>
      <c r="E86" s="3" t="s">
        <v>29</v>
      </c>
      <c r="K86" s="156"/>
      <c r="L86" s="223">
        <v>0</v>
      </c>
      <c r="M86" s="223">
        <v>0</v>
      </c>
      <c r="N86" s="223">
        <v>0</v>
      </c>
      <c r="O86" s="223">
        <v>0</v>
      </c>
      <c r="P86" s="223">
        <v>0.14590038100000002</v>
      </c>
      <c r="Q86" s="223">
        <v>0.14591065000000003</v>
      </c>
      <c r="R86" s="223">
        <v>0.12934272999999996</v>
      </c>
      <c r="S86" s="223">
        <v>0.12932952399999997</v>
      </c>
      <c r="T86" s="223">
        <v>0.136811617</v>
      </c>
      <c r="U86" s="223">
        <v>0.15437483200000002</v>
      </c>
      <c r="V86" s="223">
        <v>0</v>
      </c>
      <c r="W86" s="223">
        <v>0</v>
      </c>
      <c r="X86" s="223">
        <v>0</v>
      </c>
      <c r="Y86" s="223">
        <v>0</v>
      </c>
      <c r="Z86" s="223">
        <v>0</v>
      </c>
      <c r="AA86" s="223">
        <v>0</v>
      </c>
      <c r="AB86" s="223">
        <v>0</v>
      </c>
      <c r="AC86" s="223">
        <v>0</v>
      </c>
      <c r="AD86" s="223">
        <v>0</v>
      </c>
      <c r="AE86" s="223">
        <v>0</v>
      </c>
    </row>
    <row r="87" spans="2:31" outlineLevel="1">
      <c r="C87" s="3" t="str">
        <f t="shared" si="13"/>
        <v>Corp Serv</v>
      </c>
      <c r="E87" s="3" t="s">
        <v>29</v>
      </c>
      <c r="K87" s="156"/>
      <c r="L87" s="223">
        <v>0</v>
      </c>
      <c r="M87" s="223">
        <v>0</v>
      </c>
      <c r="N87" s="223">
        <v>0</v>
      </c>
      <c r="O87" s="223">
        <v>0</v>
      </c>
      <c r="P87" s="223">
        <v>0.15600000000000003</v>
      </c>
      <c r="Q87" s="223">
        <v>0.16100000000000003</v>
      </c>
      <c r="R87" s="223">
        <v>0.16700000000000004</v>
      </c>
      <c r="S87" s="223">
        <v>0.17200000000000004</v>
      </c>
      <c r="T87" s="223">
        <v>0.17200000000000004</v>
      </c>
      <c r="U87" s="223">
        <v>0.17200000000000004</v>
      </c>
      <c r="V87" s="223">
        <v>0</v>
      </c>
      <c r="W87" s="223">
        <v>0</v>
      </c>
      <c r="X87" s="223">
        <v>0</v>
      </c>
      <c r="Y87" s="223">
        <v>0</v>
      </c>
      <c r="Z87" s="223">
        <v>0</v>
      </c>
      <c r="AA87" s="223">
        <v>0</v>
      </c>
      <c r="AB87" s="223">
        <v>0</v>
      </c>
      <c r="AC87" s="223">
        <v>0</v>
      </c>
      <c r="AD87" s="223">
        <v>0</v>
      </c>
      <c r="AE87" s="223">
        <v>0</v>
      </c>
    </row>
    <row r="88" spans="2:31" outlineLevel="1">
      <c r="C88" s="3" t="str">
        <f t="shared" si="13"/>
        <v>Data Assistant</v>
      </c>
      <c r="E88" s="3" t="s">
        <v>29</v>
      </c>
      <c r="K88" s="156"/>
      <c r="L88" s="223">
        <v>0</v>
      </c>
      <c r="M88" s="223">
        <v>0</v>
      </c>
      <c r="N88" s="223">
        <v>0</v>
      </c>
      <c r="O88" s="223">
        <v>0</v>
      </c>
      <c r="P88" s="223">
        <v>0.11099999999999999</v>
      </c>
      <c r="Q88" s="223">
        <v>0.11799999999999999</v>
      </c>
      <c r="R88" s="223">
        <v>0.11899999999999999</v>
      </c>
      <c r="S88" s="223">
        <v>0.11799999999999999</v>
      </c>
      <c r="T88" s="223">
        <v>0.11899999999999999</v>
      </c>
      <c r="U88" s="223">
        <v>0.11899999999999999</v>
      </c>
      <c r="V88" s="223">
        <v>0</v>
      </c>
      <c r="W88" s="223">
        <v>0</v>
      </c>
      <c r="X88" s="223">
        <v>0</v>
      </c>
      <c r="Y88" s="223">
        <v>0</v>
      </c>
      <c r="Z88" s="223">
        <v>0</v>
      </c>
      <c r="AA88" s="223">
        <v>0</v>
      </c>
      <c r="AB88" s="223">
        <v>0</v>
      </c>
      <c r="AC88" s="223">
        <v>0</v>
      </c>
      <c r="AD88" s="223">
        <v>0</v>
      </c>
      <c r="AE88" s="223">
        <v>0</v>
      </c>
    </row>
    <row r="89" spans="2:31" outlineLevel="1">
      <c r="C89" s="3" t="str">
        <f t="shared" si="13"/>
        <v>Engineer</v>
      </c>
      <c r="E89" s="3" t="s">
        <v>29</v>
      </c>
      <c r="K89" s="156"/>
      <c r="L89" s="223">
        <v>0</v>
      </c>
      <c r="M89" s="223">
        <v>0</v>
      </c>
      <c r="N89" s="223">
        <v>0</v>
      </c>
      <c r="O89" s="223">
        <v>0</v>
      </c>
      <c r="P89" s="223">
        <v>0.13100000000000001</v>
      </c>
      <c r="Q89" s="223">
        <v>0.14100000000000001</v>
      </c>
      <c r="R89" s="223">
        <v>0.14000000000000001</v>
      </c>
      <c r="S89" s="223">
        <v>0.14100000000000001</v>
      </c>
      <c r="T89" s="223">
        <v>0.14100000000000001</v>
      </c>
      <c r="U89" s="223">
        <v>0.14100000000000001</v>
      </c>
      <c r="V89" s="223">
        <v>0</v>
      </c>
      <c r="W89" s="223">
        <v>0</v>
      </c>
      <c r="X89" s="223">
        <v>0</v>
      </c>
      <c r="Y89" s="223">
        <v>0</v>
      </c>
      <c r="Z89" s="223">
        <v>0</v>
      </c>
      <c r="AA89" s="223">
        <v>0</v>
      </c>
      <c r="AB89" s="223">
        <v>0</v>
      </c>
      <c r="AC89" s="223">
        <v>0</v>
      </c>
      <c r="AD89" s="223">
        <v>0</v>
      </c>
      <c r="AE89" s="223">
        <v>0</v>
      </c>
    </row>
    <row r="90" spans="2:31" outlineLevel="1">
      <c r="C90" s="3" t="str">
        <f t="shared" si="13"/>
        <v>Op Mgt Supp</v>
      </c>
      <c r="E90" s="3" t="s">
        <v>29</v>
      </c>
      <c r="K90" s="156"/>
      <c r="L90" s="223">
        <v>0</v>
      </c>
      <c r="M90" s="223">
        <v>0</v>
      </c>
      <c r="N90" s="223">
        <v>0</v>
      </c>
      <c r="O90" s="223">
        <v>0</v>
      </c>
      <c r="P90" s="223">
        <v>0.15000000000000002</v>
      </c>
      <c r="Q90" s="223">
        <v>0.14600000000000002</v>
      </c>
      <c r="R90" s="223">
        <v>0.14600000000000002</v>
      </c>
      <c r="S90" s="223">
        <v>0.15000000000000002</v>
      </c>
      <c r="T90" s="223">
        <v>0.15000000000000002</v>
      </c>
      <c r="U90" s="223">
        <v>0.14700000000000002</v>
      </c>
      <c r="V90" s="223">
        <v>0</v>
      </c>
      <c r="W90" s="223">
        <v>0</v>
      </c>
      <c r="X90" s="223">
        <v>0</v>
      </c>
      <c r="Y90" s="223">
        <v>0</v>
      </c>
      <c r="Z90" s="223">
        <v>0</v>
      </c>
      <c r="AA90" s="223">
        <v>0</v>
      </c>
      <c r="AB90" s="223">
        <v>0</v>
      </c>
      <c r="AC90" s="223">
        <v>0</v>
      </c>
      <c r="AD90" s="223">
        <v>0</v>
      </c>
      <c r="AE90" s="223">
        <v>0</v>
      </c>
    </row>
    <row r="91" spans="2:31" outlineLevel="1">
      <c r="C91" s="3" t="str">
        <f t="shared" si="13"/>
        <v>EWSS</v>
      </c>
      <c r="E91" s="3" t="s">
        <v>29</v>
      </c>
      <c r="K91" s="156"/>
      <c r="L91" s="223">
        <v>0</v>
      </c>
      <c r="M91" s="223">
        <v>0</v>
      </c>
      <c r="N91" s="223">
        <v>0</v>
      </c>
      <c r="O91" s="223">
        <v>0</v>
      </c>
      <c r="P91" s="223">
        <v>0</v>
      </c>
      <c r="Q91" s="223">
        <v>0.14237839900000004</v>
      </c>
      <c r="R91" s="223">
        <v>0.13936861300000003</v>
      </c>
      <c r="S91" s="223">
        <v>0</v>
      </c>
      <c r="T91" s="223">
        <v>0</v>
      </c>
      <c r="U91" s="223">
        <v>0</v>
      </c>
      <c r="V91" s="223">
        <v>0</v>
      </c>
      <c r="W91" s="223">
        <v>0</v>
      </c>
      <c r="X91" s="223">
        <v>0</v>
      </c>
      <c r="Y91" s="223">
        <v>0</v>
      </c>
      <c r="Z91" s="223">
        <v>0</v>
      </c>
      <c r="AA91" s="223">
        <v>0</v>
      </c>
      <c r="AB91" s="223">
        <v>0</v>
      </c>
      <c r="AC91" s="223">
        <v>0</v>
      </c>
      <c r="AD91" s="223">
        <v>0</v>
      </c>
      <c r="AE91" s="223">
        <v>0</v>
      </c>
    </row>
    <row r="92" spans="2:31" outlineLevel="1">
      <c r="C92" s="3" t="str">
        <f t="shared" si="13"/>
        <v>Overtime</v>
      </c>
      <c r="E92" s="3" t="s">
        <v>29</v>
      </c>
      <c r="K92" s="156"/>
      <c r="L92" s="223">
        <v>0</v>
      </c>
      <c r="M92" s="223">
        <v>0</v>
      </c>
      <c r="N92" s="223">
        <v>0</v>
      </c>
      <c r="O92" s="223">
        <v>0</v>
      </c>
      <c r="P92" s="223">
        <v>0.14590038100000002</v>
      </c>
      <c r="Q92" s="223">
        <v>0.14591065000000003</v>
      </c>
      <c r="R92" s="223">
        <v>0.12934272999999996</v>
      </c>
      <c r="S92" s="223">
        <v>0.12932952399999997</v>
      </c>
      <c r="T92" s="223">
        <v>0.136811617</v>
      </c>
      <c r="U92" s="223">
        <v>0.15437483200000002</v>
      </c>
      <c r="V92" s="223">
        <v>0</v>
      </c>
      <c r="W92" s="223">
        <v>0</v>
      </c>
      <c r="X92" s="223">
        <v>0</v>
      </c>
      <c r="Y92" s="223">
        <v>0</v>
      </c>
      <c r="Z92" s="223">
        <v>0</v>
      </c>
      <c r="AA92" s="223">
        <v>0</v>
      </c>
      <c r="AB92" s="223">
        <v>0</v>
      </c>
      <c r="AC92" s="223">
        <v>0</v>
      </c>
      <c r="AD92" s="223">
        <v>0</v>
      </c>
      <c r="AE92" s="223">
        <v>0</v>
      </c>
    </row>
    <row r="93" spans="2:31" outlineLevel="1">
      <c r="C93" s="3" t="str">
        <f t="shared" si="13"/>
        <v>&lt;&lt; add cost &gt;&gt;</v>
      </c>
      <c r="E93" s="3" t="s">
        <v>29</v>
      </c>
      <c r="K93" s="156"/>
      <c r="L93" s="223">
        <v>0</v>
      </c>
      <c r="M93" s="223">
        <v>0</v>
      </c>
      <c r="N93" s="223">
        <v>0</v>
      </c>
      <c r="O93" s="223">
        <v>0</v>
      </c>
      <c r="P93" s="223">
        <v>0</v>
      </c>
      <c r="Q93" s="223">
        <v>0</v>
      </c>
      <c r="R93" s="223">
        <v>0</v>
      </c>
      <c r="S93" s="223">
        <v>0</v>
      </c>
      <c r="T93" s="223">
        <v>0</v>
      </c>
      <c r="U93" s="223">
        <v>0</v>
      </c>
      <c r="V93" s="223">
        <v>0</v>
      </c>
      <c r="W93" s="223">
        <v>0</v>
      </c>
      <c r="X93" s="223">
        <v>0</v>
      </c>
      <c r="Y93" s="223">
        <v>0</v>
      </c>
      <c r="Z93" s="223">
        <v>0</v>
      </c>
      <c r="AA93" s="223">
        <v>0</v>
      </c>
      <c r="AB93" s="223">
        <v>0</v>
      </c>
      <c r="AC93" s="223">
        <v>0</v>
      </c>
      <c r="AD93" s="223">
        <v>0</v>
      </c>
      <c r="AE93" s="223">
        <v>0</v>
      </c>
    </row>
    <row r="94" spans="2:31" outlineLevel="1">
      <c r="C94" s="3" t="str">
        <f t="shared" si="13"/>
        <v>&lt;&lt; add cost &gt;&gt;</v>
      </c>
      <c r="E94" s="3" t="s">
        <v>29</v>
      </c>
      <c r="K94" s="156"/>
      <c r="L94" s="223">
        <v>0</v>
      </c>
      <c r="M94" s="223">
        <v>0</v>
      </c>
      <c r="N94" s="223">
        <v>0</v>
      </c>
      <c r="O94" s="223">
        <v>0</v>
      </c>
      <c r="P94" s="223">
        <v>0</v>
      </c>
      <c r="Q94" s="223">
        <v>0</v>
      </c>
      <c r="R94" s="223">
        <v>0</v>
      </c>
      <c r="S94" s="223">
        <v>0</v>
      </c>
      <c r="T94" s="223">
        <v>0</v>
      </c>
      <c r="U94" s="223">
        <v>0</v>
      </c>
      <c r="V94" s="223">
        <v>0</v>
      </c>
      <c r="W94" s="223">
        <v>0</v>
      </c>
      <c r="X94" s="223">
        <v>0</v>
      </c>
      <c r="Y94" s="223">
        <v>0</v>
      </c>
      <c r="Z94" s="223">
        <v>0</v>
      </c>
      <c r="AA94" s="223">
        <v>0</v>
      </c>
      <c r="AB94" s="223">
        <v>0</v>
      </c>
      <c r="AC94" s="223">
        <v>0</v>
      </c>
      <c r="AD94" s="223">
        <v>0</v>
      </c>
      <c r="AE94" s="223">
        <v>0</v>
      </c>
    </row>
    <row r="96" spans="2:31" ht="13.5" thickBot="1">
      <c r="C96" s="6" t="s">
        <v>797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2">
      <c r="C97" s="3" t="s">
        <v>796</v>
      </c>
      <c r="E97" s="3" t="s">
        <v>29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pans="1:32">
      <c r="C98" s="39" t="s">
        <v>799</v>
      </c>
      <c r="D98" s="39"/>
      <c r="E98" s="39" t="s">
        <v>29</v>
      </c>
      <c r="F98" s="39"/>
      <c r="G98" s="39"/>
      <c r="H98" s="39"/>
      <c r="I98" s="39"/>
      <c r="J98" s="39"/>
      <c r="K98" s="39"/>
      <c r="L98" s="228"/>
      <c r="M98" s="228"/>
      <c r="N98" s="228"/>
      <c r="O98" s="228"/>
      <c r="P98" s="227">
        <v>1949</v>
      </c>
      <c r="Q98" s="227">
        <v>1883</v>
      </c>
      <c r="R98" s="227">
        <v>1689</v>
      </c>
      <c r="S98" s="227">
        <v>1850</v>
      </c>
      <c r="T98" s="227">
        <v>1875</v>
      </c>
      <c r="U98" s="227">
        <v>1904</v>
      </c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100" spans="1:32" ht="13.5" thickBot="1">
      <c r="C100" s="6" t="s">
        <v>815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2">
      <c r="C101" s="3" t="s">
        <v>796</v>
      </c>
      <c r="E101" s="3" t="s">
        <v>29</v>
      </c>
      <c r="L101" s="27">
        <f>(SUMPRODUCT(L34:L42,L86:L94)*(L97="")+L97)</f>
        <v>0</v>
      </c>
      <c r="M101" s="27">
        <f t="shared" ref="M101:AE101" si="14">(SUMPRODUCT(M34:M42,M86:M94)*(M97="")+M97)</f>
        <v>0</v>
      </c>
      <c r="N101" s="27">
        <f t="shared" si="14"/>
        <v>0</v>
      </c>
      <c r="O101" s="27">
        <f t="shared" si="14"/>
        <v>0</v>
      </c>
      <c r="P101" s="27">
        <f t="shared" si="14"/>
        <v>9708.6957915557978</v>
      </c>
      <c r="Q101" s="27">
        <f t="shared" si="14"/>
        <v>9039.6928608522903</v>
      </c>
      <c r="R101" s="27">
        <f t="shared" si="14"/>
        <v>7608.1373889244624</v>
      </c>
      <c r="S101" s="27">
        <f t="shared" si="14"/>
        <v>9145.8564669410498</v>
      </c>
      <c r="T101" s="27">
        <f t="shared" si="14"/>
        <v>9679.3993966247326</v>
      </c>
      <c r="U101" s="27">
        <f t="shared" si="14"/>
        <v>10701.920793137606</v>
      </c>
      <c r="V101" s="27">
        <f t="shared" si="14"/>
        <v>0</v>
      </c>
      <c r="W101" s="27">
        <f t="shared" si="14"/>
        <v>0</v>
      </c>
      <c r="X101" s="27">
        <f t="shared" si="14"/>
        <v>0</v>
      </c>
      <c r="Y101" s="27">
        <f t="shared" si="14"/>
        <v>0</v>
      </c>
      <c r="Z101" s="27">
        <f t="shared" si="14"/>
        <v>0</v>
      </c>
      <c r="AA101" s="27">
        <f t="shared" si="14"/>
        <v>0</v>
      </c>
      <c r="AB101" s="27">
        <f t="shared" si="14"/>
        <v>0</v>
      </c>
      <c r="AC101" s="27">
        <f t="shared" si="14"/>
        <v>0</v>
      </c>
      <c r="AD101" s="27">
        <f t="shared" si="14"/>
        <v>0</v>
      </c>
      <c r="AE101" s="27">
        <f t="shared" si="14"/>
        <v>0</v>
      </c>
    </row>
    <row r="102" spans="1:32">
      <c r="C102" s="3" t="s">
        <v>799</v>
      </c>
      <c r="E102" s="3" t="s">
        <v>29</v>
      </c>
      <c r="L102" s="150">
        <f t="shared" ref="L102:AE102" si="15">IF(SUM(L34:L43)=0,0,L46*SUMPRODUCT(L34:L43,$H$34:$H$43)/SUM(L34:L43))*(L98="")+L98</f>
        <v>0</v>
      </c>
      <c r="M102" s="150">
        <f t="shared" si="15"/>
        <v>0</v>
      </c>
      <c r="N102" s="150">
        <f t="shared" si="15"/>
        <v>0</v>
      </c>
      <c r="O102" s="150">
        <f t="shared" si="15"/>
        <v>0</v>
      </c>
      <c r="P102" s="150">
        <f t="shared" si="15"/>
        <v>1949</v>
      </c>
      <c r="Q102" s="150">
        <f t="shared" si="15"/>
        <v>1883</v>
      </c>
      <c r="R102" s="150">
        <f t="shared" si="15"/>
        <v>1689</v>
      </c>
      <c r="S102" s="150">
        <f t="shared" si="15"/>
        <v>1850</v>
      </c>
      <c r="T102" s="150">
        <f t="shared" si="15"/>
        <v>1875</v>
      </c>
      <c r="U102" s="150">
        <f t="shared" si="15"/>
        <v>1904</v>
      </c>
      <c r="V102" s="150">
        <f t="shared" si="15"/>
        <v>0</v>
      </c>
      <c r="W102" s="150">
        <f t="shared" si="15"/>
        <v>0</v>
      </c>
      <c r="X102" s="150">
        <f t="shared" si="15"/>
        <v>0</v>
      </c>
      <c r="Y102" s="150">
        <f t="shared" si="15"/>
        <v>0</v>
      </c>
      <c r="Z102" s="150">
        <f t="shared" si="15"/>
        <v>0</v>
      </c>
      <c r="AA102" s="150">
        <f t="shared" si="15"/>
        <v>0</v>
      </c>
      <c r="AB102" s="150">
        <f t="shared" si="15"/>
        <v>0</v>
      </c>
      <c r="AC102" s="150">
        <f t="shared" si="15"/>
        <v>0</v>
      </c>
      <c r="AD102" s="150">
        <f t="shared" si="15"/>
        <v>0</v>
      </c>
      <c r="AE102" s="150">
        <f t="shared" si="15"/>
        <v>0</v>
      </c>
    </row>
    <row r="103" spans="1:32">
      <c r="C103" s="17"/>
      <c r="D103" s="17"/>
      <c r="E103" s="17"/>
      <c r="F103" s="17"/>
      <c r="G103" s="17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2">
      <c r="B104" s="20" t="s">
        <v>817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6" spans="1:32" ht="13.5" thickBot="1">
      <c r="C106" s="6" t="s">
        <v>797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2">
      <c r="C107" s="3" t="s">
        <v>818</v>
      </c>
      <c r="E107" s="3" t="s">
        <v>29</v>
      </c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</row>
    <row r="109" spans="1:32" s="7" customFormat="1" ht="13.5" thickBot="1">
      <c r="A109" s="3"/>
      <c r="B109" s="3"/>
      <c r="C109" s="6" t="s">
        <v>817</v>
      </c>
      <c r="I109" s="221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3"/>
    </row>
    <row r="110" spans="1:32">
      <c r="C110" s="1593" t="s">
        <v>819</v>
      </c>
      <c r="E110" s="1593" t="s">
        <v>29</v>
      </c>
      <c r="F110" s="1593" t="s">
        <v>814</v>
      </c>
      <c r="G110" s="1608" t="s">
        <v>820</v>
      </c>
      <c r="H110" s="1063">
        <f>IF(G110="","",IF(ISNA(MATCH(G110,G$109:G109,0)),1+MAX(H$109:H109),0))</f>
        <v>1</v>
      </c>
      <c r="I110" s="220"/>
      <c r="J110" s="220"/>
      <c r="K110" s="148"/>
      <c r="L110" s="176">
        <v>0</v>
      </c>
      <c r="M110" s="176">
        <v>0</v>
      </c>
      <c r="N110" s="176">
        <v>0</v>
      </c>
      <c r="O110" s="176">
        <v>0</v>
      </c>
      <c r="P110" s="1594">
        <v>1284</v>
      </c>
      <c r="Q110" s="1595">
        <v>1095.252</v>
      </c>
      <c r="R110" s="1595">
        <v>1185.1320000000001</v>
      </c>
      <c r="S110" s="1595">
        <v>1284</v>
      </c>
      <c r="T110" s="1595">
        <v>1284</v>
      </c>
      <c r="U110" s="1595">
        <v>1284</v>
      </c>
      <c r="V110" s="176">
        <v>0</v>
      </c>
      <c r="W110" s="176">
        <v>0</v>
      </c>
      <c r="X110" s="176">
        <v>0</v>
      </c>
      <c r="Y110" s="176">
        <v>0</v>
      </c>
      <c r="Z110" s="176">
        <v>0</v>
      </c>
      <c r="AA110" s="176">
        <v>0</v>
      </c>
      <c r="AB110" s="176">
        <v>0</v>
      </c>
      <c r="AC110" s="176">
        <v>0</v>
      </c>
      <c r="AD110" s="176">
        <v>0</v>
      </c>
      <c r="AE110" s="176">
        <v>0</v>
      </c>
    </row>
    <row r="111" spans="1:32">
      <c r="C111" s="1593" t="s">
        <v>821</v>
      </c>
      <c r="E111" s="1593" t="s">
        <v>29</v>
      </c>
      <c r="F111" s="1593" t="s">
        <v>814</v>
      </c>
      <c r="G111" s="1610" t="s">
        <v>822</v>
      </c>
      <c r="H111" s="1063">
        <f>IF(G111="","",IF(ISNA(MATCH(G111,G$109:G110,0)),1+MAX(H$109:H110),0))</f>
        <v>2</v>
      </c>
      <c r="I111" s="220"/>
      <c r="J111" s="220"/>
      <c r="K111" s="148"/>
      <c r="L111" s="176">
        <v>0</v>
      </c>
      <c r="M111" s="176">
        <v>0</v>
      </c>
      <c r="N111" s="176">
        <v>0</v>
      </c>
      <c r="O111" s="176">
        <v>0</v>
      </c>
      <c r="P111" s="176">
        <v>0</v>
      </c>
      <c r="Q111" s="176">
        <v>0</v>
      </c>
      <c r="R111" s="176">
        <v>0</v>
      </c>
      <c r="S111" s="176">
        <v>0</v>
      </c>
      <c r="T111" s="176">
        <v>0</v>
      </c>
      <c r="U111" s="176">
        <v>0</v>
      </c>
      <c r="V111" s="176">
        <v>0</v>
      </c>
      <c r="W111" s="176">
        <v>0</v>
      </c>
      <c r="X111" s="176">
        <v>0</v>
      </c>
      <c r="Y111" s="176">
        <v>0</v>
      </c>
      <c r="Z111" s="176">
        <v>0</v>
      </c>
      <c r="AA111" s="176">
        <v>0</v>
      </c>
      <c r="AB111" s="176">
        <v>0</v>
      </c>
      <c r="AC111" s="176">
        <v>0</v>
      </c>
      <c r="AD111" s="176">
        <v>0</v>
      </c>
      <c r="AE111" s="176">
        <v>0</v>
      </c>
    </row>
    <row r="112" spans="1:32">
      <c r="C112" s="1593" t="s">
        <v>823</v>
      </c>
      <c r="E112" s="1593" t="s">
        <v>29</v>
      </c>
      <c r="F112" s="1593" t="s">
        <v>814</v>
      </c>
      <c r="G112" s="1610" t="s">
        <v>820</v>
      </c>
      <c r="H112" s="1063">
        <f>IF(G112="","",IF(ISNA(MATCH(G112,G$109:G111,0)),1+MAX(H$109:H111),0))</f>
        <v>0</v>
      </c>
      <c r="I112" s="220"/>
      <c r="J112" s="220"/>
      <c r="K112" s="148"/>
      <c r="L112" s="176">
        <v>0</v>
      </c>
      <c r="M112" s="176">
        <v>0</v>
      </c>
      <c r="N112" s="176">
        <v>0</v>
      </c>
      <c r="O112" s="176">
        <v>0</v>
      </c>
      <c r="P112" s="1591">
        <v>480</v>
      </c>
      <c r="Q112" s="1592">
        <v>409.44</v>
      </c>
      <c r="R112" s="1592">
        <v>443.04</v>
      </c>
      <c r="S112" s="1592">
        <v>480</v>
      </c>
      <c r="T112" s="1592">
        <v>480</v>
      </c>
      <c r="U112" s="1592">
        <v>480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176">
        <v>0</v>
      </c>
      <c r="AD112" s="176">
        <v>0</v>
      </c>
      <c r="AE112" s="176">
        <v>0</v>
      </c>
    </row>
    <row r="113" spans="3:31">
      <c r="C113" s="1593" t="s">
        <v>825</v>
      </c>
      <c r="E113" s="1593" t="s">
        <v>29</v>
      </c>
      <c r="F113" s="1593" t="s">
        <v>814</v>
      </c>
      <c r="G113" s="1610" t="s">
        <v>825</v>
      </c>
      <c r="H113" s="1063">
        <f>IF(G113="","",IF(ISNA(MATCH(G113,G$109:G112,0)),1+MAX(H$109:H112),0))</f>
        <v>3</v>
      </c>
      <c r="I113" s="220"/>
      <c r="J113" s="220"/>
      <c r="K113" s="148"/>
      <c r="L113" s="176">
        <v>0</v>
      </c>
      <c r="M113" s="176">
        <v>0</v>
      </c>
      <c r="N113" s="176">
        <v>0</v>
      </c>
      <c r="O113" s="176">
        <v>0</v>
      </c>
      <c r="P113" s="176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176">
        <v>0</v>
      </c>
      <c r="AD113" s="176">
        <v>0</v>
      </c>
      <c r="AE113" s="176">
        <v>0</v>
      </c>
    </row>
    <row r="114" spans="3:31">
      <c r="C114" s="1593" t="s">
        <v>826</v>
      </c>
      <c r="E114" s="1593" t="s">
        <v>29</v>
      </c>
      <c r="F114" s="1593" t="s">
        <v>814</v>
      </c>
      <c r="G114" s="1610" t="s">
        <v>827</v>
      </c>
      <c r="H114" s="1063">
        <f>IF(G114="","",IF(ISNA(MATCH(G114,G$109:G113,0)),1+MAX(H$109:H113),0))</f>
        <v>4</v>
      </c>
      <c r="I114" s="220"/>
      <c r="J114" s="220"/>
      <c r="K114" s="148"/>
      <c r="L114" s="176">
        <v>0</v>
      </c>
      <c r="M114" s="176">
        <v>0</v>
      </c>
      <c r="N114" s="176">
        <v>0</v>
      </c>
      <c r="O114" s="176">
        <v>0</v>
      </c>
      <c r="P114" s="1602">
        <v>4185</v>
      </c>
      <c r="Q114" s="1603">
        <v>3569.8049999999998</v>
      </c>
      <c r="R114" s="1603">
        <v>3862.7550000000001</v>
      </c>
      <c r="S114" s="1603">
        <v>4574.7071999999998</v>
      </c>
      <c r="T114" s="1603">
        <v>4519.8107</v>
      </c>
      <c r="U114" s="1603">
        <v>4461.0532000000003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176">
        <v>0</v>
      </c>
      <c r="AD114" s="176">
        <v>0</v>
      </c>
      <c r="AE114" s="176">
        <v>0</v>
      </c>
    </row>
    <row r="115" spans="3:31">
      <c r="C115" s="1593" t="s">
        <v>828</v>
      </c>
      <c r="E115" s="1593" t="s">
        <v>29</v>
      </c>
      <c r="F115" s="1593" t="s">
        <v>814</v>
      </c>
      <c r="G115" s="1610" t="s">
        <v>827</v>
      </c>
      <c r="H115" s="1063">
        <f>IF(G115="","",IF(ISNA(MATCH(G115,G$109:G114,0)),1+MAX(H$109:H114),0))</f>
        <v>0</v>
      </c>
      <c r="I115" s="220"/>
      <c r="J115" s="220"/>
      <c r="K115" s="148"/>
      <c r="L115" s="176">
        <v>0</v>
      </c>
      <c r="M115" s="176">
        <v>0</v>
      </c>
      <c r="N115" s="176">
        <v>0</v>
      </c>
      <c r="O115" s="176">
        <v>0</v>
      </c>
      <c r="P115" s="1591">
        <v>779</v>
      </c>
      <c r="Q115" s="1592">
        <v>664.48699999999997</v>
      </c>
      <c r="R115" s="1592">
        <v>719.01700000000005</v>
      </c>
      <c r="S115" s="1592">
        <v>872.48</v>
      </c>
      <c r="T115" s="1592">
        <v>872.48</v>
      </c>
      <c r="U115" s="1592">
        <v>872.48</v>
      </c>
      <c r="V115" s="176">
        <v>0</v>
      </c>
      <c r="W115" s="176">
        <v>0</v>
      </c>
      <c r="X115" s="176">
        <v>0</v>
      </c>
      <c r="Y115" s="176">
        <v>0</v>
      </c>
      <c r="Z115" s="176">
        <v>0</v>
      </c>
      <c r="AA115" s="176">
        <v>0</v>
      </c>
      <c r="AB115" s="176">
        <v>0</v>
      </c>
      <c r="AC115" s="176">
        <v>0</v>
      </c>
      <c r="AD115" s="176">
        <v>0</v>
      </c>
      <c r="AE115" s="176">
        <v>0</v>
      </c>
    </row>
    <row r="116" spans="3:31">
      <c r="C116" s="1593" t="s">
        <v>829</v>
      </c>
      <c r="E116" s="1593" t="s">
        <v>29</v>
      </c>
      <c r="F116" s="1593" t="s">
        <v>814</v>
      </c>
      <c r="G116" s="1610" t="s">
        <v>827</v>
      </c>
      <c r="H116" s="1063">
        <f>IF(G116="","",IF(ISNA(MATCH(G116,G$109:G115,0)),1+MAX(H$109:H115),0))</f>
        <v>0</v>
      </c>
      <c r="I116" s="220"/>
      <c r="J116" s="220"/>
      <c r="K116" s="148"/>
      <c r="L116" s="176">
        <v>0</v>
      </c>
      <c r="M116" s="176">
        <v>0</v>
      </c>
      <c r="N116" s="176">
        <v>0</v>
      </c>
      <c r="O116" s="176">
        <v>0</v>
      </c>
      <c r="P116" s="1591">
        <v>833</v>
      </c>
      <c r="Q116" s="1592">
        <v>710.54899999999998</v>
      </c>
      <c r="R116" s="1592">
        <v>768.85900000000004</v>
      </c>
      <c r="S116" s="1592">
        <v>833</v>
      </c>
      <c r="T116" s="1592">
        <v>833</v>
      </c>
      <c r="U116" s="1592">
        <v>833</v>
      </c>
      <c r="V116" s="176">
        <v>0</v>
      </c>
      <c r="W116" s="176">
        <v>0</v>
      </c>
      <c r="X116" s="176">
        <v>0</v>
      </c>
      <c r="Y116" s="176">
        <v>0</v>
      </c>
      <c r="Z116" s="176">
        <v>0</v>
      </c>
      <c r="AA116" s="176">
        <v>0</v>
      </c>
      <c r="AB116" s="176">
        <v>0</v>
      </c>
      <c r="AC116" s="176">
        <v>0</v>
      </c>
      <c r="AD116" s="176">
        <v>0</v>
      </c>
      <c r="AE116" s="176">
        <v>0</v>
      </c>
    </row>
    <row r="117" spans="3:31">
      <c r="C117" s="1593" t="s">
        <v>830</v>
      </c>
      <c r="E117" s="1593" t="s">
        <v>29</v>
      </c>
      <c r="F117" s="1593" t="s">
        <v>814</v>
      </c>
      <c r="G117" s="1610" t="s">
        <v>827</v>
      </c>
      <c r="H117" s="1063">
        <f>IF(G117="","",IF(ISNA(MATCH(G117,G$109:G116,0)),1+MAX(H$109:H116),0))</f>
        <v>0</v>
      </c>
      <c r="I117" s="220"/>
      <c r="J117" s="220"/>
      <c r="K117" s="148"/>
      <c r="L117" s="176">
        <v>0</v>
      </c>
      <c r="M117" s="176">
        <v>0</v>
      </c>
      <c r="N117" s="176">
        <v>0</v>
      </c>
      <c r="O117" s="176">
        <v>0</v>
      </c>
      <c r="P117" s="176">
        <v>0</v>
      </c>
      <c r="Q117" s="176">
        <v>0</v>
      </c>
      <c r="R117" s="176">
        <v>0</v>
      </c>
      <c r="S117" s="176">
        <v>0</v>
      </c>
      <c r="T117" s="176">
        <v>0</v>
      </c>
      <c r="U117" s="176">
        <v>0</v>
      </c>
      <c r="V117" s="176">
        <v>0</v>
      </c>
      <c r="W117" s="176">
        <v>0</v>
      </c>
      <c r="X117" s="176">
        <v>0</v>
      </c>
      <c r="Y117" s="176">
        <v>0</v>
      </c>
      <c r="Z117" s="176">
        <v>0</v>
      </c>
      <c r="AA117" s="176">
        <v>0</v>
      </c>
      <c r="AB117" s="176">
        <v>0</v>
      </c>
      <c r="AC117" s="176">
        <v>0</v>
      </c>
      <c r="AD117" s="176">
        <v>0</v>
      </c>
      <c r="AE117" s="176">
        <v>0</v>
      </c>
    </row>
    <row r="118" spans="3:31">
      <c r="C118" s="1593" t="s">
        <v>831</v>
      </c>
      <c r="E118" s="1593" t="s">
        <v>29</v>
      </c>
      <c r="F118" s="1593" t="s">
        <v>814</v>
      </c>
      <c r="G118" s="1610" t="s">
        <v>827</v>
      </c>
      <c r="H118" s="1063">
        <f>IF(G118="","",IF(ISNA(MATCH(G118,G$109:G117,0)),1+MAX(H$109:H117),0))</f>
        <v>0</v>
      </c>
      <c r="I118" s="220"/>
      <c r="J118" s="220"/>
      <c r="K118" s="148"/>
      <c r="L118" s="176">
        <v>0</v>
      </c>
      <c r="M118" s="176">
        <v>0</v>
      </c>
      <c r="N118" s="176">
        <v>0</v>
      </c>
      <c r="O118" s="176">
        <v>0</v>
      </c>
      <c r="P118" s="1591">
        <v>435</v>
      </c>
      <c r="Q118" s="1592">
        <v>371.05500000000001</v>
      </c>
      <c r="R118" s="1592">
        <v>401.505</v>
      </c>
      <c r="S118" s="1592">
        <v>435</v>
      </c>
      <c r="T118" s="1592">
        <v>435</v>
      </c>
      <c r="U118" s="1592">
        <v>435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176">
        <v>0</v>
      </c>
      <c r="AD118" s="176">
        <v>0</v>
      </c>
      <c r="AE118" s="176">
        <v>0</v>
      </c>
    </row>
    <row r="119" spans="3:31">
      <c r="C119" s="1593" t="s">
        <v>832</v>
      </c>
      <c r="E119" s="1593" t="s">
        <v>29</v>
      </c>
      <c r="F119" s="1593" t="s">
        <v>814</v>
      </c>
      <c r="G119" s="1610" t="s">
        <v>820</v>
      </c>
      <c r="H119" s="1063">
        <f>IF(G119="","",IF(ISNA(MATCH(G119,G$109:G118,0)),1+MAX(H$109:H118),0))</f>
        <v>0</v>
      </c>
      <c r="I119" s="220"/>
      <c r="J119" s="220"/>
      <c r="K119" s="148"/>
      <c r="L119" s="176">
        <v>0</v>
      </c>
      <c r="M119" s="176">
        <v>0</v>
      </c>
      <c r="N119" s="176">
        <v>0</v>
      </c>
      <c r="O119" s="176">
        <v>0</v>
      </c>
      <c r="P119" s="1591">
        <v>453</v>
      </c>
      <c r="Q119" s="1592">
        <v>386.40899999999999</v>
      </c>
      <c r="R119" s="1592">
        <v>418.11900000000003</v>
      </c>
      <c r="S119" s="1592">
        <v>453</v>
      </c>
      <c r="T119" s="1592">
        <v>453</v>
      </c>
      <c r="U119" s="1592">
        <v>453</v>
      </c>
      <c r="V119" s="176">
        <v>0</v>
      </c>
      <c r="W119" s="176">
        <v>0</v>
      </c>
      <c r="X119" s="176">
        <v>0</v>
      </c>
      <c r="Y119" s="176">
        <v>0</v>
      </c>
      <c r="Z119" s="176">
        <v>0</v>
      </c>
      <c r="AA119" s="176">
        <v>0</v>
      </c>
      <c r="AB119" s="176">
        <v>0</v>
      </c>
      <c r="AC119" s="176">
        <v>0</v>
      </c>
      <c r="AD119" s="176">
        <v>0</v>
      </c>
      <c r="AE119" s="176">
        <v>0</v>
      </c>
    </row>
    <row r="120" spans="3:31">
      <c r="C120" s="1593" t="s">
        <v>833</v>
      </c>
      <c r="E120" s="1593" t="s">
        <v>29</v>
      </c>
      <c r="F120" s="1593" t="s">
        <v>814</v>
      </c>
      <c r="G120" s="1610" t="s">
        <v>834</v>
      </c>
      <c r="H120" s="1063">
        <f>IF(G120="","",IF(ISNA(MATCH(G120,G$109:G119,0)),1+MAX(H$109:H119),0))</f>
        <v>5</v>
      </c>
      <c r="I120" s="220"/>
      <c r="J120" s="220"/>
      <c r="K120" s="148"/>
      <c r="L120" s="176">
        <v>0</v>
      </c>
      <c r="M120" s="176">
        <v>0</v>
      </c>
      <c r="N120" s="176">
        <v>0</v>
      </c>
      <c r="O120" s="176">
        <v>0</v>
      </c>
      <c r="P120" s="1602">
        <v>2574</v>
      </c>
      <c r="Q120" s="1603">
        <v>2195.6219999999998</v>
      </c>
      <c r="R120" s="1603">
        <v>2375.8020000000001</v>
      </c>
      <c r="S120" s="1603">
        <v>2574</v>
      </c>
      <c r="T120" s="1603">
        <v>2574</v>
      </c>
      <c r="U120" s="1603">
        <v>2574</v>
      </c>
      <c r="V120" s="176">
        <v>0</v>
      </c>
      <c r="W120" s="176">
        <v>0</v>
      </c>
      <c r="X120" s="176">
        <v>0</v>
      </c>
      <c r="Y120" s="176">
        <v>0</v>
      </c>
      <c r="Z120" s="176">
        <v>0</v>
      </c>
      <c r="AA120" s="176">
        <v>0</v>
      </c>
      <c r="AB120" s="176">
        <v>0</v>
      </c>
      <c r="AC120" s="176">
        <v>0</v>
      </c>
      <c r="AD120" s="176">
        <v>0</v>
      </c>
      <c r="AE120" s="176">
        <v>0</v>
      </c>
    </row>
    <row r="121" spans="3:31">
      <c r="C121" s="1593" t="s">
        <v>835</v>
      </c>
      <c r="E121" s="1593" t="s">
        <v>29</v>
      </c>
      <c r="F121" s="1593" t="s">
        <v>814</v>
      </c>
      <c r="G121" s="1610" t="s">
        <v>835</v>
      </c>
      <c r="H121" s="1063">
        <f>IF(G121="","",IF(ISNA(MATCH(G121,G$109:G120,0)),1+MAX(H$109:H120),0))</f>
        <v>6</v>
      </c>
      <c r="I121" s="220"/>
      <c r="J121" s="220"/>
      <c r="K121" s="148"/>
      <c r="L121" s="176">
        <v>0</v>
      </c>
      <c r="M121" s="176">
        <v>0</v>
      </c>
      <c r="N121" s="176">
        <v>0</v>
      </c>
      <c r="O121" s="176">
        <v>0</v>
      </c>
      <c r="P121" s="1602">
        <v>1660</v>
      </c>
      <c r="Q121" s="1603">
        <v>1415.98</v>
      </c>
      <c r="R121" s="1603">
        <v>1532.18</v>
      </c>
      <c r="S121" s="1603">
        <v>1548.614</v>
      </c>
      <c r="T121" s="1603">
        <v>1613.0363</v>
      </c>
      <c r="U121" s="1603">
        <v>1683.5260000000001</v>
      </c>
      <c r="V121" s="176">
        <v>0</v>
      </c>
      <c r="W121" s="176">
        <v>0</v>
      </c>
      <c r="X121" s="176">
        <v>0</v>
      </c>
      <c r="Y121" s="176">
        <v>0</v>
      </c>
      <c r="Z121" s="176">
        <v>0</v>
      </c>
      <c r="AA121" s="176">
        <v>0</v>
      </c>
      <c r="AB121" s="176">
        <v>0</v>
      </c>
      <c r="AC121" s="176">
        <v>0</v>
      </c>
      <c r="AD121" s="176">
        <v>0</v>
      </c>
      <c r="AE121" s="176">
        <v>0</v>
      </c>
    </row>
    <row r="122" spans="3:31">
      <c r="C122" s="1593" t="s">
        <v>836</v>
      </c>
      <c r="E122" s="1593" t="s">
        <v>29</v>
      </c>
      <c r="F122" s="1593" t="s">
        <v>814</v>
      </c>
      <c r="G122" s="1610" t="s">
        <v>820</v>
      </c>
      <c r="H122" s="1063">
        <f>IF(G122="","",IF(ISNA(MATCH(G122,G$109:G121,0)),1+MAX(H$109:H121),0))</f>
        <v>0</v>
      </c>
      <c r="I122" s="220"/>
      <c r="J122" s="220"/>
      <c r="K122" s="148"/>
      <c r="L122" s="176">
        <v>0</v>
      </c>
      <c r="M122" s="176">
        <v>0</v>
      </c>
      <c r="N122" s="176">
        <v>0</v>
      </c>
      <c r="O122" s="176">
        <v>0</v>
      </c>
      <c r="P122" s="176">
        <v>0</v>
      </c>
      <c r="Q122" s="176">
        <v>0</v>
      </c>
      <c r="R122" s="176">
        <v>0</v>
      </c>
      <c r="S122" s="1592">
        <v>190</v>
      </c>
      <c r="T122" s="1592">
        <v>280</v>
      </c>
      <c r="U122" s="1592">
        <v>274</v>
      </c>
      <c r="V122" s="176">
        <v>0</v>
      </c>
      <c r="W122" s="176">
        <v>0</v>
      </c>
      <c r="X122" s="176">
        <v>0</v>
      </c>
      <c r="Y122" s="176">
        <v>0</v>
      </c>
      <c r="Z122" s="176">
        <v>0</v>
      </c>
      <c r="AA122" s="176">
        <v>0</v>
      </c>
      <c r="AB122" s="176">
        <v>0</v>
      </c>
      <c r="AC122" s="176">
        <v>0</v>
      </c>
      <c r="AD122" s="176">
        <v>0</v>
      </c>
      <c r="AE122" s="176">
        <v>0</v>
      </c>
    </row>
    <row r="123" spans="3:31">
      <c r="C123" s="1593" t="s">
        <v>837</v>
      </c>
      <c r="E123" s="1593" t="s">
        <v>29</v>
      </c>
      <c r="F123" s="1593" t="s">
        <v>814</v>
      </c>
      <c r="G123" s="1610" t="s">
        <v>837</v>
      </c>
      <c r="H123" s="1063">
        <f>IF(G123="","",IF(ISNA(MATCH(G123,G$109:G122,0)),1+MAX(H$109:H122),0))</f>
        <v>7</v>
      </c>
      <c r="I123" s="220"/>
      <c r="J123" s="220"/>
      <c r="K123" s="148"/>
      <c r="L123" s="176">
        <v>0</v>
      </c>
      <c r="M123" s="176">
        <v>0</v>
      </c>
      <c r="N123" s="176">
        <v>0</v>
      </c>
      <c r="O123" s="176">
        <v>0</v>
      </c>
      <c r="P123" s="1602">
        <v>1013</v>
      </c>
      <c r="Q123" s="1592">
        <v>864.08900000000006</v>
      </c>
      <c r="R123" s="1592">
        <v>934.99900000000002</v>
      </c>
      <c r="S123" s="1603">
        <v>1013</v>
      </c>
      <c r="T123" s="1603">
        <v>1013</v>
      </c>
      <c r="U123" s="1603">
        <v>1013</v>
      </c>
      <c r="V123" s="176">
        <v>0</v>
      </c>
      <c r="W123" s="176">
        <v>0</v>
      </c>
      <c r="X123" s="176">
        <v>0</v>
      </c>
      <c r="Y123" s="176">
        <v>0</v>
      </c>
      <c r="Z123" s="176">
        <v>0</v>
      </c>
      <c r="AA123" s="176">
        <v>0</v>
      </c>
      <c r="AB123" s="176">
        <v>0</v>
      </c>
      <c r="AC123" s="176">
        <v>0</v>
      </c>
      <c r="AD123" s="176">
        <v>0</v>
      </c>
      <c r="AE123" s="176">
        <v>0</v>
      </c>
    </row>
    <row r="124" spans="3:31">
      <c r="C124" s="1593" t="s">
        <v>838</v>
      </c>
      <c r="E124" s="1593" t="s">
        <v>29</v>
      </c>
      <c r="F124" s="1593" t="s">
        <v>814</v>
      </c>
      <c r="G124" s="1610" t="s">
        <v>838</v>
      </c>
      <c r="H124" s="1063">
        <f>IF(G124="","",IF(ISNA(MATCH(G124,G$109:G123,0)),1+MAX(H$109:H123),0))</f>
        <v>8</v>
      </c>
      <c r="I124" s="220"/>
      <c r="J124" s="220"/>
      <c r="K124" s="148"/>
      <c r="L124" s="176">
        <v>0</v>
      </c>
      <c r="M124" s="176">
        <v>0</v>
      </c>
      <c r="N124" s="176">
        <v>0</v>
      </c>
      <c r="O124" s="176">
        <v>0</v>
      </c>
      <c r="P124" s="176">
        <v>0</v>
      </c>
      <c r="Q124" s="176">
        <v>0</v>
      </c>
      <c r="R124" s="176">
        <v>0</v>
      </c>
      <c r="S124" s="176">
        <v>0</v>
      </c>
      <c r="T124" s="176">
        <v>0</v>
      </c>
      <c r="U124" s="176">
        <v>0</v>
      </c>
      <c r="V124" s="176">
        <v>0</v>
      </c>
      <c r="W124" s="176">
        <v>0</v>
      </c>
      <c r="X124" s="176">
        <v>0</v>
      </c>
      <c r="Y124" s="176">
        <v>0</v>
      </c>
      <c r="Z124" s="176">
        <v>0</v>
      </c>
      <c r="AA124" s="176">
        <v>0</v>
      </c>
      <c r="AB124" s="176">
        <v>0</v>
      </c>
      <c r="AC124" s="176">
        <v>0</v>
      </c>
      <c r="AD124" s="176">
        <v>0</v>
      </c>
      <c r="AE124" s="176">
        <v>0</v>
      </c>
    </row>
    <row r="125" spans="3:31">
      <c r="C125" s="1593" t="s">
        <v>839</v>
      </c>
      <c r="E125" s="1593" t="s">
        <v>29</v>
      </c>
      <c r="F125" s="1593" t="s">
        <v>814</v>
      </c>
      <c r="G125" s="1610" t="s">
        <v>840</v>
      </c>
      <c r="H125" s="1063">
        <f>IF(G125="","",IF(ISNA(MATCH(G125,G$109:G124,0)),1+MAX(H$109:H124),0))</f>
        <v>9</v>
      </c>
      <c r="I125" s="220"/>
      <c r="J125" s="220"/>
      <c r="K125" s="148"/>
      <c r="L125" s="176">
        <v>0</v>
      </c>
      <c r="M125" s="176">
        <v>0</v>
      </c>
      <c r="N125" s="176">
        <v>0</v>
      </c>
      <c r="O125" s="176">
        <v>0</v>
      </c>
      <c r="P125" s="1591">
        <v>949</v>
      </c>
      <c r="Q125" s="1592">
        <v>809.49699999999996</v>
      </c>
      <c r="R125" s="1592">
        <v>875.92700000000002</v>
      </c>
      <c r="S125" s="1592">
        <v>873.08</v>
      </c>
      <c r="T125" s="1592">
        <v>857.3646</v>
      </c>
      <c r="U125" s="1592">
        <v>843.64670000000001</v>
      </c>
      <c r="V125" s="176">
        <v>0</v>
      </c>
      <c r="W125" s="176">
        <v>0</v>
      </c>
      <c r="X125" s="176">
        <v>0</v>
      </c>
      <c r="Y125" s="176">
        <v>0</v>
      </c>
      <c r="Z125" s="176">
        <v>0</v>
      </c>
      <c r="AA125" s="176">
        <v>0</v>
      </c>
      <c r="AB125" s="176">
        <v>0</v>
      </c>
      <c r="AC125" s="176">
        <v>0</v>
      </c>
      <c r="AD125" s="176">
        <v>0</v>
      </c>
      <c r="AE125" s="176">
        <v>0</v>
      </c>
    </row>
    <row r="126" spans="3:31">
      <c r="C126" s="1593" t="s">
        <v>841</v>
      </c>
      <c r="E126" s="1593" t="s">
        <v>29</v>
      </c>
      <c r="F126" s="1593" t="s">
        <v>814</v>
      </c>
      <c r="G126" s="1610" t="s">
        <v>820</v>
      </c>
      <c r="H126" s="1063">
        <f>IF(G126="","",IF(ISNA(MATCH(G126,G$109:G125,0)),1+MAX(H$109:H125),0))</f>
        <v>0</v>
      </c>
      <c r="I126" s="220"/>
      <c r="J126" s="220"/>
      <c r="K126" s="148"/>
      <c r="L126" s="176">
        <v>0</v>
      </c>
      <c r="M126" s="176">
        <v>0</v>
      </c>
      <c r="N126" s="176">
        <v>0</v>
      </c>
      <c r="O126" s="176">
        <v>0</v>
      </c>
      <c r="P126" s="176">
        <v>0</v>
      </c>
      <c r="Q126" s="176">
        <v>0</v>
      </c>
      <c r="R126" s="176">
        <v>0</v>
      </c>
      <c r="S126" s="1592">
        <v>332</v>
      </c>
      <c r="T126" s="1592">
        <v>332</v>
      </c>
      <c r="U126" s="1592">
        <v>332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176">
        <v>0</v>
      </c>
      <c r="AD126" s="176">
        <v>0</v>
      </c>
      <c r="AE126" s="176">
        <v>0</v>
      </c>
    </row>
    <row r="127" spans="3:31">
      <c r="C127" s="1593" t="s">
        <v>842</v>
      </c>
      <c r="E127" s="1593" t="s">
        <v>29</v>
      </c>
      <c r="F127" s="1593" t="s">
        <v>814</v>
      </c>
      <c r="G127" s="1610" t="s">
        <v>842</v>
      </c>
      <c r="H127" s="1063">
        <f>IF(G127="","",IF(ISNA(MATCH(G127,G$109:G126,0)),1+MAX(H$109:H126),0))</f>
        <v>10</v>
      </c>
      <c r="I127" s="220"/>
      <c r="J127" s="220"/>
      <c r="K127" s="148"/>
      <c r="L127" s="176">
        <v>0</v>
      </c>
      <c r="M127" s="176">
        <v>0</v>
      </c>
      <c r="N127" s="176">
        <v>0</v>
      </c>
      <c r="O127" s="176">
        <v>0</v>
      </c>
      <c r="P127" s="176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176">
        <v>0</v>
      </c>
      <c r="AD127" s="176">
        <v>0</v>
      </c>
      <c r="AE127" s="176">
        <v>0</v>
      </c>
    </row>
    <row r="128" spans="3:31">
      <c r="C128" s="1593" t="s">
        <v>843</v>
      </c>
      <c r="E128" s="1593" t="s">
        <v>29</v>
      </c>
      <c r="F128" s="1593" t="s">
        <v>814</v>
      </c>
      <c r="G128" s="1610" t="s">
        <v>820</v>
      </c>
      <c r="H128" s="1063">
        <f>IF(G128="","",IF(ISNA(MATCH(G128,G$109:G127,0)),1+MAX(H$109:H127),0))</f>
        <v>0</v>
      </c>
      <c r="I128" s="220"/>
      <c r="J128" s="220"/>
      <c r="K128" s="148"/>
      <c r="L128" s="176">
        <v>0</v>
      </c>
      <c r="M128" s="176">
        <v>0</v>
      </c>
      <c r="N128" s="176">
        <v>0</v>
      </c>
      <c r="O128" s="176">
        <v>0</v>
      </c>
      <c r="P128" s="1591">
        <v>538</v>
      </c>
      <c r="Q128" s="1592">
        <v>458.91399999999999</v>
      </c>
      <c r="R128" s="1592">
        <v>496.57400000000001</v>
      </c>
      <c r="S128" s="1592">
        <v>538</v>
      </c>
      <c r="T128" s="1592">
        <v>538</v>
      </c>
      <c r="U128" s="1592">
        <v>538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176">
        <v>0</v>
      </c>
      <c r="AD128" s="176">
        <v>0</v>
      </c>
      <c r="AE128" s="176">
        <v>0</v>
      </c>
    </row>
    <row r="129" spans="3:31">
      <c r="C129" s="1593" t="s">
        <v>844</v>
      </c>
      <c r="E129" s="1593" t="s">
        <v>29</v>
      </c>
      <c r="F129" s="1593" t="s">
        <v>814</v>
      </c>
      <c r="G129" s="1610" t="s">
        <v>820</v>
      </c>
      <c r="H129" s="1063">
        <f>IF(G129="","",IF(ISNA(MATCH(G129,G$109:G128,0)),1+MAX(H$109:H128),0))</f>
        <v>0</v>
      </c>
      <c r="I129" s="220"/>
      <c r="J129" s="220"/>
      <c r="K129" s="148"/>
      <c r="L129" s="176">
        <v>0</v>
      </c>
      <c r="M129" s="176">
        <v>0</v>
      </c>
      <c r="N129" s="176">
        <v>0</v>
      </c>
      <c r="O129" s="176">
        <v>0</v>
      </c>
      <c r="P129" s="176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176">
        <v>0</v>
      </c>
      <c r="AD129" s="176">
        <v>0</v>
      </c>
      <c r="AE129" s="176">
        <v>0</v>
      </c>
    </row>
    <row r="130" spans="3:31" s="36" customFormat="1">
      <c r="C130" s="1593" t="s">
        <v>845</v>
      </c>
      <c r="E130" s="1593" t="s">
        <v>29</v>
      </c>
      <c r="F130" s="1593" t="s">
        <v>814</v>
      </c>
      <c r="G130" s="1610" t="s">
        <v>820</v>
      </c>
      <c r="H130" s="1063">
        <f>IF(G130="","",IF(ISNA(MATCH(G130,G$109:G129,0)),1+MAX(H$109:H129),0))</f>
        <v>0</v>
      </c>
      <c r="I130" s="220"/>
      <c r="J130" s="220"/>
      <c r="K130" s="148"/>
      <c r="L130" s="176">
        <v>0</v>
      </c>
      <c r="M130" s="176">
        <v>0</v>
      </c>
      <c r="N130" s="176">
        <v>0</v>
      </c>
      <c r="O130" s="176">
        <v>0</v>
      </c>
      <c r="P130" s="176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176">
        <v>0</v>
      </c>
      <c r="AD130" s="176">
        <v>0</v>
      </c>
      <c r="AE130" s="176">
        <v>0</v>
      </c>
    </row>
    <row r="131" spans="3:31" s="36" customFormat="1">
      <c r="C131" s="1593" t="s">
        <v>846</v>
      </c>
      <c r="E131" s="1593" t="s">
        <v>29</v>
      </c>
      <c r="F131" s="1593" t="s">
        <v>814</v>
      </c>
      <c r="G131" s="1610" t="s">
        <v>820</v>
      </c>
      <c r="H131" s="1063">
        <f>IF(G131="","",IF(ISNA(MATCH(G131,G$109:G130,0)),1+MAX(H$109:H130),0))</f>
        <v>0</v>
      </c>
      <c r="I131" s="220"/>
      <c r="J131" s="220"/>
      <c r="K131" s="148"/>
      <c r="L131" s="176">
        <v>0</v>
      </c>
      <c r="M131" s="176">
        <v>0</v>
      </c>
      <c r="N131" s="176">
        <v>0</v>
      </c>
      <c r="O131" s="176">
        <v>0</v>
      </c>
      <c r="P131" s="176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176">
        <v>0</v>
      </c>
      <c r="AD131" s="176">
        <v>0</v>
      </c>
      <c r="AE131" s="176">
        <v>0</v>
      </c>
    </row>
    <row r="132" spans="3:31" s="36" customFormat="1">
      <c r="C132" s="1593" t="s">
        <v>847</v>
      </c>
      <c r="E132" s="1593" t="s">
        <v>29</v>
      </c>
      <c r="F132" s="1593" t="s">
        <v>814</v>
      </c>
      <c r="G132" s="1610" t="s">
        <v>820</v>
      </c>
      <c r="H132" s="1063">
        <f>IF(G132="","",IF(ISNA(MATCH(G132,G$109:G131,0)),1+MAX(H$109:H131),0))</f>
        <v>0</v>
      </c>
      <c r="I132" s="220"/>
      <c r="J132" s="220"/>
      <c r="K132" s="148"/>
      <c r="L132" s="176">
        <v>0</v>
      </c>
      <c r="M132" s="176">
        <v>0</v>
      </c>
      <c r="N132" s="176">
        <v>0</v>
      </c>
      <c r="O132" s="176">
        <v>0</v>
      </c>
      <c r="P132" s="1591">
        <v>355</v>
      </c>
      <c r="Q132" s="1592">
        <v>302.815</v>
      </c>
      <c r="R132" s="1592">
        <v>327.66500000000002</v>
      </c>
      <c r="S132" s="1592">
        <v>355</v>
      </c>
      <c r="T132" s="1592">
        <v>355</v>
      </c>
      <c r="U132" s="1592">
        <v>355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176">
        <v>0</v>
      </c>
      <c r="AD132" s="176">
        <v>0</v>
      </c>
      <c r="AE132" s="176">
        <v>0</v>
      </c>
    </row>
    <row r="133" spans="3:31">
      <c r="C133" s="1593" t="s">
        <v>848</v>
      </c>
      <c r="E133" s="1593" t="s">
        <v>29</v>
      </c>
      <c r="F133" s="1593" t="s">
        <v>814</v>
      </c>
      <c r="G133" s="1610" t="s">
        <v>820</v>
      </c>
      <c r="H133" s="1063">
        <f>IF(G133="","",IF(ISNA(MATCH(G133,G$109:G132,0)),1+MAX(H$109:H132),0))</f>
        <v>0</v>
      </c>
      <c r="I133" s="220"/>
      <c r="J133" s="220"/>
      <c r="K133" s="148"/>
      <c r="L133" s="176">
        <v>0</v>
      </c>
      <c r="M133" s="176">
        <v>0</v>
      </c>
      <c r="N133" s="176">
        <v>0</v>
      </c>
      <c r="O133" s="176">
        <v>0</v>
      </c>
      <c r="P133" s="1591">
        <v>523</v>
      </c>
      <c r="Q133" s="1592">
        <v>446.11900000000003</v>
      </c>
      <c r="R133" s="1592">
        <v>482.72899999999998</v>
      </c>
      <c r="S133" s="1592">
        <v>523</v>
      </c>
      <c r="T133" s="1592">
        <v>523</v>
      </c>
      <c r="U133" s="1592">
        <v>523</v>
      </c>
      <c r="V133" s="176">
        <v>0</v>
      </c>
      <c r="W133" s="176">
        <v>0</v>
      </c>
      <c r="X133" s="176">
        <v>0</v>
      </c>
      <c r="Y133" s="176">
        <v>0</v>
      </c>
      <c r="Z133" s="176">
        <v>0</v>
      </c>
      <c r="AA133" s="176">
        <v>0</v>
      </c>
      <c r="AB133" s="176">
        <v>0</v>
      </c>
      <c r="AC133" s="176">
        <v>0</v>
      </c>
      <c r="AD133" s="176">
        <v>0</v>
      </c>
      <c r="AE133" s="176">
        <v>0</v>
      </c>
    </row>
    <row r="134" spans="3:31">
      <c r="C134" s="1593" t="s">
        <v>831</v>
      </c>
      <c r="E134" s="1593" t="s">
        <v>29</v>
      </c>
      <c r="F134" s="1593" t="s">
        <v>814</v>
      </c>
      <c r="G134" s="1610" t="s">
        <v>820</v>
      </c>
      <c r="H134" s="1063">
        <f>IF(G134="","",IF(ISNA(MATCH(G134,G$109:G133,0)),1+MAX(H$109:H133),0))</f>
        <v>0</v>
      </c>
      <c r="I134" s="220"/>
      <c r="J134" s="220"/>
      <c r="K134" s="148"/>
      <c r="L134" s="176">
        <v>0</v>
      </c>
      <c r="M134" s="176">
        <v>0</v>
      </c>
      <c r="N134" s="176">
        <v>0</v>
      </c>
      <c r="O134" s="176">
        <v>0</v>
      </c>
      <c r="P134" s="1602">
        <v>3794</v>
      </c>
      <c r="Q134" s="1603">
        <v>3236.2820000000002</v>
      </c>
      <c r="R134" s="1603">
        <v>3501.8620000000001</v>
      </c>
      <c r="S134" s="1603">
        <v>3794</v>
      </c>
      <c r="T134" s="1603">
        <v>3794</v>
      </c>
      <c r="U134" s="1603">
        <v>3794</v>
      </c>
      <c r="V134" s="176">
        <v>0</v>
      </c>
      <c r="W134" s="176">
        <v>0</v>
      </c>
      <c r="X134" s="176">
        <v>0</v>
      </c>
      <c r="Y134" s="176">
        <v>0</v>
      </c>
      <c r="Z134" s="176">
        <v>0</v>
      </c>
      <c r="AA134" s="176">
        <v>0</v>
      </c>
      <c r="AB134" s="176">
        <v>0</v>
      </c>
      <c r="AC134" s="176">
        <v>0</v>
      </c>
      <c r="AD134" s="176">
        <v>0</v>
      </c>
      <c r="AE134" s="176">
        <v>0</v>
      </c>
    </row>
    <row r="135" spans="3:31">
      <c r="C135" s="1593" t="s">
        <v>849</v>
      </c>
      <c r="E135" s="1593" t="s">
        <v>29</v>
      </c>
      <c r="F135" s="1593" t="s">
        <v>814</v>
      </c>
      <c r="G135" s="1610" t="s">
        <v>849</v>
      </c>
      <c r="H135" s="1063">
        <f>IF(G135="","",IF(ISNA(MATCH(G135,G$109:G134,0)),1+MAX(H$109:H134),0))</f>
        <v>11</v>
      </c>
      <c r="I135" s="220"/>
      <c r="J135" s="220"/>
      <c r="K135" s="148"/>
      <c r="L135" s="176">
        <v>0</v>
      </c>
      <c r="M135" s="176">
        <v>0</v>
      </c>
      <c r="N135" s="176">
        <v>0</v>
      </c>
      <c r="O135" s="176">
        <v>0</v>
      </c>
      <c r="P135" s="1602">
        <v>11839</v>
      </c>
      <c r="Q135" s="1603">
        <v>10098.666999999999</v>
      </c>
      <c r="R135" s="1603">
        <v>10927.397000000001</v>
      </c>
      <c r="S135" s="1603">
        <v>11526.9925</v>
      </c>
      <c r="T135" s="1603">
        <v>12794.9751</v>
      </c>
      <c r="U135" s="1603">
        <v>13437.1085</v>
      </c>
      <c r="V135" s="176">
        <v>0</v>
      </c>
      <c r="W135" s="176">
        <v>0</v>
      </c>
      <c r="X135" s="176">
        <v>0</v>
      </c>
      <c r="Y135" s="176">
        <v>0</v>
      </c>
      <c r="Z135" s="176">
        <v>0</v>
      </c>
      <c r="AA135" s="176">
        <v>0</v>
      </c>
      <c r="AB135" s="176">
        <v>0</v>
      </c>
      <c r="AC135" s="176">
        <v>0</v>
      </c>
      <c r="AD135" s="176">
        <v>0</v>
      </c>
      <c r="AE135" s="176">
        <v>0</v>
      </c>
    </row>
    <row r="136" spans="3:31">
      <c r="G136" s="1062"/>
      <c r="H136" s="1063" t="str">
        <f>IF(G136="","",IF(ISNA(MATCH(G136,G$109:G135,0)),1+MAX(H$109:H135),0))</f>
        <v/>
      </c>
      <c r="I136" s="220"/>
      <c r="J136" s="220"/>
      <c r="L136" s="176">
        <v>0</v>
      </c>
      <c r="M136" s="176">
        <v>0</v>
      </c>
      <c r="N136" s="176">
        <v>0</v>
      </c>
      <c r="O136" s="176">
        <v>0</v>
      </c>
      <c r="P136" s="176">
        <v>0</v>
      </c>
      <c r="Q136" s="176">
        <v>0</v>
      </c>
      <c r="R136" s="176">
        <v>0</v>
      </c>
      <c r="S136" s="176">
        <v>0</v>
      </c>
      <c r="T136" s="176">
        <v>0</v>
      </c>
      <c r="U136" s="176">
        <v>0</v>
      </c>
      <c r="V136" s="176">
        <v>0</v>
      </c>
      <c r="W136" s="176">
        <v>0</v>
      </c>
      <c r="X136" s="176">
        <v>0</v>
      </c>
      <c r="Y136" s="176">
        <v>0</v>
      </c>
      <c r="Z136" s="176">
        <v>0</v>
      </c>
      <c r="AA136" s="176">
        <v>0</v>
      </c>
      <c r="AB136" s="176">
        <v>0</v>
      </c>
      <c r="AC136" s="176">
        <v>0</v>
      </c>
      <c r="AD136" s="176">
        <v>0</v>
      </c>
      <c r="AE136" s="176">
        <v>0</v>
      </c>
    </row>
    <row r="137" spans="3:31">
      <c r="G137" s="1062"/>
      <c r="H137" s="1063" t="str">
        <f>IF(G137="","",IF(ISNA(MATCH(G137,G$109:G136,0)),1+MAX(H$109:H136),0))</f>
        <v/>
      </c>
      <c r="I137" s="220"/>
      <c r="J137" s="220"/>
      <c r="L137" s="176">
        <v>0</v>
      </c>
      <c r="M137" s="176">
        <v>0</v>
      </c>
      <c r="N137" s="176">
        <v>0</v>
      </c>
      <c r="O137" s="176">
        <v>0</v>
      </c>
      <c r="P137" s="176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176">
        <v>0</v>
      </c>
      <c r="AD137" s="176">
        <v>0</v>
      </c>
      <c r="AE137" s="176">
        <v>0</v>
      </c>
    </row>
    <row r="138" spans="3:31">
      <c r="G138" s="1062"/>
      <c r="H138" s="1063" t="str">
        <f>IF(G138="","",IF(ISNA(MATCH(G138,G$109:G137,0)),1+MAX(H$109:H137),0))</f>
        <v/>
      </c>
      <c r="I138" s="220"/>
      <c r="J138" s="220"/>
      <c r="L138" s="176">
        <v>0</v>
      </c>
      <c r="M138" s="176">
        <v>0</v>
      </c>
      <c r="N138" s="176">
        <v>0</v>
      </c>
      <c r="O138" s="176">
        <v>0</v>
      </c>
      <c r="P138" s="176">
        <v>0</v>
      </c>
      <c r="Q138" s="176">
        <v>0</v>
      </c>
      <c r="R138" s="176">
        <v>0</v>
      </c>
      <c r="S138" s="176">
        <v>0</v>
      </c>
      <c r="T138" s="176">
        <v>0</v>
      </c>
      <c r="U138" s="176">
        <v>0</v>
      </c>
      <c r="V138" s="176">
        <v>0</v>
      </c>
      <c r="W138" s="176">
        <v>0</v>
      </c>
      <c r="X138" s="176">
        <v>0</v>
      </c>
      <c r="Y138" s="176">
        <v>0</v>
      </c>
      <c r="Z138" s="176">
        <v>0</v>
      </c>
      <c r="AA138" s="176">
        <v>0</v>
      </c>
      <c r="AB138" s="176">
        <v>0</v>
      </c>
      <c r="AC138" s="176">
        <v>0</v>
      </c>
      <c r="AD138" s="176">
        <v>0</v>
      </c>
      <c r="AE138" s="176">
        <v>0</v>
      </c>
    </row>
    <row r="139" spans="3:31">
      <c r="G139" s="1062"/>
      <c r="H139" s="1063" t="str">
        <f>IF(G139="","",IF(ISNA(MATCH(G139,G$109:G138,0)),1+MAX(H$109:H138),0))</f>
        <v/>
      </c>
      <c r="I139" s="220"/>
      <c r="J139" s="220"/>
      <c r="L139" s="176">
        <v>0</v>
      </c>
      <c r="M139" s="176">
        <v>0</v>
      </c>
      <c r="N139" s="176">
        <v>0</v>
      </c>
      <c r="O139" s="176">
        <v>0</v>
      </c>
      <c r="P139" s="176">
        <v>0</v>
      </c>
      <c r="Q139" s="176">
        <v>0</v>
      </c>
      <c r="R139" s="176">
        <v>0</v>
      </c>
      <c r="S139" s="176">
        <v>0</v>
      </c>
      <c r="T139" s="176">
        <v>0</v>
      </c>
      <c r="U139" s="176">
        <v>0</v>
      </c>
      <c r="V139" s="176">
        <v>0</v>
      </c>
      <c r="W139" s="176">
        <v>0</v>
      </c>
      <c r="X139" s="176">
        <v>0</v>
      </c>
      <c r="Y139" s="176">
        <v>0</v>
      </c>
      <c r="Z139" s="176">
        <v>0</v>
      </c>
      <c r="AA139" s="176">
        <v>0</v>
      </c>
      <c r="AB139" s="176">
        <v>0</v>
      </c>
      <c r="AC139" s="176">
        <v>0</v>
      </c>
      <c r="AD139" s="176">
        <v>0</v>
      </c>
      <c r="AE139" s="176">
        <v>0</v>
      </c>
    </row>
    <row r="140" spans="3:31">
      <c r="G140" s="1062"/>
      <c r="H140" s="1063" t="str">
        <f>IF(G140="","",IF(ISNA(MATCH(G140,G$109:G139,0)),1+MAX(H$109:H139),0))</f>
        <v/>
      </c>
      <c r="I140" s="220"/>
      <c r="J140" s="220"/>
      <c r="L140" s="176">
        <v>0</v>
      </c>
      <c r="M140" s="176">
        <v>0</v>
      </c>
      <c r="N140" s="176">
        <v>0</v>
      </c>
      <c r="O140" s="176">
        <v>0</v>
      </c>
      <c r="P140" s="176">
        <v>0</v>
      </c>
      <c r="Q140" s="176">
        <v>0</v>
      </c>
      <c r="R140" s="176">
        <v>0</v>
      </c>
      <c r="S140" s="176">
        <v>0</v>
      </c>
      <c r="T140" s="176">
        <v>0</v>
      </c>
      <c r="U140" s="176">
        <v>0</v>
      </c>
      <c r="V140" s="176">
        <v>0</v>
      </c>
      <c r="W140" s="176">
        <v>0</v>
      </c>
      <c r="X140" s="176">
        <v>0</v>
      </c>
      <c r="Y140" s="176">
        <v>0</v>
      </c>
      <c r="Z140" s="176">
        <v>0</v>
      </c>
      <c r="AA140" s="176">
        <v>0</v>
      </c>
      <c r="AB140" s="176">
        <v>0</v>
      </c>
      <c r="AC140" s="176">
        <v>0</v>
      </c>
      <c r="AD140" s="176">
        <v>0</v>
      </c>
      <c r="AE140" s="176">
        <v>0</v>
      </c>
    </row>
    <row r="141" spans="3:31">
      <c r="G141" s="1062"/>
      <c r="H141" s="1063" t="str">
        <f>IF(G141="","",IF(ISNA(MATCH(G141,G$109:G140,0)),1+MAX(H$109:H140),0))</f>
        <v/>
      </c>
      <c r="I141" s="220"/>
      <c r="J141" s="220"/>
      <c r="L141" s="176">
        <v>0</v>
      </c>
      <c r="M141" s="176">
        <v>0</v>
      </c>
      <c r="N141" s="176">
        <v>0</v>
      </c>
      <c r="O141" s="176">
        <v>0</v>
      </c>
      <c r="P141" s="176">
        <v>0</v>
      </c>
      <c r="Q141" s="176">
        <v>0</v>
      </c>
      <c r="R141" s="176">
        <v>0</v>
      </c>
      <c r="S141" s="176">
        <v>0</v>
      </c>
      <c r="T141" s="176">
        <v>0</v>
      </c>
      <c r="U141" s="176">
        <v>0</v>
      </c>
      <c r="V141" s="176">
        <v>0</v>
      </c>
      <c r="W141" s="176">
        <v>0</v>
      </c>
      <c r="X141" s="176">
        <v>0</v>
      </c>
      <c r="Y141" s="176">
        <v>0</v>
      </c>
      <c r="Z141" s="176">
        <v>0</v>
      </c>
      <c r="AA141" s="176">
        <v>0</v>
      </c>
      <c r="AB141" s="176">
        <v>0</v>
      </c>
      <c r="AC141" s="176">
        <v>0</v>
      </c>
      <c r="AD141" s="176">
        <v>0</v>
      </c>
      <c r="AE141" s="176">
        <v>0</v>
      </c>
    </row>
    <row r="142" spans="3:31" ht="10.9" customHeight="1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</row>
    <row r="143" spans="3:31">
      <c r="C143" s="17" t="s">
        <v>850</v>
      </c>
      <c r="D143" s="17"/>
      <c r="E143" s="3" t="s">
        <v>29</v>
      </c>
      <c r="F143" s="17"/>
      <c r="G143" s="17"/>
      <c r="I143" s="224">
        <f>SUM(Q186:U186)/SUM(Q143:U143)</f>
        <v>0.81579510039158165</v>
      </c>
      <c r="J143" s="225">
        <f>SUM(Q228:U228)/SUM(Q143:U143)</f>
        <v>0.18420489960841832</v>
      </c>
      <c r="K143" s="156"/>
      <c r="L143" s="27">
        <f t="shared" ref="L143:AE143" si="16">SUM(L110:L141)*(L$107="")+L$107</f>
        <v>0</v>
      </c>
      <c r="M143" s="27">
        <f t="shared" si="16"/>
        <v>0</v>
      </c>
      <c r="N143" s="27">
        <f t="shared" si="16"/>
        <v>0</v>
      </c>
      <c r="O143" s="27">
        <f t="shared" si="16"/>
        <v>0</v>
      </c>
      <c r="P143" s="27">
        <f t="shared" si="16"/>
        <v>31694</v>
      </c>
      <c r="Q143" s="27">
        <f t="shared" si="16"/>
        <v>27034.981999999996</v>
      </c>
      <c r="R143" s="27">
        <f t="shared" si="16"/>
        <v>29253.562000000002</v>
      </c>
      <c r="S143" s="27">
        <f t="shared" si="16"/>
        <v>32199.8737</v>
      </c>
      <c r="T143" s="27">
        <f t="shared" si="16"/>
        <v>33551.666700000002</v>
      </c>
      <c r="U143" s="27">
        <f t="shared" si="16"/>
        <v>34185.814400000003</v>
      </c>
      <c r="V143" s="27">
        <f t="shared" si="16"/>
        <v>0</v>
      </c>
      <c r="W143" s="27">
        <f t="shared" si="16"/>
        <v>0</v>
      </c>
      <c r="X143" s="27">
        <f t="shared" si="16"/>
        <v>0</v>
      </c>
      <c r="Y143" s="27">
        <f t="shared" si="16"/>
        <v>0</v>
      </c>
      <c r="Z143" s="27">
        <f t="shared" si="16"/>
        <v>0</v>
      </c>
      <c r="AA143" s="27">
        <f t="shared" si="16"/>
        <v>0</v>
      </c>
      <c r="AB143" s="27">
        <f t="shared" si="16"/>
        <v>0</v>
      </c>
      <c r="AC143" s="27">
        <f t="shared" si="16"/>
        <v>0</v>
      </c>
      <c r="AD143" s="27">
        <f t="shared" si="16"/>
        <v>0</v>
      </c>
      <c r="AE143" s="27">
        <f t="shared" si="16"/>
        <v>0</v>
      </c>
    </row>
    <row r="144" spans="3:31">
      <c r="P144" s="150"/>
      <c r="Q144" s="150"/>
      <c r="R144" s="150"/>
      <c r="S144" s="150"/>
      <c r="T144" s="150"/>
      <c r="U144" s="150"/>
    </row>
    <row r="145" spans="2:31">
      <c r="L145" s="26"/>
      <c r="M145" s="26"/>
      <c r="N145" s="26"/>
      <c r="O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2:31">
      <c r="B146" s="152" t="s">
        <v>150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22"/>
      <c r="R146" s="222"/>
      <c r="S146" s="222"/>
      <c r="T146" s="222"/>
      <c r="U146" s="222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8" spans="2:31" ht="13.5" thickBot="1">
      <c r="C148" s="7" t="s">
        <v>852</v>
      </c>
      <c r="D148" s="7"/>
      <c r="E148" s="7"/>
      <c r="F148" s="7"/>
      <c r="G148" s="7"/>
      <c r="H148" s="7"/>
      <c r="I148" s="7"/>
      <c r="J148" s="7"/>
      <c r="K148" s="7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</row>
    <row r="149" spans="2:31" outlineLevel="1">
      <c r="C149" s="983" t="str">
        <f t="shared" ref="C149:C180" si="17">C110</f>
        <v>Travel</v>
      </c>
      <c r="E149" s="3" t="s">
        <v>43</v>
      </c>
      <c r="L149" s="219">
        <v>0</v>
      </c>
      <c r="M149" s="219">
        <v>0</v>
      </c>
      <c r="N149" s="219">
        <v>0</v>
      </c>
      <c r="O149" s="219">
        <v>0</v>
      </c>
      <c r="P149" s="1598">
        <v>0.85747660000000003</v>
      </c>
      <c r="Q149" s="1599">
        <v>0.87032419999999999</v>
      </c>
      <c r="R149" s="1599">
        <v>0.83887469999999997</v>
      </c>
      <c r="S149" s="1599">
        <v>0.83917339999999996</v>
      </c>
      <c r="T149" s="1599">
        <v>0.83965239999999997</v>
      </c>
      <c r="U149" s="1599">
        <v>0.83956039999999998</v>
      </c>
      <c r="V149" s="219">
        <v>0</v>
      </c>
      <c r="W149" s="219">
        <v>0</v>
      </c>
      <c r="X149" s="219">
        <v>0</v>
      </c>
      <c r="Y149" s="219">
        <v>0</v>
      </c>
      <c r="Z149" s="219">
        <v>0</v>
      </c>
      <c r="AA149" s="219">
        <v>0</v>
      </c>
      <c r="AB149" s="219">
        <v>0</v>
      </c>
      <c r="AC149" s="219">
        <v>0</v>
      </c>
      <c r="AD149" s="219">
        <v>0</v>
      </c>
      <c r="AE149" s="219">
        <v>0</v>
      </c>
    </row>
    <row r="150" spans="2:31" outlineLevel="1">
      <c r="C150" s="983" t="str">
        <f t="shared" si="17"/>
        <v>Training (Redected)</v>
      </c>
      <c r="E150" s="3" t="s">
        <v>43</v>
      </c>
      <c r="L150" s="219">
        <v>0</v>
      </c>
      <c r="M150" s="219">
        <v>0</v>
      </c>
      <c r="N150" s="219">
        <v>0</v>
      </c>
      <c r="O150" s="219">
        <v>0</v>
      </c>
      <c r="P150" s="1604" t="s">
        <v>824</v>
      </c>
      <c r="Q150" s="1605" t="s">
        <v>824</v>
      </c>
      <c r="R150" s="1605" t="s">
        <v>824</v>
      </c>
      <c r="S150" s="1605" t="s">
        <v>824</v>
      </c>
      <c r="T150" s="1605" t="s">
        <v>824</v>
      </c>
      <c r="U150" s="1605" t="s">
        <v>824</v>
      </c>
      <c r="V150" s="219">
        <v>0</v>
      </c>
      <c r="W150" s="219">
        <v>0</v>
      </c>
      <c r="X150" s="219">
        <v>0</v>
      </c>
      <c r="Y150" s="219">
        <v>0</v>
      </c>
      <c r="Z150" s="219">
        <v>0</v>
      </c>
      <c r="AA150" s="219">
        <v>0</v>
      </c>
      <c r="AB150" s="219">
        <v>0</v>
      </c>
      <c r="AC150" s="219">
        <v>0</v>
      </c>
      <c r="AD150" s="219">
        <v>0</v>
      </c>
      <c r="AE150" s="219">
        <v>0</v>
      </c>
    </row>
    <row r="151" spans="2:31" outlineLevel="1">
      <c r="C151" s="983" t="str">
        <f t="shared" si="17"/>
        <v>Utilities</v>
      </c>
      <c r="E151" s="3" t="s">
        <v>43</v>
      </c>
      <c r="L151" s="219">
        <v>0</v>
      </c>
      <c r="M151" s="219">
        <v>0</v>
      </c>
      <c r="N151" s="219">
        <v>0</v>
      </c>
      <c r="O151" s="219">
        <v>0</v>
      </c>
      <c r="P151" s="1600">
        <v>0.85</v>
      </c>
      <c r="Q151" s="1601">
        <v>0.7765957</v>
      </c>
      <c r="R151" s="1601">
        <v>0.76650560000000001</v>
      </c>
      <c r="S151" s="1601">
        <v>0.76850390000000002</v>
      </c>
      <c r="T151" s="1601">
        <v>0.76850390000000002</v>
      </c>
      <c r="U151" s="1601">
        <v>0.76850390000000002</v>
      </c>
      <c r="V151" s="219">
        <v>0</v>
      </c>
      <c r="W151" s="219">
        <v>0</v>
      </c>
      <c r="X151" s="219">
        <v>0</v>
      </c>
      <c r="Y151" s="219">
        <v>0</v>
      </c>
      <c r="Z151" s="219">
        <v>0</v>
      </c>
      <c r="AA151" s="219">
        <v>0</v>
      </c>
      <c r="AB151" s="219">
        <v>0</v>
      </c>
      <c r="AC151" s="219">
        <v>0</v>
      </c>
      <c r="AD151" s="219">
        <v>0</v>
      </c>
      <c r="AE151" s="219">
        <v>0</v>
      </c>
    </row>
    <row r="152" spans="2:31" outlineLevel="1">
      <c r="C152" s="983" t="str">
        <f t="shared" si="17"/>
        <v>Telecoms (Redacted)</v>
      </c>
      <c r="E152" s="3" t="s">
        <v>43</v>
      </c>
      <c r="L152" s="219">
        <v>0</v>
      </c>
      <c r="M152" s="219">
        <v>0</v>
      </c>
      <c r="N152" s="219">
        <v>0</v>
      </c>
      <c r="O152" s="219">
        <v>0</v>
      </c>
      <c r="P152" s="1604" t="s">
        <v>824</v>
      </c>
      <c r="Q152" s="1605" t="s">
        <v>824</v>
      </c>
      <c r="R152" s="1605" t="s">
        <v>824</v>
      </c>
      <c r="S152" s="1605" t="s">
        <v>824</v>
      </c>
      <c r="T152" s="1605" t="s">
        <v>824</v>
      </c>
      <c r="U152" s="1605" t="s">
        <v>824</v>
      </c>
      <c r="V152" s="219">
        <v>0</v>
      </c>
      <c r="W152" s="219">
        <v>0</v>
      </c>
      <c r="X152" s="219">
        <v>0</v>
      </c>
      <c r="Y152" s="219">
        <v>0</v>
      </c>
      <c r="Z152" s="219">
        <v>0</v>
      </c>
      <c r="AA152" s="219">
        <v>0</v>
      </c>
      <c r="AB152" s="219">
        <v>0</v>
      </c>
      <c r="AC152" s="219">
        <v>0</v>
      </c>
      <c r="AD152" s="219">
        <v>0</v>
      </c>
      <c r="AE152" s="219">
        <v>0</v>
      </c>
    </row>
    <row r="153" spans="2:31" outlineLevel="1">
      <c r="C153" s="983" t="str">
        <f t="shared" si="17"/>
        <v>Maintenance</v>
      </c>
      <c r="E153" s="3" t="s">
        <v>43</v>
      </c>
      <c r="L153" s="219">
        <v>0</v>
      </c>
      <c r="M153" s="219">
        <v>0</v>
      </c>
      <c r="N153" s="219">
        <v>0</v>
      </c>
      <c r="O153" s="219">
        <v>0</v>
      </c>
      <c r="P153" s="1600">
        <v>0.80487799999999998</v>
      </c>
      <c r="Q153" s="1601">
        <v>0.79118770000000005</v>
      </c>
      <c r="R153" s="1601">
        <v>0.78252429999999995</v>
      </c>
      <c r="S153" s="1601">
        <v>0.78593630000000003</v>
      </c>
      <c r="T153" s="1601">
        <v>0.78676550000000001</v>
      </c>
      <c r="U153" s="1601">
        <v>0.78660660000000004</v>
      </c>
      <c r="V153" s="219">
        <v>0</v>
      </c>
      <c r="W153" s="219">
        <v>0</v>
      </c>
      <c r="X153" s="219">
        <v>0</v>
      </c>
      <c r="Y153" s="219">
        <v>0</v>
      </c>
      <c r="Z153" s="219">
        <v>0</v>
      </c>
      <c r="AA153" s="219">
        <v>0</v>
      </c>
      <c r="AB153" s="219">
        <v>0</v>
      </c>
      <c r="AC153" s="219">
        <v>0</v>
      </c>
      <c r="AD153" s="219">
        <v>0</v>
      </c>
      <c r="AE153" s="219">
        <v>0</v>
      </c>
    </row>
    <row r="154" spans="2:31" outlineLevel="1">
      <c r="C154" s="983" t="str">
        <f t="shared" si="17"/>
        <v>Spares</v>
      </c>
      <c r="E154" s="3" t="s">
        <v>43</v>
      </c>
      <c r="L154" s="219">
        <v>0</v>
      </c>
      <c r="M154" s="219">
        <v>0</v>
      </c>
      <c r="N154" s="219">
        <v>0</v>
      </c>
      <c r="O154" s="219">
        <v>0</v>
      </c>
      <c r="P154" s="1600">
        <v>0.80487799999999998</v>
      </c>
      <c r="Q154" s="1601">
        <v>0.79118770000000005</v>
      </c>
      <c r="R154" s="1601">
        <v>0.78252429999999995</v>
      </c>
      <c r="S154" s="1601">
        <v>0.78593630000000003</v>
      </c>
      <c r="T154" s="1601">
        <v>0.78676550000000001</v>
      </c>
      <c r="U154" s="1601">
        <v>0.78660660000000004</v>
      </c>
      <c r="V154" s="219">
        <v>0</v>
      </c>
      <c r="W154" s="219">
        <v>0</v>
      </c>
      <c r="X154" s="219">
        <v>0</v>
      </c>
      <c r="Y154" s="219">
        <v>0</v>
      </c>
      <c r="Z154" s="219">
        <v>0</v>
      </c>
      <c r="AA154" s="219">
        <v>0</v>
      </c>
      <c r="AB154" s="219">
        <v>0</v>
      </c>
      <c r="AC154" s="219">
        <v>0</v>
      </c>
      <c r="AD154" s="219">
        <v>0</v>
      </c>
      <c r="AE154" s="219">
        <v>0</v>
      </c>
    </row>
    <row r="155" spans="2:31" outlineLevel="1">
      <c r="C155" s="983" t="str">
        <f t="shared" si="17"/>
        <v>Power</v>
      </c>
      <c r="E155" s="3" t="s">
        <v>43</v>
      </c>
      <c r="L155" s="219">
        <v>0</v>
      </c>
      <c r="M155" s="219">
        <v>0</v>
      </c>
      <c r="N155" s="219">
        <v>0</v>
      </c>
      <c r="O155" s="219">
        <v>0</v>
      </c>
      <c r="P155" s="1600">
        <v>0.80487799999999998</v>
      </c>
      <c r="Q155" s="1601">
        <v>0.79118770000000005</v>
      </c>
      <c r="R155" s="1601">
        <v>0.78252429999999995</v>
      </c>
      <c r="S155" s="1601">
        <v>0.78593630000000003</v>
      </c>
      <c r="T155" s="1601">
        <v>0.78676550000000001</v>
      </c>
      <c r="U155" s="1601">
        <v>0.78660660000000004</v>
      </c>
      <c r="V155" s="219">
        <v>0</v>
      </c>
      <c r="W155" s="219">
        <v>0</v>
      </c>
      <c r="X155" s="219">
        <v>0</v>
      </c>
      <c r="Y155" s="219">
        <v>0</v>
      </c>
      <c r="Z155" s="219">
        <v>0</v>
      </c>
      <c r="AA155" s="219">
        <v>0</v>
      </c>
      <c r="AB155" s="219">
        <v>0</v>
      </c>
      <c r="AC155" s="219">
        <v>0</v>
      </c>
      <c r="AD155" s="219">
        <v>0</v>
      </c>
      <c r="AE155" s="219">
        <v>0</v>
      </c>
    </row>
    <row r="156" spans="2:31" outlineLevel="1">
      <c r="C156" s="983" t="str">
        <f t="shared" si="17"/>
        <v>Flight checking</v>
      </c>
      <c r="E156" s="3" t="s">
        <v>43</v>
      </c>
      <c r="L156" s="219">
        <v>0</v>
      </c>
      <c r="M156" s="219">
        <v>0</v>
      </c>
      <c r="N156" s="219">
        <v>0</v>
      </c>
      <c r="O156" s="219">
        <v>0</v>
      </c>
      <c r="P156" s="1604" t="s">
        <v>824</v>
      </c>
      <c r="Q156" s="1605" t="s">
        <v>824</v>
      </c>
      <c r="R156" s="1605" t="s">
        <v>824</v>
      </c>
      <c r="S156" s="1605" t="s">
        <v>824</v>
      </c>
      <c r="T156" s="1605" t="s">
        <v>824</v>
      </c>
      <c r="U156" s="1605" t="s">
        <v>824</v>
      </c>
      <c r="V156" s="219">
        <v>0</v>
      </c>
      <c r="W156" s="219">
        <v>0</v>
      </c>
      <c r="X156" s="219">
        <v>0</v>
      </c>
      <c r="Y156" s="219">
        <v>0</v>
      </c>
      <c r="Z156" s="219">
        <v>0</v>
      </c>
      <c r="AA156" s="219">
        <v>0</v>
      </c>
      <c r="AB156" s="219">
        <v>0</v>
      </c>
      <c r="AC156" s="219">
        <v>0</v>
      </c>
      <c r="AD156" s="219">
        <v>0</v>
      </c>
      <c r="AE156" s="219">
        <v>0</v>
      </c>
    </row>
    <row r="157" spans="2:31" outlineLevel="1">
      <c r="C157" s="983" t="str">
        <f t="shared" si="17"/>
        <v>Other</v>
      </c>
      <c r="E157" s="3" t="s">
        <v>43</v>
      </c>
      <c r="L157" s="219">
        <v>0</v>
      </c>
      <c r="M157" s="219">
        <v>0</v>
      </c>
      <c r="N157" s="219">
        <v>0</v>
      </c>
      <c r="O157" s="219">
        <v>0</v>
      </c>
      <c r="P157" s="1600">
        <v>0.80487799999999998</v>
      </c>
      <c r="Q157" s="1601">
        <v>0.79118770000000005</v>
      </c>
      <c r="R157" s="1601">
        <v>0.78252429999999995</v>
      </c>
      <c r="S157" s="1601">
        <v>0.78593630000000003</v>
      </c>
      <c r="T157" s="1601">
        <v>0.78676550000000001</v>
      </c>
      <c r="U157" s="1601">
        <v>0.78660660000000004</v>
      </c>
      <c r="V157" s="219">
        <v>0</v>
      </c>
      <c r="W157" s="219">
        <v>0</v>
      </c>
      <c r="X157" s="219">
        <v>0</v>
      </c>
      <c r="Y157" s="219">
        <v>0</v>
      </c>
      <c r="Z157" s="219">
        <v>0</v>
      </c>
      <c r="AA157" s="219">
        <v>0</v>
      </c>
      <c r="AB157" s="219">
        <v>0</v>
      </c>
      <c r="AC157" s="219">
        <v>0</v>
      </c>
      <c r="AD157" s="219">
        <v>0</v>
      </c>
      <c r="AE157" s="219">
        <v>0</v>
      </c>
    </row>
    <row r="158" spans="2:31" outlineLevel="1">
      <c r="C158" s="983" t="str">
        <f t="shared" si="17"/>
        <v>Subscriptions</v>
      </c>
      <c r="E158" s="3" t="s">
        <v>43</v>
      </c>
      <c r="L158" s="219">
        <v>0</v>
      </c>
      <c r="M158" s="219">
        <v>0</v>
      </c>
      <c r="N158" s="219">
        <v>0</v>
      </c>
      <c r="O158" s="219">
        <v>0</v>
      </c>
      <c r="P158" s="1600">
        <v>0.82119209999999998</v>
      </c>
      <c r="Q158" s="1601">
        <v>0.83935740000000003</v>
      </c>
      <c r="R158" s="1601">
        <v>0.82776349999999999</v>
      </c>
      <c r="S158" s="1601">
        <v>0.82767619999999997</v>
      </c>
      <c r="T158" s="1601">
        <v>0.82978719999999995</v>
      </c>
      <c r="U158" s="1601">
        <v>0.82702699999999996</v>
      </c>
      <c r="V158" s="219">
        <v>0</v>
      </c>
      <c r="W158" s="219">
        <v>0</v>
      </c>
      <c r="X158" s="219">
        <v>0</v>
      </c>
      <c r="Y158" s="219">
        <v>0</v>
      </c>
      <c r="Z158" s="219">
        <v>0</v>
      </c>
      <c r="AA158" s="219">
        <v>0</v>
      </c>
      <c r="AB158" s="219">
        <v>0</v>
      </c>
      <c r="AC158" s="219">
        <v>0</v>
      </c>
      <c r="AD158" s="219">
        <v>0</v>
      </c>
      <c r="AE158" s="219">
        <v>0</v>
      </c>
    </row>
    <row r="159" spans="2:31" outlineLevel="1">
      <c r="C159" s="983" t="str">
        <f t="shared" si="17"/>
        <v>Rent and rates</v>
      </c>
      <c r="E159" s="3" t="s">
        <v>43</v>
      </c>
      <c r="L159" s="219">
        <v>0</v>
      </c>
      <c r="M159" s="219">
        <v>0</v>
      </c>
      <c r="N159" s="219">
        <v>0</v>
      </c>
      <c r="O159" s="219">
        <v>0</v>
      </c>
      <c r="P159" s="1600">
        <v>0.67577739999999997</v>
      </c>
      <c r="Q159" s="1601">
        <v>0.82858880000000001</v>
      </c>
      <c r="R159" s="1601">
        <v>0.82090779999999997</v>
      </c>
      <c r="S159" s="1601">
        <v>0.82082060000000001</v>
      </c>
      <c r="T159" s="1601">
        <v>0.82034609999999997</v>
      </c>
      <c r="U159" s="1601">
        <v>0.82153860000000001</v>
      </c>
      <c r="V159" s="219">
        <v>0</v>
      </c>
      <c r="W159" s="219">
        <v>0</v>
      </c>
      <c r="X159" s="219">
        <v>0</v>
      </c>
      <c r="Y159" s="219">
        <v>0</v>
      </c>
      <c r="Z159" s="219">
        <v>0</v>
      </c>
      <c r="AA159" s="219">
        <v>0</v>
      </c>
      <c r="AB159" s="219">
        <v>0</v>
      </c>
      <c r="AC159" s="219">
        <v>0</v>
      </c>
      <c r="AD159" s="219">
        <v>0</v>
      </c>
      <c r="AE159" s="219">
        <v>0</v>
      </c>
    </row>
    <row r="160" spans="2:31" outlineLevel="1">
      <c r="C160" s="983" t="str">
        <f t="shared" si="17"/>
        <v>Computing</v>
      </c>
      <c r="E160" s="3" t="s">
        <v>43</v>
      </c>
      <c r="L160" s="219">
        <v>0</v>
      </c>
      <c r="M160" s="219">
        <v>0</v>
      </c>
      <c r="N160" s="219">
        <v>0</v>
      </c>
      <c r="O160" s="219">
        <v>0</v>
      </c>
      <c r="P160" s="1600">
        <v>0.67577739999999997</v>
      </c>
      <c r="Q160" s="1601">
        <v>0.82858880000000001</v>
      </c>
      <c r="R160" s="1601">
        <v>0.82090779999999997</v>
      </c>
      <c r="S160" s="1601">
        <v>0.82082060000000001</v>
      </c>
      <c r="T160" s="1601">
        <v>0.82034609999999997</v>
      </c>
      <c r="U160" s="1601">
        <v>0.82153860000000001</v>
      </c>
      <c r="V160" s="219">
        <v>0</v>
      </c>
      <c r="W160" s="219">
        <v>0</v>
      </c>
      <c r="X160" s="219">
        <v>0</v>
      </c>
      <c r="Y160" s="219">
        <v>0</v>
      </c>
      <c r="Z160" s="219">
        <v>0</v>
      </c>
      <c r="AA160" s="219">
        <v>0</v>
      </c>
      <c r="AB160" s="219">
        <v>0</v>
      </c>
      <c r="AC160" s="219">
        <v>0</v>
      </c>
      <c r="AD160" s="219">
        <v>0</v>
      </c>
      <c r="AE160" s="219">
        <v>0</v>
      </c>
    </row>
    <row r="161" spans="3:31" outlineLevel="1">
      <c r="C161" s="983" t="str">
        <f t="shared" si="17"/>
        <v>NIS</v>
      </c>
      <c r="E161" s="3" t="s">
        <v>43</v>
      </c>
      <c r="L161" s="219">
        <v>0</v>
      </c>
      <c r="M161" s="219">
        <v>0</v>
      </c>
      <c r="N161" s="219">
        <v>0</v>
      </c>
      <c r="O161" s="219">
        <v>0</v>
      </c>
      <c r="P161" s="1600">
        <v>0.67577739999999997</v>
      </c>
      <c r="Q161" s="1601">
        <v>0.82858880000000001</v>
      </c>
      <c r="R161" s="1601">
        <v>0.82090779999999997</v>
      </c>
      <c r="S161" s="1601">
        <v>0.82082060000000001</v>
      </c>
      <c r="T161" s="1601">
        <v>0.82034609999999997</v>
      </c>
      <c r="U161" s="1601">
        <v>0.82153860000000001</v>
      </c>
      <c r="V161" s="219">
        <v>0</v>
      </c>
      <c r="W161" s="219">
        <v>0</v>
      </c>
      <c r="X161" s="219">
        <v>0</v>
      </c>
      <c r="Y161" s="219">
        <v>0</v>
      </c>
      <c r="Z161" s="219">
        <v>0</v>
      </c>
      <c r="AA161" s="219">
        <v>0</v>
      </c>
      <c r="AB161" s="219">
        <v>0</v>
      </c>
      <c r="AC161" s="219">
        <v>0</v>
      </c>
      <c r="AD161" s="219">
        <v>0</v>
      </c>
      <c r="AE161" s="219">
        <v>0</v>
      </c>
    </row>
    <row r="162" spans="3:31" outlineLevel="1">
      <c r="C162" s="983" t="str">
        <f t="shared" si="17"/>
        <v>Consultancy</v>
      </c>
      <c r="E162" s="3" t="s">
        <v>43</v>
      </c>
      <c r="L162" s="219">
        <v>0</v>
      </c>
      <c r="M162" s="219">
        <v>0</v>
      </c>
      <c r="N162" s="219">
        <v>0</v>
      </c>
      <c r="O162" s="219">
        <v>0</v>
      </c>
      <c r="P162" s="1600">
        <v>0.67577739999999997</v>
      </c>
      <c r="Q162" s="1601">
        <v>0.82858880000000001</v>
      </c>
      <c r="R162" s="1601">
        <v>0.82090779999999997</v>
      </c>
      <c r="S162" s="1601">
        <v>0.82082060000000001</v>
      </c>
      <c r="T162" s="1601">
        <v>0.82034609999999997</v>
      </c>
      <c r="U162" s="1601">
        <v>0.82153860000000001</v>
      </c>
      <c r="V162" s="219">
        <v>0</v>
      </c>
      <c r="W162" s="219">
        <v>0</v>
      </c>
      <c r="X162" s="219">
        <v>0</v>
      </c>
      <c r="Y162" s="219">
        <v>0</v>
      </c>
      <c r="Z162" s="219">
        <v>0</v>
      </c>
      <c r="AA162" s="219">
        <v>0</v>
      </c>
      <c r="AB162" s="219">
        <v>0</v>
      </c>
      <c r="AC162" s="219">
        <v>0</v>
      </c>
      <c r="AD162" s="219">
        <v>0</v>
      </c>
      <c r="AE162" s="219">
        <v>0</v>
      </c>
    </row>
    <row r="163" spans="3:31" outlineLevel="1">
      <c r="C163" s="983" t="str">
        <f t="shared" si="17"/>
        <v>Insurance (Redacted)</v>
      </c>
      <c r="E163" s="3" t="s">
        <v>43</v>
      </c>
      <c r="L163" s="219">
        <v>0</v>
      </c>
      <c r="M163" s="219">
        <v>0</v>
      </c>
      <c r="N163" s="219">
        <v>0</v>
      </c>
      <c r="O163" s="219">
        <v>0</v>
      </c>
      <c r="P163" s="1604" t="s">
        <v>824</v>
      </c>
      <c r="Q163" s="1605" t="s">
        <v>824</v>
      </c>
      <c r="R163" s="1605" t="s">
        <v>824</v>
      </c>
      <c r="S163" s="1605" t="s">
        <v>824</v>
      </c>
      <c r="T163" s="1605" t="s">
        <v>824</v>
      </c>
      <c r="U163" s="1605" t="s">
        <v>824</v>
      </c>
      <c r="V163" s="219">
        <v>0</v>
      </c>
      <c r="W163" s="219">
        <v>0</v>
      </c>
      <c r="X163" s="219">
        <v>0</v>
      </c>
      <c r="Y163" s="219">
        <v>0</v>
      </c>
      <c r="Z163" s="219">
        <v>0</v>
      </c>
      <c r="AA163" s="219">
        <v>0</v>
      </c>
      <c r="AB163" s="219">
        <v>0</v>
      </c>
      <c r="AC163" s="219">
        <v>0</v>
      </c>
      <c r="AD163" s="219">
        <v>0</v>
      </c>
      <c r="AE163" s="219">
        <v>0</v>
      </c>
    </row>
    <row r="164" spans="3:31" outlineLevel="1">
      <c r="C164" s="983" t="str">
        <f t="shared" si="17"/>
        <v>Building repairs</v>
      </c>
      <c r="E164" s="3" t="s">
        <v>43</v>
      </c>
      <c r="L164" s="219">
        <v>0</v>
      </c>
      <c r="M164" s="219">
        <v>0</v>
      </c>
      <c r="N164" s="219">
        <v>0</v>
      </c>
      <c r="O164" s="219">
        <v>0</v>
      </c>
      <c r="P164" s="1600">
        <v>0.67577739999999997</v>
      </c>
      <c r="Q164" s="1601">
        <v>0.82858880000000001</v>
      </c>
      <c r="R164" s="1601">
        <v>0.82090779999999997</v>
      </c>
      <c r="S164" s="1601">
        <v>0.82082060000000001</v>
      </c>
      <c r="T164" s="1601">
        <v>0.82034609999999997</v>
      </c>
      <c r="U164" s="1601">
        <v>0.82153860000000001</v>
      </c>
      <c r="V164" s="219">
        <v>0</v>
      </c>
      <c r="W164" s="219">
        <v>0</v>
      </c>
      <c r="X164" s="219">
        <v>0</v>
      </c>
      <c r="Y164" s="219">
        <v>0</v>
      </c>
      <c r="Z164" s="219">
        <v>0</v>
      </c>
      <c r="AA164" s="219">
        <v>0</v>
      </c>
      <c r="AB164" s="219">
        <v>0</v>
      </c>
      <c r="AC164" s="219">
        <v>0</v>
      </c>
      <c r="AD164" s="219">
        <v>0</v>
      </c>
      <c r="AE164" s="219">
        <v>0</v>
      </c>
    </row>
    <row r="165" spans="3:31" outlineLevel="1">
      <c r="C165" s="983" t="str">
        <f t="shared" si="17"/>
        <v>Environmental</v>
      </c>
      <c r="E165" s="3" t="s">
        <v>43</v>
      </c>
      <c r="L165" s="219">
        <v>0</v>
      </c>
      <c r="M165" s="219">
        <v>0</v>
      </c>
      <c r="N165" s="219">
        <v>0</v>
      </c>
      <c r="O165" s="219">
        <v>0</v>
      </c>
      <c r="P165" s="1600">
        <v>0.67577739999999997</v>
      </c>
      <c r="Q165" s="1601">
        <v>0.82858880000000001</v>
      </c>
      <c r="R165" s="1601">
        <v>0.82090779999999997</v>
      </c>
      <c r="S165" s="1601">
        <v>0.82082060000000001</v>
      </c>
      <c r="T165" s="1601">
        <v>0.82034609999999997</v>
      </c>
      <c r="U165" s="1601">
        <v>0.82153860000000001</v>
      </c>
      <c r="V165" s="219">
        <v>0</v>
      </c>
      <c r="W165" s="219">
        <v>0</v>
      </c>
      <c r="X165" s="219">
        <v>0</v>
      </c>
      <c r="Y165" s="219">
        <v>0</v>
      </c>
      <c r="Z165" s="219">
        <v>0</v>
      </c>
      <c r="AA165" s="219">
        <v>0</v>
      </c>
      <c r="AB165" s="219">
        <v>0</v>
      </c>
      <c r="AC165" s="219">
        <v>0</v>
      </c>
      <c r="AD165" s="219">
        <v>0</v>
      </c>
      <c r="AE165" s="219">
        <v>0</v>
      </c>
    </row>
    <row r="166" spans="3:31" outlineLevel="1">
      <c r="C166" s="983" t="str">
        <f t="shared" si="17"/>
        <v>Security (Redacted)</v>
      </c>
      <c r="E166" s="3" t="s">
        <v>43</v>
      </c>
      <c r="L166" s="219">
        <v>0</v>
      </c>
      <c r="M166" s="219">
        <v>0</v>
      </c>
      <c r="N166" s="219">
        <v>0</v>
      </c>
      <c r="O166" s="219">
        <v>0</v>
      </c>
      <c r="P166" s="1604" t="s">
        <v>824</v>
      </c>
      <c r="Q166" s="1605" t="s">
        <v>824</v>
      </c>
      <c r="R166" s="1605" t="s">
        <v>824</v>
      </c>
      <c r="S166" s="1605" t="s">
        <v>824</v>
      </c>
      <c r="T166" s="1605" t="s">
        <v>824</v>
      </c>
      <c r="U166" s="1605" t="s">
        <v>824</v>
      </c>
      <c r="V166" s="219">
        <v>0</v>
      </c>
      <c r="W166" s="219">
        <v>0</v>
      </c>
      <c r="X166" s="219">
        <v>0</v>
      </c>
      <c r="Y166" s="219">
        <v>0</v>
      </c>
      <c r="Z166" s="219">
        <v>0</v>
      </c>
      <c r="AA166" s="219">
        <v>0</v>
      </c>
      <c r="AB166" s="219">
        <v>0</v>
      </c>
      <c r="AC166" s="219">
        <v>0</v>
      </c>
      <c r="AD166" s="219">
        <v>0</v>
      </c>
      <c r="AE166" s="219">
        <v>0</v>
      </c>
    </row>
    <row r="167" spans="3:31" outlineLevel="1">
      <c r="C167" s="983" t="str">
        <f t="shared" si="17"/>
        <v>Professional services</v>
      </c>
      <c r="E167" s="3" t="s">
        <v>43</v>
      </c>
      <c r="L167" s="219">
        <v>0</v>
      </c>
      <c r="M167" s="219">
        <v>0</v>
      </c>
      <c r="N167" s="219">
        <v>0</v>
      </c>
      <c r="O167" s="219">
        <v>0</v>
      </c>
      <c r="P167" s="1600">
        <v>0.67577739999999997</v>
      </c>
      <c r="Q167" s="1601">
        <v>0.82858880000000001</v>
      </c>
      <c r="R167" s="1601">
        <v>0.82090779999999997</v>
      </c>
      <c r="S167" s="1601">
        <v>0.82082060000000001</v>
      </c>
      <c r="T167" s="1601">
        <v>0.82034609999999997</v>
      </c>
      <c r="U167" s="1601">
        <v>0.82153860000000001</v>
      </c>
      <c r="V167" s="219">
        <v>0</v>
      </c>
      <c r="W167" s="219">
        <v>0</v>
      </c>
      <c r="X167" s="219">
        <v>0</v>
      </c>
      <c r="Y167" s="219">
        <v>0</v>
      </c>
      <c r="Z167" s="219">
        <v>0</v>
      </c>
      <c r="AA167" s="219">
        <v>0</v>
      </c>
      <c r="AB167" s="219">
        <v>0</v>
      </c>
      <c r="AC167" s="219">
        <v>0</v>
      </c>
      <c r="AD167" s="219">
        <v>0</v>
      </c>
      <c r="AE167" s="219">
        <v>0</v>
      </c>
    </row>
    <row r="168" spans="3:31" outlineLevel="1">
      <c r="C168" s="983" t="str">
        <f t="shared" si="17"/>
        <v>Cleaning (Redacted)</v>
      </c>
      <c r="E168" s="3" t="s">
        <v>43</v>
      </c>
      <c r="L168" s="219">
        <v>0</v>
      </c>
      <c r="M168" s="219">
        <v>0</v>
      </c>
      <c r="N168" s="219">
        <v>0</v>
      </c>
      <c r="O168" s="219">
        <v>0</v>
      </c>
      <c r="P168" s="1604" t="s">
        <v>824</v>
      </c>
      <c r="Q168" s="1605" t="s">
        <v>824</v>
      </c>
      <c r="R168" s="1605" t="s">
        <v>824</v>
      </c>
      <c r="S168" s="1605" t="s">
        <v>824</v>
      </c>
      <c r="T168" s="1605" t="s">
        <v>824</v>
      </c>
      <c r="U168" s="1605" t="s">
        <v>824</v>
      </c>
      <c r="V168" s="219">
        <v>0</v>
      </c>
      <c r="W168" s="219">
        <v>0</v>
      </c>
      <c r="X168" s="219">
        <v>0</v>
      </c>
      <c r="Y168" s="219">
        <v>0</v>
      </c>
      <c r="Z168" s="219">
        <v>0</v>
      </c>
      <c r="AA168" s="219">
        <v>0</v>
      </c>
      <c r="AB168" s="219">
        <v>0</v>
      </c>
      <c r="AC168" s="219">
        <v>0</v>
      </c>
      <c r="AD168" s="219">
        <v>0</v>
      </c>
      <c r="AE168" s="219">
        <v>0</v>
      </c>
    </row>
    <row r="169" spans="3:31" outlineLevel="1">
      <c r="C169" s="983" t="str">
        <f t="shared" si="17"/>
        <v>IAA Restructuring</v>
      </c>
      <c r="E169" s="3" t="s">
        <v>43</v>
      </c>
      <c r="L169" s="219">
        <v>0</v>
      </c>
      <c r="M169" s="219">
        <v>0</v>
      </c>
      <c r="N169" s="219">
        <v>0</v>
      </c>
      <c r="O169" s="219">
        <v>0</v>
      </c>
      <c r="P169" s="1600">
        <v>0.67577739999999997</v>
      </c>
      <c r="Q169" s="1601">
        <v>0.82858880000000001</v>
      </c>
      <c r="R169" s="1601">
        <v>0.82090779999999997</v>
      </c>
      <c r="S169" s="1601">
        <v>0.82082060000000001</v>
      </c>
      <c r="T169" s="1601">
        <v>0.82034609999999997</v>
      </c>
      <c r="U169" s="1601">
        <v>0.82153860000000001</v>
      </c>
      <c r="V169" s="219">
        <v>0</v>
      </c>
      <c r="W169" s="219">
        <v>0</v>
      </c>
      <c r="X169" s="219">
        <v>0</v>
      </c>
      <c r="Y169" s="219">
        <v>0</v>
      </c>
      <c r="Z169" s="219">
        <v>0</v>
      </c>
      <c r="AA169" s="219">
        <v>0</v>
      </c>
      <c r="AB169" s="219">
        <v>0</v>
      </c>
      <c r="AC169" s="219">
        <v>0</v>
      </c>
      <c r="AD169" s="219">
        <v>0</v>
      </c>
      <c r="AE169" s="219">
        <v>0</v>
      </c>
    </row>
    <row r="170" spans="3:31" outlineLevel="1">
      <c r="C170" s="983" t="str">
        <f t="shared" si="17"/>
        <v>Impairment</v>
      </c>
      <c r="E170" s="3" t="s">
        <v>43</v>
      </c>
      <c r="L170" s="219">
        <v>0</v>
      </c>
      <c r="M170" s="219">
        <v>0</v>
      </c>
      <c r="N170" s="219">
        <v>0</v>
      </c>
      <c r="O170" s="219">
        <v>0</v>
      </c>
      <c r="P170" s="1600">
        <v>0.67577739999999997</v>
      </c>
      <c r="Q170" s="1601">
        <v>0.82858880000000001</v>
      </c>
      <c r="R170" s="1601">
        <v>0.82090779999999997</v>
      </c>
      <c r="S170" s="1601">
        <v>0.82082060000000001</v>
      </c>
      <c r="T170" s="1601">
        <v>0.82034609999999997</v>
      </c>
      <c r="U170" s="1601">
        <v>0.82153860000000001</v>
      </c>
      <c r="V170" s="219">
        <v>0</v>
      </c>
      <c r="W170" s="219">
        <v>0</v>
      </c>
      <c r="X170" s="219">
        <v>0</v>
      </c>
      <c r="Y170" s="219">
        <v>0</v>
      </c>
      <c r="Z170" s="219">
        <v>0</v>
      </c>
      <c r="AA170" s="219">
        <v>0</v>
      </c>
      <c r="AB170" s="219">
        <v>0</v>
      </c>
      <c r="AC170" s="219">
        <v>0</v>
      </c>
      <c r="AD170" s="219">
        <v>0</v>
      </c>
      <c r="AE170" s="219">
        <v>0</v>
      </c>
    </row>
    <row r="171" spans="3:31" outlineLevel="1">
      <c r="C171" s="983" t="str">
        <f t="shared" si="17"/>
        <v>PR</v>
      </c>
      <c r="E171" s="3" t="s">
        <v>43</v>
      </c>
      <c r="L171" s="219">
        <v>0</v>
      </c>
      <c r="M171" s="219">
        <v>0</v>
      </c>
      <c r="N171" s="219">
        <v>0</v>
      </c>
      <c r="O171" s="219">
        <v>0</v>
      </c>
      <c r="P171" s="1600">
        <v>0.67577739999999997</v>
      </c>
      <c r="Q171" s="1601">
        <v>0.82858880000000001</v>
      </c>
      <c r="R171" s="1601">
        <v>0.82090779999999997</v>
      </c>
      <c r="S171" s="1601">
        <v>0.82082060000000001</v>
      </c>
      <c r="T171" s="1601">
        <v>0.82034609999999997</v>
      </c>
      <c r="U171" s="1601">
        <v>0.82153860000000001</v>
      </c>
      <c r="V171" s="219">
        <v>0</v>
      </c>
      <c r="W171" s="219">
        <v>0</v>
      </c>
      <c r="X171" s="219">
        <v>0</v>
      </c>
      <c r="Y171" s="219">
        <v>0</v>
      </c>
      <c r="Z171" s="219">
        <v>0</v>
      </c>
      <c r="AA171" s="219">
        <v>0</v>
      </c>
      <c r="AB171" s="219">
        <v>0</v>
      </c>
      <c r="AC171" s="219">
        <v>0</v>
      </c>
      <c r="AD171" s="219">
        <v>0</v>
      </c>
      <c r="AE171" s="219">
        <v>0</v>
      </c>
    </row>
    <row r="172" spans="3:31" outlineLevel="1">
      <c r="C172" s="983" t="str">
        <f t="shared" si="17"/>
        <v>Staff related</v>
      </c>
      <c r="E172" s="3" t="s">
        <v>43</v>
      </c>
      <c r="L172" s="219">
        <v>0</v>
      </c>
      <c r="M172" s="219">
        <v>0</v>
      </c>
      <c r="N172" s="219">
        <v>0</v>
      </c>
      <c r="O172" s="219">
        <v>0</v>
      </c>
      <c r="P172" s="1600">
        <v>0.67577739999999997</v>
      </c>
      <c r="Q172" s="1601">
        <v>0.82858880000000001</v>
      </c>
      <c r="R172" s="1601">
        <v>0.82090779999999997</v>
      </c>
      <c r="S172" s="1601">
        <v>0.82082060000000001</v>
      </c>
      <c r="T172" s="1601">
        <v>0.82034609999999997</v>
      </c>
      <c r="U172" s="1601">
        <v>0.82153860000000001</v>
      </c>
      <c r="V172" s="219">
        <v>0</v>
      </c>
      <c r="W172" s="219">
        <v>0</v>
      </c>
      <c r="X172" s="219">
        <v>0</v>
      </c>
      <c r="Y172" s="219">
        <v>0</v>
      </c>
      <c r="Z172" s="219">
        <v>0</v>
      </c>
      <c r="AA172" s="219">
        <v>0</v>
      </c>
      <c r="AB172" s="219">
        <v>0</v>
      </c>
      <c r="AC172" s="219">
        <v>0</v>
      </c>
      <c r="AD172" s="219">
        <v>0</v>
      </c>
      <c r="AE172" s="219">
        <v>0</v>
      </c>
    </row>
    <row r="173" spans="3:31" outlineLevel="1">
      <c r="C173" s="983" t="str">
        <f t="shared" si="17"/>
        <v>Other</v>
      </c>
      <c r="E173" s="3" t="s">
        <v>43</v>
      </c>
      <c r="L173" s="219">
        <v>0</v>
      </c>
      <c r="M173" s="219">
        <v>0</v>
      </c>
      <c r="N173" s="219">
        <v>0</v>
      </c>
      <c r="O173" s="219">
        <v>0</v>
      </c>
      <c r="P173" s="1600">
        <v>0.67577739999999997</v>
      </c>
      <c r="Q173" s="1601">
        <v>0.82858880000000001</v>
      </c>
      <c r="R173" s="1601">
        <v>0.82090779999999997</v>
      </c>
      <c r="S173" s="1601">
        <v>0.82082060000000001</v>
      </c>
      <c r="T173" s="1601">
        <v>0.82034609999999997</v>
      </c>
      <c r="U173" s="1601">
        <v>0.82153860000000001</v>
      </c>
      <c r="V173" s="219">
        <v>0</v>
      </c>
      <c r="W173" s="219">
        <v>0</v>
      </c>
      <c r="X173" s="219">
        <v>0</v>
      </c>
      <c r="Y173" s="219">
        <v>0</v>
      </c>
      <c r="Z173" s="219">
        <v>0</v>
      </c>
      <c r="AA173" s="219">
        <v>0</v>
      </c>
      <c r="AB173" s="219">
        <v>0</v>
      </c>
      <c r="AC173" s="219">
        <v>0</v>
      </c>
      <c r="AD173" s="219">
        <v>0</v>
      </c>
      <c r="AE173" s="219">
        <v>0</v>
      </c>
    </row>
    <row r="174" spans="3:31" outlineLevel="1">
      <c r="C174" s="983" t="str">
        <f t="shared" si="17"/>
        <v>Redacted</v>
      </c>
      <c r="E174" s="3" t="s">
        <v>43</v>
      </c>
      <c r="L174" s="219">
        <v>0</v>
      </c>
      <c r="M174" s="219">
        <v>0</v>
      </c>
      <c r="N174" s="219">
        <v>0</v>
      </c>
      <c r="O174" s="219">
        <v>0</v>
      </c>
      <c r="P174" s="1600">
        <v>0.79264159999999995</v>
      </c>
      <c r="Q174" s="1601">
        <v>0.82752499999999996</v>
      </c>
      <c r="R174" s="1601">
        <v>0.8257989</v>
      </c>
      <c r="S174" s="1601">
        <v>0.82318100000000005</v>
      </c>
      <c r="T174" s="1601">
        <v>0.82097290000000001</v>
      </c>
      <c r="U174" s="1601">
        <v>0.82074510000000001</v>
      </c>
      <c r="V174" s="219">
        <v>0</v>
      </c>
      <c r="W174" s="219">
        <v>0</v>
      </c>
      <c r="X174" s="219">
        <v>0</v>
      </c>
      <c r="Y174" s="219">
        <v>0</v>
      </c>
      <c r="Z174" s="219">
        <v>0</v>
      </c>
      <c r="AA174" s="219">
        <v>0</v>
      </c>
      <c r="AB174" s="219">
        <v>0</v>
      </c>
      <c r="AC174" s="219">
        <v>0</v>
      </c>
      <c r="AD174" s="219">
        <v>0</v>
      </c>
      <c r="AE174" s="219">
        <v>0</v>
      </c>
    </row>
    <row r="175" spans="3:31" outlineLevel="1">
      <c r="C175" s="983">
        <f t="shared" si="17"/>
        <v>0</v>
      </c>
      <c r="L175" s="219">
        <v>0</v>
      </c>
      <c r="M175" s="219">
        <v>0</v>
      </c>
      <c r="N175" s="219">
        <v>0</v>
      </c>
      <c r="O175" s="219">
        <v>0</v>
      </c>
      <c r="P175" s="219">
        <v>0</v>
      </c>
      <c r="Q175" s="219">
        <v>0</v>
      </c>
      <c r="R175" s="219">
        <v>0</v>
      </c>
      <c r="S175" s="219">
        <v>0</v>
      </c>
      <c r="T175" s="219">
        <v>0</v>
      </c>
      <c r="U175" s="219">
        <v>0</v>
      </c>
      <c r="V175" s="219">
        <v>0</v>
      </c>
      <c r="W175" s="219">
        <v>0</v>
      </c>
      <c r="X175" s="219">
        <v>0</v>
      </c>
      <c r="Y175" s="219">
        <v>0</v>
      </c>
      <c r="Z175" s="219">
        <v>0</v>
      </c>
      <c r="AA175" s="219">
        <v>0</v>
      </c>
      <c r="AB175" s="219">
        <v>0</v>
      </c>
      <c r="AC175" s="219">
        <v>0</v>
      </c>
      <c r="AD175" s="219">
        <v>0</v>
      </c>
      <c r="AE175" s="219">
        <v>0</v>
      </c>
    </row>
    <row r="176" spans="3:31" outlineLevel="1">
      <c r="C176" s="983">
        <f t="shared" si="17"/>
        <v>0</v>
      </c>
      <c r="L176" s="219">
        <v>0</v>
      </c>
      <c r="M176" s="219">
        <v>0</v>
      </c>
      <c r="N176" s="219">
        <v>0</v>
      </c>
      <c r="O176" s="219">
        <v>0</v>
      </c>
      <c r="P176" s="219">
        <v>0</v>
      </c>
      <c r="Q176" s="219">
        <v>0</v>
      </c>
      <c r="R176" s="219">
        <v>0</v>
      </c>
      <c r="S176" s="219">
        <v>0</v>
      </c>
      <c r="T176" s="219">
        <v>0</v>
      </c>
      <c r="U176" s="219">
        <v>0</v>
      </c>
      <c r="V176" s="219">
        <v>0</v>
      </c>
      <c r="W176" s="219">
        <v>0</v>
      </c>
      <c r="X176" s="219">
        <v>0</v>
      </c>
      <c r="Y176" s="219">
        <v>0</v>
      </c>
      <c r="Z176" s="219">
        <v>0</v>
      </c>
      <c r="AA176" s="219">
        <v>0</v>
      </c>
      <c r="AB176" s="219">
        <v>0</v>
      </c>
      <c r="AC176" s="219">
        <v>0</v>
      </c>
      <c r="AD176" s="219">
        <v>0</v>
      </c>
      <c r="AE176" s="219">
        <v>0</v>
      </c>
    </row>
    <row r="177" spans="2:31" outlineLevel="1">
      <c r="C177" s="983">
        <f t="shared" si="17"/>
        <v>0</v>
      </c>
      <c r="L177" s="219">
        <v>0</v>
      </c>
      <c r="M177" s="219">
        <v>0</v>
      </c>
      <c r="N177" s="219">
        <v>0</v>
      </c>
      <c r="O177" s="219">
        <v>0</v>
      </c>
      <c r="P177" s="219">
        <v>0</v>
      </c>
      <c r="Q177" s="219">
        <v>0</v>
      </c>
      <c r="R177" s="219">
        <v>0</v>
      </c>
      <c r="S177" s="219">
        <v>0</v>
      </c>
      <c r="T177" s="219">
        <v>0</v>
      </c>
      <c r="U177" s="219">
        <v>0</v>
      </c>
      <c r="V177" s="219">
        <v>0</v>
      </c>
      <c r="W177" s="219">
        <v>0</v>
      </c>
      <c r="X177" s="219">
        <v>0</v>
      </c>
      <c r="Y177" s="219">
        <v>0</v>
      </c>
      <c r="Z177" s="219">
        <v>0</v>
      </c>
      <c r="AA177" s="219">
        <v>0</v>
      </c>
      <c r="AB177" s="219">
        <v>0</v>
      </c>
      <c r="AC177" s="219">
        <v>0</v>
      </c>
      <c r="AD177" s="219">
        <v>0</v>
      </c>
      <c r="AE177" s="219">
        <v>0</v>
      </c>
    </row>
    <row r="178" spans="2:31" outlineLevel="1">
      <c r="C178" s="983">
        <f t="shared" si="17"/>
        <v>0</v>
      </c>
      <c r="L178" s="219">
        <v>0</v>
      </c>
      <c r="M178" s="219">
        <v>0</v>
      </c>
      <c r="N178" s="219">
        <v>0</v>
      </c>
      <c r="O178" s="219">
        <v>0</v>
      </c>
      <c r="P178" s="219">
        <v>0</v>
      </c>
      <c r="Q178" s="219">
        <v>0</v>
      </c>
      <c r="R178" s="219">
        <v>0</v>
      </c>
      <c r="S178" s="219">
        <v>0</v>
      </c>
      <c r="T178" s="219">
        <v>0</v>
      </c>
      <c r="U178" s="219">
        <v>0</v>
      </c>
      <c r="V178" s="219">
        <v>0</v>
      </c>
      <c r="W178" s="219">
        <v>0</v>
      </c>
      <c r="X178" s="219">
        <v>0</v>
      </c>
      <c r="Y178" s="219">
        <v>0</v>
      </c>
      <c r="Z178" s="219">
        <v>0</v>
      </c>
      <c r="AA178" s="219">
        <v>0</v>
      </c>
      <c r="AB178" s="219">
        <v>0</v>
      </c>
      <c r="AC178" s="219">
        <v>0</v>
      </c>
      <c r="AD178" s="219">
        <v>0</v>
      </c>
      <c r="AE178" s="219">
        <v>0</v>
      </c>
    </row>
    <row r="179" spans="2:31" outlineLevel="1">
      <c r="C179" s="983">
        <f t="shared" si="17"/>
        <v>0</v>
      </c>
      <c r="L179" s="219">
        <v>0</v>
      </c>
      <c r="M179" s="219">
        <v>0</v>
      </c>
      <c r="N179" s="219">
        <v>0</v>
      </c>
      <c r="O179" s="219">
        <v>0</v>
      </c>
      <c r="P179" s="219">
        <v>0</v>
      </c>
      <c r="Q179" s="219">
        <v>0</v>
      </c>
      <c r="R179" s="219">
        <v>0</v>
      </c>
      <c r="S179" s="219">
        <v>0</v>
      </c>
      <c r="T179" s="219">
        <v>0</v>
      </c>
      <c r="U179" s="219">
        <v>0</v>
      </c>
      <c r="V179" s="219">
        <v>0</v>
      </c>
      <c r="W179" s="219">
        <v>0</v>
      </c>
      <c r="X179" s="219">
        <v>0</v>
      </c>
      <c r="Y179" s="219">
        <v>0</v>
      </c>
      <c r="Z179" s="219">
        <v>0</v>
      </c>
      <c r="AA179" s="219">
        <v>0</v>
      </c>
      <c r="AB179" s="219">
        <v>0</v>
      </c>
      <c r="AC179" s="219">
        <v>0</v>
      </c>
      <c r="AD179" s="219">
        <v>0</v>
      </c>
      <c r="AE179" s="219">
        <v>0</v>
      </c>
    </row>
    <row r="180" spans="2:31" outlineLevel="1">
      <c r="C180" s="983">
        <f t="shared" si="17"/>
        <v>0</v>
      </c>
      <c r="L180" s="219">
        <v>0</v>
      </c>
      <c r="M180" s="219">
        <v>0</v>
      </c>
      <c r="N180" s="219">
        <v>0</v>
      </c>
      <c r="O180" s="219">
        <v>0</v>
      </c>
      <c r="P180" s="219">
        <v>0</v>
      </c>
      <c r="Q180" s="219">
        <v>0</v>
      </c>
      <c r="R180" s="219">
        <v>0</v>
      </c>
      <c r="S180" s="219">
        <v>0</v>
      </c>
      <c r="T180" s="219">
        <v>0</v>
      </c>
      <c r="U180" s="219">
        <v>0</v>
      </c>
      <c r="V180" s="219">
        <v>0</v>
      </c>
      <c r="W180" s="219">
        <v>0</v>
      </c>
      <c r="X180" s="219">
        <v>0</v>
      </c>
      <c r="Y180" s="219">
        <v>0</v>
      </c>
      <c r="Z180" s="219">
        <v>0</v>
      </c>
      <c r="AA180" s="219">
        <v>0</v>
      </c>
      <c r="AB180" s="219">
        <v>0</v>
      </c>
      <c r="AC180" s="219">
        <v>0</v>
      </c>
      <c r="AD180" s="219">
        <v>0</v>
      </c>
      <c r="AE180" s="219">
        <v>0</v>
      </c>
    </row>
    <row r="182" spans="2:31" ht="13.5" thickBot="1">
      <c r="C182" s="6" t="s">
        <v>797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2:31">
      <c r="C183" s="3" t="s">
        <v>853</v>
      </c>
      <c r="E183" s="3" t="s">
        <v>29</v>
      </c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38"/>
      <c r="X183" s="38"/>
      <c r="Y183" s="38"/>
      <c r="Z183" s="38"/>
      <c r="AA183" s="38"/>
      <c r="AB183" s="38"/>
      <c r="AC183" s="38"/>
      <c r="AD183" s="38"/>
      <c r="AE183" s="38"/>
    </row>
    <row r="184" spans="2:31">
      <c r="J184" s="148"/>
      <c r="K184" s="148"/>
    </row>
    <row r="185" spans="2:31" ht="13.5" thickBot="1">
      <c r="C185" s="6" t="s">
        <v>815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2:31">
      <c r="C186" s="3" t="s">
        <v>853</v>
      </c>
      <c r="E186" s="3" t="s">
        <v>29</v>
      </c>
      <c r="L186" s="27">
        <f t="shared" ref="L186:AE186" si="18">(SUMPRODUCT(L110:L141,L149:L180)*(L183="")+L183)</f>
        <v>0</v>
      </c>
      <c r="M186" s="27">
        <f t="shared" si="18"/>
        <v>0</v>
      </c>
      <c r="N186" s="27">
        <f t="shared" si="18"/>
        <v>0</v>
      </c>
      <c r="O186" s="27">
        <f t="shared" si="18"/>
        <v>0</v>
      </c>
      <c r="P186" s="27">
        <f t="shared" si="18"/>
        <v>23989.000598499999</v>
      </c>
      <c r="Q186" s="27">
        <f t="shared" si="18"/>
        <v>22219.903782975598</v>
      </c>
      <c r="R186" s="27">
        <f t="shared" si="18"/>
        <v>23847.194398765401</v>
      </c>
      <c r="S186" s="27">
        <f t="shared" si="18"/>
        <v>26224.831924614264</v>
      </c>
      <c r="T186" s="27">
        <f t="shared" si="18"/>
        <v>27312.524109857128</v>
      </c>
      <c r="U186" s="27">
        <f t="shared" si="18"/>
        <v>27843.868579098689</v>
      </c>
      <c r="V186" s="27">
        <f t="shared" si="18"/>
        <v>0</v>
      </c>
      <c r="W186" s="27">
        <f t="shared" si="18"/>
        <v>0</v>
      </c>
      <c r="X186" s="27">
        <f t="shared" si="18"/>
        <v>0</v>
      </c>
      <c r="Y186" s="27">
        <f t="shared" si="18"/>
        <v>0</v>
      </c>
      <c r="Z186" s="27">
        <f t="shared" si="18"/>
        <v>0</v>
      </c>
      <c r="AA186" s="27">
        <f t="shared" si="18"/>
        <v>0</v>
      </c>
      <c r="AB186" s="27">
        <f t="shared" si="18"/>
        <v>0</v>
      </c>
      <c r="AC186" s="27">
        <f t="shared" si="18"/>
        <v>0</v>
      </c>
      <c r="AD186" s="27">
        <f t="shared" si="18"/>
        <v>0</v>
      </c>
      <c r="AE186" s="27">
        <f t="shared" si="18"/>
        <v>0</v>
      </c>
    </row>
    <row r="187" spans="2:31">
      <c r="C187" s="17"/>
      <c r="D187" s="17"/>
      <c r="E187" s="17"/>
      <c r="F187" s="17"/>
      <c r="G187" s="17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</row>
    <row r="188" spans="2:31">
      <c r="B188" s="152" t="s">
        <v>24</v>
      </c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90" spans="2:31" ht="13.5" thickBot="1">
      <c r="C190" s="7" t="s">
        <v>854</v>
      </c>
      <c r="D190" s="7"/>
      <c r="E190" s="7"/>
      <c r="F190" s="7"/>
      <c r="G190" s="7"/>
      <c r="H190" s="7"/>
      <c r="I190" s="7"/>
      <c r="J190" s="7"/>
      <c r="K190" s="7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</row>
    <row r="191" spans="2:31" outlineLevel="1">
      <c r="C191" s="983" t="str">
        <f t="shared" ref="C191:C222" si="19">C110</f>
        <v>Travel</v>
      </c>
      <c r="E191" s="3" t="s">
        <v>43</v>
      </c>
      <c r="L191" s="219">
        <v>0</v>
      </c>
      <c r="M191" s="219">
        <v>0</v>
      </c>
      <c r="N191" s="219">
        <v>0</v>
      </c>
      <c r="O191" s="219">
        <v>0</v>
      </c>
      <c r="P191" s="1598">
        <v>0.14252339999999997</v>
      </c>
      <c r="Q191" s="1658">
        <v>0.12967580000000001</v>
      </c>
      <c r="R191" s="1658">
        <v>0.16112530000000003</v>
      </c>
      <c r="S191" s="1658">
        <v>0.16082660000000004</v>
      </c>
      <c r="T191" s="1658">
        <v>0.16034760000000003</v>
      </c>
      <c r="U191" s="1658">
        <v>0.16043960000000002</v>
      </c>
      <c r="V191" s="219">
        <v>0</v>
      </c>
      <c r="W191" s="219">
        <v>0</v>
      </c>
      <c r="X191" s="219">
        <v>0</v>
      </c>
      <c r="Y191" s="219">
        <v>0</v>
      </c>
      <c r="Z191" s="219">
        <v>0</v>
      </c>
      <c r="AA191" s="219">
        <v>0</v>
      </c>
      <c r="AB191" s="219">
        <v>0</v>
      </c>
      <c r="AC191" s="219">
        <v>0</v>
      </c>
      <c r="AD191" s="219">
        <v>0</v>
      </c>
      <c r="AE191" s="219">
        <v>0</v>
      </c>
    </row>
    <row r="192" spans="2:31" outlineLevel="1">
      <c r="C192" s="983" t="str">
        <f t="shared" si="19"/>
        <v>Training (Redected)</v>
      </c>
      <c r="E192" s="3" t="s">
        <v>43</v>
      </c>
      <c r="L192" s="219">
        <v>0</v>
      </c>
      <c r="M192" s="219">
        <v>0</v>
      </c>
      <c r="N192" s="219">
        <v>0</v>
      </c>
      <c r="O192" s="219">
        <v>0</v>
      </c>
      <c r="P192" s="219">
        <v>0</v>
      </c>
      <c r="Q192" s="219">
        <v>0</v>
      </c>
      <c r="R192" s="219">
        <v>0</v>
      </c>
      <c r="S192" s="219">
        <v>0</v>
      </c>
      <c r="T192" s="219">
        <v>0</v>
      </c>
      <c r="U192" s="219">
        <v>0</v>
      </c>
      <c r="V192" s="219">
        <v>0</v>
      </c>
      <c r="W192" s="219">
        <v>0</v>
      </c>
      <c r="X192" s="219">
        <v>0</v>
      </c>
      <c r="Y192" s="219">
        <v>0</v>
      </c>
      <c r="Z192" s="219">
        <v>0</v>
      </c>
      <c r="AA192" s="219">
        <v>0</v>
      </c>
      <c r="AB192" s="219">
        <v>0</v>
      </c>
      <c r="AC192" s="219">
        <v>0</v>
      </c>
      <c r="AD192" s="219">
        <v>0</v>
      </c>
      <c r="AE192" s="219">
        <v>0</v>
      </c>
    </row>
    <row r="193" spans="3:31" outlineLevel="1">
      <c r="C193" s="983" t="str">
        <f t="shared" si="19"/>
        <v>Utilities</v>
      </c>
      <c r="E193" s="3" t="s">
        <v>43</v>
      </c>
      <c r="L193" s="219">
        <v>0</v>
      </c>
      <c r="M193" s="219">
        <v>0</v>
      </c>
      <c r="N193" s="219">
        <v>0</v>
      </c>
      <c r="O193" s="219">
        <v>0</v>
      </c>
      <c r="P193" s="1658">
        <v>0.15000000000000002</v>
      </c>
      <c r="Q193" s="1658">
        <v>0.2234043</v>
      </c>
      <c r="R193" s="1658">
        <v>0.23349439999999999</v>
      </c>
      <c r="S193" s="1658">
        <v>0.23149609999999998</v>
      </c>
      <c r="T193" s="1658">
        <v>0.23149609999999998</v>
      </c>
      <c r="U193" s="1658">
        <v>0.23149609999999998</v>
      </c>
      <c r="V193" s="219">
        <v>0</v>
      </c>
      <c r="W193" s="219">
        <v>0</v>
      </c>
      <c r="X193" s="219">
        <v>0</v>
      </c>
      <c r="Y193" s="219">
        <v>0</v>
      </c>
      <c r="Z193" s="219">
        <v>0</v>
      </c>
      <c r="AA193" s="219">
        <v>0</v>
      </c>
      <c r="AB193" s="219">
        <v>0</v>
      </c>
      <c r="AC193" s="219">
        <v>0</v>
      </c>
      <c r="AD193" s="219">
        <v>0</v>
      </c>
      <c r="AE193" s="219">
        <v>0</v>
      </c>
    </row>
    <row r="194" spans="3:31" outlineLevel="1">
      <c r="C194" s="983" t="str">
        <f t="shared" si="19"/>
        <v>Telecoms (Redacted)</v>
      </c>
      <c r="E194" s="3" t="s">
        <v>43</v>
      </c>
      <c r="L194" s="219">
        <v>0</v>
      </c>
      <c r="M194" s="219">
        <v>0</v>
      </c>
      <c r="N194" s="219">
        <v>0</v>
      </c>
      <c r="O194" s="219">
        <v>0</v>
      </c>
      <c r="P194" s="219">
        <v>0</v>
      </c>
      <c r="Q194" s="219">
        <v>0</v>
      </c>
      <c r="R194" s="219">
        <v>0</v>
      </c>
      <c r="S194" s="219">
        <v>0</v>
      </c>
      <c r="T194" s="219">
        <v>0</v>
      </c>
      <c r="U194" s="219">
        <v>0</v>
      </c>
      <c r="V194" s="219">
        <v>0</v>
      </c>
      <c r="W194" s="219">
        <v>0</v>
      </c>
      <c r="X194" s="219">
        <v>0</v>
      </c>
      <c r="Y194" s="219">
        <v>0</v>
      </c>
      <c r="Z194" s="219">
        <v>0</v>
      </c>
      <c r="AA194" s="219">
        <v>0</v>
      </c>
      <c r="AB194" s="219">
        <v>0</v>
      </c>
      <c r="AC194" s="219">
        <v>0</v>
      </c>
      <c r="AD194" s="219">
        <v>0</v>
      </c>
      <c r="AE194" s="219">
        <v>0</v>
      </c>
    </row>
    <row r="195" spans="3:31" outlineLevel="1">
      <c r="C195" s="983" t="str">
        <f t="shared" si="19"/>
        <v>Maintenance</v>
      </c>
      <c r="E195" s="3" t="s">
        <v>43</v>
      </c>
      <c r="L195" s="219">
        <v>0</v>
      </c>
      <c r="M195" s="219">
        <v>0</v>
      </c>
      <c r="N195" s="219">
        <v>0</v>
      </c>
      <c r="O195" s="219">
        <v>0</v>
      </c>
      <c r="P195" s="1658">
        <v>0.19512200000000002</v>
      </c>
      <c r="Q195" s="1658">
        <v>0.20881229999999995</v>
      </c>
      <c r="R195" s="1658">
        <v>0.21747570000000005</v>
      </c>
      <c r="S195" s="1658">
        <v>0.21406369999999997</v>
      </c>
      <c r="T195" s="1658">
        <v>0.21323449999999999</v>
      </c>
      <c r="U195" s="1658">
        <v>0.21339339999999996</v>
      </c>
      <c r="V195" s="219">
        <v>0</v>
      </c>
      <c r="W195" s="219">
        <v>0</v>
      </c>
      <c r="X195" s="219">
        <v>0</v>
      </c>
      <c r="Y195" s="219">
        <v>0</v>
      </c>
      <c r="Z195" s="219">
        <v>0</v>
      </c>
      <c r="AA195" s="219">
        <v>0</v>
      </c>
      <c r="AB195" s="219">
        <v>0</v>
      </c>
      <c r="AC195" s="219">
        <v>0</v>
      </c>
      <c r="AD195" s="219">
        <v>0</v>
      </c>
      <c r="AE195" s="219">
        <v>0</v>
      </c>
    </row>
    <row r="196" spans="3:31" outlineLevel="1">
      <c r="C196" s="983" t="str">
        <f t="shared" si="19"/>
        <v>Spares</v>
      </c>
      <c r="E196" s="3" t="s">
        <v>43</v>
      </c>
      <c r="L196" s="219">
        <v>0</v>
      </c>
      <c r="M196" s="219">
        <v>0</v>
      </c>
      <c r="N196" s="219">
        <v>0</v>
      </c>
      <c r="O196" s="219">
        <v>0</v>
      </c>
      <c r="P196" s="1658">
        <v>0.19512200000000002</v>
      </c>
      <c r="Q196" s="1658">
        <v>0.20881229999999995</v>
      </c>
      <c r="R196" s="1658">
        <v>0.21747570000000005</v>
      </c>
      <c r="S196" s="1658">
        <v>0.21406369999999997</v>
      </c>
      <c r="T196" s="1658">
        <v>0.21323449999999999</v>
      </c>
      <c r="U196" s="1658">
        <v>0.21339339999999996</v>
      </c>
      <c r="V196" s="219">
        <v>0</v>
      </c>
      <c r="W196" s="219">
        <v>0</v>
      </c>
      <c r="X196" s="219">
        <v>0</v>
      </c>
      <c r="Y196" s="219">
        <v>0</v>
      </c>
      <c r="Z196" s="219">
        <v>0</v>
      </c>
      <c r="AA196" s="219">
        <v>0</v>
      </c>
      <c r="AB196" s="219">
        <v>0</v>
      </c>
      <c r="AC196" s="219">
        <v>0</v>
      </c>
      <c r="AD196" s="219">
        <v>0</v>
      </c>
      <c r="AE196" s="219">
        <v>0</v>
      </c>
    </row>
    <row r="197" spans="3:31" outlineLevel="1">
      <c r="C197" s="983" t="str">
        <f t="shared" si="19"/>
        <v>Power</v>
      </c>
      <c r="E197" s="3" t="s">
        <v>43</v>
      </c>
      <c r="L197" s="219">
        <v>0</v>
      </c>
      <c r="M197" s="219">
        <v>0</v>
      </c>
      <c r="N197" s="219">
        <v>0</v>
      </c>
      <c r="O197" s="219">
        <v>0</v>
      </c>
      <c r="P197" s="1658">
        <v>0.19512200000000002</v>
      </c>
      <c r="Q197" s="1658">
        <v>0.20881229999999995</v>
      </c>
      <c r="R197" s="1658">
        <v>0.21747570000000005</v>
      </c>
      <c r="S197" s="1658">
        <v>0.21406369999999997</v>
      </c>
      <c r="T197" s="1658">
        <v>0.21323449999999999</v>
      </c>
      <c r="U197" s="1658">
        <v>0.21339339999999996</v>
      </c>
      <c r="V197" s="219">
        <v>0</v>
      </c>
      <c r="W197" s="219">
        <v>0</v>
      </c>
      <c r="X197" s="219">
        <v>0</v>
      </c>
      <c r="Y197" s="219">
        <v>0</v>
      </c>
      <c r="Z197" s="219">
        <v>0</v>
      </c>
      <c r="AA197" s="219">
        <v>0</v>
      </c>
      <c r="AB197" s="219">
        <v>0</v>
      </c>
      <c r="AC197" s="219">
        <v>0</v>
      </c>
      <c r="AD197" s="219">
        <v>0</v>
      </c>
      <c r="AE197" s="219">
        <v>0</v>
      </c>
    </row>
    <row r="198" spans="3:31" outlineLevel="1">
      <c r="C198" s="983" t="str">
        <f t="shared" si="19"/>
        <v>Flight checking</v>
      </c>
      <c r="E198" s="3" t="s">
        <v>43</v>
      </c>
      <c r="L198" s="219">
        <v>0</v>
      </c>
      <c r="M198" s="219">
        <v>0</v>
      </c>
      <c r="N198" s="219">
        <v>0</v>
      </c>
      <c r="O198" s="219">
        <v>0</v>
      </c>
      <c r="P198" s="219">
        <v>0</v>
      </c>
      <c r="Q198" s="219">
        <v>0</v>
      </c>
      <c r="R198" s="219">
        <v>0</v>
      </c>
      <c r="S198" s="219">
        <v>0</v>
      </c>
      <c r="T198" s="219">
        <v>0</v>
      </c>
      <c r="U198" s="219">
        <v>0</v>
      </c>
      <c r="V198" s="219">
        <v>0</v>
      </c>
      <c r="W198" s="219">
        <v>0</v>
      </c>
      <c r="X198" s="219">
        <v>0</v>
      </c>
      <c r="Y198" s="219">
        <v>0</v>
      </c>
      <c r="Z198" s="219">
        <v>0</v>
      </c>
      <c r="AA198" s="219">
        <v>0</v>
      </c>
      <c r="AB198" s="219">
        <v>0</v>
      </c>
      <c r="AC198" s="219">
        <v>0</v>
      </c>
      <c r="AD198" s="219">
        <v>0</v>
      </c>
      <c r="AE198" s="219">
        <v>0</v>
      </c>
    </row>
    <row r="199" spans="3:31" outlineLevel="1">
      <c r="C199" s="983" t="str">
        <f t="shared" si="19"/>
        <v>Other</v>
      </c>
      <c r="E199" s="3" t="s">
        <v>43</v>
      </c>
      <c r="L199" s="219">
        <v>0</v>
      </c>
      <c r="M199" s="219">
        <v>0</v>
      </c>
      <c r="N199" s="219">
        <v>0</v>
      </c>
      <c r="O199" s="219">
        <v>0</v>
      </c>
      <c r="P199" s="1658">
        <v>0.19512200000000002</v>
      </c>
      <c r="Q199" s="1658">
        <v>0.20881229999999995</v>
      </c>
      <c r="R199" s="1658">
        <v>0.21747570000000005</v>
      </c>
      <c r="S199" s="1658">
        <v>0.21406369999999997</v>
      </c>
      <c r="T199" s="1658">
        <v>0.21323449999999999</v>
      </c>
      <c r="U199" s="1658">
        <v>0.21339339999999996</v>
      </c>
      <c r="V199" s="219">
        <v>0</v>
      </c>
      <c r="W199" s="219">
        <v>0</v>
      </c>
      <c r="X199" s="219">
        <v>0</v>
      </c>
      <c r="Y199" s="219">
        <v>0</v>
      </c>
      <c r="Z199" s="219">
        <v>0</v>
      </c>
      <c r="AA199" s="219">
        <v>0</v>
      </c>
      <c r="AB199" s="219">
        <v>0</v>
      </c>
      <c r="AC199" s="219">
        <v>0</v>
      </c>
      <c r="AD199" s="219">
        <v>0</v>
      </c>
      <c r="AE199" s="219">
        <v>0</v>
      </c>
    </row>
    <row r="200" spans="3:31" outlineLevel="1">
      <c r="C200" s="983" t="str">
        <f t="shared" si="19"/>
        <v>Subscriptions</v>
      </c>
      <c r="E200" s="3" t="s">
        <v>43</v>
      </c>
      <c r="L200" s="219">
        <v>0</v>
      </c>
      <c r="M200" s="219">
        <v>0</v>
      </c>
      <c r="N200" s="219">
        <v>0</v>
      </c>
      <c r="O200" s="219">
        <v>0</v>
      </c>
      <c r="P200" s="1658">
        <v>0.17880790000000002</v>
      </c>
      <c r="Q200" s="1658">
        <v>0.16064259999999997</v>
      </c>
      <c r="R200" s="1658">
        <v>0.17223650000000001</v>
      </c>
      <c r="S200" s="1658">
        <v>0.17232380000000003</v>
      </c>
      <c r="T200" s="1658">
        <v>0.17021280000000005</v>
      </c>
      <c r="U200" s="1658">
        <v>0.17297300000000004</v>
      </c>
      <c r="V200" s="219">
        <v>0</v>
      </c>
      <c r="W200" s="219">
        <v>0</v>
      </c>
      <c r="X200" s="219">
        <v>0</v>
      </c>
      <c r="Y200" s="219">
        <v>0</v>
      </c>
      <c r="Z200" s="219">
        <v>0</v>
      </c>
      <c r="AA200" s="219">
        <v>0</v>
      </c>
      <c r="AB200" s="219">
        <v>0</v>
      </c>
      <c r="AC200" s="219">
        <v>0</v>
      </c>
      <c r="AD200" s="219">
        <v>0</v>
      </c>
      <c r="AE200" s="219">
        <v>0</v>
      </c>
    </row>
    <row r="201" spans="3:31" outlineLevel="1">
      <c r="C201" s="983" t="str">
        <f t="shared" si="19"/>
        <v>Rent and rates</v>
      </c>
      <c r="E201" s="3" t="s">
        <v>43</v>
      </c>
      <c r="L201" s="219">
        <v>0</v>
      </c>
      <c r="M201" s="219">
        <v>0</v>
      </c>
      <c r="N201" s="219">
        <v>0</v>
      </c>
      <c r="O201" s="219">
        <v>0</v>
      </c>
      <c r="P201" s="1658">
        <v>0.32422260000000003</v>
      </c>
      <c r="Q201" s="1658">
        <v>0.17141119999999999</v>
      </c>
      <c r="R201" s="1658">
        <v>0.17909220000000003</v>
      </c>
      <c r="S201" s="1658">
        <v>0.17917939999999999</v>
      </c>
      <c r="T201" s="1658">
        <v>0.17965390000000003</v>
      </c>
      <c r="U201" s="1658">
        <v>0.17846139999999999</v>
      </c>
      <c r="V201" s="219">
        <v>0</v>
      </c>
      <c r="W201" s="219">
        <v>0</v>
      </c>
      <c r="X201" s="219">
        <v>0</v>
      </c>
      <c r="Y201" s="219">
        <v>0</v>
      </c>
      <c r="Z201" s="219">
        <v>0</v>
      </c>
      <c r="AA201" s="219">
        <v>0</v>
      </c>
      <c r="AB201" s="219">
        <v>0</v>
      </c>
      <c r="AC201" s="219">
        <v>0</v>
      </c>
      <c r="AD201" s="219">
        <v>0</v>
      </c>
      <c r="AE201" s="219">
        <v>0</v>
      </c>
    </row>
    <row r="202" spans="3:31" outlineLevel="1">
      <c r="C202" s="983" t="str">
        <f t="shared" si="19"/>
        <v>Computing</v>
      </c>
      <c r="E202" s="3" t="s">
        <v>43</v>
      </c>
      <c r="L202" s="219">
        <v>0</v>
      </c>
      <c r="M202" s="219">
        <v>0</v>
      </c>
      <c r="N202" s="219">
        <v>0</v>
      </c>
      <c r="O202" s="219">
        <v>0</v>
      </c>
      <c r="P202" s="1658">
        <v>0.32422260000000003</v>
      </c>
      <c r="Q202" s="1658">
        <v>0.17141119999999999</v>
      </c>
      <c r="R202" s="1658">
        <v>0.17909220000000003</v>
      </c>
      <c r="S202" s="1658">
        <v>0.17917939999999999</v>
      </c>
      <c r="T202" s="1658">
        <v>0.17965390000000003</v>
      </c>
      <c r="U202" s="1658">
        <v>0.17846139999999999</v>
      </c>
      <c r="V202" s="219">
        <v>0</v>
      </c>
      <c r="W202" s="219">
        <v>0</v>
      </c>
      <c r="X202" s="219">
        <v>0</v>
      </c>
      <c r="Y202" s="219">
        <v>0</v>
      </c>
      <c r="Z202" s="219">
        <v>0</v>
      </c>
      <c r="AA202" s="219">
        <v>0</v>
      </c>
      <c r="AB202" s="219">
        <v>0</v>
      </c>
      <c r="AC202" s="219">
        <v>0</v>
      </c>
      <c r="AD202" s="219">
        <v>0</v>
      </c>
      <c r="AE202" s="219">
        <v>0</v>
      </c>
    </row>
    <row r="203" spans="3:31" outlineLevel="1">
      <c r="C203" s="983" t="str">
        <f t="shared" si="19"/>
        <v>NIS</v>
      </c>
      <c r="E203" s="3" t="s">
        <v>43</v>
      </c>
      <c r="L203" s="219">
        <v>0</v>
      </c>
      <c r="M203" s="219">
        <v>0</v>
      </c>
      <c r="N203" s="219">
        <v>0</v>
      </c>
      <c r="O203" s="219">
        <v>0</v>
      </c>
      <c r="P203" s="1658">
        <v>0.32422260000000003</v>
      </c>
      <c r="Q203" s="1658">
        <v>0.17141119999999999</v>
      </c>
      <c r="R203" s="1658">
        <v>0.17909220000000003</v>
      </c>
      <c r="S203" s="1658">
        <v>0.17917939999999999</v>
      </c>
      <c r="T203" s="1658">
        <v>0.17965390000000003</v>
      </c>
      <c r="U203" s="1658">
        <v>0.17846139999999999</v>
      </c>
      <c r="V203" s="219">
        <v>0</v>
      </c>
      <c r="W203" s="219">
        <v>0</v>
      </c>
      <c r="X203" s="219">
        <v>0</v>
      </c>
      <c r="Y203" s="219">
        <v>0</v>
      </c>
      <c r="Z203" s="219">
        <v>0</v>
      </c>
      <c r="AA203" s="219">
        <v>0</v>
      </c>
      <c r="AB203" s="219">
        <v>0</v>
      </c>
      <c r="AC203" s="219">
        <v>0</v>
      </c>
      <c r="AD203" s="219">
        <v>0</v>
      </c>
      <c r="AE203" s="219">
        <v>0</v>
      </c>
    </row>
    <row r="204" spans="3:31" outlineLevel="1">
      <c r="C204" s="983" t="str">
        <f t="shared" si="19"/>
        <v>Consultancy</v>
      </c>
      <c r="E204" s="3" t="s">
        <v>43</v>
      </c>
      <c r="L204" s="219">
        <v>0</v>
      </c>
      <c r="M204" s="219">
        <v>0</v>
      </c>
      <c r="N204" s="219">
        <v>0</v>
      </c>
      <c r="O204" s="219">
        <v>0</v>
      </c>
      <c r="P204" s="1658">
        <v>0.32422260000000003</v>
      </c>
      <c r="Q204" s="1658">
        <v>0.17141119999999999</v>
      </c>
      <c r="R204" s="1658">
        <v>0.17909220000000003</v>
      </c>
      <c r="S204" s="1658">
        <v>0.17917939999999999</v>
      </c>
      <c r="T204" s="1658">
        <v>0.17965390000000003</v>
      </c>
      <c r="U204" s="1658">
        <v>0.17846139999999999</v>
      </c>
      <c r="V204" s="219">
        <v>0</v>
      </c>
      <c r="W204" s="219">
        <v>0</v>
      </c>
      <c r="X204" s="219">
        <v>0</v>
      </c>
      <c r="Y204" s="219">
        <v>0</v>
      </c>
      <c r="Z204" s="219">
        <v>0</v>
      </c>
      <c r="AA204" s="219">
        <v>0</v>
      </c>
      <c r="AB204" s="219">
        <v>0</v>
      </c>
      <c r="AC204" s="219">
        <v>0</v>
      </c>
      <c r="AD204" s="219">
        <v>0</v>
      </c>
      <c r="AE204" s="219">
        <v>0</v>
      </c>
    </row>
    <row r="205" spans="3:31" outlineLevel="1">
      <c r="C205" s="983" t="str">
        <f t="shared" si="19"/>
        <v>Insurance (Redacted)</v>
      </c>
      <c r="E205" s="3" t="s">
        <v>43</v>
      </c>
      <c r="L205" s="219">
        <v>0</v>
      </c>
      <c r="M205" s="219">
        <v>0</v>
      </c>
      <c r="N205" s="219">
        <v>0</v>
      </c>
      <c r="O205" s="219">
        <v>0</v>
      </c>
      <c r="P205" s="219">
        <v>0</v>
      </c>
      <c r="Q205" s="219">
        <v>0</v>
      </c>
      <c r="R205" s="219">
        <v>0</v>
      </c>
      <c r="S205" s="219">
        <v>0</v>
      </c>
      <c r="T205" s="219">
        <v>0</v>
      </c>
      <c r="U205" s="219">
        <v>0</v>
      </c>
      <c r="V205" s="219">
        <v>0</v>
      </c>
      <c r="W205" s="219">
        <v>0</v>
      </c>
      <c r="X205" s="219">
        <v>0</v>
      </c>
      <c r="Y205" s="219">
        <v>0</v>
      </c>
      <c r="Z205" s="219">
        <v>0</v>
      </c>
      <c r="AA205" s="219">
        <v>0</v>
      </c>
      <c r="AB205" s="219">
        <v>0</v>
      </c>
      <c r="AC205" s="219">
        <v>0</v>
      </c>
      <c r="AD205" s="219">
        <v>0</v>
      </c>
      <c r="AE205" s="219">
        <v>0</v>
      </c>
    </row>
    <row r="206" spans="3:31" outlineLevel="1">
      <c r="C206" s="983" t="str">
        <f t="shared" si="19"/>
        <v>Building repairs</v>
      </c>
      <c r="E206" s="3" t="s">
        <v>43</v>
      </c>
      <c r="L206" s="219">
        <v>0</v>
      </c>
      <c r="M206" s="219">
        <v>0</v>
      </c>
      <c r="N206" s="219">
        <v>0</v>
      </c>
      <c r="O206" s="219">
        <v>0</v>
      </c>
      <c r="P206" s="1658">
        <v>0.32422260000000003</v>
      </c>
      <c r="Q206" s="1658">
        <v>0.17141119999999999</v>
      </c>
      <c r="R206" s="1658">
        <v>0.17909220000000003</v>
      </c>
      <c r="S206" s="1658">
        <v>0.17917939999999999</v>
      </c>
      <c r="T206" s="1658">
        <v>0.17965390000000003</v>
      </c>
      <c r="U206" s="1658">
        <v>0.17846139999999999</v>
      </c>
      <c r="V206" s="219">
        <v>0</v>
      </c>
      <c r="W206" s="219">
        <v>0</v>
      </c>
      <c r="X206" s="219">
        <v>0</v>
      </c>
      <c r="Y206" s="219">
        <v>0</v>
      </c>
      <c r="Z206" s="219">
        <v>0</v>
      </c>
      <c r="AA206" s="219">
        <v>0</v>
      </c>
      <c r="AB206" s="219">
        <v>0</v>
      </c>
      <c r="AC206" s="219">
        <v>0</v>
      </c>
      <c r="AD206" s="219">
        <v>0</v>
      </c>
      <c r="AE206" s="219">
        <v>0</v>
      </c>
    </row>
    <row r="207" spans="3:31" outlineLevel="1">
      <c r="C207" s="983" t="str">
        <f t="shared" si="19"/>
        <v>Environmental</v>
      </c>
      <c r="E207" s="3" t="s">
        <v>43</v>
      </c>
      <c r="L207" s="219">
        <v>0</v>
      </c>
      <c r="M207" s="219">
        <v>0</v>
      </c>
      <c r="N207" s="219">
        <v>0</v>
      </c>
      <c r="O207" s="219">
        <v>0</v>
      </c>
      <c r="P207" s="1658">
        <v>0.32422260000000003</v>
      </c>
      <c r="Q207" s="1658">
        <v>0.17141119999999999</v>
      </c>
      <c r="R207" s="1658">
        <v>0.17909220000000003</v>
      </c>
      <c r="S207" s="1658">
        <v>0.17917939999999999</v>
      </c>
      <c r="T207" s="1658">
        <v>0.17965390000000003</v>
      </c>
      <c r="U207" s="1658">
        <v>0.17846139999999999</v>
      </c>
      <c r="V207" s="219">
        <v>0</v>
      </c>
      <c r="W207" s="219">
        <v>0</v>
      </c>
      <c r="X207" s="219">
        <v>0</v>
      </c>
      <c r="Y207" s="219">
        <v>0</v>
      </c>
      <c r="Z207" s="219">
        <v>0</v>
      </c>
      <c r="AA207" s="219">
        <v>0</v>
      </c>
      <c r="AB207" s="219">
        <v>0</v>
      </c>
      <c r="AC207" s="219">
        <v>0</v>
      </c>
      <c r="AD207" s="219">
        <v>0</v>
      </c>
      <c r="AE207" s="219">
        <v>0</v>
      </c>
    </row>
    <row r="208" spans="3:31" outlineLevel="1">
      <c r="C208" s="983" t="str">
        <f t="shared" si="19"/>
        <v>Security (Redacted)</v>
      </c>
      <c r="E208" s="3" t="s">
        <v>43</v>
      </c>
      <c r="L208" s="219">
        <v>0</v>
      </c>
      <c r="M208" s="219">
        <v>0</v>
      </c>
      <c r="N208" s="219">
        <v>0</v>
      </c>
      <c r="O208" s="219">
        <v>0</v>
      </c>
      <c r="P208" s="219">
        <v>0</v>
      </c>
      <c r="Q208" s="219">
        <v>0</v>
      </c>
      <c r="R208" s="219">
        <v>0</v>
      </c>
      <c r="S208" s="219">
        <v>0</v>
      </c>
      <c r="T208" s="219">
        <v>0</v>
      </c>
      <c r="U208" s="219">
        <v>0</v>
      </c>
      <c r="V208" s="219">
        <v>0</v>
      </c>
      <c r="W208" s="219">
        <v>0</v>
      </c>
      <c r="X208" s="219">
        <v>0</v>
      </c>
      <c r="Y208" s="219">
        <v>0</v>
      </c>
      <c r="Z208" s="219">
        <v>0</v>
      </c>
      <c r="AA208" s="219">
        <v>0</v>
      </c>
      <c r="AB208" s="219">
        <v>0</v>
      </c>
      <c r="AC208" s="219">
        <v>0</v>
      </c>
      <c r="AD208" s="219">
        <v>0</v>
      </c>
      <c r="AE208" s="219">
        <v>0</v>
      </c>
    </row>
    <row r="209" spans="3:31" outlineLevel="1">
      <c r="C209" s="983" t="str">
        <f t="shared" si="19"/>
        <v>Professional services</v>
      </c>
      <c r="E209" s="3" t="s">
        <v>43</v>
      </c>
      <c r="L209" s="219">
        <v>0</v>
      </c>
      <c r="M209" s="219">
        <v>0</v>
      </c>
      <c r="N209" s="219">
        <v>0</v>
      </c>
      <c r="O209" s="219">
        <v>0</v>
      </c>
      <c r="P209" s="1658">
        <v>0.32422260000000003</v>
      </c>
      <c r="Q209" s="1658">
        <v>0.17141119999999999</v>
      </c>
      <c r="R209" s="1658">
        <v>0.17909220000000003</v>
      </c>
      <c r="S209" s="1658">
        <v>0.17917939999999999</v>
      </c>
      <c r="T209" s="1658">
        <v>0.17965390000000003</v>
      </c>
      <c r="U209" s="1658">
        <v>0.17846139999999999</v>
      </c>
      <c r="V209" s="219">
        <v>0</v>
      </c>
      <c r="W209" s="219">
        <v>0</v>
      </c>
      <c r="X209" s="219">
        <v>0</v>
      </c>
      <c r="Y209" s="219">
        <v>0</v>
      </c>
      <c r="Z209" s="219">
        <v>0</v>
      </c>
      <c r="AA209" s="219">
        <v>0</v>
      </c>
      <c r="AB209" s="219">
        <v>0</v>
      </c>
      <c r="AC209" s="219">
        <v>0</v>
      </c>
      <c r="AD209" s="219">
        <v>0</v>
      </c>
      <c r="AE209" s="219">
        <v>0</v>
      </c>
    </row>
    <row r="210" spans="3:31" outlineLevel="1">
      <c r="C210" s="983" t="str">
        <f t="shared" si="19"/>
        <v>Cleaning (Redacted)</v>
      </c>
      <c r="E210" s="3" t="s">
        <v>43</v>
      </c>
      <c r="L210" s="219">
        <v>0</v>
      </c>
      <c r="M210" s="219">
        <v>0</v>
      </c>
      <c r="N210" s="219">
        <v>0</v>
      </c>
      <c r="O210" s="219">
        <v>0</v>
      </c>
      <c r="P210" s="219">
        <v>0</v>
      </c>
      <c r="Q210" s="219">
        <v>0</v>
      </c>
      <c r="R210" s="219">
        <v>0</v>
      </c>
      <c r="S210" s="219">
        <v>0</v>
      </c>
      <c r="T210" s="219">
        <v>0</v>
      </c>
      <c r="U210" s="219">
        <v>0</v>
      </c>
      <c r="V210" s="219">
        <v>0</v>
      </c>
      <c r="W210" s="219">
        <v>0</v>
      </c>
      <c r="X210" s="219">
        <v>0</v>
      </c>
      <c r="Y210" s="219">
        <v>0</v>
      </c>
      <c r="Z210" s="219">
        <v>0</v>
      </c>
      <c r="AA210" s="219">
        <v>0</v>
      </c>
      <c r="AB210" s="219">
        <v>0</v>
      </c>
      <c r="AC210" s="219">
        <v>0</v>
      </c>
      <c r="AD210" s="219">
        <v>0</v>
      </c>
      <c r="AE210" s="219">
        <v>0</v>
      </c>
    </row>
    <row r="211" spans="3:31" outlineLevel="1">
      <c r="C211" s="983" t="str">
        <f t="shared" si="19"/>
        <v>IAA Restructuring</v>
      </c>
      <c r="E211" s="3" t="s">
        <v>43</v>
      </c>
      <c r="L211" s="219">
        <v>0</v>
      </c>
      <c r="M211" s="219">
        <v>0</v>
      </c>
      <c r="N211" s="219">
        <v>0</v>
      </c>
      <c r="O211" s="219">
        <v>0</v>
      </c>
      <c r="P211" s="1658">
        <v>0.32422260000000003</v>
      </c>
      <c r="Q211" s="1658">
        <v>0.17141119999999999</v>
      </c>
      <c r="R211" s="1658">
        <v>0.17909220000000003</v>
      </c>
      <c r="S211" s="1658">
        <v>0.17917939999999999</v>
      </c>
      <c r="T211" s="1658">
        <v>0.17965390000000003</v>
      </c>
      <c r="U211" s="1658">
        <v>0.17846139999999999</v>
      </c>
      <c r="V211" s="219">
        <v>0</v>
      </c>
      <c r="W211" s="219">
        <v>0</v>
      </c>
      <c r="X211" s="219">
        <v>0</v>
      </c>
      <c r="Y211" s="219">
        <v>0</v>
      </c>
      <c r="Z211" s="219">
        <v>0</v>
      </c>
      <c r="AA211" s="219">
        <v>0</v>
      </c>
      <c r="AB211" s="219">
        <v>0</v>
      </c>
      <c r="AC211" s="219">
        <v>0</v>
      </c>
      <c r="AD211" s="219">
        <v>0</v>
      </c>
      <c r="AE211" s="219">
        <v>0</v>
      </c>
    </row>
    <row r="212" spans="3:31" outlineLevel="1">
      <c r="C212" s="983" t="str">
        <f t="shared" si="19"/>
        <v>Impairment</v>
      </c>
      <c r="E212" s="3" t="s">
        <v>43</v>
      </c>
      <c r="L212" s="219">
        <v>0</v>
      </c>
      <c r="M212" s="219">
        <v>0</v>
      </c>
      <c r="N212" s="219">
        <v>0</v>
      </c>
      <c r="O212" s="219">
        <v>0</v>
      </c>
      <c r="P212" s="1658">
        <v>0.32422260000000003</v>
      </c>
      <c r="Q212" s="1658">
        <v>0.17141119999999999</v>
      </c>
      <c r="R212" s="1658">
        <v>0.17909220000000003</v>
      </c>
      <c r="S212" s="1658">
        <v>0.17917939999999999</v>
      </c>
      <c r="T212" s="1658">
        <v>0.17965390000000003</v>
      </c>
      <c r="U212" s="1658">
        <v>0.17846139999999999</v>
      </c>
      <c r="V212" s="219">
        <v>0</v>
      </c>
      <c r="W212" s="219">
        <v>0</v>
      </c>
      <c r="X212" s="219">
        <v>0</v>
      </c>
      <c r="Y212" s="219">
        <v>0</v>
      </c>
      <c r="Z212" s="219">
        <v>0</v>
      </c>
      <c r="AA212" s="219">
        <v>0</v>
      </c>
      <c r="AB212" s="219">
        <v>0</v>
      </c>
      <c r="AC212" s="219">
        <v>0</v>
      </c>
      <c r="AD212" s="219">
        <v>0</v>
      </c>
      <c r="AE212" s="219">
        <v>0</v>
      </c>
    </row>
    <row r="213" spans="3:31" outlineLevel="1">
      <c r="C213" s="983" t="str">
        <f t="shared" si="19"/>
        <v>PR</v>
      </c>
      <c r="E213" s="3" t="s">
        <v>43</v>
      </c>
      <c r="L213" s="219">
        <v>0</v>
      </c>
      <c r="M213" s="219">
        <v>0</v>
      </c>
      <c r="N213" s="219">
        <v>0</v>
      </c>
      <c r="O213" s="219">
        <v>0</v>
      </c>
      <c r="P213" s="1658">
        <v>0.32422260000000003</v>
      </c>
      <c r="Q213" s="1658">
        <v>0.17141119999999999</v>
      </c>
      <c r="R213" s="1658">
        <v>0.17909220000000003</v>
      </c>
      <c r="S213" s="1658">
        <v>0.17917939999999999</v>
      </c>
      <c r="T213" s="1658">
        <v>0.17965390000000003</v>
      </c>
      <c r="U213" s="1658">
        <v>0.17846139999999999</v>
      </c>
      <c r="V213" s="219">
        <v>0</v>
      </c>
      <c r="W213" s="219">
        <v>0</v>
      </c>
      <c r="X213" s="219">
        <v>0</v>
      </c>
      <c r="Y213" s="219">
        <v>0</v>
      </c>
      <c r="Z213" s="219">
        <v>0</v>
      </c>
      <c r="AA213" s="219">
        <v>0</v>
      </c>
      <c r="AB213" s="219">
        <v>0</v>
      </c>
      <c r="AC213" s="219">
        <v>0</v>
      </c>
      <c r="AD213" s="219">
        <v>0</v>
      </c>
      <c r="AE213" s="219">
        <v>0</v>
      </c>
    </row>
    <row r="214" spans="3:31" outlineLevel="1">
      <c r="C214" s="983" t="str">
        <f t="shared" si="19"/>
        <v>Staff related</v>
      </c>
      <c r="E214" s="3" t="s">
        <v>43</v>
      </c>
      <c r="L214" s="219">
        <v>0</v>
      </c>
      <c r="M214" s="219">
        <v>0</v>
      </c>
      <c r="N214" s="219">
        <v>0</v>
      </c>
      <c r="O214" s="219">
        <v>0</v>
      </c>
      <c r="P214" s="1658">
        <v>0.32422260000000003</v>
      </c>
      <c r="Q214" s="1658">
        <v>0.17141119999999999</v>
      </c>
      <c r="R214" s="1658">
        <v>0.17909220000000003</v>
      </c>
      <c r="S214" s="1658">
        <v>0.17917939999999999</v>
      </c>
      <c r="T214" s="1658">
        <v>0.17965390000000003</v>
      </c>
      <c r="U214" s="1658">
        <v>0.17846139999999999</v>
      </c>
      <c r="V214" s="219">
        <v>0</v>
      </c>
      <c r="W214" s="219">
        <v>0</v>
      </c>
      <c r="X214" s="219">
        <v>0</v>
      </c>
      <c r="Y214" s="219">
        <v>0</v>
      </c>
      <c r="Z214" s="219">
        <v>0</v>
      </c>
      <c r="AA214" s="219">
        <v>0</v>
      </c>
      <c r="AB214" s="219">
        <v>0</v>
      </c>
      <c r="AC214" s="219">
        <v>0</v>
      </c>
      <c r="AD214" s="219">
        <v>0</v>
      </c>
      <c r="AE214" s="219">
        <v>0</v>
      </c>
    </row>
    <row r="215" spans="3:31" outlineLevel="1">
      <c r="C215" s="983" t="str">
        <f t="shared" si="19"/>
        <v>Other</v>
      </c>
      <c r="E215" s="3" t="s">
        <v>43</v>
      </c>
      <c r="L215" s="219"/>
      <c r="M215" s="219"/>
      <c r="N215" s="219"/>
      <c r="O215" s="219"/>
      <c r="P215" s="1658">
        <v>0.32422260000000003</v>
      </c>
      <c r="Q215" s="1658">
        <v>0.17141119999999999</v>
      </c>
      <c r="R215" s="1658">
        <v>0.17909220000000003</v>
      </c>
      <c r="S215" s="1658">
        <v>0.17917939999999999</v>
      </c>
      <c r="T215" s="1658">
        <v>0.17965390000000003</v>
      </c>
      <c r="U215" s="1658">
        <v>0.17846139999999999</v>
      </c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</row>
    <row r="216" spans="3:31" outlineLevel="1">
      <c r="C216" s="983" t="str">
        <f t="shared" si="19"/>
        <v>Redacted</v>
      </c>
      <c r="E216" s="3" t="s">
        <v>43</v>
      </c>
      <c r="L216" s="219"/>
      <c r="M216" s="219"/>
      <c r="N216" s="219"/>
      <c r="O216" s="219"/>
      <c r="P216" s="1658">
        <v>0.20735840000000005</v>
      </c>
      <c r="Q216" s="1658">
        <v>0.17247500000000004</v>
      </c>
      <c r="R216" s="1658">
        <v>0.1742011</v>
      </c>
      <c r="S216" s="1658">
        <v>0.17681899999999995</v>
      </c>
      <c r="T216" s="1658">
        <v>0.17902709999999999</v>
      </c>
      <c r="U216" s="1658">
        <v>0.17925489999999999</v>
      </c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</row>
    <row r="217" spans="3:31" outlineLevel="1">
      <c r="C217" s="983">
        <f t="shared" si="19"/>
        <v>0</v>
      </c>
      <c r="L217" s="219"/>
      <c r="M217" s="219"/>
      <c r="N217" s="219"/>
      <c r="O217" s="219"/>
      <c r="P217" s="223"/>
      <c r="Q217" s="223"/>
      <c r="R217" s="223"/>
      <c r="S217" s="223"/>
      <c r="T217" s="223"/>
      <c r="U217" s="223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</row>
    <row r="218" spans="3:31" outlineLevel="1">
      <c r="C218" s="983">
        <f t="shared" si="19"/>
        <v>0</v>
      </c>
      <c r="L218" s="219"/>
      <c r="M218" s="219"/>
      <c r="N218" s="219"/>
      <c r="O218" s="219"/>
      <c r="P218" s="223"/>
      <c r="Q218" s="223"/>
      <c r="R218" s="223"/>
      <c r="S218" s="223"/>
      <c r="T218" s="223"/>
      <c r="U218" s="223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</row>
    <row r="219" spans="3:31" outlineLevel="1">
      <c r="C219" s="983">
        <f t="shared" si="19"/>
        <v>0</v>
      </c>
      <c r="L219" s="219"/>
      <c r="M219" s="219"/>
      <c r="N219" s="219"/>
      <c r="O219" s="219"/>
      <c r="P219" s="223"/>
      <c r="Q219" s="223"/>
      <c r="R219" s="223"/>
      <c r="S219" s="223"/>
      <c r="T219" s="223"/>
      <c r="U219" s="223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</row>
    <row r="220" spans="3:31" outlineLevel="1">
      <c r="C220" s="983">
        <f t="shared" si="19"/>
        <v>0</v>
      </c>
      <c r="L220" s="219"/>
      <c r="M220" s="219"/>
      <c r="N220" s="219"/>
      <c r="O220" s="219"/>
      <c r="P220" s="223"/>
      <c r="Q220" s="223"/>
      <c r="R220" s="223"/>
      <c r="S220" s="223"/>
      <c r="T220" s="223"/>
      <c r="U220" s="223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</row>
    <row r="221" spans="3:31" outlineLevel="1">
      <c r="C221" s="983">
        <f t="shared" si="19"/>
        <v>0</v>
      </c>
      <c r="L221" s="219"/>
      <c r="M221" s="219"/>
      <c r="N221" s="219"/>
      <c r="O221" s="219"/>
      <c r="P221" s="223"/>
      <c r="Q221" s="223"/>
      <c r="R221" s="223"/>
      <c r="S221" s="223"/>
      <c r="T221" s="223"/>
      <c r="U221" s="223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</row>
    <row r="222" spans="3:31" outlineLevel="1">
      <c r="C222" s="983">
        <f t="shared" si="19"/>
        <v>0</v>
      </c>
      <c r="L222" s="219">
        <v>0</v>
      </c>
      <c r="M222" s="219">
        <v>0</v>
      </c>
      <c r="N222" s="219">
        <v>0</v>
      </c>
      <c r="O222" s="219">
        <v>0</v>
      </c>
      <c r="P222" s="223"/>
      <c r="Q222" s="223"/>
      <c r="R222" s="223"/>
      <c r="S222" s="223"/>
      <c r="T222" s="223"/>
      <c r="U222" s="223"/>
      <c r="V222" s="219">
        <v>0</v>
      </c>
      <c r="W222" s="219">
        <v>0</v>
      </c>
      <c r="X222" s="219">
        <v>0</v>
      </c>
      <c r="Y222" s="219">
        <v>0</v>
      </c>
      <c r="Z222" s="219">
        <v>0</v>
      </c>
      <c r="AA222" s="219">
        <v>0</v>
      </c>
      <c r="AB222" s="219">
        <v>0</v>
      </c>
      <c r="AC222" s="219">
        <v>0</v>
      </c>
      <c r="AD222" s="219">
        <v>0</v>
      </c>
      <c r="AE222" s="219">
        <v>0</v>
      </c>
    </row>
    <row r="224" spans="3:31" ht="13.5" thickBot="1">
      <c r="C224" s="6" t="s">
        <v>797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2:31">
      <c r="C225" s="3" t="s">
        <v>853</v>
      </c>
      <c r="E225" s="3" t="s">
        <v>29</v>
      </c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</row>
    <row r="227" spans="2:31" ht="13.5" thickBot="1">
      <c r="C227" s="6" t="s">
        <v>815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2:31">
      <c r="C228" s="3" t="s">
        <v>853</v>
      </c>
      <c r="E228" s="3" t="s">
        <v>29</v>
      </c>
      <c r="L228" s="27">
        <f t="shared" ref="L228:AE228" si="20">((SUMPRODUCT(L110:L141,L191:L222)*(L225="")+L225))</f>
        <v>0</v>
      </c>
      <c r="M228" s="27">
        <f t="shared" si="20"/>
        <v>0</v>
      </c>
      <c r="N228" s="27">
        <f t="shared" si="20"/>
        <v>0</v>
      </c>
      <c r="O228" s="27">
        <f t="shared" si="20"/>
        <v>0</v>
      </c>
      <c r="P228" s="27">
        <f t="shared" si="20"/>
        <v>7704.9994015000011</v>
      </c>
      <c r="Q228" s="27">
        <f t="shared" si="20"/>
        <v>4815.0782170244001</v>
      </c>
      <c r="R228" s="27">
        <f t="shared" si="20"/>
        <v>5406.3676012346004</v>
      </c>
      <c r="S228" s="27">
        <f t="shared" si="20"/>
        <v>5975.0417753857391</v>
      </c>
      <c r="T228" s="27">
        <f t="shared" si="20"/>
        <v>6239.142590142872</v>
      </c>
      <c r="U228" s="27">
        <f t="shared" si="20"/>
        <v>6341.9458209013101</v>
      </c>
      <c r="V228" s="27">
        <f t="shared" si="20"/>
        <v>0</v>
      </c>
      <c r="W228" s="27">
        <f t="shared" si="20"/>
        <v>0</v>
      </c>
      <c r="X228" s="27">
        <f t="shared" si="20"/>
        <v>0</v>
      </c>
      <c r="Y228" s="27">
        <f t="shared" si="20"/>
        <v>0</v>
      </c>
      <c r="Z228" s="27">
        <f t="shared" si="20"/>
        <v>0</v>
      </c>
      <c r="AA228" s="27">
        <f t="shared" si="20"/>
        <v>0</v>
      </c>
      <c r="AB228" s="27">
        <f t="shared" si="20"/>
        <v>0</v>
      </c>
      <c r="AC228" s="27">
        <f t="shared" si="20"/>
        <v>0</v>
      </c>
      <c r="AD228" s="27">
        <f t="shared" si="20"/>
        <v>0</v>
      </c>
      <c r="AE228" s="27">
        <f t="shared" si="20"/>
        <v>0</v>
      </c>
    </row>
    <row r="229" spans="2:31">
      <c r="H229" s="148"/>
      <c r="L229" s="26"/>
      <c r="M229" s="26"/>
      <c r="N229" s="26"/>
      <c r="O229" s="26"/>
      <c r="P229" s="984"/>
      <c r="Q229" s="984"/>
      <c r="R229" s="984"/>
      <c r="S229" s="984"/>
      <c r="T229" s="984"/>
      <c r="U229" s="984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</row>
    <row r="230" spans="2:31">
      <c r="B230" s="20" t="s">
        <v>33</v>
      </c>
      <c r="C230" s="1613"/>
      <c r="D230" s="1613" t="s">
        <v>814</v>
      </c>
      <c r="E230" s="1613" t="s">
        <v>814</v>
      </c>
      <c r="F230" s="1613" t="s">
        <v>814</v>
      </c>
      <c r="G230" s="1613" t="s">
        <v>814</v>
      </c>
      <c r="H230" s="1613" t="s">
        <v>814</v>
      </c>
      <c r="I230" s="1613" t="s">
        <v>814</v>
      </c>
      <c r="J230" s="1613" t="s">
        <v>814</v>
      </c>
      <c r="K230" s="1613" t="s">
        <v>814</v>
      </c>
      <c r="L230" s="1613" t="s">
        <v>814</v>
      </c>
      <c r="M230" s="1613" t="s">
        <v>814</v>
      </c>
      <c r="N230" s="1613" t="s">
        <v>814</v>
      </c>
      <c r="O230" s="1613" t="s">
        <v>814</v>
      </c>
      <c r="P230" s="1613" t="s">
        <v>814</v>
      </c>
      <c r="Q230" s="1613" t="s">
        <v>814</v>
      </c>
      <c r="R230" s="1613" t="s">
        <v>814</v>
      </c>
      <c r="S230" s="1613" t="s">
        <v>814</v>
      </c>
      <c r="T230" s="1613" t="s">
        <v>814</v>
      </c>
      <c r="U230" s="1613" t="s">
        <v>814</v>
      </c>
      <c r="V230" s="1613" t="s">
        <v>814</v>
      </c>
      <c r="W230" s="1613" t="s">
        <v>814</v>
      </c>
      <c r="X230" s="1613" t="s">
        <v>814</v>
      </c>
      <c r="Y230" s="1613" t="s">
        <v>814</v>
      </c>
      <c r="Z230" s="1613" t="s">
        <v>814</v>
      </c>
      <c r="AA230" s="1613" t="s">
        <v>814</v>
      </c>
      <c r="AB230" s="1613" t="s">
        <v>814</v>
      </c>
      <c r="AC230" s="1613" t="s">
        <v>814</v>
      </c>
      <c r="AD230" s="1613" t="s">
        <v>814</v>
      </c>
      <c r="AE230" s="1613" t="s">
        <v>814</v>
      </c>
    </row>
    <row r="231" spans="2:31">
      <c r="B231" s="1593" t="s">
        <v>814</v>
      </c>
      <c r="C231" s="1593" t="s">
        <v>814</v>
      </c>
      <c r="D231" s="1593" t="s">
        <v>814</v>
      </c>
      <c r="E231" s="1593" t="s">
        <v>814</v>
      </c>
      <c r="F231" s="1593" t="s">
        <v>814</v>
      </c>
      <c r="G231" s="1593" t="s">
        <v>814</v>
      </c>
      <c r="H231" s="1593" t="s">
        <v>814</v>
      </c>
      <c r="I231" s="1593" t="s">
        <v>814</v>
      </c>
      <c r="J231" s="1593" t="s">
        <v>814</v>
      </c>
      <c r="K231" s="1593" t="s">
        <v>814</v>
      </c>
      <c r="L231" s="1593" t="s">
        <v>814</v>
      </c>
      <c r="M231" s="1593" t="s">
        <v>814</v>
      </c>
      <c r="N231" s="1593" t="s">
        <v>814</v>
      </c>
      <c r="O231" s="1593" t="s">
        <v>814</v>
      </c>
      <c r="P231" s="1593" t="s">
        <v>814</v>
      </c>
      <c r="Q231" s="1593" t="s">
        <v>814</v>
      </c>
      <c r="R231" s="1593" t="s">
        <v>814</v>
      </c>
      <c r="S231" s="1593" t="s">
        <v>814</v>
      </c>
      <c r="T231" s="1593" t="s">
        <v>814</v>
      </c>
      <c r="U231" s="1593" t="s">
        <v>814</v>
      </c>
      <c r="V231" s="1593" t="s">
        <v>814</v>
      </c>
      <c r="W231" s="1593" t="s">
        <v>814</v>
      </c>
      <c r="X231" s="1593" t="s">
        <v>814</v>
      </c>
      <c r="Y231" s="1593" t="s">
        <v>814</v>
      </c>
      <c r="Z231" s="1593" t="s">
        <v>814</v>
      </c>
      <c r="AA231" s="1593" t="s">
        <v>814</v>
      </c>
      <c r="AB231" s="1593" t="s">
        <v>814</v>
      </c>
      <c r="AC231" s="1593" t="s">
        <v>814</v>
      </c>
      <c r="AD231" s="1593" t="s">
        <v>814</v>
      </c>
      <c r="AE231" s="1593" t="s">
        <v>814</v>
      </c>
    </row>
    <row r="232" spans="2:31">
      <c r="B232" s="1593" t="s">
        <v>814</v>
      </c>
      <c r="C232" s="1614" t="s">
        <v>855</v>
      </c>
      <c r="D232" s="1614" t="s">
        <v>814</v>
      </c>
      <c r="E232" s="1614" t="s">
        <v>814</v>
      </c>
      <c r="F232" s="1614" t="s">
        <v>814</v>
      </c>
      <c r="G232" s="1614" t="s">
        <v>814</v>
      </c>
      <c r="H232" s="1614" t="s">
        <v>814</v>
      </c>
      <c r="I232" s="1614" t="s">
        <v>814</v>
      </c>
      <c r="J232" s="1614" t="s">
        <v>814</v>
      </c>
      <c r="K232" s="1614" t="s">
        <v>814</v>
      </c>
      <c r="L232" s="1614" t="s">
        <v>814</v>
      </c>
      <c r="M232" s="1614" t="s">
        <v>814</v>
      </c>
      <c r="N232" s="1614" t="s">
        <v>814</v>
      </c>
      <c r="O232" s="1614" t="s">
        <v>814</v>
      </c>
      <c r="P232" s="1614" t="s">
        <v>814</v>
      </c>
      <c r="Q232" s="1614" t="s">
        <v>814</v>
      </c>
      <c r="R232" s="1614" t="s">
        <v>814</v>
      </c>
      <c r="S232" s="1614" t="s">
        <v>814</v>
      </c>
      <c r="T232" s="1614" t="s">
        <v>814</v>
      </c>
      <c r="U232" s="1614" t="s">
        <v>814</v>
      </c>
      <c r="V232" s="1614" t="s">
        <v>814</v>
      </c>
      <c r="W232" s="1614" t="s">
        <v>814</v>
      </c>
      <c r="X232" s="1614" t="s">
        <v>814</v>
      </c>
      <c r="Y232" s="1614" t="s">
        <v>814</v>
      </c>
      <c r="Z232" s="1614" t="s">
        <v>814</v>
      </c>
      <c r="AA232" s="1614" t="s">
        <v>814</v>
      </c>
      <c r="AB232" s="1614" t="s">
        <v>814</v>
      </c>
      <c r="AC232" s="1614" t="s">
        <v>814</v>
      </c>
      <c r="AD232" s="1614" t="s">
        <v>814</v>
      </c>
      <c r="AE232" s="1614" t="s">
        <v>814</v>
      </c>
    </row>
    <row r="233" spans="2:31">
      <c r="B233" s="1593" t="s">
        <v>814</v>
      </c>
      <c r="C233" s="1593" t="s">
        <v>12</v>
      </c>
      <c r="D233" s="1593" t="s">
        <v>814</v>
      </c>
      <c r="E233" s="1593" t="s">
        <v>29</v>
      </c>
      <c r="F233" s="1593" t="s">
        <v>814</v>
      </c>
      <c r="G233" s="1593" t="s">
        <v>814</v>
      </c>
      <c r="H233" s="1593" t="s">
        <v>814</v>
      </c>
      <c r="I233" s="1593" t="s">
        <v>814</v>
      </c>
      <c r="J233" s="1593" t="s">
        <v>814</v>
      </c>
      <c r="K233" s="1593" t="s">
        <v>814</v>
      </c>
      <c r="L233" s="1586" t="s">
        <v>814</v>
      </c>
      <c r="M233" s="1587" t="s">
        <v>814</v>
      </c>
      <c r="N233" s="1587" t="s">
        <v>814</v>
      </c>
      <c r="O233" s="1587" t="s">
        <v>814</v>
      </c>
      <c r="P233" s="1587" t="s">
        <v>814</v>
      </c>
      <c r="Q233" s="1587" t="s">
        <v>814</v>
      </c>
      <c r="R233" s="1588">
        <v>1236</v>
      </c>
      <c r="S233" s="1587" t="s">
        <v>814</v>
      </c>
      <c r="T233" s="1587" t="s">
        <v>814</v>
      </c>
      <c r="U233" s="1587" t="s">
        <v>814</v>
      </c>
      <c r="V233" s="1587" t="s">
        <v>814</v>
      </c>
      <c r="W233" s="1587" t="s">
        <v>814</v>
      </c>
      <c r="X233" s="1587" t="s">
        <v>814</v>
      </c>
      <c r="Y233" s="1587" t="s">
        <v>814</v>
      </c>
      <c r="Z233" s="1587" t="s">
        <v>814</v>
      </c>
      <c r="AA233" s="1587" t="s">
        <v>814</v>
      </c>
      <c r="AB233" s="1587" t="s">
        <v>814</v>
      </c>
      <c r="AC233" s="1587" t="s">
        <v>814</v>
      </c>
      <c r="AD233" s="1587" t="s">
        <v>814</v>
      </c>
      <c r="AE233" s="1587" t="s">
        <v>814</v>
      </c>
    </row>
    <row r="234" spans="2:31">
      <c r="B234" s="1593" t="s">
        <v>814</v>
      </c>
      <c r="C234" s="1593" t="s">
        <v>814</v>
      </c>
      <c r="D234" s="1593" t="s">
        <v>814</v>
      </c>
      <c r="E234" s="1593" t="s">
        <v>814</v>
      </c>
      <c r="F234" s="1593" t="s">
        <v>814</v>
      </c>
      <c r="G234" s="1593" t="s">
        <v>814</v>
      </c>
      <c r="H234" s="1593" t="s">
        <v>814</v>
      </c>
      <c r="I234" s="1593" t="s">
        <v>814</v>
      </c>
      <c r="J234" s="1593" t="s">
        <v>814</v>
      </c>
      <c r="K234" s="1593" t="s">
        <v>814</v>
      </c>
      <c r="L234" s="1593" t="s">
        <v>814</v>
      </c>
      <c r="M234" s="1593" t="s">
        <v>814</v>
      </c>
      <c r="N234" s="1593" t="s">
        <v>814</v>
      </c>
      <c r="O234" s="1593" t="s">
        <v>814</v>
      </c>
      <c r="P234" s="1593" t="s">
        <v>814</v>
      </c>
      <c r="Q234" s="1593" t="s">
        <v>814</v>
      </c>
      <c r="R234" s="1620" t="s">
        <v>814</v>
      </c>
      <c r="S234" s="1593" t="s">
        <v>814</v>
      </c>
      <c r="T234" s="1593" t="s">
        <v>814</v>
      </c>
      <c r="U234" s="1593" t="s">
        <v>814</v>
      </c>
      <c r="V234" s="1593" t="s">
        <v>814</v>
      </c>
      <c r="W234" s="1593" t="s">
        <v>814</v>
      </c>
      <c r="X234" s="1593" t="s">
        <v>814</v>
      </c>
      <c r="Y234" s="1593" t="s">
        <v>814</v>
      </c>
      <c r="Z234" s="1593" t="s">
        <v>814</v>
      </c>
      <c r="AA234" s="1593" t="s">
        <v>814</v>
      </c>
      <c r="AB234" s="1593" t="s">
        <v>814</v>
      </c>
      <c r="AC234" s="1593" t="s">
        <v>814</v>
      </c>
      <c r="AD234" s="1593" t="s">
        <v>814</v>
      </c>
      <c r="AE234" s="1593" t="s">
        <v>814</v>
      </c>
    </row>
    <row r="235" spans="2:31">
      <c r="B235" s="1615"/>
      <c r="C235" s="1615" t="s">
        <v>856</v>
      </c>
      <c r="D235" s="1615"/>
      <c r="E235" s="1593" t="s">
        <v>29</v>
      </c>
      <c r="F235" s="1615"/>
      <c r="G235" s="1615"/>
      <c r="H235" s="1615"/>
      <c r="I235" s="1615"/>
      <c r="J235" s="1615"/>
      <c r="K235" s="1615"/>
      <c r="L235" s="1586" t="s">
        <v>814</v>
      </c>
      <c r="M235" s="1587" t="s">
        <v>814</v>
      </c>
      <c r="N235" s="1587" t="s">
        <v>814</v>
      </c>
      <c r="O235" s="1587" t="s">
        <v>814</v>
      </c>
      <c r="P235" s="1587" t="s">
        <v>814</v>
      </c>
      <c r="Q235" s="176">
        <v>0</v>
      </c>
      <c r="R235" s="1650">
        <v>1175</v>
      </c>
      <c r="S235" s="176">
        <v>0</v>
      </c>
      <c r="T235" s="176">
        <v>0</v>
      </c>
      <c r="U235" s="176">
        <v>0</v>
      </c>
      <c r="V235" s="1587" t="s">
        <v>814</v>
      </c>
      <c r="W235" s="1587" t="s">
        <v>814</v>
      </c>
      <c r="X235" s="1587" t="s">
        <v>814</v>
      </c>
      <c r="Y235" s="1587" t="s">
        <v>814</v>
      </c>
      <c r="Z235" s="1587" t="s">
        <v>814</v>
      </c>
      <c r="AA235" s="1587" t="s">
        <v>814</v>
      </c>
      <c r="AB235" s="1587" t="s">
        <v>814</v>
      </c>
      <c r="AC235" s="1587" t="s">
        <v>814</v>
      </c>
      <c r="AD235" s="1587" t="s">
        <v>814</v>
      </c>
      <c r="AE235" s="1587" t="s">
        <v>814</v>
      </c>
    </row>
    <row r="236" spans="2:31">
      <c r="B236" s="1615"/>
      <c r="C236" s="1615" t="s">
        <v>857</v>
      </c>
      <c r="D236" s="1615"/>
      <c r="E236" s="1593" t="s">
        <v>29</v>
      </c>
      <c r="F236" s="1615"/>
      <c r="G236" s="1615"/>
      <c r="H236" s="1615"/>
      <c r="I236" s="1615"/>
      <c r="J236" s="1615"/>
      <c r="K236" s="1615"/>
      <c r="L236" s="1616" t="s">
        <v>814</v>
      </c>
      <c r="M236" s="1617" t="s">
        <v>814</v>
      </c>
      <c r="N236" s="1617" t="s">
        <v>814</v>
      </c>
      <c r="O236" s="1617" t="s">
        <v>814</v>
      </c>
      <c r="P236" s="1617" t="s">
        <v>814</v>
      </c>
      <c r="Q236" s="176">
        <v>0</v>
      </c>
      <c r="R236" s="1650">
        <v>61</v>
      </c>
      <c r="S236" s="176">
        <v>0</v>
      </c>
      <c r="T236" s="176">
        <v>0</v>
      </c>
      <c r="U236" s="176">
        <v>0</v>
      </c>
      <c r="V236" s="1617" t="s">
        <v>814</v>
      </c>
      <c r="W236" s="1617" t="s">
        <v>814</v>
      </c>
      <c r="X236" s="1617" t="s">
        <v>814</v>
      </c>
      <c r="Y236" s="1617" t="s">
        <v>814</v>
      </c>
      <c r="Z236" s="1617" t="s">
        <v>814</v>
      </c>
      <c r="AA236" s="1617" t="s">
        <v>814</v>
      </c>
      <c r="AB236" s="1617" t="s">
        <v>814</v>
      </c>
      <c r="AC236" s="1617" t="s">
        <v>814</v>
      </c>
      <c r="AD236" s="1617" t="s">
        <v>814</v>
      </c>
      <c r="AE236" s="1617" t="s">
        <v>814</v>
      </c>
    </row>
    <row r="237" spans="2:31">
      <c r="B237" s="1593" t="s">
        <v>814</v>
      </c>
      <c r="C237" s="1593" t="s">
        <v>814</v>
      </c>
      <c r="D237" s="1593" t="s">
        <v>814</v>
      </c>
      <c r="E237" s="1593" t="s">
        <v>814</v>
      </c>
      <c r="F237" s="1593" t="s">
        <v>814</v>
      </c>
      <c r="G237" s="1593" t="s">
        <v>814</v>
      </c>
      <c r="H237" s="1593" t="s">
        <v>814</v>
      </c>
      <c r="I237" s="1593" t="s">
        <v>814</v>
      </c>
      <c r="J237" s="1593" t="s">
        <v>814</v>
      </c>
      <c r="K237" s="1593" t="s">
        <v>814</v>
      </c>
      <c r="L237" s="1593" t="s">
        <v>814</v>
      </c>
      <c r="M237" s="1593" t="s">
        <v>814</v>
      </c>
      <c r="N237" s="1593" t="s">
        <v>814</v>
      </c>
      <c r="O237" s="1593" t="s">
        <v>814</v>
      </c>
      <c r="P237" s="1593" t="s">
        <v>814</v>
      </c>
      <c r="Q237" s="1593" t="s">
        <v>814</v>
      </c>
      <c r="R237" s="1593" t="s">
        <v>814</v>
      </c>
      <c r="S237" s="1593" t="s">
        <v>814</v>
      </c>
      <c r="T237" s="1593" t="s">
        <v>814</v>
      </c>
      <c r="U237" s="1593" t="s">
        <v>814</v>
      </c>
      <c r="V237" s="1593" t="s">
        <v>814</v>
      </c>
      <c r="W237" s="1593" t="s">
        <v>814</v>
      </c>
      <c r="X237" s="1593" t="s">
        <v>814</v>
      </c>
      <c r="Y237" s="1593" t="s">
        <v>814</v>
      </c>
      <c r="Z237" s="1593" t="s">
        <v>814</v>
      </c>
      <c r="AA237" s="1593" t="s">
        <v>814</v>
      </c>
      <c r="AB237" s="1593" t="s">
        <v>814</v>
      </c>
      <c r="AC237" s="1593" t="s">
        <v>814</v>
      </c>
      <c r="AD237" s="1593" t="s">
        <v>814</v>
      </c>
      <c r="AE237" s="1593" t="s">
        <v>814</v>
      </c>
    </row>
    <row r="238" spans="2:31">
      <c r="B238" s="1618" t="s">
        <v>60</v>
      </c>
      <c r="C238" s="1619" t="s">
        <v>814</v>
      </c>
      <c r="D238" s="1619" t="s">
        <v>814</v>
      </c>
      <c r="E238" s="1619" t="s">
        <v>814</v>
      </c>
      <c r="F238" s="1619" t="s">
        <v>814</v>
      </c>
      <c r="G238" s="1619" t="s">
        <v>814</v>
      </c>
      <c r="H238" s="1619" t="s">
        <v>814</v>
      </c>
      <c r="I238" s="1619" t="s">
        <v>814</v>
      </c>
      <c r="J238" s="1619" t="s">
        <v>814</v>
      </c>
      <c r="K238" s="1619" t="s">
        <v>814</v>
      </c>
      <c r="L238" s="1619" t="s">
        <v>814</v>
      </c>
      <c r="M238" s="1619" t="s">
        <v>814</v>
      </c>
      <c r="N238" s="1619" t="s">
        <v>814</v>
      </c>
      <c r="O238" s="1619" t="s">
        <v>814</v>
      </c>
      <c r="P238" s="1619" t="s">
        <v>814</v>
      </c>
      <c r="Q238" s="1619" t="s">
        <v>814</v>
      </c>
      <c r="R238" s="1619" t="s">
        <v>814</v>
      </c>
      <c r="S238" s="1619" t="s">
        <v>814</v>
      </c>
      <c r="T238" s="1619" t="s">
        <v>814</v>
      </c>
      <c r="U238" s="1619" t="s">
        <v>814</v>
      </c>
      <c r="V238" s="1619" t="s">
        <v>814</v>
      </c>
      <c r="W238" s="1619" t="s">
        <v>814</v>
      </c>
      <c r="X238" s="1619" t="s">
        <v>814</v>
      </c>
      <c r="Y238" s="1619" t="s">
        <v>814</v>
      </c>
      <c r="Z238" s="1619" t="s">
        <v>814</v>
      </c>
      <c r="AA238" s="1619" t="s">
        <v>814</v>
      </c>
      <c r="AB238" s="1619" t="s">
        <v>814</v>
      </c>
      <c r="AC238" s="1619" t="s">
        <v>814</v>
      </c>
      <c r="AD238" s="1619" t="s">
        <v>814</v>
      </c>
      <c r="AE238" s="1619" t="s">
        <v>814</v>
      </c>
    </row>
    <row r="239" spans="2:31">
      <c r="P239" s="148"/>
      <c r="Q239" s="148"/>
      <c r="R239" s="148"/>
      <c r="S239" s="148"/>
      <c r="T239" s="148"/>
      <c r="U239" s="148"/>
    </row>
    <row r="240" spans="2:31">
      <c r="P240" s="148"/>
      <c r="Q240" s="148"/>
      <c r="R240" s="148"/>
      <c r="S240" s="148"/>
      <c r="T240" s="148"/>
      <c r="U240" s="148"/>
    </row>
    <row r="242" spans="16:21">
      <c r="P242" s="148"/>
      <c r="Q242" s="148"/>
      <c r="R242" s="148"/>
      <c r="S242" s="148"/>
      <c r="T242" s="148"/>
      <c r="U242" s="148"/>
    </row>
    <row r="243" spans="16:21">
      <c r="P243" s="148"/>
      <c r="Q243" s="148"/>
      <c r="R243" s="148"/>
      <c r="S243" s="148"/>
      <c r="T243" s="148"/>
      <c r="U243" s="148"/>
    </row>
    <row r="244" spans="16:21">
      <c r="P244" s="148"/>
      <c r="Q244" s="148"/>
      <c r="R244" s="148"/>
      <c r="S244" s="148"/>
      <c r="T244" s="148"/>
      <c r="U244" s="148"/>
    </row>
    <row r="246" spans="16:21">
      <c r="P246" s="148"/>
      <c r="Q246" s="148"/>
      <c r="R246" s="148"/>
      <c r="S246" s="148"/>
      <c r="T246" s="148"/>
      <c r="U246" s="148"/>
    </row>
    <row r="247" spans="16:21">
      <c r="P247" s="23"/>
      <c r="Q247" s="23"/>
      <c r="R247" s="23"/>
      <c r="S247" s="23"/>
      <c r="T247" s="23"/>
      <c r="U247" s="23"/>
    </row>
    <row r="248" spans="16:21">
      <c r="P248" s="148"/>
      <c r="Q248" s="148"/>
      <c r="R248" s="148"/>
      <c r="S248" s="148"/>
      <c r="T248" s="148"/>
      <c r="U248" s="148"/>
    </row>
    <row r="250" spans="16:21">
      <c r="P250" s="148"/>
      <c r="Q250" s="148"/>
      <c r="R250" s="148"/>
      <c r="S250" s="148"/>
      <c r="T250" s="148"/>
      <c r="U250" s="148"/>
    </row>
    <row r="251" spans="16:21">
      <c r="P251" s="23"/>
      <c r="Q251" s="23"/>
      <c r="R251" s="23"/>
      <c r="S251" s="23"/>
      <c r="T251" s="23"/>
      <c r="U251" s="23"/>
    </row>
    <row r="252" spans="16:21">
      <c r="P252" s="148"/>
      <c r="Q252" s="148"/>
      <c r="R252" s="148"/>
      <c r="S252" s="148"/>
      <c r="T252" s="148"/>
      <c r="U252" s="148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C15F3-0B20-4F1A-A42B-3173620E49E3}">
  <sheetPr>
    <tabColor theme="9" tint="0.59999389629810485"/>
  </sheetPr>
  <dimension ref="A1:AF252"/>
  <sheetViews>
    <sheetView showGridLines="0" zoomScale="70" zoomScaleNormal="70" workbookViewId="0">
      <pane ySplit="6" topLeftCell="A58" activePane="bottomLeft" state="frozen"/>
      <selection pane="bottomLeft" activeCell="I71" sqref="I71"/>
    </sheetView>
  </sheetViews>
  <sheetFormatPr defaultColWidth="9.1796875" defaultRowHeight="13" outlineLevelRow="1" outlineLevelCol="1"/>
  <cols>
    <col min="1" max="1" width="6.72656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9.81640625" style="3" customWidth="1"/>
    <col min="7" max="7" width="24.7265625" style="3" customWidth="1" outlineLevel="1"/>
    <col min="8" max="8" width="11.7265625" style="3" customWidth="1" outlineLevel="1"/>
    <col min="9" max="9" width="11.54296875" style="3" customWidth="1" outlineLevel="1"/>
    <col min="10" max="10" width="13.453125" style="3" customWidth="1" outlineLevel="1"/>
    <col min="11" max="11" width="13.453125" style="3" customWidth="1"/>
    <col min="12" max="16" width="11.54296875" style="3" bestFit="1" customWidth="1"/>
    <col min="17" max="17" width="13.1796875" style="3" bestFit="1" customWidth="1"/>
    <col min="18" max="31" width="11.54296875" style="3" bestFit="1" customWidth="1"/>
    <col min="32" max="32" width="3.26953125" style="3" customWidth="1"/>
    <col min="33" max="16384" width="9.1796875" style="3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">
        <v>120</v>
      </c>
      <c r="L2" s="10">
        <v>42005</v>
      </c>
      <c r="M2" s="10">
        <v>42370</v>
      </c>
      <c r="N2" s="10">
        <v>42736</v>
      </c>
      <c r="O2" s="10">
        <v>43101</v>
      </c>
      <c r="P2" s="10">
        <v>43466</v>
      </c>
      <c r="Q2" s="10">
        <v>43831</v>
      </c>
      <c r="R2" s="10">
        <v>44197</v>
      </c>
      <c r="S2" s="10">
        <v>44562</v>
      </c>
      <c r="T2" s="10">
        <v>44927</v>
      </c>
      <c r="U2" s="10">
        <v>45292</v>
      </c>
      <c r="V2" s="10">
        <v>45658</v>
      </c>
      <c r="W2" s="10">
        <v>46023</v>
      </c>
      <c r="X2" s="10">
        <v>46388</v>
      </c>
      <c r="Y2" s="10">
        <v>46753</v>
      </c>
      <c r="Z2" s="10">
        <v>47119</v>
      </c>
      <c r="AA2" s="10">
        <v>47484</v>
      </c>
      <c r="AB2" s="10">
        <v>47849</v>
      </c>
      <c r="AC2" s="10">
        <v>48214</v>
      </c>
      <c r="AD2" s="10">
        <v>48580</v>
      </c>
      <c r="AE2" s="10">
        <v>48945</v>
      </c>
    </row>
    <row r="3" spans="2:31">
      <c r="B3" s="4"/>
      <c r="C3" s="215" t="s">
        <v>121</v>
      </c>
      <c r="D3" s="4"/>
      <c r="E3" s="4"/>
      <c r="F3" s="4"/>
      <c r="G3" s="4"/>
      <c r="H3" s="4"/>
      <c r="I3" s="4"/>
      <c r="J3" s="4"/>
      <c r="K3" s="5" t="s">
        <v>122</v>
      </c>
      <c r="L3" s="10">
        <v>42369</v>
      </c>
      <c r="M3" s="10">
        <v>42735</v>
      </c>
      <c r="N3" s="10">
        <v>43100</v>
      </c>
      <c r="O3" s="10">
        <v>43465</v>
      </c>
      <c r="P3" s="10">
        <v>43830</v>
      </c>
      <c r="Q3" s="10">
        <v>44196</v>
      </c>
      <c r="R3" s="10">
        <v>44561</v>
      </c>
      <c r="S3" s="10">
        <v>44926</v>
      </c>
      <c r="T3" s="10">
        <v>45291</v>
      </c>
      <c r="U3" s="10">
        <v>45657</v>
      </c>
      <c r="V3" s="10">
        <v>46022</v>
      </c>
      <c r="W3" s="10">
        <v>46387</v>
      </c>
      <c r="X3" s="10">
        <v>46752</v>
      </c>
      <c r="Y3" s="10">
        <v>47118</v>
      </c>
      <c r="Z3" s="10">
        <v>47483</v>
      </c>
      <c r="AA3" s="10">
        <v>47848</v>
      </c>
      <c r="AB3" s="10">
        <v>48213</v>
      </c>
      <c r="AC3" s="10">
        <v>48579</v>
      </c>
      <c r="AD3" s="10">
        <v>48944</v>
      </c>
      <c r="AE3" s="10">
        <v>49309</v>
      </c>
    </row>
    <row r="4" spans="2:31">
      <c r="B4" s="4"/>
      <c r="C4" s="1540" t="s">
        <v>123</v>
      </c>
      <c r="D4" s="177" t="s">
        <v>858</v>
      </c>
      <c r="E4" s="4"/>
      <c r="F4" s="4"/>
      <c r="G4" s="4"/>
      <c r="H4" s="4"/>
      <c r="I4" s="4"/>
      <c r="J4" s="4"/>
      <c r="K4" s="5" t="s">
        <v>124</v>
      </c>
      <c r="L4" s="11">
        <v>2015</v>
      </c>
      <c r="M4" s="11">
        <v>2016</v>
      </c>
      <c r="N4" s="11">
        <v>2017</v>
      </c>
      <c r="O4" s="11">
        <v>2018</v>
      </c>
      <c r="P4" s="11">
        <v>2019</v>
      </c>
      <c r="Q4" s="11">
        <v>2020</v>
      </c>
      <c r="R4" s="11">
        <v>2021</v>
      </c>
      <c r="S4" s="11">
        <v>2022</v>
      </c>
      <c r="T4" s="11">
        <v>2023</v>
      </c>
      <c r="U4" s="11">
        <v>2024</v>
      </c>
      <c r="V4" s="11">
        <v>2025</v>
      </c>
      <c r="W4" s="11">
        <v>2026</v>
      </c>
      <c r="X4" s="11">
        <v>2027</v>
      </c>
      <c r="Y4" s="11">
        <v>2028</v>
      </c>
      <c r="Z4" s="11">
        <v>2029</v>
      </c>
      <c r="AA4" s="11">
        <v>2030</v>
      </c>
      <c r="AB4" s="11">
        <v>2031</v>
      </c>
      <c r="AC4" s="11">
        <v>2032</v>
      </c>
      <c r="AD4" s="11">
        <v>2033</v>
      </c>
      <c r="AE4" s="11">
        <v>2034</v>
      </c>
    </row>
    <row r="5" spans="2:31">
      <c r="B5" s="4"/>
      <c r="C5" s="5" t="s">
        <v>859</v>
      </c>
      <c r="D5" s="4"/>
      <c r="E5" s="4"/>
      <c r="F5" s="4"/>
      <c r="G5" s="4"/>
      <c r="H5" s="4"/>
      <c r="I5" s="4"/>
      <c r="J5" s="4"/>
      <c r="K5" s="5" t="s">
        <v>125</v>
      </c>
      <c r="L5" s="11">
        <v>1</v>
      </c>
      <c r="M5" s="11">
        <v>2</v>
      </c>
      <c r="N5" s="11">
        <v>3</v>
      </c>
      <c r="O5" s="11">
        <v>4</v>
      </c>
      <c r="P5" s="11">
        <v>5</v>
      </c>
      <c r="Q5" s="11">
        <v>6</v>
      </c>
      <c r="R5" s="11">
        <v>7</v>
      </c>
      <c r="S5" s="11">
        <v>8</v>
      </c>
      <c r="T5" s="11">
        <v>9</v>
      </c>
      <c r="U5" s="11">
        <v>10</v>
      </c>
      <c r="V5" s="11">
        <v>11</v>
      </c>
      <c r="W5" s="11">
        <v>12</v>
      </c>
      <c r="X5" s="11">
        <v>13</v>
      </c>
      <c r="Y5" s="11">
        <v>14</v>
      </c>
      <c r="Z5" s="11">
        <v>15</v>
      </c>
      <c r="AA5" s="11">
        <v>16</v>
      </c>
      <c r="AB5" s="11">
        <v>17</v>
      </c>
      <c r="AC5" s="11">
        <v>18</v>
      </c>
      <c r="AD5" s="11">
        <v>19</v>
      </c>
      <c r="AE5" s="11">
        <v>20</v>
      </c>
    </row>
    <row r="6" spans="2:31">
      <c r="B6" s="4"/>
      <c r="C6" s="5" t="s">
        <v>9</v>
      </c>
      <c r="D6" s="4"/>
      <c r="E6" s="5" t="s">
        <v>10</v>
      </c>
      <c r="F6" s="5"/>
      <c r="G6" s="5" t="s">
        <v>794</v>
      </c>
      <c r="H6" s="4"/>
      <c r="I6" s="5" t="s">
        <v>176</v>
      </c>
      <c r="J6" s="5" t="s">
        <v>177</v>
      </c>
      <c r="K6" s="5" t="s">
        <v>126</v>
      </c>
      <c r="L6" s="11" t="s">
        <v>127</v>
      </c>
      <c r="M6" s="11" t="s">
        <v>127</v>
      </c>
      <c r="N6" s="11" t="s">
        <v>127</v>
      </c>
      <c r="O6" s="11" t="s">
        <v>127</v>
      </c>
      <c r="P6" s="11" t="s">
        <v>127</v>
      </c>
      <c r="Q6" s="11" t="s">
        <v>128</v>
      </c>
      <c r="R6" s="11" t="s">
        <v>128</v>
      </c>
      <c r="S6" s="11" t="s">
        <v>128</v>
      </c>
      <c r="T6" s="11" t="s">
        <v>128</v>
      </c>
      <c r="U6" s="11" t="s">
        <v>128</v>
      </c>
      <c r="V6" s="11" t="s">
        <v>129</v>
      </c>
      <c r="W6" s="11" t="s">
        <v>129</v>
      </c>
      <c r="X6" s="11" t="s">
        <v>129</v>
      </c>
      <c r="Y6" s="11" t="s">
        <v>129</v>
      </c>
      <c r="Z6" s="11" t="s">
        <v>129</v>
      </c>
      <c r="AA6" s="11" t="s">
        <v>130</v>
      </c>
      <c r="AB6" s="11" t="s">
        <v>130</v>
      </c>
      <c r="AC6" s="11" t="s">
        <v>130</v>
      </c>
      <c r="AD6" s="11" t="s">
        <v>130</v>
      </c>
      <c r="AE6" s="11" t="s">
        <v>130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795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796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797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798</v>
      </c>
      <c r="E13" s="3" t="s">
        <v>64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pans="2:31">
      <c r="C14" s="3" t="s">
        <v>796</v>
      </c>
      <c r="E14" s="3" t="s">
        <v>29</v>
      </c>
      <c r="L14" s="38"/>
      <c r="M14" s="38"/>
      <c r="N14" s="38"/>
      <c r="O14" s="38"/>
      <c r="P14" s="38"/>
      <c r="Q14" s="149"/>
      <c r="R14" s="149"/>
      <c r="S14" s="149"/>
      <c r="T14" s="149"/>
      <c r="U14" s="149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pans="2:31">
      <c r="C15" s="3" t="s">
        <v>799</v>
      </c>
      <c r="E15" s="3" t="s">
        <v>29</v>
      </c>
      <c r="L15" s="38"/>
      <c r="M15" s="38"/>
      <c r="N15" s="38"/>
      <c r="O15" s="38"/>
      <c r="P15" s="149">
        <v>13465.999999999996</v>
      </c>
      <c r="Q15" s="149">
        <v>13121</v>
      </c>
      <c r="R15" s="149">
        <v>12941</v>
      </c>
      <c r="S15" s="149">
        <v>14049.527128548769</v>
      </c>
      <c r="T15" s="149">
        <v>13708.2194851606</v>
      </c>
      <c r="U15" s="149">
        <v>13335.481020839321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7" spans="3:31" ht="13.5" thickBot="1">
      <c r="C17" s="6" t="s">
        <v>798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3:31">
      <c r="C18" s="3" t="s">
        <v>860</v>
      </c>
      <c r="E18" s="3" t="s">
        <v>64</v>
      </c>
      <c r="L18" s="173">
        <v>0</v>
      </c>
      <c r="M18" s="173">
        <v>0</v>
      </c>
      <c r="N18" s="173">
        <v>0</v>
      </c>
      <c r="O18" s="173">
        <v>0</v>
      </c>
      <c r="P18" s="173">
        <v>309</v>
      </c>
      <c r="Q18" s="173">
        <v>301</v>
      </c>
      <c r="R18" s="173">
        <v>290</v>
      </c>
      <c r="S18" s="173">
        <v>290</v>
      </c>
      <c r="T18" s="173">
        <v>317</v>
      </c>
      <c r="U18" s="173">
        <v>352</v>
      </c>
      <c r="V18" s="173">
        <v>0</v>
      </c>
      <c r="W18" s="173">
        <v>0</v>
      </c>
      <c r="X18" s="173">
        <v>0</v>
      </c>
      <c r="Y18" s="173">
        <v>0</v>
      </c>
      <c r="Z18" s="173">
        <v>0</v>
      </c>
      <c r="AA18" s="173">
        <v>0</v>
      </c>
      <c r="AB18" s="173">
        <v>0</v>
      </c>
      <c r="AC18" s="173">
        <v>0</v>
      </c>
      <c r="AD18" s="173">
        <v>0</v>
      </c>
      <c r="AE18" s="173">
        <v>0</v>
      </c>
    </row>
    <row r="19" spans="3:31">
      <c r="C19" s="3" t="s">
        <v>861</v>
      </c>
      <c r="E19" s="3" t="s">
        <v>64</v>
      </c>
      <c r="L19" s="173">
        <v>0</v>
      </c>
      <c r="M19" s="173">
        <v>0</v>
      </c>
      <c r="N19" s="173">
        <v>0</v>
      </c>
      <c r="O19" s="173">
        <v>0</v>
      </c>
      <c r="P19" s="173">
        <v>68</v>
      </c>
      <c r="Q19" s="173">
        <v>68</v>
      </c>
      <c r="R19" s="173">
        <v>68</v>
      </c>
      <c r="S19" s="173">
        <v>57</v>
      </c>
      <c r="T19" s="173">
        <v>57</v>
      </c>
      <c r="U19" s="173">
        <v>57</v>
      </c>
      <c r="V19" s="173">
        <v>0</v>
      </c>
      <c r="W19" s="173">
        <v>0</v>
      </c>
      <c r="X19" s="173">
        <v>0</v>
      </c>
      <c r="Y19" s="173">
        <v>0</v>
      </c>
      <c r="Z19" s="173">
        <v>0</v>
      </c>
      <c r="AA19" s="173">
        <v>0</v>
      </c>
      <c r="AB19" s="173">
        <v>0</v>
      </c>
      <c r="AC19" s="173">
        <v>0</v>
      </c>
      <c r="AD19" s="173">
        <v>0</v>
      </c>
      <c r="AE19" s="173">
        <v>0</v>
      </c>
    </row>
    <row r="20" spans="3:31">
      <c r="C20" s="3" t="s">
        <v>802</v>
      </c>
      <c r="E20" s="3" t="s">
        <v>64</v>
      </c>
      <c r="L20" s="173">
        <v>0</v>
      </c>
      <c r="M20" s="173">
        <v>0</v>
      </c>
      <c r="N20" s="173">
        <v>0</v>
      </c>
      <c r="O20" s="173">
        <v>0</v>
      </c>
      <c r="P20" s="173">
        <v>39</v>
      </c>
      <c r="Q20" s="173">
        <v>39</v>
      </c>
      <c r="R20" s="173">
        <v>39</v>
      </c>
      <c r="S20" s="173">
        <v>38</v>
      </c>
      <c r="T20" s="173">
        <v>38</v>
      </c>
      <c r="U20" s="173">
        <v>38</v>
      </c>
      <c r="V20" s="173">
        <v>0</v>
      </c>
      <c r="W20" s="173">
        <v>0</v>
      </c>
      <c r="X20" s="173">
        <v>0</v>
      </c>
      <c r="Y20" s="173">
        <v>0</v>
      </c>
      <c r="Z20" s="173">
        <v>0</v>
      </c>
      <c r="AA20" s="173">
        <v>0</v>
      </c>
      <c r="AB20" s="173">
        <v>0</v>
      </c>
      <c r="AC20" s="173">
        <v>0</v>
      </c>
      <c r="AD20" s="173">
        <v>0</v>
      </c>
      <c r="AE20" s="173">
        <v>0</v>
      </c>
    </row>
    <row r="21" spans="3:31">
      <c r="C21" s="3" t="s">
        <v>803</v>
      </c>
      <c r="E21" s="3" t="s">
        <v>64</v>
      </c>
      <c r="L21" s="173">
        <v>0</v>
      </c>
      <c r="M21" s="173">
        <v>0</v>
      </c>
      <c r="N21" s="173">
        <v>0</v>
      </c>
      <c r="O21" s="173">
        <v>0</v>
      </c>
      <c r="P21" s="173">
        <v>72</v>
      </c>
      <c r="Q21" s="173">
        <v>72</v>
      </c>
      <c r="R21" s="173">
        <v>72</v>
      </c>
      <c r="S21" s="173">
        <v>87</v>
      </c>
      <c r="T21" s="173">
        <v>90.5</v>
      </c>
      <c r="U21" s="173">
        <v>90.5</v>
      </c>
      <c r="V21" s="173">
        <v>0</v>
      </c>
      <c r="W21" s="173">
        <v>0</v>
      </c>
      <c r="X21" s="173">
        <v>0</v>
      </c>
      <c r="Y21" s="173">
        <v>0</v>
      </c>
      <c r="Z21" s="173">
        <v>0</v>
      </c>
      <c r="AA21" s="173">
        <v>0</v>
      </c>
      <c r="AB21" s="173">
        <v>0</v>
      </c>
      <c r="AC21" s="173">
        <v>0</v>
      </c>
      <c r="AD21" s="173">
        <v>0</v>
      </c>
      <c r="AE21" s="173">
        <v>0</v>
      </c>
    </row>
    <row r="22" spans="3:31">
      <c r="C22" s="3" t="s">
        <v>804</v>
      </c>
      <c r="E22" s="3" t="s">
        <v>64</v>
      </c>
      <c r="L22" s="173">
        <v>0</v>
      </c>
      <c r="M22" s="173">
        <v>0</v>
      </c>
      <c r="N22" s="173">
        <v>0</v>
      </c>
      <c r="O22" s="173">
        <v>0</v>
      </c>
      <c r="P22" s="173">
        <v>60</v>
      </c>
      <c r="Q22" s="173">
        <v>60</v>
      </c>
      <c r="R22" s="173">
        <v>60</v>
      </c>
      <c r="S22" s="173">
        <v>66.5</v>
      </c>
      <c r="T22" s="173">
        <v>66.5</v>
      </c>
      <c r="U22" s="173">
        <v>66.5</v>
      </c>
      <c r="V22" s="173">
        <v>0</v>
      </c>
      <c r="W22" s="173">
        <v>0</v>
      </c>
      <c r="X22" s="173">
        <v>0</v>
      </c>
      <c r="Y22" s="173">
        <v>0</v>
      </c>
      <c r="Z22" s="173">
        <v>0</v>
      </c>
      <c r="AA22" s="173">
        <v>0</v>
      </c>
      <c r="AB22" s="173">
        <v>0</v>
      </c>
      <c r="AC22" s="173">
        <v>0</v>
      </c>
      <c r="AD22" s="173">
        <v>0</v>
      </c>
      <c r="AE22" s="173">
        <v>0</v>
      </c>
    </row>
    <row r="23" spans="3:31">
      <c r="C23" s="3" t="s">
        <v>805</v>
      </c>
      <c r="E23" s="3" t="s">
        <v>64</v>
      </c>
      <c r="L23" s="173">
        <v>0</v>
      </c>
      <c r="M23" s="173">
        <v>0</v>
      </c>
      <c r="N23" s="173">
        <v>0</v>
      </c>
      <c r="O23" s="173">
        <v>0</v>
      </c>
      <c r="P23" s="173">
        <v>0</v>
      </c>
      <c r="Q23" s="173">
        <v>0</v>
      </c>
      <c r="R23" s="173">
        <v>0</v>
      </c>
      <c r="S23" s="173">
        <v>0</v>
      </c>
      <c r="T23" s="173">
        <v>0</v>
      </c>
      <c r="U23" s="173">
        <v>0</v>
      </c>
      <c r="V23" s="173">
        <v>0</v>
      </c>
      <c r="W23" s="173">
        <v>0</v>
      </c>
      <c r="X23" s="173">
        <v>0</v>
      </c>
      <c r="Y23" s="173">
        <v>0</v>
      </c>
      <c r="Z23" s="173">
        <v>0</v>
      </c>
      <c r="AA23" s="173">
        <v>0</v>
      </c>
      <c r="AB23" s="173">
        <v>0</v>
      </c>
      <c r="AC23" s="173">
        <v>0</v>
      </c>
      <c r="AD23" s="173">
        <v>0</v>
      </c>
      <c r="AE23" s="173">
        <v>0</v>
      </c>
    </row>
    <row r="24" spans="3:31">
      <c r="C24" s="3" t="s">
        <v>806</v>
      </c>
      <c r="E24" s="3" t="s">
        <v>64</v>
      </c>
      <c r="L24" s="173">
        <v>0</v>
      </c>
      <c r="M24" s="173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0</v>
      </c>
      <c r="S24" s="173">
        <v>0</v>
      </c>
      <c r="T24" s="173">
        <v>0</v>
      </c>
      <c r="U24" s="173">
        <v>0</v>
      </c>
      <c r="V24" s="173">
        <v>0</v>
      </c>
      <c r="W24" s="173">
        <v>0</v>
      </c>
      <c r="X24" s="173">
        <v>0</v>
      </c>
      <c r="Y24" s="173">
        <v>0</v>
      </c>
      <c r="Z24" s="173">
        <v>0</v>
      </c>
      <c r="AA24" s="173">
        <v>0</v>
      </c>
      <c r="AB24" s="173">
        <v>0</v>
      </c>
      <c r="AC24" s="173">
        <v>0</v>
      </c>
      <c r="AD24" s="173">
        <v>0</v>
      </c>
      <c r="AE24" s="173">
        <v>0</v>
      </c>
    </row>
    <row r="25" spans="3:31">
      <c r="C25" s="3" t="s">
        <v>807</v>
      </c>
      <c r="E25" s="3" t="s">
        <v>64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0</v>
      </c>
      <c r="T25" s="173">
        <v>0</v>
      </c>
      <c r="U25" s="173">
        <v>0</v>
      </c>
      <c r="V25" s="173">
        <v>0</v>
      </c>
      <c r="W25" s="173">
        <v>0</v>
      </c>
      <c r="X25" s="173">
        <v>0</v>
      </c>
      <c r="Y25" s="173">
        <v>0</v>
      </c>
      <c r="Z25" s="173">
        <v>0</v>
      </c>
      <c r="AA25" s="173">
        <v>0</v>
      </c>
      <c r="AB25" s="173">
        <v>0</v>
      </c>
      <c r="AC25" s="173">
        <v>0</v>
      </c>
      <c r="AD25" s="173">
        <v>0</v>
      </c>
      <c r="AE25" s="173">
        <v>0</v>
      </c>
    </row>
    <row r="26" spans="3:31">
      <c r="C26" s="3" t="s">
        <v>807</v>
      </c>
      <c r="E26" s="3" t="s">
        <v>64</v>
      </c>
      <c r="L26" s="173">
        <v>0</v>
      </c>
      <c r="M26" s="173">
        <v>0</v>
      </c>
      <c r="N26" s="173">
        <v>0</v>
      </c>
      <c r="O26" s="173">
        <v>0</v>
      </c>
      <c r="P26" s="173">
        <v>0</v>
      </c>
      <c r="Q26" s="173">
        <v>0</v>
      </c>
      <c r="R26" s="173">
        <v>0</v>
      </c>
      <c r="S26" s="173">
        <v>0</v>
      </c>
      <c r="T26" s="173">
        <v>0</v>
      </c>
      <c r="U26" s="173">
        <v>0</v>
      </c>
      <c r="V26" s="173">
        <v>0</v>
      </c>
      <c r="W26" s="173">
        <v>0</v>
      </c>
      <c r="X26" s="173">
        <v>0</v>
      </c>
      <c r="Y26" s="173">
        <v>0</v>
      </c>
      <c r="Z26" s="173">
        <v>0</v>
      </c>
      <c r="AA26" s="173">
        <v>0</v>
      </c>
      <c r="AB26" s="173">
        <v>0</v>
      </c>
      <c r="AC26" s="173">
        <v>0</v>
      </c>
      <c r="AD26" s="173">
        <v>0</v>
      </c>
      <c r="AE26" s="173">
        <v>0</v>
      </c>
    </row>
    <row r="27" spans="3:31">
      <c r="C27" s="3" t="s">
        <v>807</v>
      </c>
      <c r="E27" s="3" t="s">
        <v>64</v>
      </c>
      <c r="L27" s="173">
        <v>0</v>
      </c>
      <c r="M27" s="173">
        <v>0</v>
      </c>
      <c r="N27" s="173">
        <v>0</v>
      </c>
      <c r="O27" s="173">
        <v>0</v>
      </c>
      <c r="P27" s="173">
        <v>0</v>
      </c>
      <c r="Q27" s="173">
        <v>0</v>
      </c>
      <c r="R27" s="173">
        <v>0</v>
      </c>
      <c r="S27" s="173">
        <v>0</v>
      </c>
      <c r="T27" s="173">
        <v>0</v>
      </c>
      <c r="U27" s="173">
        <v>0</v>
      </c>
      <c r="V27" s="173">
        <v>0</v>
      </c>
      <c r="W27" s="173">
        <v>0</v>
      </c>
      <c r="X27" s="173">
        <v>0</v>
      </c>
      <c r="Y27" s="173">
        <v>0</v>
      </c>
      <c r="Z27" s="173">
        <v>0</v>
      </c>
      <c r="AA27" s="173">
        <v>0</v>
      </c>
      <c r="AB27" s="173">
        <v>0</v>
      </c>
      <c r="AC27" s="173">
        <v>0</v>
      </c>
      <c r="AD27" s="173">
        <v>0</v>
      </c>
      <c r="AE27" s="173">
        <v>0</v>
      </c>
    </row>
    <row r="28" spans="3:31">
      <c r="C28" s="3" t="s">
        <v>807</v>
      </c>
      <c r="E28" s="3" t="s">
        <v>64</v>
      </c>
      <c r="L28" s="173">
        <v>0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3">
        <v>0</v>
      </c>
      <c r="W28" s="173">
        <v>0</v>
      </c>
      <c r="X28" s="173">
        <v>0</v>
      </c>
      <c r="Y28" s="173">
        <v>0</v>
      </c>
      <c r="Z28" s="173">
        <v>0</v>
      </c>
      <c r="AA28" s="173">
        <v>0</v>
      </c>
      <c r="AB28" s="173">
        <v>0</v>
      </c>
      <c r="AC28" s="173">
        <v>0</v>
      </c>
      <c r="AD28" s="173">
        <v>0</v>
      </c>
      <c r="AE28" s="173">
        <v>0</v>
      </c>
    </row>
    <row r="29" spans="3:31">
      <c r="C29" s="1058"/>
    </row>
    <row r="30" spans="3:31">
      <c r="C30" s="14"/>
      <c r="D30" s="14"/>
      <c r="E30" s="14"/>
      <c r="F30" s="14"/>
      <c r="G30" s="14"/>
      <c r="H30" s="14"/>
      <c r="I30" s="14"/>
      <c r="J30" s="14"/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3:31">
      <c r="C31" s="17" t="s">
        <v>808</v>
      </c>
      <c r="E31" s="3" t="s">
        <v>64</v>
      </c>
      <c r="L31" s="27">
        <f t="shared" ref="L31:AE31" si="0">SUM(L18:L28)*(L$13="")+L$13</f>
        <v>0</v>
      </c>
      <c r="M31" s="27">
        <f t="shared" si="0"/>
        <v>0</v>
      </c>
      <c r="N31" s="27">
        <f t="shared" si="0"/>
        <v>0</v>
      </c>
      <c r="O31" s="27">
        <f t="shared" si="0"/>
        <v>0</v>
      </c>
      <c r="P31" s="27">
        <f t="shared" si="0"/>
        <v>548</v>
      </c>
      <c r="Q31" s="27">
        <f t="shared" si="0"/>
        <v>540</v>
      </c>
      <c r="R31" s="27">
        <f t="shared" si="0"/>
        <v>529</v>
      </c>
      <c r="S31" s="27">
        <f t="shared" si="0"/>
        <v>538.5</v>
      </c>
      <c r="T31" s="27">
        <f t="shared" si="0"/>
        <v>569</v>
      </c>
      <c r="U31" s="27">
        <f t="shared" si="0"/>
        <v>604</v>
      </c>
      <c r="V31" s="27">
        <f t="shared" si="0"/>
        <v>0</v>
      </c>
      <c r="W31" s="27">
        <f t="shared" si="0"/>
        <v>0</v>
      </c>
      <c r="X31" s="27">
        <f t="shared" si="0"/>
        <v>0</v>
      </c>
      <c r="Y31" s="27">
        <f t="shared" si="0"/>
        <v>0</v>
      </c>
      <c r="Z31" s="27">
        <f t="shared" si="0"/>
        <v>0</v>
      </c>
      <c r="AA31" s="27">
        <f t="shared" si="0"/>
        <v>0</v>
      </c>
      <c r="AB31" s="27">
        <f t="shared" si="0"/>
        <v>0</v>
      </c>
      <c r="AC31" s="27">
        <f t="shared" si="0"/>
        <v>0</v>
      </c>
      <c r="AD31" s="27">
        <f t="shared" si="0"/>
        <v>0</v>
      </c>
      <c r="AE31" s="27">
        <f t="shared" si="0"/>
        <v>0</v>
      </c>
    </row>
    <row r="33" spans="1:32" s="7" customFormat="1" ht="13.5" thickBot="1">
      <c r="A33" s="3"/>
      <c r="B33" s="3"/>
      <c r="C33" s="6" t="s">
        <v>796</v>
      </c>
      <c r="I33" s="221"/>
      <c r="K33" s="22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</row>
    <row r="34" spans="1:32">
      <c r="C34" s="3" t="str">
        <f>C18</f>
        <v>ATCOs</v>
      </c>
      <c r="E34" s="3" t="s">
        <v>29</v>
      </c>
      <c r="I34" s="1017">
        <f>AVERAGE(Q65:U65)</f>
        <v>0.85676778389819253</v>
      </c>
      <c r="J34" s="1017">
        <f>1-I34</f>
        <v>0.14323221610180747</v>
      </c>
      <c r="K34" s="156"/>
      <c r="L34" s="173">
        <v>0</v>
      </c>
      <c r="M34" s="173">
        <v>0</v>
      </c>
      <c r="N34" s="173">
        <v>0</v>
      </c>
      <c r="O34" s="173">
        <v>0</v>
      </c>
      <c r="P34" s="173">
        <v>42570.219939619688</v>
      </c>
      <c r="Q34" s="173">
        <v>40620.303471706553</v>
      </c>
      <c r="R34" s="173">
        <v>37287.841498845228</v>
      </c>
      <c r="S34" s="173">
        <v>41020.047239419844</v>
      </c>
      <c r="T34" s="173">
        <v>42497.910850435539</v>
      </c>
      <c r="U34" s="173">
        <v>44540.517659412631</v>
      </c>
      <c r="V34" s="173">
        <v>0</v>
      </c>
      <c r="W34" s="173">
        <v>0</v>
      </c>
      <c r="X34" s="173">
        <v>0</v>
      </c>
      <c r="Y34" s="173">
        <v>0</v>
      </c>
      <c r="Z34" s="173">
        <v>0</v>
      </c>
      <c r="AA34" s="173">
        <v>0</v>
      </c>
      <c r="AB34" s="173">
        <v>0</v>
      </c>
      <c r="AC34" s="173">
        <v>0</v>
      </c>
      <c r="AD34" s="173">
        <v>0</v>
      </c>
      <c r="AE34" s="173">
        <v>0</v>
      </c>
    </row>
    <row r="35" spans="1:32">
      <c r="C35" s="3" t="str">
        <f t="shared" ref="C35:C42" si="1">C19</f>
        <v>Corp Serv</v>
      </c>
      <c r="E35" s="3" t="s">
        <v>29</v>
      </c>
      <c r="I35" s="1017">
        <f>AVERAGE(Q66:U66)</f>
        <v>0.83119999999999994</v>
      </c>
      <c r="J35" s="1017">
        <f>1-I35</f>
        <v>0.16880000000000006</v>
      </c>
      <c r="K35" s="156"/>
      <c r="L35" s="173">
        <v>0</v>
      </c>
      <c r="M35" s="173">
        <v>0</v>
      </c>
      <c r="N35" s="173">
        <v>0</v>
      </c>
      <c r="O35" s="173">
        <v>0</v>
      </c>
      <c r="P35" s="173">
        <v>4607.7094876199517</v>
      </c>
      <c r="Q35" s="173">
        <v>4447.1261280387935</v>
      </c>
      <c r="R35" s="173">
        <v>4484.804862168774</v>
      </c>
      <c r="S35" s="173">
        <v>3944.1176625362345</v>
      </c>
      <c r="T35" s="173">
        <v>3950.0097143576627</v>
      </c>
      <c r="U35" s="173">
        <v>3956.7017009476058</v>
      </c>
      <c r="V35" s="173">
        <v>0</v>
      </c>
      <c r="W35" s="173">
        <v>0</v>
      </c>
      <c r="X35" s="173">
        <v>0</v>
      </c>
      <c r="Y35" s="173">
        <v>0</v>
      </c>
      <c r="Z35" s="173">
        <v>0</v>
      </c>
      <c r="AA35" s="173">
        <v>0</v>
      </c>
      <c r="AB35" s="173">
        <v>0</v>
      </c>
      <c r="AC35" s="173">
        <v>0</v>
      </c>
      <c r="AD35" s="173">
        <v>0</v>
      </c>
      <c r="AE35" s="173">
        <v>0</v>
      </c>
    </row>
    <row r="36" spans="1:32">
      <c r="C36" s="3" t="str">
        <f t="shared" si="1"/>
        <v>Data Assistant</v>
      </c>
      <c r="E36" s="3" t="s">
        <v>29</v>
      </c>
      <c r="I36" s="1017">
        <f>AVERAGE(Q67:U67)</f>
        <v>0.88140000000000018</v>
      </c>
      <c r="J36" s="1017">
        <f>1-I36</f>
        <v>0.11859999999999982</v>
      </c>
      <c r="K36" s="156"/>
      <c r="L36" s="173">
        <v>0</v>
      </c>
      <c r="M36" s="173">
        <v>0</v>
      </c>
      <c r="N36" s="173">
        <v>0</v>
      </c>
      <c r="O36" s="173">
        <v>0</v>
      </c>
      <c r="P36" s="173">
        <v>2657.4687635893943</v>
      </c>
      <c r="Q36" s="173">
        <v>2566.3463505983909</v>
      </c>
      <c r="R36" s="173">
        <v>2591.5299034484083</v>
      </c>
      <c r="S36" s="173">
        <v>2647.013383859804</v>
      </c>
      <c r="T36" s="173">
        <v>2646.8568631019284</v>
      </c>
      <c r="U36" s="173">
        <v>2647.2489744425552</v>
      </c>
      <c r="V36" s="173">
        <v>0</v>
      </c>
      <c r="W36" s="173">
        <v>0</v>
      </c>
      <c r="X36" s="173">
        <v>0</v>
      </c>
      <c r="Y36" s="173">
        <v>0</v>
      </c>
      <c r="Z36" s="173">
        <v>0</v>
      </c>
      <c r="AA36" s="173">
        <v>0</v>
      </c>
      <c r="AB36" s="173">
        <v>0</v>
      </c>
      <c r="AC36" s="173">
        <v>0</v>
      </c>
      <c r="AD36" s="173">
        <v>0</v>
      </c>
      <c r="AE36" s="173">
        <v>0</v>
      </c>
    </row>
    <row r="37" spans="1:32">
      <c r="C37" s="3" t="str">
        <f t="shared" si="1"/>
        <v>Engineer</v>
      </c>
      <c r="E37" s="3" t="s">
        <v>29</v>
      </c>
      <c r="I37" s="1017">
        <f>AVERAGE(Q68:U68)</f>
        <v>0.85920000000000007</v>
      </c>
      <c r="J37" s="1017">
        <f>1-I37</f>
        <v>0.14079999999999993</v>
      </c>
      <c r="K37" s="156"/>
      <c r="L37" s="173">
        <v>0</v>
      </c>
      <c r="M37" s="173">
        <v>0</v>
      </c>
      <c r="N37" s="173">
        <v>0</v>
      </c>
      <c r="O37" s="173">
        <v>0</v>
      </c>
      <c r="P37" s="173">
        <v>8716.9059840986229</v>
      </c>
      <c r="Q37" s="173">
        <v>8414.1503617657745</v>
      </c>
      <c r="R37" s="173">
        <v>8487.8302281715441</v>
      </c>
      <c r="S37" s="173">
        <v>10758.397332821294</v>
      </c>
      <c r="T37" s="173">
        <v>11204.240108573546</v>
      </c>
      <c r="U37" s="173">
        <v>11219.554116880165</v>
      </c>
      <c r="V37" s="173">
        <v>0</v>
      </c>
      <c r="W37" s="173">
        <v>0</v>
      </c>
      <c r="X37" s="173">
        <v>0</v>
      </c>
      <c r="Y37" s="173">
        <v>0</v>
      </c>
      <c r="Z37" s="173">
        <v>0</v>
      </c>
      <c r="AA37" s="173">
        <v>0</v>
      </c>
      <c r="AB37" s="173">
        <v>0</v>
      </c>
      <c r="AC37" s="173">
        <v>0</v>
      </c>
      <c r="AD37" s="173">
        <v>0</v>
      </c>
      <c r="AE37" s="173">
        <v>0</v>
      </c>
    </row>
    <row r="38" spans="1:32">
      <c r="C38" s="3" t="str">
        <f t="shared" si="1"/>
        <v>Op Mgt Supp</v>
      </c>
      <c r="E38" s="3" t="s">
        <v>29</v>
      </c>
      <c r="I38" s="1017">
        <f>AVERAGE(Q69:U69)</f>
        <v>0.85220000000000007</v>
      </c>
      <c r="J38" s="1017">
        <f>1-I38</f>
        <v>0.14779999999999993</v>
      </c>
      <c r="K38" s="156"/>
      <c r="L38" s="173">
        <v>0</v>
      </c>
      <c r="M38" s="173">
        <v>0</v>
      </c>
      <c r="N38" s="173">
        <v>0</v>
      </c>
      <c r="O38" s="173">
        <v>0</v>
      </c>
      <c r="P38" s="173">
        <v>7127.6958250723501</v>
      </c>
      <c r="Q38" s="173">
        <v>6879.1734129476699</v>
      </c>
      <c r="R38" s="173">
        <v>6937.193043844979</v>
      </c>
      <c r="S38" s="173">
        <v>8066.8666560562951</v>
      </c>
      <c r="T38" s="173">
        <v>8079.2776739178616</v>
      </c>
      <c r="U38" s="173">
        <v>8093.3237597044499</v>
      </c>
      <c r="V38" s="173">
        <v>0</v>
      </c>
      <c r="W38" s="173">
        <v>0</v>
      </c>
      <c r="X38" s="173">
        <v>0</v>
      </c>
      <c r="Y38" s="173">
        <v>0</v>
      </c>
      <c r="Z38" s="173">
        <v>0</v>
      </c>
      <c r="AA38" s="173">
        <v>0</v>
      </c>
      <c r="AB38" s="173">
        <v>0</v>
      </c>
      <c r="AC38" s="173">
        <v>0</v>
      </c>
      <c r="AD38" s="173">
        <v>0</v>
      </c>
      <c r="AE38" s="173">
        <v>0</v>
      </c>
    </row>
    <row r="39" spans="1:32">
      <c r="C39" s="3" t="str">
        <f t="shared" si="1"/>
        <v>EWSS</v>
      </c>
      <c r="E39" s="3" t="s">
        <v>29</v>
      </c>
      <c r="K39" s="156"/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-1357.3664329869314</v>
      </c>
      <c r="R39" s="173">
        <v>-4009.154181917203</v>
      </c>
      <c r="S39" s="173">
        <v>0</v>
      </c>
      <c r="T39" s="173">
        <v>0</v>
      </c>
      <c r="U39" s="173">
        <v>0</v>
      </c>
      <c r="V39" s="173">
        <v>0</v>
      </c>
      <c r="W39" s="173">
        <v>0</v>
      </c>
      <c r="X39" s="173">
        <v>0</v>
      </c>
      <c r="Y39" s="173">
        <v>0</v>
      </c>
      <c r="Z39" s="173">
        <v>0</v>
      </c>
      <c r="AA39" s="173">
        <v>0</v>
      </c>
      <c r="AB39" s="173">
        <v>0</v>
      </c>
      <c r="AC39" s="173">
        <v>0</v>
      </c>
      <c r="AD39" s="173">
        <v>0</v>
      </c>
      <c r="AE39" s="173">
        <v>0</v>
      </c>
    </row>
    <row r="40" spans="1:32">
      <c r="C40" s="3" t="str">
        <f t="shared" si="1"/>
        <v>Overtime</v>
      </c>
      <c r="E40" s="3" t="s">
        <v>29</v>
      </c>
      <c r="K40" s="156"/>
      <c r="L40" s="173">
        <v>0</v>
      </c>
      <c r="M40" s="173">
        <v>0</v>
      </c>
      <c r="N40" s="173">
        <v>0</v>
      </c>
      <c r="O40" s="173">
        <v>0</v>
      </c>
      <c r="P40" s="173">
        <v>1869.9999999999995</v>
      </c>
      <c r="Q40" s="173">
        <v>661.00001849483533</v>
      </c>
      <c r="R40" s="173">
        <v>660.99999999999955</v>
      </c>
      <c r="S40" s="173">
        <v>951.47217449337427</v>
      </c>
      <c r="T40" s="173">
        <v>1504.2036986167939</v>
      </c>
      <c r="U40" s="173">
        <v>1778.6941569811615</v>
      </c>
      <c r="V40" s="173">
        <v>0</v>
      </c>
      <c r="W40" s="173">
        <v>0</v>
      </c>
      <c r="X40" s="173">
        <v>0</v>
      </c>
      <c r="Y40" s="173">
        <v>0</v>
      </c>
      <c r="Z40" s="173">
        <v>0</v>
      </c>
      <c r="AA40" s="173">
        <v>0</v>
      </c>
      <c r="AB40" s="173">
        <v>0</v>
      </c>
      <c r="AC40" s="173">
        <v>0</v>
      </c>
      <c r="AD40" s="173">
        <v>0</v>
      </c>
      <c r="AE40" s="173">
        <v>0</v>
      </c>
    </row>
    <row r="41" spans="1:32">
      <c r="C41" s="3" t="str">
        <f t="shared" si="1"/>
        <v>&lt;&lt; add staff category &gt;&gt;</v>
      </c>
      <c r="E41" s="3" t="s">
        <v>29</v>
      </c>
      <c r="K41" s="156"/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3">
        <v>0</v>
      </c>
      <c r="W41" s="173">
        <v>0</v>
      </c>
      <c r="X41" s="173">
        <v>0</v>
      </c>
      <c r="Y41" s="173">
        <v>0</v>
      </c>
      <c r="Z41" s="173">
        <v>0</v>
      </c>
      <c r="AA41" s="173">
        <v>0</v>
      </c>
      <c r="AB41" s="173">
        <v>0</v>
      </c>
      <c r="AC41" s="173">
        <v>0</v>
      </c>
      <c r="AD41" s="173">
        <v>0</v>
      </c>
      <c r="AE41" s="173">
        <v>0</v>
      </c>
    </row>
    <row r="42" spans="1:32">
      <c r="C42" s="3" t="str">
        <f t="shared" si="1"/>
        <v>&lt;&lt; add staff category &gt;&gt;</v>
      </c>
      <c r="E42" s="3" t="s">
        <v>29</v>
      </c>
      <c r="K42" s="156"/>
      <c r="L42" s="229">
        <v>0</v>
      </c>
      <c r="M42" s="229">
        <v>0</v>
      </c>
      <c r="N42" s="229">
        <v>0</v>
      </c>
      <c r="O42" s="229">
        <v>0</v>
      </c>
      <c r="P42" s="229">
        <v>0</v>
      </c>
      <c r="Q42" s="229">
        <v>0</v>
      </c>
      <c r="R42" s="229">
        <v>0</v>
      </c>
      <c r="S42" s="229">
        <v>0</v>
      </c>
      <c r="T42" s="229">
        <v>0</v>
      </c>
      <c r="U42" s="229">
        <v>0</v>
      </c>
      <c r="V42" s="229">
        <v>0</v>
      </c>
      <c r="W42" s="229">
        <v>0</v>
      </c>
      <c r="X42" s="229">
        <v>0</v>
      </c>
      <c r="Y42" s="229">
        <v>0</v>
      </c>
      <c r="Z42" s="229">
        <v>0</v>
      </c>
      <c r="AA42" s="229">
        <v>0</v>
      </c>
      <c r="AB42" s="229">
        <v>0</v>
      </c>
      <c r="AC42" s="229">
        <v>0</v>
      </c>
      <c r="AD42" s="229">
        <v>0</v>
      </c>
      <c r="AE42" s="229">
        <v>0</v>
      </c>
    </row>
    <row r="43" spans="1:32">
      <c r="D43" s="36"/>
      <c r="E43" s="36"/>
      <c r="F43" s="36"/>
      <c r="G43" s="36"/>
      <c r="H43" s="36"/>
      <c r="I43" s="36"/>
      <c r="J43" s="3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</row>
    <row r="44" spans="1:32" ht="10.9" customHeight="1">
      <c r="C44" s="14"/>
      <c r="D44" s="14"/>
      <c r="E44" s="14"/>
      <c r="F44" s="14"/>
      <c r="G44" s="14"/>
      <c r="H44" s="14"/>
      <c r="I44" s="14"/>
      <c r="J44" s="14"/>
      <c r="K44" s="1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2">
      <c r="C45" s="17" t="s">
        <v>809</v>
      </c>
      <c r="E45" s="3" t="s">
        <v>29</v>
      </c>
      <c r="L45" s="27">
        <f t="shared" ref="L45:AE45" si="2">SUM(L34:L43)*(L$14="")+L$14</f>
        <v>0</v>
      </c>
      <c r="M45" s="27">
        <f t="shared" si="2"/>
        <v>0</v>
      </c>
      <c r="N45" s="27">
        <f t="shared" si="2"/>
        <v>0</v>
      </c>
      <c r="O45" s="27">
        <f t="shared" si="2"/>
        <v>0</v>
      </c>
      <c r="P45" s="27">
        <f t="shared" si="2"/>
        <v>67550</v>
      </c>
      <c r="Q45" s="27">
        <f t="shared" si="2"/>
        <v>62230.733310565083</v>
      </c>
      <c r="R45" s="27">
        <f t="shared" si="2"/>
        <v>56441.045354561727</v>
      </c>
      <c r="S45" s="27">
        <f t="shared" si="2"/>
        <v>67387.91444918685</v>
      </c>
      <c r="T45" s="27">
        <f t="shared" si="2"/>
        <v>69882.498909003334</v>
      </c>
      <c r="U45" s="27">
        <f t="shared" si="2"/>
        <v>72236.040368368558</v>
      </c>
      <c r="V45" s="27">
        <f t="shared" si="2"/>
        <v>0</v>
      </c>
      <c r="W45" s="27">
        <f t="shared" si="2"/>
        <v>0</v>
      </c>
      <c r="X45" s="27">
        <f t="shared" si="2"/>
        <v>0</v>
      </c>
      <c r="Y45" s="27">
        <f t="shared" si="2"/>
        <v>0</v>
      </c>
      <c r="Z45" s="27">
        <f t="shared" si="2"/>
        <v>0</v>
      </c>
      <c r="AA45" s="27">
        <f t="shared" si="2"/>
        <v>0</v>
      </c>
      <c r="AB45" s="27">
        <f t="shared" si="2"/>
        <v>0</v>
      </c>
      <c r="AC45" s="27">
        <f t="shared" si="2"/>
        <v>0</v>
      </c>
      <c r="AD45" s="27">
        <f t="shared" si="2"/>
        <v>0</v>
      </c>
      <c r="AE45" s="27">
        <f t="shared" si="2"/>
        <v>0</v>
      </c>
    </row>
    <row r="46" spans="1:32">
      <c r="C46" s="39" t="s">
        <v>810</v>
      </c>
      <c r="E46" s="39" t="s">
        <v>29</v>
      </c>
      <c r="F46" s="39"/>
      <c r="G46" s="39"/>
      <c r="L46" s="150">
        <f t="shared" ref="L46:AE46" si="3">L15</f>
        <v>0</v>
      </c>
      <c r="M46" s="150">
        <f t="shared" si="3"/>
        <v>0</v>
      </c>
      <c r="N46" s="150">
        <f t="shared" si="3"/>
        <v>0</v>
      </c>
      <c r="O46" s="150">
        <f t="shared" si="3"/>
        <v>0</v>
      </c>
      <c r="P46" s="150">
        <f t="shared" si="3"/>
        <v>13465.999999999996</v>
      </c>
      <c r="Q46" s="150">
        <f t="shared" si="3"/>
        <v>13121</v>
      </c>
      <c r="R46" s="150">
        <f t="shared" si="3"/>
        <v>12941</v>
      </c>
      <c r="S46" s="150">
        <f t="shared" si="3"/>
        <v>14049.527128548769</v>
      </c>
      <c r="T46" s="150">
        <f t="shared" si="3"/>
        <v>13708.2194851606</v>
      </c>
      <c r="U46" s="150">
        <f t="shared" si="3"/>
        <v>13335.481020839321</v>
      </c>
      <c r="V46" s="150">
        <f t="shared" si="3"/>
        <v>0</v>
      </c>
      <c r="W46" s="150">
        <f t="shared" si="3"/>
        <v>0</v>
      </c>
      <c r="X46" s="150">
        <f t="shared" si="3"/>
        <v>0</v>
      </c>
      <c r="Y46" s="150">
        <f t="shared" si="3"/>
        <v>0</v>
      </c>
      <c r="Z46" s="150">
        <f t="shared" si="3"/>
        <v>0</v>
      </c>
      <c r="AA46" s="150">
        <f t="shared" si="3"/>
        <v>0</v>
      </c>
      <c r="AB46" s="150">
        <f t="shared" si="3"/>
        <v>0</v>
      </c>
      <c r="AC46" s="150">
        <f t="shared" si="3"/>
        <v>0</v>
      </c>
      <c r="AD46" s="150">
        <f t="shared" si="3"/>
        <v>0</v>
      </c>
      <c r="AE46" s="150">
        <f t="shared" si="3"/>
        <v>0</v>
      </c>
    </row>
    <row r="47" spans="1:32" customFormat="1" ht="14.5">
      <c r="A47" s="151"/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0"/>
      <c r="Q47" s="150"/>
      <c r="R47" s="150"/>
      <c r="S47" s="150"/>
      <c r="T47" s="150"/>
      <c r="U47" s="150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</row>
    <row r="48" spans="1:32" customFormat="1" ht="15" thickBot="1">
      <c r="A48" s="151"/>
      <c r="B48" s="151"/>
      <c r="C48" s="6" t="s">
        <v>811</v>
      </c>
      <c r="D48" s="7"/>
      <c r="E48" s="7"/>
      <c r="F48" s="7"/>
      <c r="G48" s="7"/>
      <c r="H48" s="7"/>
      <c r="I48" s="7"/>
      <c r="J48" s="7"/>
      <c r="K48" s="22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151"/>
    </row>
    <row r="49" spans="1:32" customFormat="1" ht="14.5">
      <c r="A49" s="151"/>
      <c r="B49" s="151"/>
      <c r="C49" s="3" t="str">
        <f t="shared" ref="C49:C57" si="4">C34</f>
        <v>ATCOs</v>
      </c>
      <c r="D49" s="3"/>
      <c r="E49" s="3" t="s">
        <v>29</v>
      </c>
      <c r="F49" s="3"/>
      <c r="G49" s="3"/>
      <c r="H49" s="3"/>
      <c r="I49" s="3"/>
      <c r="J49" s="3"/>
      <c r="K49" s="156"/>
      <c r="L49" s="210">
        <f>IFERROR(1000*L34/L18,0)</f>
        <v>0</v>
      </c>
      <c r="M49" s="210">
        <f t="shared" ref="M49:AE49" si="5">IFERROR(1000*M34/M18,0)</f>
        <v>0</v>
      </c>
      <c r="N49" s="210">
        <f t="shared" si="5"/>
        <v>0</v>
      </c>
      <c r="O49" s="210">
        <f t="shared" si="5"/>
        <v>0</v>
      </c>
      <c r="P49" s="210">
        <f t="shared" si="5"/>
        <v>137767.70206996665</v>
      </c>
      <c r="Q49" s="210">
        <f t="shared" si="5"/>
        <v>134951.17432460649</v>
      </c>
      <c r="R49" s="210">
        <f t="shared" si="5"/>
        <v>128578.76378912147</v>
      </c>
      <c r="S49" s="210">
        <f t="shared" si="5"/>
        <v>141448.43875662016</v>
      </c>
      <c r="T49" s="210">
        <f t="shared" si="5"/>
        <v>134062.81025373988</v>
      </c>
      <c r="U49" s="210">
        <f t="shared" si="5"/>
        <v>126535.56153242225</v>
      </c>
      <c r="V49" s="210">
        <f t="shared" si="5"/>
        <v>0</v>
      </c>
      <c r="W49" s="210">
        <f t="shared" si="5"/>
        <v>0</v>
      </c>
      <c r="X49" s="210">
        <f t="shared" si="5"/>
        <v>0</v>
      </c>
      <c r="Y49" s="210">
        <f t="shared" si="5"/>
        <v>0</v>
      </c>
      <c r="Z49" s="210">
        <f t="shared" si="5"/>
        <v>0</v>
      </c>
      <c r="AA49" s="210">
        <f t="shared" si="5"/>
        <v>0</v>
      </c>
      <c r="AB49" s="210">
        <f t="shared" si="5"/>
        <v>0</v>
      </c>
      <c r="AC49" s="210">
        <f t="shared" si="5"/>
        <v>0</v>
      </c>
      <c r="AD49" s="210">
        <f t="shared" si="5"/>
        <v>0</v>
      </c>
      <c r="AE49" s="210">
        <f t="shared" si="5"/>
        <v>0</v>
      </c>
      <c r="AF49" s="151"/>
    </row>
    <row r="50" spans="1:32" customFormat="1" ht="14.5">
      <c r="A50" s="151"/>
      <c r="B50" s="151"/>
      <c r="C50" s="3" t="str">
        <f t="shared" si="4"/>
        <v>Corp Serv</v>
      </c>
      <c r="D50" s="3"/>
      <c r="E50" s="3" t="s">
        <v>29</v>
      </c>
      <c r="F50" s="3"/>
      <c r="G50" s="3"/>
      <c r="H50" s="3"/>
      <c r="I50" s="3"/>
      <c r="J50" s="3"/>
      <c r="K50" s="156"/>
      <c r="L50" s="210">
        <f t="shared" ref="L50:AE57" si="6">IFERROR(1000*L35/L19,0)</f>
        <v>0</v>
      </c>
      <c r="M50" s="210">
        <f t="shared" si="6"/>
        <v>0</v>
      </c>
      <c r="N50" s="210">
        <f t="shared" si="6"/>
        <v>0</v>
      </c>
      <c r="O50" s="210">
        <f t="shared" si="6"/>
        <v>0</v>
      </c>
      <c r="P50" s="210">
        <f t="shared" si="6"/>
        <v>67760.433641469877</v>
      </c>
      <c r="Q50" s="210">
        <f t="shared" si="6"/>
        <v>65398.913647629321</v>
      </c>
      <c r="R50" s="210">
        <f t="shared" si="6"/>
        <v>65953.012678952553</v>
      </c>
      <c r="S50" s="210">
        <f t="shared" si="6"/>
        <v>69195.046711162009</v>
      </c>
      <c r="T50" s="210">
        <f t="shared" si="6"/>
        <v>69298.416041362507</v>
      </c>
      <c r="U50" s="210">
        <f t="shared" si="6"/>
        <v>69415.819314870285</v>
      </c>
      <c r="V50" s="210">
        <f t="shared" si="6"/>
        <v>0</v>
      </c>
      <c r="W50" s="210">
        <f t="shared" si="6"/>
        <v>0</v>
      </c>
      <c r="X50" s="210">
        <f t="shared" si="6"/>
        <v>0</v>
      </c>
      <c r="Y50" s="210">
        <f t="shared" si="6"/>
        <v>0</v>
      </c>
      <c r="Z50" s="210">
        <f t="shared" si="6"/>
        <v>0</v>
      </c>
      <c r="AA50" s="210">
        <f t="shared" si="6"/>
        <v>0</v>
      </c>
      <c r="AB50" s="210">
        <f t="shared" si="6"/>
        <v>0</v>
      </c>
      <c r="AC50" s="210">
        <f t="shared" si="6"/>
        <v>0</v>
      </c>
      <c r="AD50" s="210">
        <f t="shared" si="6"/>
        <v>0</v>
      </c>
      <c r="AE50" s="210">
        <f t="shared" si="6"/>
        <v>0</v>
      </c>
      <c r="AF50" s="151"/>
    </row>
    <row r="51" spans="1:32" customFormat="1" ht="14.5">
      <c r="A51" s="151"/>
      <c r="B51" s="151"/>
      <c r="C51" s="3" t="str">
        <f t="shared" si="4"/>
        <v>Data Assistant</v>
      </c>
      <c r="D51" s="3"/>
      <c r="E51" s="3" t="s">
        <v>29</v>
      </c>
      <c r="F51" s="3"/>
      <c r="G51" s="3"/>
      <c r="H51" s="3"/>
      <c r="I51" s="3"/>
      <c r="J51" s="3"/>
      <c r="K51" s="156"/>
      <c r="L51" s="210">
        <f t="shared" si="6"/>
        <v>0</v>
      </c>
      <c r="M51" s="210">
        <f t="shared" si="6"/>
        <v>0</v>
      </c>
      <c r="N51" s="210">
        <f t="shared" si="6"/>
        <v>0</v>
      </c>
      <c r="O51" s="210">
        <f t="shared" si="6"/>
        <v>0</v>
      </c>
      <c r="P51" s="210">
        <f t="shared" si="6"/>
        <v>68140.224707420362</v>
      </c>
      <c r="Q51" s="210">
        <f t="shared" si="6"/>
        <v>65803.752579445922</v>
      </c>
      <c r="R51" s="210">
        <f t="shared" si="6"/>
        <v>66449.484703805341</v>
      </c>
      <c r="S51" s="210">
        <f t="shared" si="6"/>
        <v>69658.246943679056</v>
      </c>
      <c r="T51" s="210">
        <f t="shared" si="6"/>
        <v>69654.127976366537</v>
      </c>
      <c r="U51" s="210">
        <f t="shared" si="6"/>
        <v>69664.446695856706</v>
      </c>
      <c r="V51" s="210">
        <f t="shared" si="6"/>
        <v>0</v>
      </c>
      <c r="W51" s="210">
        <f t="shared" si="6"/>
        <v>0</v>
      </c>
      <c r="X51" s="210">
        <f t="shared" si="6"/>
        <v>0</v>
      </c>
      <c r="Y51" s="210">
        <f t="shared" si="6"/>
        <v>0</v>
      </c>
      <c r="Z51" s="210">
        <f t="shared" si="6"/>
        <v>0</v>
      </c>
      <c r="AA51" s="210">
        <f t="shared" si="6"/>
        <v>0</v>
      </c>
      <c r="AB51" s="210">
        <f t="shared" si="6"/>
        <v>0</v>
      </c>
      <c r="AC51" s="210">
        <f t="shared" si="6"/>
        <v>0</v>
      </c>
      <c r="AD51" s="210">
        <f t="shared" si="6"/>
        <v>0</v>
      </c>
      <c r="AE51" s="210">
        <f t="shared" si="6"/>
        <v>0</v>
      </c>
      <c r="AF51" s="151"/>
    </row>
    <row r="52" spans="1:32" customFormat="1" ht="14.5">
      <c r="A52" s="151"/>
      <c r="B52" s="151"/>
      <c r="C52" s="3" t="str">
        <f t="shared" si="4"/>
        <v>Engineer</v>
      </c>
      <c r="D52" s="3"/>
      <c r="E52" s="3" t="s">
        <v>29</v>
      </c>
      <c r="F52" s="3"/>
      <c r="G52" s="3"/>
      <c r="H52" s="3"/>
      <c r="I52" s="3"/>
      <c r="J52" s="3"/>
      <c r="K52" s="156"/>
      <c r="L52" s="210">
        <f t="shared" si="6"/>
        <v>0</v>
      </c>
      <c r="M52" s="210">
        <f t="shared" si="6"/>
        <v>0</v>
      </c>
      <c r="N52" s="210">
        <f t="shared" si="6"/>
        <v>0</v>
      </c>
      <c r="O52" s="210">
        <f t="shared" si="6"/>
        <v>0</v>
      </c>
      <c r="P52" s="210">
        <f t="shared" si="6"/>
        <v>121068.13866803642</v>
      </c>
      <c r="Q52" s="210">
        <f t="shared" si="6"/>
        <v>116863.19946896908</v>
      </c>
      <c r="R52" s="210">
        <f t="shared" si="6"/>
        <v>117886.530946827</v>
      </c>
      <c r="S52" s="210">
        <f t="shared" si="6"/>
        <v>123659.73945771603</v>
      </c>
      <c r="T52" s="210">
        <f t="shared" si="6"/>
        <v>123803.75810578502</v>
      </c>
      <c r="U52" s="210">
        <f t="shared" si="6"/>
        <v>123972.97366718415</v>
      </c>
      <c r="V52" s="210">
        <f t="shared" si="6"/>
        <v>0</v>
      </c>
      <c r="W52" s="210">
        <f t="shared" si="6"/>
        <v>0</v>
      </c>
      <c r="X52" s="210">
        <f t="shared" si="6"/>
        <v>0</v>
      </c>
      <c r="Y52" s="210">
        <f t="shared" si="6"/>
        <v>0</v>
      </c>
      <c r="Z52" s="210">
        <f t="shared" si="6"/>
        <v>0</v>
      </c>
      <c r="AA52" s="210">
        <f t="shared" si="6"/>
        <v>0</v>
      </c>
      <c r="AB52" s="210">
        <f t="shared" si="6"/>
        <v>0</v>
      </c>
      <c r="AC52" s="210">
        <f t="shared" si="6"/>
        <v>0</v>
      </c>
      <c r="AD52" s="210">
        <f t="shared" si="6"/>
        <v>0</v>
      </c>
      <c r="AE52" s="210">
        <f t="shared" si="6"/>
        <v>0</v>
      </c>
      <c r="AF52" s="151"/>
    </row>
    <row r="53" spans="1:32" customFormat="1" ht="14.5">
      <c r="A53" s="151"/>
      <c r="B53" s="151"/>
      <c r="C53" s="3" t="str">
        <f t="shared" si="4"/>
        <v>Op Mgt Supp</v>
      </c>
      <c r="D53" s="3"/>
      <c r="E53" s="3" t="s">
        <v>29</v>
      </c>
      <c r="F53" s="3"/>
      <c r="G53" s="3"/>
      <c r="H53" s="3"/>
      <c r="I53" s="3"/>
      <c r="J53" s="3"/>
      <c r="K53" s="156"/>
      <c r="L53" s="210">
        <f t="shared" si="6"/>
        <v>0</v>
      </c>
      <c r="M53" s="210">
        <f t="shared" si="6"/>
        <v>0</v>
      </c>
      <c r="N53" s="210">
        <f t="shared" si="6"/>
        <v>0</v>
      </c>
      <c r="O53" s="210">
        <f t="shared" si="6"/>
        <v>0</v>
      </c>
      <c r="P53" s="210">
        <f t="shared" si="6"/>
        <v>118794.9304178725</v>
      </c>
      <c r="Q53" s="210">
        <f t="shared" si="6"/>
        <v>114652.8902157945</v>
      </c>
      <c r="R53" s="210">
        <f t="shared" si="6"/>
        <v>115619.88406408299</v>
      </c>
      <c r="S53" s="210">
        <f t="shared" si="6"/>
        <v>121306.26550460594</v>
      </c>
      <c r="T53" s="210">
        <f t="shared" si="6"/>
        <v>121492.8973521483</v>
      </c>
      <c r="U53" s="210">
        <f t="shared" si="6"/>
        <v>121704.11668728497</v>
      </c>
      <c r="V53" s="210">
        <f t="shared" si="6"/>
        <v>0</v>
      </c>
      <c r="W53" s="210">
        <f t="shared" si="6"/>
        <v>0</v>
      </c>
      <c r="X53" s="210">
        <f t="shared" si="6"/>
        <v>0</v>
      </c>
      <c r="Y53" s="210">
        <f t="shared" si="6"/>
        <v>0</v>
      </c>
      <c r="Z53" s="210">
        <f t="shared" si="6"/>
        <v>0</v>
      </c>
      <c r="AA53" s="210">
        <f t="shared" si="6"/>
        <v>0</v>
      </c>
      <c r="AB53" s="210">
        <f t="shared" si="6"/>
        <v>0</v>
      </c>
      <c r="AC53" s="210">
        <f t="shared" si="6"/>
        <v>0</v>
      </c>
      <c r="AD53" s="210">
        <f t="shared" si="6"/>
        <v>0</v>
      </c>
      <c r="AE53" s="210">
        <f t="shared" si="6"/>
        <v>0</v>
      </c>
      <c r="AF53" s="151"/>
    </row>
    <row r="54" spans="1:32" customFormat="1" ht="14.5">
      <c r="A54" s="151"/>
      <c r="B54" s="151"/>
      <c r="C54" s="3" t="str">
        <f t="shared" si="4"/>
        <v>EWSS</v>
      </c>
      <c r="D54" s="3"/>
      <c r="E54" s="3" t="s">
        <v>29</v>
      </c>
      <c r="F54" s="3"/>
      <c r="G54" s="3"/>
      <c r="H54" s="3"/>
      <c r="I54" s="3"/>
      <c r="J54" s="3"/>
      <c r="K54" s="156"/>
      <c r="L54" s="210">
        <f t="shared" si="6"/>
        <v>0</v>
      </c>
      <c r="M54" s="210">
        <f t="shared" si="6"/>
        <v>0</v>
      </c>
      <c r="N54" s="210">
        <f t="shared" si="6"/>
        <v>0</v>
      </c>
      <c r="O54" s="210">
        <f t="shared" si="6"/>
        <v>0</v>
      </c>
      <c r="P54" s="210">
        <f t="shared" si="6"/>
        <v>0</v>
      </c>
      <c r="Q54" s="210">
        <f t="shared" si="6"/>
        <v>0</v>
      </c>
      <c r="R54" s="210">
        <f t="shared" si="6"/>
        <v>0</v>
      </c>
      <c r="S54" s="210">
        <f t="shared" si="6"/>
        <v>0</v>
      </c>
      <c r="T54" s="210">
        <f t="shared" si="6"/>
        <v>0</v>
      </c>
      <c r="U54" s="210">
        <f t="shared" si="6"/>
        <v>0</v>
      </c>
      <c r="V54" s="210">
        <f t="shared" si="6"/>
        <v>0</v>
      </c>
      <c r="W54" s="210">
        <f t="shared" si="6"/>
        <v>0</v>
      </c>
      <c r="X54" s="210">
        <f t="shared" si="6"/>
        <v>0</v>
      </c>
      <c r="Y54" s="210">
        <f t="shared" si="6"/>
        <v>0</v>
      </c>
      <c r="Z54" s="210">
        <f t="shared" si="6"/>
        <v>0</v>
      </c>
      <c r="AA54" s="210">
        <f t="shared" si="6"/>
        <v>0</v>
      </c>
      <c r="AB54" s="210">
        <f t="shared" si="6"/>
        <v>0</v>
      </c>
      <c r="AC54" s="210">
        <f t="shared" si="6"/>
        <v>0</v>
      </c>
      <c r="AD54" s="210">
        <f t="shared" si="6"/>
        <v>0</v>
      </c>
      <c r="AE54" s="210">
        <f t="shared" si="6"/>
        <v>0</v>
      </c>
      <c r="AF54" s="151"/>
    </row>
    <row r="55" spans="1:32" customFormat="1" ht="14.5">
      <c r="A55" s="151"/>
      <c r="B55" s="151"/>
      <c r="C55" s="3" t="str">
        <f t="shared" si="4"/>
        <v>Overtime</v>
      </c>
      <c r="D55" s="3"/>
      <c r="E55" s="3" t="s">
        <v>29</v>
      </c>
      <c r="F55" s="3"/>
      <c r="G55" s="3"/>
      <c r="H55" s="3"/>
      <c r="I55" s="3"/>
      <c r="J55" s="3"/>
      <c r="K55" s="156"/>
      <c r="L55" s="210">
        <f t="shared" si="6"/>
        <v>0</v>
      </c>
      <c r="M55" s="210">
        <f t="shared" si="6"/>
        <v>0</v>
      </c>
      <c r="N55" s="210">
        <f t="shared" si="6"/>
        <v>0</v>
      </c>
      <c r="O55" s="210">
        <f t="shared" si="6"/>
        <v>0</v>
      </c>
      <c r="P55" s="210">
        <f t="shared" si="6"/>
        <v>0</v>
      </c>
      <c r="Q55" s="210">
        <f t="shared" si="6"/>
        <v>0</v>
      </c>
      <c r="R55" s="210">
        <f t="shared" si="6"/>
        <v>0</v>
      </c>
      <c r="S55" s="210">
        <f t="shared" si="6"/>
        <v>0</v>
      </c>
      <c r="T55" s="210">
        <f t="shared" si="6"/>
        <v>0</v>
      </c>
      <c r="U55" s="210">
        <f t="shared" si="6"/>
        <v>0</v>
      </c>
      <c r="V55" s="210">
        <f t="shared" si="6"/>
        <v>0</v>
      </c>
      <c r="W55" s="210">
        <f t="shared" si="6"/>
        <v>0</v>
      </c>
      <c r="X55" s="210">
        <f t="shared" si="6"/>
        <v>0</v>
      </c>
      <c r="Y55" s="210">
        <f t="shared" si="6"/>
        <v>0</v>
      </c>
      <c r="Z55" s="210">
        <f t="shared" si="6"/>
        <v>0</v>
      </c>
      <c r="AA55" s="210">
        <f t="shared" si="6"/>
        <v>0</v>
      </c>
      <c r="AB55" s="210">
        <f t="shared" si="6"/>
        <v>0</v>
      </c>
      <c r="AC55" s="210">
        <f t="shared" si="6"/>
        <v>0</v>
      </c>
      <c r="AD55" s="210">
        <f t="shared" si="6"/>
        <v>0</v>
      </c>
      <c r="AE55" s="210">
        <f t="shared" si="6"/>
        <v>0</v>
      </c>
      <c r="AF55" s="151"/>
    </row>
    <row r="56" spans="1:32" customFormat="1" ht="14.5">
      <c r="A56" s="151"/>
      <c r="B56" s="151"/>
      <c r="C56" s="3" t="str">
        <f t="shared" si="4"/>
        <v>&lt;&lt; add staff category &gt;&gt;</v>
      </c>
      <c r="D56" s="3"/>
      <c r="E56" s="3" t="s">
        <v>29</v>
      </c>
      <c r="F56" s="3"/>
      <c r="G56" s="3"/>
      <c r="H56" s="3"/>
      <c r="I56" s="3"/>
      <c r="J56" s="3"/>
      <c r="K56" s="156"/>
      <c r="L56" s="210">
        <f t="shared" si="6"/>
        <v>0</v>
      </c>
      <c r="M56" s="210">
        <f t="shared" si="6"/>
        <v>0</v>
      </c>
      <c r="N56" s="210">
        <f t="shared" si="6"/>
        <v>0</v>
      </c>
      <c r="O56" s="210">
        <f t="shared" si="6"/>
        <v>0</v>
      </c>
      <c r="P56" s="210">
        <f t="shared" si="6"/>
        <v>0</v>
      </c>
      <c r="Q56" s="210">
        <f t="shared" si="6"/>
        <v>0</v>
      </c>
      <c r="R56" s="210">
        <f t="shared" si="6"/>
        <v>0</v>
      </c>
      <c r="S56" s="210">
        <f t="shared" si="6"/>
        <v>0</v>
      </c>
      <c r="T56" s="210">
        <f t="shared" si="6"/>
        <v>0</v>
      </c>
      <c r="U56" s="210">
        <f t="shared" si="6"/>
        <v>0</v>
      </c>
      <c r="V56" s="210">
        <f t="shared" si="6"/>
        <v>0</v>
      </c>
      <c r="W56" s="210">
        <f t="shared" si="6"/>
        <v>0</v>
      </c>
      <c r="X56" s="210">
        <f t="shared" si="6"/>
        <v>0</v>
      </c>
      <c r="Y56" s="210">
        <f t="shared" si="6"/>
        <v>0</v>
      </c>
      <c r="Z56" s="210">
        <f t="shared" si="6"/>
        <v>0</v>
      </c>
      <c r="AA56" s="210">
        <f t="shared" si="6"/>
        <v>0</v>
      </c>
      <c r="AB56" s="210">
        <f t="shared" si="6"/>
        <v>0</v>
      </c>
      <c r="AC56" s="210">
        <f t="shared" si="6"/>
        <v>0</v>
      </c>
      <c r="AD56" s="210">
        <f t="shared" si="6"/>
        <v>0</v>
      </c>
      <c r="AE56" s="210">
        <f t="shared" si="6"/>
        <v>0</v>
      </c>
      <c r="AF56" s="151"/>
    </row>
    <row r="57" spans="1:32" customFormat="1" ht="14.5">
      <c r="A57" s="151"/>
      <c r="B57" s="151"/>
      <c r="C57" s="3" t="str">
        <f t="shared" si="4"/>
        <v>&lt;&lt; add staff category &gt;&gt;</v>
      </c>
      <c r="D57" s="3"/>
      <c r="E57" s="3" t="s">
        <v>29</v>
      </c>
      <c r="F57" s="3"/>
      <c r="G57" s="3"/>
      <c r="H57" s="3"/>
      <c r="I57" s="3"/>
      <c r="J57" s="3"/>
      <c r="K57" s="156"/>
      <c r="L57" s="210">
        <f t="shared" si="6"/>
        <v>0</v>
      </c>
      <c r="M57" s="210">
        <f t="shared" si="6"/>
        <v>0</v>
      </c>
      <c r="N57" s="210">
        <f t="shared" si="6"/>
        <v>0</v>
      </c>
      <c r="O57" s="210">
        <f t="shared" si="6"/>
        <v>0</v>
      </c>
      <c r="P57" s="210">
        <f t="shared" si="6"/>
        <v>0</v>
      </c>
      <c r="Q57" s="210">
        <f t="shared" si="6"/>
        <v>0</v>
      </c>
      <c r="R57" s="210">
        <f t="shared" si="6"/>
        <v>0</v>
      </c>
      <c r="S57" s="210">
        <f t="shared" si="6"/>
        <v>0</v>
      </c>
      <c r="T57" s="210">
        <f t="shared" si="6"/>
        <v>0</v>
      </c>
      <c r="U57" s="210">
        <f t="shared" si="6"/>
        <v>0</v>
      </c>
      <c r="V57" s="210">
        <f t="shared" si="6"/>
        <v>0</v>
      </c>
      <c r="W57" s="210">
        <f t="shared" si="6"/>
        <v>0</v>
      </c>
      <c r="X57" s="210">
        <f t="shared" si="6"/>
        <v>0</v>
      </c>
      <c r="Y57" s="210">
        <f t="shared" si="6"/>
        <v>0</v>
      </c>
      <c r="Z57" s="210">
        <f t="shared" si="6"/>
        <v>0</v>
      </c>
      <c r="AA57" s="210">
        <f t="shared" si="6"/>
        <v>0</v>
      </c>
      <c r="AB57" s="210">
        <f t="shared" si="6"/>
        <v>0</v>
      </c>
      <c r="AC57" s="210">
        <f t="shared" si="6"/>
        <v>0</v>
      </c>
      <c r="AD57" s="210">
        <f t="shared" si="6"/>
        <v>0</v>
      </c>
      <c r="AE57" s="210">
        <f t="shared" si="6"/>
        <v>0</v>
      </c>
      <c r="AF57" s="151"/>
    </row>
    <row r="58" spans="1:32" customFormat="1" ht="14.5">
      <c r="A58" s="151"/>
      <c r="B58" s="151"/>
      <c r="C58" s="14"/>
      <c r="D58" s="14"/>
      <c r="E58" s="14"/>
      <c r="F58" s="14"/>
      <c r="G58" s="14"/>
      <c r="H58" s="14"/>
      <c r="I58" s="14"/>
      <c r="J58" s="14"/>
      <c r="K58" s="14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151"/>
    </row>
    <row r="59" spans="1:32" customFormat="1" ht="14.5">
      <c r="A59" s="151"/>
      <c r="B59" s="151"/>
      <c r="C59" s="17" t="s">
        <v>809</v>
      </c>
      <c r="D59" s="3"/>
      <c r="E59" s="3" t="s">
        <v>29</v>
      </c>
      <c r="F59" s="3"/>
      <c r="G59" s="3"/>
      <c r="H59" s="3"/>
      <c r="I59" s="3"/>
      <c r="J59" s="3"/>
      <c r="K59" s="3"/>
      <c r="L59" s="27">
        <f>IFERROR(1000*L45/L31,0)</f>
        <v>0</v>
      </c>
      <c r="M59" s="27">
        <f>IFERROR(1000*M45/M31,0)</f>
        <v>0</v>
      </c>
      <c r="N59" s="27">
        <f>IFERROR(1000*N45/N31,0)</f>
        <v>0</v>
      </c>
      <c r="O59" s="27">
        <f>IFERROR(1000*O45/O31,0)</f>
        <v>0</v>
      </c>
      <c r="P59" s="27">
        <f>IFERROR(1000*P45/P31,0)</f>
        <v>123266.42335766423</v>
      </c>
      <c r="Q59" s="27">
        <f t="shared" ref="Q59:AE59" si="7">IFERROR(1000*Q45/Q31,0)</f>
        <v>115242.09872326867</v>
      </c>
      <c r="R59" s="27">
        <f t="shared" si="7"/>
        <v>106693.84755115637</v>
      </c>
      <c r="S59" s="27">
        <f t="shared" si="7"/>
        <v>125140.04540238969</v>
      </c>
      <c r="T59" s="27">
        <f t="shared" si="7"/>
        <v>122816.34254657879</v>
      </c>
      <c r="U59" s="27">
        <f t="shared" si="7"/>
        <v>119596.0933251135</v>
      </c>
      <c r="V59" s="27">
        <f t="shared" si="7"/>
        <v>0</v>
      </c>
      <c r="W59" s="27">
        <f t="shared" si="7"/>
        <v>0</v>
      </c>
      <c r="X59" s="27">
        <f t="shared" si="7"/>
        <v>0</v>
      </c>
      <c r="Y59" s="27">
        <f t="shared" si="7"/>
        <v>0</v>
      </c>
      <c r="Z59" s="27">
        <f t="shared" si="7"/>
        <v>0</v>
      </c>
      <c r="AA59" s="27">
        <f t="shared" si="7"/>
        <v>0</v>
      </c>
      <c r="AB59" s="27">
        <f t="shared" si="7"/>
        <v>0</v>
      </c>
      <c r="AC59" s="27">
        <f t="shared" si="7"/>
        <v>0</v>
      </c>
      <c r="AD59" s="27">
        <f t="shared" si="7"/>
        <v>0</v>
      </c>
      <c r="AE59" s="27">
        <f t="shared" si="7"/>
        <v>0</v>
      </c>
      <c r="AF59" s="151"/>
    </row>
    <row r="60" spans="1:32" customFormat="1" ht="14.5">
      <c r="A60" s="151"/>
      <c r="B60" s="151"/>
      <c r="C60" s="39" t="s">
        <v>810</v>
      </c>
      <c r="D60" s="3"/>
      <c r="E60" s="39" t="s">
        <v>29</v>
      </c>
      <c r="F60" s="39"/>
      <c r="G60" s="39"/>
      <c r="H60" s="3"/>
      <c r="I60" s="3"/>
      <c r="J60" s="3"/>
      <c r="K60" s="3"/>
      <c r="L60" s="150">
        <f>IFERROR(1000*L15/L31,0)</f>
        <v>0</v>
      </c>
      <c r="M60" s="150">
        <f>IFERROR(1000*M15/M31,0)</f>
        <v>0</v>
      </c>
      <c r="N60" s="150">
        <f>IFERROR(1000*N15/N31,0)</f>
        <v>0</v>
      </c>
      <c r="O60" s="150">
        <f>IFERROR(1000*O15/O31,0)</f>
        <v>0</v>
      </c>
      <c r="P60" s="150">
        <f>IFERROR(1000*P15/P31,0)</f>
        <v>24572.992700729919</v>
      </c>
      <c r="Q60" s="150">
        <f t="shared" ref="Q60:AE60" si="8">IFERROR(1000*Q15/Q31,0)</f>
        <v>24298.14814814815</v>
      </c>
      <c r="R60" s="150">
        <f t="shared" si="8"/>
        <v>24463.13799621928</v>
      </c>
      <c r="S60" s="150">
        <f t="shared" si="8"/>
        <v>26090.115373349618</v>
      </c>
      <c r="T60" s="150">
        <f t="shared" si="8"/>
        <v>24091.774139122321</v>
      </c>
      <c r="U60" s="150">
        <f t="shared" si="8"/>
        <v>22078.610961654504</v>
      </c>
      <c r="V60" s="150">
        <f t="shared" si="8"/>
        <v>0</v>
      </c>
      <c r="W60" s="150">
        <f t="shared" si="8"/>
        <v>0</v>
      </c>
      <c r="X60" s="150">
        <f t="shared" si="8"/>
        <v>0</v>
      </c>
      <c r="Y60" s="150">
        <f t="shared" si="8"/>
        <v>0</v>
      </c>
      <c r="Z60" s="150">
        <f t="shared" si="8"/>
        <v>0</v>
      </c>
      <c r="AA60" s="150">
        <f t="shared" si="8"/>
        <v>0</v>
      </c>
      <c r="AB60" s="150">
        <f t="shared" si="8"/>
        <v>0</v>
      </c>
      <c r="AC60" s="150">
        <f t="shared" si="8"/>
        <v>0</v>
      </c>
      <c r="AD60" s="150">
        <f t="shared" si="8"/>
        <v>0</v>
      </c>
      <c r="AE60" s="150">
        <f t="shared" si="8"/>
        <v>0</v>
      </c>
      <c r="AF60" s="151"/>
    </row>
    <row r="61" spans="1:32" customFormat="1" ht="14.5">
      <c r="A61" s="151"/>
      <c r="B61" s="151"/>
      <c r="C61" s="151"/>
      <c r="D61" s="151"/>
      <c r="E61" s="151"/>
      <c r="F61" s="151"/>
      <c r="G61" s="151"/>
      <c r="H61" s="151"/>
      <c r="I61" s="151"/>
      <c r="J61" s="151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</row>
    <row r="62" spans="1:32" s="7" customFormat="1" ht="13.5" thickBot="1">
      <c r="A62" s="3"/>
      <c r="B62" s="152" t="s">
        <v>150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3"/>
    </row>
    <row r="64" spans="1:32" ht="13.5" thickBot="1">
      <c r="C64" s="6" t="s">
        <v>813</v>
      </c>
      <c r="D64" s="7"/>
      <c r="E64" s="7"/>
      <c r="F64" s="7"/>
      <c r="G64" s="7"/>
      <c r="H64" s="7"/>
      <c r="I64" s="221"/>
      <c r="J64" s="7"/>
      <c r="K64" s="22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</row>
    <row r="65" spans="3:31" outlineLevel="1">
      <c r="C65" s="3" t="str">
        <f>C18</f>
        <v>ATCOs</v>
      </c>
      <c r="E65" s="3" t="s">
        <v>29</v>
      </c>
      <c r="K65" s="156"/>
      <c r="L65" s="223">
        <v>0</v>
      </c>
      <c r="M65" s="223">
        <v>0</v>
      </c>
      <c r="N65" s="223">
        <v>0</v>
      </c>
      <c r="O65" s="223">
        <v>0</v>
      </c>
      <c r="P65" s="223">
        <v>0.85409961876069318</v>
      </c>
      <c r="Q65" s="223">
        <v>0.85408934974178818</v>
      </c>
      <c r="R65" s="223">
        <v>0.87065727020497996</v>
      </c>
      <c r="S65" s="223">
        <v>0.87067047643303597</v>
      </c>
      <c r="T65" s="223">
        <v>0.8460375159836655</v>
      </c>
      <c r="U65" s="223">
        <v>0.84238430712749346</v>
      </c>
      <c r="V65" s="223">
        <v>0</v>
      </c>
      <c r="W65" s="223">
        <v>0</v>
      </c>
      <c r="X65" s="223">
        <v>0</v>
      </c>
      <c r="Y65" s="223">
        <v>0</v>
      </c>
      <c r="Z65" s="223">
        <v>0</v>
      </c>
      <c r="AA65" s="223">
        <v>0</v>
      </c>
      <c r="AB65" s="223">
        <v>0</v>
      </c>
      <c r="AC65" s="223">
        <v>0</v>
      </c>
      <c r="AD65" s="223">
        <v>0</v>
      </c>
      <c r="AE65" s="223">
        <v>0</v>
      </c>
    </row>
    <row r="66" spans="3:31" outlineLevel="1">
      <c r="C66" s="3" t="str">
        <f t="shared" ref="C66:C71" si="9">C19</f>
        <v>Corp Serv</v>
      </c>
      <c r="E66" s="3" t="s">
        <v>29</v>
      </c>
      <c r="K66" s="156"/>
      <c r="L66" s="223">
        <v>0</v>
      </c>
      <c r="M66" s="223">
        <v>0</v>
      </c>
      <c r="N66" s="223">
        <v>0</v>
      </c>
      <c r="O66" s="223">
        <v>0</v>
      </c>
      <c r="P66" s="223">
        <v>0.84399999999999997</v>
      </c>
      <c r="Q66" s="223">
        <v>0.83900000000000019</v>
      </c>
      <c r="R66" s="223">
        <v>0.83299999999999996</v>
      </c>
      <c r="S66" s="223">
        <v>0.82799999999999996</v>
      </c>
      <c r="T66" s="223">
        <v>0.82799999999999974</v>
      </c>
      <c r="U66" s="223">
        <v>0.82800000000000007</v>
      </c>
      <c r="V66" s="223">
        <v>0</v>
      </c>
      <c r="W66" s="223">
        <v>0</v>
      </c>
      <c r="X66" s="223">
        <v>0</v>
      </c>
      <c r="Y66" s="223">
        <v>0</v>
      </c>
      <c r="Z66" s="223">
        <v>0</v>
      </c>
      <c r="AA66" s="223">
        <v>0</v>
      </c>
      <c r="AB66" s="223">
        <v>0</v>
      </c>
      <c r="AC66" s="223">
        <v>0</v>
      </c>
      <c r="AD66" s="223">
        <v>0</v>
      </c>
      <c r="AE66" s="223">
        <v>0</v>
      </c>
    </row>
    <row r="67" spans="3:31" outlineLevel="1">
      <c r="C67" s="3" t="str">
        <f t="shared" si="9"/>
        <v>Data Assistant</v>
      </c>
      <c r="E67" s="3" t="s">
        <v>29</v>
      </c>
      <c r="K67" s="156"/>
      <c r="L67" s="223">
        <v>0</v>
      </c>
      <c r="M67" s="223">
        <v>0</v>
      </c>
      <c r="N67" s="223">
        <v>0</v>
      </c>
      <c r="O67" s="223">
        <v>0</v>
      </c>
      <c r="P67" s="223">
        <v>0.88900000000000001</v>
      </c>
      <c r="Q67" s="223">
        <v>0.88200000000000012</v>
      </c>
      <c r="R67" s="223">
        <v>0.88100000000000023</v>
      </c>
      <c r="S67" s="223">
        <v>0.88200000000000001</v>
      </c>
      <c r="T67" s="223">
        <v>0.88100000000000023</v>
      </c>
      <c r="U67" s="223">
        <v>0.88100000000000012</v>
      </c>
      <c r="V67" s="223">
        <v>0</v>
      </c>
      <c r="W67" s="223">
        <v>0</v>
      </c>
      <c r="X67" s="223">
        <v>0</v>
      </c>
      <c r="Y67" s="223">
        <v>0</v>
      </c>
      <c r="Z67" s="223">
        <v>0</v>
      </c>
      <c r="AA67" s="223">
        <v>0</v>
      </c>
      <c r="AB67" s="223">
        <v>0</v>
      </c>
      <c r="AC67" s="223">
        <v>0</v>
      </c>
      <c r="AD67" s="223">
        <v>0</v>
      </c>
      <c r="AE67" s="223">
        <v>0</v>
      </c>
    </row>
    <row r="68" spans="3:31" outlineLevel="1">
      <c r="C68" s="3" t="str">
        <f t="shared" si="9"/>
        <v>Engineer</v>
      </c>
      <c r="E68" s="3" t="s">
        <v>29</v>
      </c>
      <c r="K68" s="156"/>
      <c r="L68" s="223">
        <v>0</v>
      </c>
      <c r="M68" s="223">
        <v>0</v>
      </c>
      <c r="N68" s="223">
        <v>0</v>
      </c>
      <c r="O68" s="223">
        <v>0</v>
      </c>
      <c r="P68" s="223">
        <v>0.86900000000000011</v>
      </c>
      <c r="Q68" s="223">
        <v>0.85899999999999999</v>
      </c>
      <c r="R68" s="223">
        <v>0.8600000000000001</v>
      </c>
      <c r="S68" s="223">
        <v>0.85899999999999999</v>
      </c>
      <c r="T68" s="223">
        <v>0.85899999999999976</v>
      </c>
      <c r="U68" s="223">
        <v>0.85899999999999999</v>
      </c>
      <c r="V68" s="223">
        <v>0</v>
      </c>
      <c r="W68" s="223">
        <v>0</v>
      </c>
      <c r="X68" s="223">
        <v>0</v>
      </c>
      <c r="Y68" s="223">
        <v>0</v>
      </c>
      <c r="Z68" s="223">
        <v>0</v>
      </c>
      <c r="AA68" s="223">
        <v>0</v>
      </c>
      <c r="AB68" s="223">
        <v>0</v>
      </c>
      <c r="AC68" s="223">
        <v>0</v>
      </c>
      <c r="AD68" s="223">
        <v>0</v>
      </c>
      <c r="AE68" s="223">
        <v>0</v>
      </c>
    </row>
    <row r="69" spans="3:31" outlineLevel="1">
      <c r="C69" s="3" t="str">
        <f t="shared" si="9"/>
        <v>Op Mgt Supp</v>
      </c>
      <c r="E69" s="3" t="s">
        <v>29</v>
      </c>
      <c r="K69" s="156"/>
      <c r="L69" s="223">
        <v>0</v>
      </c>
      <c r="M69" s="223">
        <v>0</v>
      </c>
      <c r="N69" s="223">
        <v>0</v>
      </c>
      <c r="O69" s="223">
        <v>0</v>
      </c>
      <c r="P69" s="223">
        <v>0.85</v>
      </c>
      <c r="Q69" s="223">
        <v>0.85399999999999987</v>
      </c>
      <c r="R69" s="223">
        <v>0.85399999999999998</v>
      </c>
      <c r="S69" s="223">
        <v>0.85</v>
      </c>
      <c r="T69" s="223">
        <v>0.85</v>
      </c>
      <c r="U69" s="223">
        <v>0.85300000000000009</v>
      </c>
      <c r="V69" s="223">
        <v>0</v>
      </c>
      <c r="W69" s="223">
        <v>0</v>
      </c>
      <c r="X69" s="223">
        <v>0</v>
      </c>
      <c r="Y69" s="223">
        <v>0</v>
      </c>
      <c r="Z69" s="223">
        <v>0</v>
      </c>
      <c r="AA69" s="223">
        <v>0</v>
      </c>
      <c r="AB69" s="223">
        <v>0</v>
      </c>
      <c r="AC69" s="223">
        <v>0</v>
      </c>
      <c r="AD69" s="223">
        <v>0</v>
      </c>
      <c r="AE69" s="223">
        <v>0</v>
      </c>
    </row>
    <row r="70" spans="3:31" outlineLevel="1">
      <c r="C70" s="3" t="str">
        <f t="shared" si="9"/>
        <v>EWSS</v>
      </c>
      <c r="E70" s="3" t="s">
        <v>29</v>
      </c>
      <c r="K70" s="156"/>
      <c r="L70" s="223">
        <v>0</v>
      </c>
      <c r="M70" s="223">
        <v>0</v>
      </c>
      <c r="N70" s="223">
        <v>0</v>
      </c>
      <c r="O70" s="223">
        <v>0</v>
      </c>
      <c r="P70" s="223">
        <v>0</v>
      </c>
      <c r="Q70" s="223">
        <v>0.85762160063524018</v>
      </c>
      <c r="R70" s="223">
        <v>0.8606313874322874</v>
      </c>
      <c r="S70" s="223">
        <v>0</v>
      </c>
      <c r="T70" s="223">
        <v>0</v>
      </c>
      <c r="U70" s="223">
        <v>0</v>
      </c>
      <c r="V70" s="223">
        <v>0</v>
      </c>
      <c r="W70" s="223">
        <v>0</v>
      </c>
      <c r="X70" s="223">
        <v>0</v>
      </c>
      <c r="Y70" s="223">
        <v>0</v>
      </c>
      <c r="Z70" s="223">
        <v>0</v>
      </c>
      <c r="AA70" s="223">
        <v>0</v>
      </c>
      <c r="AB70" s="223">
        <v>0</v>
      </c>
      <c r="AC70" s="223">
        <v>0</v>
      </c>
      <c r="AD70" s="223">
        <v>0</v>
      </c>
      <c r="AE70" s="223">
        <v>0</v>
      </c>
    </row>
    <row r="71" spans="3:31" outlineLevel="1">
      <c r="C71" s="3" t="str">
        <f t="shared" si="9"/>
        <v>Overtime</v>
      </c>
      <c r="E71" s="3" t="s">
        <v>29</v>
      </c>
      <c r="K71" s="156"/>
      <c r="L71" s="223">
        <v>0</v>
      </c>
      <c r="M71" s="223">
        <v>0</v>
      </c>
      <c r="N71" s="223">
        <v>0</v>
      </c>
      <c r="O71" s="223">
        <v>0</v>
      </c>
      <c r="P71" s="223">
        <v>0.85409961876069318</v>
      </c>
      <c r="Q71" s="223">
        <v>0.85408934974178818</v>
      </c>
      <c r="R71" s="223">
        <v>0.87065727020497996</v>
      </c>
      <c r="S71" s="223">
        <v>0.87067047643303597</v>
      </c>
      <c r="T71" s="223">
        <v>0.8460375159836655</v>
      </c>
      <c r="U71" s="223">
        <v>0.84238430712749346</v>
      </c>
      <c r="V71" s="223">
        <v>0</v>
      </c>
      <c r="W71" s="223">
        <v>0</v>
      </c>
      <c r="X71" s="223">
        <v>0</v>
      </c>
      <c r="Y71" s="223">
        <v>0</v>
      </c>
      <c r="Z71" s="223">
        <v>0</v>
      </c>
      <c r="AA71" s="223">
        <v>0</v>
      </c>
      <c r="AB71" s="223">
        <v>0</v>
      </c>
      <c r="AC71" s="223">
        <v>0</v>
      </c>
      <c r="AD71" s="223">
        <v>0</v>
      </c>
      <c r="AE71" s="223">
        <v>0</v>
      </c>
    </row>
    <row r="72" spans="3:31" outlineLevel="1">
      <c r="C72" s="3" t="s">
        <v>862</v>
      </c>
      <c r="E72" s="3" t="s">
        <v>29</v>
      </c>
      <c r="K72" s="156"/>
      <c r="L72" s="223">
        <v>0</v>
      </c>
      <c r="M72" s="223">
        <v>0</v>
      </c>
      <c r="N72" s="223">
        <v>0</v>
      </c>
      <c r="O72" s="223">
        <v>0</v>
      </c>
      <c r="P72" s="223">
        <v>0</v>
      </c>
      <c r="Q72" s="223">
        <v>0</v>
      </c>
      <c r="R72" s="223">
        <v>0</v>
      </c>
      <c r="S72" s="223">
        <v>0</v>
      </c>
      <c r="T72" s="223">
        <v>0</v>
      </c>
      <c r="U72" s="223">
        <v>0</v>
      </c>
      <c r="V72" s="223">
        <v>0</v>
      </c>
      <c r="W72" s="223">
        <v>0</v>
      </c>
      <c r="X72" s="223">
        <v>0</v>
      </c>
      <c r="Y72" s="223">
        <v>0</v>
      </c>
      <c r="Z72" s="223">
        <v>0</v>
      </c>
      <c r="AA72" s="223">
        <v>0</v>
      </c>
      <c r="AB72" s="223">
        <v>0</v>
      </c>
      <c r="AC72" s="223">
        <v>0</v>
      </c>
      <c r="AD72" s="223">
        <v>0</v>
      </c>
      <c r="AE72" s="223">
        <v>0</v>
      </c>
    </row>
    <row r="73" spans="3:31" outlineLevel="1">
      <c r="C73" s="3" t="s">
        <v>862</v>
      </c>
      <c r="E73" s="3" t="s">
        <v>29</v>
      </c>
      <c r="K73" s="156"/>
      <c r="L73" s="223">
        <v>0</v>
      </c>
      <c r="M73" s="223">
        <v>0</v>
      </c>
      <c r="N73" s="223">
        <v>0</v>
      </c>
      <c r="O73" s="223">
        <v>0</v>
      </c>
      <c r="P73" s="223">
        <v>0</v>
      </c>
      <c r="Q73" s="223">
        <v>0</v>
      </c>
      <c r="R73" s="223">
        <v>0</v>
      </c>
      <c r="S73" s="223">
        <v>0</v>
      </c>
      <c r="T73" s="223">
        <v>0</v>
      </c>
      <c r="U73" s="223">
        <v>0</v>
      </c>
      <c r="V73" s="223">
        <v>0</v>
      </c>
      <c r="W73" s="223">
        <v>0</v>
      </c>
      <c r="X73" s="223">
        <v>0</v>
      </c>
      <c r="Y73" s="223">
        <v>0</v>
      </c>
      <c r="Z73" s="223">
        <v>0</v>
      </c>
      <c r="AA73" s="223">
        <v>0</v>
      </c>
      <c r="AB73" s="223">
        <v>0</v>
      </c>
      <c r="AC73" s="223">
        <v>0</v>
      </c>
      <c r="AD73" s="223">
        <v>0</v>
      </c>
      <c r="AE73" s="223">
        <v>0</v>
      </c>
    </row>
    <row r="75" spans="3:31" ht="13.5" thickBot="1">
      <c r="C75" s="6" t="s">
        <v>797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</row>
    <row r="76" spans="3:31">
      <c r="C76" s="3" t="s">
        <v>796</v>
      </c>
      <c r="E76" s="3" t="s">
        <v>29</v>
      </c>
      <c r="L76" s="149"/>
      <c r="M76" s="149"/>
      <c r="N76" s="149"/>
      <c r="O76" s="149"/>
      <c r="P76" s="149"/>
      <c r="Q76" s="149"/>
      <c r="R76" s="149"/>
      <c r="S76" s="149"/>
      <c r="T76" s="149"/>
      <c r="U76" s="149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pans="3:31">
      <c r="C77" s="39" t="s">
        <v>799</v>
      </c>
      <c r="D77" s="39"/>
      <c r="E77" s="39" t="s">
        <v>29</v>
      </c>
      <c r="F77" s="39"/>
      <c r="G77" s="39"/>
      <c r="H77" s="39"/>
      <c r="I77" s="39"/>
      <c r="J77" s="226"/>
      <c r="K77" s="226"/>
      <c r="L77" s="227"/>
      <c r="M77" s="227"/>
      <c r="N77" s="227"/>
      <c r="O77" s="227"/>
      <c r="P77" s="227">
        <f>'ANSP Opex (CAR)'!P77</f>
        <v>11514</v>
      </c>
      <c r="Q77" s="227">
        <f>'ANSP Opex (CAR)'!Q77</f>
        <v>11198</v>
      </c>
      <c r="R77" s="227">
        <f>'ANSP Opex (CAR)'!R77</f>
        <v>11177</v>
      </c>
      <c r="S77" s="227">
        <f>S$15*'ANSP Opex (CAR)'!S77/'ANSP Opex (CAR)'!S$15</f>
        <v>12124.591916986037</v>
      </c>
      <c r="T77" s="227">
        <f>T$15*'ANSP Opex (CAR)'!T77/'ANSP Opex (CAR)'!T$15</f>
        <v>11785.803717591703</v>
      </c>
      <c r="U77" s="227">
        <f>U$15*'ANSP Opex (CAR)'!U77/'ANSP Opex (CAR)'!U$15</f>
        <v>11384.310491729175</v>
      </c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pans="3:31" ht="10.9" customHeight="1">
      <c r="J78" s="148"/>
      <c r="K78" s="148"/>
    </row>
    <row r="79" spans="3:31" ht="13.5" thickBot="1">
      <c r="C79" s="6" t="s">
        <v>815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</row>
    <row r="80" spans="3:31">
      <c r="C80" s="3" t="s">
        <v>796</v>
      </c>
      <c r="E80" s="3" t="s">
        <v>29</v>
      </c>
      <c r="L80" s="27">
        <f t="shared" ref="L80:T80" si="10">(SUMPRODUCT(L34:L42,L65:L73)*(L76="")+L76)</f>
        <v>0</v>
      </c>
      <c r="M80" s="27">
        <f t="shared" si="10"/>
        <v>0</v>
      </c>
      <c r="N80" s="27">
        <f t="shared" si="10"/>
        <v>0</v>
      </c>
      <c r="O80" s="27">
        <f t="shared" si="10"/>
        <v>0</v>
      </c>
      <c r="P80" s="27">
        <f t="shared" si="10"/>
        <v>57841.304197945945</v>
      </c>
      <c r="Q80" s="27">
        <f t="shared" si="10"/>
        <v>53191.040439599157</v>
      </c>
      <c r="R80" s="27">
        <f t="shared" si="10"/>
        <v>48832.907971608467</v>
      </c>
      <c r="S80" s="27">
        <f t="shared" si="10"/>
        <v>58242.058000415935</v>
      </c>
      <c r="T80" s="27">
        <f t="shared" si="10"/>
        <v>59321.756907084746</v>
      </c>
      <c r="U80" s="27">
        <f>(SUMPRODUCT(U34:U42,U65:U73)*(U76="")+U76)</f>
        <v>61168.154660940963</v>
      </c>
      <c r="V80" s="27">
        <f t="shared" ref="V80:AE80" si="11">(SUMPRODUCT(V34:V42,V65:V73)*(V76="")+V76)</f>
        <v>0</v>
      </c>
      <c r="W80" s="27">
        <f t="shared" si="11"/>
        <v>0</v>
      </c>
      <c r="X80" s="27">
        <f t="shared" si="11"/>
        <v>0</v>
      </c>
      <c r="Y80" s="27">
        <f t="shared" si="11"/>
        <v>0</v>
      </c>
      <c r="Z80" s="27">
        <f t="shared" si="11"/>
        <v>0</v>
      </c>
      <c r="AA80" s="27">
        <f t="shared" si="11"/>
        <v>0</v>
      </c>
      <c r="AB80" s="27">
        <f t="shared" si="11"/>
        <v>0</v>
      </c>
      <c r="AC80" s="27">
        <f t="shared" si="11"/>
        <v>0</v>
      </c>
      <c r="AD80" s="27">
        <f t="shared" si="11"/>
        <v>0</v>
      </c>
      <c r="AE80" s="27">
        <f t="shared" si="11"/>
        <v>0</v>
      </c>
    </row>
    <row r="81" spans="2:31">
      <c r="C81" s="3" t="s">
        <v>799</v>
      </c>
      <c r="E81" s="3" t="s">
        <v>29</v>
      </c>
      <c r="L81" s="150">
        <f t="shared" ref="L81:AE81" si="12">IF(SUM(L34:L43)=0,0,L46*SUMPRODUCT(L34:L43,$H$34:$H$43)/SUM(L34:L43))*(L77="")+L77</f>
        <v>0</v>
      </c>
      <c r="M81" s="150">
        <f t="shared" si="12"/>
        <v>0</v>
      </c>
      <c r="N81" s="150">
        <f t="shared" si="12"/>
        <v>0</v>
      </c>
      <c r="O81" s="150">
        <f t="shared" si="12"/>
        <v>0</v>
      </c>
      <c r="P81" s="150">
        <f t="shared" si="12"/>
        <v>11514</v>
      </c>
      <c r="Q81" s="150">
        <f t="shared" si="12"/>
        <v>11198</v>
      </c>
      <c r="R81" s="150">
        <f t="shared" si="12"/>
        <v>11177</v>
      </c>
      <c r="S81" s="150">
        <f t="shared" si="12"/>
        <v>12124.591916986037</v>
      </c>
      <c r="T81" s="150">
        <f t="shared" si="12"/>
        <v>11785.803717591703</v>
      </c>
      <c r="U81" s="150">
        <f t="shared" si="12"/>
        <v>11384.310491729175</v>
      </c>
      <c r="V81" s="150">
        <f t="shared" si="12"/>
        <v>0</v>
      </c>
      <c r="W81" s="150">
        <f t="shared" si="12"/>
        <v>0</v>
      </c>
      <c r="X81" s="150">
        <f t="shared" si="12"/>
        <v>0</v>
      </c>
      <c r="Y81" s="150">
        <f t="shared" si="12"/>
        <v>0</v>
      </c>
      <c r="Z81" s="150">
        <f t="shared" si="12"/>
        <v>0</v>
      </c>
      <c r="AA81" s="150">
        <f t="shared" si="12"/>
        <v>0</v>
      </c>
      <c r="AB81" s="150">
        <f t="shared" si="12"/>
        <v>0</v>
      </c>
      <c r="AC81" s="150">
        <f t="shared" si="12"/>
        <v>0</v>
      </c>
      <c r="AD81" s="150">
        <f t="shared" si="12"/>
        <v>0</v>
      </c>
      <c r="AE81" s="150">
        <f t="shared" si="12"/>
        <v>0</v>
      </c>
    </row>
    <row r="82" spans="2:31">
      <c r="C82" s="17"/>
      <c r="D82" s="17"/>
      <c r="E82" s="17"/>
      <c r="F82" s="17"/>
      <c r="G82" s="17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2:31">
      <c r="B83" s="152" t="s">
        <v>24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5" spans="2:31" ht="13.5" thickBot="1">
      <c r="C85" s="6" t="s">
        <v>816</v>
      </c>
      <c r="D85" s="7"/>
      <c r="E85" s="7"/>
      <c r="F85" s="7"/>
      <c r="G85" s="7"/>
      <c r="H85" s="7"/>
      <c r="I85" s="221"/>
      <c r="J85" s="7"/>
      <c r="K85" s="22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</row>
    <row r="86" spans="2:31" outlineLevel="1">
      <c r="C86" s="3" t="str">
        <f t="shared" ref="C86:C94" si="13">C65</f>
        <v>ATCOs</v>
      </c>
      <c r="E86" s="3" t="s">
        <v>29</v>
      </c>
      <c r="K86" s="156"/>
      <c r="L86" s="223">
        <v>0</v>
      </c>
      <c r="M86" s="223">
        <v>0</v>
      </c>
      <c r="N86" s="223">
        <v>0</v>
      </c>
      <c r="O86" s="223">
        <v>0</v>
      </c>
      <c r="P86" s="223">
        <v>0.14590038123930682</v>
      </c>
      <c r="Q86" s="223">
        <v>0.14591065025821182</v>
      </c>
      <c r="R86" s="223">
        <v>0.12934272979502004</v>
      </c>
      <c r="S86" s="223">
        <v>0.12932952356696403</v>
      </c>
      <c r="T86" s="223">
        <v>0.1539624840163345</v>
      </c>
      <c r="U86" s="223">
        <v>0.15761569287250654</v>
      </c>
      <c r="V86" s="223">
        <v>0</v>
      </c>
      <c r="W86" s="223">
        <v>0</v>
      </c>
      <c r="X86" s="223">
        <v>0</v>
      </c>
      <c r="Y86" s="223">
        <v>0</v>
      </c>
      <c r="Z86" s="223">
        <v>0</v>
      </c>
      <c r="AA86" s="223">
        <v>0</v>
      </c>
      <c r="AB86" s="223">
        <v>0</v>
      </c>
      <c r="AC86" s="223">
        <v>0</v>
      </c>
      <c r="AD86" s="223">
        <v>0</v>
      </c>
      <c r="AE86" s="223">
        <v>0</v>
      </c>
    </row>
    <row r="87" spans="2:31" outlineLevel="1">
      <c r="C87" s="3" t="str">
        <f t="shared" si="13"/>
        <v>Corp Serv</v>
      </c>
      <c r="E87" s="3" t="s">
        <v>29</v>
      </c>
      <c r="K87" s="156"/>
      <c r="L87" s="223">
        <v>0</v>
      </c>
      <c r="M87" s="223">
        <v>0</v>
      </c>
      <c r="N87" s="223">
        <v>0</v>
      </c>
      <c r="O87" s="223">
        <v>0</v>
      </c>
      <c r="P87" s="223">
        <v>0.15600000000000003</v>
      </c>
      <c r="Q87" s="223">
        <v>0.16099999999999981</v>
      </c>
      <c r="R87" s="223">
        <v>0.16700000000000004</v>
      </c>
      <c r="S87" s="223">
        <v>0.17200000000000004</v>
      </c>
      <c r="T87" s="223">
        <v>0.17200000000000026</v>
      </c>
      <c r="U87" s="223">
        <v>0.17199999999999993</v>
      </c>
      <c r="V87" s="223">
        <v>0</v>
      </c>
      <c r="W87" s="223">
        <v>0</v>
      </c>
      <c r="X87" s="223">
        <v>0</v>
      </c>
      <c r="Y87" s="223">
        <v>0</v>
      </c>
      <c r="Z87" s="223">
        <v>0</v>
      </c>
      <c r="AA87" s="223">
        <v>0</v>
      </c>
      <c r="AB87" s="223">
        <v>0</v>
      </c>
      <c r="AC87" s="223">
        <v>0</v>
      </c>
      <c r="AD87" s="223">
        <v>0</v>
      </c>
      <c r="AE87" s="223">
        <v>0</v>
      </c>
    </row>
    <row r="88" spans="2:31" outlineLevel="1">
      <c r="C88" s="3" t="str">
        <f t="shared" si="13"/>
        <v>Data Assistant</v>
      </c>
      <c r="E88" s="3" t="s">
        <v>29</v>
      </c>
      <c r="K88" s="156"/>
      <c r="L88" s="223">
        <v>0</v>
      </c>
      <c r="M88" s="223">
        <v>0</v>
      </c>
      <c r="N88" s="223">
        <v>0</v>
      </c>
      <c r="O88" s="223">
        <v>0</v>
      </c>
      <c r="P88" s="223">
        <v>0.11099999999999999</v>
      </c>
      <c r="Q88" s="223">
        <v>0.11799999999999988</v>
      </c>
      <c r="R88" s="223">
        <v>0.11899999999999977</v>
      </c>
      <c r="S88" s="223">
        <v>0.11799999999999999</v>
      </c>
      <c r="T88" s="223">
        <v>0.11899999999999977</v>
      </c>
      <c r="U88" s="223">
        <v>0.11899999999999988</v>
      </c>
      <c r="V88" s="223">
        <v>0</v>
      </c>
      <c r="W88" s="223">
        <v>0</v>
      </c>
      <c r="X88" s="223">
        <v>0</v>
      </c>
      <c r="Y88" s="223">
        <v>0</v>
      </c>
      <c r="Z88" s="223">
        <v>0</v>
      </c>
      <c r="AA88" s="223">
        <v>0</v>
      </c>
      <c r="AB88" s="223">
        <v>0</v>
      </c>
      <c r="AC88" s="223">
        <v>0</v>
      </c>
      <c r="AD88" s="223">
        <v>0</v>
      </c>
      <c r="AE88" s="223">
        <v>0</v>
      </c>
    </row>
    <row r="89" spans="2:31" outlineLevel="1">
      <c r="C89" s="3" t="str">
        <f t="shared" si="13"/>
        <v>Engineer</v>
      </c>
      <c r="E89" s="3" t="s">
        <v>29</v>
      </c>
      <c r="K89" s="156"/>
      <c r="L89" s="223">
        <v>0</v>
      </c>
      <c r="M89" s="223">
        <v>0</v>
      </c>
      <c r="N89" s="223">
        <v>0</v>
      </c>
      <c r="O89" s="223">
        <v>0</v>
      </c>
      <c r="P89" s="223">
        <v>0.13099999999999989</v>
      </c>
      <c r="Q89" s="223">
        <v>0.14100000000000001</v>
      </c>
      <c r="R89" s="223">
        <v>0.1399999999999999</v>
      </c>
      <c r="S89" s="223">
        <v>0.14100000000000001</v>
      </c>
      <c r="T89" s="223">
        <v>0.14100000000000024</v>
      </c>
      <c r="U89" s="223">
        <v>0.14100000000000001</v>
      </c>
      <c r="V89" s="223">
        <v>0</v>
      </c>
      <c r="W89" s="223">
        <v>0</v>
      </c>
      <c r="X89" s="223">
        <v>0</v>
      </c>
      <c r="Y89" s="223">
        <v>0</v>
      </c>
      <c r="Z89" s="223">
        <v>0</v>
      </c>
      <c r="AA89" s="223">
        <v>0</v>
      </c>
      <c r="AB89" s="223">
        <v>0</v>
      </c>
      <c r="AC89" s="223">
        <v>0</v>
      </c>
      <c r="AD89" s="223">
        <v>0</v>
      </c>
      <c r="AE89" s="223">
        <v>0</v>
      </c>
    </row>
    <row r="90" spans="2:31" outlineLevel="1">
      <c r="C90" s="3" t="str">
        <f t="shared" si="13"/>
        <v>Op Mgt Supp</v>
      </c>
      <c r="E90" s="3" t="s">
        <v>29</v>
      </c>
      <c r="K90" s="156"/>
      <c r="L90" s="223">
        <v>0</v>
      </c>
      <c r="M90" s="223">
        <v>0</v>
      </c>
      <c r="N90" s="223">
        <v>0</v>
      </c>
      <c r="O90" s="223">
        <v>0</v>
      </c>
      <c r="P90" s="223">
        <v>0.15000000000000002</v>
      </c>
      <c r="Q90" s="223">
        <v>0.14600000000000013</v>
      </c>
      <c r="R90" s="223">
        <v>0.14600000000000002</v>
      </c>
      <c r="S90" s="223">
        <v>0.15000000000000002</v>
      </c>
      <c r="T90" s="223">
        <v>0.15000000000000002</v>
      </c>
      <c r="U90" s="223">
        <v>0.14699999999999991</v>
      </c>
      <c r="V90" s="223">
        <v>0</v>
      </c>
      <c r="W90" s="223">
        <v>0</v>
      </c>
      <c r="X90" s="223">
        <v>0</v>
      </c>
      <c r="Y90" s="223">
        <v>0</v>
      </c>
      <c r="Z90" s="223">
        <v>0</v>
      </c>
      <c r="AA90" s="223">
        <v>0</v>
      </c>
      <c r="AB90" s="223">
        <v>0</v>
      </c>
      <c r="AC90" s="223">
        <v>0</v>
      </c>
      <c r="AD90" s="223">
        <v>0</v>
      </c>
      <c r="AE90" s="223">
        <v>0</v>
      </c>
    </row>
    <row r="91" spans="2:31" outlineLevel="1">
      <c r="C91" s="3" t="str">
        <f t="shared" si="13"/>
        <v>EWSS</v>
      </c>
      <c r="E91" s="3" t="s">
        <v>29</v>
      </c>
      <c r="K91" s="156"/>
      <c r="L91" s="223">
        <v>0</v>
      </c>
      <c r="M91" s="223">
        <v>0</v>
      </c>
      <c r="N91" s="223">
        <v>0</v>
      </c>
      <c r="O91" s="223">
        <v>0</v>
      </c>
      <c r="P91" s="223">
        <v>0</v>
      </c>
      <c r="Q91" s="223">
        <v>0.14237839936475982</v>
      </c>
      <c r="R91" s="223">
        <v>0.1393686125677126</v>
      </c>
      <c r="S91" s="223">
        <v>0</v>
      </c>
      <c r="T91" s="223">
        <v>0</v>
      </c>
      <c r="U91" s="223">
        <v>0</v>
      </c>
      <c r="V91" s="223">
        <v>0</v>
      </c>
      <c r="W91" s="223">
        <v>0</v>
      </c>
      <c r="X91" s="223">
        <v>0</v>
      </c>
      <c r="Y91" s="223">
        <v>0</v>
      </c>
      <c r="Z91" s="223">
        <v>0</v>
      </c>
      <c r="AA91" s="223">
        <v>0</v>
      </c>
      <c r="AB91" s="223">
        <v>0</v>
      </c>
      <c r="AC91" s="223">
        <v>0</v>
      </c>
      <c r="AD91" s="223">
        <v>0</v>
      </c>
      <c r="AE91" s="223">
        <v>0</v>
      </c>
    </row>
    <row r="92" spans="2:31" outlineLevel="1">
      <c r="C92" s="3" t="str">
        <f t="shared" si="13"/>
        <v>Overtime</v>
      </c>
      <c r="E92" s="3" t="s">
        <v>29</v>
      </c>
      <c r="K92" s="156"/>
      <c r="L92" s="223">
        <v>0</v>
      </c>
      <c r="M92" s="223">
        <v>0</v>
      </c>
      <c r="N92" s="223">
        <v>0</v>
      </c>
      <c r="O92" s="223">
        <v>0</v>
      </c>
      <c r="P92" s="223">
        <v>0.14590038123930682</v>
      </c>
      <c r="Q92" s="223">
        <v>0.14591065025821182</v>
      </c>
      <c r="R92" s="223">
        <v>0.12934272979502004</v>
      </c>
      <c r="S92" s="223">
        <v>0.12932952356696403</v>
      </c>
      <c r="T92" s="223">
        <v>0.1539624840163345</v>
      </c>
      <c r="U92" s="223">
        <v>0.15761569287250654</v>
      </c>
      <c r="V92" s="223">
        <v>0</v>
      </c>
      <c r="W92" s="223">
        <v>0</v>
      </c>
      <c r="X92" s="223">
        <v>0</v>
      </c>
      <c r="Y92" s="223">
        <v>0</v>
      </c>
      <c r="Z92" s="223">
        <v>0</v>
      </c>
      <c r="AA92" s="223">
        <v>0</v>
      </c>
      <c r="AB92" s="223">
        <v>0</v>
      </c>
      <c r="AC92" s="223">
        <v>0</v>
      </c>
      <c r="AD92" s="223">
        <v>0</v>
      </c>
      <c r="AE92" s="223">
        <v>0</v>
      </c>
    </row>
    <row r="93" spans="2:31" outlineLevel="1">
      <c r="C93" s="3" t="str">
        <f t="shared" si="13"/>
        <v>&lt;&lt; add cost &gt;&gt;</v>
      </c>
      <c r="E93" s="3" t="s">
        <v>29</v>
      </c>
      <c r="K93" s="156"/>
      <c r="L93" s="223">
        <v>0</v>
      </c>
      <c r="M93" s="223">
        <v>0</v>
      </c>
      <c r="N93" s="223">
        <v>0</v>
      </c>
      <c r="O93" s="223">
        <v>0</v>
      </c>
      <c r="P93" s="223">
        <v>0</v>
      </c>
      <c r="Q93" s="223">
        <v>0</v>
      </c>
      <c r="R93" s="223">
        <v>0</v>
      </c>
      <c r="S93" s="223">
        <v>0</v>
      </c>
      <c r="T93" s="223">
        <v>0</v>
      </c>
      <c r="U93" s="223">
        <v>0</v>
      </c>
      <c r="V93" s="223">
        <v>0</v>
      </c>
      <c r="W93" s="223">
        <v>0</v>
      </c>
      <c r="X93" s="223">
        <v>0</v>
      </c>
      <c r="Y93" s="223">
        <v>0</v>
      </c>
      <c r="Z93" s="223">
        <v>0</v>
      </c>
      <c r="AA93" s="223">
        <v>0</v>
      </c>
      <c r="AB93" s="223">
        <v>0</v>
      </c>
      <c r="AC93" s="223">
        <v>0</v>
      </c>
      <c r="AD93" s="223">
        <v>0</v>
      </c>
      <c r="AE93" s="223">
        <v>0</v>
      </c>
    </row>
    <row r="94" spans="2:31" outlineLevel="1">
      <c r="C94" s="3" t="str">
        <f t="shared" si="13"/>
        <v>&lt;&lt; add cost &gt;&gt;</v>
      </c>
      <c r="E94" s="3" t="s">
        <v>29</v>
      </c>
      <c r="K94" s="156"/>
      <c r="L94" s="223">
        <v>0</v>
      </c>
      <c r="M94" s="223">
        <v>0</v>
      </c>
      <c r="N94" s="223">
        <v>0</v>
      </c>
      <c r="O94" s="223">
        <v>0</v>
      </c>
      <c r="P94" s="223">
        <v>0</v>
      </c>
      <c r="Q94" s="223">
        <v>0</v>
      </c>
      <c r="R94" s="223">
        <v>0</v>
      </c>
      <c r="S94" s="223">
        <v>0</v>
      </c>
      <c r="T94" s="223">
        <v>0</v>
      </c>
      <c r="U94" s="223">
        <v>0</v>
      </c>
      <c r="V94" s="223">
        <v>0</v>
      </c>
      <c r="W94" s="223">
        <v>0</v>
      </c>
      <c r="X94" s="223">
        <v>0</v>
      </c>
      <c r="Y94" s="223">
        <v>0</v>
      </c>
      <c r="Z94" s="223">
        <v>0</v>
      </c>
      <c r="AA94" s="223">
        <v>0</v>
      </c>
      <c r="AB94" s="223">
        <v>0</v>
      </c>
      <c r="AC94" s="223">
        <v>0</v>
      </c>
      <c r="AD94" s="223">
        <v>0</v>
      </c>
      <c r="AE94" s="223">
        <v>0</v>
      </c>
    </row>
    <row r="96" spans="2:31" ht="13.5" thickBot="1">
      <c r="C96" s="6" t="s">
        <v>797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1:32">
      <c r="C97" s="3" t="s">
        <v>796</v>
      </c>
      <c r="E97" s="3" t="s">
        <v>29</v>
      </c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pans="1:32">
      <c r="C98" s="39" t="s">
        <v>799</v>
      </c>
      <c r="D98" s="39"/>
      <c r="E98" s="39" t="s">
        <v>29</v>
      </c>
      <c r="F98" s="39"/>
      <c r="G98" s="39"/>
      <c r="H98" s="39"/>
      <c r="I98" s="39"/>
      <c r="J98" s="39"/>
      <c r="K98" s="39"/>
      <c r="L98" s="228"/>
      <c r="M98" s="228"/>
      <c r="N98" s="228"/>
      <c r="O98" s="228"/>
      <c r="P98" s="227">
        <f>'ANSP Opex (CAR)'!P98</f>
        <v>1949</v>
      </c>
      <c r="Q98" s="227">
        <f>'ANSP Opex (CAR)'!Q98</f>
        <v>1883</v>
      </c>
      <c r="R98" s="227">
        <f>'ANSP Opex (CAR)'!R98</f>
        <v>1689</v>
      </c>
      <c r="S98" s="227">
        <f>S$15*'ANSP Opex (CAR)'!S98/'ANSP Opex (CAR)'!S$15</f>
        <v>1849.9377357875603</v>
      </c>
      <c r="T98" s="227">
        <f>T$15*'ANSP Opex (CAR)'!T98/'ANSP Opex (CAR)'!T$15</f>
        <v>1855.1361627337512</v>
      </c>
      <c r="U98" s="227">
        <f>U$15*'ANSP Opex (CAR)'!U98/'ANSP Opex (CAR)'!U$15</f>
        <v>1890.599840929119</v>
      </c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100" spans="1:32" ht="13.5" thickBot="1">
      <c r="C100" s="6" t="s">
        <v>815</v>
      </c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</row>
    <row r="101" spans="1:32">
      <c r="C101" s="3" t="s">
        <v>796</v>
      </c>
      <c r="E101" s="3" t="s">
        <v>29</v>
      </c>
      <c r="L101" s="27">
        <f>(SUMPRODUCT(L34:L42,L86:L94)*(L97="")+L97)</f>
        <v>0</v>
      </c>
      <c r="M101" s="27">
        <f t="shared" ref="M101:AE101" si="14">(SUMPRODUCT(M34:M42,M86:M94)*(M97="")+M97)</f>
        <v>0</v>
      </c>
      <c r="N101" s="27">
        <f t="shared" si="14"/>
        <v>0</v>
      </c>
      <c r="O101" s="27">
        <f t="shared" si="14"/>
        <v>0</v>
      </c>
      <c r="P101" s="27">
        <f t="shared" si="14"/>
        <v>9708.6958020540642</v>
      </c>
      <c r="Q101" s="27">
        <f t="shared" si="14"/>
        <v>9039.6928709659296</v>
      </c>
      <c r="R101" s="27">
        <f t="shared" si="14"/>
        <v>7608.1373829532649</v>
      </c>
      <c r="S101" s="27">
        <f t="shared" si="14"/>
        <v>9145.8564487709136</v>
      </c>
      <c r="T101" s="27">
        <f t="shared" si="14"/>
        <v>10560.742001918588</v>
      </c>
      <c r="U101" s="27">
        <f t="shared" si="14"/>
        <v>11067.885707427609</v>
      </c>
      <c r="V101" s="27">
        <f t="shared" si="14"/>
        <v>0</v>
      </c>
      <c r="W101" s="27">
        <f t="shared" si="14"/>
        <v>0</v>
      </c>
      <c r="X101" s="27">
        <f t="shared" si="14"/>
        <v>0</v>
      </c>
      <c r="Y101" s="27">
        <f t="shared" si="14"/>
        <v>0</v>
      </c>
      <c r="Z101" s="27">
        <f t="shared" si="14"/>
        <v>0</v>
      </c>
      <c r="AA101" s="27">
        <f t="shared" si="14"/>
        <v>0</v>
      </c>
      <c r="AB101" s="27">
        <f t="shared" si="14"/>
        <v>0</v>
      </c>
      <c r="AC101" s="27">
        <f t="shared" si="14"/>
        <v>0</v>
      </c>
      <c r="AD101" s="27">
        <f t="shared" si="14"/>
        <v>0</v>
      </c>
      <c r="AE101" s="27">
        <f t="shared" si="14"/>
        <v>0</v>
      </c>
    </row>
    <row r="102" spans="1:32">
      <c r="C102" s="3" t="s">
        <v>799</v>
      </c>
      <c r="E102" s="3" t="s">
        <v>29</v>
      </c>
      <c r="L102" s="150">
        <f t="shared" ref="L102:AE102" si="15">IF(SUM(L34:L43)=0,0,L46*SUMPRODUCT(L34:L43,$H$34:$H$43)/SUM(L34:L43))*(L98="")+L98</f>
        <v>0</v>
      </c>
      <c r="M102" s="150">
        <f t="shared" si="15"/>
        <v>0</v>
      </c>
      <c r="N102" s="150">
        <f t="shared" si="15"/>
        <v>0</v>
      </c>
      <c r="O102" s="150">
        <f t="shared" si="15"/>
        <v>0</v>
      </c>
      <c r="P102" s="150">
        <f t="shared" si="15"/>
        <v>1949</v>
      </c>
      <c r="Q102" s="150">
        <f t="shared" si="15"/>
        <v>1883</v>
      </c>
      <c r="R102" s="150">
        <f t="shared" si="15"/>
        <v>1689</v>
      </c>
      <c r="S102" s="150">
        <f t="shared" si="15"/>
        <v>1849.9377357875603</v>
      </c>
      <c r="T102" s="150">
        <f t="shared" si="15"/>
        <v>1855.1361627337512</v>
      </c>
      <c r="U102" s="150">
        <f t="shared" si="15"/>
        <v>1890.599840929119</v>
      </c>
      <c r="V102" s="150">
        <f t="shared" si="15"/>
        <v>0</v>
      </c>
      <c r="W102" s="150">
        <f t="shared" si="15"/>
        <v>0</v>
      </c>
      <c r="X102" s="150">
        <f t="shared" si="15"/>
        <v>0</v>
      </c>
      <c r="Y102" s="150">
        <f t="shared" si="15"/>
        <v>0</v>
      </c>
      <c r="Z102" s="150">
        <f t="shared" si="15"/>
        <v>0</v>
      </c>
      <c r="AA102" s="150">
        <f t="shared" si="15"/>
        <v>0</v>
      </c>
      <c r="AB102" s="150">
        <f t="shared" si="15"/>
        <v>0</v>
      </c>
      <c r="AC102" s="150">
        <f t="shared" si="15"/>
        <v>0</v>
      </c>
      <c r="AD102" s="150">
        <f t="shared" si="15"/>
        <v>0</v>
      </c>
      <c r="AE102" s="150">
        <f t="shared" si="15"/>
        <v>0</v>
      </c>
    </row>
    <row r="103" spans="1:32">
      <c r="C103" s="17"/>
      <c r="D103" s="17"/>
      <c r="E103" s="17"/>
      <c r="F103" s="17"/>
      <c r="G103" s="17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2">
      <c r="B104" s="20" t="s">
        <v>817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6" spans="1:32" ht="13.5" thickBot="1">
      <c r="C106" s="6" t="s">
        <v>797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1:32">
      <c r="C107" s="3" t="s">
        <v>818</v>
      </c>
      <c r="E107" s="3" t="s">
        <v>29</v>
      </c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149"/>
      <c r="W107" s="149"/>
      <c r="X107" s="149"/>
      <c r="Y107" s="149"/>
      <c r="Z107" s="149"/>
      <c r="AA107" s="149"/>
      <c r="AB107" s="149"/>
      <c r="AC107" s="149"/>
      <c r="AD107" s="149"/>
      <c r="AE107" s="149"/>
    </row>
    <row r="109" spans="1:32" s="7" customFormat="1" ht="13.5" thickBot="1">
      <c r="A109" s="3"/>
      <c r="B109" s="3"/>
      <c r="C109" s="6" t="s">
        <v>817</v>
      </c>
      <c r="I109" s="221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3"/>
    </row>
    <row r="110" spans="1:32">
      <c r="C110" s="1593" t="s">
        <v>819</v>
      </c>
      <c r="E110" s="1593" t="s">
        <v>29</v>
      </c>
      <c r="F110" s="1593" t="s">
        <v>814</v>
      </c>
      <c r="G110" s="1608" t="s">
        <v>820</v>
      </c>
      <c r="H110" s="1063">
        <f>IF(G110="","",IF(ISNA(MATCH(G110,G$109:G109,0)),1+MAX(H$109:H109),0))</f>
        <v>1</v>
      </c>
      <c r="I110" s="220"/>
      <c r="J110" s="220"/>
      <c r="K110" s="148"/>
      <c r="L110" s="176">
        <v>0</v>
      </c>
      <c r="M110" s="176">
        <v>0</v>
      </c>
      <c r="N110" s="176">
        <v>0</v>
      </c>
      <c r="O110" s="176">
        <v>0</v>
      </c>
      <c r="P110" s="173">
        <v>1284</v>
      </c>
      <c r="Q110" s="173">
        <v>1095.252</v>
      </c>
      <c r="R110" s="173">
        <v>1185.1320000000001</v>
      </c>
      <c r="S110" s="173">
        <v>1284</v>
      </c>
      <c r="T110" s="173">
        <v>1284</v>
      </c>
      <c r="U110" s="173">
        <v>1284</v>
      </c>
      <c r="V110" s="176">
        <v>0</v>
      </c>
      <c r="W110" s="176">
        <v>0</v>
      </c>
      <c r="X110" s="176">
        <v>0</v>
      </c>
      <c r="Y110" s="176">
        <v>0</v>
      </c>
      <c r="Z110" s="176">
        <v>0</v>
      </c>
      <c r="AA110" s="176">
        <v>0</v>
      </c>
      <c r="AB110" s="176">
        <v>0</v>
      </c>
      <c r="AC110" s="176">
        <v>0</v>
      </c>
      <c r="AD110" s="176">
        <v>0</v>
      </c>
      <c r="AE110" s="176">
        <v>0</v>
      </c>
    </row>
    <row r="111" spans="1:32">
      <c r="C111" s="1593" t="s">
        <v>821</v>
      </c>
      <c r="E111" s="1593" t="s">
        <v>29</v>
      </c>
      <c r="F111" s="1593" t="s">
        <v>814</v>
      </c>
      <c r="G111" s="1610" t="s">
        <v>822</v>
      </c>
      <c r="H111" s="1063">
        <f>IF(G111="","",IF(ISNA(MATCH(G111,G$109:G110,0)),1+MAX(H$109:H110),0))</f>
        <v>2</v>
      </c>
      <c r="I111" s="220"/>
      <c r="J111" s="220"/>
      <c r="K111" s="148"/>
      <c r="L111" s="176">
        <v>0</v>
      </c>
      <c r="M111" s="176">
        <v>0</v>
      </c>
      <c r="N111" s="176">
        <v>0</v>
      </c>
      <c r="O111" s="176">
        <v>0</v>
      </c>
      <c r="P111" s="173">
        <v>0</v>
      </c>
      <c r="Q111" s="173">
        <v>0</v>
      </c>
      <c r="R111" s="173">
        <v>0</v>
      </c>
      <c r="S111" s="173">
        <v>0</v>
      </c>
      <c r="T111" s="173">
        <v>0</v>
      </c>
      <c r="U111" s="173">
        <v>0</v>
      </c>
      <c r="V111" s="176">
        <v>0</v>
      </c>
      <c r="W111" s="176">
        <v>0</v>
      </c>
      <c r="X111" s="176">
        <v>0</v>
      </c>
      <c r="Y111" s="176">
        <v>0</v>
      </c>
      <c r="Z111" s="176">
        <v>0</v>
      </c>
      <c r="AA111" s="176">
        <v>0</v>
      </c>
      <c r="AB111" s="176">
        <v>0</v>
      </c>
      <c r="AC111" s="176">
        <v>0</v>
      </c>
      <c r="AD111" s="176">
        <v>0</v>
      </c>
      <c r="AE111" s="176">
        <v>0</v>
      </c>
    </row>
    <row r="112" spans="1:32">
      <c r="C112" s="1593" t="s">
        <v>823</v>
      </c>
      <c r="E112" s="1593" t="s">
        <v>29</v>
      </c>
      <c r="F112" s="1593" t="s">
        <v>814</v>
      </c>
      <c r="G112" s="1610" t="s">
        <v>820</v>
      </c>
      <c r="H112" s="1063">
        <f>IF(G112="","",IF(ISNA(MATCH(G112,G$109:G111,0)),1+MAX(H$109:H111),0))</f>
        <v>0</v>
      </c>
      <c r="I112" s="220"/>
      <c r="J112" s="220"/>
      <c r="K112" s="148"/>
      <c r="L112" s="176">
        <v>0</v>
      </c>
      <c r="M112" s="176">
        <v>0</v>
      </c>
      <c r="N112" s="176">
        <v>0</v>
      </c>
      <c r="O112" s="176">
        <v>0</v>
      </c>
      <c r="P112" s="173">
        <v>480</v>
      </c>
      <c r="Q112" s="173">
        <v>409.44</v>
      </c>
      <c r="R112" s="173">
        <v>443.04</v>
      </c>
      <c r="S112" s="173">
        <v>480</v>
      </c>
      <c r="T112" s="173">
        <v>480</v>
      </c>
      <c r="U112" s="173">
        <v>480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176">
        <v>0</v>
      </c>
      <c r="AD112" s="176">
        <v>0</v>
      </c>
      <c r="AE112" s="176">
        <v>0</v>
      </c>
    </row>
    <row r="113" spans="3:31">
      <c r="C113" s="1593" t="s">
        <v>825</v>
      </c>
      <c r="E113" s="1593" t="s">
        <v>29</v>
      </c>
      <c r="F113" s="1593" t="s">
        <v>814</v>
      </c>
      <c r="G113" s="1610" t="s">
        <v>825</v>
      </c>
      <c r="H113" s="1063">
        <f>IF(G113="","",IF(ISNA(MATCH(G113,G$109:G112,0)),1+MAX(H$109:H112),0))</f>
        <v>3</v>
      </c>
      <c r="I113" s="220"/>
      <c r="J113" s="220"/>
      <c r="K113" s="148"/>
      <c r="L113" s="176">
        <v>0</v>
      </c>
      <c r="M113" s="176">
        <v>0</v>
      </c>
      <c r="N113" s="176">
        <v>0</v>
      </c>
      <c r="O113" s="176">
        <v>0</v>
      </c>
      <c r="P113" s="173">
        <v>0</v>
      </c>
      <c r="Q113" s="173">
        <v>0</v>
      </c>
      <c r="R113" s="173">
        <v>0</v>
      </c>
      <c r="S113" s="173">
        <v>0</v>
      </c>
      <c r="T113" s="173">
        <v>0</v>
      </c>
      <c r="U113" s="173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176">
        <v>0</v>
      </c>
      <c r="AD113" s="176">
        <v>0</v>
      </c>
      <c r="AE113" s="176">
        <v>0</v>
      </c>
    </row>
    <row r="114" spans="3:31">
      <c r="C114" s="1593" t="s">
        <v>826</v>
      </c>
      <c r="E114" s="1593" t="s">
        <v>29</v>
      </c>
      <c r="F114" s="1593" t="s">
        <v>814</v>
      </c>
      <c r="G114" s="1610" t="s">
        <v>827</v>
      </c>
      <c r="H114" s="1063">
        <f>IF(G114="","",IF(ISNA(MATCH(G114,G$109:G113,0)),1+MAX(H$109:H113),0))</f>
        <v>4</v>
      </c>
      <c r="I114" s="220"/>
      <c r="J114" s="220"/>
      <c r="K114" s="148"/>
      <c r="L114" s="176">
        <v>0</v>
      </c>
      <c r="M114" s="176">
        <v>0</v>
      </c>
      <c r="N114" s="176">
        <v>0</v>
      </c>
      <c r="O114" s="176">
        <v>0</v>
      </c>
      <c r="P114" s="173">
        <v>4185</v>
      </c>
      <c r="Q114" s="173">
        <v>3569.8049999999998</v>
      </c>
      <c r="R114" s="173">
        <v>3862.7550000000001</v>
      </c>
      <c r="S114" s="173">
        <v>4574.7071999999998</v>
      </c>
      <c r="T114" s="173">
        <v>4519.8107136000008</v>
      </c>
      <c r="U114" s="173">
        <v>4461.0531743232004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176">
        <v>0</v>
      </c>
      <c r="AD114" s="176">
        <v>0</v>
      </c>
      <c r="AE114" s="176">
        <v>0</v>
      </c>
    </row>
    <row r="115" spans="3:31">
      <c r="C115" s="1593" t="s">
        <v>828</v>
      </c>
      <c r="E115" s="1593" t="s">
        <v>29</v>
      </c>
      <c r="F115" s="1593" t="s">
        <v>814</v>
      </c>
      <c r="G115" s="1610" t="s">
        <v>827</v>
      </c>
      <c r="H115" s="1063">
        <f>IF(G115="","",IF(ISNA(MATCH(G115,G$109:G114,0)),1+MAX(H$109:H114),0))</f>
        <v>0</v>
      </c>
      <c r="I115" s="220"/>
      <c r="J115" s="220"/>
      <c r="K115" s="148"/>
      <c r="L115" s="176">
        <v>0</v>
      </c>
      <c r="M115" s="176">
        <v>0</v>
      </c>
      <c r="N115" s="176">
        <v>0</v>
      </c>
      <c r="O115" s="176">
        <v>0</v>
      </c>
      <c r="P115" s="173">
        <v>779</v>
      </c>
      <c r="Q115" s="173">
        <v>664.48699999999997</v>
      </c>
      <c r="R115" s="173">
        <v>719.01700000000005</v>
      </c>
      <c r="S115" s="173">
        <v>872.48000000000013</v>
      </c>
      <c r="T115" s="173">
        <v>872.48000000000013</v>
      </c>
      <c r="U115" s="173">
        <v>872.48000000000013</v>
      </c>
      <c r="V115" s="176">
        <v>0</v>
      </c>
      <c r="W115" s="176">
        <v>0</v>
      </c>
      <c r="X115" s="176">
        <v>0</v>
      </c>
      <c r="Y115" s="176">
        <v>0</v>
      </c>
      <c r="Z115" s="176">
        <v>0</v>
      </c>
      <c r="AA115" s="176">
        <v>0</v>
      </c>
      <c r="AB115" s="176">
        <v>0</v>
      </c>
      <c r="AC115" s="176">
        <v>0</v>
      </c>
      <c r="AD115" s="176">
        <v>0</v>
      </c>
      <c r="AE115" s="176">
        <v>0</v>
      </c>
    </row>
    <row r="116" spans="3:31">
      <c r="C116" s="1593" t="s">
        <v>829</v>
      </c>
      <c r="E116" s="1593" t="s">
        <v>29</v>
      </c>
      <c r="F116" s="1593" t="s">
        <v>814</v>
      </c>
      <c r="G116" s="1610" t="s">
        <v>827</v>
      </c>
      <c r="H116" s="1063">
        <f>IF(G116="","",IF(ISNA(MATCH(G116,G$109:G115,0)),1+MAX(H$109:H115),0))</f>
        <v>0</v>
      </c>
      <c r="I116" s="220"/>
      <c r="J116" s="220"/>
      <c r="K116" s="148"/>
      <c r="L116" s="176">
        <v>0</v>
      </c>
      <c r="M116" s="176">
        <v>0</v>
      </c>
      <c r="N116" s="176">
        <v>0</v>
      </c>
      <c r="O116" s="176">
        <v>0</v>
      </c>
      <c r="P116" s="173">
        <v>833</v>
      </c>
      <c r="Q116" s="173">
        <v>710.54899999999998</v>
      </c>
      <c r="R116" s="173">
        <v>768.85900000000004</v>
      </c>
      <c r="S116" s="173">
        <v>833</v>
      </c>
      <c r="T116" s="173">
        <v>833</v>
      </c>
      <c r="U116" s="173">
        <v>833</v>
      </c>
      <c r="V116" s="176">
        <v>0</v>
      </c>
      <c r="W116" s="176">
        <v>0</v>
      </c>
      <c r="X116" s="176">
        <v>0</v>
      </c>
      <c r="Y116" s="176">
        <v>0</v>
      </c>
      <c r="Z116" s="176">
        <v>0</v>
      </c>
      <c r="AA116" s="176">
        <v>0</v>
      </c>
      <c r="AB116" s="176">
        <v>0</v>
      </c>
      <c r="AC116" s="176">
        <v>0</v>
      </c>
      <c r="AD116" s="176">
        <v>0</v>
      </c>
      <c r="AE116" s="176">
        <v>0</v>
      </c>
    </row>
    <row r="117" spans="3:31">
      <c r="C117" s="1593" t="s">
        <v>830</v>
      </c>
      <c r="E117" s="1593" t="s">
        <v>29</v>
      </c>
      <c r="F117" s="1593" t="s">
        <v>814</v>
      </c>
      <c r="G117" s="1610" t="s">
        <v>827</v>
      </c>
      <c r="H117" s="1063">
        <f>IF(G117="","",IF(ISNA(MATCH(G117,G$109:G116,0)),1+MAX(H$109:H116),0))</f>
        <v>0</v>
      </c>
      <c r="I117" s="220"/>
      <c r="J117" s="220"/>
      <c r="K117" s="148"/>
      <c r="L117" s="176">
        <v>0</v>
      </c>
      <c r="M117" s="176">
        <v>0</v>
      </c>
      <c r="N117" s="176">
        <v>0</v>
      </c>
      <c r="O117" s="176">
        <v>0</v>
      </c>
      <c r="P117" s="173">
        <v>0</v>
      </c>
      <c r="Q117" s="173">
        <v>0</v>
      </c>
      <c r="R117" s="173">
        <v>0</v>
      </c>
      <c r="S117" s="173">
        <v>0</v>
      </c>
      <c r="T117" s="173">
        <v>0</v>
      </c>
      <c r="U117" s="173">
        <v>0</v>
      </c>
      <c r="V117" s="176">
        <v>0</v>
      </c>
      <c r="W117" s="176">
        <v>0</v>
      </c>
      <c r="X117" s="176">
        <v>0</v>
      </c>
      <c r="Y117" s="176">
        <v>0</v>
      </c>
      <c r="Z117" s="176">
        <v>0</v>
      </c>
      <c r="AA117" s="176">
        <v>0</v>
      </c>
      <c r="AB117" s="176">
        <v>0</v>
      </c>
      <c r="AC117" s="176">
        <v>0</v>
      </c>
      <c r="AD117" s="176">
        <v>0</v>
      </c>
      <c r="AE117" s="176">
        <v>0</v>
      </c>
    </row>
    <row r="118" spans="3:31">
      <c r="C118" s="1593" t="s">
        <v>831</v>
      </c>
      <c r="E118" s="1593" t="s">
        <v>29</v>
      </c>
      <c r="F118" s="1593" t="s">
        <v>814</v>
      </c>
      <c r="G118" s="1610" t="s">
        <v>827</v>
      </c>
      <c r="H118" s="1063">
        <f>IF(G118="","",IF(ISNA(MATCH(G118,G$109:G117,0)),1+MAX(H$109:H117),0))</f>
        <v>0</v>
      </c>
      <c r="I118" s="220"/>
      <c r="J118" s="220"/>
      <c r="K118" s="148"/>
      <c r="L118" s="176">
        <v>0</v>
      </c>
      <c r="M118" s="176">
        <v>0</v>
      </c>
      <c r="N118" s="176">
        <v>0</v>
      </c>
      <c r="O118" s="176">
        <v>0</v>
      </c>
      <c r="P118" s="173">
        <v>435</v>
      </c>
      <c r="Q118" s="173">
        <v>371.05500000000001</v>
      </c>
      <c r="R118" s="173">
        <v>401.505</v>
      </c>
      <c r="S118" s="173">
        <v>435</v>
      </c>
      <c r="T118" s="173">
        <v>435</v>
      </c>
      <c r="U118" s="173">
        <v>435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176">
        <v>0</v>
      </c>
      <c r="AD118" s="176">
        <v>0</v>
      </c>
      <c r="AE118" s="176">
        <v>0</v>
      </c>
    </row>
    <row r="119" spans="3:31">
      <c r="C119" s="1593" t="s">
        <v>832</v>
      </c>
      <c r="E119" s="1593" t="s">
        <v>29</v>
      </c>
      <c r="F119" s="1593" t="s">
        <v>814</v>
      </c>
      <c r="G119" s="1610" t="s">
        <v>820</v>
      </c>
      <c r="H119" s="1063">
        <f>IF(G119="","",IF(ISNA(MATCH(G119,G$109:G118,0)),1+MAX(H$109:H118),0))</f>
        <v>0</v>
      </c>
      <c r="I119" s="220"/>
      <c r="J119" s="220"/>
      <c r="K119" s="148"/>
      <c r="L119" s="176">
        <v>0</v>
      </c>
      <c r="M119" s="176">
        <v>0</v>
      </c>
      <c r="N119" s="176">
        <v>0</v>
      </c>
      <c r="O119" s="176">
        <v>0</v>
      </c>
      <c r="P119" s="173">
        <v>453</v>
      </c>
      <c r="Q119" s="173">
        <v>386.40899999999999</v>
      </c>
      <c r="R119" s="173">
        <v>418.11900000000003</v>
      </c>
      <c r="S119" s="173">
        <v>453</v>
      </c>
      <c r="T119" s="173">
        <v>453</v>
      </c>
      <c r="U119" s="173">
        <v>453</v>
      </c>
      <c r="V119" s="176">
        <v>0</v>
      </c>
      <c r="W119" s="176">
        <v>0</v>
      </c>
      <c r="X119" s="176">
        <v>0</v>
      </c>
      <c r="Y119" s="176">
        <v>0</v>
      </c>
      <c r="Z119" s="176">
        <v>0</v>
      </c>
      <c r="AA119" s="176">
        <v>0</v>
      </c>
      <c r="AB119" s="176">
        <v>0</v>
      </c>
      <c r="AC119" s="176">
        <v>0</v>
      </c>
      <c r="AD119" s="176">
        <v>0</v>
      </c>
      <c r="AE119" s="176">
        <v>0</v>
      </c>
    </row>
    <row r="120" spans="3:31">
      <c r="C120" s="1593" t="s">
        <v>833</v>
      </c>
      <c r="E120" s="1593" t="s">
        <v>29</v>
      </c>
      <c r="F120" s="1593" t="s">
        <v>814</v>
      </c>
      <c r="G120" s="1610" t="s">
        <v>834</v>
      </c>
      <c r="H120" s="1063">
        <f>IF(G120="","",IF(ISNA(MATCH(G120,G$109:G119,0)),1+MAX(H$109:H119),0))</f>
        <v>5</v>
      </c>
      <c r="I120" s="220"/>
      <c r="J120" s="220"/>
      <c r="K120" s="148"/>
      <c r="L120" s="176">
        <v>0</v>
      </c>
      <c r="M120" s="176">
        <v>0</v>
      </c>
      <c r="N120" s="176">
        <v>0</v>
      </c>
      <c r="O120" s="176">
        <v>0</v>
      </c>
      <c r="P120" s="173">
        <v>2574</v>
      </c>
      <c r="Q120" s="173">
        <v>2195.6219999999998</v>
      </c>
      <c r="R120" s="173">
        <v>2375.8020000000001</v>
      </c>
      <c r="S120" s="173">
        <v>2574</v>
      </c>
      <c r="T120" s="173">
        <v>2574</v>
      </c>
      <c r="U120" s="173">
        <v>2574</v>
      </c>
      <c r="V120" s="176">
        <v>0</v>
      </c>
      <c r="W120" s="176">
        <v>0</v>
      </c>
      <c r="X120" s="176">
        <v>0</v>
      </c>
      <c r="Y120" s="176">
        <v>0</v>
      </c>
      <c r="Z120" s="176">
        <v>0</v>
      </c>
      <c r="AA120" s="176">
        <v>0</v>
      </c>
      <c r="AB120" s="176">
        <v>0</v>
      </c>
      <c r="AC120" s="176">
        <v>0</v>
      </c>
      <c r="AD120" s="176">
        <v>0</v>
      </c>
      <c r="AE120" s="176">
        <v>0</v>
      </c>
    </row>
    <row r="121" spans="3:31">
      <c r="C121" s="1593" t="s">
        <v>835</v>
      </c>
      <c r="E121" s="1593" t="s">
        <v>29</v>
      </c>
      <c r="F121" s="1593" t="s">
        <v>814</v>
      </c>
      <c r="G121" s="1610" t="s">
        <v>835</v>
      </c>
      <c r="H121" s="1063">
        <f>IF(G121="","",IF(ISNA(MATCH(G121,G$109:G120,0)),1+MAX(H$109:H120),0))</f>
        <v>6</v>
      </c>
      <c r="I121" s="220"/>
      <c r="J121" s="220"/>
      <c r="K121" s="148"/>
      <c r="L121" s="176">
        <v>0</v>
      </c>
      <c r="M121" s="176">
        <v>0</v>
      </c>
      <c r="N121" s="176">
        <v>0</v>
      </c>
      <c r="O121" s="176">
        <v>0</v>
      </c>
      <c r="P121" s="173">
        <v>1660</v>
      </c>
      <c r="Q121" s="173">
        <v>1415.98</v>
      </c>
      <c r="R121" s="173">
        <v>1532.18</v>
      </c>
      <c r="S121" s="173">
        <v>1548.6139999999998</v>
      </c>
      <c r="T121" s="173">
        <v>1613.0363424</v>
      </c>
      <c r="U121" s="173">
        <v>1683.5260305628799</v>
      </c>
      <c r="V121" s="176">
        <v>0</v>
      </c>
      <c r="W121" s="176">
        <v>0</v>
      </c>
      <c r="X121" s="176">
        <v>0</v>
      </c>
      <c r="Y121" s="176">
        <v>0</v>
      </c>
      <c r="Z121" s="176">
        <v>0</v>
      </c>
      <c r="AA121" s="176">
        <v>0</v>
      </c>
      <c r="AB121" s="176">
        <v>0</v>
      </c>
      <c r="AC121" s="176">
        <v>0</v>
      </c>
      <c r="AD121" s="176">
        <v>0</v>
      </c>
      <c r="AE121" s="176">
        <v>0</v>
      </c>
    </row>
    <row r="122" spans="3:31">
      <c r="C122" s="1593" t="s">
        <v>836</v>
      </c>
      <c r="E122" s="1593" t="s">
        <v>29</v>
      </c>
      <c r="F122" s="1593" t="s">
        <v>814</v>
      </c>
      <c r="G122" s="1610" t="s">
        <v>820</v>
      </c>
      <c r="H122" s="1063">
        <f>IF(G122="","",IF(ISNA(MATCH(G122,G$109:G121,0)),1+MAX(H$109:H121),0))</f>
        <v>0</v>
      </c>
      <c r="I122" s="220"/>
      <c r="J122" s="220"/>
      <c r="K122" s="148"/>
      <c r="L122" s="176">
        <v>0</v>
      </c>
      <c r="M122" s="176">
        <v>0</v>
      </c>
      <c r="N122" s="176">
        <v>0</v>
      </c>
      <c r="O122" s="176">
        <v>0</v>
      </c>
      <c r="P122" s="173">
        <v>0</v>
      </c>
      <c r="Q122" s="173">
        <v>0</v>
      </c>
      <c r="R122" s="173">
        <v>0</v>
      </c>
      <c r="S122" s="173">
        <v>190</v>
      </c>
      <c r="T122" s="173">
        <v>280</v>
      </c>
      <c r="U122" s="173">
        <v>274</v>
      </c>
      <c r="V122" s="176">
        <v>0</v>
      </c>
      <c r="W122" s="176">
        <v>0</v>
      </c>
      <c r="X122" s="176">
        <v>0</v>
      </c>
      <c r="Y122" s="176">
        <v>0</v>
      </c>
      <c r="Z122" s="176">
        <v>0</v>
      </c>
      <c r="AA122" s="176">
        <v>0</v>
      </c>
      <c r="AB122" s="176">
        <v>0</v>
      </c>
      <c r="AC122" s="176">
        <v>0</v>
      </c>
      <c r="AD122" s="176">
        <v>0</v>
      </c>
      <c r="AE122" s="176">
        <v>0</v>
      </c>
    </row>
    <row r="123" spans="3:31">
      <c r="C123" s="1593" t="s">
        <v>837</v>
      </c>
      <c r="E123" s="1593" t="s">
        <v>29</v>
      </c>
      <c r="F123" s="1593" t="s">
        <v>814</v>
      </c>
      <c r="G123" s="1610" t="s">
        <v>837</v>
      </c>
      <c r="H123" s="1063">
        <f>IF(G123="","",IF(ISNA(MATCH(G123,G$109:G122,0)),1+MAX(H$109:H122),0))</f>
        <v>7</v>
      </c>
      <c r="I123" s="220"/>
      <c r="J123" s="220"/>
      <c r="K123" s="148"/>
      <c r="L123" s="176">
        <v>0</v>
      </c>
      <c r="M123" s="176">
        <v>0</v>
      </c>
      <c r="N123" s="176">
        <v>0</v>
      </c>
      <c r="O123" s="176">
        <v>0</v>
      </c>
      <c r="P123" s="173">
        <v>1013</v>
      </c>
      <c r="Q123" s="173">
        <v>864.08900000000006</v>
      </c>
      <c r="R123" s="173">
        <v>934.99900000000002</v>
      </c>
      <c r="S123" s="173">
        <v>1013</v>
      </c>
      <c r="T123" s="173">
        <v>1013</v>
      </c>
      <c r="U123" s="173">
        <v>1013</v>
      </c>
      <c r="V123" s="176">
        <v>0</v>
      </c>
      <c r="W123" s="176">
        <v>0</v>
      </c>
      <c r="X123" s="176">
        <v>0</v>
      </c>
      <c r="Y123" s="176">
        <v>0</v>
      </c>
      <c r="Z123" s="176">
        <v>0</v>
      </c>
      <c r="AA123" s="176">
        <v>0</v>
      </c>
      <c r="AB123" s="176">
        <v>0</v>
      </c>
      <c r="AC123" s="176">
        <v>0</v>
      </c>
      <c r="AD123" s="176">
        <v>0</v>
      </c>
      <c r="AE123" s="176">
        <v>0</v>
      </c>
    </row>
    <row r="124" spans="3:31">
      <c r="C124" s="1593" t="s">
        <v>838</v>
      </c>
      <c r="E124" s="1593" t="s">
        <v>29</v>
      </c>
      <c r="F124" s="1593" t="s">
        <v>814</v>
      </c>
      <c r="G124" s="1610" t="s">
        <v>838</v>
      </c>
      <c r="H124" s="1063">
        <f>IF(G124="","",IF(ISNA(MATCH(G124,G$109:G123,0)),1+MAX(H$109:H123),0))</f>
        <v>8</v>
      </c>
      <c r="I124" s="220"/>
      <c r="J124" s="220"/>
      <c r="K124" s="148"/>
      <c r="L124" s="176">
        <v>0</v>
      </c>
      <c r="M124" s="176">
        <v>0</v>
      </c>
      <c r="N124" s="176">
        <v>0</v>
      </c>
      <c r="O124" s="176">
        <v>0</v>
      </c>
      <c r="P124" s="173">
        <v>0</v>
      </c>
      <c r="Q124" s="173">
        <v>0</v>
      </c>
      <c r="R124" s="173">
        <v>0</v>
      </c>
      <c r="S124" s="173">
        <v>0</v>
      </c>
      <c r="T124" s="173">
        <v>0</v>
      </c>
      <c r="U124" s="173">
        <v>0</v>
      </c>
      <c r="V124" s="176">
        <v>0</v>
      </c>
      <c r="W124" s="176">
        <v>0</v>
      </c>
      <c r="X124" s="176">
        <v>0</v>
      </c>
      <c r="Y124" s="176">
        <v>0</v>
      </c>
      <c r="Z124" s="176">
        <v>0</v>
      </c>
      <c r="AA124" s="176">
        <v>0</v>
      </c>
      <c r="AB124" s="176">
        <v>0</v>
      </c>
      <c r="AC124" s="176">
        <v>0</v>
      </c>
      <c r="AD124" s="176">
        <v>0</v>
      </c>
      <c r="AE124" s="176">
        <v>0</v>
      </c>
    </row>
    <row r="125" spans="3:31">
      <c r="C125" s="1593" t="s">
        <v>839</v>
      </c>
      <c r="E125" s="1593" t="s">
        <v>29</v>
      </c>
      <c r="F125" s="1593" t="s">
        <v>814</v>
      </c>
      <c r="G125" s="1610" t="s">
        <v>840</v>
      </c>
      <c r="H125" s="1063">
        <f>IF(G125="","",IF(ISNA(MATCH(G125,G$109:G124,0)),1+MAX(H$109:H124),0))</f>
        <v>9</v>
      </c>
      <c r="I125" s="220"/>
      <c r="J125" s="220"/>
      <c r="K125" s="148"/>
      <c r="L125" s="176">
        <v>0</v>
      </c>
      <c r="M125" s="176">
        <v>0</v>
      </c>
      <c r="N125" s="176">
        <v>0</v>
      </c>
      <c r="O125" s="176">
        <v>0</v>
      </c>
      <c r="P125" s="173">
        <v>949</v>
      </c>
      <c r="Q125" s="173">
        <v>809.49699999999996</v>
      </c>
      <c r="R125" s="173">
        <v>875.92700000000002</v>
      </c>
      <c r="S125" s="173">
        <v>873.08000000000015</v>
      </c>
      <c r="T125" s="173">
        <v>857.3645600000001</v>
      </c>
      <c r="U125" s="173">
        <v>843.64672703999997</v>
      </c>
      <c r="V125" s="176">
        <v>0</v>
      </c>
      <c r="W125" s="176">
        <v>0</v>
      </c>
      <c r="X125" s="176">
        <v>0</v>
      </c>
      <c r="Y125" s="176">
        <v>0</v>
      </c>
      <c r="Z125" s="176">
        <v>0</v>
      </c>
      <c r="AA125" s="176">
        <v>0</v>
      </c>
      <c r="AB125" s="176">
        <v>0</v>
      </c>
      <c r="AC125" s="176">
        <v>0</v>
      </c>
      <c r="AD125" s="176">
        <v>0</v>
      </c>
      <c r="AE125" s="176">
        <v>0</v>
      </c>
    </row>
    <row r="126" spans="3:31">
      <c r="C126" s="1593" t="s">
        <v>841</v>
      </c>
      <c r="E126" s="1593" t="s">
        <v>29</v>
      </c>
      <c r="F126" s="1593" t="s">
        <v>814</v>
      </c>
      <c r="G126" s="1610" t="s">
        <v>820</v>
      </c>
      <c r="H126" s="1063">
        <f>IF(G126="","",IF(ISNA(MATCH(G126,G$109:G125,0)),1+MAX(H$109:H125),0))</f>
        <v>0</v>
      </c>
      <c r="I126" s="220"/>
      <c r="J126" s="220"/>
      <c r="K126" s="148"/>
      <c r="L126" s="176">
        <v>0</v>
      </c>
      <c r="M126" s="176">
        <v>0</v>
      </c>
      <c r="N126" s="176">
        <v>0</v>
      </c>
      <c r="O126" s="176">
        <v>0</v>
      </c>
      <c r="P126" s="173">
        <v>0</v>
      </c>
      <c r="Q126" s="173">
        <v>0</v>
      </c>
      <c r="R126" s="173">
        <v>0</v>
      </c>
      <c r="S126" s="173">
        <v>332</v>
      </c>
      <c r="T126" s="173">
        <v>332</v>
      </c>
      <c r="U126" s="173">
        <v>332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176">
        <v>0</v>
      </c>
      <c r="AD126" s="176">
        <v>0</v>
      </c>
      <c r="AE126" s="176">
        <v>0</v>
      </c>
    </row>
    <row r="127" spans="3:31">
      <c r="C127" s="1593" t="s">
        <v>842</v>
      </c>
      <c r="E127" s="1593" t="s">
        <v>29</v>
      </c>
      <c r="F127" s="1593" t="s">
        <v>814</v>
      </c>
      <c r="G127" s="1610" t="s">
        <v>842</v>
      </c>
      <c r="H127" s="1063">
        <f>IF(G127="","",IF(ISNA(MATCH(G127,G$109:G126,0)),1+MAX(H$109:H126),0))</f>
        <v>10</v>
      </c>
      <c r="I127" s="220"/>
      <c r="J127" s="220"/>
      <c r="K127" s="148"/>
      <c r="L127" s="176">
        <v>0</v>
      </c>
      <c r="M127" s="176">
        <v>0</v>
      </c>
      <c r="N127" s="176">
        <v>0</v>
      </c>
      <c r="O127" s="176">
        <v>0</v>
      </c>
      <c r="P127" s="173">
        <v>0</v>
      </c>
      <c r="Q127" s="173">
        <v>0</v>
      </c>
      <c r="R127" s="173">
        <v>0</v>
      </c>
      <c r="S127" s="173">
        <v>0</v>
      </c>
      <c r="T127" s="173">
        <v>0</v>
      </c>
      <c r="U127" s="173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176">
        <v>0</v>
      </c>
      <c r="AD127" s="176">
        <v>0</v>
      </c>
      <c r="AE127" s="176">
        <v>0</v>
      </c>
    </row>
    <row r="128" spans="3:31">
      <c r="C128" s="1593" t="s">
        <v>843</v>
      </c>
      <c r="E128" s="1593" t="s">
        <v>29</v>
      </c>
      <c r="F128" s="1593" t="s">
        <v>814</v>
      </c>
      <c r="G128" s="1610" t="s">
        <v>820</v>
      </c>
      <c r="H128" s="1063">
        <f>IF(G128="","",IF(ISNA(MATCH(G128,G$109:G127,0)),1+MAX(H$109:H127),0))</f>
        <v>0</v>
      </c>
      <c r="I128" s="220"/>
      <c r="J128" s="220"/>
      <c r="K128" s="148"/>
      <c r="L128" s="176">
        <v>0</v>
      </c>
      <c r="M128" s="176">
        <v>0</v>
      </c>
      <c r="N128" s="176">
        <v>0</v>
      </c>
      <c r="O128" s="176">
        <v>0</v>
      </c>
      <c r="P128" s="173">
        <v>538</v>
      </c>
      <c r="Q128" s="173">
        <v>458.91399999999999</v>
      </c>
      <c r="R128" s="173">
        <v>496.57400000000001</v>
      </c>
      <c r="S128" s="173">
        <v>538</v>
      </c>
      <c r="T128" s="173">
        <v>538</v>
      </c>
      <c r="U128" s="173">
        <v>538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176">
        <v>0</v>
      </c>
      <c r="AD128" s="176">
        <v>0</v>
      </c>
      <c r="AE128" s="176">
        <v>0</v>
      </c>
    </row>
    <row r="129" spans="3:31">
      <c r="C129" s="1593" t="s">
        <v>844</v>
      </c>
      <c r="E129" s="1593" t="s">
        <v>29</v>
      </c>
      <c r="F129" s="1593" t="s">
        <v>814</v>
      </c>
      <c r="G129" s="1610" t="s">
        <v>820</v>
      </c>
      <c r="H129" s="1063">
        <f>IF(G129="","",IF(ISNA(MATCH(G129,G$109:G128,0)),1+MAX(H$109:H128),0))</f>
        <v>0</v>
      </c>
      <c r="I129" s="220"/>
      <c r="J129" s="220"/>
      <c r="K129" s="148"/>
      <c r="L129" s="176">
        <v>0</v>
      </c>
      <c r="M129" s="176">
        <v>0</v>
      </c>
      <c r="N129" s="176">
        <v>0</v>
      </c>
      <c r="O129" s="176">
        <v>0</v>
      </c>
      <c r="P129" s="173">
        <v>0</v>
      </c>
      <c r="Q129" s="173">
        <v>0</v>
      </c>
      <c r="R129" s="173">
        <v>0</v>
      </c>
      <c r="S129" s="173">
        <v>0</v>
      </c>
      <c r="T129" s="173">
        <v>0</v>
      </c>
      <c r="U129" s="173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176">
        <v>0</v>
      </c>
      <c r="AD129" s="176">
        <v>0</v>
      </c>
      <c r="AE129" s="176">
        <v>0</v>
      </c>
    </row>
    <row r="130" spans="3:31" s="36" customFormat="1">
      <c r="C130" s="1593" t="s">
        <v>845</v>
      </c>
      <c r="E130" s="1593" t="s">
        <v>29</v>
      </c>
      <c r="F130" s="1593" t="s">
        <v>814</v>
      </c>
      <c r="G130" s="1610" t="s">
        <v>820</v>
      </c>
      <c r="H130" s="1063">
        <f>IF(G130="","",IF(ISNA(MATCH(G130,G$109:G129,0)),1+MAX(H$109:H129),0))</f>
        <v>0</v>
      </c>
      <c r="I130" s="220"/>
      <c r="J130" s="220"/>
      <c r="K130" s="148"/>
      <c r="L130" s="176">
        <v>0</v>
      </c>
      <c r="M130" s="176">
        <v>0</v>
      </c>
      <c r="N130" s="176">
        <v>0</v>
      </c>
      <c r="O130" s="176">
        <v>0</v>
      </c>
      <c r="P130" s="173">
        <v>0</v>
      </c>
      <c r="Q130" s="173">
        <v>0</v>
      </c>
      <c r="R130" s="173">
        <v>0</v>
      </c>
      <c r="S130" s="173">
        <v>0</v>
      </c>
      <c r="T130" s="173">
        <v>0</v>
      </c>
      <c r="U130" s="173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176">
        <v>0</v>
      </c>
      <c r="AD130" s="176">
        <v>0</v>
      </c>
      <c r="AE130" s="176">
        <v>0</v>
      </c>
    </row>
    <row r="131" spans="3:31" s="36" customFormat="1">
      <c r="C131" s="1593" t="s">
        <v>846</v>
      </c>
      <c r="E131" s="1593" t="s">
        <v>29</v>
      </c>
      <c r="F131" s="1593" t="s">
        <v>814</v>
      </c>
      <c r="G131" s="1610" t="s">
        <v>820</v>
      </c>
      <c r="H131" s="1063">
        <f>IF(G131="","",IF(ISNA(MATCH(G131,G$109:G130,0)),1+MAX(H$109:H130),0))</f>
        <v>0</v>
      </c>
      <c r="I131" s="220"/>
      <c r="J131" s="220"/>
      <c r="K131" s="148"/>
      <c r="L131" s="176">
        <v>0</v>
      </c>
      <c r="M131" s="176">
        <v>0</v>
      </c>
      <c r="N131" s="176">
        <v>0</v>
      </c>
      <c r="O131" s="176">
        <v>0</v>
      </c>
      <c r="P131" s="173">
        <v>0</v>
      </c>
      <c r="Q131" s="173">
        <v>0</v>
      </c>
      <c r="R131" s="173">
        <v>0</v>
      </c>
      <c r="S131" s="173">
        <v>0</v>
      </c>
      <c r="T131" s="173">
        <v>0</v>
      </c>
      <c r="U131" s="173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176">
        <v>0</v>
      </c>
      <c r="AD131" s="176">
        <v>0</v>
      </c>
      <c r="AE131" s="176">
        <v>0</v>
      </c>
    </row>
    <row r="132" spans="3:31" s="36" customFormat="1">
      <c r="C132" s="1593" t="s">
        <v>847</v>
      </c>
      <c r="E132" s="1593" t="s">
        <v>29</v>
      </c>
      <c r="F132" s="1593" t="s">
        <v>814</v>
      </c>
      <c r="G132" s="1610" t="s">
        <v>820</v>
      </c>
      <c r="H132" s="1063">
        <f>IF(G132="","",IF(ISNA(MATCH(G132,G$109:G131,0)),1+MAX(H$109:H131),0))</f>
        <v>0</v>
      </c>
      <c r="I132" s="220"/>
      <c r="J132" s="220"/>
      <c r="K132" s="148"/>
      <c r="L132" s="176">
        <v>0</v>
      </c>
      <c r="M132" s="176">
        <v>0</v>
      </c>
      <c r="N132" s="176">
        <v>0</v>
      </c>
      <c r="O132" s="176">
        <v>0</v>
      </c>
      <c r="P132" s="173">
        <v>355</v>
      </c>
      <c r="Q132" s="173">
        <v>302.815</v>
      </c>
      <c r="R132" s="173">
        <v>327.66500000000002</v>
      </c>
      <c r="S132" s="173">
        <v>355</v>
      </c>
      <c r="T132" s="173">
        <v>355</v>
      </c>
      <c r="U132" s="173">
        <v>355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176">
        <v>0</v>
      </c>
      <c r="AD132" s="176">
        <v>0</v>
      </c>
      <c r="AE132" s="176">
        <v>0</v>
      </c>
    </row>
    <row r="133" spans="3:31">
      <c r="C133" s="1593" t="s">
        <v>848</v>
      </c>
      <c r="E133" s="1593" t="s">
        <v>29</v>
      </c>
      <c r="F133" s="1593" t="s">
        <v>814</v>
      </c>
      <c r="G133" s="1610" t="s">
        <v>820</v>
      </c>
      <c r="H133" s="1063">
        <f>IF(G133="","",IF(ISNA(MATCH(G133,G$109:G132,0)),1+MAX(H$109:H132),0))</f>
        <v>0</v>
      </c>
      <c r="I133" s="220"/>
      <c r="J133" s="220"/>
      <c r="K133" s="148"/>
      <c r="L133" s="176">
        <v>0</v>
      </c>
      <c r="M133" s="176">
        <v>0</v>
      </c>
      <c r="N133" s="176">
        <v>0</v>
      </c>
      <c r="O133" s="176">
        <v>0</v>
      </c>
      <c r="P133" s="173">
        <v>523</v>
      </c>
      <c r="Q133" s="173">
        <v>446.11900000000003</v>
      </c>
      <c r="R133" s="173">
        <v>482.72899999999998</v>
      </c>
      <c r="S133" s="173">
        <v>523</v>
      </c>
      <c r="T133" s="173">
        <v>523</v>
      </c>
      <c r="U133" s="173">
        <v>523</v>
      </c>
      <c r="V133" s="176">
        <v>0</v>
      </c>
      <c r="W133" s="176">
        <v>0</v>
      </c>
      <c r="X133" s="176">
        <v>0</v>
      </c>
      <c r="Y133" s="176">
        <v>0</v>
      </c>
      <c r="Z133" s="176">
        <v>0</v>
      </c>
      <c r="AA133" s="176">
        <v>0</v>
      </c>
      <c r="AB133" s="176">
        <v>0</v>
      </c>
      <c r="AC133" s="176">
        <v>0</v>
      </c>
      <c r="AD133" s="176">
        <v>0</v>
      </c>
      <c r="AE133" s="176">
        <v>0</v>
      </c>
    </row>
    <row r="134" spans="3:31">
      <c r="C134" s="1593" t="s">
        <v>831</v>
      </c>
      <c r="E134" s="1593" t="s">
        <v>29</v>
      </c>
      <c r="F134" s="1593" t="s">
        <v>814</v>
      </c>
      <c r="G134" s="1610" t="s">
        <v>820</v>
      </c>
      <c r="H134" s="1063">
        <f>IF(G134="","",IF(ISNA(MATCH(G134,G$109:G133,0)),1+MAX(H$109:H133),0))</f>
        <v>0</v>
      </c>
      <c r="I134" s="220"/>
      <c r="J134" s="220"/>
      <c r="K134" s="148"/>
      <c r="L134" s="176">
        <v>0</v>
      </c>
      <c r="M134" s="176">
        <v>0</v>
      </c>
      <c r="N134" s="176">
        <v>0</v>
      </c>
      <c r="O134" s="176">
        <v>0</v>
      </c>
      <c r="P134" s="173">
        <v>3794</v>
      </c>
      <c r="Q134" s="173">
        <v>3236.2820000000002</v>
      </c>
      <c r="R134" s="173">
        <v>3501.8620000000001</v>
      </c>
      <c r="S134" s="173">
        <v>3794</v>
      </c>
      <c r="T134" s="173">
        <v>3794</v>
      </c>
      <c r="U134" s="173">
        <v>3794</v>
      </c>
      <c r="V134" s="176">
        <v>0</v>
      </c>
      <c r="W134" s="176">
        <v>0</v>
      </c>
      <c r="X134" s="176">
        <v>0</v>
      </c>
      <c r="Y134" s="176">
        <v>0</v>
      </c>
      <c r="Z134" s="176">
        <v>0</v>
      </c>
      <c r="AA134" s="176">
        <v>0</v>
      </c>
      <c r="AB134" s="176">
        <v>0</v>
      </c>
      <c r="AC134" s="176">
        <v>0</v>
      </c>
      <c r="AD134" s="176">
        <v>0</v>
      </c>
      <c r="AE134" s="176">
        <v>0</v>
      </c>
    </row>
    <row r="135" spans="3:31">
      <c r="C135" s="1593" t="s">
        <v>849</v>
      </c>
      <c r="E135" s="1593" t="s">
        <v>29</v>
      </c>
      <c r="F135" s="1593" t="s">
        <v>814</v>
      </c>
      <c r="G135" s="1610" t="s">
        <v>849</v>
      </c>
      <c r="H135" s="1063">
        <f>IF(G135="","",IF(ISNA(MATCH(G135,G$109:G134,0)),1+MAX(H$109:H134),0))</f>
        <v>11</v>
      </c>
      <c r="I135" s="220"/>
      <c r="J135" s="220"/>
      <c r="K135" s="148"/>
      <c r="L135" s="176">
        <v>0</v>
      </c>
      <c r="M135" s="176">
        <v>0</v>
      </c>
      <c r="N135" s="176">
        <v>0</v>
      </c>
      <c r="O135" s="176">
        <v>0</v>
      </c>
      <c r="P135" s="176">
        <v>11839</v>
      </c>
      <c r="Q135" s="176">
        <v>10098.666999999999</v>
      </c>
      <c r="R135" s="176">
        <v>10927.397000000001</v>
      </c>
      <c r="S135" s="176">
        <v>12470.01605882353</v>
      </c>
      <c r="T135" s="176">
        <v>13952.322152705881</v>
      </c>
      <c r="U135" s="176">
        <v>13651.431998141412</v>
      </c>
      <c r="V135" s="176">
        <v>0</v>
      </c>
      <c r="W135" s="176">
        <v>0</v>
      </c>
      <c r="X135" s="176">
        <v>0</v>
      </c>
      <c r="Y135" s="176">
        <v>0</v>
      </c>
      <c r="Z135" s="176">
        <v>0</v>
      </c>
      <c r="AA135" s="176">
        <v>0</v>
      </c>
      <c r="AB135" s="176">
        <v>0</v>
      </c>
      <c r="AC135" s="176">
        <v>0</v>
      </c>
      <c r="AD135" s="176">
        <v>0</v>
      </c>
      <c r="AE135" s="176">
        <v>0</v>
      </c>
    </row>
    <row r="136" spans="3:31">
      <c r="G136" s="1062"/>
      <c r="H136" s="1063" t="str">
        <f>IF(G136="","",IF(ISNA(MATCH(G136,G$109:G135,0)),1+MAX(H$109:H135),0))</f>
        <v/>
      </c>
      <c r="I136" s="220"/>
      <c r="J136" s="220"/>
      <c r="L136" s="176">
        <v>0</v>
      </c>
      <c r="M136" s="176">
        <v>0</v>
      </c>
      <c r="N136" s="176">
        <v>0</v>
      </c>
      <c r="O136" s="176">
        <v>0</v>
      </c>
      <c r="P136" s="176">
        <v>0</v>
      </c>
      <c r="Q136" s="176">
        <v>0</v>
      </c>
      <c r="R136" s="176">
        <v>0</v>
      </c>
      <c r="S136" s="176">
        <v>0</v>
      </c>
      <c r="T136" s="176">
        <v>0</v>
      </c>
      <c r="U136" s="176">
        <v>0</v>
      </c>
      <c r="V136" s="176">
        <v>0</v>
      </c>
      <c r="W136" s="176">
        <v>0</v>
      </c>
      <c r="X136" s="176">
        <v>0</v>
      </c>
      <c r="Y136" s="176">
        <v>0</v>
      </c>
      <c r="Z136" s="176">
        <v>0</v>
      </c>
      <c r="AA136" s="176">
        <v>0</v>
      </c>
      <c r="AB136" s="176">
        <v>0</v>
      </c>
      <c r="AC136" s="176">
        <v>0</v>
      </c>
      <c r="AD136" s="176">
        <v>0</v>
      </c>
      <c r="AE136" s="176">
        <v>0</v>
      </c>
    </row>
    <row r="137" spans="3:31">
      <c r="G137" s="1062"/>
      <c r="H137" s="1063" t="str">
        <f>IF(G137="","",IF(ISNA(MATCH(G137,G$109:G136,0)),1+MAX(H$109:H136),0))</f>
        <v/>
      </c>
      <c r="I137" s="220"/>
      <c r="J137" s="220"/>
      <c r="L137" s="176">
        <v>0</v>
      </c>
      <c r="M137" s="176">
        <v>0</v>
      </c>
      <c r="N137" s="176">
        <v>0</v>
      </c>
      <c r="O137" s="176">
        <v>0</v>
      </c>
      <c r="P137" s="176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176">
        <v>0</v>
      </c>
      <c r="AD137" s="176">
        <v>0</v>
      </c>
      <c r="AE137" s="176">
        <v>0</v>
      </c>
    </row>
    <row r="138" spans="3:31">
      <c r="G138" s="1062"/>
      <c r="H138" s="1063" t="str">
        <f>IF(G138="","",IF(ISNA(MATCH(G138,G$109:G137,0)),1+MAX(H$109:H137),0))</f>
        <v/>
      </c>
      <c r="I138" s="220"/>
      <c r="J138" s="220"/>
      <c r="L138" s="176">
        <v>0</v>
      </c>
      <c r="M138" s="176">
        <v>0</v>
      </c>
      <c r="N138" s="176">
        <v>0</v>
      </c>
      <c r="O138" s="176">
        <v>0</v>
      </c>
      <c r="P138" s="176">
        <v>0</v>
      </c>
      <c r="Q138" s="176">
        <v>0</v>
      </c>
      <c r="R138" s="176">
        <v>0</v>
      </c>
      <c r="S138" s="176">
        <v>0</v>
      </c>
      <c r="T138" s="176">
        <v>0</v>
      </c>
      <c r="U138" s="176">
        <v>0</v>
      </c>
      <c r="V138" s="176">
        <v>0</v>
      </c>
      <c r="W138" s="176">
        <v>0</v>
      </c>
      <c r="X138" s="176">
        <v>0</v>
      </c>
      <c r="Y138" s="176">
        <v>0</v>
      </c>
      <c r="Z138" s="176">
        <v>0</v>
      </c>
      <c r="AA138" s="176">
        <v>0</v>
      </c>
      <c r="AB138" s="176">
        <v>0</v>
      </c>
      <c r="AC138" s="176">
        <v>0</v>
      </c>
      <c r="AD138" s="176">
        <v>0</v>
      </c>
      <c r="AE138" s="176">
        <v>0</v>
      </c>
    </row>
    <row r="139" spans="3:31">
      <c r="G139" s="1062"/>
      <c r="H139" s="1063" t="str">
        <f>IF(G139="","",IF(ISNA(MATCH(G139,G$109:G138,0)),1+MAX(H$109:H138),0))</f>
        <v/>
      </c>
      <c r="I139" s="220"/>
      <c r="J139" s="220"/>
      <c r="L139" s="176">
        <v>0</v>
      </c>
      <c r="M139" s="176">
        <v>0</v>
      </c>
      <c r="N139" s="176">
        <v>0</v>
      </c>
      <c r="O139" s="176">
        <v>0</v>
      </c>
      <c r="P139" s="176">
        <v>0</v>
      </c>
      <c r="Q139" s="176">
        <v>0</v>
      </c>
      <c r="R139" s="176">
        <v>0</v>
      </c>
      <c r="S139" s="176">
        <v>0</v>
      </c>
      <c r="T139" s="176">
        <v>0</v>
      </c>
      <c r="U139" s="176">
        <v>0</v>
      </c>
      <c r="V139" s="176">
        <v>0</v>
      </c>
      <c r="W139" s="176">
        <v>0</v>
      </c>
      <c r="X139" s="176">
        <v>0</v>
      </c>
      <c r="Y139" s="176">
        <v>0</v>
      </c>
      <c r="Z139" s="176">
        <v>0</v>
      </c>
      <c r="AA139" s="176">
        <v>0</v>
      </c>
      <c r="AB139" s="176">
        <v>0</v>
      </c>
      <c r="AC139" s="176">
        <v>0</v>
      </c>
      <c r="AD139" s="176">
        <v>0</v>
      </c>
      <c r="AE139" s="176">
        <v>0</v>
      </c>
    </row>
    <row r="140" spans="3:31">
      <c r="G140" s="1062"/>
      <c r="H140" s="1063" t="str">
        <f>IF(G140="","",IF(ISNA(MATCH(G140,G$109:G139,0)),1+MAX(H$109:H139),0))</f>
        <v/>
      </c>
      <c r="I140" s="220"/>
      <c r="J140" s="220"/>
      <c r="L140" s="176">
        <v>0</v>
      </c>
      <c r="M140" s="176">
        <v>0</v>
      </c>
      <c r="N140" s="176">
        <v>0</v>
      </c>
      <c r="O140" s="176">
        <v>0</v>
      </c>
      <c r="P140" s="176">
        <v>0</v>
      </c>
      <c r="Q140" s="176">
        <v>0</v>
      </c>
      <c r="R140" s="176">
        <v>0</v>
      </c>
      <c r="S140" s="176">
        <v>0</v>
      </c>
      <c r="T140" s="176">
        <v>0</v>
      </c>
      <c r="U140" s="176">
        <v>0</v>
      </c>
      <c r="V140" s="176">
        <v>0</v>
      </c>
      <c r="W140" s="176">
        <v>0</v>
      </c>
      <c r="X140" s="176">
        <v>0</v>
      </c>
      <c r="Y140" s="176">
        <v>0</v>
      </c>
      <c r="Z140" s="176">
        <v>0</v>
      </c>
      <c r="AA140" s="176">
        <v>0</v>
      </c>
      <c r="AB140" s="176">
        <v>0</v>
      </c>
      <c r="AC140" s="176">
        <v>0</v>
      </c>
      <c r="AD140" s="176">
        <v>0</v>
      </c>
      <c r="AE140" s="176">
        <v>0</v>
      </c>
    </row>
    <row r="141" spans="3:31">
      <c r="G141" s="1062"/>
      <c r="H141" s="1063" t="str">
        <f>IF(G141="","",IF(ISNA(MATCH(G141,G$109:G140,0)),1+MAX(H$109:H140),0))</f>
        <v/>
      </c>
      <c r="I141" s="220"/>
      <c r="J141" s="220"/>
      <c r="L141" s="176">
        <v>0</v>
      </c>
      <c r="M141" s="176">
        <v>0</v>
      </c>
      <c r="N141" s="176">
        <v>0</v>
      </c>
      <c r="O141" s="176">
        <v>0</v>
      </c>
      <c r="P141" s="176">
        <v>0</v>
      </c>
      <c r="Q141" s="176">
        <v>0</v>
      </c>
      <c r="R141" s="176">
        <v>0</v>
      </c>
      <c r="S141" s="176">
        <v>0</v>
      </c>
      <c r="T141" s="176">
        <v>0</v>
      </c>
      <c r="U141" s="176">
        <v>0</v>
      </c>
      <c r="V141" s="176">
        <v>0</v>
      </c>
      <c r="W141" s="176">
        <v>0</v>
      </c>
      <c r="X141" s="176">
        <v>0</v>
      </c>
      <c r="Y141" s="176">
        <v>0</v>
      </c>
      <c r="Z141" s="176">
        <v>0</v>
      </c>
      <c r="AA141" s="176">
        <v>0</v>
      </c>
      <c r="AB141" s="176">
        <v>0</v>
      </c>
      <c r="AC141" s="176">
        <v>0</v>
      </c>
      <c r="AD141" s="176">
        <v>0</v>
      </c>
      <c r="AE141" s="176">
        <v>0</v>
      </c>
    </row>
    <row r="142" spans="3:31" ht="10.9" customHeight="1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</row>
    <row r="143" spans="3:31">
      <c r="C143" s="17" t="s">
        <v>850</v>
      </c>
      <c r="D143" s="17"/>
      <c r="E143" s="3" t="s">
        <v>29</v>
      </c>
      <c r="F143" s="17"/>
      <c r="G143" s="17"/>
      <c r="I143" s="224">
        <f>SUM(Q186:U186)/SUM(Q143:U143)</f>
        <v>0.81566992056284404</v>
      </c>
      <c r="J143" s="225">
        <f>SUM(Q228:U228)/SUM(Q143:U143)</f>
        <v>0.18411647751968421</v>
      </c>
      <c r="K143" s="156"/>
      <c r="L143" s="27">
        <f t="shared" ref="L143:AE143" si="16">SUM(L110:L141)*(L$107="")+L$107</f>
        <v>0</v>
      </c>
      <c r="M143" s="27">
        <f t="shared" si="16"/>
        <v>0</v>
      </c>
      <c r="N143" s="27">
        <f t="shared" si="16"/>
        <v>0</v>
      </c>
      <c r="O143" s="27">
        <f t="shared" si="16"/>
        <v>0</v>
      </c>
      <c r="P143" s="27">
        <f t="shared" si="16"/>
        <v>31694</v>
      </c>
      <c r="Q143" s="27">
        <f t="shared" si="16"/>
        <v>27034.981999999996</v>
      </c>
      <c r="R143" s="27">
        <f t="shared" si="16"/>
        <v>29253.562000000002</v>
      </c>
      <c r="S143" s="27">
        <f t="shared" si="16"/>
        <v>33142.897258823534</v>
      </c>
      <c r="T143" s="27">
        <f t="shared" si="16"/>
        <v>34709.013768705889</v>
      </c>
      <c r="U143" s="27">
        <f t="shared" si="16"/>
        <v>34400.137930067489</v>
      </c>
      <c r="V143" s="27">
        <f t="shared" si="16"/>
        <v>0</v>
      </c>
      <c r="W143" s="27">
        <f t="shared" si="16"/>
        <v>0</v>
      </c>
      <c r="X143" s="27">
        <f t="shared" si="16"/>
        <v>0</v>
      </c>
      <c r="Y143" s="27">
        <f t="shared" si="16"/>
        <v>0</v>
      </c>
      <c r="Z143" s="27">
        <f t="shared" si="16"/>
        <v>0</v>
      </c>
      <c r="AA143" s="27">
        <f t="shared" si="16"/>
        <v>0</v>
      </c>
      <c r="AB143" s="27">
        <f t="shared" si="16"/>
        <v>0</v>
      </c>
      <c r="AC143" s="27">
        <f t="shared" si="16"/>
        <v>0</v>
      </c>
      <c r="AD143" s="27">
        <f t="shared" si="16"/>
        <v>0</v>
      </c>
      <c r="AE143" s="27">
        <f t="shared" si="16"/>
        <v>0</v>
      </c>
    </row>
    <row r="144" spans="3:31">
      <c r="P144" s="150"/>
      <c r="Q144" s="150"/>
      <c r="R144" s="150"/>
      <c r="S144" s="150"/>
      <c r="T144" s="150"/>
      <c r="U144" s="150"/>
    </row>
    <row r="145" spans="2:31">
      <c r="L145" s="26"/>
      <c r="M145" s="26"/>
      <c r="N145" s="26"/>
      <c r="O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</row>
    <row r="146" spans="2:31">
      <c r="B146" s="152" t="s">
        <v>150</v>
      </c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22"/>
      <c r="R146" s="222"/>
      <c r="S146" s="222"/>
      <c r="T146" s="222"/>
      <c r="U146" s="222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8" spans="2:31" ht="13.5" thickBot="1">
      <c r="C148" s="7" t="s">
        <v>852</v>
      </c>
      <c r="D148" s="7"/>
      <c r="E148" s="7"/>
      <c r="F148" s="7"/>
      <c r="G148" s="7"/>
      <c r="H148" s="7"/>
      <c r="I148" s="7"/>
      <c r="J148" s="7"/>
      <c r="K148" s="7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</row>
    <row r="149" spans="2:31" outlineLevel="1">
      <c r="C149" s="983" t="str">
        <f t="shared" ref="C149:C180" si="17">C110</f>
        <v>Travel</v>
      </c>
      <c r="E149" s="3" t="s">
        <v>43</v>
      </c>
      <c r="L149" s="219">
        <v>0</v>
      </c>
      <c r="M149" s="219">
        <v>0</v>
      </c>
      <c r="N149" s="219">
        <v>0</v>
      </c>
      <c r="O149" s="219">
        <v>0</v>
      </c>
      <c r="P149" s="223">
        <v>0.85747663551401865</v>
      </c>
      <c r="Q149" s="223">
        <v>0.87032418952618451</v>
      </c>
      <c r="R149" s="223">
        <v>0.83887468030690537</v>
      </c>
      <c r="S149" s="223">
        <v>0.83917340521114103</v>
      </c>
      <c r="T149" s="223">
        <v>0.83965244865718791</v>
      </c>
      <c r="U149" s="223">
        <v>0.83956043956043958</v>
      </c>
      <c r="V149" s="219">
        <v>0</v>
      </c>
      <c r="W149" s="219">
        <v>0</v>
      </c>
      <c r="X149" s="219">
        <v>0</v>
      </c>
      <c r="Y149" s="219">
        <v>0</v>
      </c>
      <c r="Z149" s="219">
        <v>0</v>
      </c>
      <c r="AA149" s="219">
        <v>0</v>
      </c>
      <c r="AB149" s="219">
        <v>0</v>
      </c>
      <c r="AC149" s="219">
        <v>0</v>
      </c>
      <c r="AD149" s="219">
        <v>0</v>
      </c>
      <c r="AE149" s="219">
        <v>0</v>
      </c>
    </row>
    <row r="150" spans="2:31" outlineLevel="1">
      <c r="C150" s="983" t="str">
        <f t="shared" si="17"/>
        <v>Training (Redected)</v>
      </c>
      <c r="E150" s="3" t="s">
        <v>43</v>
      </c>
      <c r="L150" s="219">
        <v>0</v>
      </c>
      <c r="M150" s="219">
        <v>0</v>
      </c>
      <c r="N150" s="219">
        <v>0</v>
      </c>
      <c r="O150" s="219">
        <v>0</v>
      </c>
      <c r="P150" s="223">
        <v>0</v>
      </c>
      <c r="Q150" s="223">
        <v>0</v>
      </c>
      <c r="R150" s="223">
        <v>0</v>
      </c>
      <c r="S150" s="223">
        <v>0</v>
      </c>
      <c r="T150" s="223">
        <v>0</v>
      </c>
      <c r="U150" s="223">
        <v>0</v>
      </c>
      <c r="V150" s="219">
        <v>0</v>
      </c>
      <c r="W150" s="219">
        <v>0</v>
      </c>
      <c r="X150" s="219">
        <v>0</v>
      </c>
      <c r="Y150" s="219">
        <v>0</v>
      </c>
      <c r="Z150" s="219">
        <v>0</v>
      </c>
      <c r="AA150" s="219">
        <v>0</v>
      </c>
      <c r="AB150" s="219">
        <v>0</v>
      </c>
      <c r="AC150" s="219">
        <v>0</v>
      </c>
      <c r="AD150" s="219">
        <v>0</v>
      </c>
      <c r="AE150" s="219">
        <v>0</v>
      </c>
    </row>
    <row r="151" spans="2:31" outlineLevel="1">
      <c r="C151" s="983" t="str">
        <f t="shared" si="17"/>
        <v>Utilities</v>
      </c>
      <c r="E151" s="3" t="s">
        <v>43</v>
      </c>
      <c r="L151" s="219">
        <v>0</v>
      </c>
      <c r="M151" s="219">
        <v>0</v>
      </c>
      <c r="N151" s="219">
        <v>0</v>
      </c>
      <c r="O151" s="219">
        <v>0</v>
      </c>
      <c r="P151" s="223">
        <v>0.85</v>
      </c>
      <c r="Q151" s="223">
        <v>0.77659574468085102</v>
      </c>
      <c r="R151" s="223">
        <v>0.76650563607085342</v>
      </c>
      <c r="S151" s="223">
        <v>0.76850393700787401</v>
      </c>
      <c r="T151" s="223">
        <v>0.76850393700787401</v>
      </c>
      <c r="U151" s="223">
        <v>0.76850393700787401</v>
      </c>
      <c r="V151" s="219">
        <v>0</v>
      </c>
      <c r="W151" s="219">
        <v>0</v>
      </c>
      <c r="X151" s="219">
        <v>0</v>
      </c>
      <c r="Y151" s="219">
        <v>0</v>
      </c>
      <c r="Z151" s="219">
        <v>0</v>
      </c>
      <c r="AA151" s="219">
        <v>0</v>
      </c>
      <c r="AB151" s="219">
        <v>0</v>
      </c>
      <c r="AC151" s="219">
        <v>0</v>
      </c>
      <c r="AD151" s="219">
        <v>0</v>
      </c>
      <c r="AE151" s="219">
        <v>0</v>
      </c>
    </row>
    <row r="152" spans="2:31" outlineLevel="1">
      <c r="C152" s="983" t="str">
        <f t="shared" si="17"/>
        <v>Telecoms (Redacted)</v>
      </c>
      <c r="E152" s="3" t="s">
        <v>43</v>
      </c>
      <c r="L152" s="219">
        <v>0</v>
      </c>
      <c r="M152" s="219">
        <v>0</v>
      </c>
      <c r="N152" s="219">
        <v>0</v>
      </c>
      <c r="O152" s="219">
        <v>0</v>
      </c>
      <c r="P152" s="223">
        <v>0</v>
      </c>
      <c r="Q152" s="223">
        <v>0</v>
      </c>
      <c r="R152" s="223">
        <v>0</v>
      </c>
      <c r="S152" s="223">
        <v>0</v>
      </c>
      <c r="T152" s="223">
        <v>0</v>
      </c>
      <c r="U152" s="223">
        <v>0</v>
      </c>
      <c r="V152" s="219">
        <v>0</v>
      </c>
      <c r="W152" s="219">
        <v>0</v>
      </c>
      <c r="X152" s="219">
        <v>0</v>
      </c>
      <c r="Y152" s="219">
        <v>0</v>
      </c>
      <c r="Z152" s="219">
        <v>0</v>
      </c>
      <c r="AA152" s="219">
        <v>0</v>
      </c>
      <c r="AB152" s="219">
        <v>0</v>
      </c>
      <c r="AC152" s="219">
        <v>0</v>
      </c>
      <c r="AD152" s="219">
        <v>0</v>
      </c>
      <c r="AE152" s="219">
        <v>0</v>
      </c>
    </row>
    <row r="153" spans="2:31" outlineLevel="1">
      <c r="C153" s="983" t="str">
        <f t="shared" si="17"/>
        <v>Maintenance</v>
      </c>
      <c r="E153" s="3" t="s">
        <v>43</v>
      </c>
      <c r="L153" s="219">
        <v>0</v>
      </c>
      <c r="M153" s="219">
        <v>0</v>
      </c>
      <c r="N153" s="219">
        <v>0</v>
      </c>
      <c r="O153" s="219">
        <v>0</v>
      </c>
      <c r="P153" s="223">
        <v>0.80487804878048785</v>
      </c>
      <c r="Q153" s="223">
        <v>0.79118773946360155</v>
      </c>
      <c r="R153" s="223">
        <v>0.78252427184466022</v>
      </c>
      <c r="S153" s="223">
        <v>0.78593632758066245</v>
      </c>
      <c r="T153" s="223">
        <v>0.78676546259133473</v>
      </c>
      <c r="U153" s="223">
        <v>0.78660659430677859</v>
      </c>
      <c r="V153" s="219">
        <v>0</v>
      </c>
      <c r="W153" s="219">
        <v>0</v>
      </c>
      <c r="X153" s="219">
        <v>0</v>
      </c>
      <c r="Y153" s="219">
        <v>0</v>
      </c>
      <c r="Z153" s="219">
        <v>0</v>
      </c>
      <c r="AA153" s="219">
        <v>0</v>
      </c>
      <c r="AB153" s="219">
        <v>0</v>
      </c>
      <c r="AC153" s="219">
        <v>0</v>
      </c>
      <c r="AD153" s="219">
        <v>0</v>
      </c>
      <c r="AE153" s="219">
        <v>0</v>
      </c>
    </row>
    <row r="154" spans="2:31" outlineLevel="1">
      <c r="C154" s="983" t="str">
        <f t="shared" si="17"/>
        <v>Spares</v>
      </c>
      <c r="E154" s="3" t="s">
        <v>43</v>
      </c>
      <c r="L154" s="219">
        <v>0</v>
      </c>
      <c r="M154" s="219">
        <v>0</v>
      </c>
      <c r="N154" s="219">
        <v>0</v>
      </c>
      <c r="O154" s="219">
        <v>0</v>
      </c>
      <c r="P154" s="223">
        <v>0.80487804878048785</v>
      </c>
      <c r="Q154" s="223">
        <v>0.79118773946360155</v>
      </c>
      <c r="R154" s="223">
        <v>0.78252427184466034</v>
      </c>
      <c r="S154" s="223">
        <v>0.78593632758066245</v>
      </c>
      <c r="T154" s="223">
        <v>0.78676546259133484</v>
      </c>
      <c r="U154" s="223">
        <v>0.78660659430677859</v>
      </c>
      <c r="V154" s="219">
        <v>0</v>
      </c>
      <c r="W154" s="219">
        <v>0</v>
      </c>
      <c r="X154" s="219">
        <v>0</v>
      </c>
      <c r="Y154" s="219">
        <v>0</v>
      </c>
      <c r="Z154" s="219">
        <v>0</v>
      </c>
      <c r="AA154" s="219">
        <v>0</v>
      </c>
      <c r="AB154" s="219">
        <v>0</v>
      </c>
      <c r="AC154" s="219">
        <v>0</v>
      </c>
      <c r="AD154" s="219">
        <v>0</v>
      </c>
      <c r="AE154" s="219">
        <v>0</v>
      </c>
    </row>
    <row r="155" spans="2:31" outlineLevel="1">
      <c r="C155" s="983" t="str">
        <f t="shared" si="17"/>
        <v>Power</v>
      </c>
      <c r="E155" s="3" t="s">
        <v>43</v>
      </c>
      <c r="L155" s="219">
        <v>0</v>
      </c>
      <c r="M155" s="219">
        <v>0</v>
      </c>
      <c r="N155" s="219">
        <v>0</v>
      </c>
      <c r="O155" s="219">
        <v>0</v>
      </c>
      <c r="P155" s="223">
        <v>0.80487804878048785</v>
      </c>
      <c r="Q155" s="223">
        <v>0.79118773946360155</v>
      </c>
      <c r="R155" s="223">
        <v>0.78252427184466034</v>
      </c>
      <c r="S155" s="223">
        <v>0.78593632758066245</v>
      </c>
      <c r="T155" s="223">
        <v>0.78676546259133473</v>
      </c>
      <c r="U155" s="223">
        <v>0.78660659430677859</v>
      </c>
      <c r="V155" s="219">
        <v>0</v>
      </c>
      <c r="W155" s="219">
        <v>0</v>
      </c>
      <c r="X155" s="219">
        <v>0</v>
      </c>
      <c r="Y155" s="219">
        <v>0</v>
      </c>
      <c r="Z155" s="219">
        <v>0</v>
      </c>
      <c r="AA155" s="219">
        <v>0</v>
      </c>
      <c r="AB155" s="219">
        <v>0</v>
      </c>
      <c r="AC155" s="219">
        <v>0</v>
      </c>
      <c r="AD155" s="219">
        <v>0</v>
      </c>
      <c r="AE155" s="219">
        <v>0</v>
      </c>
    </row>
    <row r="156" spans="2:31" outlineLevel="1">
      <c r="C156" s="983" t="str">
        <f t="shared" si="17"/>
        <v>Flight checking</v>
      </c>
      <c r="E156" s="3" t="s">
        <v>43</v>
      </c>
      <c r="L156" s="219">
        <v>0</v>
      </c>
      <c r="M156" s="219">
        <v>0</v>
      </c>
      <c r="N156" s="219">
        <v>0</v>
      </c>
      <c r="O156" s="219">
        <v>0</v>
      </c>
      <c r="P156" s="223">
        <v>0</v>
      </c>
      <c r="Q156" s="223">
        <v>0</v>
      </c>
      <c r="R156" s="223">
        <v>0</v>
      </c>
      <c r="S156" s="223">
        <v>0</v>
      </c>
      <c r="T156" s="223">
        <v>0</v>
      </c>
      <c r="U156" s="223">
        <v>0</v>
      </c>
      <c r="V156" s="219">
        <v>0</v>
      </c>
      <c r="W156" s="219">
        <v>0</v>
      </c>
      <c r="X156" s="219">
        <v>0</v>
      </c>
      <c r="Y156" s="219">
        <v>0</v>
      </c>
      <c r="Z156" s="219">
        <v>0</v>
      </c>
      <c r="AA156" s="219">
        <v>0</v>
      </c>
      <c r="AB156" s="219">
        <v>0</v>
      </c>
      <c r="AC156" s="219">
        <v>0</v>
      </c>
      <c r="AD156" s="219">
        <v>0</v>
      </c>
      <c r="AE156" s="219">
        <v>0</v>
      </c>
    </row>
    <row r="157" spans="2:31" outlineLevel="1">
      <c r="C157" s="983" t="str">
        <f t="shared" si="17"/>
        <v>Other</v>
      </c>
      <c r="E157" s="3" t="s">
        <v>43</v>
      </c>
      <c r="L157" s="219">
        <v>0</v>
      </c>
      <c r="M157" s="219">
        <v>0</v>
      </c>
      <c r="N157" s="219">
        <v>0</v>
      </c>
      <c r="O157" s="219">
        <v>0</v>
      </c>
      <c r="P157" s="223">
        <v>0.80487804878048785</v>
      </c>
      <c r="Q157" s="223">
        <v>0.79118773946360144</v>
      </c>
      <c r="R157" s="223">
        <v>0.78252427184466022</v>
      </c>
      <c r="S157" s="223">
        <v>0.78593632758066245</v>
      </c>
      <c r="T157" s="223">
        <v>0.78676546259133473</v>
      </c>
      <c r="U157" s="223">
        <v>0.78660659430677859</v>
      </c>
      <c r="V157" s="219">
        <v>0</v>
      </c>
      <c r="W157" s="219">
        <v>0</v>
      </c>
      <c r="X157" s="219">
        <v>0</v>
      </c>
      <c r="Y157" s="219">
        <v>0</v>
      </c>
      <c r="Z157" s="219">
        <v>0</v>
      </c>
      <c r="AA157" s="219">
        <v>0</v>
      </c>
      <c r="AB157" s="219">
        <v>0</v>
      </c>
      <c r="AC157" s="219">
        <v>0</v>
      </c>
      <c r="AD157" s="219">
        <v>0</v>
      </c>
      <c r="AE157" s="219">
        <v>0</v>
      </c>
    </row>
    <row r="158" spans="2:31" outlineLevel="1">
      <c r="C158" s="983" t="str">
        <f t="shared" si="17"/>
        <v>Subscriptions</v>
      </c>
      <c r="E158" s="3" t="s">
        <v>43</v>
      </c>
      <c r="L158" s="219">
        <v>0</v>
      </c>
      <c r="M158" s="219">
        <v>0</v>
      </c>
      <c r="N158" s="219">
        <v>0</v>
      </c>
      <c r="O158" s="219">
        <v>0</v>
      </c>
      <c r="P158" s="223">
        <v>0.82119205298013243</v>
      </c>
      <c r="Q158" s="223">
        <v>0.8393574297188755</v>
      </c>
      <c r="R158" s="223">
        <v>0.82776349614395883</v>
      </c>
      <c r="S158" s="223">
        <v>0.82767624020887731</v>
      </c>
      <c r="T158" s="223">
        <v>0.82978723404255328</v>
      </c>
      <c r="U158" s="223">
        <v>0.82702702702702702</v>
      </c>
      <c r="V158" s="219">
        <v>0</v>
      </c>
      <c r="W158" s="219">
        <v>0</v>
      </c>
      <c r="X158" s="219">
        <v>0</v>
      </c>
      <c r="Y158" s="219">
        <v>0</v>
      </c>
      <c r="Z158" s="219">
        <v>0</v>
      </c>
      <c r="AA158" s="219">
        <v>0</v>
      </c>
      <c r="AB158" s="219">
        <v>0</v>
      </c>
      <c r="AC158" s="219">
        <v>0</v>
      </c>
      <c r="AD158" s="219">
        <v>0</v>
      </c>
      <c r="AE158" s="219">
        <v>0</v>
      </c>
    </row>
    <row r="159" spans="2:31" outlineLevel="1">
      <c r="C159" s="983" t="str">
        <f t="shared" si="17"/>
        <v>Rent and rates</v>
      </c>
      <c r="E159" s="3" t="s">
        <v>43</v>
      </c>
      <c r="L159" s="219">
        <v>0</v>
      </c>
      <c r="M159" s="219">
        <v>0</v>
      </c>
      <c r="N159" s="219">
        <v>0</v>
      </c>
      <c r="O159" s="219">
        <v>0</v>
      </c>
      <c r="P159" s="223">
        <v>0.67577736759903451</v>
      </c>
      <c r="Q159" s="223">
        <v>0.82858878666898106</v>
      </c>
      <c r="R159" s="223">
        <v>0.82090782299987319</v>
      </c>
      <c r="S159" s="223">
        <v>0.82082055620175542</v>
      </c>
      <c r="T159" s="223">
        <v>0.82034609334032527</v>
      </c>
      <c r="U159" s="223">
        <v>0.82153861955628593</v>
      </c>
      <c r="V159" s="219">
        <v>0</v>
      </c>
      <c r="W159" s="219">
        <v>0</v>
      </c>
      <c r="X159" s="219">
        <v>0</v>
      </c>
      <c r="Y159" s="219">
        <v>0</v>
      </c>
      <c r="Z159" s="219">
        <v>0</v>
      </c>
      <c r="AA159" s="219">
        <v>0</v>
      </c>
      <c r="AB159" s="219">
        <v>0</v>
      </c>
      <c r="AC159" s="219">
        <v>0</v>
      </c>
      <c r="AD159" s="219">
        <v>0</v>
      </c>
      <c r="AE159" s="219">
        <v>0</v>
      </c>
    </row>
    <row r="160" spans="2:31" outlineLevel="1">
      <c r="C160" s="983" t="str">
        <f t="shared" si="17"/>
        <v>Computing</v>
      </c>
      <c r="E160" s="3" t="s">
        <v>43</v>
      </c>
      <c r="L160" s="219">
        <v>0</v>
      </c>
      <c r="M160" s="219">
        <v>0</v>
      </c>
      <c r="N160" s="219">
        <v>0</v>
      </c>
      <c r="O160" s="219">
        <v>0</v>
      </c>
      <c r="P160" s="223">
        <v>0.67577736759903451</v>
      </c>
      <c r="Q160" s="223">
        <v>0.82858878666898106</v>
      </c>
      <c r="R160" s="223">
        <v>0.82090782299987319</v>
      </c>
      <c r="S160" s="223">
        <v>0.82082055620175542</v>
      </c>
      <c r="T160" s="223">
        <v>0.82034609334032504</v>
      </c>
      <c r="U160" s="223">
        <v>0.82153861955628593</v>
      </c>
      <c r="V160" s="219">
        <v>0</v>
      </c>
      <c r="W160" s="219">
        <v>0</v>
      </c>
      <c r="X160" s="219">
        <v>0</v>
      </c>
      <c r="Y160" s="219">
        <v>0</v>
      </c>
      <c r="Z160" s="219">
        <v>0</v>
      </c>
      <c r="AA160" s="219">
        <v>0</v>
      </c>
      <c r="AB160" s="219">
        <v>0</v>
      </c>
      <c r="AC160" s="219">
        <v>0</v>
      </c>
      <c r="AD160" s="219">
        <v>0</v>
      </c>
      <c r="AE160" s="219">
        <v>0</v>
      </c>
    </row>
    <row r="161" spans="3:31" outlineLevel="1">
      <c r="C161" s="983" t="str">
        <f t="shared" si="17"/>
        <v>NIS</v>
      </c>
      <c r="E161" s="3" t="s">
        <v>43</v>
      </c>
      <c r="L161" s="219">
        <v>0</v>
      </c>
      <c r="M161" s="219">
        <v>0</v>
      </c>
      <c r="N161" s="219">
        <v>0</v>
      </c>
      <c r="O161" s="219">
        <v>0</v>
      </c>
      <c r="P161" s="223">
        <v>0.67577736759903451</v>
      </c>
      <c r="Q161" s="223">
        <v>0.82858878666898106</v>
      </c>
      <c r="R161" s="223">
        <v>0.82090782299987319</v>
      </c>
      <c r="S161" s="223">
        <v>0.82082055620175542</v>
      </c>
      <c r="T161" s="223">
        <v>0.82034609334032516</v>
      </c>
      <c r="U161" s="223">
        <v>0.82153861955628593</v>
      </c>
      <c r="V161" s="219">
        <v>0</v>
      </c>
      <c r="W161" s="219">
        <v>0</v>
      </c>
      <c r="X161" s="219">
        <v>0</v>
      </c>
      <c r="Y161" s="219">
        <v>0</v>
      </c>
      <c r="Z161" s="219">
        <v>0</v>
      </c>
      <c r="AA161" s="219">
        <v>0</v>
      </c>
      <c r="AB161" s="219">
        <v>0</v>
      </c>
      <c r="AC161" s="219">
        <v>0</v>
      </c>
      <c r="AD161" s="219">
        <v>0</v>
      </c>
      <c r="AE161" s="219">
        <v>0</v>
      </c>
    </row>
    <row r="162" spans="3:31" outlineLevel="1">
      <c r="C162" s="983" t="str">
        <f t="shared" si="17"/>
        <v>Consultancy</v>
      </c>
      <c r="E162" s="3" t="s">
        <v>43</v>
      </c>
      <c r="L162" s="219">
        <v>0</v>
      </c>
      <c r="M162" s="219">
        <v>0</v>
      </c>
      <c r="N162" s="219">
        <v>0</v>
      </c>
      <c r="O162" s="219">
        <v>0</v>
      </c>
      <c r="P162" s="223">
        <v>0.67577736759903451</v>
      </c>
      <c r="Q162" s="223">
        <v>0.82858878666898106</v>
      </c>
      <c r="R162" s="223">
        <v>0.8209078229998733</v>
      </c>
      <c r="S162" s="223">
        <v>0.82082055620175531</v>
      </c>
      <c r="T162" s="223">
        <v>0.82034609334032516</v>
      </c>
      <c r="U162" s="223">
        <v>0.82153861955628593</v>
      </c>
      <c r="V162" s="219">
        <v>0</v>
      </c>
      <c r="W162" s="219">
        <v>0</v>
      </c>
      <c r="X162" s="219">
        <v>0</v>
      </c>
      <c r="Y162" s="219">
        <v>0</v>
      </c>
      <c r="Z162" s="219">
        <v>0</v>
      </c>
      <c r="AA162" s="219">
        <v>0</v>
      </c>
      <c r="AB162" s="219">
        <v>0</v>
      </c>
      <c r="AC162" s="219">
        <v>0</v>
      </c>
      <c r="AD162" s="219">
        <v>0</v>
      </c>
      <c r="AE162" s="219">
        <v>0</v>
      </c>
    </row>
    <row r="163" spans="3:31" outlineLevel="1">
      <c r="C163" s="983" t="str">
        <f t="shared" si="17"/>
        <v>Insurance (Redacted)</v>
      </c>
      <c r="E163" s="3" t="s">
        <v>43</v>
      </c>
      <c r="L163" s="219">
        <v>0</v>
      </c>
      <c r="M163" s="219">
        <v>0</v>
      </c>
      <c r="N163" s="219">
        <v>0</v>
      </c>
      <c r="O163" s="219">
        <v>0</v>
      </c>
      <c r="P163" s="223">
        <v>0</v>
      </c>
      <c r="Q163" s="223">
        <v>0</v>
      </c>
      <c r="R163" s="223">
        <v>0</v>
      </c>
      <c r="S163" s="223">
        <v>0</v>
      </c>
      <c r="T163" s="223">
        <v>0</v>
      </c>
      <c r="U163" s="223">
        <v>0</v>
      </c>
      <c r="V163" s="219">
        <v>0</v>
      </c>
      <c r="W163" s="219">
        <v>0</v>
      </c>
      <c r="X163" s="219">
        <v>0</v>
      </c>
      <c r="Y163" s="219">
        <v>0</v>
      </c>
      <c r="Z163" s="219">
        <v>0</v>
      </c>
      <c r="AA163" s="219">
        <v>0</v>
      </c>
      <c r="AB163" s="219">
        <v>0</v>
      </c>
      <c r="AC163" s="219">
        <v>0</v>
      </c>
      <c r="AD163" s="219">
        <v>0</v>
      </c>
      <c r="AE163" s="219">
        <v>0</v>
      </c>
    </row>
    <row r="164" spans="3:31" outlineLevel="1">
      <c r="C164" s="983" t="str">
        <f t="shared" si="17"/>
        <v>Building repairs</v>
      </c>
      <c r="E164" s="3" t="s">
        <v>43</v>
      </c>
      <c r="L164" s="219">
        <v>0</v>
      </c>
      <c r="M164" s="219">
        <v>0</v>
      </c>
      <c r="N164" s="219">
        <v>0</v>
      </c>
      <c r="O164" s="219">
        <v>0</v>
      </c>
      <c r="P164" s="223">
        <v>0.67577736759903451</v>
      </c>
      <c r="Q164" s="223">
        <v>0.82858878666898106</v>
      </c>
      <c r="R164" s="223">
        <v>0.82090782299987319</v>
      </c>
      <c r="S164" s="223">
        <v>0.82082055620175531</v>
      </c>
      <c r="T164" s="223">
        <v>0.82034609334032516</v>
      </c>
      <c r="U164" s="223">
        <v>0.82153861955628593</v>
      </c>
      <c r="V164" s="219">
        <v>0</v>
      </c>
      <c r="W164" s="219">
        <v>0</v>
      </c>
      <c r="X164" s="219">
        <v>0</v>
      </c>
      <c r="Y164" s="219">
        <v>0</v>
      </c>
      <c r="Z164" s="219">
        <v>0</v>
      </c>
      <c r="AA164" s="219">
        <v>0</v>
      </c>
      <c r="AB164" s="219">
        <v>0</v>
      </c>
      <c r="AC164" s="219">
        <v>0</v>
      </c>
      <c r="AD164" s="219">
        <v>0</v>
      </c>
      <c r="AE164" s="219">
        <v>0</v>
      </c>
    </row>
    <row r="165" spans="3:31" outlineLevel="1">
      <c r="C165" s="983" t="str">
        <f t="shared" si="17"/>
        <v>Environmental</v>
      </c>
      <c r="E165" s="3" t="s">
        <v>43</v>
      </c>
      <c r="L165" s="219">
        <v>0</v>
      </c>
      <c r="M165" s="219">
        <v>0</v>
      </c>
      <c r="N165" s="219">
        <v>0</v>
      </c>
      <c r="O165" s="219">
        <v>0</v>
      </c>
      <c r="P165" s="223">
        <v>0.67577736759903451</v>
      </c>
      <c r="Q165" s="223">
        <v>0.82858878666898106</v>
      </c>
      <c r="R165" s="223">
        <v>0.82090782299987319</v>
      </c>
      <c r="S165" s="223">
        <v>0.82082055620175531</v>
      </c>
      <c r="T165" s="223">
        <v>0.82034609334032516</v>
      </c>
      <c r="U165" s="223">
        <v>0.82153861955628593</v>
      </c>
      <c r="V165" s="219">
        <v>0</v>
      </c>
      <c r="W165" s="219">
        <v>0</v>
      </c>
      <c r="X165" s="219">
        <v>0</v>
      </c>
      <c r="Y165" s="219">
        <v>0</v>
      </c>
      <c r="Z165" s="219">
        <v>0</v>
      </c>
      <c r="AA165" s="219">
        <v>0</v>
      </c>
      <c r="AB165" s="219">
        <v>0</v>
      </c>
      <c r="AC165" s="219">
        <v>0</v>
      </c>
      <c r="AD165" s="219">
        <v>0</v>
      </c>
      <c r="AE165" s="219">
        <v>0</v>
      </c>
    </row>
    <row r="166" spans="3:31" outlineLevel="1">
      <c r="C166" s="983" t="str">
        <f t="shared" si="17"/>
        <v>Security (Redacted)</v>
      </c>
      <c r="E166" s="3" t="s">
        <v>43</v>
      </c>
      <c r="L166" s="219">
        <v>0</v>
      </c>
      <c r="M166" s="219">
        <v>0</v>
      </c>
      <c r="N166" s="219">
        <v>0</v>
      </c>
      <c r="O166" s="219">
        <v>0</v>
      </c>
      <c r="P166" s="223">
        <v>0</v>
      </c>
      <c r="Q166" s="223">
        <v>0</v>
      </c>
      <c r="R166" s="223">
        <v>0</v>
      </c>
      <c r="S166" s="223">
        <v>0</v>
      </c>
      <c r="T166" s="223">
        <v>0</v>
      </c>
      <c r="U166" s="223">
        <v>0</v>
      </c>
      <c r="V166" s="219">
        <v>0</v>
      </c>
      <c r="W166" s="219">
        <v>0</v>
      </c>
      <c r="X166" s="219">
        <v>0</v>
      </c>
      <c r="Y166" s="219">
        <v>0</v>
      </c>
      <c r="Z166" s="219">
        <v>0</v>
      </c>
      <c r="AA166" s="219">
        <v>0</v>
      </c>
      <c r="AB166" s="219">
        <v>0</v>
      </c>
      <c r="AC166" s="219">
        <v>0</v>
      </c>
      <c r="AD166" s="219">
        <v>0</v>
      </c>
      <c r="AE166" s="219">
        <v>0</v>
      </c>
    </row>
    <row r="167" spans="3:31" outlineLevel="1">
      <c r="C167" s="983" t="str">
        <f t="shared" si="17"/>
        <v>Professional services</v>
      </c>
      <c r="E167" s="3" t="s">
        <v>43</v>
      </c>
      <c r="L167" s="219">
        <v>0</v>
      </c>
      <c r="M167" s="219">
        <v>0</v>
      </c>
      <c r="N167" s="219">
        <v>0</v>
      </c>
      <c r="O167" s="219">
        <v>0</v>
      </c>
      <c r="P167" s="223">
        <v>0.67577736759903451</v>
      </c>
      <c r="Q167" s="223">
        <v>0.82858878666898106</v>
      </c>
      <c r="R167" s="223">
        <v>0.82090782299987319</v>
      </c>
      <c r="S167" s="223">
        <v>0.82082055620175531</v>
      </c>
      <c r="T167" s="223">
        <v>0.82034609334032516</v>
      </c>
      <c r="U167" s="223">
        <v>0.82153861955628593</v>
      </c>
      <c r="V167" s="219">
        <v>0</v>
      </c>
      <c r="W167" s="219">
        <v>0</v>
      </c>
      <c r="X167" s="219">
        <v>0</v>
      </c>
      <c r="Y167" s="219">
        <v>0</v>
      </c>
      <c r="Z167" s="219">
        <v>0</v>
      </c>
      <c r="AA167" s="219">
        <v>0</v>
      </c>
      <c r="AB167" s="219">
        <v>0</v>
      </c>
      <c r="AC167" s="219">
        <v>0</v>
      </c>
      <c r="AD167" s="219">
        <v>0</v>
      </c>
      <c r="AE167" s="219">
        <v>0</v>
      </c>
    </row>
    <row r="168" spans="3:31" outlineLevel="1">
      <c r="C168" s="983" t="str">
        <f t="shared" si="17"/>
        <v>Cleaning (Redacted)</v>
      </c>
      <c r="E168" s="3" t="s">
        <v>43</v>
      </c>
      <c r="L168" s="219">
        <v>0</v>
      </c>
      <c r="M168" s="219">
        <v>0</v>
      </c>
      <c r="N168" s="219">
        <v>0</v>
      </c>
      <c r="O168" s="219">
        <v>0</v>
      </c>
      <c r="P168" s="223">
        <v>0</v>
      </c>
      <c r="Q168" s="223">
        <v>0</v>
      </c>
      <c r="R168" s="223">
        <v>0</v>
      </c>
      <c r="S168" s="223">
        <v>0</v>
      </c>
      <c r="T168" s="223">
        <v>0</v>
      </c>
      <c r="U168" s="223">
        <v>0</v>
      </c>
      <c r="V168" s="219">
        <v>0</v>
      </c>
      <c r="W168" s="219">
        <v>0</v>
      </c>
      <c r="X168" s="219">
        <v>0</v>
      </c>
      <c r="Y168" s="219">
        <v>0</v>
      </c>
      <c r="Z168" s="219">
        <v>0</v>
      </c>
      <c r="AA168" s="219">
        <v>0</v>
      </c>
      <c r="AB168" s="219">
        <v>0</v>
      </c>
      <c r="AC168" s="219">
        <v>0</v>
      </c>
      <c r="AD168" s="219">
        <v>0</v>
      </c>
      <c r="AE168" s="219">
        <v>0</v>
      </c>
    </row>
    <row r="169" spans="3:31" outlineLevel="1">
      <c r="C169" s="983" t="str">
        <f t="shared" si="17"/>
        <v>IAA Restructuring</v>
      </c>
      <c r="E169" s="3" t="s">
        <v>43</v>
      </c>
      <c r="L169" s="219">
        <v>0</v>
      </c>
      <c r="M169" s="219">
        <v>0</v>
      </c>
      <c r="N169" s="219">
        <v>0</v>
      </c>
      <c r="O169" s="219">
        <v>0</v>
      </c>
      <c r="P169" s="223">
        <v>0.67577736759903451</v>
      </c>
      <c r="Q169" s="223">
        <v>0.82858878666898106</v>
      </c>
      <c r="R169" s="223">
        <v>0.82090782299987319</v>
      </c>
      <c r="S169" s="223">
        <v>0.82082055620175531</v>
      </c>
      <c r="T169" s="223">
        <v>0.82034609334032516</v>
      </c>
      <c r="U169" s="223">
        <v>0.82153861955628593</v>
      </c>
      <c r="V169" s="219">
        <v>0</v>
      </c>
      <c r="W169" s="219">
        <v>0</v>
      </c>
      <c r="X169" s="219">
        <v>0</v>
      </c>
      <c r="Y169" s="219">
        <v>0</v>
      </c>
      <c r="Z169" s="219">
        <v>0</v>
      </c>
      <c r="AA169" s="219">
        <v>0</v>
      </c>
      <c r="AB169" s="219">
        <v>0</v>
      </c>
      <c r="AC169" s="219">
        <v>0</v>
      </c>
      <c r="AD169" s="219">
        <v>0</v>
      </c>
      <c r="AE169" s="219">
        <v>0</v>
      </c>
    </row>
    <row r="170" spans="3:31" outlineLevel="1">
      <c r="C170" s="983" t="str">
        <f t="shared" si="17"/>
        <v>Impairment</v>
      </c>
      <c r="E170" s="3" t="s">
        <v>43</v>
      </c>
      <c r="L170" s="219">
        <v>0</v>
      </c>
      <c r="M170" s="219">
        <v>0</v>
      </c>
      <c r="N170" s="219">
        <v>0</v>
      </c>
      <c r="O170" s="219">
        <v>0</v>
      </c>
      <c r="P170" s="223">
        <v>0.67577736759903451</v>
      </c>
      <c r="Q170" s="223">
        <v>0.82858878666898106</v>
      </c>
      <c r="R170" s="223">
        <v>0.82090782299987319</v>
      </c>
      <c r="S170" s="223">
        <v>0.82082055620175531</v>
      </c>
      <c r="T170" s="223">
        <v>0.82034609334032516</v>
      </c>
      <c r="U170" s="223">
        <v>0.82153861955628593</v>
      </c>
      <c r="V170" s="219">
        <v>0</v>
      </c>
      <c r="W170" s="219">
        <v>0</v>
      </c>
      <c r="X170" s="219">
        <v>0</v>
      </c>
      <c r="Y170" s="219">
        <v>0</v>
      </c>
      <c r="Z170" s="219">
        <v>0</v>
      </c>
      <c r="AA170" s="219">
        <v>0</v>
      </c>
      <c r="AB170" s="219">
        <v>0</v>
      </c>
      <c r="AC170" s="219">
        <v>0</v>
      </c>
      <c r="AD170" s="219">
        <v>0</v>
      </c>
      <c r="AE170" s="219">
        <v>0</v>
      </c>
    </row>
    <row r="171" spans="3:31" outlineLevel="1">
      <c r="C171" s="983" t="str">
        <f t="shared" si="17"/>
        <v>PR</v>
      </c>
      <c r="E171" s="3" t="s">
        <v>43</v>
      </c>
      <c r="L171" s="219">
        <v>0</v>
      </c>
      <c r="M171" s="219">
        <v>0</v>
      </c>
      <c r="N171" s="219">
        <v>0</v>
      </c>
      <c r="O171" s="219">
        <v>0</v>
      </c>
      <c r="P171" s="223">
        <v>0.67577736759903451</v>
      </c>
      <c r="Q171" s="223">
        <v>0.82858878666898106</v>
      </c>
      <c r="R171" s="223">
        <v>0.82090782299987308</v>
      </c>
      <c r="S171" s="223">
        <v>0.82082055620175531</v>
      </c>
      <c r="T171" s="223">
        <v>0.82034609334032516</v>
      </c>
      <c r="U171" s="223">
        <v>0.82153861955628593</v>
      </c>
      <c r="V171" s="219">
        <v>0</v>
      </c>
      <c r="W171" s="219">
        <v>0</v>
      </c>
      <c r="X171" s="219">
        <v>0</v>
      </c>
      <c r="Y171" s="219">
        <v>0</v>
      </c>
      <c r="Z171" s="219">
        <v>0</v>
      </c>
      <c r="AA171" s="219">
        <v>0</v>
      </c>
      <c r="AB171" s="219">
        <v>0</v>
      </c>
      <c r="AC171" s="219">
        <v>0</v>
      </c>
      <c r="AD171" s="219">
        <v>0</v>
      </c>
      <c r="AE171" s="219">
        <v>0</v>
      </c>
    </row>
    <row r="172" spans="3:31" outlineLevel="1">
      <c r="C172" s="983" t="str">
        <f t="shared" si="17"/>
        <v>Staff related</v>
      </c>
      <c r="E172" s="3" t="s">
        <v>43</v>
      </c>
      <c r="L172" s="219">
        <v>0</v>
      </c>
      <c r="M172" s="219">
        <v>0</v>
      </c>
      <c r="N172" s="219">
        <v>0</v>
      </c>
      <c r="O172" s="219">
        <v>0</v>
      </c>
      <c r="P172" s="223">
        <v>0.67577736759903451</v>
      </c>
      <c r="Q172" s="223">
        <v>0.82858878666898106</v>
      </c>
      <c r="R172" s="223">
        <v>0.82090782299987319</v>
      </c>
      <c r="S172" s="223">
        <v>0.82082055620175531</v>
      </c>
      <c r="T172" s="223">
        <v>0.82034609334032516</v>
      </c>
      <c r="U172" s="223">
        <v>0.82153861955628593</v>
      </c>
      <c r="V172" s="219">
        <v>0</v>
      </c>
      <c r="W172" s="219">
        <v>0</v>
      </c>
      <c r="X172" s="219">
        <v>0</v>
      </c>
      <c r="Y172" s="219">
        <v>0</v>
      </c>
      <c r="Z172" s="219">
        <v>0</v>
      </c>
      <c r="AA172" s="219">
        <v>0</v>
      </c>
      <c r="AB172" s="219">
        <v>0</v>
      </c>
      <c r="AC172" s="219">
        <v>0</v>
      </c>
      <c r="AD172" s="219">
        <v>0</v>
      </c>
      <c r="AE172" s="219">
        <v>0</v>
      </c>
    </row>
    <row r="173" spans="3:31" outlineLevel="1">
      <c r="C173" s="983" t="str">
        <f t="shared" si="17"/>
        <v>Other</v>
      </c>
      <c r="E173" s="3" t="s">
        <v>43</v>
      </c>
      <c r="L173" s="219">
        <v>0</v>
      </c>
      <c r="M173" s="219">
        <v>0</v>
      </c>
      <c r="N173" s="219">
        <v>0</v>
      </c>
      <c r="O173" s="219">
        <v>0</v>
      </c>
      <c r="P173" s="223">
        <v>0.67577736759903451</v>
      </c>
      <c r="Q173" s="223">
        <v>0.82858878666898106</v>
      </c>
      <c r="R173" s="223">
        <v>0.82090782299987319</v>
      </c>
      <c r="S173" s="223">
        <v>0.82082055620175531</v>
      </c>
      <c r="T173" s="223">
        <v>0.82034609334032516</v>
      </c>
      <c r="U173" s="223">
        <v>0.82153861955628593</v>
      </c>
      <c r="V173" s="219">
        <v>0</v>
      </c>
      <c r="W173" s="219">
        <v>0</v>
      </c>
      <c r="X173" s="219">
        <v>0</v>
      </c>
      <c r="Y173" s="219">
        <v>0</v>
      </c>
      <c r="Z173" s="219">
        <v>0</v>
      </c>
      <c r="AA173" s="219">
        <v>0</v>
      </c>
      <c r="AB173" s="219">
        <v>0</v>
      </c>
      <c r="AC173" s="219">
        <v>0</v>
      </c>
      <c r="AD173" s="219">
        <v>0</v>
      </c>
      <c r="AE173" s="219">
        <v>0</v>
      </c>
    </row>
    <row r="174" spans="3:31" outlineLevel="1">
      <c r="C174" s="983" t="str">
        <f t="shared" si="17"/>
        <v>Redacted</v>
      </c>
      <c r="E174" s="3" t="s">
        <v>43</v>
      </c>
      <c r="L174" s="219">
        <v>0</v>
      </c>
      <c r="M174" s="219">
        <v>0</v>
      </c>
      <c r="N174" s="219">
        <v>0</v>
      </c>
      <c r="O174" s="219">
        <v>0</v>
      </c>
      <c r="P174" s="223">
        <v>0.79264155293229233</v>
      </c>
      <c r="Q174" s="223">
        <v>0.82752502439318276</v>
      </c>
      <c r="R174" s="223">
        <v>0.82579888892029363</v>
      </c>
      <c r="S174" s="223">
        <v>0.82200123241500733</v>
      </c>
      <c r="T174" s="223">
        <v>0.8197995814779715</v>
      </c>
      <c r="U174" s="223">
        <v>0.82054128340664301</v>
      </c>
      <c r="V174" s="219">
        <v>0</v>
      </c>
      <c r="W174" s="219">
        <v>0</v>
      </c>
      <c r="X174" s="219">
        <v>0</v>
      </c>
      <c r="Y174" s="219">
        <v>0</v>
      </c>
      <c r="Z174" s="219">
        <v>0</v>
      </c>
      <c r="AA174" s="219">
        <v>0</v>
      </c>
      <c r="AB174" s="219">
        <v>0</v>
      </c>
      <c r="AC174" s="219">
        <v>0</v>
      </c>
      <c r="AD174" s="219">
        <v>0</v>
      </c>
      <c r="AE174" s="219">
        <v>0</v>
      </c>
    </row>
    <row r="175" spans="3:31" outlineLevel="1">
      <c r="C175" s="983">
        <f t="shared" si="17"/>
        <v>0</v>
      </c>
      <c r="L175" s="219">
        <v>0</v>
      </c>
      <c r="M175" s="219">
        <v>0</v>
      </c>
      <c r="N175" s="219">
        <v>0</v>
      </c>
      <c r="O175" s="219">
        <v>0</v>
      </c>
      <c r="P175" s="219">
        <v>0</v>
      </c>
      <c r="Q175" s="219">
        <v>0</v>
      </c>
      <c r="R175" s="219">
        <v>0</v>
      </c>
      <c r="S175" s="219">
        <v>0</v>
      </c>
      <c r="T175" s="219">
        <v>0</v>
      </c>
      <c r="U175" s="219">
        <v>0</v>
      </c>
      <c r="V175" s="219">
        <v>0</v>
      </c>
      <c r="W175" s="219">
        <v>0</v>
      </c>
      <c r="X175" s="219">
        <v>0</v>
      </c>
      <c r="Y175" s="219">
        <v>0</v>
      </c>
      <c r="Z175" s="219">
        <v>0</v>
      </c>
      <c r="AA175" s="219">
        <v>0</v>
      </c>
      <c r="AB175" s="219">
        <v>0</v>
      </c>
      <c r="AC175" s="219">
        <v>0</v>
      </c>
      <c r="AD175" s="219">
        <v>0</v>
      </c>
      <c r="AE175" s="219">
        <v>0</v>
      </c>
    </row>
    <row r="176" spans="3:31" outlineLevel="1">
      <c r="C176" s="983">
        <f t="shared" si="17"/>
        <v>0</v>
      </c>
      <c r="L176" s="219">
        <v>0</v>
      </c>
      <c r="M176" s="219">
        <v>0</v>
      </c>
      <c r="N176" s="219">
        <v>0</v>
      </c>
      <c r="O176" s="219">
        <v>0</v>
      </c>
      <c r="P176" s="219">
        <v>0</v>
      </c>
      <c r="Q176" s="219">
        <v>0</v>
      </c>
      <c r="R176" s="219">
        <v>0</v>
      </c>
      <c r="S176" s="219">
        <v>0</v>
      </c>
      <c r="T176" s="219">
        <v>0</v>
      </c>
      <c r="U176" s="219">
        <v>0</v>
      </c>
      <c r="V176" s="219">
        <v>0</v>
      </c>
      <c r="W176" s="219">
        <v>0</v>
      </c>
      <c r="X176" s="219">
        <v>0</v>
      </c>
      <c r="Y176" s="219">
        <v>0</v>
      </c>
      <c r="Z176" s="219">
        <v>0</v>
      </c>
      <c r="AA176" s="219">
        <v>0</v>
      </c>
      <c r="AB176" s="219">
        <v>0</v>
      </c>
      <c r="AC176" s="219">
        <v>0</v>
      </c>
      <c r="AD176" s="219">
        <v>0</v>
      </c>
      <c r="AE176" s="219">
        <v>0</v>
      </c>
    </row>
    <row r="177" spans="2:31" outlineLevel="1">
      <c r="C177" s="983">
        <f t="shared" si="17"/>
        <v>0</v>
      </c>
      <c r="L177" s="219">
        <v>0</v>
      </c>
      <c r="M177" s="219">
        <v>0</v>
      </c>
      <c r="N177" s="219">
        <v>0</v>
      </c>
      <c r="O177" s="219">
        <v>0</v>
      </c>
      <c r="P177" s="219">
        <v>0</v>
      </c>
      <c r="Q177" s="219">
        <v>0</v>
      </c>
      <c r="R177" s="219">
        <v>0</v>
      </c>
      <c r="S177" s="219">
        <v>0</v>
      </c>
      <c r="T177" s="219">
        <v>0</v>
      </c>
      <c r="U177" s="219">
        <v>0</v>
      </c>
      <c r="V177" s="219">
        <v>0</v>
      </c>
      <c r="W177" s="219">
        <v>0</v>
      </c>
      <c r="X177" s="219">
        <v>0</v>
      </c>
      <c r="Y177" s="219">
        <v>0</v>
      </c>
      <c r="Z177" s="219">
        <v>0</v>
      </c>
      <c r="AA177" s="219">
        <v>0</v>
      </c>
      <c r="AB177" s="219">
        <v>0</v>
      </c>
      <c r="AC177" s="219">
        <v>0</v>
      </c>
      <c r="AD177" s="219">
        <v>0</v>
      </c>
      <c r="AE177" s="219">
        <v>0</v>
      </c>
    </row>
    <row r="178" spans="2:31" outlineLevel="1">
      <c r="C178" s="983">
        <f t="shared" si="17"/>
        <v>0</v>
      </c>
      <c r="L178" s="219">
        <v>0</v>
      </c>
      <c r="M178" s="219">
        <v>0</v>
      </c>
      <c r="N178" s="219">
        <v>0</v>
      </c>
      <c r="O178" s="219">
        <v>0</v>
      </c>
      <c r="P178" s="219">
        <v>0</v>
      </c>
      <c r="Q178" s="219">
        <v>0</v>
      </c>
      <c r="R178" s="219">
        <v>0</v>
      </c>
      <c r="S178" s="219">
        <v>0</v>
      </c>
      <c r="T178" s="219">
        <v>0</v>
      </c>
      <c r="U178" s="219">
        <v>0</v>
      </c>
      <c r="V178" s="219">
        <v>0</v>
      </c>
      <c r="W178" s="219">
        <v>0</v>
      </c>
      <c r="X178" s="219">
        <v>0</v>
      </c>
      <c r="Y178" s="219">
        <v>0</v>
      </c>
      <c r="Z178" s="219">
        <v>0</v>
      </c>
      <c r="AA178" s="219">
        <v>0</v>
      </c>
      <c r="AB178" s="219">
        <v>0</v>
      </c>
      <c r="AC178" s="219">
        <v>0</v>
      </c>
      <c r="AD178" s="219">
        <v>0</v>
      </c>
      <c r="AE178" s="219">
        <v>0</v>
      </c>
    </row>
    <row r="179" spans="2:31" outlineLevel="1">
      <c r="C179" s="983">
        <f t="shared" si="17"/>
        <v>0</v>
      </c>
      <c r="L179" s="219">
        <v>0</v>
      </c>
      <c r="M179" s="219">
        <v>0</v>
      </c>
      <c r="N179" s="219">
        <v>0</v>
      </c>
      <c r="O179" s="219">
        <v>0</v>
      </c>
      <c r="P179" s="219">
        <v>0</v>
      </c>
      <c r="Q179" s="219">
        <v>0</v>
      </c>
      <c r="R179" s="219">
        <v>0</v>
      </c>
      <c r="S179" s="219">
        <v>0</v>
      </c>
      <c r="T179" s="219">
        <v>0</v>
      </c>
      <c r="U179" s="219">
        <v>0</v>
      </c>
      <c r="V179" s="219">
        <v>0</v>
      </c>
      <c r="W179" s="219">
        <v>0</v>
      </c>
      <c r="X179" s="219">
        <v>0</v>
      </c>
      <c r="Y179" s="219">
        <v>0</v>
      </c>
      <c r="Z179" s="219">
        <v>0</v>
      </c>
      <c r="AA179" s="219">
        <v>0</v>
      </c>
      <c r="AB179" s="219">
        <v>0</v>
      </c>
      <c r="AC179" s="219">
        <v>0</v>
      </c>
      <c r="AD179" s="219">
        <v>0</v>
      </c>
      <c r="AE179" s="219">
        <v>0</v>
      </c>
    </row>
    <row r="180" spans="2:31" outlineLevel="1">
      <c r="C180" s="983">
        <f t="shared" si="17"/>
        <v>0</v>
      </c>
      <c r="L180" s="219">
        <v>0</v>
      </c>
      <c r="M180" s="219">
        <v>0</v>
      </c>
      <c r="N180" s="219">
        <v>0</v>
      </c>
      <c r="O180" s="219">
        <v>0</v>
      </c>
      <c r="P180" s="219">
        <v>0</v>
      </c>
      <c r="Q180" s="219">
        <v>0</v>
      </c>
      <c r="R180" s="219">
        <v>0</v>
      </c>
      <c r="S180" s="219">
        <v>0</v>
      </c>
      <c r="T180" s="219">
        <v>0</v>
      </c>
      <c r="U180" s="219">
        <v>0</v>
      </c>
      <c r="V180" s="219">
        <v>0</v>
      </c>
      <c r="W180" s="219">
        <v>0</v>
      </c>
      <c r="X180" s="219">
        <v>0</v>
      </c>
      <c r="Y180" s="219">
        <v>0</v>
      </c>
      <c r="Z180" s="219">
        <v>0</v>
      </c>
      <c r="AA180" s="219">
        <v>0</v>
      </c>
      <c r="AB180" s="219">
        <v>0</v>
      </c>
      <c r="AC180" s="219">
        <v>0</v>
      </c>
      <c r="AD180" s="219">
        <v>0</v>
      </c>
      <c r="AE180" s="219">
        <v>0</v>
      </c>
    </row>
    <row r="182" spans="2:31" ht="13.5" thickBot="1">
      <c r="C182" s="6" t="s">
        <v>797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</row>
    <row r="183" spans="2:31">
      <c r="C183" s="3" t="s">
        <v>853</v>
      </c>
      <c r="E183" s="3" t="s">
        <v>29</v>
      </c>
      <c r="L183" s="149"/>
      <c r="M183" s="149"/>
      <c r="N183" s="149"/>
      <c r="O183" s="149"/>
      <c r="P183" s="149"/>
      <c r="Q183" s="149"/>
      <c r="R183" s="149"/>
      <c r="S183" s="149"/>
      <c r="T183" s="149"/>
      <c r="U183" s="149"/>
      <c r="V183" s="149"/>
      <c r="W183" s="38"/>
      <c r="X183" s="38"/>
      <c r="Y183" s="38"/>
      <c r="Z183" s="38"/>
      <c r="AA183" s="38"/>
      <c r="AB183" s="38"/>
      <c r="AC183" s="38"/>
      <c r="AD183" s="38"/>
      <c r="AE183" s="38"/>
    </row>
    <row r="184" spans="2:31">
      <c r="J184" s="148"/>
      <c r="K184" s="148"/>
    </row>
    <row r="185" spans="2:31" ht="13.5" thickBot="1">
      <c r="C185" s="6" t="s">
        <v>815</v>
      </c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</row>
    <row r="186" spans="2:31">
      <c r="C186" s="3" t="s">
        <v>853</v>
      </c>
      <c r="E186" s="3" t="s">
        <v>29</v>
      </c>
      <c r="L186" s="27">
        <f t="shared" ref="L186:AE186" si="18">(SUMPRODUCT(L110:L141,L149:L180)*(L183="")+L183)</f>
        <v>0</v>
      </c>
      <c r="M186" s="27">
        <f t="shared" si="18"/>
        <v>0</v>
      </c>
      <c r="N186" s="27">
        <f t="shared" si="18"/>
        <v>0</v>
      </c>
      <c r="O186" s="27">
        <f t="shared" si="18"/>
        <v>0</v>
      </c>
      <c r="P186" s="27">
        <f t="shared" si="18"/>
        <v>23989</v>
      </c>
      <c r="Q186" s="27">
        <f t="shared" si="18"/>
        <v>22219.904127703208</v>
      </c>
      <c r="R186" s="27">
        <f t="shared" si="18"/>
        <v>23847.194348905974</v>
      </c>
      <c r="S186" s="27">
        <f t="shared" si="18"/>
        <v>26986.398993716659</v>
      </c>
      <c r="T186" s="27">
        <f t="shared" si="18"/>
        <v>28246.303938080644</v>
      </c>
      <c r="U186" s="27">
        <f t="shared" si="18"/>
        <v>28016.991455302767</v>
      </c>
      <c r="V186" s="27">
        <f t="shared" si="18"/>
        <v>0</v>
      </c>
      <c r="W186" s="27">
        <f t="shared" si="18"/>
        <v>0</v>
      </c>
      <c r="X186" s="27">
        <f t="shared" si="18"/>
        <v>0</v>
      </c>
      <c r="Y186" s="27">
        <f t="shared" si="18"/>
        <v>0</v>
      </c>
      <c r="Z186" s="27">
        <f t="shared" si="18"/>
        <v>0</v>
      </c>
      <c r="AA186" s="27">
        <f t="shared" si="18"/>
        <v>0</v>
      </c>
      <c r="AB186" s="27">
        <f t="shared" si="18"/>
        <v>0</v>
      </c>
      <c r="AC186" s="27">
        <f t="shared" si="18"/>
        <v>0</v>
      </c>
      <c r="AD186" s="27">
        <f t="shared" si="18"/>
        <v>0</v>
      </c>
      <c r="AE186" s="27">
        <f t="shared" si="18"/>
        <v>0</v>
      </c>
    </row>
    <row r="187" spans="2:31">
      <c r="C187" s="17"/>
      <c r="D187" s="17"/>
      <c r="E187" s="17"/>
      <c r="F187" s="17"/>
      <c r="G187" s="17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</row>
    <row r="188" spans="2:31">
      <c r="B188" s="152" t="s">
        <v>24</v>
      </c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</row>
    <row r="190" spans="2:31" ht="13.5" thickBot="1">
      <c r="C190" s="7" t="s">
        <v>854</v>
      </c>
      <c r="D190" s="7"/>
      <c r="E190" s="7"/>
      <c r="F190" s="7"/>
      <c r="G190" s="7"/>
      <c r="H190" s="7"/>
      <c r="I190" s="7"/>
      <c r="J190" s="7"/>
      <c r="K190" s="7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</row>
    <row r="191" spans="2:31" outlineLevel="1">
      <c r="C191" s="983" t="str">
        <f t="shared" ref="C191:C222" si="19">C110</f>
        <v>Travel</v>
      </c>
      <c r="E191" s="3" t="s">
        <v>43</v>
      </c>
      <c r="L191" s="219">
        <v>0</v>
      </c>
      <c r="M191" s="219">
        <v>0</v>
      </c>
      <c r="N191" s="219">
        <v>0</v>
      </c>
      <c r="O191" s="219">
        <v>0</v>
      </c>
      <c r="P191" s="1658">
        <v>0.14252339999999997</v>
      </c>
      <c r="Q191" s="1658">
        <v>0.12967580000000001</v>
      </c>
      <c r="R191" s="1658">
        <v>0.16112530000000003</v>
      </c>
      <c r="S191" s="1658">
        <v>0.16082660000000004</v>
      </c>
      <c r="T191" s="1658">
        <v>0.16034760000000003</v>
      </c>
      <c r="U191" s="1658">
        <v>0.16043960000000002</v>
      </c>
      <c r="V191" s="219">
        <v>0</v>
      </c>
      <c r="W191" s="219">
        <v>0</v>
      </c>
      <c r="X191" s="219">
        <v>0</v>
      </c>
      <c r="Y191" s="219">
        <v>0</v>
      </c>
      <c r="Z191" s="219">
        <v>0</v>
      </c>
      <c r="AA191" s="219">
        <v>0</v>
      </c>
      <c r="AB191" s="219">
        <v>0</v>
      </c>
      <c r="AC191" s="219">
        <v>0</v>
      </c>
      <c r="AD191" s="219">
        <v>0</v>
      </c>
      <c r="AE191" s="219">
        <v>0</v>
      </c>
    </row>
    <row r="192" spans="2:31" outlineLevel="1">
      <c r="C192" s="983" t="str">
        <f t="shared" si="19"/>
        <v>Training (Redected)</v>
      </c>
      <c r="E192" s="3" t="s">
        <v>43</v>
      </c>
      <c r="L192" s="219">
        <v>0</v>
      </c>
      <c r="M192" s="219">
        <v>0</v>
      </c>
      <c r="N192" s="219">
        <v>0</v>
      </c>
      <c r="O192" s="219">
        <v>0</v>
      </c>
      <c r="P192" s="219">
        <v>0</v>
      </c>
      <c r="Q192" s="219">
        <v>0</v>
      </c>
      <c r="R192" s="219">
        <v>0</v>
      </c>
      <c r="S192" s="219">
        <v>0</v>
      </c>
      <c r="T192" s="219">
        <v>0</v>
      </c>
      <c r="U192" s="219">
        <v>0</v>
      </c>
      <c r="V192" s="219">
        <v>0</v>
      </c>
      <c r="W192" s="219">
        <v>0</v>
      </c>
      <c r="X192" s="219">
        <v>0</v>
      </c>
      <c r="Y192" s="219">
        <v>0</v>
      </c>
      <c r="Z192" s="219">
        <v>0</v>
      </c>
      <c r="AA192" s="219">
        <v>0</v>
      </c>
      <c r="AB192" s="219">
        <v>0</v>
      </c>
      <c r="AC192" s="219">
        <v>0</v>
      </c>
      <c r="AD192" s="219">
        <v>0</v>
      </c>
      <c r="AE192" s="219">
        <v>0</v>
      </c>
    </row>
    <row r="193" spans="3:31" outlineLevel="1">
      <c r="C193" s="983" t="str">
        <f t="shared" si="19"/>
        <v>Utilities</v>
      </c>
      <c r="E193" s="3" t="s">
        <v>43</v>
      </c>
      <c r="L193" s="219">
        <v>0</v>
      </c>
      <c r="M193" s="219">
        <v>0</v>
      </c>
      <c r="N193" s="219">
        <v>0</v>
      </c>
      <c r="O193" s="219">
        <v>0</v>
      </c>
      <c r="P193" s="1658">
        <v>0.15000000000000002</v>
      </c>
      <c r="Q193" s="1658">
        <v>0.2234043</v>
      </c>
      <c r="R193" s="1658">
        <v>0.23349439999999999</v>
      </c>
      <c r="S193" s="1658">
        <v>0.23149609999999998</v>
      </c>
      <c r="T193" s="1658">
        <v>0.23149609999999998</v>
      </c>
      <c r="U193" s="1658">
        <v>0.23149609999999998</v>
      </c>
      <c r="V193" s="219">
        <v>0</v>
      </c>
      <c r="W193" s="219">
        <v>0</v>
      </c>
      <c r="X193" s="219">
        <v>0</v>
      </c>
      <c r="Y193" s="219">
        <v>0</v>
      </c>
      <c r="Z193" s="219">
        <v>0</v>
      </c>
      <c r="AA193" s="219">
        <v>0</v>
      </c>
      <c r="AB193" s="219">
        <v>0</v>
      </c>
      <c r="AC193" s="219">
        <v>0</v>
      </c>
      <c r="AD193" s="219">
        <v>0</v>
      </c>
      <c r="AE193" s="219">
        <v>0</v>
      </c>
    </row>
    <row r="194" spans="3:31" outlineLevel="1">
      <c r="C194" s="983" t="str">
        <f t="shared" si="19"/>
        <v>Telecoms (Redacted)</v>
      </c>
      <c r="E194" s="3" t="s">
        <v>43</v>
      </c>
      <c r="L194" s="219">
        <v>0</v>
      </c>
      <c r="M194" s="219">
        <v>0</v>
      </c>
      <c r="N194" s="219">
        <v>0</v>
      </c>
      <c r="O194" s="219">
        <v>0</v>
      </c>
      <c r="P194" s="219">
        <v>0</v>
      </c>
      <c r="Q194" s="219">
        <v>0</v>
      </c>
      <c r="R194" s="219">
        <v>0</v>
      </c>
      <c r="S194" s="219">
        <v>0</v>
      </c>
      <c r="T194" s="219">
        <v>0</v>
      </c>
      <c r="U194" s="219">
        <v>0</v>
      </c>
      <c r="V194" s="219">
        <v>0</v>
      </c>
      <c r="W194" s="219">
        <v>0</v>
      </c>
      <c r="X194" s="219">
        <v>0</v>
      </c>
      <c r="Y194" s="219">
        <v>0</v>
      </c>
      <c r="Z194" s="219">
        <v>0</v>
      </c>
      <c r="AA194" s="219">
        <v>0</v>
      </c>
      <c r="AB194" s="219">
        <v>0</v>
      </c>
      <c r="AC194" s="219">
        <v>0</v>
      </c>
      <c r="AD194" s="219">
        <v>0</v>
      </c>
      <c r="AE194" s="219">
        <v>0</v>
      </c>
    </row>
    <row r="195" spans="3:31" outlineLevel="1">
      <c r="C195" s="983" t="str">
        <f t="shared" si="19"/>
        <v>Maintenance</v>
      </c>
      <c r="E195" s="3" t="s">
        <v>43</v>
      </c>
      <c r="L195" s="219">
        <v>0</v>
      </c>
      <c r="M195" s="219">
        <v>0</v>
      </c>
      <c r="N195" s="219">
        <v>0</v>
      </c>
      <c r="O195" s="219">
        <v>0</v>
      </c>
      <c r="P195" s="1658">
        <v>0.19512200000000002</v>
      </c>
      <c r="Q195" s="1658">
        <v>0.20881229999999995</v>
      </c>
      <c r="R195" s="1658">
        <v>0.21747570000000005</v>
      </c>
      <c r="S195" s="1658">
        <v>0.21406369999999997</v>
      </c>
      <c r="T195" s="1658">
        <v>0.21323449999999999</v>
      </c>
      <c r="U195" s="1658">
        <v>0.21339339999999996</v>
      </c>
      <c r="V195" s="219">
        <v>0</v>
      </c>
      <c r="W195" s="219">
        <v>0</v>
      </c>
      <c r="X195" s="219">
        <v>0</v>
      </c>
      <c r="Y195" s="219">
        <v>0</v>
      </c>
      <c r="Z195" s="219">
        <v>0</v>
      </c>
      <c r="AA195" s="219">
        <v>0</v>
      </c>
      <c r="AB195" s="219">
        <v>0</v>
      </c>
      <c r="AC195" s="219">
        <v>0</v>
      </c>
      <c r="AD195" s="219">
        <v>0</v>
      </c>
      <c r="AE195" s="219">
        <v>0</v>
      </c>
    </row>
    <row r="196" spans="3:31" outlineLevel="1">
      <c r="C196" s="983" t="str">
        <f t="shared" si="19"/>
        <v>Spares</v>
      </c>
      <c r="E196" s="3" t="s">
        <v>43</v>
      </c>
      <c r="L196" s="219">
        <v>0</v>
      </c>
      <c r="M196" s="219">
        <v>0</v>
      </c>
      <c r="N196" s="219">
        <v>0</v>
      </c>
      <c r="O196" s="219">
        <v>0</v>
      </c>
      <c r="P196" s="1658">
        <v>0.19512200000000002</v>
      </c>
      <c r="Q196" s="1658">
        <v>0.20881229999999995</v>
      </c>
      <c r="R196" s="1658">
        <v>0.21747570000000005</v>
      </c>
      <c r="S196" s="1658">
        <v>0.21406369999999997</v>
      </c>
      <c r="T196" s="1658">
        <v>0.21323449999999999</v>
      </c>
      <c r="U196" s="1658">
        <v>0.21339339999999996</v>
      </c>
      <c r="V196" s="219">
        <v>0</v>
      </c>
      <c r="W196" s="219">
        <v>0</v>
      </c>
      <c r="X196" s="219">
        <v>0</v>
      </c>
      <c r="Y196" s="219">
        <v>0</v>
      </c>
      <c r="Z196" s="219">
        <v>0</v>
      </c>
      <c r="AA196" s="219">
        <v>0</v>
      </c>
      <c r="AB196" s="219">
        <v>0</v>
      </c>
      <c r="AC196" s="219">
        <v>0</v>
      </c>
      <c r="AD196" s="219">
        <v>0</v>
      </c>
      <c r="AE196" s="219">
        <v>0</v>
      </c>
    </row>
    <row r="197" spans="3:31" outlineLevel="1">
      <c r="C197" s="983" t="str">
        <f t="shared" si="19"/>
        <v>Power</v>
      </c>
      <c r="E197" s="3" t="s">
        <v>43</v>
      </c>
      <c r="L197" s="219">
        <v>0</v>
      </c>
      <c r="M197" s="219">
        <v>0</v>
      </c>
      <c r="N197" s="219">
        <v>0</v>
      </c>
      <c r="O197" s="219">
        <v>0</v>
      </c>
      <c r="P197" s="1658">
        <v>0.19512200000000002</v>
      </c>
      <c r="Q197" s="1658">
        <v>0.20881229999999995</v>
      </c>
      <c r="R197" s="1658">
        <v>0.21747570000000005</v>
      </c>
      <c r="S197" s="1658">
        <v>0.21406369999999997</v>
      </c>
      <c r="T197" s="1658">
        <v>0.21323449999999999</v>
      </c>
      <c r="U197" s="1658">
        <v>0.21339339999999996</v>
      </c>
      <c r="V197" s="219">
        <v>0</v>
      </c>
      <c r="W197" s="219">
        <v>0</v>
      </c>
      <c r="X197" s="219">
        <v>0</v>
      </c>
      <c r="Y197" s="219">
        <v>0</v>
      </c>
      <c r="Z197" s="219">
        <v>0</v>
      </c>
      <c r="AA197" s="219">
        <v>0</v>
      </c>
      <c r="AB197" s="219">
        <v>0</v>
      </c>
      <c r="AC197" s="219">
        <v>0</v>
      </c>
      <c r="AD197" s="219">
        <v>0</v>
      </c>
      <c r="AE197" s="219">
        <v>0</v>
      </c>
    </row>
    <row r="198" spans="3:31" outlineLevel="1">
      <c r="C198" s="983" t="str">
        <f t="shared" si="19"/>
        <v>Flight checking</v>
      </c>
      <c r="E198" s="3" t="s">
        <v>43</v>
      </c>
      <c r="L198" s="219">
        <v>0</v>
      </c>
      <c r="M198" s="219">
        <v>0</v>
      </c>
      <c r="N198" s="219">
        <v>0</v>
      </c>
      <c r="O198" s="219">
        <v>0</v>
      </c>
      <c r="P198" s="219">
        <v>0</v>
      </c>
      <c r="Q198" s="219">
        <v>0</v>
      </c>
      <c r="R198" s="219">
        <v>0</v>
      </c>
      <c r="S198" s="219">
        <v>0</v>
      </c>
      <c r="T198" s="219">
        <v>0</v>
      </c>
      <c r="U198" s="219">
        <v>0</v>
      </c>
      <c r="V198" s="219">
        <v>0</v>
      </c>
      <c r="W198" s="219">
        <v>0</v>
      </c>
      <c r="X198" s="219">
        <v>0</v>
      </c>
      <c r="Y198" s="219">
        <v>0</v>
      </c>
      <c r="Z198" s="219">
        <v>0</v>
      </c>
      <c r="AA198" s="219">
        <v>0</v>
      </c>
      <c r="AB198" s="219">
        <v>0</v>
      </c>
      <c r="AC198" s="219">
        <v>0</v>
      </c>
      <c r="AD198" s="219">
        <v>0</v>
      </c>
      <c r="AE198" s="219">
        <v>0</v>
      </c>
    </row>
    <row r="199" spans="3:31" outlineLevel="1">
      <c r="C199" s="983" t="str">
        <f t="shared" si="19"/>
        <v>Other</v>
      </c>
      <c r="E199" s="3" t="s">
        <v>43</v>
      </c>
      <c r="L199" s="219">
        <v>0</v>
      </c>
      <c r="M199" s="219">
        <v>0</v>
      </c>
      <c r="N199" s="219">
        <v>0</v>
      </c>
      <c r="O199" s="219">
        <v>0</v>
      </c>
      <c r="P199" s="1658">
        <v>0.19512200000000002</v>
      </c>
      <c r="Q199" s="1658">
        <v>0.20881229999999995</v>
      </c>
      <c r="R199" s="1658">
        <v>0.21747570000000005</v>
      </c>
      <c r="S199" s="1658">
        <v>0.21406369999999997</v>
      </c>
      <c r="T199" s="1658">
        <v>0.21323449999999999</v>
      </c>
      <c r="U199" s="1658">
        <v>0.21339339999999996</v>
      </c>
      <c r="V199" s="219">
        <v>0</v>
      </c>
      <c r="W199" s="219">
        <v>0</v>
      </c>
      <c r="X199" s="219">
        <v>0</v>
      </c>
      <c r="Y199" s="219">
        <v>0</v>
      </c>
      <c r="Z199" s="219">
        <v>0</v>
      </c>
      <c r="AA199" s="219">
        <v>0</v>
      </c>
      <c r="AB199" s="219">
        <v>0</v>
      </c>
      <c r="AC199" s="219">
        <v>0</v>
      </c>
      <c r="AD199" s="219">
        <v>0</v>
      </c>
      <c r="AE199" s="219">
        <v>0</v>
      </c>
    </row>
    <row r="200" spans="3:31" outlineLevel="1">
      <c r="C200" s="983" t="str">
        <f t="shared" si="19"/>
        <v>Subscriptions</v>
      </c>
      <c r="E200" s="3" t="s">
        <v>43</v>
      </c>
      <c r="L200" s="219">
        <v>0</v>
      </c>
      <c r="M200" s="219">
        <v>0</v>
      </c>
      <c r="N200" s="219">
        <v>0</v>
      </c>
      <c r="O200" s="219">
        <v>0</v>
      </c>
      <c r="P200" s="1658">
        <v>0.17880790000000002</v>
      </c>
      <c r="Q200" s="1658">
        <v>0.16064259999999997</v>
      </c>
      <c r="R200" s="1658">
        <v>0.17223650000000001</v>
      </c>
      <c r="S200" s="1658">
        <v>0.17232380000000003</v>
      </c>
      <c r="T200" s="1658">
        <v>0.17021280000000005</v>
      </c>
      <c r="U200" s="1658">
        <v>0.17297300000000004</v>
      </c>
      <c r="V200" s="219">
        <v>0</v>
      </c>
      <c r="W200" s="219">
        <v>0</v>
      </c>
      <c r="X200" s="219">
        <v>0</v>
      </c>
      <c r="Y200" s="219">
        <v>0</v>
      </c>
      <c r="Z200" s="219">
        <v>0</v>
      </c>
      <c r="AA200" s="219">
        <v>0</v>
      </c>
      <c r="AB200" s="219">
        <v>0</v>
      </c>
      <c r="AC200" s="219">
        <v>0</v>
      </c>
      <c r="AD200" s="219">
        <v>0</v>
      </c>
      <c r="AE200" s="219">
        <v>0</v>
      </c>
    </row>
    <row r="201" spans="3:31" outlineLevel="1">
      <c r="C201" s="983" t="str">
        <f t="shared" si="19"/>
        <v>Rent and rates</v>
      </c>
      <c r="E201" s="3" t="s">
        <v>43</v>
      </c>
      <c r="L201" s="219">
        <v>0</v>
      </c>
      <c r="M201" s="219">
        <v>0</v>
      </c>
      <c r="N201" s="219">
        <v>0</v>
      </c>
      <c r="O201" s="219">
        <v>0</v>
      </c>
      <c r="P201" s="1658">
        <v>0.32422260000000003</v>
      </c>
      <c r="Q201" s="1658">
        <v>0.17141119999999999</v>
      </c>
      <c r="R201" s="1658">
        <v>0.17909220000000003</v>
      </c>
      <c r="S201" s="1658">
        <v>0.17917939999999999</v>
      </c>
      <c r="T201" s="1658">
        <v>0.17965390000000003</v>
      </c>
      <c r="U201" s="1658">
        <v>0.17846139999999999</v>
      </c>
      <c r="V201" s="219">
        <v>0</v>
      </c>
      <c r="W201" s="219">
        <v>0</v>
      </c>
      <c r="X201" s="219">
        <v>0</v>
      </c>
      <c r="Y201" s="219">
        <v>0</v>
      </c>
      <c r="Z201" s="219">
        <v>0</v>
      </c>
      <c r="AA201" s="219">
        <v>0</v>
      </c>
      <c r="AB201" s="219">
        <v>0</v>
      </c>
      <c r="AC201" s="219">
        <v>0</v>
      </c>
      <c r="AD201" s="219">
        <v>0</v>
      </c>
      <c r="AE201" s="219">
        <v>0</v>
      </c>
    </row>
    <row r="202" spans="3:31" outlineLevel="1">
      <c r="C202" s="983" t="str">
        <f t="shared" si="19"/>
        <v>Computing</v>
      </c>
      <c r="E202" s="3" t="s">
        <v>43</v>
      </c>
      <c r="L202" s="219">
        <v>0</v>
      </c>
      <c r="M202" s="219">
        <v>0</v>
      </c>
      <c r="N202" s="219">
        <v>0</v>
      </c>
      <c r="O202" s="219">
        <v>0</v>
      </c>
      <c r="P202" s="1658">
        <v>0.32422260000000003</v>
      </c>
      <c r="Q202" s="1658">
        <v>0.17141119999999999</v>
      </c>
      <c r="R202" s="1658">
        <v>0.17909220000000003</v>
      </c>
      <c r="S202" s="1658">
        <v>0.17917939999999999</v>
      </c>
      <c r="T202" s="1658">
        <v>0.17965390000000003</v>
      </c>
      <c r="U202" s="1658">
        <v>0.17846139999999999</v>
      </c>
      <c r="V202" s="219">
        <v>0</v>
      </c>
      <c r="W202" s="219">
        <v>0</v>
      </c>
      <c r="X202" s="219">
        <v>0</v>
      </c>
      <c r="Y202" s="219">
        <v>0</v>
      </c>
      <c r="Z202" s="219">
        <v>0</v>
      </c>
      <c r="AA202" s="219">
        <v>0</v>
      </c>
      <c r="AB202" s="219">
        <v>0</v>
      </c>
      <c r="AC202" s="219">
        <v>0</v>
      </c>
      <c r="AD202" s="219">
        <v>0</v>
      </c>
      <c r="AE202" s="219">
        <v>0</v>
      </c>
    </row>
    <row r="203" spans="3:31" outlineLevel="1">
      <c r="C203" s="983" t="str">
        <f t="shared" si="19"/>
        <v>NIS</v>
      </c>
      <c r="E203" s="3" t="s">
        <v>43</v>
      </c>
      <c r="L203" s="219">
        <v>0</v>
      </c>
      <c r="M203" s="219">
        <v>0</v>
      </c>
      <c r="N203" s="219">
        <v>0</v>
      </c>
      <c r="O203" s="219">
        <v>0</v>
      </c>
      <c r="P203" s="1658">
        <v>0.32422260000000003</v>
      </c>
      <c r="Q203" s="1658">
        <v>0.17141119999999999</v>
      </c>
      <c r="R203" s="1658">
        <v>0.17909220000000003</v>
      </c>
      <c r="S203" s="1658">
        <v>0.17917939999999999</v>
      </c>
      <c r="T203" s="1658">
        <v>0.17965390000000003</v>
      </c>
      <c r="U203" s="1658">
        <v>0.17846139999999999</v>
      </c>
      <c r="V203" s="219">
        <v>0</v>
      </c>
      <c r="W203" s="219">
        <v>0</v>
      </c>
      <c r="X203" s="219">
        <v>0</v>
      </c>
      <c r="Y203" s="219">
        <v>0</v>
      </c>
      <c r="Z203" s="219">
        <v>0</v>
      </c>
      <c r="AA203" s="219">
        <v>0</v>
      </c>
      <c r="AB203" s="219">
        <v>0</v>
      </c>
      <c r="AC203" s="219">
        <v>0</v>
      </c>
      <c r="AD203" s="219">
        <v>0</v>
      </c>
      <c r="AE203" s="219">
        <v>0</v>
      </c>
    </row>
    <row r="204" spans="3:31" outlineLevel="1">
      <c r="C204" s="983" t="str">
        <f t="shared" si="19"/>
        <v>Consultancy</v>
      </c>
      <c r="E204" s="3" t="s">
        <v>43</v>
      </c>
      <c r="L204" s="219">
        <v>0</v>
      </c>
      <c r="M204" s="219">
        <v>0</v>
      </c>
      <c r="N204" s="219">
        <v>0</v>
      </c>
      <c r="O204" s="219">
        <v>0</v>
      </c>
      <c r="P204" s="1658">
        <v>0.32422260000000003</v>
      </c>
      <c r="Q204" s="1658">
        <v>0.17141119999999999</v>
      </c>
      <c r="R204" s="1658">
        <v>0.17909220000000003</v>
      </c>
      <c r="S204" s="1658">
        <v>0.17917939999999999</v>
      </c>
      <c r="T204" s="1658">
        <v>0.17965390000000003</v>
      </c>
      <c r="U204" s="1658">
        <v>0.17846139999999999</v>
      </c>
      <c r="V204" s="219">
        <v>0</v>
      </c>
      <c r="W204" s="219">
        <v>0</v>
      </c>
      <c r="X204" s="219">
        <v>0</v>
      </c>
      <c r="Y204" s="219">
        <v>0</v>
      </c>
      <c r="Z204" s="219">
        <v>0</v>
      </c>
      <c r="AA204" s="219">
        <v>0</v>
      </c>
      <c r="AB204" s="219">
        <v>0</v>
      </c>
      <c r="AC204" s="219">
        <v>0</v>
      </c>
      <c r="AD204" s="219">
        <v>0</v>
      </c>
      <c r="AE204" s="219">
        <v>0</v>
      </c>
    </row>
    <row r="205" spans="3:31" outlineLevel="1">
      <c r="C205" s="983" t="str">
        <f t="shared" si="19"/>
        <v>Insurance (Redacted)</v>
      </c>
      <c r="E205" s="3" t="s">
        <v>43</v>
      </c>
      <c r="L205" s="219">
        <v>0</v>
      </c>
      <c r="M205" s="219">
        <v>0</v>
      </c>
      <c r="N205" s="219">
        <v>0</v>
      </c>
      <c r="O205" s="219">
        <v>0</v>
      </c>
      <c r="P205" s="219">
        <v>0</v>
      </c>
      <c r="Q205" s="219">
        <v>0</v>
      </c>
      <c r="R205" s="219">
        <v>0</v>
      </c>
      <c r="S205" s="219">
        <v>0</v>
      </c>
      <c r="T205" s="219">
        <v>0</v>
      </c>
      <c r="U205" s="219">
        <v>0</v>
      </c>
      <c r="V205" s="219">
        <v>0</v>
      </c>
      <c r="W205" s="219">
        <v>0</v>
      </c>
      <c r="X205" s="219">
        <v>0</v>
      </c>
      <c r="Y205" s="219">
        <v>0</v>
      </c>
      <c r="Z205" s="219">
        <v>0</v>
      </c>
      <c r="AA205" s="219">
        <v>0</v>
      </c>
      <c r="AB205" s="219">
        <v>0</v>
      </c>
      <c r="AC205" s="219">
        <v>0</v>
      </c>
      <c r="AD205" s="219">
        <v>0</v>
      </c>
      <c r="AE205" s="219">
        <v>0</v>
      </c>
    </row>
    <row r="206" spans="3:31" outlineLevel="1">
      <c r="C206" s="983" t="str">
        <f t="shared" si="19"/>
        <v>Building repairs</v>
      </c>
      <c r="E206" s="3" t="s">
        <v>43</v>
      </c>
      <c r="L206" s="219">
        <v>0</v>
      </c>
      <c r="M206" s="219">
        <v>0</v>
      </c>
      <c r="N206" s="219">
        <v>0</v>
      </c>
      <c r="O206" s="219">
        <v>0</v>
      </c>
      <c r="P206" s="1658">
        <v>0.32422260000000003</v>
      </c>
      <c r="Q206" s="1658">
        <v>0.17141119999999999</v>
      </c>
      <c r="R206" s="1658">
        <v>0.17909220000000003</v>
      </c>
      <c r="S206" s="1658">
        <v>0.17917939999999999</v>
      </c>
      <c r="T206" s="1658">
        <v>0.17965390000000003</v>
      </c>
      <c r="U206" s="1658">
        <v>0.17846139999999999</v>
      </c>
      <c r="V206" s="219">
        <v>0</v>
      </c>
      <c r="W206" s="219">
        <v>0</v>
      </c>
      <c r="X206" s="219">
        <v>0</v>
      </c>
      <c r="Y206" s="219">
        <v>0</v>
      </c>
      <c r="Z206" s="219">
        <v>0</v>
      </c>
      <c r="AA206" s="219">
        <v>0</v>
      </c>
      <c r="AB206" s="219">
        <v>0</v>
      </c>
      <c r="AC206" s="219">
        <v>0</v>
      </c>
      <c r="AD206" s="219">
        <v>0</v>
      </c>
      <c r="AE206" s="219">
        <v>0</v>
      </c>
    </row>
    <row r="207" spans="3:31" outlineLevel="1">
      <c r="C207" s="983" t="str">
        <f t="shared" si="19"/>
        <v>Environmental</v>
      </c>
      <c r="E207" s="3" t="s">
        <v>43</v>
      </c>
      <c r="L207" s="219">
        <v>0</v>
      </c>
      <c r="M207" s="219">
        <v>0</v>
      </c>
      <c r="N207" s="219">
        <v>0</v>
      </c>
      <c r="O207" s="219">
        <v>0</v>
      </c>
      <c r="P207" s="1658">
        <v>0.32422260000000003</v>
      </c>
      <c r="Q207" s="1658">
        <v>0.17141119999999999</v>
      </c>
      <c r="R207" s="1658">
        <v>0.17909220000000003</v>
      </c>
      <c r="S207" s="1658">
        <v>0.17917939999999999</v>
      </c>
      <c r="T207" s="1658">
        <v>0.17965390000000003</v>
      </c>
      <c r="U207" s="1658">
        <v>0.17846139999999999</v>
      </c>
      <c r="V207" s="219">
        <v>0</v>
      </c>
      <c r="W207" s="219">
        <v>0</v>
      </c>
      <c r="X207" s="219">
        <v>0</v>
      </c>
      <c r="Y207" s="219">
        <v>0</v>
      </c>
      <c r="Z207" s="219">
        <v>0</v>
      </c>
      <c r="AA207" s="219">
        <v>0</v>
      </c>
      <c r="AB207" s="219">
        <v>0</v>
      </c>
      <c r="AC207" s="219">
        <v>0</v>
      </c>
      <c r="AD207" s="219">
        <v>0</v>
      </c>
      <c r="AE207" s="219">
        <v>0</v>
      </c>
    </row>
    <row r="208" spans="3:31" outlineLevel="1">
      <c r="C208" s="983" t="str">
        <f t="shared" si="19"/>
        <v>Security (Redacted)</v>
      </c>
      <c r="E208" s="3" t="s">
        <v>43</v>
      </c>
      <c r="L208" s="219">
        <v>0</v>
      </c>
      <c r="M208" s="219">
        <v>0</v>
      </c>
      <c r="N208" s="219">
        <v>0</v>
      </c>
      <c r="O208" s="219">
        <v>0</v>
      </c>
      <c r="P208" s="219">
        <v>0</v>
      </c>
      <c r="Q208" s="219">
        <v>0</v>
      </c>
      <c r="R208" s="219">
        <v>0</v>
      </c>
      <c r="S208" s="219">
        <v>0</v>
      </c>
      <c r="T208" s="219">
        <v>0</v>
      </c>
      <c r="U208" s="219">
        <v>0</v>
      </c>
      <c r="V208" s="219">
        <v>0</v>
      </c>
      <c r="W208" s="219">
        <v>0</v>
      </c>
      <c r="X208" s="219">
        <v>0</v>
      </c>
      <c r="Y208" s="219">
        <v>0</v>
      </c>
      <c r="Z208" s="219">
        <v>0</v>
      </c>
      <c r="AA208" s="219">
        <v>0</v>
      </c>
      <c r="AB208" s="219">
        <v>0</v>
      </c>
      <c r="AC208" s="219">
        <v>0</v>
      </c>
      <c r="AD208" s="219">
        <v>0</v>
      </c>
      <c r="AE208" s="219">
        <v>0</v>
      </c>
    </row>
    <row r="209" spans="3:31" outlineLevel="1">
      <c r="C209" s="983" t="str">
        <f t="shared" si="19"/>
        <v>Professional services</v>
      </c>
      <c r="E209" s="3" t="s">
        <v>43</v>
      </c>
      <c r="L209" s="219">
        <v>0</v>
      </c>
      <c r="M209" s="219">
        <v>0</v>
      </c>
      <c r="N209" s="219">
        <v>0</v>
      </c>
      <c r="O209" s="219">
        <v>0</v>
      </c>
      <c r="P209" s="1658">
        <v>0.32422260000000003</v>
      </c>
      <c r="Q209" s="1658">
        <v>0.17141119999999999</v>
      </c>
      <c r="R209" s="1658">
        <v>0.17909220000000003</v>
      </c>
      <c r="S209" s="1658">
        <v>0.17917939999999999</v>
      </c>
      <c r="T209" s="1658">
        <v>0.17965390000000003</v>
      </c>
      <c r="U209" s="1658">
        <v>0.17846139999999999</v>
      </c>
      <c r="V209" s="219">
        <v>0</v>
      </c>
      <c r="W209" s="219">
        <v>0</v>
      </c>
      <c r="X209" s="219">
        <v>0</v>
      </c>
      <c r="Y209" s="219">
        <v>0</v>
      </c>
      <c r="Z209" s="219">
        <v>0</v>
      </c>
      <c r="AA209" s="219">
        <v>0</v>
      </c>
      <c r="AB209" s="219">
        <v>0</v>
      </c>
      <c r="AC209" s="219">
        <v>0</v>
      </c>
      <c r="AD209" s="219">
        <v>0</v>
      </c>
      <c r="AE209" s="219">
        <v>0</v>
      </c>
    </row>
    <row r="210" spans="3:31" outlineLevel="1">
      <c r="C210" s="983" t="str">
        <f t="shared" si="19"/>
        <v>Cleaning (Redacted)</v>
      </c>
      <c r="E210" s="3" t="s">
        <v>43</v>
      </c>
      <c r="L210" s="219">
        <v>0</v>
      </c>
      <c r="M210" s="219">
        <v>0</v>
      </c>
      <c r="N210" s="219">
        <v>0</v>
      </c>
      <c r="O210" s="219">
        <v>0</v>
      </c>
      <c r="P210" s="219">
        <v>0</v>
      </c>
      <c r="Q210" s="219">
        <v>0</v>
      </c>
      <c r="R210" s="219">
        <v>0</v>
      </c>
      <c r="S210" s="219">
        <v>0</v>
      </c>
      <c r="T210" s="219">
        <v>0</v>
      </c>
      <c r="U210" s="219">
        <v>0</v>
      </c>
      <c r="V210" s="219">
        <v>0</v>
      </c>
      <c r="W210" s="219">
        <v>0</v>
      </c>
      <c r="X210" s="219">
        <v>0</v>
      </c>
      <c r="Y210" s="219">
        <v>0</v>
      </c>
      <c r="Z210" s="219">
        <v>0</v>
      </c>
      <c r="AA210" s="219">
        <v>0</v>
      </c>
      <c r="AB210" s="219">
        <v>0</v>
      </c>
      <c r="AC210" s="219">
        <v>0</v>
      </c>
      <c r="AD210" s="219">
        <v>0</v>
      </c>
      <c r="AE210" s="219">
        <v>0</v>
      </c>
    </row>
    <row r="211" spans="3:31" outlineLevel="1">
      <c r="C211" s="983" t="str">
        <f t="shared" si="19"/>
        <v>IAA Restructuring</v>
      </c>
      <c r="E211" s="3" t="s">
        <v>43</v>
      </c>
      <c r="L211" s="219">
        <v>0</v>
      </c>
      <c r="M211" s="219">
        <v>0</v>
      </c>
      <c r="N211" s="219">
        <v>0</v>
      </c>
      <c r="O211" s="219">
        <v>0</v>
      </c>
      <c r="P211" s="1658">
        <v>0.32422260000000003</v>
      </c>
      <c r="Q211" s="1658">
        <v>0.17141119999999999</v>
      </c>
      <c r="R211" s="1658">
        <v>0.17909220000000003</v>
      </c>
      <c r="S211" s="1658">
        <v>0.17917939999999999</v>
      </c>
      <c r="T211" s="1658">
        <v>0.17965390000000003</v>
      </c>
      <c r="U211" s="1658">
        <v>0.17846139999999999</v>
      </c>
      <c r="V211" s="219">
        <v>0</v>
      </c>
      <c r="W211" s="219">
        <v>0</v>
      </c>
      <c r="X211" s="219">
        <v>0</v>
      </c>
      <c r="Y211" s="219">
        <v>0</v>
      </c>
      <c r="Z211" s="219">
        <v>0</v>
      </c>
      <c r="AA211" s="219">
        <v>0</v>
      </c>
      <c r="AB211" s="219">
        <v>0</v>
      </c>
      <c r="AC211" s="219">
        <v>0</v>
      </c>
      <c r="AD211" s="219">
        <v>0</v>
      </c>
      <c r="AE211" s="219">
        <v>0</v>
      </c>
    </row>
    <row r="212" spans="3:31" outlineLevel="1">
      <c r="C212" s="983" t="str">
        <f t="shared" si="19"/>
        <v>Impairment</v>
      </c>
      <c r="E212" s="3" t="s">
        <v>43</v>
      </c>
      <c r="L212" s="219">
        <v>0</v>
      </c>
      <c r="M212" s="219">
        <v>0</v>
      </c>
      <c r="N212" s="219">
        <v>0</v>
      </c>
      <c r="O212" s="219">
        <v>0</v>
      </c>
      <c r="P212" s="1658">
        <v>0.32422260000000003</v>
      </c>
      <c r="Q212" s="1658">
        <v>0.17141119999999999</v>
      </c>
      <c r="R212" s="1658">
        <v>0.17909220000000003</v>
      </c>
      <c r="S212" s="1658">
        <v>0.17917939999999999</v>
      </c>
      <c r="T212" s="1658">
        <v>0.17965390000000003</v>
      </c>
      <c r="U212" s="1658">
        <v>0.17846139999999999</v>
      </c>
      <c r="V212" s="219">
        <v>0</v>
      </c>
      <c r="W212" s="219">
        <v>0</v>
      </c>
      <c r="X212" s="219">
        <v>0</v>
      </c>
      <c r="Y212" s="219">
        <v>0</v>
      </c>
      <c r="Z212" s="219">
        <v>0</v>
      </c>
      <c r="AA212" s="219">
        <v>0</v>
      </c>
      <c r="AB212" s="219">
        <v>0</v>
      </c>
      <c r="AC212" s="219">
        <v>0</v>
      </c>
      <c r="AD212" s="219">
        <v>0</v>
      </c>
      <c r="AE212" s="219">
        <v>0</v>
      </c>
    </row>
    <row r="213" spans="3:31" outlineLevel="1">
      <c r="C213" s="983" t="str">
        <f t="shared" si="19"/>
        <v>PR</v>
      </c>
      <c r="E213" s="3" t="s">
        <v>43</v>
      </c>
      <c r="L213" s="219">
        <v>0</v>
      </c>
      <c r="M213" s="219">
        <v>0</v>
      </c>
      <c r="N213" s="219">
        <v>0</v>
      </c>
      <c r="O213" s="219">
        <v>0</v>
      </c>
      <c r="P213" s="1658">
        <v>0.32422260000000003</v>
      </c>
      <c r="Q213" s="1658">
        <v>0.17141119999999999</v>
      </c>
      <c r="R213" s="1658">
        <v>0.17909220000000003</v>
      </c>
      <c r="S213" s="1658">
        <v>0.17917939999999999</v>
      </c>
      <c r="T213" s="1658">
        <v>0.17965390000000003</v>
      </c>
      <c r="U213" s="1658">
        <v>0.17846139999999999</v>
      </c>
      <c r="V213" s="219">
        <v>0</v>
      </c>
      <c r="W213" s="219">
        <v>0</v>
      </c>
      <c r="X213" s="219">
        <v>0</v>
      </c>
      <c r="Y213" s="219">
        <v>0</v>
      </c>
      <c r="Z213" s="219">
        <v>0</v>
      </c>
      <c r="AA213" s="219">
        <v>0</v>
      </c>
      <c r="AB213" s="219">
        <v>0</v>
      </c>
      <c r="AC213" s="219">
        <v>0</v>
      </c>
      <c r="AD213" s="219">
        <v>0</v>
      </c>
      <c r="AE213" s="219">
        <v>0</v>
      </c>
    </row>
    <row r="214" spans="3:31" outlineLevel="1">
      <c r="C214" s="983" t="str">
        <f t="shared" si="19"/>
        <v>Staff related</v>
      </c>
      <c r="E214" s="3" t="s">
        <v>43</v>
      </c>
      <c r="L214" s="219">
        <v>0</v>
      </c>
      <c r="M214" s="219">
        <v>0</v>
      </c>
      <c r="N214" s="219">
        <v>0</v>
      </c>
      <c r="O214" s="219">
        <v>0</v>
      </c>
      <c r="P214" s="1658">
        <v>0.32422260000000003</v>
      </c>
      <c r="Q214" s="1658">
        <v>0.17141119999999999</v>
      </c>
      <c r="R214" s="1658">
        <v>0.17909220000000003</v>
      </c>
      <c r="S214" s="1658">
        <v>0.17917939999999999</v>
      </c>
      <c r="T214" s="1658">
        <v>0.17965390000000003</v>
      </c>
      <c r="U214" s="1658">
        <v>0.17846139999999999</v>
      </c>
      <c r="V214" s="219">
        <v>0</v>
      </c>
      <c r="W214" s="219">
        <v>0</v>
      </c>
      <c r="X214" s="219">
        <v>0</v>
      </c>
      <c r="Y214" s="219">
        <v>0</v>
      </c>
      <c r="Z214" s="219">
        <v>0</v>
      </c>
      <c r="AA214" s="219">
        <v>0</v>
      </c>
      <c r="AB214" s="219">
        <v>0</v>
      </c>
      <c r="AC214" s="219">
        <v>0</v>
      </c>
      <c r="AD214" s="219">
        <v>0</v>
      </c>
      <c r="AE214" s="219">
        <v>0</v>
      </c>
    </row>
    <row r="215" spans="3:31" outlineLevel="1">
      <c r="C215" s="983" t="str">
        <f t="shared" si="19"/>
        <v>Other</v>
      </c>
      <c r="E215" s="3" t="s">
        <v>43</v>
      </c>
      <c r="L215" s="219"/>
      <c r="M215" s="219"/>
      <c r="N215" s="219"/>
      <c r="O215" s="219"/>
      <c r="P215" s="1658">
        <v>0.32422260000000003</v>
      </c>
      <c r="Q215" s="1658">
        <v>0.17141119999999999</v>
      </c>
      <c r="R215" s="1658">
        <v>0.17909220000000003</v>
      </c>
      <c r="S215" s="1658">
        <v>0.17917939999999999</v>
      </c>
      <c r="T215" s="1658">
        <v>0.17965390000000003</v>
      </c>
      <c r="U215" s="1658">
        <v>0.17846139999999999</v>
      </c>
      <c r="V215" s="219"/>
      <c r="W215" s="219"/>
      <c r="X215" s="219"/>
      <c r="Y215" s="219"/>
      <c r="Z215" s="219"/>
      <c r="AA215" s="219"/>
      <c r="AB215" s="219"/>
      <c r="AC215" s="219"/>
      <c r="AD215" s="219"/>
      <c r="AE215" s="219"/>
    </row>
    <row r="216" spans="3:31" outlineLevel="1">
      <c r="C216" s="983" t="str">
        <f t="shared" si="19"/>
        <v>Redacted</v>
      </c>
      <c r="E216" s="3" t="s">
        <v>43</v>
      </c>
      <c r="L216" s="219"/>
      <c r="M216" s="219"/>
      <c r="N216" s="219"/>
      <c r="O216" s="219"/>
      <c r="P216" s="1658">
        <v>0.20735840000000005</v>
      </c>
      <c r="Q216" s="1658">
        <v>0.17247500000000004</v>
      </c>
      <c r="R216" s="1658">
        <v>0.1742011</v>
      </c>
      <c r="S216" s="1658">
        <v>0.17681899999999995</v>
      </c>
      <c r="T216" s="1658">
        <v>0.17902709999999999</v>
      </c>
      <c r="U216" s="1658">
        <v>0.17925489999999999</v>
      </c>
      <c r="V216" s="219"/>
      <c r="W216" s="219"/>
      <c r="X216" s="219"/>
      <c r="Y216" s="219"/>
      <c r="Z216" s="219"/>
      <c r="AA216" s="219"/>
      <c r="AB216" s="219"/>
      <c r="AC216" s="219"/>
      <c r="AD216" s="219"/>
      <c r="AE216" s="219"/>
    </row>
    <row r="217" spans="3:31" outlineLevel="1">
      <c r="C217" s="983">
        <f t="shared" si="19"/>
        <v>0</v>
      </c>
      <c r="L217" s="219"/>
      <c r="M217" s="219"/>
      <c r="N217" s="219"/>
      <c r="O217" s="219"/>
      <c r="P217" s="223"/>
      <c r="Q217" s="223"/>
      <c r="R217" s="223"/>
      <c r="S217" s="223"/>
      <c r="T217" s="223"/>
      <c r="U217" s="223"/>
      <c r="V217" s="219"/>
      <c r="W217" s="219"/>
      <c r="X217" s="219"/>
      <c r="Y217" s="219"/>
      <c r="Z217" s="219"/>
      <c r="AA217" s="219"/>
      <c r="AB217" s="219"/>
      <c r="AC217" s="219"/>
      <c r="AD217" s="219"/>
      <c r="AE217" s="219"/>
    </row>
    <row r="218" spans="3:31" outlineLevel="1">
      <c r="C218" s="983">
        <f t="shared" si="19"/>
        <v>0</v>
      </c>
      <c r="L218" s="219"/>
      <c r="M218" s="219"/>
      <c r="N218" s="219"/>
      <c r="O218" s="219"/>
      <c r="P218" s="223"/>
      <c r="Q218" s="223"/>
      <c r="R218" s="223"/>
      <c r="S218" s="223"/>
      <c r="T218" s="223"/>
      <c r="U218" s="223"/>
      <c r="V218" s="219"/>
      <c r="W218" s="219"/>
      <c r="X218" s="219"/>
      <c r="Y218" s="219"/>
      <c r="Z218" s="219"/>
      <c r="AA218" s="219"/>
      <c r="AB218" s="219"/>
      <c r="AC218" s="219"/>
      <c r="AD218" s="219"/>
      <c r="AE218" s="219"/>
    </row>
    <row r="219" spans="3:31" outlineLevel="1">
      <c r="C219" s="983">
        <f t="shared" si="19"/>
        <v>0</v>
      </c>
      <c r="L219" s="219"/>
      <c r="M219" s="219"/>
      <c r="N219" s="219"/>
      <c r="O219" s="219"/>
      <c r="P219" s="223"/>
      <c r="Q219" s="223"/>
      <c r="R219" s="223"/>
      <c r="S219" s="223"/>
      <c r="T219" s="223"/>
      <c r="U219" s="223"/>
      <c r="V219" s="219"/>
      <c r="W219" s="219"/>
      <c r="X219" s="219"/>
      <c r="Y219" s="219"/>
      <c r="Z219" s="219"/>
      <c r="AA219" s="219"/>
      <c r="AB219" s="219"/>
      <c r="AC219" s="219"/>
      <c r="AD219" s="219"/>
      <c r="AE219" s="219"/>
    </row>
    <row r="220" spans="3:31" outlineLevel="1">
      <c r="C220" s="983">
        <f t="shared" si="19"/>
        <v>0</v>
      </c>
      <c r="L220" s="219"/>
      <c r="M220" s="219"/>
      <c r="N220" s="219"/>
      <c r="O220" s="219"/>
      <c r="P220" s="223"/>
      <c r="Q220" s="223"/>
      <c r="R220" s="223"/>
      <c r="S220" s="223"/>
      <c r="T220" s="223"/>
      <c r="U220" s="223"/>
      <c r="V220" s="219"/>
      <c r="W220" s="219"/>
      <c r="X220" s="219"/>
      <c r="Y220" s="219"/>
      <c r="Z220" s="219"/>
      <c r="AA220" s="219"/>
      <c r="AB220" s="219"/>
      <c r="AC220" s="219"/>
      <c r="AD220" s="219"/>
      <c r="AE220" s="219"/>
    </row>
    <row r="221" spans="3:31" outlineLevel="1">
      <c r="C221" s="983">
        <f t="shared" si="19"/>
        <v>0</v>
      </c>
      <c r="L221" s="219"/>
      <c r="M221" s="219"/>
      <c r="N221" s="219"/>
      <c r="O221" s="219"/>
      <c r="P221" s="223"/>
      <c r="Q221" s="223"/>
      <c r="R221" s="223"/>
      <c r="S221" s="223"/>
      <c r="T221" s="223"/>
      <c r="U221" s="223"/>
      <c r="V221" s="219"/>
      <c r="W221" s="219"/>
      <c r="X221" s="219"/>
      <c r="Y221" s="219"/>
      <c r="Z221" s="219"/>
      <c r="AA221" s="219"/>
      <c r="AB221" s="219"/>
      <c r="AC221" s="219"/>
      <c r="AD221" s="219"/>
      <c r="AE221" s="219"/>
    </row>
    <row r="222" spans="3:31" outlineLevel="1">
      <c r="C222" s="983">
        <f t="shared" si="19"/>
        <v>0</v>
      </c>
      <c r="L222" s="219">
        <v>0</v>
      </c>
      <c r="M222" s="219">
        <v>0</v>
      </c>
      <c r="N222" s="219">
        <v>0</v>
      </c>
      <c r="O222" s="219">
        <v>0</v>
      </c>
      <c r="P222" s="223"/>
      <c r="Q222" s="223"/>
      <c r="R222" s="223"/>
      <c r="S222" s="223"/>
      <c r="T222" s="223"/>
      <c r="U222" s="223"/>
      <c r="V222" s="219">
        <v>0</v>
      </c>
      <c r="W222" s="219">
        <v>0</v>
      </c>
      <c r="X222" s="219">
        <v>0</v>
      </c>
      <c r="Y222" s="219">
        <v>0</v>
      </c>
      <c r="Z222" s="219">
        <v>0</v>
      </c>
      <c r="AA222" s="219">
        <v>0</v>
      </c>
      <c r="AB222" s="219">
        <v>0</v>
      </c>
      <c r="AC222" s="219">
        <v>0</v>
      </c>
      <c r="AD222" s="219">
        <v>0</v>
      </c>
      <c r="AE222" s="219">
        <v>0</v>
      </c>
    </row>
    <row r="224" spans="3:31" ht="13.5" thickBot="1">
      <c r="C224" s="6" t="s">
        <v>797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</row>
    <row r="225" spans="2:31">
      <c r="C225" s="3" t="s">
        <v>853</v>
      </c>
      <c r="E225" s="3" t="s">
        <v>29</v>
      </c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</row>
    <row r="227" spans="2:31" ht="13.5" thickBot="1">
      <c r="C227" s="6" t="s">
        <v>815</v>
      </c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</row>
    <row r="228" spans="2:31">
      <c r="C228" s="3" t="s">
        <v>853</v>
      </c>
      <c r="E228" s="3" t="s">
        <v>29</v>
      </c>
      <c r="L228" s="27">
        <f t="shared" ref="L228:AE228" si="20">((SUMPRODUCT(L110:L141,L191:L222)*(L225="")+L225))</f>
        <v>0</v>
      </c>
      <c r="M228" s="27">
        <f t="shared" si="20"/>
        <v>0</v>
      </c>
      <c r="N228" s="27">
        <f t="shared" si="20"/>
        <v>0</v>
      </c>
      <c r="O228" s="27">
        <f t="shared" si="20"/>
        <v>0</v>
      </c>
      <c r="P228" s="27">
        <f t="shared" si="20"/>
        <v>7704.9994015000011</v>
      </c>
      <c r="Q228" s="27">
        <f t="shared" si="20"/>
        <v>4815.0782170244001</v>
      </c>
      <c r="R228" s="27">
        <f t="shared" si="20"/>
        <v>5406.3676012346004</v>
      </c>
      <c r="S228" s="27">
        <f t="shared" si="20"/>
        <v>6141.7862580333567</v>
      </c>
      <c r="T228" s="27">
        <f t="shared" si="20"/>
        <v>6446.3390800135103</v>
      </c>
      <c r="U228" s="27">
        <f t="shared" si="20"/>
        <v>6380.364362928929</v>
      </c>
      <c r="V228" s="27">
        <f t="shared" si="20"/>
        <v>0</v>
      </c>
      <c r="W228" s="27">
        <f t="shared" si="20"/>
        <v>0</v>
      </c>
      <c r="X228" s="27">
        <f t="shared" si="20"/>
        <v>0</v>
      </c>
      <c r="Y228" s="27">
        <f t="shared" si="20"/>
        <v>0</v>
      </c>
      <c r="Z228" s="27">
        <f t="shared" si="20"/>
        <v>0</v>
      </c>
      <c r="AA228" s="27">
        <f t="shared" si="20"/>
        <v>0</v>
      </c>
      <c r="AB228" s="27">
        <f t="shared" si="20"/>
        <v>0</v>
      </c>
      <c r="AC228" s="27">
        <f t="shared" si="20"/>
        <v>0</v>
      </c>
      <c r="AD228" s="27">
        <f t="shared" si="20"/>
        <v>0</v>
      </c>
      <c r="AE228" s="27">
        <f t="shared" si="20"/>
        <v>0</v>
      </c>
    </row>
    <row r="229" spans="2:31">
      <c r="H229" s="148"/>
      <c r="L229" s="26"/>
      <c r="M229" s="26"/>
      <c r="N229" s="26"/>
      <c r="O229" s="26"/>
      <c r="P229" s="984"/>
      <c r="Q229" s="984"/>
      <c r="R229" s="984"/>
      <c r="S229" s="984"/>
      <c r="T229" s="984"/>
      <c r="U229" s="984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</row>
    <row r="230" spans="2:31">
      <c r="B230" s="20" t="s">
        <v>33</v>
      </c>
      <c r="C230" s="1613"/>
      <c r="D230" s="1613" t="s">
        <v>814</v>
      </c>
      <c r="E230" s="1613" t="s">
        <v>814</v>
      </c>
      <c r="F230" s="1613" t="s">
        <v>814</v>
      </c>
      <c r="G230" s="1613" t="s">
        <v>814</v>
      </c>
      <c r="H230" s="1613" t="s">
        <v>814</v>
      </c>
      <c r="I230" s="1613" t="s">
        <v>814</v>
      </c>
      <c r="J230" s="1613" t="s">
        <v>814</v>
      </c>
      <c r="K230" s="1613" t="s">
        <v>814</v>
      </c>
      <c r="L230" s="1613" t="s">
        <v>814</v>
      </c>
      <c r="M230" s="1613" t="s">
        <v>814</v>
      </c>
      <c r="N230" s="1613" t="s">
        <v>814</v>
      </c>
      <c r="O230" s="1613" t="s">
        <v>814</v>
      </c>
      <c r="P230" s="1613" t="s">
        <v>814</v>
      </c>
      <c r="Q230" s="1613" t="s">
        <v>814</v>
      </c>
      <c r="R230" s="1613" t="s">
        <v>814</v>
      </c>
      <c r="S230" s="1613" t="s">
        <v>814</v>
      </c>
      <c r="T230" s="1613" t="s">
        <v>814</v>
      </c>
      <c r="U230" s="1613" t="s">
        <v>814</v>
      </c>
      <c r="V230" s="1613" t="s">
        <v>814</v>
      </c>
      <c r="W230" s="1613" t="s">
        <v>814</v>
      </c>
      <c r="X230" s="1613" t="s">
        <v>814</v>
      </c>
      <c r="Y230" s="1613" t="s">
        <v>814</v>
      </c>
      <c r="Z230" s="1613" t="s">
        <v>814</v>
      </c>
      <c r="AA230" s="1613" t="s">
        <v>814</v>
      </c>
      <c r="AB230" s="1613" t="s">
        <v>814</v>
      </c>
      <c r="AC230" s="1613" t="s">
        <v>814</v>
      </c>
      <c r="AD230" s="1613" t="s">
        <v>814</v>
      </c>
      <c r="AE230" s="1613" t="s">
        <v>814</v>
      </c>
    </row>
    <row r="231" spans="2:31">
      <c r="B231" s="1593" t="s">
        <v>814</v>
      </c>
      <c r="C231" s="1593" t="s">
        <v>814</v>
      </c>
      <c r="D231" s="1593" t="s">
        <v>814</v>
      </c>
      <c r="E231" s="1593" t="s">
        <v>814</v>
      </c>
      <c r="F231" s="1593" t="s">
        <v>814</v>
      </c>
      <c r="G231" s="1593" t="s">
        <v>814</v>
      </c>
      <c r="H231" s="1593" t="s">
        <v>814</v>
      </c>
      <c r="I231" s="1593" t="s">
        <v>814</v>
      </c>
      <c r="J231" s="1593" t="s">
        <v>814</v>
      </c>
      <c r="K231" s="1593" t="s">
        <v>814</v>
      </c>
      <c r="L231" s="1593" t="s">
        <v>814</v>
      </c>
      <c r="M231" s="1593" t="s">
        <v>814</v>
      </c>
      <c r="N231" s="1593" t="s">
        <v>814</v>
      </c>
      <c r="O231" s="1593" t="s">
        <v>814</v>
      </c>
      <c r="P231" s="1593" t="s">
        <v>814</v>
      </c>
      <c r="Q231" s="1593" t="s">
        <v>814</v>
      </c>
      <c r="R231" s="1593" t="s">
        <v>814</v>
      </c>
      <c r="S231" s="1593" t="s">
        <v>814</v>
      </c>
      <c r="T231" s="1593" t="s">
        <v>814</v>
      </c>
      <c r="U231" s="1593" t="s">
        <v>814</v>
      </c>
      <c r="V231" s="1593" t="s">
        <v>814</v>
      </c>
      <c r="W231" s="1593" t="s">
        <v>814</v>
      </c>
      <c r="X231" s="1593" t="s">
        <v>814</v>
      </c>
      <c r="Y231" s="1593" t="s">
        <v>814</v>
      </c>
      <c r="Z231" s="1593" t="s">
        <v>814</v>
      </c>
      <c r="AA231" s="1593" t="s">
        <v>814</v>
      </c>
      <c r="AB231" s="1593" t="s">
        <v>814</v>
      </c>
      <c r="AC231" s="1593" t="s">
        <v>814</v>
      </c>
      <c r="AD231" s="1593" t="s">
        <v>814</v>
      </c>
      <c r="AE231" s="1593" t="s">
        <v>814</v>
      </c>
    </row>
    <row r="232" spans="2:31" ht="13.5" thickBot="1">
      <c r="B232" s="1593" t="s">
        <v>814</v>
      </c>
      <c r="C232" s="1614" t="s">
        <v>855</v>
      </c>
      <c r="D232" s="1614" t="s">
        <v>814</v>
      </c>
      <c r="E232" s="1614" t="s">
        <v>814</v>
      </c>
      <c r="F232" s="1614" t="s">
        <v>814</v>
      </c>
      <c r="G232" s="1614" t="s">
        <v>814</v>
      </c>
      <c r="H232" s="1614" t="s">
        <v>814</v>
      </c>
      <c r="I232" s="1614" t="s">
        <v>814</v>
      </c>
      <c r="J232" s="1614" t="s">
        <v>814</v>
      </c>
      <c r="K232" s="1614" t="s">
        <v>814</v>
      </c>
      <c r="L232" s="1614" t="s">
        <v>814</v>
      </c>
      <c r="M232" s="1614" t="s">
        <v>814</v>
      </c>
      <c r="N232" s="1614" t="s">
        <v>814</v>
      </c>
      <c r="O232" s="1614" t="s">
        <v>814</v>
      </c>
      <c r="P232" s="1614" t="s">
        <v>814</v>
      </c>
      <c r="Q232" s="1614" t="s">
        <v>814</v>
      </c>
      <c r="R232" s="1614" t="s">
        <v>814</v>
      </c>
      <c r="S232" s="1614" t="s">
        <v>814</v>
      </c>
      <c r="T232" s="1614" t="s">
        <v>814</v>
      </c>
      <c r="U232" s="1614" t="s">
        <v>814</v>
      </c>
      <c r="V232" s="1614" t="s">
        <v>814</v>
      </c>
      <c r="W232" s="1614" t="s">
        <v>814</v>
      </c>
      <c r="X232" s="1614" t="s">
        <v>814</v>
      </c>
      <c r="Y232" s="1614" t="s">
        <v>814</v>
      </c>
      <c r="Z232" s="1614" t="s">
        <v>814</v>
      </c>
      <c r="AA232" s="1614" t="s">
        <v>814</v>
      </c>
      <c r="AB232" s="1614" t="s">
        <v>814</v>
      </c>
      <c r="AC232" s="1614" t="s">
        <v>814</v>
      </c>
      <c r="AD232" s="1614" t="s">
        <v>814</v>
      </c>
      <c r="AE232" s="1614" t="s">
        <v>814</v>
      </c>
    </row>
    <row r="233" spans="2:31">
      <c r="B233" s="1593" t="s">
        <v>814</v>
      </c>
      <c r="C233" s="1593" t="s">
        <v>12</v>
      </c>
      <c r="D233" s="1593" t="s">
        <v>814</v>
      </c>
      <c r="E233" s="1593" t="s">
        <v>29</v>
      </c>
      <c r="F233" s="1593" t="s">
        <v>814</v>
      </c>
      <c r="G233" s="1593" t="s">
        <v>814</v>
      </c>
      <c r="H233" s="1593" t="s">
        <v>814</v>
      </c>
      <c r="I233" s="1593" t="s">
        <v>814</v>
      </c>
      <c r="J233" s="1593" t="s">
        <v>814</v>
      </c>
      <c r="K233" s="1593" t="s">
        <v>814</v>
      </c>
      <c r="L233" s="1586" t="s">
        <v>814</v>
      </c>
      <c r="M233" s="1587" t="s">
        <v>814</v>
      </c>
      <c r="N233" s="1587" t="s">
        <v>814</v>
      </c>
      <c r="O233" s="1587" t="s">
        <v>814</v>
      </c>
      <c r="P233" s="1587" t="s">
        <v>814</v>
      </c>
      <c r="Q233" s="1587" t="s">
        <v>814</v>
      </c>
      <c r="R233" s="1588">
        <v>1236</v>
      </c>
      <c r="S233" s="1587" t="s">
        <v>814</v>
      </c>
      <c r="T233" s="1587" t="s">
        <v>814</v>
      </c>
      <c r="U233" s="1587" t="s">
        <v>814</v>
      </c>
      <c r="V233" s="1587" t="s">
        <v>814</v>
      </c>
      <c r="W233" s="1587" t="s">
        <v>814</v>
      </c>
      <c r="X233" s="1587" t="s">
        <v>814</v>
      </c>
      <c r="Y233" s="1587" t="s">
        <v>814</v>
      </c>
      <c r="Z233" s="1587" t="s">
        <v>814</v>
      </c>
      <c r="AA233" s="1587" t="s">
        <v>814</v>
      </c>
      <c r="AB233" s="1587" t="s">
        <v>814</v>
      </c>
      <c r="AC233" s="1587" t="s">
        <v>814</v>
      </c>
      <c r="AD233" s="1587" t="s">
        <v>814</v>
      </c>
      <c r="AE233" s="1587" t="s">
        <v>814</v>
      </c>
    </row>
    <row r="234" spans="2:31">
      <c r="B234" s="1593" t="s">
        <v>814</v>
      </c>
      <c r="C234" s="1593" t="s">
        <v>814</v>
      </c>
      <c r="D234" s="1593" t="s">
        <v>814</v>
      </c>
      <c r="E234" s="1593" t="s">
        <v>814</v>
      </c>
      <c r="F234" s="1593" t="s">
        <v>814</v>
      </c>
      <c r="G234" s="1593" t="s">
        <v>814</v>
      </c>
      <c r="H234" s="1593" t="s">
        <v>814</v>
      </c>
      <c r="I234" s="1593" t="s">
        <v>814</v>
      </c>
      <c r="J234" s="1593" t="s">
        <v>814</v>
      </c>
      <c r="K234" s="1593" t="s">
        <v>814</v>
      </c>
      <c r="L234" s="1593" t="s">
        <v>814</v>
      </c>
      <c r="M234" s="1593" t="s">
        <v>814</v>
      </c>
      <c r="N234" s="1593" t="s">
        <v>814</v>
      </c>
      <c r="O234" s="1593" t="s">
        <v>814</v>
      </c>
      <c r="P234" s="1593" t="s">
        <v>814</v>
      </c>
      <c r="Q234" s="1593" t="s">
        <v>814</v>
      </c>
      <c r="R234" s="1620" t="s">
        <v>814</v>
      </c>
      <c r="S234" s="1593" t="s">
        <v>814</v>
      </c>
      <c r="T234" s="1593" t="s">
        <v>814</v>
      </c>
      <c r="U234" s="1593" t="s">
        <v>814</v>
      </c>
      <c r="V234" s="1593" t="s">
        <v>814</v>
      </c>
      <c r="W234" s="1593" t="s">
        <v>814</v>
      </c>
      <c r="X234" s="1593" t="s">
        <v>814</v>
      </c>
      <c r="Y234" s="1593" t="s">
        <v>814</v>
      </c>
      <c r="Z234" s="1593" t="s">
        <v>814</v>
      </c>
      <c r="AA234" s="1593" t="s">
        <v>814</v>
      </c>
      <c r="AB234" s="1593" t="s">
        <v>814</v>
      </c>
      <c r="AC234" s="1593" t="s">
        <v>814</v>
      </c>
      <c r="AD234" s="1593" t="s">
        <v>814</v>
      </c>
      <c r="AE234" s="1593" t="s">
        <v>814</v>
      </c>
    </row>
    <row r="235" spans="2:31">
      <c r="B235" s="1615"/>
      <c r="C235" s="1615" t="s">
        <v>856</v>
      </c>
      <c r="D235" s="1615"/>
      <c r="E235" s="1593" t="s">
        <v>29</v>
      </c>
      <c r="F235" s="1615"/>
      <c r="G235" s="1615"/>
      <c r="H235" s="1615"/>
      <c r="I235" s="1615"/>
      <c r="J235" s="1615"/>
      <c r="K235" s="1615"/>
      <c r="L235" s="1586" t="s">
        <v>814</v>
      </c>
      <c r="M235" s="1587" t="s">
        <v>814</v>
      </c>
      <c r="N235" s="1587" t="s">
        <v>814</v>
      </c>
      <c r="O235" s="1587" t="s">
        <v>814</v>
      </c>
      <c r="P235" s="1587" t="s">
        <v>814</v>
      </c>
      <c r="Q235" s="176">
        <v>0</v>
      </c>
      <c r="R235" s="1650">
        <v>1175</v>
      </c>
      <c r="S235" s="176">
        <v>0</v>
      </c>
      <c r="T235" s="176">
        <v>0</v>
      </c>
      <c r="U235" s="176">
        <v>0</v>
      </c>
      <c r="V235" s="1587" t="s">
        <v>814</v>
      </c>
      <c r="W235" s="1587" t="s">
        <v>814</v>
      </c>
      <c r="X235" s="1587" t="s">
        <v>814</v>
      </c>
      <c r="Y235" s="1587" t="s">
        <v>814</v>
      </c>
      <c r="Z235" s="1587" t="s">
        <v>814</v>
      </c>
      <c r="AA235" s="1587" t="s">
        <v>814</v>
      </c>
      <c r="AB235" s="1587" t="s">
        <v>814</v>
      </c>
      <c r="AC235" s="1587" t="s">
        <v>814</v>
      </c>
      <c r="AD235" s="1587" t="s">
        <v>814</v>
      </c>
      <c r="AE235" s="1587" t="s">
        <v>814</v>
      </c>
    </row>
    <row r="236" spans="2:31">
      <c r="B236" s="1615"/>
      <c r="C236" s="1615" t="s">
        <v>857</v>
      </c>
      <c r="D236" s="1615"/>
      <c r="E236" s="1593" t="s">
        <v>29</v>
      </c>
      <c r="F236" s="1615"/>
      <c r="G236" s="1615"/>
      <c r="H236" s="1615"/>
      <c r="I236" s="1615"/>
      <c r="J236" s="1615"/>
      <c r="K236" s="1615"/>
      <c r="L236" s="1616" t="s">
        <v>814</v>
      </c>
      <c r="M236" s="1617" t="s">
        <v>814</v>
      </c>
      <c r="N236" s="1617" t="s">
        <v>814</v>
      </c>
      <c r="O236" s="1617" t="s">
        <v>814</v>
      </c>
      <c r="P236" s="1617" t="s">
        <v>814</v>
      </c>
      <c r="Q236" s="176">
        <v>0</v>
      </c>
      <c r="R236" s="1650">
        <v>61</v>
      </c>
      <c r="S236" s="176">
        <v>0</v>
      </c>
      <c r="T236" s="176">
        <v>0</v>
      </c>
      <c r="U236" s="176">
        <v>0</v>
      </c>
      <c r="V236" s="1617" t="s">
        <v>814</v>
      </c>
      <c r="W236" s="1617" t="s">
        <v>814</v>
      </c>
      <c r="X236" s="1617" t="s">
        <v>814</v>
      </c>
      <c r="Y236" s="1617" t="s">
        <v>814</v>
      </c>
      <c r="Z236" s="1617" t="s">
        <v>814</v>
      </c>
      <c r="AA236" s="1617" t="s">
        <v>814</v>
      </c>
      <c r="AB236" s="1617" t="s">
        <v>814</v>
      </c>
      <c r="AC236" s="1617" t="s">
        <v>814</v>
      </c>
      <c r="AD236" s="1617" t="s">
        <v>814</v>
      </c>
      <c r="AE236" s="1617" t="s">
        <v>814</v>
      </c>
    </row>
    <row r="237" spans="2:31">
      <c r="B237" s="1593" t="s">
        <v>814</v>
      </c>
      <c r="C237" s="1593" t="s">
        <v>814</v>
      </c>
      <c r="D237" s="1593" t="s">
        <v>814</v>
      </c>
      <c r="E237" s="1593" t="s">
        <v>814</v>
      </c>
      <c r="F237" s="1593" t="s">
        <v>814</v>
      </c>
      <c r="G237" s="1593" t="s">
        <v>814</v>
      </c>
      <c r="H237" s="1593" t="s">
        <v>814</v>
      </c>
      <c r="I237" s="1593" t="s">
        <v>814</v>
      </c>
      <c r="J237" s="1593" t="s">
        <v>814</v>
      </c>
      <c r="K237" s="1593" t="s">
        <v>814</v>
      </c>
      <c r="L237" s="1593" t="s">
        <v>814</v>
      </c>
      <c r="M237" s="1593" t="s">
        <v>814</v>
      </c>
      <c r="N237" s="1593" t="s">
        <v>814</v>
      </c>
      <c r="O237" s="1593" t="s">
        <v>814</v>
      </c>
      <c r="P237" s="1593" t="s">
        <v>814</v>
      </c>
      <c r="Q237" s="1593" t="s">
        <v>814</v>
      </c>
      <c r="R237" s="1593" t="s">
        <v>814</v>
      </c>
      <c r="S237" s="1593" t="s">
        <v>814</v>
      </c>
      <c r="T237" s="1593" t="s">
        <v>814</v>
      </c>
      <c r="U237" s="1593" t="s">
        <v>814</v>
      </c>
      <c r="V237" s="1593" t="s">
        <v>814</v>
      </c>
      <c r="W237" s="1593" t="s">
        <v>814</v>
      </c>
      <c r="X237" s="1593" t="s">
        <v>814</v>
      </c>
      <c r="Y237" s="1593" t="s">
        <v>814</v>
      </c>
      <c r="Z237" s="1593" t="s">
        <v>814</v>
      </c>
      <c r="AA237" s="1593" t="s">
        <v>814</v>
      </c>
      <c r="AB237" s="1593" t="s">
        <v>814</v>
      </c>
      <c r="AC237" s="1593" t="s">
        <v>814</v>
      </c>
      <c r="AD237" s="1593" t="s">
        <v>814</v>
      </c>
      <c r="AE237" s="1593" t="s">
        <v>814</v>
      </c>
    </row>
    <row r="238" spans="2:31">
      <c r="B238" s="1618" t="s">
        <v>60</v>
      </c>
      <c r="C238" s="1619" t="s">
        <v>814</v>
      </c>
      <c r="D238" s="1619" t="s">
        <v>814</v>
      </c>
      <c r="E238" s="1619" t="s">
        <v>814</v>
      </c>
      <c r="F238" s="1619" t="s">
        <v>814</v>
      </c>
      <c r="G238" s="1619" t="s">
        <v>814</v>
      </c>
      <c r="H238" s="1619" t="s">
        <v>814</v>
      </c>
      <c r="I238" s="1619" t="s">
        <v>814</v>
      </c>
      <c r="J238" s="1619" t="s">
        <v>814</v>
      </c>
      <c r="K238" s="1619" t="s">
        <v>814</v>
      </c>
      <c r="L238" s="1619" t="s">
        <v>814</v>
      </c>
      <c r="M238" s="1619" t="s">
        <v>814</v>
      </c>
      <c r="N238" s="1619" t="s">
        <v>814</v>
      </c>
      <c r="O238" s="1619" t="s">
        <v>814</v>
      </c>
      <c r="P238" s="1619" t="s">
        <v>814</v>
      </c>
      <c r="Q238" s="1619" t="s">
        <v>814</v>
      </c>
      <c r="R238" s="1619" t="s">
        <v>814</v>
      </c>
      <c r="S238" s="1619" t="s">
        <v>814</v>
      </c>
      <c r="T238" s="1619" t="s">
        <v>814</v>
      </c>
      <c r="U238" s="1619" t="s">
        <v>814</v>
      </c>
      <c r="V238" s="1619" t="s">
        <v>814</v>
      </c>
      <c r="W238" s="1619" t="s">
        <v>814</v>
      </c>
      <c r="X238" s="1619" t="s">
        <v>814</v>
      </c>
      <c r="Y238" s="1619" t="s">
        <v>814</v>
      </c>
      <c r="Z238" s="1619" t="s">
        <v>814</v>
      </c>
      <c r="AA238" s="1619" t="s">
        <v>814</v>
      </c>
      <c r="AB238" s="1619" t="s">
        <v>814</v>
      </c>
      <c r="AC238" s="1619" t="s">
        <v>814</v>
      </c>
      <c r="AD238" s="1619" t="s">
        <v>814</v>
      </c>
      <c r="AE238" s="1619" t="s">
        <v>814</v>
      </c>
    </row>
    <row r="239" spans="2:31">
      <c r="P239" s="148"/>
      <c r="Q239" s="148"/>
      <c r="R239" s="148"/>
      <c r="S239" s="148"/>
      <c r="T239" s="148"/>
      <c r="U239" s="148"/>
    </row>
    <row r="240" spans="2:31">
      <c r="P240" s="148"/>
      <c r="Q240" s="148"/>
      <c r="R240" s="148"/>
      <c r="S240" s="148"/>
      <c r="T240" s="148"/>
      <c r="U240" s="148"/>
    </row>
    <row r="242" spans="16:21">
      <c r="P242" s="148"/>
      <c r="Q242" s="148"/>
      <c r="R242" s="148"/>
      <c r="S242" s="148"/>
      <c r="T242" s="148"/>
      <c r="U242" s="148"/>
    </row>
    <row r="243" spans="16:21">
      <c r="P243" s="148"/>
      <c r="Q243" s="148"/>
      <c r="R243" s="148"/>
      <c r="S243" s="148"/>
      <c r="T243" s="148"/>
      <c r="U243" s="148"/>
    </row>
    <row r="244" spans="16:21">
      <c r="P244" s="148"/>
      <c r="Q244" s="148"/>
      <c r="R244" s="148"/>
      <c r="S244" s="148"/>
      <c r="T244" s="148"/>
      <c r="U244" s="148"/>
    </row>
    <row r="246" spans="16:21">
      <c r="P246" s="148"/>
      <c r="Q246" s="148"/>
      <c r="R246" s="148"/>
      <c r="S246" s="148"/>
      <c r="T246" s="148"/>
      <c r="U246" s="148"/>
    </row>
    <row r="247" spans="16:21">
      <c r="P247" s="23"/>
      <c r="Q247" s="23"/>
      <c r="R247" s="23"/>
      <c r="S247" s="23"/>
      <c r="T247" s="23"/>
      <c r="U247" s="23"/>
    </row>
    <row r="248" spans="16:21">
      <c r="P248" s="148"/>
      <c r="Q248" s="148"/>
      <c r="R248" s="148"/>
      <c r="S248" s="148"/>
      <c r="T248" s="148"/>
      <c r="U248" s="148"/>
    </row>
    <row r="250" spans="16:21">
      <c r="P250" s="148"/>
      <c r="Q250" s="148"/>
      <c r="R250" s="148"/>
      <c r="S250" s="148"/>
      <c r="T250" s="148"/>
      <c r="U250" s="148"/>
    </row>
    <row r="251" spans="16:21">
      <c r="P251" s="23"/>
      <c r="Q251" s="23"/>
      <c r="R251" s="23"/>
      <c r="S251" s="23"/>
      <c r="T251" s="23"/>
      <c r="U251" s="23"/>
    </row>
    <row r="252" spans="16:21">
      <c r="P252" s="148"/>
      <c r="Q252" s="148"/>
      <c r="R252" s="148"/>
      <c r="S252" s="148"/>
      <c r="T252" s="148"/>
      <c r="U252" s="14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1A244-EFF1-4ADD-A39C-C6EC39F7067E}">
  <sheetPr>
    <tabColor theme="9" tint="-0.499984740745262"/>
    <pageSetUpPr fitToPage="1"/>
  </sheetPr>
  <dimension ref="A1:T144"/>
  <sheetViews>
    <sheetView zoomScale="114" zoomScaleNormal="115" workbookViewId="0">
      <selection activeCell="M2" sqref="M2"/>
    </sheetView>
  </sheetViews>
  <sheetFormatPr defaultColWidth="12.54296875" defaultRowHeight="12"/>
  <cols>
    <col min="1" max="1" width="30.81640625" style="40" customWidth="1"/>
    <col min="2" max="2" width="4.7265625" style="40" bestFit="1" customWidth="1"/>
    <col min="3" max="6" width="7.54296875" style="40" customWidth="1"/>
    <col min="7" max="7" width="8.453125" style="262" customWidth="1"/>
    <col min="8" max="9" width="8.1796875" style="250" bestFit="1" customWidth="1"/>
    <col min="10" max="10" width="8.26953125" style="491" customWidth="1"/>
    <col min="11" max="11" width="8.1796875" style="41" bestFit="1" customWidth="1"/>
    <col min="12" max="13" width="7.54296875" style="41" customWidth="1"/>
    <col min="14" max="14" width="1.1796875" style="41" customWidth="1"/>
    <col min="15" max="16384" width="12.54296875" style="120"/>
  </cols>
  <sheetData>
    <row r="1" spans="1:20" ht="12" customHeight="1">
      <c r="A1" s="121" t="s">
        <v>863</v>
      </c>
      <c r="B1" s="121"/>
      <c r="C1" s="121"/>
      <c r="D1" s="121"/>
      <c r="E1" s="121"/>
      <c r="F1" s="121"/>
      <c r="G1" s="121"/>
      <c r="I1" s="251"/>
      <c r="J1" s="121"/>
      <c r="K1" s="121"/>
      <c r="L1" s="121"/>
      <c r="M1" s="121"/>
      <c r="N1" s="121"/>
    </row>
    <row r="2" spans="1:20" ht="12" customHeight="1">
      <c r="A2" s="1213" t="s">
        <v>864</v>
      </c>
      <c r="B2" s="43"/>
      <c r="C2" s="43"/>
      <c r="D2" s="43"/>
      <c r="E2" s="43"/>
      <c r="F2" s="43"/>
      <c r="G2" s="86"/>
    </row>
    <row r="3" spans="1:20" ht="12" customHeight="1">
      <c r="A3" s="476" t="s">
        <v>164</v>
      </c>
      <c r="B3" s="252"/>
      <c r="C3" s="252"/>
      <c r="D3" s="252"/>
      <c r="E3" s="252"/>
      <c r="F3" s="252"/>
      <c r="G3" s="253"/>
      <c r="H3" s="85"/>
      <c r="I3" s="85"/>
      <c r="J3" s="492"/>
      <c r="K3" s="44"/>
      <c r="L3" s="44"/>
      <c r="M3" s="44"/>
      <c r="N3" s="44"/>
    </row>
    <row r="4" spans="1:20" ht="12" customHeight="1">
      <c r="A4" s="398" t="s">
        <v>865</v>
      </c>
      <c r="B4" s="252"/>
      <c r="H4" s="85"/>
      <c r="I4" s="85"/>
      <c r="J4" s="492"/>
      <c r="K4" s="44"/>
      <c r="L4" s="44"/>
      <c r="M4" s="44"/>
      <c r="N4" s="44"/>
    </row>
    <row r="5" spans="1:20" ht="12" customHeight="1">
      <c r="A5" s="399" t="s">
        <v>13</v>
      </c>
      <c r="B5" s="252"/>
      <c r="C5" s="252"/>
      <c r="D5" s="252"/>
      <c r="E5" s="252"/>
      <c r="F5" s="252"/>
      <c r="G5" s="253"/>
      <c r="H5" s="85"/>
      <c r="I5" s="85"/>
      <c r="J5" s="492"/>
      <c r="K5" s="44"/>
      <c r="L5" s="44"/>
      <c r="M5" s="44"/>
      <c r="N5" s="44"/>
    </row>
    <row r="6" spans="1:20" ht="12" customHeight="1">
      <c r="A6" s="1642" t="str">
        <f>'DUC &amp; UR'!F6</f>
        <v>Base</v>
      </c>
      <c r="B6" s="1643">
        <f>INDEX('Misc. Items'!$E$60:$E$62,MATCH(A6,'Misc. Items'!$C$60:$C$62,0))</f>
        <v>2</v>
      </c>
      <c r="C6" s="43"/>
      <c r="D6" s="43"/>
      <c r="E6" s="43"/>
      <c r="F6" s="43"/>
      <c r="G6" s="86"/>
    </row>
    <row r="7" spans="1:20" s="254" customFormat="1" ht="12" customHeight="1">
      <c r="C7" s="1673" t="s">
        <v>866</v>
      </c>
      <c r="D7" s="1674"/>
      <c r="E7" s="1674"/>
      <c r="F7" s="1674"/>
      <c r="G7" s="1675"/>
      <c r="H7" s="1671" t="s">
        <v>867</v>
      </c>
      <c r="I7" s="1672"/>
      <c r="J7" s="1672"/>
      <c r="K7" s="1672"/>
      <c r="L7" s="1672"/>
      <c r="M7" s="1672"/>
      <c r="N7" s="400"/>
      <c r="O7" s="1676" t="s">
        <v>868</v>
      </c>
      <c r="P7" s="1677"/>
      <c r="Q7" s="1677"/>
      <c r="R7" s="1677"/>
      <c r="S7" s="1677"/>
      <c r="T7" s="1677"/>
    </row>
    <row r="8" spans="1:20" ht="12" customHeight="1">
      <c r="A8" s="255" t="s">
        <v>20</v>
      </c>
      <c r="B8" s="120"/>
      <c r="C8" s="477">
        <f t="shared" ref="C8:I8" si="0">C65</f>
        <v>99.8994</v>
      </c>
      <c r="D8" s="477">
        <f t="shared" si="0"/>
        <v>99.7</v>
      </c>
      <c r="E8" s="477">
        <f t="shared" si="0"/>
        <v>100</v>
      </c>
      <c r="F8" s="477">
        <f t="shared" si="0"/>
        <v>100.69999999999999</v>
      </c>
      <c r="G8" s="477">
        <f t="shared" si="0"/>
        <v>101.60629999999998</v>
      </c>
      <c r="H8" s="477">
        <f t="shared" si="0"/>
        <v>101.60629999999998</v>
      </c>
      <c r="I8" s="477">
        <f t="shared" si="0"/>
        <v>103.23200079999998</v>
      </c>
      <c r="J8" s="477"/>
      <c r="K8" s="477">
        <f>K65</f>
        <v>105.19340881519997</v>
      </c>
      <c r="L8" s="477">
        <f>L65</f>
        <v>107.29727699150398</v>
      </c>
      <c r="M8" s="477">
        <f>M65</f>
        <v>109.44322253133406</v>
      </c>
      <c r="N8" s="257"/>
    </row>
    <row r="9" spans="1:20" s="261" customFormat="1" ht="12" customHeight="1">
      <c r="A9" s="1547" t="s">
        <v>869</v>
      </c>
      <c r="B9" s="43"/>
      <c r="C9" s="117">
        <v>2015</v>
      </c>
      <c r="D9" s="117">
        <v>2016</v>
      </c>
      <c r="E9" s="117">
        <v>2017</v>
      </c>
      <c r="F9" s="117">
        <v>2018</v>
      </c>
      <c r="G9" s="116">
        <v>2019</v>
      </c>
      <c r="H9" s="258">
        <v>2020</v>
      </c>
      <c r="I9" s="258">
        <v>2021</v>
      </c>
      <c r="J9" s="117" t="s">
        <v>16</v>
      </c>
      <c r="K9" s="117">
        <v>2022</v>
      </c>
      <c r="L9" s="117">
        <v>2023</v>
      </c>
      <c r="M9" s="116">
        <v>2024</v>
      </c>
      <c r="N9" s="119"/>
      <c r="O9" s="259">
        <v>2020</v>
      </c>
      <c r="P9" s="260">
        <v>2021</v>
      </c>
      <c r="Q9" s="117" t="s">
        <v>870</v>
      </c>
      <c r="R9" s="117">
        <v>2022</v>
      </c>
      <c r="S9" s="117">
        <v>2023</v>
      </c>
      <c r="T9" s="116">
        <v>2024</v>
      </c>
    </row>
    <row r="10" spans="1:20" ht="12" customHeight="1">
      <c r="A10" s="43"/>
      <c r="B10" s="43"/>
      <c r="C10" s="43"/>
      <c r="D10" s="43"/>
      <c r="E10" s="43"/>
      <c r="F10" s="43"/>
      <c r="G10" s="86"/>
      <c r="H10" s="262"/>
      <c r="I10" s="262"/>
      <c r="J10" s="40"/>
      <c r="K10" s="40"/>
      <c r="O10" s="262"/>
      <c r="P10" s="40"/>
      <c r="Q10" s="40"/>
      <c r="R10" s="40"/>
      <c r="S10" s="40"/>
      <c r="T10" s="40"/>
    </row>
    <row r="11" spans="1:20" ht="15.65" customHeight="1">
      <c r="A11" s="62" t="s">
        <v>871</v>
      </c>
      <c r="B11" s="62"/>
      <c r="C11" s="62"/>
      <c r="D11" s="62"/>
      <c r="E11" s="62"/>
      <c r="F11" s="62"/>
      <c r="G11" s="401"/>
      <c r="H11" s="263"/>
      <c r="I11" s="263"/>
      <c r="J11" s="61"/>
      <c r="K11" s="61"/>
      <c r="L11" s="61"/>
      <c r="M11" s="75"/>
      <c r="N11" s="75"/>
      <c r="O11" s="263"/>
      <c r="P11" s="61"/>
      <c r="Q11" s="61"/>
      <c r="R11" s="1214"/>
      <c r="S11" s="1214"/>
      <c r="T11" s="1214"/>
    </row>
    <row r="12" spans="1:20" ht="12" customHeight="1">
      <c r="A12" s="1215" t="s">
        <v>872</v>
      </c>
      <c r="B12" s="1215"/>
      <c r="C12" s="1216">
        <v>54210</v>
      </c>
      <c r="D12" s="1216">
        <v>54866</v>
      </c>
      <c r="E12" s="1216">
        <v>56855</v>
      </c>
      <c r="F12" s="1216">
        <v>59199</v>
      </c>
      <c r="G12" s="1217">
        <v>58748</v>
      </c>
      <c r="H12" s="1218">
        <f>'ANSP Opex (CAR)'!Q80*(H$8/100)</f>
        <v>54045.448132898418</v>
      </c>
      <c r="I12" s="1218">
        <f>'ANSP Opex (CAR)'!R80*(I$8/100)</f>
        <v>50411.187941170043</v>
      </c>
      <c r="J12" s="1216">
        <f t="shared" ref="J12:J17" si="1">H12+I12</f>
        <v>104456.63607406846</v>
      </c>
      <c r="K12" s="1218">
        <f>CHOOSE($B$6,'ANSP Opex (CAR-10% SUs)'!S80,'ANSP Opex (CAR)'!S80,'ANSP Opex (CAR+10% SUs)'!S80)*(K$8/100)</f>
        <v>61266.806155453065</v>
      </c>
      <c r="L12" s="1219">
        <f>CHOOSE($B$6,'ANSP Opex (CAR-10% SUs)'!T80,'ANSP Opex (CAR)'!T80,'ANSP Opex (CAR+10% SUs)'!T80)*(L$8/100)</f>
        <v>63595.553062026505</v>
      </c>
      <c r="M12" s="1219">
        <f>CHOOSE($B$6,'ANSP Opex (CAR-10% SUs)'!U80,'ANSP Opex (CAR)'!U80,'ANSP Opex (CAR+10% SUs)'!U80)*(M$8/100)</f>
        <v>65821.746415089088</v>
      </c>
      <c r="N12" s="115"/>
      <c r="O12" s="1220">
        <v>55416.954912300003</v>
      </c>
      <c r="P12" s="1221"/>
      <c r="Q12" s="1221"/>
      <c r="R12" s="1222"/>
      <c r="S12" s="1221"/>
      <c r="T12" s="1223"/>
    </row>
    <row r="13" spans="1:20" ht="12" customHeight="1">
      <c r="A13" s="74" t="s">
        <v>873</v>
      </c>
      <c r="B13" s="74"/>
      <c r="C13" s="125"/>
      <c r="D13" s="125"/>
      <c r="E13" s="125"/>
      <c r="F13" s="137"/>
      <c r="G13" s="127"/>
      <c r="H13" s="494">
        <f>'ANSP Opex (CAR)'!Q81*(H$8/100)</f>
        <v>11377.873473999996</v>
      </c>
      <c r="I13" s="494">
        <f>'ANSP Opex (CAR)'!R81*(I$8/100)</f>
        <v>11538.240729415998</v>
      </c>
      <c r="J13" s="65">
        <f t="shared" si="1"/>
        <v>22916.114203415993</v>
      </c>
      <c r="K13" s="494">
        <f>CHOOSE($B$6,'ANSP Opex (CAR-10% SUs)'!S81,'ANSP Opex (CAR)'!S81,'ANSP Opex (CAR+10% SUs)'!S81)*(K$8/100)</f>
        <v>12754.700818842995</v>
      </c>
      <c r="L13" s="290">
        <f>CHOOSE($B$6,'ANSP Opex (CAR-10% SUs)'!T81,'ANSP Opex (CAR)'!T81,'ANSP Opex (CAR+10% SUs)'!T81)*(L$8/100)</f>
        <v>12781.251635227954</v>
      </c>
      <c r="M13" s="290">
        <f>CHOOSE($B$6,'ANSP Opex (CAR-10% SUs)'!U81,'ANSP Opex (CAR)'!U81,'ANSP Opex (CAR+10% SUs)'!U81)*(M$8/100)</f>
        <v>12547.665463217449</v>
      </c>
      <c r="N13" s="115"/>
      <c r="O13" s="980">
        <v>11418.348249700002</v>
      </c>
      <c r="P13" s="134"/>
      <c r="Q13" s="134"/>
      <c r="R13" s="135"/>
      <c r="S13" s="134"/>
      <c r="T13" s="133"/>
    </row>
    <row r="14" spans="1:20" ht="12" customHeight="1">
      <c r="A14" s="74" t="s">
        <v>874</v>
      </c>
      <c r="B14" s="74"/>
      <c r="C14" s="114">
        <v>20077</v>
      </c>
      <c r="D14" s="114">
        <v>20377</v>
      </c>
      <c r="E14" s="114">
        <v>22713</v>
      </c>
      <c r="F14" s="114">
        <v>23499</v>
      </c>
      <c r="G14" s="113">
        <v>24502</v>
      </c>
      <c r="H14" s="494">
        <f>'ANSP Opex (CAR)'!Q186*(H$8/100)</f>
        <v>22576.822097441527</v>
      </c>
      <c r="I14" s="494">
        <f>'ANSP Opex (CAR)'!R186*(I$8/100)</f>
        <v>24617.935912511053</v>
      </c>
      <c r="J14" s="114">
        <f t="shared" si="1"/>
        <v>47194.75800995258</v>
      </c>
      <c r="K14" s="494">
        <f>CHOOSE($B$6,'ANSP Opex (CAR-10% SUs)'!S186,'ANSP Opex (CAR)'!S186,'ANSP Opex (CAR+10% SUs)'!S186)*(K$8/100)</f>
        <v>27586.794657558556</v>
      </c>
      <c r="L14" s="266">
        <f>CHOOSE($B$6,'ANSP Opex (CAR-10% SUs)'!T186,'ANSP Opex (CAR)'!T186,'ANSP Opex (CAR+10% SUs)'!T186)*(L$8/100)</f>
        <v>29305.594647524707</v>
      </c>
      <c r="M14" s="266">
        <f>CHOOSE($B$6,'ANSP Opex (CAR-10% SUs)'!U186,'ANSP Opex (CAR)'!U186,'ANSP Opex (CAR+10% SUs)'!U186)*(M$8/100)</f>
        <v>30473.227050355177</v>
      </c>
      <c r="N14" s="115"/>
      <c r="O14" s="979">
        <v>22171.115965566671</v>
      </c>
      <c r="P14" s="142"/>
      <c r="Q14" s="142"/>
      <c r="R14" s="143"/>
      <c r="S14" s="142"/>
      <c r="T14" s="141"/>
    </row>
    <row r="15" spans="1:20" ht="12" customHeight="1">
      <c r="A15" s="74" t="s">
        <v>875</v>
      </c>
      <c r="B15" s="74"/>
      <c r="C15" s="114">
        <v>8693</v>
      </c>
      <c r="D15" s="114">
        <v>8713</v>
      </c>
      <c r="E15" s="114">
        <v>9106</v>
      </c>
      <c r="F15" s="114">
        <v>9826</v>
      </c>
      <c r="G15" s="113">
        <v>7647</v>
      </c>
      <c r="H15" s="1118">
        <f>'ANSP Capex (CAR)'!BH1002</f>
        <v>6341.2508973642771</v>
      </c>
      <c r="I15" s="1118">
        <f>'ANSP Capex (CAR)'!BI1002</f>
        <v>7600.5454305807725</v>
      </c>
      <c r="J15" s="1119">
        <f t="shared" si="1"/>
        <v>13941.796327945049</v>
      </c>
      <c r="K15" s="1118">
        <f>'ANSP Capex (CAR)'!BJ1002</f>
        <v>8350.9634027243683</v>
      </c>
      <c r="L15" s="1118">
        <f>'ANSP Capex (CAR)'!BK1002</f>
        <v>8672.0195693434434</v>
      </c>
      <c r="M15" s="1118">
        <f>'ANSP Capex (CAR)'!BL1002</f>
        <v>7855.2419111026575</v>
      </c>
      <c r="N15" s="115"/>
      <c r="O15" s="979">
        <v>6605.8677559999978</v>
      </c>
      <c r="P15" s="142"/>
      <c r="Q15" s="142"/>
      <c r="R15" s="143"/>
      <c r="S15" s="142"/>
      <c r="T15" s="141"/>
    </row>
    <row r="16" spans="1:20" ht="12" customHeight="1">
      <c r="A16" s="74" t="s">
        <v>876</v>
      </c>
      <c r="B16" s="74"/>
      <c r="C16" s="114">
        <v>6642.7659999999996</v>
      </c>
      <c r="D16" s="114">
        <v>6095.6379280000001</v>
      </c>
      <c r="E16" s="114">
        <v>5744</v>
      </c>
      <c r="F16" s="114">
        <v>5607</v>
      </c>
      <c r="G16" s="113">
        <v>4377</v>
      </c>
      <c r="H16" s="1118">
        <f>'ANSP WACC (CAR)'!Z84</f>
        <v>1143.2921116156531</v>
      </c>
      <c r="I16" s="1118">
        <f>'ANSP WACC (CAR)'!AA84</f>
        <v>2463.7570797213893</v>
      </c>
      <c r="J16" s="1119">
        <f t="shared" si="1"/>
        <v>3607.0491913370424</v>
      </c>
      <c r="K16" s="1118">
        <f>'ANSP WACC (CAR)'!AB84</f>
        <v>3071.3319322360785</v>
      </c>
      <c r="L16" s="1120">
        <f>'ANSP WACC (CAR)'!AC84</f>
        <v>3573.9292471576978</v>
      </c>
      <c r="M16" s="1120">
        <f>'ANSP WACC (CAR)'!AD84</f>
        <v>3506.788533175773</v>
      </c>
      <c r="N16" s="115"/>
      <c r="O16" s="979">
        <v>1846.260045</v>
      </c>
      <c r="P16" s="142"/>
      <c r="Q16" s="142"/>
      <c r="R16" s="143"/>
      <c r="S16" s="114"/>
      <c r="T16" s="113"/>
    </row>
    <row r="17" spans="1:20" ht="12" customHeight="1">
      <c r="A17" s="74" t="s">
        <v>877</v>
      </c>
      <c r="B17" s="74"/>
      <c r="C17" s="114"/>
      <c r="D17" s="114"/>
      <c r="E17" s="114"/>
      <c r="F17" s="114"/>
      <c r="G17" s="113"/>
      <c r="H17" s="495">
        <f>'ANSP Opex (CAR)'!Q235*(H$8/100)</f>
        <v>0</v>
      </c>
      <c r="I17" s="897">
        <f>'ANSP Opex (CAR)'!R235*(I$8/100)</f>
        <v>1212.9760093999998</v>
      </c>
      <c r="J17" s="114">
        <f t="shared" si="1"/>
        <v>1212.9760093999998</v>
      </c>
      <c r="K17" s="897">
        <f>'ANSP Opex (CAR)'!S235*(K$8/100)</f>
        <v>0</v>
      </c>
      <c r="L17" s="142">
        <f>'ANSP Opex (CAR)'!T235*(L$8/100)</f>
        <v>0</v>
      </c>
      <c r="M17" s="141">
        <f>'ANSP Opex (CAR)'!U235*(M$8/100)</f>
        <v>0</v>
      </c>
      <c r="N17" s="115"/>
      <c r="O17" s="495">
        <v>0</v>
      </c>
      <c r="P17" s="142"/>
      <c r="Q17" s="142"/>
      <c r="R17" s="143"/>
      <c r="S17" s="142"/>
      <c r="T17" s="141"/>
    </row>
    <row r="18" spans="1:20" ht="12" customHeight="1">
      <c r="A18" s="111" t="s">
        <v>878</v>
      </c>
      <c r="B18" s="73"/>
      <c r="C18" s="81">
        <f t="shared" ref="C18:M18" si="2">C12+SUM(C14:C17)</f>
        <v>89622.766000000003</v>
      </c>
      <c r="D18" s="81">
        <f t="shared" si="2"/>
        <v>90051.637927999996</v>
      </c>
      <c r="E18" s="81">
        <f t="shared" si="2"/>
        <v>94418</v>
      </c>
      <c r="F18" s="81">
        <f t="shared" si="2"/>
        <v>98131</v>
      </c>
      <c r="G18" s="272">
        <f t="shared" si="2"/>
        <v>95274</v>
      </c>
      <c r="H18" s="920">
        <f t="shared" si="2"/>
        <v>84106.813239319876</v>
      </c>
      <c r="I18" s="271">
        <f t="shared" si="2"/>
        <v>86306.402373383258</v>
      </c>
      <c r="J18" s="81">
        <f>J12+SUM(J14:J17)</f>
        <v>170413.21561270312</v>
      </c>
      <c r="K18" s="272">
        <f t="shared" si="2"/>
        <v>100275.89614797206</v>
      </c>
      <c r="L18" s="272">
        <f t="shared" si="2"/>
        <v>105147.09652605237</v>
      </c>
      <c r="M18" s="270">
        <f t="shared" si="2"/>
        <v>107657.0039097227</v>
      </c>
      <c r="N18" s="115"/>
      <c r="O18" s="920">
        <f>O12+SUM(O14:O17)</f>
        <v>86040.198678866669</v>
      </c>
      <c r="P18" s="81"/>
      <c r="Q18" s="81"/>
      <c r="R18" s="81"/>
      <c r="S18" s="81"/>
      <c r="T18" s="80"/>
    </row>
    <row r="19" spans="1:20" ht="12" customHeight="1">
      <c r="A19" s="109" t="s">
        <v>879</v>
      </c>
      <c r="B19" s="68"/>
      <c r="C19" s="71"/>
      <c r="D19" s="71">
        <f t="shared" ref="D19:I19" si="3">+D18/C18-1</f>
        <v>4.78530118117515E-3</v>
      </c>
      <c r="E19" s="71">
        <f t="shared" si="3"/>
        <v>4.8487314306166152E-2</v>
      </c>
      <c r="F19" s="71">
        <f t="shared" si="3"/>
        <v>3.9325128683090016E-2</v>
      </c>
      <c r="G19" s="273">
        <f t="shared" si="3"/>
        <v>-2.9114143339005971E-2</v>
      </c>
      <c r="H19" s="921">
        <f t="shared" si="3"/>
        <v>-0.11721127233747008</v>
      </c>
      <c r="I19" s="274">
        <f t="shared" si="3"/>
        <v>2.615232998787631E-2</v>
      </c>
      <c r="J19" s="275"/>
      <c r="K19" s="276">
        <f>+K18/I18-1</f>
        <v>0.16185929885193517</v>
      </c>
      <c r="L19" s="276">
        <f>+L18/K18-1</f>
        <v>4.8577979007957461E-2</v>
      </c>
      <c r="M19" s="273">
        <f>+M18/L18-1</f>
        <v>2.3870439285486489E-2</v>
      </c>
      <c r="N19" s="115"/>
      <c r="O19" s="921">
        <f>+O18/G18-1</f>
        <v>-9.6918375644282073E-2</v>
      </c>
      <c r="P19" s="71"/>
      <c r="Q19" s="71"/>
      <c r="R19" s="71"/>
      <c r="S19" s="71"/>
      <c r="T19" s="70"/>
    </row>
    <row r="20" spans="1:20" ht="12" customHeight="1">
      <c r="A20" s="68"/>
      <c r="B20" s="68"/>
      <c r="C20" s="68"/>
      <c r="D20" s="68"/>
      <c r="E20" s="68"/>
      <c r="F20" s="68"/>
      <c r="G20" s="496"/>
      <c r="H20" s="945"/>
      <c r="I20" s="945"/>
      <c r="J20" s="67"/>
      <c r="K20" s="410"/>
      <c r="L20" s="410"/>
      <c r="M20" s="410"/>
      <c r="N20" s="115"/>
      <c r="O20" s="945"/>
      <c r="P20" s="67"/>
      <c r="Q20" s="67"/>
      <c r="R20" s="67"/>
      <c r="S20" s="67"/>
      <c r="T20" s="67"/>
    </row>
    <row r="21" spans="1:20" ht="15.65" customHeight="1">
      <c r="A21" s="62" t="s">
        <v>880</v>
      </c>
      <c r="B21" s="62"/>
      <c r="C21" s="62"/>
      <c r="D21" s="62"/>
      <c r="E21" s="62"/>
      <c r="F21" s="62"/>
      <c r="G21" s="62"/>
      <c r="H21" s="946"/>
      <c r="I21" s="946"/>
      <c r="J21" s="61"/>
      <c r="K21" s="412"/>
      <c r="L21" s="412"/>
      <c r="M21" s="413"/>
      <c r="N21" s="115"/>
      <c r="O21" s="946"/>
      <c r="P21" s="61"/>
      <c r="Q21" s="61"/>
      <c r="R21" s="1214"/>
      <c r="S21" s="1214"/>
      <c r="T21" s="1214"/>
    </row>
    <row r="22" spans="1:20" ht="12" customHeight="1">
      <c r="A22" s="1224" t="s">
        <v>881</v>
      </c>
      <c r="B22" s="57"/>
      <c r="C22" s="1216">
        <v>79990.766000000003</v>
      </c>
      <c r="D22" s="1216">
        <v>80100.638000000006</v>
      </c>
      <c r="E22" s="1216">
        <v>84000</v>
      </c>
      <c r="F22" s="1216">
        <v>87290</v>
      </c>
      <c r="G22" s="1225">
        <v>84618</v>
      </c>
      <c r="H22" s="1226"/>
      <c r="I22" s="1227"/>
      <c r="J22" s="1228"/>
      <c r="K22" s="1229"/>
      <c r="L22" s="1229"/>
      <c r="M22" s="1230"/>
      <c r="N22" s="115"/>
      <c r="O22" s="1231">
        <v>75639.198699999994</v>
      </c>
      <c r="P22" s="1232"/>
      <c r="Q22" s="1232"/>
      <c r="R22" s="1233"/>
      <c r="S22" s="1232"/>
      <c r="T22" s="1234"/>
    </row>
    <row r="23" spans="1:20" ht="12" customHeight="1">
      <c r="A23" s="57" t="s">
        <v>882</v>
      </c>
      <c r="B23" s="74"/>
      <c r="C23" s="114">
        <v>2607</v>
      </c>
      <c r="D23" s="114">
        <v>2685</v>
      </c>
      <c r="E23" s="114">
        <v>2816</v>
      </c>
      <c r="F23" s="114">
        <v>2926</v>
      </c>
      <c r="G23" s="269">
        <v>2836</v>
      </c>
      <c r="H23" s="1139"/>
      <c r="I23" s="1140"/>
      <c r="J23" s="479"/>
      <c r="K23" s="1141"/>
      <c r="L23" s="1141"/>
      <c r="M23" s="1142"/>
      <c r="N23" s="115"/>
      <c r="O23" s="925">
        <v>2535</v>
      </c>
      <c r="P23" s="134"/>
      <c r="Q23" s="134"/>
      <c r="R23" s="135"/>
      <c r="S23" s="134"/>
      <c r="T23" s="133"/>
    </row>
    <row r="24" spans="1:20" ht="12" customHeight="1">
      <c r="A24" s="57" t="s">
        <v>883</v>
      </c>
      <c r="B24" s="74"/>
      <c r="C24" s="114">
        <v>2185</v>
      </c>
      <c r="D24" s="114">
        <v>2251</v>
      </c>
      <c r="E24" s="114">
        <v>2361</v>
      </c>
      <c r="F24" s="114">
        <v>2453</v>
      </c>
      <c r="G24" s="269">
        <v>2378</v>
      </c>
      <c r="H24" s="1139"/>
      <c r="I24" s="1140"/>
      <c r="J24" s="479"/>
      <c r="K24" s="1141"/>
      <c r="L24" s="1141"/>
      <c r="M24" s="1142"/>
      <c r="N24" s="115"/>
      <c r="O24" s="925">
        <v>2126</v>
      </c>
      <c r="P24" s="134"/>
      <c r="Q24" s="134"/>
      <c r="R24" s="135"/>
      <c r="S24" s="134"/>
      <c r="T24" s="133"/>
    </row>
    <row r="25" spans="1:20" ht="12" customHeight="1">
      <c r="A25" s="57" t="s">
        <v>884</v>
      </c>
      <c r="B25" s="74"/>
      <c r="C25" s="114">
        <v>3529</v>
      </c>
      <c r="D25" s="114">
        <v>3636</v>
      </c>
      <c r="E25" s="114">
        <v>3813</v>
      </c>
      <c r="F25" s="114">
        <v>3962</v>
      </c>
      <c r="G25" s="269">
        <v>3841</v>
      </c>
      <c r="H25" s="1139"/>
      <c r="I25" s="1140"/>
      <c r="J25" s="479"/>
      <c r="K25" s="1141"/>
      <c r="L25" s="1141"/>
      <c r="M25" s="1142"/>
      <c r="N25" s="115"/>
      <c r="O25" s="925">
        <v>3433</v>
      </c>
      <c r="P25" s="134"/>
      <c r="Q25" s="134"/>
      <c r="R25" s="135"/>
      <c r="S25" s="134"/>
      <c r="T25" s="133"/>
    </row>
    <row r="26" spans="1:20" ht="12" customHeight="1">
      <c r="A26" s="57" t="s">
        <v>885</v>
      </c>
      <c r="B26" s="74"/>
      <c r="C26" s="114"/>
      <c r="D26" s="114"/>
      <c r="E26" s="114"/>
      <c r="F26" s="114"/>
      <c r="G26" s="269"/>
      <c r="H26" s="1139"/>
      <c r="I26" s="1140"/>
      <c r="J26" s="479"/>
      <c r="K26" s="1141"/>
      <c r="L26" s="1141"/>
      <c r="M26" s="1142"/>
      <c r="N26" s="115"/>
      <c r="O26" s="925"/>
      <c r="P26" s="134"/>
      <c r="Q26" s="134"/>
      <c r="R26" s="135"/>
      <c r="S26" s="134"/>
      <c r="T26" s="133"/>
    </row>
    <row r="27" spans="1:20" ht="12" customHeight="1">
      <c r="A27" s="57" t="s">
        <v>886</v>
      </c>
      <c r="B27" s="74"/>
      <c r="C27" s="114">
        <v>1311</v>
      </c>
      <c r="D27" s="114">
        <v>1379</v>
      </c>
      <c r="E27" s="114">
        <v>1428</v>
      </c>
      <c r="F27" s="114">
        <v>1500</v>
      </c>
      <c r="G27" s="269">
        <v>1601</v>
      </c>
      <c r="H27" s="1139"/>
      <c r="I27" s="1140"/>
      <c r="J27" s="479"/>
      <c r="K27" s="1141"/>
      <c r="L27" s="1141"/>
      <c r="M27" s="1142"/>
      <c r="N27" s="115"/>
      <c r="O27" s="925">
        <v>2307</v>
      </c>
      <c r="P27" s="134"/>
      <c r="Q27" s="134"/>
      <c r="R27" s="135"/>
      <c r="S27" s="134"/>
      <c r="T27" s="133"/>
    </row>
    <row r="28" spans="1:20" ht="12" customHeight="1">
      <c r="A28" s="57" t="s">
        <v>887</v>
      </c>
      <c r="B28" s="74"/>
      <c r="C28" s="114"/>
      <c r="D28" s="114"/>
      <c r="E28" s="114"/>
      <c r="F28" s="114"/>
      <c r="G28" s="113"/>
      <c r="H28" s="1143"/>
      <c r="I28" s="1144"/>
      <c r="J28" s="479"/>
      <c r="K28" s="1145"/>
      <c r="L28" s="1145"/>
      <c r="M28" s="1146"/>
      <c r="N28" s="115"/>
      <c r="O28" s="956">
        <v>0</v>
      </c>
      <c r="P28" s="134"/>
      <c r="Q28" s="134"/>
      <c r="R28" s="135"/>
      <c r="S28" s="134"/>
      <c r="T28" s="133"/>
    </row>
    <row r="29" spans="1:20" ht="12" customHeight="1">
      <c r="A29" s="57" t="s">
        <v>888</v>
      </c>
      <c r="B29" s="74"/>
      <c r="C29" s="140"/>
      <c r="D29" s="140"/>
      <c r="E29" s="140"/>
      <c r="F29" s="140"/>
      <c r="G29" s="139"/>
      <c r="H29" s="947"/>
      <c r="I29" s="415"/>
      <c r="J29" s="125"/>
      <c r="K29" s="137"/>
      <c r="L29" s="137"/>
      <c r="M29" s="136"/>
      <c r="N29" s="115"/>
      <c r="O29" s="947"/>
      <c r="P29" s="137"/>
      <c r="Q29" s="137"/>
      <c r="R29" s="138"/>
      <c r="S29" s="137"/>
      <c r="T29" s="136"/>
    </row>
    <row r="30" spans="1:20" ht="12" customHeight="1">
      <c r="A30" s="57" t="s">
        <v>889</v>
      </c>
      <c r="B30" s="74"/>
      <c r="C30" s="140"/>
      <c r="D30" s="140"/>
      <c r="E30" s="140"/>
      <c r="F30" s="140"/>
      <c r="G30" s="139"/>
      <c r="H30" s="947"/>
      <c r="I30" s="415"/>
      <c r="J30" s="125"/>
      <c r="K30" s="137"/>
      <c r="L30" s="137"/>
      <c r="M30" s="136"/>
      <c r="N30" s="115"/>
      <c r="O30" s="947"/>
      <c r="P30" s="137"/>
      <c r="Q30" s="137"/>
      <c r="R30" s="138"/>
      <c r="S30" s="137"/>
      <c r="T30" s="136"/>
    </row>
    <row r="31" spans="1:20" s="295" customFormat="1" ht="12" customHeight="1">
      <c r="A31" s="112" t="s">
        <v>890</v>
      </c>
      <c r="B31" s="111"/>
      <c r="C31" s="110">
        <f t="shared" ref="C31:M31" si="4">SUM(C22:C30)</f>
        <v>89622.766000000003</v>
      </c>
      <c r="D31" s="110">
        <f t="shared" si="4"/>
        <v>90051.638000000006</v>
      </c>
      <c r="E31" s="110">
        <f t="shared" si="4"/>
        <v>94418</v>
      </c>
      <c r="F31" s="110">
        <f t="shared" si="4"/>
        <v>98131</v>
      </c>
      <c r="G31" s="499">
        <f t="shared" si="4"/>
        <v>95274</v>
      </c>
      <c r="H31" s="920">
        <f t="shared" si="4"/>
        <v>0</v>
      </c>
      <c r="I31" s="271">
        <f t="shared" si="4"/>
        <v>0</v>
      </c>
      <c r="J31" s="81">
        <f t="shared" si="4"/>
        <v>0</v>
      </c>
      <c r="K31" s="272">
        <f t="shared" si="4"/>
        <v>0</v>
      </c>
      <c r="L31" s="272">
        <f t="shared" si="4"/>
        <v>0</v>
      </c>
      <c r="M31" s="270">
        <f t="shared" si="4"/>
        <v>0</v>
      </c>
      <c r="N31" s="115"/>
      <c r="O31" s="920">
        <f>SUM(O22:O30)</f>
        <v>86040.198699999994</v>
      </c>
      <c r="P31" s="81"/>
      <c r="Q31" s="81"/>
      <c r="R31" s="81"/>
      <c r="S31" s="81"/>
      <c r="T31" s="80"/>
    </row>
    <row r="32" spans="1:20" ht="12" customHeight="1">
      <c r="A32" s="109" t="s">
        <v>879</v>
      </c>
      <c r="B32" s="68"/>
      <c r="C32" s="71"/>
      <c r="D32" s="71">
        <f t="shared" ref="D32:I32" si="5">+D31/C31-1</f>
        <v>4.7853019845427447E-3</v>
      </c>
      <c r="E32" s="71">
        <f t="shared" si="5"/>
        <v>4.8487313467857174E-2</v>
      </c>
      <c r="F32" s="71">
        <f t="shared" si="5"/>
        <v>3.9325128683090016E-2</v>
      </c>
      <c r="G32" s="273">
        <f t="shared" si="5"/>
        <v>-2.9114143339005971E-2</v>
      </c>
      <c r="H32" s="921">
        <f t="shared" si="5"/>
        <v>-1</v>
      </c>
      <c r="I32" s="274" t="e">
        <f t="shared" si="5"/>
        <v>#DIV/0!</v>
      </c>
      <c r="J32" s="275"/>
      <c r="K32" s="276" t="e">
        <f>+K31/I31-1</f>
        <v>#DIV/0!</v>
      </c>
      <c r="L32" s="276" t="e">
        <f>+L31/K31-1</f>
        <v>#DIV/0!</v>
      </c>
      <c r="M32" s="273" t="e">
        <f>+M31/L31-1</f>
        <v>#DIV/0!</v>
      </c>
      <c r="N32" s="115"/>
      <c r="O32" s="921">
        <f>+O31/G31-1</f>
        <v>-9.6918375422465841E-2</v>
      </c>
      <c r="P32" s="71"/>
      <c r="Q32" s="71"/>
      <c r="R32" s="71"/>
      <c r="S32" s="71"/>
      <c r="T32" s="70"/>
    </row>
    <row r="33" spans="1:20" ht="12" customHeight="1">
      <c r="A33" s="68"/>
      <c r="B33" s="69"/>
      <c r="C33" s="69"/>
      <c r="D33" s="69"/>
      <c r="E33" s="69"/>
      <c r="F33" s="69"/>
      <c r="G33" s="419"/>
      <c r="H33" s="902"/>
      <c r="I33" s="902"/>
      <c r="J33" s="69"/>
      <c r="K33" s="419"/>
      <c r="L33" s="419"/>
      <c r="M33" s="419"/>
      <c r="N33" s="115"/>
      <c r="O33" s="902"/>
      <c r="P33" s="69"/>
      <c r="Q33" s="69"/>
      <c r="R33" s="67"/>
      <c r="S33" s="67"/>
      <c r="T33" s="67"/>
    </row>
    <row r="34" spans="1:20" ht="15.65" customHeight="1">
      <c r="A34" s="62" t="s">
        <v>891</v>
      </c>
      <c r="B34" s="62"/>
      <c r="C34" s="62"/>
      <c r="D34" s="62"/>
      <c r="E34" s="62"/>
      <c r="F34" s="62"/>
      <c r="G34" s="420"/>
      <c r="H34" s="946"/>
      <c r="I34" s="946"/>
      <c r="J34" s="61"/>
      <c r="K34" s="412"/>
      <c r="L34" s="412"/>
      <c r="M34" s="413"/>
      <c r="N34" s="115"/>
      <c r="O34" s="946"/>
      <c r="P34" s="61"/>
      <c r="Q34" s="61"/>
      <c r="R34" s="61"/>
      <c r="S34" s="61"/>
      <c r="T34" s="61"/>
    </row>
    <row r="35" spans="1:20" ht="12" customHeight="1">
      <c r="A35" s="62" t="s">
        <v>892</v>
      </c>
      <c r="B35" s="62"/>
      <c r="C35" s="62"/>
      <c r="D35" s="62"/>
      <c r="E35" s="62"/>
      <c r="F35" s="62"/>
      <c r="G35" s="420"/>
      <c r="H35" s="946"/>
      <c r="I35" s="946"/>
      <c r="J35" s="61"/>
      <c r="K35" s="412"/>
      <c r="L35" s="412"/>
      <c r="M35" s="412"/>
      <c r="N35" s="115"/>
      <c r="O35" s="946"/>
      <c r="P35" s="61"/>
      <c r="Q35" s="61"/>
      <c r="R35" s="61"/>
      <c r="S35" s="61"/>
      <c r="T35" s="61"/>
    </row>
    <row r="36" spans="1:20" s="257" customFormat="1" ht="12" customHeight="1">
      <c r="A36" s="1235" t="s">
        <v>893</v>
      </c>
      <c r="B36" s="59"/>
      <c r="C36" s="1236">
        <v>62140</v>
      </c>
      <c r="D36" s="1236">
        <v>56388.88</v>
      </c>
      <c r="E36" s="1236">
        <v>52029</v>
      </c>
      <c r="F36" s="1236">
        <v>49270.650263620388</v>
      </c>
      <c r="G36" s="1225">
        <v>38462</v>
      </c>
      <c r="H36" s="1226">
        <f>'ANSP WACC (CAR)'!Z72</f>
        <v>21962.503685848798</v>
      </c>
      <c r="I36" s="1227">
        <f>'ANSP WACC (CAR)'!AA72</f>
        <v>31661.666373059204</v>
      </c>
      <c r="J36" s="1228">
        <f>SUM(H36:I36)</f>
        <v>53624.170058907999</v>
      </c>
      <c r="K36" s="1229">
        <f>'ANSP WACC (CAR)'!AB72</f>
        <v>38576.283519847253</v>
      </c>
      <c r="L36" s="1229">
        <f>'ANSP WACC (CAR)'!AC72</f>
        <v>47551.656354088213</v>
      </c>
      <c r="M36" s="1230">
        <f>'ANSP WACC (CAR)'!AD72</f>
        <v>49884.767458301198</v>
      </c>
      <c r="N36" s="115"/>
      <c r="O36" s="1237">
        <v>36925.200899999996</v>
      </c>
      <c r="P36" s="1232"/>
      <c r="Q36" s="1232"/>
      <c r="R36" s="1233"/>
      <c r="S36" s="1232"/>
      <c r="T36" s="1234"/>
    </row>
    <row r="37" spans="1:20" s="257" customFormat="1" ht="12" customHeight="1">
      <c r="A37" s="298" t="s">
        <v>894</v>
      </c>
      <c r="B37" s="59"/>
      <c r="C37" s="65"/>
      <c r="D37" s="65"/>
      <c r="E37" s="65"/>
      <c r="F37" s="65"/>
      <c r="G37" s="65"/>
      <c r="H37" s="1139">
        <v>0</v>
      </c>
      <c r="I37" s="1140">
        <v>0</v>
      </c>
      <c r="J37" s="479">
        <f t="shared" ref="J37:J38" si="6">SUM(H37:I37)</f>
        <v>0</v>
      </c>
      <c r="K37" s="1141">
        <v>0</v>
      </c>
      <c r="L37" s="1141">
        <v>0</v>
      </c>
      <c r="M37" s="1142">
        <v>0</v>
      </c>
      <c r="N37" s="115"/>
      <c r="O37" s="925">
        <v>0</v>
      </c>
      <c r="P37" s="134"/>
      <c r="Q37" s="134"/>
      <c r="R37" s="135"/>
      <c r="S37" s="134"/>
      <c r="T37" s="133"/>
    </row>
    <row r="38" spans="1:20" s="257" customFormat="1" ht="12" customHeight="1">
      <c r="A38" s="298" t="s">
        <v>895</v>
      </c>
      <c r="B38" s="59"/>
      <c r="C38" s="65"/>
      <c r="D38" s="65"/>
      <c r="E38" s="65"/>
      <c r="F38" s="65"/>
      <c r="G38" s="269"/>
      <c r="H38" s="1139">
        <v>0</v>
      </c>
      <c r="I38" s="1140">
        <v>0</v>
      </c>
      <c r="J38" s="479">
        <f t="shared" si="6"/>
        <v>0</v>
      </c>
      <c r="K38" s="1141">
        <v>0</v>
      </c>
      <c r="L38" s="1141">
        <v>0</v>
      </c>
      <c r="M38" s="1142">
        <v>0</v>
      </c>
      <c r="N38" s="115"/>
      <c r="O38" s="925">
        <v>0</v>
      </c>
      <c r="P38" s="134"/>
      <c r="Q38" s="134"/>
      <c r="R38" s="135"/>
      <c r="S38" s="134"/>
      <c r="T38" s="133"/>
    </row>
    <row r="39" spans="1:20" s="257" customFormat="1" ht="12" customHeight="1">
      <c r="A39" s="301" t="s">
        <v>896</v>
      </c>
      <c r="B39" s="59"/>
      <c r="C39" s="96">
        <f t="shared" ref="C39:M39" si="7">SUM(C36:C38)</f>
        <v>62140</v>
      </c>
      <c r="D39" s="96">
        <f t="shared" si="7"/>
        <v>56388.88</v>
      </c>
      <c r="E39" s="96">
        <f t="shared" si="7"/>
        <v>52029</v>
      </c>
      <c r="F39" s="96">
        <f t="shared" si="7"/>
        <v>49270.650263620388</v>
      </c>
      <c r="G39" s="302">
        <f t="shared" si="7"/>
        <v>38462</v>
      </c>
      <c r="H39" s="928">
        <f>SUM(H36:H38)</f>
        <v>21962.503685848798</v>
      </c>
      <c r="I39" s="303">
        <f t="shared" si="7"/>
        <v>31661.666373059204</v>
      </c>
      <c r="J39" s="304"/>
      <c r="K39" s="302">
        <f t="shared" si="7"/>
        <v>38576.283519847253</v>
      </c>
      <c r="L39" s="302">
        <f t="shared" si="7"/>
        <v>47551.656354088213</v>
      </c>
      <c r="M39" s="305">
        <f t="shared" si="7"/>
        <v>49884.767458301198</v>
      </c>
      <c r="N39" s="115"/>
      <c r="O39" s="928">
        <f>SUM(O36:O38)</f>
        <v>36925.200899999996</v>
      </c>
      <c r="P39" s="96"/>
      <c r="Q39" s="96"/>
      <c r="R39" s="96"/>
      <c r="S39" s="96"/>
      <c r="T39" s="98"/>
    </row>
    <row r="40" spans="1:20" ht="12" customHeight="1">
      <c r="A40" s="62" t="s">
        <v>897</v>
      </c>
      <c r="B40" s="62"/>
      <c r="C40" s="62"/>
      <c r="D40" s="62"/>
      <c r="E40" s="62"/>
      <c r="F40" s="62"/>
      <c r="G40" s="420"/>
      <c r="H40" s="948"/>
      <c r="I40" s="948"/>
      <c r="J40" s="60"/>
      <c r="K40" s="421"/>
      <c r="L40" s="421"/>
      <c r="M40" s="421"/>
      <c r="N40" s="115"/>
      <c r="O40" s="948"/>
      <c r="P40" s="60"/>
      <c r="Q40" s="60"/>
      <c r="R40" s="1238"/>
      <c r="S40" s="1238"/>
      <c r="T40" s="1238"/>
    </row>
    <row r="41" spans="1:20" s="257" customFormat="1" ht="12" customHeight="1">
      <c r="A41" s="1239" t="s">
        <v>898</v>
      </c>
      <c r="B41" s="59"/>
      <c r="C41" s="1240">
        <f t="shared" ref="C41:L41" si="8">C16/C39</f>
        <v>0.1069</v>
      </c>
      <c r="D41" s="1240">
        <f t="shared" si="8"/>
        <v>0.1081</v>
      </c>
      <c r="E41" s="1240">
        <f t="shared" si="8"/>
        <v>0.11039996924791944</v>
      </c>
      <c r="F41" s="1240">
        <f t="shared" si="8"/>
        <v>0.1138</v>
      </c>
      <c r="G41" s="1241">
        <f t="shared" si="8"/>
        <v>0.11380063439238729</v>
      </c>
      <c r="H41" s="1242">
        <f>H16/H39</f>
        <v>5.2056547284830543E-2</v>
      </c>
      <c r="I41" s="1243">
        <f>I16/I39</f>
        <v>7.7815142472027032E-2</v>
      </c>
      <c r="J41" s="1228"/>
      <c r="K41" s="1244">
        <f t="shared" si="8"/>
        <v>7.9617102841332485E-2</v>
      </c>
      <c r="L41" s="1244">
        <f t="shared" si="8"/>
        <v>7.5158880282630416E-2</v>
      </c>
      <c r="M41" s="1245">
        <f>M16/M39</f>
        <v>7.0297782506595949E-2</v>
      </c>
      <c r="N41" s="115"/>
      <c r="O41" s="1246">
        <f>O16/O39</f>
        <v>0.05</v>
      </c>
      <c r="P41" s="1240"/>
      <c r="Q41" s="1240"/>
      <c r="R41" s="1247"/>
      <c r="S41" s="1248"/>
      <c r="T41" s="1249"/>
    </row>
    <row r="42" spans="1:20" s="257" customFormat="1" ht="12" customHeight="1">
      <c r="A42" s="64" t="s">
        <v>899</v>
      </c>
      <c r="B42" s="59"/>
      <c r="C42" s="307">
        <v>0.1069</v>
      </c>
      <c r="D42" s="307">
        <v>0.1081</v>
      </c>
      <c r="E42" s="307">
        <v>0.1104</v>
      </c>
      <c r="F42" s="307">
        <v>0.1138</v>
      </c>
      <c r="G42" s="307">
        <v>0.1138</v>
      </c>
      <c r="H42" s="1147">
        <f>'ANSP WACC (CAR)'!Z54</f>
        <v>6.3331007740404219E-2</v>
      </c>
      <c r="I42" s="1147">
        <f>'ANSP WACC (CAR)'!AA54</f>
        <v>8.7035732526885221E-2</v>
      </c>
      <c r="J42" s="479"/>
      <c r="K42" s="1147">
        <f>'ANSP WACC (CAR)'!AB54</f>
        <v>9.0422121782096659E-2</v>
      </c>
      <c r="L42" s="1147">
        <f>'ANSP WACC (CAR)'!AC54</f>
        <v>9.1550918200500722E-2</v>
      </c>
      <c r="M42" s="1148">
        <f>'ANSP WACC (CAR)'!AD54</f>
        <v>9.1550918200500722E-2</v>
      </c>
      <c r="N42" s="115"/>
      <c r="O42" s="500">
        <v>9.7049999999999997E-2</v>
      </c>
      <c r="P42" s="314"/>
      <c r="Q42" s="314"/>
      <c r="R42" s="423"/>
      <c r="S42" s="312"/>
      <c r="T42" s="313"/>
    </row>
    <row r="43" spans="1:20" s="257" customFormat="1" ht="12" customHeight="1">
      <c r="A43" s="64" t="s">
        <v>900</v>
      </c>
      <c r="B43" s="59"/>
      <c r="C43" s="307"/>
      <c r="D43" s="307"/>
      <c r="E43" s="307"/>
      <c r="F43" s="501"/>
      <c r="G43" s="502"/>
      <c r="H43" s="1147">
        <f>'ANSP WACC (CAR)'!Z57</f>
        <v>-3.8249383629191946E-3</v>
      </c>
      <c r="I43" s="1147">
        <f>'ANSP WACC (CAR)'!AA57</f>
        <v>1.7199861932938765E-2</v>
      </c>
      <c r="J43" s="479"/>
      <c r="K43" s="1147">
        <f>'ANSP WACC (CAR)'!AB57</f>
        <v>2.020340483234695E-2</v>
      </c>
      <c r="L43" s="1147">
        <f>'ANSP WACC (CAR)'!AC57</f>
        <v>2.1204585798816566E-2</v>
      </c>
      <c r="M43" s="1148">
        <f>'ANSP WACC (CAR)'!AD57</f>
        <v>2.1204585798816566E-2</v>
      </c>
      <c r="N43" s="115"/>
      <c r="O43" s="500">
        <v>3.0000000000000001E-3</v>
      </c>
      <c r="P43" s="314"/>
      <c r="Q43" s="314"/>
      <c r="R43" s="423"/>
      <c r="S43" s="312"/>
      <c r="T43" s="313"/>
    </row>
    <row r="44" spans="1:20" s="257" customFormat="1" ht="12" customHeight="1">
      <c r="A44" s="63" t="s">
        <v>901</v>
      </c>
      <c r="B44" s="59"/>
      <c r="C44" s="315">
        <v>1</v>
      </c>
      <c r="D44" s="315">
        <v>1</v>
      </c>
      <c r="E44" s="315">
        <v>1</v>
      </c>
      <c r="F44" s="315">
        <v>1</v>
      </c>
      <c r="G44" s="315">
        <v>1</v>
      </c>
      <c r="H44" s="1149">
        <f>'ANSP WACC (CAR)'!Z43</f>
        <v>0.5</v>
      </c>
      <c r="I44" s="1149">
        <f>'ANSP WACC (CAR)'!AA43</f>
        <v>0.5</v>
      </c>
      <c r="J44" s="1150"/>
      <c r="K44" s="1149">
        <f>'ANSP WACC (CAR)'!AB43</f>
        <v>0.5</v>
      </c>
      <c r="L44" s="1149">
        <f>'ANSP WACC (CAR)'!AC43</f>
        <v>0.5</v>
      </c>
      <c r="M44" s="1151">
        <f>'ANSP WACC (CAR)'!AD43</f>
        <v>0.5</v>
      </c>
      <c r="N44" s="115"/>
      <c r="O44" s="424">
        <v>0.5</v>
      </c>
      <c r="P44" s="425"/>
      <c r="Q44" s="425"/>
      <c r="R44" s="426"/>
      <c r="S44" s="320"/>
      <c r="T44" s="1250"/>
    </row>
    <row r="45" spans="1:20" s="257" customFormat="1" ht="5.5" customHeight="1">
      <c r="A45" s="61"/>
      <c r="B45" s="44"/>
      <c r="C45" s="44"/>
      <c r="D45" s="44"/>
      <c r="E45" s="44"/>
      <c r="F45" s="44"/>
      <c r="G45" s="427"/>
      <c r="H45" s="949"/>
      <c r="I45" s="949"/>
      <c r="J45" s="322"/>
      <c r="K45" s="428"/>
      <c r="L45" s="428"/>
      <c r="M45" s="428"/>
      <c r="N45" s="115"/>
      <c r="O45" s="949"/>
      <c r="P45" s="322"/>
      <c r="Q45" s="322"/>
      <c r="R45" s="503"/>
      <c r="S45" s="325"/>
      <c r="T45" s="325"/>
    </row>
    <row r="46" spans="1:20" s="328" customFormat="1" ht="12" customHeight="1">
      <c r="A46" s="55" t="s">
        <v>902</v>
      </c>
      <c r="B46" s="44"/>
      <c r="C46" s="44"/>
      <c r="D46" s="44"/>
      <c r="E46" s="44"/>
      <c r="F46" s="44"/>
      <c r="G46" s="427"/>
      <c r="H46" s="950"/>
      <c r="I46" s="950"/>
      <c r="J46" s="47"/>
      <c r="K46" s="429"/>
      <c r="L46" s="429"/>
      <c r="M46" s="429"/>
      <c r="N46" s="115"/>
      <c r="O46" s="950"/>
      <c r="P46" s="47"/>
      <c r="Q46" s="47"/>
      <c r="R46" s="108"/>
      <c r="S46" s="108"/>
      <c r="T46" s="108"/>
    </row>
    <row r="47" spans="1:20" s="327" customFormat="1" ht="12" customHeight="1">
      <c r="A47" s="1548" t="s">
        <v>903</v>
      </c>
      <c r="B47" s="104"/>
      <c r="C47" s="132">
        <v>0</v>
      </c>
      <c r="D47" s="132">
        <v>0</v>
      </c>
      <c r="E47" s="132">
        <v>0</v>
      </c>
      <c r="F47" s="132">
        <v>0</v>
      </c>
      <c r="G47" s="132">
        <v>0</v>
      </c>
      <c r="H47" s="1251">
        <v>0</v>
      </c>
      <c r="I47" s="481">
        <v>0</v>
      </c>
      <c r="J47" s="433">
        <f>H47+I47</f>
        <v>0</v>
      </c>
      <c r="K47" s="482">
        <v>0</v>
      </c>
      <c r="L47" s="482">
        <v>0</v>
      </c>
      <c r="M47" s="483">
        <v>0</v>
      </c>
      <c r="N47" s="115"/>
      <c r="O47" s="1251">
        <v>0</v>
      </c>
      <c r="P47" s="504"/>
      <c r="Q47" s="131"/>
      <c r="R47" s="130"/>
      <c r="S47" s="107"/>
      <c r="T47" s="106"/>
    </row>
    <row r="48" spans="1:20" s="257" customFormat="1" ht="5.5" customHeight="1">
      <c r="A48" s="61"/>
      <c r="B48" s="44"/>
      <c r="C48" s="44"/>
      <c r="D48" s="44"/>
      <c r="E48" s="44"/>
      <c r="F48" s="44"/>
      <c r="G48" s="505"/>
      <c r="H48" s="896"/>
      <c r="I48" s="896"/>
      <c r="J48" s="322"/>
      <c r="K48" s="506"/>
      <c r="L48" s="506"/>
      <c r="M48" s="506"/>
      <c r="N48" s="115"/>
      <c r="O48" s="896"/>
      <c r="P48" s="322"/>
      <c r="Q48" s="322"/>
      <c r="R48" s="324"/>
      <c r="S48" s="325"/>
      <c r="T48" s="325"/>
    </row>
    <row r="49" spans="1:20" s="334" customFormat="1" ht="12" customHeight="1">
      <c r="A49" s="58" t="s">
        <v>904</v>
      </c>
      <c r="B49" s="43"/>
      <c r="C49" s="43"/>
      <c r="D49" s="43"/>
      <c r="E49" s="43"/>
      <c r="F49" s="43"/>
      <c r="G49" s="435"/>
      <c r="H49" s="951"/>
      <c r="I49" s="951"/>
      <c r="J49" s="66"/>
      <c r="K49" s="436"/>
      <c r="L49" s="436"/>
      <c r="M49" s="436"/>
      <c r="N49" s="115"/>
      <c r="O49" s="951"/>
      <c r="P49" s="66"/>
      <c r="Q49" s="66"/>
      <c r="R49" s="105"/>
      <c r="S49" s="105"/>
      <c r="T49" s="105"/>
    </row>
    <row r="50" spans="1:20" s="257" customFormat="1" ht="12" customHeight="1">
      <c r="A50" s="1235" t="s">
        <v>905</v>
      </c>
      <c r="B50" s="59"/>
      <c r="C50" s="1252"/>
      <c r="D50" s="1252"/>
      <c r="E50" s="1252"/>
      <c r="F50" s="1252"/>
      <c r="G50" s="1253"/>
      <c r="H50" s="1254">
        <f>H15</f>
        <v>6341.2508973642771</v>
      </c>
      <c r="I50" s="1218">
        <f>I15</f>
        <v>7600.5454305807725</v>
      </c>
      <c r="J50" s="1236">
        <f>H50+I50</f>
        <v>13941.796327945049</v>
      </c>
      <c r="K50" s="1218">
        <f t="shared" ref="K50:M51" si="9">K15</f>
        <v>8350.9634027243683</v>
      </c>
      <c r="L50" s="1255">
        <f t="shared" si="9"/>
        <v>8672.0195693434434</v>
      </c>
      <c r="M50" s="1255">
        <f t="shared" si="9"/>
        <v>7855.2419111026575</v>
      </c>
      <c r="N50" s="115"/>
      <c r="O50" s="1237">
        <f>O15</f>
        <v>6605.8677559999978</v>
      </c>
      <c r="P50" s="1256"/>
      <c r="Q50" s="1256"/>
      <c r="R50" s="1257"/>
      <c r="S50" s="1258"/>
      <c r="T50" s="1259"/>
    </row>
    <row r="51" spans="1:20" s="257" customFormat="1" ht="12" customHeight="1">
      <c r="A51" s="298" t="s">
        <v>906</v>
      </c>
      <c r="B51" s="59"/>
      <c r="C51" s="125"/>
      <c r="D51" s="125"/>
      <c r="E51" s="125"/>
      <c r="F51" s="125"/>
      <c r="G51" s="507"/>
      <c r="H51" s="508">
        <f>H16</f>
        <v>1143.2921116156531</v>
      </c>
      <c r="I51" s="494">
        <f>I16</f>
        <v>2463.7570797213893</v>
      </c>
      <c r="J51" s="65">
        <f>H51+I51</f>
        <v>3607.0491913370424</v>
      </c>
      <c r="K51" s="494">
        <f t="shared" si="9"/>
        <v>3071.3319322360785</v>
      </c>
      <c r="L51" s="290">
        <f t="shared" si="9"/>
        <v>3573.9292471576978</v>
      </c>
      <c r="M51" s="290">
        <f t="shared" si="9"/>
        <v>3506.788533175773</v>
      </c>
      <c r="N51" s="115"/>
      <c r="O51" s="980">
        <f>O16</f>
        <v>1846.260045</v>
      </c>
      <c r="P51" s="129"/>
      <c r="Q51" s="129"/>
      <c r="R51" s="128"/>
      <c r="S51" s="84"/>
      <c r="T51" s="103"/>
    </row>
    <row r="52" spans="1:20" s="257" customFormat="1" ht="12" customHeight="1">
      <c r="A52" s="63" t="s">
        <v>907</v>
      </c>
      <c r="B52" s="59"/>
      <c r="C52" s="338"/>
      <c r="D52" s="338"/>
      <c r="E52" s="338"/>
      <c r="F52" s="338"/>
      <c r="G52" s="509"/>
      <c r="H52" s="510">
        <v>0</v>
      </c>
      <c r="I52" s="511">
        <v>0</v>
      </c>
      <c r="J52" s="346">
        <f>H52+I52</f>
        <v>0</v>
      </c>
      <c r="K52" s="512">
        <v>0</v>
      </c>
      <c r="L52" s="512">
        <v>0</v>
      </c>
      <c r="M52" s="513">
        <v>0</v>
      </c>
      <c r="N52" s="115"/>
      <c r="O52" s="510">
        <v>0</v>
      </c>
      <c r="P52" s="514"/>
      <c r="Q52" s="514"/>
      <c r="R52" s="515"/>
      <c r="S52" s="320"/>
      <c r="T52" s="1250"/>
    </row>
    <row r="53" spans="1:20" s="257" customFormat="1" ht="5.5" customHeight="1">
      <c r="A53" s="61"/>
      <c r="B53" s="44"/>
      <c r="C53" s="44"/>
      <c r="D53" s="44"/>
      <c r="E53" s="44"/>
      <c r="F53" s="44"/>
      <c r="G53" s="427"/>
      <c r="H53" s="949"/>
      <c r="I53" s="949"/>
      <c r="J53" s="322"/>
      <c r="K53" s="428"/>
      <c r="L53" s="428"/>
      <c r="M53" s="428"/>
      <c r="N53" s="115"/>
      <c r="O53" s="949"/>
      <c r="P53" s="322"/>
      <c r="Q53" s="322"/>
      <c r="R53" s="324"/>
      <c r="S53" s="325"/>
      <c r="T53" s="325"/>
    </row>
    <row r="54" spans="1:20" s="334" customFormat="1" ht="12" customHeight="1">
      <c r="A54" s="58" t="s">
        <v>908</v>
      </c>
      <c r="B54" s="43"/>
      <c r="C54" s="43"/>
      <c r="D54" s="43"/>
      <c r="E54" s="43"/>
      <c r="F54" s="43"/>
      <c r="G54" s="435"/>
      <c r="H54" s="951"/>
      <c r="I54" s="951"/>
      <c r="J54" s="66"/>
      <c r="K54" s="436"/>
      <c r="L54" s="436"/>
      <c r="M54" s="436"/>
      <c r="N54" s="115"/>
      <c r="O54" s="951"/>
      <c r="P54" s="66"/>
      <c r="Q54" s="66"/>
      <c r="R54" s="105"/>
      <c r="S54" s="105"/>
      <c r="T54" s="105"/>
    </row>
    <row r="55" spans="1:20" s="343" customFormat="1" ht="12" customHeight="1">
      <c r="A55" s="1260" t="s">
        <v>909</v>
      </c>
      <c r="B55" s="104"/>
      <c r="C55" s="1261"/>
      <c r="D55" s="1261"/>
      <c r="E55" s="1261"/>
      <c r="F55" s="1262"/>
      <c r="G55" s="1263"/>
      <c r="H55" s="1264"/>
      <c r="I55" s="1265"/>
      <c r="J55" s="1261"/>
      <c r="K55" s="1266"/>
      <c r="L55" s="1266"/>
      <c r="M55" s="1263"/>
      <c r="N55" s="115"/>
      <c r="O55" s="1264"/>
      <c r="P55" s="1261"/>
      <c r="Q55" s="1261"/>
      <c r="R55" s="1267"/>
      <c r="S55" s="1267"/>
      <c r="T55" s="1268"/>
    </row>
    <row r="56" spans="1:20" s="257" customFormat="1" ht="12" customHeight="1">
      <c r="A56" s="298" t="s">
        <v>910</v>
      </c>
      <c r="B56" s="59"/>
      <c r="C56" s="125"/>
      <c r="D56" s="125"/>
      <c r="E56" s="125"/>
      <c r="F56" s="125"/>
      <c r="G56" s="136"/>
      <c r="H56" s="947"/>
      <c r="I56" s="415"/>
      <c r="J56" s="125"/>
      <c r="K56" s="137"/>
      <c r="L56" s="137"/>
      <c r="M56" s="136"/>
      <c r="N56" s="115"/>
      <c r="O56" s="947"/>
      <c r="P56" s="125"/>
      <c r="Q56" s="125"/>
      <c r="R56" s="124"/>
      <c r="S56" s="124"/>
      <c r="T56" s="123"/>
    </row>
    <row r="57" spans="1:20" s="257" customFormat="1" ht="12" customHeight="1">
      <c r="A57" s="63" t="s">
        <v>911</v>
      </c>
      <c r="B57" s="59"/>
      <c r="C57" s="338"/>
      <c r="D57" s="338"/>
      <c r="E57" s="338"/>
      <c r="F57" s="338"/>
      <c r="G57" s="443"/>
      <c r="H57" s="952"/>
      <c r="I57" s="444"/>
      <c r="J57" s="338"/>
      <c r="K57" s="438"/>
      <c r="L57" s="438"/>
      <c r="M57" s="443"/>
      <c r="N57" s="115"/>
      <c r="O57" s="952"/>
      <c r="P57" s="338"/>
      <c r="Q57" s="338"/>
      <c r="R57" s="445"/>
      <c r="S57" s="382"/>
      <c r="T57" s="1269"/>
    </row>
    <row r="58" spans="1:20" ht="12" customHeight="1">
      <c r="A58" s="102"/>
      <c r="B58" s="101"/>
      <c r="C58" s="101"/>
      <c r="D58" s="101"/>
      <c r="E58" s="101"/>
      <c r="F58" s="101"/>
      <c r="G58" s="446"/>
      <c r="H58" s="953"/>
      <c r="I58" s="953"/>
      <c r="J58" s="122"/>
      <c r="K58" s="447"/>
      <c r="L58" s="447"/>
      <c r="M58" s="447"/>
      <c r="N58" s="115"/>
      <c r="O58" s="953"/>
      <c r="P58" s="122"/>
      <c r="Q58" s="122"/>
      <c r="R58" s="100"/>
      <c r="S58" s="100"/>
      <c r="T58" s="100"/>
    </row>
    <row r="59" spans="1:20" ht="15.65" customHeight="1">
      <c r="A59" s="62" t="s">
        <v>912</v>
      </c>
      <c r="B59" s="62"/>
      <c r="C59" s="62"/>
      <c r="D59" s="62"/>
      <c r="E59" s="62"/>
      <c r="F59" s="62"/>
      <c r="G59" s="420"/>
      <c r="H59" s="946"/>
      <c r="I59" s="946"/>
      <c r="J59" s="61"/>
      <c r="K59" s="412"/>
      <c r="L59" s="412"/>
      <c r="M59" s="413"/>
      <c r="N59" s="115"/>
      <c r="O59" s="946"/>
      <c r="P59" s="61"/>
      <c r="Q59" s="61"/>
      <c r="R59" s="1214"/>
      <c r="S59" s="1214"/>
      <c r="T59" s="1214"/>
    </row>
    <row r="60" spans="1:20" ht="12" customHeight="1">
      <c r="A60" s="1270" t="s">
        <v>913</v>
      </c>
      <c r="B60" s="59"/>
      <c r="C60" s="1236">
        <f>'Misc. Items'!I40</f>
        <v>127</v>
      </c>
      <c r="D60" s="1236">
        <f>'Misc. Items'!J40</f>
        <v>127</v>
      </c>
      <c r="E60" s="1236">
        <f>'Misc. Items'!K40</f>
        <v>127</v>
      </c>
      <c r="F60" s="1236">
        <f>'Misc. Items'!L40</f>
        <v>127</v>
      </c>
      <c r="G60" s="1225">
        <f>'Misc. Items'!M40</f>
        <v>127</v>
      </c>
      <c r="H60" s="1225">
        <f>'Misc. Items'!N40</f>
        <v>127</v>
      </c>
      <c r="I60" s="1225">
        <f>'Misc. Items'!O40</f>
        <v>127</v>
      </c>
      <c r="J60" s="1236">
        <f>H60+I60</f>
        <v>254</v>
      </c>
      <c r="K60" s="1225">
        <f>'Misc. Items'!P40</f>
        <v>127</v>
      </c>
      <c r="L60" s="1225">
        <f>'Misc. Items'!Q40</f>
        <v>127</v>
      </c>
      <c r="M60" s="1225">
        <f>'Misc. Items'!R40</f>
        <v>127</v>
      </c>
      <c r="N60" s="115"/>
      <c r="O60" s="1225">
        <v>127</v>
      </c>
      <c r="P60" s="1232"/>
      <c r="Q60" s="1232"/>
      <c r="R60" s="1271"/>
      <c r="S60" s="1272"/>
      <c r="T60" s="1273"/>
    </row>
    <row r="61" spans="1:20" s="295" customFormat="1" ht="12" customHeight="1">
      <c r="A61" s="352" t="s">
        <v>914</v>
      </c>
      <c r="B61" s="99"/>
      <c r="C61" s="96">
        <f t="shared" ref="C61:M61" si="10">C18-C60</f>
        <v>89495.766000000003</v>
      </c>
      <c r="D61" s="96">
        <f t="shared" si="10"/>
        <v>89924.637927999996</v>
      </c>
      <c r="E61" s="96">
        <f t="shared" si="10"/>
        <v>94291</v>
      </c>
      <c r="F61" s="96">
        <f t="shared" si="10"/>
        <v>98004</v>
      </c>
      <c r="G61" s="302">
        <f t="shared" si="10"/>
        <v>95147</v>
      </c>
      <c r="H61" s="928">
        <f t="shared" si="10"/>
        <v>83979.813239319876</v>
      </c>
      <c r="I61" s="303">
        <f t="shared" si="10"/>
        <v>86179.402373383258</v>
      </c>
      <c r="J61" s="96">
        <f>J18-J60</f>
        <v>170159.21561270312</v>
      </c>
      <c r="K61" s="302">
        <f t="shared" si="10"/>
        <v>100148.89614797206</v>
      </c>
      <c r="L61" s="302">
        <f t="shared" si="10"/>
        <v>105020.09652605237</v>
      </c>
      <c r="M61" s="305">
        <f t="shared" si="10"/>
        <v>107530.0039097227</v>
      </c>
      <c r="N61" s="115"/>
      <c r="O61" s="928">
        <f>O18-O60</f>
        <v>85913.198678866669</v>
      </c>
      <c r="P61" s="96"/>
      <c r="Q61" s="96"/>
      <c r="R61" s="95"/>
      <c r="S61" s="94"/>
      <c r="T61" s="1274"/>
    </row>
    <row r="62" spans="1:20" s="356" customFormat="1" ht="12" customHeight="1">
      <c r="A62" s="61"/>
      <c r="B62" s="44"/>
      <c r="C62" s="44"/>
      <c r="D62" s="44"/>
      <c r="E62" s="44"/>
      <c r="F62" s="44"/>
      <c r="G62" s="427"/>
      <c r="H62" s="954"/>
      <c r="I62" s="954"/>
      <c r="J62" s="353"/>
      <c r="K62" s="448"/>
      <c r="L62" s="448"/>
      <c r="M62" s="448"/>
      <c r="N62" s="115"/>
      <c r="O62" s="954"/>
      <c r="P62" s="353"/>
      <c r="Q62" s="353"/>
      <c r="R62" s="355"/>
      <c r="S62" s="355"/>
      <c r="T62" s="355"/>
    </row>
    <row r="63" spans="1:20" ht="15.65" customHeight="1">
      <c r="A63" s="62" t="s">
        <v>915</v>
      </c>
      <c r="B63" s="62"/>
      <c r="C63" s="62"/>
      <c r="D63" s="62"/>
      <c r="E63" s="62"/>
      <c r="F63" s="62"/>
      <c r="G63" s="420"/>
      <c r="H63" s="946"/>
      <c r="I63" s="946"/>
      <c r="J63" s="61"/>
      <c r="K63" s="412"/>
      <c r="L63" s="412"/>
      <c r="M63" s="413"/>
      <c r="N63" s="115"/>
      <c r="O63" s="946"/>
      <c r="P63" s="61"/>
      <c r="Q63" s="61"/>
      <c r="R63" s="1214"/>
      <c r="S63" s="1214"/>
      <c r="T63" s="1214"/>
    </row>
    <row r="64" spans="1:20" s="357" customFormat="1" ht="12" customHeight="1">
      <c r="A64" s="1235" t="s">
        <v>916</v>
      </c>
      <c r="B64" s="44"/>
      <c r="C64" s="1275">
        <f>'Misc. Items'!I26</f>
        <v>0</v>
      </c>
      <c r="D64" s="1275">
        <f>'Misc. Items'!J26</f>
        <v>-2E-3</v>
      </c>
      <c r="E64" s="1275">
        <f>'Misc. Items'!K26</f>
        <v>3.0000000000000001E-3</v>
      </c>
      <c r="F64" s="1275">
        <f>'Misc. Items'!L26</f>
        <v>7.0000000000000001E-3</v>
      </c>
      <c r="G64" s="1276">
        <f>'Misc. Items'!M26</f>
        <v>8.9999999999999993E-3</v>
      </c>
      <c r="H64" s="1277">
        <f>'Misc. Items'!N26</f>
        <v>0</v>
      </c>
      <c r="I64" s="1278">
        <f>'Misc. Items'!O26</f>
        <v>1.6E-2</v>
      </c>
      <c r="J64" s="1279"/>
      <c r="K64" s="1280">
        <f>'Misc. Items'!P26</f>
        <v>1.9E-2</v>
      </c>
      <c r="L64" s="1280">
        <f>'Misc. Items'!Q26</f>
        <v>0.02</v>
      </c>
      <c r="M64" s="1276">
        <f>'Misc. Items'!R26</f>
        <v>0.02</v>
      </c>
      <c r="N64" s="115"/>
      <c r="O64" s="1277">
        <v>0</v>
      </c>
      <c r="P64" s="1278"/>
      <c r="Q64" s="1278"/>
      <c r="R64" s="1280"/>
      <c r="S64" s="1280"/>
      <c r="T64" s="1276"/>
    </row>
    <row r="65" spans="1:20" s="356" customFormat="1" ht="12" customHeight="1">
      <c r="A65" s="298" t="s">
        <v>917</v>
      </c>
      <c r="B65" s="44"/>
      <c r="C65" s="450">
        <f>'Misc. Items'!I27</f>
        <v>99.8994</v>
      </c>
      <c r="D65" s="450">
        <f>'Misc. Items'!J27</f>
        <v>99.7</v>
      </c>
      <c r="E65" s="450">
        <f>'Misc. Items'!K27</f>
        <v>100</v>
      </c>
      <c r="F65" s="450">
        <f>'Misc. Items'!L27</f>
        <v>100.69999999999999</v>
      </c>
      <c r="G65" s="453">
        <f>'Misc. Items'!M27</f>
        <v>101.60629999999998</v>
      </c>
      <c r="H65" s="955">
        <f>'Misc. Items'!N27</f>
        <v>101.60629999999998</v>
      </c>
      <c r="I65" s="452">
        <f>'Misc. Items'!O27</f>
        <v>103.23200079999998</v>
      </c>
      <c r="J65" s="359"/>
      <c r="K65" s="451">
        <f>'Misc. Items'!P27</f>
        <v>105.19340881519997</v>
      </c>
      <c r="L65" s="451">
        <f>'Misc. Items'!Q27</f>
        <v>107.29727699150398</v>
      </c>
      <c r="M65" s="453">
        <f>'Misc. Items'!R27</f>
        <v>109.44322253133406</v>
      </c>
      <c r="N65" s="115"/>
      <c r="O65" s="955">
        <v>101.60629999999998</v>
      </c>
      <c r="P65" s="452"/>
      <c r="Q65" s="452"/>
      <c r="R65" s="451"/>
      <c r="S65" s="451"/>
      <c r="T65" s="453"/>
    </row>
    <row r="66" spans="1:20" s="356" customFormat="1" ht="12" customHeight="1">
      <c r="A66" s="363" t="s">
        <v>918</v>
      </c>
      <c r="B66" s="82"/>
      <c r="C66" s="81">
        <f t="shared" ref="C66:M66" si="11">((C61-C15-C16)/(C65/100))+C15+C16</f>
        <v>89570.446088168697</v>
      </c>
      <c r="D66" s="81">
        <f t="shared" si="11"/>
        <v>90150.6640062347</v>
      </c>
      <c r="E66" s="81">
        <f t="shared" si="11"/>
        <v>94291</v>
      </c>
      <c r="F66" s="81">
        <f>((F61-F15-F16)/(F65/100))+F15+F16</f>
        <v>97430.020854021859</v>
      </c>
      <c r="G66" s="270">
        <f t="shared" si="11"/>
        <v>93832.903581766121</v>
      </c>
      <c r="H66" s="920">
        <f t="shared" si="11"/>
        <v>82770.494992606895</v>
      </c>
      <c r="I66" s="271">
        <f t="shared" si="11"/>
        <v>83796.381006528609</v>
      </c>
      <c r="J66" s="81">
        <f>H66+I66</f>
        <v>166566.87599913549</v>
      </c>
      <c r="K66" s="272">
        <f t="shared" si="11"/>
        <v>95768.455243974662</v>
      </c>
      <c r="L66" s="272">
        <f t="shared" si="11"/>
        <v>98710.536092930604</v>
      </c>
      <c r="M66" s="270">
        <f t="shared" si="11"/>
        <v>99232.225821530752</v>
      </c>
      <c r="N66" s="115"/>
      <c r="O66" s="920">
        <v>104572.84547700896</v>
      </c>
      <c r="P66" s="271"/>
      <c r="Q66" s="271"/>
      <c r="R66" s="272"/>
      <c r="S66" s="272"/>
      <c r="T66" s="270"/>
    </row>
    <row r="67" spans="1:20" s="356" customFormat="1" ht="12" customHeight="1">
      <c r="A67" s="52" t="s">
        <v>879</v>
      </c>
      <c r="B67" s="44"/>
      <c r="C67" s="364"/>
      <c r="D67" s="364">
        <f t="shared" ref="D67:I67" si="12">D66/C66-1</f>
        <v>6.4777830568674144E-3</v>
      </c>
      <c r="E67" s="364">
        <f t="shared" si="12"/>
        <v>4.5926849673330938E-2</v>
      </c>
      <c r="F67" s="364">
        <f t="shared" si="12"/>
        <v>3.3290779120190184E-2</v>
      </c>
      <c r="G67" s="368">
        <f t="shared" si="12"/>
        <v>-3.6920009261265041E-2</v>
      </c>
      <c r="H67" s="941">
        <f t="shared" si="12"/>
        <v>-0.11789477003148929</v>
      </c>
      <c r="I67" s="366">
        <f t="shared" si="12"/>
        <v>1.2394344313312988E-2</v>
      </c>
      <c r="J67" s="367"/>
      <c r="K67" s="365">
        <f>K66/I66-1</f>
        <v>0.14287101774136657</v>
      </c>
      <c r="L67" s="365">
        <f>L66/K66-1</f>
        <v>3.0720771693151461E-2</v>
      </c>
      <c r="M67" s="368">
        <f>M66/L66-1</f>
        <v>5.2850460472528837E-3</v>
      </c>
      <c r="N67" s="115"/>
      <c r="O67" s="941">
        <v>-7.4182111495144865E-2</v>
      </c>
      <c r="P67" s="366"/>
      <c r="Q67" s="366"/>
      <c r="R67" s="365"/>
      <c r="S67" s="365"/>
      <c r="T67" s="368"/>
    </row>
    <row r="68" spans="1:20" s="356" customFormat="1" ht="12" customHeight="1">
      <c r="A68" s="369" t="s">
        <v>919</v>
      </c>
      <c r="B68" s="370"/>
      <c r="C68" s="53">
        <f>'Misc. Items'!I36</f>
        <v>4182.45</v>
      </c>
      <c r="D68" s="53">
        <f>'Misc. Items'!J36</f>
        <v>4467.5950000000003</v>
      </c>
      <c r="E68" s="53">
        <f>'Misc. Items'!K36</f>
        <v>4465.2529999999997</v>
      </c>
      <c r="F68" s="53">
        <f>'Misc. Items'!L36</f>
        <v>4549.8827233000011</v>
      </c>
      <c r="G68" s="374">
        <f>'Misc. Items'!M36</f>
        <v>4640.8595650000007</v>
      </c>
      <c r="H68" s="942">
        <f>'Misc. Items'!N36</f>
        <v>1988.2902946000002</v>
      </c>
      <c r="I68" s="373">
        <f>'Misc. Items'!O36</f>
        <v>2072</v>
      </c>
      <c r="J68" s="53">
        <f>H68+I68</f>
        <v>4060.2902946000004</v>
      </c>
      <c r="K68" s="372">
        <f>'Misc. Items'!P36</f>
        <v>3202</v>
      </c>
      <c r="L68" s="372">
        <f>'Misc. Items'!Q36</f>
        <v>4039</v>
      </c>
      <c r="M68" s="374">
        <f>'Misc. Items'!R36</f>
        <v>4726</v>
      </c>
      <c r="N68" s="115"/>
      <c r="O68" s="942">
        <v>1988.2902946000002</v>
      </c>
      <c r="P68" s="894">
        <f>I68</f>
        <v>2072</v>
      </c>
      <c r="Q68" s="373"/>
      <c r="R68" s="372"/>
      <c r="S68" s="372"/>
      <c r="T68" s="374"/>
    </row>
    <row r="69" spans="1:20" s="356" customFormat="1" ht="12" customHeight="1">
      <c r="A69" s="52" t="s">
        <v>879</v>
      </c>
      <c r="B69" s="370"/>
      <c r="C69" s="364"/>
      <c r="D69" s="364">
        <f t="shared" ref="D69:I69" si="13">D68/C68-1</f>
        <v>6.8176547239058527E-2</v>
      </c>
      <c r="E69" s="364">
        <f t="shared" si="13"/>
        <v>-5.2421940663838207E-4</v>
      </c>
      <c r="F69" s="364">
        <f t="shared" si="13"/>
        <v>1.8952951445304844E-2</v>
      </c>
      <c r="G69" s="368">
        <f t="shared" si="13"/>
        <v>1.9995425647809872E-2</v>
      </c>
      <c r="H69" s="941">
        <f t="shared" si="13"/>
        <v>-0.57156852803840441</v>
      </c>
      <c r="I69" s="366">
        <f t="shared" si="13"/>
        <v>4.2101349902148089E-2</v>
      </c>
      <c r="J69" s="367"/>
      <c r="K69" s="365">
        <f>K68/I68-1</f>
        <v>0.54536679536679533</v>
      </c>
      <c r="L69" s="365">
        <f>L68/K68-1</f>
        <v>0.26139912554653333</v>
      </c>
      <c r="M69" s="368">
        <f>M68/L68-1</f>
        <v>0.17009160683337465</v>
      </c>
      <c r="N69" s="115"/>
      <c r="O69" s="941">
        <v>-0.57156852803840441</v>
      </c>
      <c r="P69" s="366"/>
      <c r="Q69" s="366"/>
      <c r="R69" s="365"/>
      <c r="S69" s="365"/>
      <c r="T69" s="368"/>
    </row>
    <row r="70" spans="1:20" s="356" customFormat="1" ht="12" customHeight="1">
      <c r="A70" s="369" t="s">
        <v>920</v>
      </c>
      <c r="B70" s="370"/>
      <c r="C70" s="51">
        <f t="shared" ref="C70:M70" si="14">C66/C68</f>
        <v>21.415784071099164</v>
      </c>
      <c r="D70" s="51">
        <f t="shared" si="14"/>
        <v>20.178790603498012</v>
      </c>
      <c r="E70" s="51">
        <f t="shared" si="14"/>
        <v>21.116608622176617</v>
      </c>
      <c r="F70" s="51">
        <f>F66/F68</f>
        <v>21.413743337840693</v>
      </c>
      <c r="G70" s="378">
        <f t="shared" si="14"/>
        <v>20.218862964401318</v>
      </c>
      <c r="H70" s="943">
        <f t="shared" si="14"/>
        <v>41.628979036614211</v>
      </c>
      <c r="I70" s="377">
        <f t="shared" si="14"/>
        <v>40.442268825544694</v>
      </c>
      <c r="J70" s="51">
        <f>J66/J68</f>
        <v>41.023390918787698</v>
      </c>
      <c r="K70" s="376">
        <f t="shared" si="14"/>
        <v>29.908949170510514</v>
      </c>
      <c r="L70" s="376">
        <f t="shared" si="14"/>
        <v>24.43935035724947</v>
      </c>
      <c r="M70" s="378">
        <f t="shared" si="14"/>
        <v>20.997085446790255</v>
      </c>
      <c r="N70" s="115"/>
      <c r="O70" s="943">
        <v>52.594354939526923</v>
      </c>
      <c r="P70" s="377"/>
      <c r="Q70" s="377"/>
      <c r="R70" s="376"/>
      <c r="S70" s="376"/>
      <c r="T70" s="378"/>
    </row>
    <row r="71" spans="1:20" ht="12" customHeight="1">
      <c r="A71" s="49" t="s">
        <v>879</v>
      </c>
      <c r="B71" s="370"/>
      <c r="C71" s="379"/>
      <c r="D71" s="379">
        <f t="shared" ref="D71:I71" si="15">+D70/C70-1</f>
        <v>-5.776083021263223E-2</v>
      </c>
      <c r="E71" s="379">
        <f t="shared" si="15"/>
        <v>4.6475432403566996E-2</v>
      </c>
      <c r="F71" s="379">
        <f t="shared" si="15"/>
        <v>1.407113807811089E-2</v>
      </c>
      <c r="G71" s="383">
        <f t="shared" si="15"/>
        <v>-5.579969623189962E-2</v>
      </c>
      <c r="H71" s="944">
        <f t="shared" si="15"/>
        <v>1.058917907990621</v>
      </c>
      <c r="I71" s="381">
        <f t="shared" si="15"/>
        <v>-2.8506829582002569E-2</v>
      </c>
      <c r="J71" s="382"/>
      <c r="K71" s="380">
        <f>+K70/I70-1</f>
        <v>-0.26045323274200138</v>
      </c>
      <c r="L71" s="380">
        <f>+L70/K70-1</f>
        <v>-0.1828749910964419</v>
      </c>
      <c r="M71" s="383">
        <f>+M70/L70-1</f>
        <v>-0.14084928036714905</v>
      </c>
      <c r="N71" s="115"/>
      <c r="O71" s="944">
        <v>1.1609474305562806</v>
      </c>
      <c r="P71" s="381"/>
      <c r="Q71" s="381"/>
      <c r="R71" s="380"/>
      <c r="S71" s="380"/>
      <c r="T71" s="383"/>
    </row>
    <row r="72" spans="1:20" s="327" customFormat="1" ht="12" customHeight="1">
      <c r="A72" s="48"/>
      <c r="B72" s="370"/>
      <c r="C72" s="93"/>
      <c r="D72" s="93"/>
      <c r="E72" s="93"/>
      <c r="F72" s="93"/>
      <c r="G72" s="93"/>
      <c r="H72" s="384"/>
      <c r="I72" s="384"/>
      <c r="J72" s="93"/>
      <c r="K72" s="93"/>
      <c r="L72" s="93"/>
      <c r="M72" s="93"/>
      <c r="N72" s="115"/>
    </row>
    <row r="73" spans="1:20" s="327" customFormat="1" ht="12" customHeight="1">
      <c r="A73" s="256" t="s">
        <v>921</v>
      </c>
      <c r="B73" s="257"/>
      <c r="C73" s="257"/>
      <c r="D73" s="257"/>
      <c r="E73" s="257"/>
      <c r="F73" s="257"/>
      <c r="G73" s="257"/>
      <c r="H73" s="256"/>
      <c r="I73" s="256"/>
      <c r="J73" s="257"/>
      <c r="K73" s="257"/>
      <c r="L73" s="257"/>
      <c r="M73" s="257"/>
      <c r="N73" s="115"/>
    </row>
    <row r="74" spans="1:20" s="334" customFormat="1" ht="12" customHeight="1">
      <c r="A74" s="385" t="s">
        <v>922</v>
      </c>
      <c r="B74" s="46"/>
      <c r="C74" s="46"/>
      <c r="D74" s="46"/>
      <c r="E74" s="46"/>
      <c r="F74" s="46"/>
      <c r="G74" s="46"/>
      <c r="H74" s="89"/>
      <c r="I74" s="89"/>
      <c r="J74" s="88"/>
      <c r="K74" s="92"/>
      <c r="L74" s="91"/>
      <c r="M74" s="90"/>
      <c r="N74" s="115"/>
    </row>
    <row r="75" spans="1:20" s="334" customFormat="1" ht="12" customHeight="1">
      <c r="A75" s="385" t="s">
        <v>923</v>
      </c>
      <c r="B75" s="77"/>
      <c r="C75" s="77"/>
      <c r="D75" s="77"/>
      <c r="E75" s="77"/>
      <c r="F75" s="77"/>
      <c r="G75" s="77"/>
      <c r="H75" s="89"/>
      <c r="I75" s="89"/>
      <c r="J75" s="89"/>
      <c r="K75" s="89"/>
      <c r="L75" s="386"/>
      <c r="M75" s="88"/>
      <c r="N75" s="115"/>
    </row>
    <row r="76" spans="1:20" ht="12" customHeight="1">
      <c r="A76" s="385" t="s">
        <v>924</v>
      </c>
      <c r="B76" s="45"/>
      <c r="C76" s="45"/>
      <c r="D76" s="45"/>
      <c r="E76" s="45"/>
      <c r="F76" s="45"/>
      <c r="G76" s="45"/>
      <c r="H76" s="387"/>
      <c r="I76" s="387"/>
      <c r="J76" s="388"/>
      <c r="K76" s="388"/>
      <c r="L76" s="389"/>
      <c r="M76" s="87"/>
      <c r="N76" s="115"/>
    </row>
    <row r="77" spans="1:20" s="334" customFormat="1" ht="12" customHeight="1">
      <c r="A77" s="390"/>
      <c r="B77" s="343"/>
      <c r="C77" s="343"/>
      <c r="D77" s="343"/>
      <c r="E77" s="343"/>
      <c r="F77" s="343"/>
      <c r="G77" s="343"/>
      <c r="H77" s="391"/>
      <c r="I77" s="391"/>
      <c r="J77" s="392"/>
      <c r="K77" s="392"/>
      <c r="L77" s="393"/>
      <c r="M77" s="87"/>
      <c r="N77" s="115"/>
    </row>
    <row r="78" spans="1:20" ht="12" customHeight="1">
      <c r="A78" s="86"/>
      <c r="B78" s="86"/>
      <c r="C78" s="86"/>
      <c r="D78" s="86"/>
      <c r="E78" s="86"/>
      <c r="F78" s="86"/>
      <c r="G78" s="86"/>
      <c r="H78" s="85"/>
      <c r="I78" s="85"/>
      <c r="J78" s="85"/>
      <c r="K78" s="85"/>
      <c r="L78" s="85"/>
      <c r="M78" s="388"/>
      <c r="N78" s="115"/>
    </row>
    <row r="79" spans="1:20" ht="12" customHeight="1">
      <c r="A79" s="43"/>
      <c r="B79" s="43"/>
      <c r="C79" s="43"/>
      <c r="D79" s="43"/>
      <c r="E79" s="43"/>
      <c r="F79" s="43"/>
      <c r="G79" s="43"/>
      <c r="H79" s="85"/>
      <c r="I79" s="85"/>
      <c r="J79" s="44"/>
      <c r="K79" s="44"/>
      <c r="L79" s="44"/>
      <c r="M79" s="44"/>
      <c r="N79" s="115"/>
    </row>
    <row r="80" spans="1:20" s="334" customFormat="1" ht="12" customHeight="1">
      <c r="A80" s="390"/>
      <c r="B80" s="343"/>
      <c r="C80" s="343"/>
      <c r="D80" s="394"/>
      <c r="E80" s="394"/>
      <c r="F80" s="394"/>
      <c r="G80" s="394"/>
      <c r="H80" s="394"/>
      <c r="I80" s="394"/>
      <c r="J80" s="40"/>
      <c r="K80" s="394"/>
      <c r="L80" s="394"/>
      <c r="M80" s="394"/>
      <c r="N80" s="115"/>
    </row>
    <row r="81" spans="1:14" ht="12" customHeight="1">
      <c r="A81" s="86"/>
      <c r="B81" s="86"/>
      <c r="C81" s="86"/>
      <c r="D81" s="86"/>
      <c r="E81" s="86"/>
      <c r="F81" s="395"/>
      <c r="G81" s="86"/>
      <c r="H81" s="86"/>
      <c r="I81" s="86"/>
      <c r="J81" s="41"/>
      <c r="K81" s="86"/>
      <c r="L81" s="86"/>
      <c r="M81" s="86"/>
      <c r="N81" s="516"/>
    </row>
    <row r="82" spans="1:14" ht="12" customHeight="1">
      <c r="A82" s="43"/>
      <c r="B82" s="43"/>
      <c r="C82" s="43"/>
      <c r="D82" s="43"/>
      <c r="E82" s="43"/>
      <c r="F82" s="43"/>
      <c r="G82" s="43"/>
      <c r="H82" s="86"/>
      <c r="I82" s="86"/>
      <c r="J82" s="41"/>
      <c r="K82" s="43"/>
      <c r="L82" s="43"/>
      <c r="M82" s="43"/>
      <c r="N82" s="392"/>
    </row>
    <row r="83" spans="1:14">
      <c r="C83" s="396"/>
      <c r="D83" s="396"/>
      <c r="E83" s="396"/>
      <c r="F83" s="396"/>
      <c r="G83" s="396"/>
      <c r="H83" s="397"/>
      <c r="I83" s="397"/>
      <c r="J83" s="120"/>
      <c r="K83" s="396"/>
      <c r="L83" s="396"/>
      <c r="M83" s="396"/>
      <c r="N83" s="40"/>
    </row>
    <row r="84" spans="1:14" ht="12" customHeight="1">
      <c r="A84" s="120"/>
      <c r="B84" s="120"/>
      <c r="C84" s="120"/>
      <c r="D84" s="120"/>
      <c r="E84" s="120"/>
      <c r="F84" s="120"/>
      <c r="G84" s="255"/>
      <c r="H84" s="255"/>
      <c r="I84" s="255"/>
      <c r="J84" s="120"/>
      <c r="K84" s="120"/>
      <c r="L84" s="120"/>
    </row>
    <row r="85" spans="1:14">
      <c r="J85" s="41"/>
    </row>
    <row r="86" spans="1:14">
      <c r="J86" s="41"/>
      <c r="M86" s="120"/>
      <c r="N86" s="120"/>
    </row>
    <row r="87" spans="1:14">
      <c r="J87" s="41"/>
    </row>
    <row r="88" spans="1:14">
      <c r="J88" s="41"/>
    </row>
    <row r="89" spans="1:14">
      <c r="J89" s="41"/>
    </row>
    <row r="90" spans="1:14">
      <c r="J90" s="41"/>
    </row>
    <row r="91" spans="1:14">
      <c r="J91" s="41"/>
    </row>
    <row r="92" spans="1:14">
      <c r="J92" s="41"/>
    </row>
    <row r="93" spans="1:14">
      <c r="J93" s="41"/>
    </row>
    <row r="94" spans="1:14">
      <c r="J94" s="41"/>
    </row>
    <row r="95" spans="1:14">
      <c r="J95" s="41"/>
    </row>
    <row r="96" spans="1:14">
      <c r="J96" s="41"/>
    </row>
    <row r="97" spans="10:10">
      <c r="J97" s="41"/>
    </row>
    <row r="98" spans="10:10">
      <c r="J98" s="41"/>
    </row>
    <row r="99" spans="10:10">
      <c r="J99" s="41"/>
    </row>
    <row r="100" spans="10:10">
      <c r="J100" s="41"/>
    </row>
    <row r="101" spans="10:10">
      <c r="J101" s="41"/>
    </row>
    <row r="102" spans="10:10">
      <c r="J102" s="41"/>
    </row>
    <row r="103" spans="10:10">
      <c r="J103" s="41"/>
    </row>
    <row r="104" spans="10:10">
      <c r="J104" s="41"/>
    </row>
    <row r="105" spans="10:10">
      <c r="J105" s="41"/>
    </row>
    <row r="106" spans="10:10">
      <c r="J106" s="41"/>
    </row>
    <row r="107" spans="10:10">
      <c r="J107" s="41"/>
    </row>
    <row r="108" spans="10:10">
      <c r="J108" s="41"/>
    </row>
    <row r="109" spans="10:10">
      <c r="J109" s="41"/>
    </row>
    <row r="110" spans="10:10">
      <c r="J110" s="41"/>
    </row>
    <row r="111" spans="10:10">
      <c r="J111" s="41"/>
    </row>
    <row r="112" spans="10:10">
      <c r="J112" s="41"/>
    </row>
    <row r="113" spans="1:14">
      <c r="J113" s="41"/>
    </row>
    <row r="114" spans="1:14">
      <c r="J114" s="41"/>
    </row>
    <row r="115" spans="1:14">
      <c r="J115" s="41"/>
    </row>
    <row r="116" spans="1:14">
      <c r="J116" s="41"/>
    </row>
    <row r="117" spans="1:14">
      <c r="J117" s="41"/>
    </row>
    <row r="118" spans="1:14" ht="12" customHeight="1">
      <c r="A118" s="42"/>
      <c r="B118" s="120"/>
      <c r="C118" s="120"/>
      <c r="D118" s="120"/>
      <c r="E118" s="120"/>
      <c r="F118" s="120"/>
      <c r="G118" s="255"/>
      <c r="H118" s="255"/>
      <c r="I118" s="255"/>
      <c r="J118" s="120"/>
      <c r="K118" s="120"/>
      <c r="L118" s="120"/>
    </row>
    <row r="119" spans="1:14">
      <c r="J119" s="41"/>
    </row>
    <row r="120" spans="1:14">
      <c r="J120" s="41"/>
      <c r="M120" s="120"/>
      <c r="N120" s="120"/>
    </row>
    <row r="122" spans="1:14" ht="12" customHeight="1">
      <c r="B122" s="120"/>
      <c r="C122" s="120"/>
      <c r="D122" s="120"/>
      <c r="E122" s="120"/>
      <c r="F122" s="120"/>
      <c r="G122" s="255"/>
      <c r="H122" s="255"/>
      <c r="I122" s="255"/>
      <c r="J122" s="493"/>
      <c r="K122" s="120"/>
      <c r="L122" s="120"/>
    </row>
    <row r="124" spans="1:14">
      <c r="M124" s="120"/>
      <c r="N124" s="120"/>
    </row>
    <row r="135" spans="2:14" ht="12" customHeight="1">
      <c r="B135" s="120"/>
      <c r="C135" s="120"/>
      <c r="D135" s="120"/>
      <c r="E135" s="120"/>
      <c r="F135" s="120"/>
      <c r="G135" s="255"/>
      <c r="H135" s="255"/>
      <c r="I135" s="255"/>
      <c r="J135" s="493"/>
      <c r="K135" s="120"/>
      <c r="L135" s="120"/>
    </row>
    <row r="137" spans="2:14">
      <c r="M137" s="120"/>
      <c r="N137" s="120"/>
    </row>
    <row r="142" spans="2:14" ht="12" customHeight="1">
      <c r="B142" s="120"/>
      <c r="C142" s="120"/>
      <c r="D142" s="120"/>
      <c r="E142" s="120"/>
      <c r="F142" s="120"/>
      <c r="G142" s="255"/>
      <c r="H142" s="255"/>
      <c r="I142" s="255"/>
      <c r="J142" s="493"/>
      <c r="K142" s="120"/>
      <c r="L142" s="120"/>
    </row>
    <row r="144" spans="2:14">
      <c r="M144" s="120"/>
      <c r="N144" s="120"/>
    </row>
  </sheetData>
  <mergeCells count="3">
    <mergeCell ref="H7:M7"/>
    <mergeCell ref="C7:G7"/>
    <mergeCell ref="O7:T7"/>
  </mergeCells>
  <pageMargins left="0.7" right="0.7" top="0.75" bottom="0.75" header="0.3" footer="0.3"/>
  <pageSetup paperSize="9" scale="66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E517-B687-452A-AE2D-94F33186F178}">
  <sheetPr>
    <tabColor theme="9" tint="-0.499984740745262"/>
    <pageSetUpPr fitToPage="1"/>
  </sheetPr>
  <dimension ref="A1:T144"/>
  <sheetViews>
    <sheetView showGridLines="0" zoomScaleNormal="100" workbookViewId="0">
      <selection activeCell="M5" sqref="M5"/>
    </sheetView>
  </sheetViews>
  <sheetFormatPr defaultColWidth="12.54296875" defaultRowHeight="12"/>
  <cols>
    <col min="1" max="1" width="30.81640625" style="40" customWidth="1"/>
    <col min="2" max="2" width="4.7265625" style="40" customWidth="1"/>
    <col min="3" max="7" width="8.54296875" style="40" customWidth="1"/>
    <col min="8" max="9" width="8.54296875" style="250" customWidth="1"/>
    <col min="10" max="10" width="8.54296875" style="491" customWidth="1"/>
    <col min="11" max="13" width="8.54296875" style="41" customWidth="1"/>
    <col min="14" max="14" width="0.54296875" style="41" customWidth="1"/>
    <col min="15" max="16384" width="12.54296875" style="120"/>
  </cols>
  <sheetData>
    <row r="1" spans="1:20" ht="12" customHeight="1">
      <c r="A1" s="121" t="s">
        <v>863</v>
      </c>
      <c r="B1" s="121"/>
      <c r="C1" s="121"/>
      <c r="D1" s="121"/>
      <c r="E1" s="121"/>
      <c r="F1" s="121"/>
      <c r="G1" s="121"/>
      <c r="I1" s="251"/>
      <c r="J1" s="121"/>
      <c r="K1" s="121"/>
      <c r="L1" s="121"/>
      <c r="M1" s="121"/>
      <c r="N1" s="121"/>
    </row>
    <row r="2" spans="1:20" ht="12" customHeight="1">
      <c r="A2" s="1213" t="s">
        <v>864</v>
      </c>
      <c r="B2" s="43"/>
      <c r="C2" s="43"/>
      <c r="D2" s="43"/>
      <c r="E2" s="43"/>
      <c r="F2" s="43"/>
      <c r="G2" s="43"/>
    </row>
    <row r="3" spans="1:20" ht="12" customHeight="1">
      <c r="A3" s="476" t="s">
        <v>164</v>
      </c>
      <c r="B3" s="252"/>
      <c r="C3" s="252"/>
      <c r="D3" s="252"/>
      <c r="E3" s="252"/>
      <c r="F3" s="252"/>
      <c r="G3" s="252"/>
      <c r="H3" s="85"/>
      <c r="I3" s="85"/>
      <c r="J3" s="492"/>
      <c r="K3" s="44"/>
      <c r="L3" s="44"/>
      <c r="M3" s="44"/>
      <c r="N3" s="44"/>
    </row>
    <row r="4" spans="1:20" ht="12" customHeight="1">
      <c r="A4" s="398" t="s">
        <v>865</v>
      </c>
      <c r="B4" s="252"/>
      <c r="H4" s="85"/>
      <c r="I4" s="85"/>
      <c r="J4" s="492"/>
      <c r="K4" s="44"/>
      <c r="L4" s="44"/>
      <c r="M4" s="44"/>
      <c r="N4" s="44"/>
    </row>
    <row r="5" spans="1:20" ht="12" customHeight="1">
      <c r="A5" s="399" t="s">
        <v>13</v>
      </c>
      <c r="B5" s="252"/>
      <c r="C5" s="252"/>
      <c r="D5" s="252"/>
      <c r="E5" s="252"/>
      <c r="F5" s="252"/>
      <c r="G5" s="252"/>
      <c r="H5" s="85"/>
      <c r="I5" s="85"/>
      <c r="J5" s="492"/>
      <c r="K5" s="44"/>
      <c r="L5" s="44"/>
      <c r="M5" s="44"/>
      <c r="N5" s="44"/>
    </row>
    <row r="6" spans="1:20" ht="12" customHeight="1">
      <c r="A6" s="1642" t="str">
        <f>'DUC &amp; UR'!F6</f>
        <v>Base</v>
      </c>
      <c r="B6" s="1643">
        <f>INDEX('Misc. Items'!$E$60:$E$62,MATCH(A6,'Misc. Items'!$C$60:$C$62,0))</f>
        <v>2</v>
      </c>
      <c r="C6" s="43"/>
      <c r="D6" s="43"/>
      <c r="E6" s="43"/>
      <c r="F6" s="43"/>
      <c r="G6" s="43"/>
    </row>
    <row r="7" spans="1:20" s="254" customFormat="1" ht="12" customHeight="1">
      <c r="C7" s="1673" t="s">
        <v>866</v>
      </c>
      <c r="D7" s="1674"/>
      <c r="E7" s="1674"/>
      <c r="F7" s="1674"/>
      <c r="G7" s="1675"/>
      <c r="H7" s="1671" t="s">
        <v>867</v>
      </c>
      <c r="I7" s="1672"/>
      <c r="J7" s="1672"/>
      <c r="K7" s="1672"/>
      <c r="L7" s="1672"/>
      <c r="M7" s="1678"/>
      <c r="N7" s="454"/>
      <c r="O7" s="1676" t="s">
        <v>868</v>
      </c>
      <c r="P7" s="1677"/>
      <c r="Q7" s="1677"/>
      <c r="R7" s="1677"/>
      <c r="S7" s="1677"/>
      <c r="T7" s="1677"/>
    </row>
    <row r="8" spans="1:20" ht="12" customHeight="1">
      <c r="A8" s="255" t="s">
        <v>20</v>
      </c>
      <c r="B8" s="120"/>
      <c r="C8" s="477">
        <f t="shared" ref="C8:I8" si="0">C65</f>
        <v>99.8994</v>
      </c>
      <c r="D8" s="477">
        <f t="shared" si="0"/>
        <v>99.7</v>
      </c>
      <c r="E8" s="477">
        <f t="shared" si="0"/>
        <v>100</v>
      </c>
      <c r="F8" s="477">
        <f t="shared" si="0"/>
        <v>100.69999999999999</v>
      </c>
      <c r="G8" s="477">
        <f t="shared" si="0"/>
        <v>101.60629999999998</v>
      </c>
      <c r="H8" s="477">
        <f t="shared" si="0"/>
        <v>101.60629999999998</v>
      </c>
      <c r="I8" s="477">
        <f t="shared" si="0"/>
        <v>103.23200079999998</v>
      </c>
      <c r="J8" s="477"/>
      <c r="K8" s="477">
        <f>K65</f>
        <v>105.19340881519997</v>
      </c>
      <c r="L8" s="477">
        <f>L65</f>
        <v>107.29727699150398</v>
      </c>
      <c r="M8" s="477">
        <f>M65</f>
        <v>109.44322253133406</v>
      </c>
      <c r="N8" s="257"/>
    </row>
    <row r="9" spans="1:20" s="261" customFormat="1" ht="12" customHeight="1">
      <c r="A9" s="1547" t="s">
        <v>869</v>
      </c>
      <c r="B9" s="43"/>
      <c r="C9" s="118">
        <v>2015</v>
      </c>
      <c r="D9" s="117">
        <v>2016</v>
      </c>
      <c r="E9" s="117">
        <v>2017</v>
      </c>
      <c r="F9" s="117">
        <v>2018</v>
      </c>
      <c r="G9" s="116">
        <v>2019</v>
      </c>
      <c r="H9" s="258">
        <v>2020</v>
      </c>
      <c r="I9" s="258">
        <v>2021</v>
      </c>
      <c r="J9" s="117" t="s">
        <v>16</v>
      </c>
      <c r="K9" s="117">
        <v>2022</v>
      </c>
      <c r="L9" s="117">
        <v>2023</v>
      </c>
      <c r="M9" s="116">
        <v>2024</v>
      </c>
      <c r="N9" s="119"/>
      <c r="O9" s="259">
        <v>2020</v>
      </c>
      <c r="P9" s="260">
        <v>2021</v>
      </c>
      <c r="Q9" s="117" t="s">
        <v>870</v>
      </c>
      <c r="R9" s="117">
        <v>2022</v>
      </c>
      <c r="S9" s="117">
        <v>2023</v>
      </c>
      <c r="T9" s="116">
        <v>2024</v>
      </c>
    </row>
    <row r="10" spans="1:20" ht="12" customHeight="1">
      <c r="A10" s="43"/>
      <c r="B10" s="43"/>
      <c r="C10" s="43"/>
      <c r="D10" s="43"/>
      <c r="E10" s="43"/>
      <c r="F10" s="43"/>
      <c r="G10" s="43"/>
      <c r="H10" s="262"/>
      <c r="I10" s="262"/>
      <c r="J10" s="40"/>
      <c r="K10" s="40"/>
      <c r="O10" s="262"/>
      <c r="P10" s="40"/>
      <c r="Q10" s="40"/>
      <c r="R10" s="40"/>
      <c r="S10" s="40"/>
      <c r="T10" s="40"/>
    </row>
    <row r="11" spans="1:20" ht="15.65" customHeight="1">
      <c r="A11" s="62" t="s">
        <v>871</v>
      </c>
      <c r="B11" s="455"/>
      <c r="C11" s="62"/>
      <c r="D11" s="62"/>
      <c r="E11" s="62"/>
      <c r="F11" s="62"/>
      <c r="G11" s="62"/>
      <c r="H11" s="263"/>
      <c r="I11" s="263"/>
      <c r="J11" s="61"/>
      <c r="K11" s="61"/>
      <c r="L11" s="61"/>
      <c r="M11" s="75"/>
      <c r="N11" s="75"/>
      <c r="O11" s="263"/>
      <c r="P11" s="61"/>
      <c r="Q11" s="61"/>
      <c r="R11" s="1214"/>
      <c r="S11" s="1214"/>
      <c r="T11" s="1214"/>
    </row>
    <row r="12" spans="1:20" ht="12" customHeight="1">
      <c r="A12" s="1215" t="s">
        <v>872</v>
      </c>
      <c r="B12" s="74"/>
      <c r="C12" s="1281">
        <v>9038</v>
      </c>
      <c r="D12" s="1216">
        <v>9318</v>
      </c>
      <c r="E12" s="1216">
        <v>9660</v>
      </c>
      <c r="F12" s="1216">
        <v>10069</v>
      </c>
      <c r="G12" s="1217">
        <v>9887</v>
      </c>
      <c r="H12" s="1282">
        <f>'ANSP Opex (CAR)'!Q101*(H$8/100)</f>
        <v>9184.8974472761583</v>
      </c>
      <c r="I12" s="1282">
        <f>'ANSP Opex (CAR)'!R101*(I$8/100)</f>
        <v>7854.0324501995992</v>
      </c>
      <c r="J12" s="1216">
        <f t="shared" ref="J12:J17" si="1">H12+I12</f>
        <v>17038.929897475758</v>
      </c>
      <c r="K12" s="1219">
        <f>CHOOSE($B$6,'ANSP Opex (CAR-10% SUs)'!S101,'ANSP Opex (CAR)'!S101,'ANSP Opex (CAR+10% SUs)'!S101)*(K$8/100)</f>
        <v>9620.8381829207028</v>
      </c>
      <c r="L12" s="1219">
        <f>CHOOSE($B$6,'ANSP Opex (CAR-10% SUs)'!T101,'ANSP Opex (CAR)'!T101,'ANSP Opex (CAR+10% SUs)'!T101)*(L$8/100)</f>
        <v>10385.731981710403</v>
      </c>
      <c r="M12" s="1283">
        <f>CHOOSE($B$6,'ANSP Opex (CAR-10% SUs)'!U101,'ANSP Opex (CAR)'!U101,'ANSP Opex (CAR+10% SUs)'!U101)*(M$8/100)</f>
        <v>11712.526988760699</v>
      </c>
      <c r="N12" s="115"/>
      <c r="O12" s="1220">
        <v>9336</v>
      </c>
      <c r="P12" s="1221"/>
      <c r="Q12" s="1221"/>
      <c r="R12" s="1222"/>
      <c r="S12" s="1221"/>
      <c r="T12" s="1223"/>
    </row>
    <row r="13" spans="1:20" ht="12" customHeight="1">
      <c r="A13" s="74" t="s">
        <v>873</v>
      </c>
      <c r="B13" s="74"/>
      <c r="C13" s="126"/>
      <c r="D13" s="125"/>
      <c r="E13" s="125"/>
      <c r="F13" s="125"/>
      <c r="G13" s="127"/>
      <c r="H13" s="289">
        <f>'ANSP Opex (CAR)'!Q102*(H$8/100)</f>
        <v>1913.2466289999995</v>
      </c>
      <c r="I13" s="289">
        <f>'ANSP Opex (CAR)'!R102*(I$8/100)</f>
        <v>1743.5884935119998</v>
      </c>
      <c r="J13" s="65">
        <f t="shared" si="1"/>
        <v>3656.8351225119995</v>
      </c>
      <c r="K13" s="290">
        <f>CHOOSE($B$6,'ANSP Opex (CAR-10% SUs)'!S102,'ANSP Opex (CAR)'!S102,'ANSP Opex (CAR+10% SUs)'!S102)*(K$8/100)</f>
        <v>1946.0780630811994</v>
      </c>
      <c r="L13" s="290">
        <f>CHOOSE($B$6,'ANSP Opex (CAR-10% SUs)'!T102,'ANSP Opex (CAR)'!T102,'ANSP Opex (CAR+10% SUs)'!T102)*(L$8/100)</f>
        <v>2011.8239435906996</v>
      </c>
      <c r="M13" s="291">
        <f>CHOOSE($B$6,'ANSP Opex (CAR-10% SUs)'!U102,'ANSP Opex (CAR)'!U102,'ANSP Opex (CAR+10% SUs)'!U102)*(M$8/100)</f>
        <v>2083.7989569966003</v>
      </c>
      <c r="N13" s="115"/>
      <c r="O13" s="980">
        <v>1913</v>
      </c>
      <c r="P13" s="134"/>
      <c r="Q13" s="134"/>
      <c r="R13" s="135"/>
      <c r="S13" s="134"/>
      <c r="T13" s="133"/>
    </row>
    <row r="14" spans="1:20" ht="12" customHeight="1">
      <c r="A14" s="74" t="s">
        <v>874</v>
      </c>
      <c r="B14" s="74"/>
      <c r="C14" s="268">
        <v>4253</v>
      </c>
      <c r="D14" s="114">
        <v>4744</v>
      </c>
      <c r="E14" s="114">
        <v>5135</v>
      </c>
      <c r="F14" s="114">
        <v>5355</v>
      </c>
      <c r="G14" s="113">
        <v>7829</v>
      </c>
      <c r="H14" s="406">
        <f>'ANSP Opex (CAR)'!Q228*(H$8/100)</f>
        <v>4892.4228184244621</v>
      </c>
      <c r="I14" s="406">
        <f>'ANSP Opex (CAR)'!R228*(I$8/100)</f>
        <v>5581.1014453574426</v>
      </c>
      <c r="J14" s="114">
        <f t="shared" si="1"/>
        <v>10473.524263781905</v>
      </c>
      <c r="K14" s="290">
        <f>CHOOSE($B$6,'ANSP Opex (CAR-10% SUs)'!S228,'ANSP Opex (CAR)'!S228,'ANSP Opex (CAR+10% SUs)'!S228)*(K$8/100)</f>
        <v>6285.3501216605027</v>
      </c>
      <c r="L14" s="266">
        <f>CHOOSE($B$6,'ANSP Opex (CAR-10% SUs)'!T228,'ANSP Opex (CAR)'!T228,'ANSP Opex (CAR+10% SUs)'!T228)*(L$8/100)</f>
        <v>6694.430106840493</v>
      </c>
      <c r="M14" s="267">
        <f>CHOOSE($B$6,'ANSP Opex (CAR-10% SUs)'!U228,'ANSP Opex (CAR)'!U228,'ANSP Opex (CAR+10% SUs)'!U228)*(M$8/100)</f>
        <v>6940.8298775856611</v>
      </c>
      <c r="N14" s="115"/>
      <c r="O14" s="979">
        <v>4830</v>
      </c>
      <c r="P14" s="142"/>
      <c r="Q14" s="142"/>
      <c r="R14" s="143"/>
      <c r="S14" s="142"/>
      <c r="T14" s="141"/>
    </row>
    <row r="15" spans="1:20" ht="12" customHeight="1">
      <c r="A15" s="74" t="s">
        <v>875</v>
      </c>
      <c r="B15" s="74"/>
      <c r="C15" s="268">
        <v>3820</v>
      </c>
      <c r="D15" s="114">
        <v>3850</v>
      </c>
      <c r="E15" s="114">
        <v>3896</v>
      </c>
      <c r="F15" s="114">
        <v>3873</v>
      </c>
      <c r="G15" s="113">
        <v>2960</v>
      </c>
      <c r="H15" s="1121">
        <f>'ANSP Capex (CAR)'!BH1319</f>
        <v>2439.6952659425215</v>
      </c>
      <c r="I15" s="1122">
        <f>'ANSP Capex (CAR)'!BI1319</f>
        <v>3451.8338518212086</v>
      </c>
      <c r="J15" s="1119">
        <f t="shared" si="1"/>
        <v>5891.52911776373</v>
      </c>
      <c r="K15" s="1120">
        <f>'ANSP Capex (CAR)'!BJ1319</f>
        <v>4929.9343028532548</v>
      </c>
      <c r="L15" s="1120">
        <f>'ANSP Capex (CAR)'!BK1319</f>
        <v>5509.143003898841</v>
      </c>
      <c r="M15" s="1123">
        <f>'ANSP Capex (CAR)'!BL1319</f>
        <v>5602.2481091368945</v>
      </c>
      <c r="N15" s="115"/>
      <c r="O15" s="979">
        <v>2477</v>
      </c>
      <c r="P15" s="142"/>
      <c r="Q15" s="142"/>
      <c r="R15" s="143"/>
      <c r="S15" s="142"/>
      <c r="T15" s="141"/>
    </row>
    <row r="16" spans="1:20" ht="12" customHeight="1">
      <c r="A16" s="74" t="s">
        <v>876</v>
      </c>
      <c r="B16" s="74"/>
      <c r="C16" s="268">
        <v>2920.5650000000001</v>
      </c>
      <c r="D16" s="114">
        <v>2750.7200400000002</v>
      </c>
      <c r="E16" s="114">
        <v>2514</v>
      </c>
      <c r="F16" s="114">
        <v>2310</v>
      </c>
      <c r="G16" s="113">
        <v>1884</v>
      </c>
      <c r="H16" s="1121">
        <f>'ANSP WACC (CAR)'!Z85</f>
        <v>477.28382820656748</v>
      </c>
      <c r="I16" s="1122">
        <f>'ANSP WACC (CAR)'!AA85</f>
        <v>876.07373331040242</v>
      </c>
      <c r="J16" s="1119">
        <f t="shared" si="1"/>
        <v>1353.3575615169698</v>
      </c>
      <c r="K16" s="1120">
        <f>'ANSP WACC (CAR)'!AB85</f>
        <v>4180.8450804819668</v>
      </c>
      <c r="L16" s="1120">
        <f>'ANSP WACC (CAR)'!AC85</f>
        <v>4761.669408517133</v>
      </c>
      <c r="M16" s="1123">
        <f>'ANSP WACC (CAR)'!AD85</f>
        <v>4656.0092021449982</v>
      </c>
      <c r="N16" s="115"/>
      <c r="O16" s="979">
        <v>732</v>
      </c>
      <c r="P16" s="142"/>
      <c r="Q16" s="142"/>
      <c r="R16" s="143"/>
      <c r="S16" s="114"/>
      <c r="T16" s="113"/>
    </row>
    <row r="17" spans="1:20" ht="12" customHeight="1">
      <c r="A17" s="74" t="s">
        <v>877</v>
      </c>
      <c r="B17" s="74"/>
      <c r="C17" s="268"/>
      <c r="D17" s="114"/>
      <c r="E17" s="114"/>
      <c r="F17" s="114"/>
      <c r="G17" s="113"/>
      <c r="H17" s="495">
        <f>'ANSP Opex (CAR)'!Q236*(H$8/100)</f>
        <v>0</v>
      </c>
      <c r="I17" s="495">
        <f>'ANSP Opex (CAR)'!R236*(I$8/100)</f>
        <v>62.971520487999996</v>
      </c>
      <c r="J17" s="114">
        <f t="shared" si="1"/>
        <v>62.971520487999996</v>
      </c>
      <c r="K17" s="1621">
        <f>'ANSP Opex (CAR)'!S236*(K$8/100)</f>
        <v>0</v>
      </c>
      <c r="L17" s="517">
        <f>'ANSP Opex (CAR)'!T236*(L$8/100)</f>
        <v>0</v>
      </c>
      <c r="M17" s="518">
        <f>'ANSP Opex (CAR)'!U236*(M$8/100)</f>
        <v>0</v>
      </c>
      <c r="N17" s="115"/>
      <c r="O17" s="897">
        <v>0</v>
      </c>
      <c r="P17" s="142"/>
      <c r="Q17" s="142"/>
      <c r="R17" s="143"/>
      <c r="S17" s="142"/>
      <c r="T17" s="141"/>
    </row>
    <row r="18" spans="1:20" ht="12" customHeight="1">
      <c r="A18" s="111" t="s">
        <v>878</v>
      </c>
      <c r="B18" s="73"/>
      <c r="C18" s="79">
        <f t="shared" ref="C18:M18" si="2">C12+SUM(C14:C17)</f>
        <v>20031.565000000002</v>
      </c>
      <c r="D18" s="81">
        <f t="shared" si="2"/>
        <v>20662.72004</v>
      </c>
      <c r="E18" s="81">
        <f t="shared" si="2"/>
        <v>21205</v>
      </c>
      <c r="F18" s="81">
        <f t="shared" si="2"/>
        <v>21607</v>
      </c>
      <c r="G18" s="80">
        <f t="shared" si="2"/>
        <v>22560</v>
      </c>
      <c r="H18" s="920">
        <f t="shared" si="2"/>
        <v>16994.299359849709</v>
      </c>
      <c r="I18" s="271">
        <f t="shared" si="2"/>
        <v>17826.013001176652</v>
      </c>
      <c r="J18" s="81">
        <f>J12+SUM(J14:J17)</f>
        <v>34820.312361026365</v>
      </c>
      <c r="K18" s="272">
        <f t="shared" si="2"/>
        <v>25016.967687916425</v>
      </c>
      <c r="L18" s="272">
        <f t="shared" si="2"/>
        <v>27350.97450096687</v>
      </c>
      <c r="M18" s="270">
        <f t="shared" si="2"/>
        <v>28911.614177628253</v>
      </c>
      <c r="N18" s="115"/>
      <c r="O18" s="920">
        <v>17375</v>
      </c>
      <c r="P18" s="81"/>
      <c r="Q18" s="81"/>
      <c r="R18" s="81"/>
      <c r="S18" s="81"/>
      <c r="T18" s="80"/>
    </row>
    <row r="19" spans="1:20" ht="12" customHeight="1">
      <c r="A19" s="109" t="s">
        <v>879</v>
      </c>
      <c r="B19" s="68"/>
      <c r="C19" s="72"/>
      <c r="D19" s="71">
        <f t="shared" ref="D19:I19" si="3">+D18/C18-1</f>
        <v>3.1508024460395356E-2</v>
      </c>
      <c r="E19" s="71">
        <f t="shared" si="3"/>
        <v>2.624436467949165E-2</v>
      </c>
      <c r="F19" s="71">
        <f t="shared" si="3"/>
        <v>1.8957792973355314E-2</v>
      </c>
      <c r="G19" s="70">
        <f t="shared" si="3"/>
        <v>4.4106076734391708E-2</v>
      </c>
      <c r="H19" s="921">
        <f t="shared" si="3"/>
        <v>-0.24670658865914408</v>
      </c>
      <c r="I19" s="274">
        <f t="shared" si="3"/>
        <v>4.8940743228987005E-2</v>
      </c>
      <c r="J19" s="275"/>
      <c r="K19" s="276">
        <f>+K18/I18-1</f>
        <v>0.40339669258993105</v>
      </c>
      <c r="L19" s="276">
        <f>+L18/K18-1</f>
        <v>9.3296951179970833E-2</v>
      </c>
      <c r="M19" s="273">
        <f>+M18/L18-1</f>
        <v>5.705974668676661E-2</v>
      </c>
      <c r="N19" s="115"/>
      <c r="O19" s="921">
        <v>-0.2298315602836879</v>
      </c>
      <c r="P19" s="71"/>
      <c r="Q19" s="71"/>
      <c r="R19" s="71"/>
      <c r="S19" s="71"/>
      <c r="T19" s="70"/>
    </row>
    <row r="20" spans="1:20" ht="12" customHeight="1">
      <c r="A20" s="68"/>
      <c r="B20" s="68"/>
      <c r="C20" s="68"/>
      <c r="D20" s="68"/>
      <c r="E20" s="68"/>
      <c r="F20" s="68"/>
      <c r="G20" s="68"/>
      <c r="H20" s="945"/>
      <c r="I20" s="945"/>
      <c r="J20" s="67"/>
      <c r="K20" s="410"/>
      <c r="L20" s="410"/>
      <c r="M20" s="410"/>
      <c r="N20" s="115"/>
      <c r="O20" s="945"/>
      <c r="P20" s="67"/>
      <c r="Q20" s="67"/>
      <c r="R20" s="67"/>
      <c r="S20" s="67"/>
      <c r="T20" s="67"/>
    </row>
    <row r="21" spans="1:20" ht="15.65" customHeight="1">
      <c r="A21" s="62" t="s">
        <v>880</v>
      </c>
      <c r="B21" s="62"/>
      <c r="C21" s="62"/>
      <c r="D21" s="62"/>
      <c r="E21" s="62"/>
      <c r="F21" s="62"/>
      <c r="G21" s="62"/>
      <c r="H21" s="946"/>
      <c r="I21" s="946"/>
      <c r="J21" s="61"/>
      <c r="K21" s="412"/>
      <c r="L21" s="412"/>
      <c r="M21" s="413"/>
      <c r="N21" s="115"/>
      <c r="O21" s="946"/>
      <c r="P21" s="61"/>
      <c r="Q21" s="61"/>
      <c r="R21" s="1214"/>
      <c r="S21" s="1214"/>
      <c r="T21" s="1214"/>
    </row>
    <row r="22" spans="1:20" ht="12" customHeight="1">
      <c r="A22" s="1224" t="s">
        <v>881</v>
      </c>
      <c r="B22" s="74"/>
      <c r="C22" s="1281">
        <v>18202.564999999999</v>
      </c>
      <c r="D22" s="1216">
        <v>18669.72</v>
      </c>
      <c r="E22" s="1216">
        <v>19161</v>
      </c>
      <c r="F22" s="1216">
        <v>19524</v>
      </c>
      <c r="G22" s="1225">
        <v>20385</v>
      </c>
      <c r="H22" s="1284"/>
      <c r="I22" s="1285"/>
      <c r="J22" s="1228"/>
      <c r="K22" s="1286"/>
      <c r="L22" s="1286"/>
      <c r="M22" s="1287"/>
      <c r="N22" s="519"/>
      <c r="O22" s="1237">
        <v>15700</v>
      </c>
      <c r="P22" s="1232"/>
      <c r="Q22" s="1232"/>
      <c r="R22" s="1233"/>
      <c r="S22" s="1232"/>
      <c r="T22" s="1234"/>
    </row>
    <row r="23" spans="1:20" ht="12" customHeight="1">
      <c r="A23" s="57" t="s">
        <v>882</v>
      </c>
      <c r="B23" s="74"/>
      <c r="C23" s="268">
        <v>573</v>
      </c>
      <c r="D23" s="114">
        <v>625</v>
      </c>
      <c r="E23" s="114">
        <v>641</v>
      </c>
      <c r="F23" s="114">
        <v>653</v>
      </c>
      <c r="G23" s="269">
        <v>682</v>
      </c>
      <c r="H23" s="1152"/>
      <c r="I23" s="1153"/>
      <c r="J23" s="479"/>
      <c r="K23" s="1154"/>
      <c r="L23" s="1154"/>
      <c r="M23" s="1155"/>
      <c r="N23" s="519"/>
      <c r="O23" s="980">
        <v>525</v>
      </c>
      <c r="P23" s="134"/>
      <c r="Q23" s="134"/>
      <c r="R23" s="135"/>
      <c r="S23" s="134"/>
      <c r="T23" s="133"/>
    </row>
    <row r="24" spans="1:20" ht="12" customHeight="1">
      <c r="A24" s="57" t="s">
        <v>883</v>
      </c>
      <c r="B24" s="74"/>
      <c r="C24" s="268">
        <v>480</v>
      </c>
      <c r="D24" s="114">
        <v>519</v>
      </c>
      <c r="E24" s="114">
        <v>533</v>
      </c>
      <c r="F24" s="114">
        <v>543</v>
      </c>
      <c r="G24" s="269">
        <v>567</v>
      </c>
      <c r="H24" s="1152"/>
      <c r="I24" s="1153"/>
      <c r="J24" s="479"/>
      <c r="K24" s="1154"/>
      <c r="L24" s="1154"/>
      <c r="M24" s="1155"/>
      <c r="N24" s="519"/>
      <c r="O24" s="980">
        <v>437</v>
      </c>
      <c r="P24" s="134"/>
      <c r="Q24" s="134"/>
      <c r="R24" s="135"/>
      <c r="S24" s="134"/>
      <c r="T24" s="133"/>
    </row>
    <row r="25" spans="1:20" ht="12" customHeight="1">
      <c r="A25" s="57" t="s">
        <v>884</v>
      </c>
      <c r="B25" s="74"/>
      <c r="C25" s="268">
        <v>776</v>
      </c>
      <c r="D25" s="114">
        <v>849</v>
      </c>
      <c r="E25" s="114">
        <v>870</v>
      </c>
      <c r="F25" s="114">
        <v>887</v>
      </c>
      <c r="G25" s="269">
        <v>926</v>
      </c>
      <c r="H25" s="1152"/>
      <c r="I25" s="1153"/>
      <c r="J25" s="479"/>
      <c r="K25" s="1154"/>
      <c r="L25" s="1154"/>
      <c r="M25" s="1155"/>
      <c r="N25" s="519"/>
      <c r="O25" s="980">
        <v>713</v>
      </c>
      <c r="P25" s="134"/>
      <c r="Q25" s="134"/>
      <c r="R25" s="135"/>
      <c r="S25" s="134"/>
      <c r="T25" s="133"/>
    </row>
    <row r="26" spans="1:20" ht="12" customHeight="1">
      <c r="A26" s="57" t="s">
        <v>885</v>
      </c>
      <c r="B26" s="74"/>
      <c r="C26" s="268"/>
      <c r="D26" s="114"/>
      <c r="E26" s="114"/>
      <c r="F26" s="114"/>
      <c r="G26" s="269"/>
      <c r="H26" s="1139"/>
      <c r="I26" s="1140"/>
      <c r="J26" s="479"/>
      <c r="K26" s="1141"/>
      <c r="L26" s="1141"/>
      <c r="M26" s="1142"/>
      <c r="N26" s="115"/>
      <c r="O26" s="925">
        <v>0</v>
      </c>
      <c r="P26" s="134"/>
      <c r="Q26" s="134"/>
      <c r="R26" s="135"/>
      <c r="S26" s="134"/>
      <c r="T26" s="133"/>
    </row>
    <row r="27" spans="1:20" ht="12" customHeight="1">
      <c r="A27" s="57" t="s">
        <v>886</v>
      </c>
      <c r="B27" s="74"/>
      <c r="C27" s="268"/>
      <c r="D27" s="114"/>
      <c r="E27" s="114"/>
      <c r="F27" s="114"/>
      <c r="G27" s="269"/>
      <c r="H27" s="1139"/>
      <c r="I27" s="1140"/>
      <c r="J27" s="479"/>
      <c r="K27" s="1141"/>
      <c r="L27" s="1141"/>
      <c r="M27" s="1142"/>
      <c r="N27" s="115"/>
      <c r="O27" s="925">
        <v>0</v>
      </c>
      <c r="P27" s="134"/>
      <c r="Q27" s="134"/>
      <c r="R27" s="135"/>
      <c r="S27" s="134"/>
      <c r="T27" s="133"/>
    </row>
    <row r="28" spans="1:20" ht="12" customHeight="1">
      <c r="A28" s="57" t="s">
        <v>887</v>
      </c>
      <c r="B28" s="74"/>
      <c r="C28" s="268"/>
      <c r="D28" s="114"/>
      <c r="E28" s="114"/>
      <c r="F28" s="114"/>
      <c r="G28" s="113"/>
      <c r="H28" s="1143"/>
      <c r="I28" s="1144"/>
      <c r="J28" s="479"/>
      <c r="K28" s="1145"/>
      <c r="L28" s="1145"/>
      <c r="M28" s="1146"/>
      <c r="N28" s="115"/>
      <c r="O28" s="956">
        <v>0</v>
      </c>
      <c r="P28" s="134"/>
      <c r="Q28" s="134"/>
      <c r="R28" s="135"/>
      <c r="S28" s="134"/>
      <c r="T28" s="133"/>
    </row>
    <row r="29" spans="1:20" ht="12" customHeight="1">
      <c r="A29" s="57" t="s">
        <v>888</v>
      </c>
      <c r="B29" s="74"/>
      <c r="C29" s="497"/>
      <c r="D29" s="140"/>
      <c r="E29" s="140"/>
      <c r="F29" s="140"/>
      <c r="G29" s="139"/>
      <c r="H29" s="1143"/>
      <c r="I29" s="1144"/>
      <c r="J29" s="479"/>
      <c r="K29" s="1145"/>
      <c r="L29" s="1145"/>
      <c r="M29" s="1146"/>
      <c r="N29" s="115"/>
      <c r="O29" s="947"/>
      <c r="P29" s="137"/>
      <c r="Q29" s="137"/>
      <c r="R29" s="138"/>
      <c r="S29" s="137"/>
      <c r="T29" s="136"/>
    </row>
    <row r="30" spans="1:20" ht="12" customHeight="1">
      <c r="A30" s="57" t="s">
        <v>889</v>
      </c>
      <c r="B30" s="74"/>
      <c r="C30" s="497"/>
      <c r="D30" s="140"/>
      <c r="E30" s="140"/>
      <c r="F30" s="140"/>
      <c r="G30" s="139"/>
      <c r="H30" s="1143"/>
      <c r="I30" s="1144"/>
      <c r="J30" s="479"/>
      <c r="K30" s="1145"/>
      <c r="L30" s="1145"/>
      <c r="M30" s="1146"/>
      <c r="N30" s="115"/>
      <c r="O30" s="947"/>
      <c r="P30" s="137"/>
      <c r="Q30" s="137"/>
      <c r="R30" s="138"/>
      <c r="S30" s="137"/>
      <c r="T30" s="136"/>
    </row>
    <row r="31" spans="1:20" s="295" customFormat="1" ht="12" customHeight="1">
      <c r="A31" s="112" t="s">
        <v>890</v>
      </c>
      <c r="B31" s="111"/>
      <c r="C31" s="498">
        <f t="shared" ref="C31:M31" si="4">SUM(C22:C30)</f>
        <v>20031.564999999999</v>
      </c>
      <c r="D31" s="110">
        <f t="shared" si="4"/>
        <v>20662.72</v>
      </c>
      <c r="E31" s="110">
        <f t="shared" si="4"/>
        <v>21205</v>
      </c>
      <c r="F31" s="110">
        <f t="shared" si="4"/>
        <v>21607</v>
      </c>
      <c r="G31" s="520">
        <f t="shared" si="4"/>
        <v>22560</v>
      </c>
      <c r="H31" s="1156">
        <f t="shared" si="4"/>
        <v>0</v>
      </c>
      <c r="I31" s="1157">
        <f t="shared" si="4"/>
        <v>0</v>
      </c>
      <c r="J31" s="1158">
        <f t="shared" si="4"/>
        <v>0</v>
      </c>
      <c r="K31" s="1159">
        <f t="shared" si="4"/>
        <v>0</v>
      </c>
      <c r="L31" s="1159">
        <f t="shared" si="4"/>
        <v>0</v>
      </c>
      <c r="M31" s="1160">
        <f t="shared" si="4"/>
        <v>0</v>
      </c>
      <c r="N31" s="115"/>
      <c r="O31" s="920">
        <v>17375</v>
      </c>
      <c r="P31" s="81"/>
      <c r="Q31" s="81"/>
      <c r="R31" s="81"/>
      <c r="S31" s="81"/>
      <c r="T31" s="80"/>
    </row>
    <row r="32" spans="1:20" ht="12" customHeight="1">
      <c r="A32" s="109" t="s">
        <v>879</v>
      </c>
      <c r="B32" s="68"/>
      <c r="C32" s="72"/>
      <c r="D32" s="71">
        <f t="shared" ref="D32:I32" si="5">+D31/C31-1</f>
        <v>3.1508022463547114E-2</v>
      </c>
      <c r="E32" s="71">
        <f t="shared" si="5"/>
        <v>2.6244366666150487E-2</v>
      </c>
      <c r="F32" s="71">
        <f t="shared" si="5"/>
        <v>1.8957792973355314E-2</v>
      </c>
      <c r="G32" s="70">
        <f t="shared" si="5"/>
        <v>4.4106076734391708E-2</v>
      </c>
      <c r="H32" s="1161">
        <f t="shared" si="5"/>
        <v>-1</v>
      </c>
      <c r="I32" s="1162" t="e">
        <f t="shared" si="5"/>
        <v>#DIV/0!</v>
      </c>
      <c r="J32" s="1163"/>
      <c r="K32" s="1164" t="e">
        <f>+K31/I31-1</f>
        <v>#DIV/0!</v>
      </c>
      <c r="L32" s="1164" t="e">
        <f>+L31/K31-1</f>
        <v>#DIV/0!</v>
      </c>
      <c r="M32" s="1165" t="e">
        <f>+M31/L31-1</f>
        <v>#DIV/0!</v>
      </c>
      <c r="N32" s="115"/>
      <c r="O32" s="921">
        <v>-0.2298315602836879</v>
      </c>
      <c r="P32" s="71"/>
      <c r="Q32" s="71"/>
      <c r="R32" s="71"/>
      <c r="S32" s="71"/>
      <c r="T32" s="70"/>
    </row>
    <row r="33" spans="1:20" ht="12" customHeight="1">
      <c r="A33" s="68"/>
      <c r="B33" s="69"/>
      <c r="C33" s="69"/>
      <c r="D33" s="69"/>
      <c r="E33" s="69"/>
      <c r="F33" s="69"/>
      <c r="G33" s="69"/>
      <c r="H33" s="902"/>
      <c r="I33" s="902"/>
      <c r="J33" s="69"/>
      <c r="K33" s="419"/>
      <c r="L33" s="419"/>
      <c r="M33" s="419"/>
      <c r="N33" s="115"/>
      <c r="O33" s="902"/>
      <c r="P33" s="69"/>
      <c r="Q33" s="69"/>
      <c r="R33" s="67"/>
      <c r="S33" s="67"/>
      <c r="T33" s="67"/>
    </row>
    <row r="34" spans="1:20" ht="15.65" customHeight="1">
      <c r="A34" s="62" t="s">
        <v>891</v>
      </c>
      <c r="B34" s="62"/>
      <c r="C34" s="62"/>
      <c r="D34" s="62"/>
      <c r="E34" s="62"/>
      <c r="F34" s="62"/>
      <c r="G34" s="62"/>
      <c r="H34" s="946"/>
      <c r="I34" s="946"/>
      <c r="J34" s="61"/>
      <c r="K34" s="412"/>
      <c r="L34" s="412"/>
      <c r="M34" s="413"/>
      <c r="N34" s="115"/>
      <c r="O34" s="946"/>
      <c r="P34" s="61"/>
      <c r="Q34" s="61"/>
      <c r="R34" s="61"/>
      <c r="S34" s="61"/>
      <c r="T34" s="61"/>
    </row>
    <row r="35" spans="1:20" ht="12" customHeight="1">
      <c r="A35" s="62" t="s">
        <v>892</v>
      </c>
      <c r="B35" s="62"/>
      <c r="C35" s="647"/>
      <c r="D35" s="647"/>
      <c r="E35" s="647"/>
      <c r="F35" s="647"/>
      <c r="G35" s="647"/>
      <c r="H35" s="647"/>
      <c r="I35" s="647"/>
      <c r="J35" s="647"/>
      <c r="K35" s="647"/>
      <c r="L35" s="647"/>
      <c r="M35" s="647"/>
      <c r="N35" s="115"/>
      <c r="O35" s="946"/>
      <c r="P35" s="61"/>
      <c r="Q35" s="61"/>
      <c r="R35" s="61"/>
      <c r="S35" s="61"/>
      <c r="T35" s="61"/>
    </row>
    <row r="36" spans="1:20" s="257" customFormat="1" ht="12" customHeight="1">
      <c r="A36" s="1235" t="s">
        <v>893</v>
      </c>
      <c r="B36" s="456"/>
      <c r="C36" s="1288">
        <v>27295</v>
      </c>
      <c r="D36" s="1236">
        <v>25469.63</v>
      </c>
      <c r="E36" s="1236">
        <v>22772</v>
      </c>
      <c r="F36" s="1236">
        <v>20263</v>
      </c>
      <c r="G36" s="1225">
        <v>16526</v>
      </c>
      <c r="H36" s="1284">
        <f>'ANSP WACC (CAR)'!Z73</f>
        <v>11721.878378537907</v>
      </c>
      <c r="I36" s="1285">
        <f>'ANSP WACC (CAR)'!AA73</f>
        <v>10621.255694055189</v>
      </c>
      <c r="J36" s="1228"/>
      <c r="K36" s="1286">
        <f>'ANSP WACC (CAR)'!AB73</f>
        <v>60432.702326436862</v>
      </c>
      <c r="L36" s="1286">
        <f>'ANSP WACC (CAR)'!AC73</f>
        <v>67777.573311023953</v>
      </c>
      <c r="M36" s="1287">
        <f>'ANSP WACC (CAR)'!AD73</f>
        <v>65003.107397367043</v>
      </c>
      <c r="N36" s="519"/>
      <c r="O36" s="1237">
        <v>14640</v>
      </c>
      <c r="P36" s="1232"/>
      <c r="Q36" s="1232"/>
      <c r="R36" s="1233"/>
      <c r="S36" s="1232"/>
      <c r="T36" s="1234"/>
    </row>
    <row r="37" spans="1:20" s="257" customFormat="1" ht="12" customHeight="1">
      <c r="A37" s="298" t="s">
        <v>894</v>
      </c>
      <c r="B37" s="456"/>
      <c r="C37" s="286"/>
      <c r="D37" s="65"/>
      <c r="E37" s="65"/>
      <c r="F37" s="65"/>
      <c r="G37" s="269"/>
      <c r="H37" s="1139">
        <v>0</v>
      </c>
      <c r="I37" s="1140">
        <v>0</v>
      </c>
      <c r="J37" s="479"/>
      <c r="K37" s="1141">
        <v>0</v>
      </c>
      <c r="L37" s="1141">
        <v>0</v>
      </c>
      <c r="M37" s="1142">
        <v>0</v>
      </c>
      <c r="N37" s="115"/>
      <c r="O37" s="925">
        <v>0</v>
      </c>
      <c r="P37" s="134"/>
      <c r="Q37" s="134"/>
      <c r="R37" s="135"/>
      <c r="S37" s="134"/>
      <c r="T37" s="133"/>
    </row>
    <row r="38" spans="1:20" s="257" customFormat="1" ht="12" customHeight="1">
      <c r="A38" s="298" t="s">
        <v>895</v>
      </c>
      <c r="B38" s="456"/>
      <c r="C38" s="286"/>
      <c r="D38" s="65"/>
      <c r="E38" s="65"/>
      <c r="F38" s="65"/>
      <c r="G38" s="269"/>
      <c r="H38" s="1139">
        <v>0</v>
      </c>
      <c r="I38" s="1140">
        <v>0</v>
      </c>
      <c r="J38" s="479"/>
      <c r="K38" s="1141">
        <v>0</v>
      </c>
      <c r="L38" s="1141">
        <v>0</v>
      </c>
      <c r="M38" s="1142">
        <v>0</v>
      </c>
      <c r="N38" s="115"/>
      <c r="O38" s="925">
        <v>0</v>
      </c>
      <c r="P38" s="134"/>
      <c r="Q38" s="134"/>
      <c r="R38" s="135"/>
      <c r="S38" s="134"/>
      <c r="T38" s="133"/>
    </row>
    <row r="39" spans="1:20" s="257" customFormat="1" ht="12" customHeight="1">
      <c r="A39" s="301" t="s">
        <v>896</v>
      </c>
      <c r="B39" s="456"/>
      <c r="C39" s="97">
        <f t="shared" ref="C39:M39" si="6">SUM(C36:C38)</f>
        <v>27295</v>
      </c>
      <c r="D39" s="96">
        <f t="shared" si="6"/>
        <v>25469.63</v>
      </c>
      <c r="E39" s="96">
        <f t="shared" si="6"/>
        <v>22772</v>
      </c>
      <c r="F39" s="96">
        <f t="shared" si="6"/>
        <v>20263</v>
      </c>
      <c r="G39" s="98">
        <f t="shared" si="6"/>
        <v>16526</v>
      </c>
      <c r="H39" s="1166">
        <f t="shared" si="6"/>
        <v>11721.878378537907</v>
      </c>
      <c r="I39" s="1167">
        <f t="shared" si="6"/>
        <v>10621.255694055189</v>
      </c>
      <c r="J39" s="1150"/>
      <c r="K39" s="1168">
        <f t="shared" si="6"/>
        <v>60432.702326436862</v>
      </c>
      <c r="L39" s="1168">
        <f t="shared" si="6"/>
        <v>67777.573311023953</v>
      </c>
      <c r="M39" s="1169">
        <f t="shared" si="6"/>
        <v>65003.107397367043</v>
      </c>
      <c r="N39" s="115"/>
      <c r="O39" s="928">
        <v>14640</v>
      </c>
      <c r="P39" s="96"/>
      <c r="Q39" s="96"/>
      <c r="R39" s="96"/>
      <c r="S39" s="96"/>
      <c r="T39" s="98"/>
    </row>
    <row r="40" spans="1:20" ht="12" customHeight="1">
      <c r="A40" s="62" t="s">
        <v>897</v>
      </c>
      <c r="B40" s="62"/>
      <c r="C40" s="62"/>
      <c r="D40" s="62"/>
      <c r="E40" s="62"/>
      <c r="F40" s="62"/>
      <c r="G40" s="62"/>
      <c r="H40" s="948"/>
      <c r="I40" s="948"/>
      <c r="J40" s="60"/>
      <c r="K40" s="421"/>
      <c r="L40" s="421"/>
      <c r="M40" s="421"/>
      <c r="N40" s="115"/>
      <c r="O40" s="948"/>
      <c r="P40" s="60"/>
      <c r="Q40" s="60"/>
      <c r="R40" s="1238"/>
      <c r="S40" s="1238"/>
      <c r="T40" s="1238"/>
    </row>
    <row r="41" spans="1:20" s="257" customFormat="1" ht="12" customHeight="1">
      <c r="A41" s="1239" t="s">
        <v>898</v>
      </c>
      <c r="B41" s="456"/>
      <c r="C41" s="1289">
        <f>C16/C39</f>
        <v>0.107</v>
      </c>
      <c r="D41" s="1240">
        <f t="shared" ref="D41:G41" si="7">D16/D39</f>
        <v>0.108</v>
      </c>
      <c r="E41" s="1240">
        <f t="shared" si="7"/>
        <v>0.11039873528895135</v>
      </c>
      <c r="F41" s="1240">
        <f t="shared" si="7"/>
        <v>0.11400088831861027</v>
      </c>
      <c r="G41" s="1290">
        <f t="shared" si="7"/>
        <v>0.11400217838557425</v>
      </c>
      <c r="H41" s="1242">
        <f>H16/H39</f>
        <v>4.071735030798878E-2</v>
      </c>
      <c r="I41" s="1243">
        <f>I16/I39</f>
        <v>8.2483065895941912E-2</v>
      </c>
      <c r="J41" s="1228"/>
      <c r="K41" s="1244">
        <f t="shared" ref="K41:L41" si="8">K16/K39</f>
        <v>6.9181832344654498E-2</v>
      </c>
      <c r="L41" s="1244">
        <f t="shared" si="8"/>
        <v>7.0254350752074687E-2</v>
      </c>
      <c r="M41" s="1245">
        <f>M16/M39</f>
        <v>7.1627486570489562E-2</v>
      </c>
      <c r="N41" s="115"/>
      <c r="O41" s="1246">
        <v>0.05</v>
      </c>
      <c r="P41" s="1240"/>
      <c r="Q41" s="1240"/>
      <c r="R41" s="1247"/>
      <c r="S41" s="1248"/>
      <c r="T41" s="1249"/>
    </row>
    <row r="42" spans="1:20" s="257" customFormat="1" ht="12" customHeight="1">
      <c r="A42" s="64" t="s">
        <v>899</v>
      </c>
      <c r="B42" s="456"/>
      <c r="C42" s="422">
        <v>0.107</v>
      </c>
      <c r="D42" s="307">
        <v>0.108</v>
      </c>
      <c r="E42" s="307">
        <v>0.1104</v>
      </c>
      <c r="F42" s="307">
        <v>0.114</v>
      </c>
      <c r="G42" s="457">
        <v>0.114</v>
      </c>
      <c r="H42" s="1147">
        <f>'ANSP WACC (CAR)'!Z54</f>
        <v>6.3331007740404219E-2</v>
      </c>
      <c r="I42" s="1147">
        <f>'ANSP WACC (CAR)'!AA54</f>
        <v>8.7035732526885221E-2</v>
      </c>
      <c r="J42" s="479"/>
      <c r="K42" s="1147">
        <f>'ANSP WACC (CAR)'!AB54</f>
        <v>9.0422121782096659E-2</v>
      </c>
      <c r="L42" s="1147">
        <f>'ANSP WACC (CAR)'!AC54</f>
        <v>9.1550918200500722E-2</v>
      </c>
      <c r="M42" s="1148">
        <f>'ANSP WACC (CAR)'!AD54</f>
        <v>9.1550918200500722E-2</v>
      </c>
      <c r="N42" s="519"/>
      <c r="O42" s="895">
        <v>9.7049999999999997E-2</v>
      </c>
      <c r="P42" s="314"/>
      <c r="Q42" s="314"/>
      <c r="R42" s="423"/>
      <c r="S42" s="312"/>
      <c r="T42" s="313"/>
    </row>
    <row r="43" spans="1:20" s="257" customFormat="1" ht="12" customHeight="1">
      <c r="A43" s="64" t="s">
        <v>900</v>
      </c>
      <c r="B43" s="456"/>
      <c r="C43" s="422">
        <v>0</v>
      </c>
      <c r="D43" s="307">
        <v>0</v>
      </c>
      <c r="E43" s="307">
        <v>0</v>
      </c>
      <c r="F43" s="307">
        <v>0</v>
      </c>
      <c r="G43" s="457">
        <v>0</v>
      </c>
      <c r="H43" s="1147">
        <f>'ANSP WACC (CAR)'!Z57</f>
        <v>-3.8249383629191946E-3</v>
      </c>
      <c r="I43" s="1147">
        <f>'ANSP WACC (CAR)'!AA57</f>
        <v>1.7199861932938765E-2</v>
      </c>
      <c r="J43" s="479"/>
      <c r="K43" s="1147">
        <f>'ANSP WACC (CAR)'!AB57</f>
        <v>2.020340483234695E-2</v>
      </c>
      <c r="L43" s="1147">
        <f>'ANSP WACC (CAR)'!AC57</f>
        <v>2.1204585798816566E-2</v>
      </c>
      <c r="M43" s="1148">
        <f>'ANSP WACC (CAR)'!AD57</f>
        <v>2.1204585798816566E-2</v>
      </c>
      <c r="N43" s="519"/>
      <c r="O43" s="895">
        <v>3.0000000000000001E-3</v>
      </c>
      <c r="P43" s="314"/>
      <c r="Q43" s="314"/>
      <c r="R43" s="423"/>
      <c r="S43" s="312"/>
      <c r="T43" s="313"/>
    </row>
    <row r="44" spans="1:20" s="257" customFormat="1" ht="12" customHeight="1">
      <c r="A44" s="63" t="s">
        <v>901</v>
      </c>
      <c r="B44" s="456"/>
      <c r="C44" s="424">
        <v>1</v>
      </c>
      <c r="D44" s="315">
        <v>1</v>
      </c>
      <c r="E44" s="315">
        <v>1</v>
      </c>
      <c r="F44" s="315">
        <v>1</v>
      </c>
      <c r="G44" s="458">
        <v>1</v>
      </c>
      <c r="H44" s="1149">
        <f>'ANSP WACC (CAR)'!Z43</f>
        <v>0.5</v>
      </c>
      <c r="I44" s="1149">
        <f>'ANSP WACC (CAR)'!AA43</f>
        <v>0.5</v>
      </c>
      <c r="J44" s="1150"/>
      <c r="K44" s="1149">
        <f>'ANSP WACC (CAR)'!AB43</f>
        <v>0.5</v>
      </c>
      <c r="L44" s="1149">
        <f>'ANSP WACC (CAR)'!AC43</f>
        <v>0.5</v>
      </c>
      <c r="M44" s="1151">
        <f>'ANSP WACC (CAR)'!AD43</f>
        <v>0.5</v>
      </c>
      <c r="N44" s="519"/>
      <c r="O44" s="931">
        <v>0.5</v>
      </c>
      <c r="P44" s="425"/>
      <c r="Q44" s="425"/>
      <c r="R44" s="426"/>
      <c r="S44" s="320"/>
      <c r="T44" s="1250"/>
    </row>
    <row r="45" spans="1:20" s="257" customFormat="1" ht="5.5" customHeight="1">
      <c r="A45" s="61"/>
      <c r="B45" s="44"/>
      <c r="C45" s="44"/>
      <c r="D45" s="44"/>
      <c r="E45" s="44"/>
      <c r="F45" s="44"/>
      <c r="G45" s="44"/>
      <c r="H45" s="949"/>
      <c r="I45" s="949"/>
      <c r="J45" s="322"/>
      <c r="K45" s="428"/>
      <c r="L45" s="428"/>
      <c r="M45" s="428"/>
      <c r="N45" s="115"/>
      <c r="O45" s="949"/>
      <c r="P45" s="322"/>
      <c r="Q45" s="322"/>
      <c r="R45" s="503"/>
      <c r="S45" s="325"/>
      <c r="T45" s="325"/>
    </row>
    <row r="46" spans="1:20" s="328" customFormat="1" ht="12" customHeight="1">
      <c r="A46" s="55" t="s">
        <v>902</v>
      </c>
      <c r="B46" s="44"/>
      <c r="C46" s="44"/>
      <c r="D46" s="44"/>
      <c r="E46" s="44"/>
      <c r="F46" s="44"/>
      <c r="G46" s="44"/>
      <c r="H46" s="950"/>
      <c r="I46" s="950"/>
      <c r="J46" s="47"/>
      <c r="K46" s="429"/>
      <c r="L46" s="429"/>
      <c r="M46" s="429"/>
      <c r="N46" s="115"/>
      <c r="O46" s="950"/>
      <c r="P46" s="47"/>
      <c r="Q46" s="47"/>
      <c r="R46" s="108"/>
      <c r="S46" s="108"/>
      <c r="T46" s="108"/>
    </row>
    <row r="47" spans="1:20" s="327" customFormat="1" ht="12" customHeight="1">
      <c r="A47" s="1548" t="s">
        <v>903</v>
      </c>
      <c r="B47" s="459"/>
      <c r="C47" s="521">
        <v>0</v>
      </c>
      <c r="D47" s="433">
        <v>0</v>
      </c>
      <c r="E47" s="433">
        <v>0</v>
      </c>
      <c r="F47" s="433">
        <v>0</v>
      </c>
      <c r="G47" s="522">
        <v>0</v>
      </c>
      <c r="H47" s="1251">
        <v>0</v>
      </c>
      <c r="I47" s="481">
        <v>0</v>
      </c>
      <c r="J47" s="433">
        <f>H47+I47</f>
        <v>0</v>
      </c>
      <c r="K47" s="482">
        <v>0</v>
      </c>
      <c r="L47" s="482">
        <v>0</v>
      </c>
      <c r="M47" s="483">
        <v>0</v>
      </c>
      <c r="N47" s="115"/>
      <c r="O47" s="1251">
        <v>0</v>
      </c>
      <c r="P47" s="504"/>
      <c r="Q47" s="131"/>
      <c r="R47" s="130"/>
      <c r="S47" s="107"/>
      <c r="T47" s="106"/>
    </row>
    <row r="48" spans="1:20" s="257" customFormat="1" ht="5.5" customHeight="1">
      <c r="A48" s="61"/>
      <c r="B48" s="44"/>
      <c r="C48" s="44"/>
      <c r="D48" s="44"/>
      <c r="E48" s="44"/>
      <c r="F48" s="44"/>
      <c r="G48" s="44"/>
      <c r="H48" s="896"/>
      <c r="I48" s="896"/>
      <c r="J48" s="322"/>
      <c r="K48" s="506"/>
      <c r="L48" s="506"/>
      <c r="M48" s="506"/>
      <c r="N48" s="115"/>
      <c r="O48" s="896"/>
      <c r="P48" s="322"/>
      <c r="Q48" s="322"/>
      <c r="R48" s="324"/>
      <c r="S48" s="325"/>
      <c r="T48" s="325"/>
    </row>
    <row r="49" spans="1:20" s="334" customFormat="1" ht="12" customHeight="1">
      <c r="A49" s="58" t="s">
        <v>904</v>
      </c>
      <c r="B49" s="43"/>
      <c r="C49" s="43"/>
      <c r="D49" s="43"/>
      <c r="E49" s="43"/>
      <c r="F49" s="43"/>
      <c r="G49" s="43"/>
      <c r="H49" s="951"/>
      <c r="I49" s="951"/>
      <c r="J49" s="66"/>
      <c r="K49" s="436"/>
      <c r="L49" s="436"/>
      <c r="M49" s="436"/>
      <c r="N49" s="115"/>
      <c r="O49" s="951"/>
      <c r="P49" s="66"/>
      <c r="Q49" s="66"/>
      <c r="R49" s="105"/>
      <c r="S49" s="105"/>
      <c r="T49" s="105"/>
    </row>
    <row r="50" spans="1:20" s="257" customFormat="1" ht="12" customHeight="1">
      <c r="A50" s="1235" t="s">
        <v>905</v>
      </c>
      <c r="B50" s="456"/>
      <c r="C50" s="1291"/>
      <c r="D50" s="1252"/>
      <c r="E50" s="1252"/>
      <c r="F50" s="1252"/>
      <c r="G50" s="1292"/>
      <c r="H50" s="1237">
        <f>H15</f>
        <v>2439.6952659425215</v>
      </c>
      <c r="I50" s="1293">
        <f>I15</f>
        <v>3451.8338518212086</v>
      </c>
      <c r="J50" s="1236">
        <f>H50+I50</f>
        <v>5891.52911776373</v>
      </c>
      <c r="K50" s="1255">
        <f t="shared" ref="K50:M51" si="9">K15</f>
        <v>4929.9343028532548</v>
      </c>
      <c r="L50" s="1255">
        <f t="shared" si="9"/>
        <v>5509.143003898841</v>
      </c>
      <c r="M50" s="1294">
        <f t="shared" si="9"/>
        <v>5602.2481091368945</v>
      </c>
      <c r="N50" s="519"/>
      <c r="O50" s="1237">
        <v>2477</v>
      </c>
      <c r="P50" s="1256"/>
      <c r="Q50" s="1256"/>
      <c r="R50" s="1257"/>
      <c r="S50" s="1258"/>
      <c r="T50" s="1259"/>
    </row>
    <row r="51" spans="1:20" s="257" customFormat="1" ht="12" customHeight="1">
      <c r="A51" s="298" t="s">
        <v>906</v>
      </c>
      <c r="B51" s="456"/>
      <c r="C51" s="126"/>
      <c r="D51" s="125"/>
      <c r="E51" s="125"/>
      <c r="F51" s="125"/>
      <c r="G51" s="127"/>
      <c r="H51" s="980">
        <f>H16</f>
        <v>477.28382820656748</v>
      </c>
      <c r="I51" s="300">
        <f>I16</f>
        <v>876.07373331040242</v>
      </c>
      <c r="J51" s="65">
        <f>H51+I51</f>
        <v>1353.3575615169698</v>
      </c>
      <c r="K51" s="290">
        <f t="shared" si="9"/>
        <v>4180.8450804819668</v>
      </c>
      <c r="L51" s="290">
        <f t="shared" si="9"/>
        <v>4761.669408517133</v>
      </c>
      <c r="M51" s="291">
        <f t="shared" si="9"/>
        <v>4656.0092021449982</v>
      </c>
      <c r="N51" s="519"/>
      <c r="O51" s="980">
        <v>732</v>
      </c>
      <c r="P51" s="129"/>
      <c r="Q51" s="129"/>
      <c r="R51" s="128"/>
      <c r="S51" s="84"/>
      <c r="T51" s="103"/>
    </row>
    <row r="52" spans="1:20" s="257" customFormat="1" ht="12" customHeight="1">
      <c r="A52" s="63" t="s">
        <v>907</v>
      </c>
      <c r="B52" s="456"/>
      <c r="C52" s="442"/>
      <c r="D52" s="338"/>
      <c r="E52" s="338"/>
      <c r="F52" s="338"/>
      <c r="G52" s="467"/>
      <c r="H52" s="898">
        <v>0</v>
      </c>
      <c r="I52" s="523">
        <v>0</v>
      </c>
      <c r="J52" s="346">
        <f>H52+I52</f>
        <v>0</v>
      </c>
      <c r="K52" s="524">
        <v>0</v>
      </c>
      <c r="L52" s="524">
        <v>0</v>
      </c>
      <c r="M52" s="525">
        <v>0</v>
      </c>
      <c r="N52" s="519"/>
      <c r="O52" s="898">
        <v>0</v>
      </c>
      <c r="P52" s="514"/>
      <c r="Q52" s="514"/>
      <c r="R52" s="515"/>
      <c r="S52" s="320"/>
      <c r="T52" s="1250"/>
    </row>
    <row r="53" spans="1:20" s="257" customFormat="1" ht="5.5" customHeight="1">
      <c r="A53" s="61"/>
      <c r="B53" s="44"/>
      <c r="C53" s="44"/>
      <c r="D53" s="44"/>
      <c r="E53" s="44"/>
      <c r="F53" s="44"/>
      <c r="G53" s="44"/>
      <c r="H53" s="949"/>
      <c r="I53" s="949"/>
      <c r="J53" s="322"/>
      <c r="K53" s="428"/>
      <c r="L53" s="428"/>
      <c r="M53" s="428"/>
      <c r="N53" s="115"/>
      <c r="O53" s="949"/>
      <c r="P53" s="322"/>
      <c r="Q53" s="322"/>
      <c r="R53" s="324"/>
      <c r="S53" s="325"/>
      <c r="T53" s="325"/>
    </row>
    <row r="54" spans="1:20" s="334" customFormat="1" ht="12" customHeight="1">
      <c r="A54" s="58" t="s">
        <v>908</v>
      </c>
      <c r="B54" s="43"/>
      <c r="C54" s="43"/>
      <c r="D54" s="43"/>
      <c r="E54" s="43"/>
      <c r="F54" s="43"/>
      <c r="G54" s="43"/>
      <c r="H54" s="951"/>
      <c r="I54" s="951"/>
      <c r="J54" s="66"/>
      <c r="K54" s="436"/>
      <c r="L54" s="436"/>
      <c r="M54" s="436"/>
      <c r="N54" s="115"/>
      <c r="O54" s="951"/>
      <c r="P54" s="66"/>
      <c r="Q54" s="66"/>
      <c r="R54" s="105"/>
      <c r="S54" s="105"/>
      <c r="T54" s="105"/>
    </row>
    <row r="55" spans="1:20" s="343" customFormat="1" ht="12" customHeight="1">
      <c r="A55" s="1260" t="s">
        <v>909</v>
      </c>
      <c r="B55" s="459"/>
      <c r="C55" s="1295"/>
      <c r="D55" s="1261"/>
      <c r="E55" s="1261"/>
      <c r="F55" s="1261"/>
      <c r="G55" s="1296"/>
      <c r="H55" s="1264"/>
      <c r="I55" s="1265"/>
      <c r="J55" s="1261"/>
      <c r="K55" s="1266"/>
      <c r="L55" s="1266"/>
      <c r="M55" s="1263"/>
      <c r="N55" s="115"/>
      <c r="O55" s="1264"/>
      <c r="P55" s="1261"/>
      <c r="Q55" s="1261"/>
      <c r="R55" s="1267"/>
      <c r="S55" s="1267"/>
      <c r="T55" s="1268"/>
    </row>
    <row r="56" spans="1:20" s="257" customFormat="1" ht="12" customHeight="1">
      <c r="A56" s="298" t="s">
        <v>910</v>
      </c>
      <c r="B56" s="456"/>
      <c r="C56" s="126"/>
      <c r="D56" s="125"/>
      <c r="E56" s="125"/>
      <c r="F56" s="125"/>
      <c r="G56" s="127"/>
      <c r="H56" s="947"/>
      <c r="I56" s="415"/>
      <c r="J56" s="125"/>
      <c r="K56" s="137"/>
      <c r="L56" s="137"/>
      <c r="M56" s="136"/>
      <c r="N56" s="115"/>
      <c r="O56" s="947"/>
      <c r="P56" s="125"/>
      <c r="Q56" s="125"/>
      <c r="R56" s="124"/>
      <c r="S56" s="124"/>
      <c r="T56" s="123"/>
    </row>
    <row r="57" spans="1:20" s="257" customFormat="1" ht="12" customHeight="1">
      <c r="A57" s="63" t="s">
        <v>911</v>
      </c>
      <c r="B57" s="456"/>
      <c r="C57" s="442"/>
      <c r="D57" s="338"/>
      <c r="E57" s="338"/>
      <c r="F57" s="338"/>
      <c r="G57" s="467"/>
      <c r="H57" s="952"/>
      <c r="I57" s="444"/>
      <c r="J57" s="338"/>
      <c r="K57" s="438"/>
      <c r="L57" s="438"/>
      <c r="M57" s="443"/>
      <c r="N57" s="115"/>
      <c r="O57" s="952"/>
      <c r="P57" s="338"/>
      <c r="Q57" s="338"/>
      <c r="R57" s="445"/>
      <c r="S57" s="382"/>
      <c r="T57" s="1269"/>
    </row>
    <row r="58" spans="1:20" ht="12" customHeight="1">
      <c r="A58" s="102"/>
      <c r="B58" s="101"/>
      <c r="C58" s="101"/>
      <c r="D58" s="101"/>
      <c r="E58" s="101"/>
      <c r="F58" s="101"/>
      <c r="G58" s="101"/>
      <c r="H58" s="953"/>
      <c r="I58" s="953"/>
      <c r="J58" s="122"/>
      <c r="K58" s="447"/>
      <c r="L58" s="447"/>
      <c r="M58" s="447"/>
      <c r="N58" s="115"/>
      <c r="O58" s="953"/>
      <c r="P58" s="122"/>
      <c r="Q58" s="122"/>
      <c r="R58" s="100"/>
      <c r="S58" s="100"/>
      <c r="T58" s="100"/>
    </row>
    <row r="59" spans="1:20" ht="15.65" customHeight="1">
      <c r="A59" s="62" t="s">
        <v>912</v>
      </c>
      <c r="B59" s="62"/>
      <c r="C59" s="62"/>
      <c r="D59" s="62"/>
      <c r="E59" s="62"/>
      <c r="F59" s="62"/>
      <c r="G59" s="62"/>
      <c r="H59" s="946"/>
      <c r="I59" s="946"/>
      <c r="J59" s="61"/>
      <c r="K59" s="412"/>
      <c r="L59" s="412"/>
      <c r="M59" s="413"/>
      <c r="N59" s="115"/>
      <c r="O59" s="946"/>
      <c r="P59" s="61"/>
      <c r="Q59" s="61"/>
      <c r="R59" s="1214"/>
      <c r="S59" s="1214"/>
      <c r="T59" s="1214"/>
    </row>
    <row r="60" spans="1:20" ht="12" customHeight="1">
      <c r="A60" s="1270" t="s">
        <v>913</v>
      </c>
      <c r="B60" s="456"/>
      <c r="C60" s="1288">
        <v>0</v>
      </c>
      <c r="D60" s="1236">
        <v>0</v>
      </c>
      <c r="E60" s="1236">
        <v>0</v>
      </c>
      <c r="F60" s="1236">
        <v>0</v>
      </c>
      <c r="G60" s="1225">
        <v>0</v>
      </c>
      <c r="H60" s="1231">
        <v>0</v>
      </c>
      <c r="I60" s="1297">
        <v>0</v>
      </c>
      <c r="J60" s="1236">
        <f>H60+I60</f>
        <v>0</v>
      </c>
      <c r="K60" s="1298">
        <v>0</v>
      </c>
      <c r="L60" s="1298">
        <v>0</v>
      </c>
      <c r="M60" s="1299">
        <v>0</v>
      </c>
      <c r="N60" s="115"/>
      <c r="O60" s="1231">
        <v>0</v>
      </c>
      <c r="P60" s="1232"/>
      <c r="Q60" s="1232"/>
      <c r="R60" s="1271"/>
      <c r="S60" s="1272"/>
      <c r="T60" s="1273"/>
    </row>
    <row r="61" spans="1:20" s="295" customFormat="1" ht="12" customHeight="1">
      <c r="A61" s="352" t="s">
        <v>914</v>
      </c>
      <c r="B61" s="468"/>
      <c r="C61" s="97">
        <f t="shared" ref="C61:M61" si="10">C18-C60</f>
        <v>20031.565000000002</v>
      </c>
      <c r="D61" s="96">
        <f t="shared" si="10"/>
        <v>20662.72004</v>
      </c>
      <c r="E61" s="96">
        <f t="shared" si="10"/>
        <v>21205</v>
      </c>
      <c r="F61" s="96">
        <f t="shared" si="10"/>
        <v>21607</v>
      </c>
      <c r="G61" s="98">
        <f t="shared" si="10"/>
        <v>22560</v>
      </c>
      <c r="H61" s="928">
        <f t="shared" si="10"/>
        <v>16994.299359849709</v>
      </c>
      <c r="I61" s="303">
        <f t="shared" si="10"/>
        <v>17826.013001176652</v>
      </c>
      <c r="J61" s="96">
        <f t="shared" si="10"/>
        <v>34820.312361026365</v>
      </c>
      <c r="K61" s="302">
        <f t="shared" si="10"/>
        <v>25016.967687916425</v>
      </c>
      <c r="L61" s="302">
        <f t="shared" si="10"/>
        <v>27350.97450096687</v>
      </c>
      <c r="M61" s="305">
        <f t="shared" si="10"/>
        <v>28911.614177628253</v>
      </c>
      <c r="N61" s="115"/>
      <c r="O61" s="928">
        <v>17375</v>
      </c>
      <c r="P61" s="96"/>
      <c r="Q61" s="96"/>
      <c r="R61" s="95"/>
      <c r="S61" s="94"/>
      <c r="T61" s="1274"/>
    </row>
    <row r="62" spans="1:20" s="356" customFormat="1" ht="12" customHeight="1">
      <c r="A62" s="61"/>
      <c r="B62" s="44"/>
      <c r="C62" s="44"/>
      <c r="D62" s="44"/>
      <c r="E62" s="44"/>
      <c r="F62" s="44"/>
      <c r="G62" s="44"/>
      <c r="H62" s="954"/>
      <c r="I62" s="954"/>
      <c r="J62" s="353"/>
      <c r="K62" s="448"/>
      <c r="L62" s="448"/>
      <c r="M62" s="448"/>
      <c r="N62" s="115"/>
      <c r="O62" s="954"/>
      <c r="P62" s="353"/>
      <c r="Q62" s="353"/>
      <c r="R62" s="355"/>
      <c r="S62" s="355"/>
      <c r="T62" s="355"/>
    </row>
    <row r="63" spans="1:20" ht="15.65" customHeight="1">
      <c r="A63" s="62" t="s">
        <v>915</v>
      </c>
      <c r="B63" s="62"/>
      <c r="C63" s="62"/>
      <c r="D63" s="62"/>
      <c r="E63" s="62"/>
      <c r="F63" s="62"/>
      <c r="G63" s="62"/>
      <c r="H63" s="946"/>
      <c r="I63" s="946"/>
      <c r="J63" s="61"/>
      <c r="K63" s="412"/>
      <c r="L63" s="412"/>
      <c r="M63" s="413"/>
      <c r="N63" s="115"/>
      <c r="O63" s="946"/>
      <c r="P63" s="61"/>
      <c r="Q63" s="61"/>
      <c r="R63" s="1214"/>
      <c r="S63" s="1214"/>
      <c r="T63" s="1214"/>
    </row>
    <row r="64" spans="1:20" s="357" customFormat="1" ht="12" customHeight="1">
      <c r="A64" s="1235" t="s">
        <v>916</v>
      </c>
      <c r="B64" s="44"/>
      <c r="C64" s="1300">
        <f>'Misc. Items'!I26</f>
        <v>0</v>
      </c>
      <c r="D64" s="1275">
        <f>'Misc. Items'!J26</f>
        <v>-2E-3</v>
      </c>
      <c r="E64" s="1275">
        <f>'Misc. Items'!K26</f>
        <v>3.0000000000000001E-3</v>
      </c>
      <c r="F64" s="1275">
        <f>'Misc. Items'!L26</f>
        <v>7.0000000000000001E-3</v>
      </c>
      <c r="G64" s="1301">
        <f>'Misc. Items'!M26</f>
        <v>8.9999999999999993E-3</v>
      </c>
      <c r="H64" s="1277">
        <f>'Misc. Items'!N26</f>
        <v>0</v>
      </c>
      <c r="I64" s="1278">
        <f>'Misc. Items'!O26</f>
        <v>1.6E-2</v>
      </c>
      <c r="J64" s="1279"/>
      <c r="K64" s="1280">
        <f>'Misc. Items'!P26</f>
        <v>1.9E-2</v>
      </c>
      <c r="L64" s="1280">
        <f>'Misc. Items'!Q26</f>
        <v>0.02</v>
      </c>
      <c r="M64" s="1276">
        <f>'Misc. Items'!R26</f>
        <v>0.02</v>
      </c>
      <c r="N64" s="115"/>
      <c r="O64" s="1277">
        <v>0</v>
      </c>
      <c r="P64" s="1278"/>
      <c r="Q64" s="1278"/>
      <c r="R64" s="1280"/>
      <c r="S64" s="1280"/>
      <c r="T64" s="1276"/>
    </row>
    <row r="65" spans="1:20" s="356" customFormat="1" ht="12" customHeight="1">
      <c r="A65" s="298" t="s">
        <v>917</v>
      </c>
      <c r="B65" s="44"/>
      <c r="C65" s="449">
        <f>'Misc. Items'!I27</f>
        <v>99.8994</v>
      </c>
      <c r="D65" s="450">
        <f>'Misc. Items'!J27</f>
        <v>99.7</v>
      </c>
      <c r="E65" s="450">
        <f>'Misc. Items'!K27</f>
        <v>100</v>
      </c>
      <c r="F65" s="450">
        <f>'Misc. Items'!L27</f>
        <v>100.69999999999999</v>
      </c>
      <c r="G65" s="469">
        <f>'Misc. Items'!M27</f>
        <v>101.60629999999998</v>
      </c>
      <c r="H65" s="955">
        <f>'Misc. Items'!N27</f>
        <v>101.60629999999998</v>
      </c>
      <c r="I65" s="452">
        <f>'Misc. Items'!O27</f>
        <v>103.23200079999998</v>
      </c>
      <c r="J65" s="359"/>
      <c r="K65" s="451">
        <f>'Misc. Items'!P27</f>
        <v>105.19340881519997</v>
      </c>
      <c r="L65" s="451">
        <f>'Misc. Items'!Q27</f>
        <v>107.29727699150398</v>
      </c>
      <c r="M65" s="453">
        <f>'Misc. Items'!R27</f>
        <v>109.44322253133406</v>
      </c>
      <c r="N65" s="115"/>
      <c r="O65" s="955">
        <v>101.60629999999998</v>
      </c>
      <c r="P65" s="452"/>
      <c r="Q65" s="452"/>
      <c r="R65" s="451"/>
      <c r="S65" s="451"/>
      <c r="T65" s="453"/>
    </row>
    <row r="66" spans="1:20" s="356" customFormat="1" ht="12" customHeight="1">
      <c r="A66" s="363" t="s">
        <v>918</v>
      </c>
      <c r="B66" s="82"/>
      <c r="C66" s="79">
        <f t="shared" ref="C66:L66" si="11">((C61-C15-C16)/(C65/100))+C15+C16</f>
        <v>20044.949210515781</v>
      </c>
      <c r="D66" s="81">
        <f t="shared" si="11"/>
        <v>20705.032978816449</v>
      </c>
      <c r="E66" s="81">
        <f t="shared" si="11"/>
        <v>21205</v>
      </c>
      <c r="F66" s="81">
        <f t="shared" si="11"/>
        <v>21499.782522343594</v>
      </c>
      <c r="G66" s="80">
        <f t="shared" si="11"/>
        <v>22279.926709269017</v>
      </c>
      <c r="H66" s="920">
        <f t="shared" si="11"/>
        <v>16771.750172025779</v>
      </c>
      <c r="I66" s="271">
        <f t="shared" si="11"/>
        <v>17403.412575290673</v>
      </c>
      <c r="J66" s="81">
        <f>H66+I66</f>
        <v>34175.162747316455</v>
      </c>
      <c r="K66" s="272">
        <f t="shared" si="11"/>
        <v>24231.677625662011</v>
      </c>
      <c r="L66" s="272">
        <f t="shared" si="11"/>
        <v>26189.35439918358</v>
      </c>
      <c r="M66" s="270">
        <f>((M61-M15-M16)/(M65/100))+M15+M16</f>
        <v>27302.123925320804</v>
      </c>
      <c r="N66" s="115"/>
      <c r="O66" s="920">
        <v>17151.048869016984</v>
      </c>
      <c r="P66" s="271"/>
      <c r="Q66" s="271"/>
      <c r="R66" s="272"/>
      <c r="S66" s="272"/>
      <c r="T66" s="270"/>
    </row>
    <row r="67" spans="1:20" s="356" customFormat="1" ht="12" customHeight="1">
      <c r="A67" s="52" t="s">
        <v>879</v>
      </c>
      <c r="B67" s="44"/>
      <c r="C67" s="470"/>
      <c r="D67" s="364">
        <f t="shared" ref="D67:I67" si="12">D66/C66-1</f>
        <v>3.2930179137315108E-2</v>
      </c>
      <c r="E67" s="364">
        <f t="shared" si="12"/>
        <v>2.414712508282757E-2</v>
      </c>
      <c r="F67" s="364">
        <f t="shared" si="12"/>
        <v>1.3901557290431299E-2</v>
      </c>
      <c r="G67" s="471">
        <f t="shared" si="12"/>
        <v>3.6286143179107055E-2</v>
      </c>
      <c r="H67" s="941">
        <f t="shared" si="12"/>
        <v>-0.24722597202044194</v>
      </c>
      <c r="I67" s="366">
        <f t="shared" si="12"/>
        <v>3.7662283112138706E-2</v>
      </c>
      <c r="J67" s="367"/>
      <c r="K67" s="365">
        <f>K66/I66-1</f>
        <v>0.39235207582598441</v>
      </c>
      <c r="L67" s="365">
        <f>L66/K66-1</f>
        <v>8.0789980940004558E-2</v>
      </c>
      <c r="M67" s="368">
        <f>M66/L66-1</f>
        <v>4.2489383631843625E-2</v>
      </c>
      <c r="N67" s="115"/>
      <c r="O67" s="941">
        <v>-0.23020173751820683</v>
      </c>
      <c r="P67" s="366"/>
      <c r="Q67" s="366"/>
      <c r="R67" s="365"/>
      <c r="S67" s="365"/>
      <c r="T67" s="368"/>
    </row>
    <row r="68" spans="1:20" s="356" customFormat="1" ht="12" customHeight="1">
      <c r="A68" s="369" t="s">
        <v>919</v>
      </c>
      <c r="B68" s="370"/>
      <c r="C68" s="371">
        <f>'Misc. Items'!I37</f>
        <v>149.863</v>
      </c>
      <c r="D68" s="53">
        <f>'Misc. Items'!J37</f>
        <v>163.30528635600001</v>
      </c>
      <c r="E68" s="53">
        <f>'Misc. Items'!K37</f>
        <v>171.66498065517399</v>
      </c>
      <c r="F68" s="53">
        <f>'Misc. Items'!L37</f>
        <v>182.71100000000001</v>
      </c>
      <c r="G68" s="54">
        <f>'Misc. Items'!M37</f>
        <v>187.70944677700001</v>
      </c>
      <c r="H68" s="942">
        <f>'Misc. Items'!N37</f>
        <v>70.511440283846895</v>
      </c>
      <c r="I68" s="373">
        <f>'Misc. Items'!O37</f>
        <v>77</v>
      </c>
      <c r="J68" s="53">
        <f>H68+I68</f>
        <v>147.51144028384689</v>
      </c>
      <c r="K68" s="372">
        <f>'Misc. Items'!P37</f>
        <v>136</v>
      </c>
      <c r="L68" s="372">
        <f>'Misc. Items'!Q37</f>
        <v>163</v>
      </c>
      <c r="M68" s="374">
        <f>'Misc. Items'!R37</f>
        <v>188</v>
      </c>
      <c r="N68" s="115"/>
      <c r="O68" s="942">
        <v>70.511440283846895</v>
      </c>
      <c r="P68" s="894">
        <f>I68</f>
        <v>77</v>
      </c>
      <c r="Q68" s="373"/>
      <c r="R68" s="372"/>
      <c r="S68" s="372"/>
      <c r="T68" s="374"/>
    </row>
    <row r="69" spans="1:20" s="356" customFormat="1" ht="12" customHeight="1">
      <c r="A69" s="52" t="s">
        <v>879</v>
      </c>
      <c r="B69" s="370"/>
      <c r="C69" s="470"/>
      <c r="D69" s="364">
        <f t="shared" ref="D69:I69" si="13">D68/C68-1</f>
        <v>8.9697165784750066E-2</v>
      </c>
      <c r="E69" s="364">
        <f t="shared" si="13"/>
        <v>5.1190592084999098E-2</v>
      </c>
      <c r="F69" s="364">
        <f t="shared" si="13"/>
        <v>6.4346375729446681E-2</v>
      </c>
      <c r="G69" s="471">
        <f t="shared" si="13"/>
        <v>2.7357120135076629E-2</v>
      </c>
      <c r="H69" s="941">
        <f t="shared" si="13"/>
        <v>-0.62435859518772685</v>
      </c>
      <c r="I69" s="366">
        <f t="shared" si="13"/>
        <v>9.2021375397143057E-2</v>
      </c>
      <c r="J69" s="367"/>
      <c r="K69" s="365">
        <f>K68/I68-1</f>
        <v>0.76623376623376616</v>
      </c>
      <c r="L69" s="365">
        <f>L68/K68-1</f>
        <v>0.19852941176470584</v>
      </c>
      <c r="M69" s="368">
        <f>M68/L68-1</f>
        <v>0.15337423312883436</v>
      </c>
      <c r="N69" s="115"/>
      <c r="O69" s="941">
        <v>-0.62435859518772685</v>
      </c>
      <c r="P69" s="366"/>
      <c r="Q69" s="366"/>
      <c r="R69" s="365"/>
      <c r="S69" s="365"/>
      <c r="T69" s="368"/>
    </row>
    <row r="70" spans="1:20" s="356" customFormat="1" ht="12" customHeight="1">
      <c r="A70" s="369" t="s">
        <v>920</v>
      </c>
      <c r="B70" s="370"/>
      <c r="C70" s="375">
        <f t="shared" ref="C70:L70" si="14">C66/C68</f>
        <v>133.75515778087842</v>
      </c>
      <c r="D70" s="51">
        <f t="shared" si="14"/>
        <v>126.78727946185512</v>
      </c>
      <c r="E70" s="51">
        <f t="shared" si="14"/>
        <v>123.52548504109176</v>
      </c>
      <c r="F70" s="51">
        <f t="shared" si="14"/>
        <v>117.67098052303142</v>
      </c>
      <c r="G70" s="50">
        <f t="shared" si="14"/>
        <v>118.69368905944147</v>
      </c>
      <c r="H70" s="943">
        <f t="shared" si="14"/>
        <v>237.85856741133586</v>
      </c>
      <c r="I70" s="377">
        <f t="shared" si="14"/>
        <v>226.01834513364511</v>
      </c>
      <c r="J70" s="51">
        <f>J66/J68</f>
        <v>231.67804938759571</v>
      </c>
      <c r="K70" s="376">
        <f t="shared" si="14"/>
        <v>178.17410018869126</v>
      </c>
      <c r="L70" s="376">
        <f t="shared" si="14"/>
        <v>160.67088588456184</v>
      </c>
      <c r="M70" s="378">
        <f>M66/M68</f>
        <v>145.22406343255747</v>
      </c>
      <c r="N70" s="115"/>
      <c r="O70" s="943">
        <v>243.23781786295507</v>
      </c>
      <c r="P70" s="377"/>
      <c r="Q70" s="377"/>
      <c r="R70" s="376"/>
      <c r="S70" s="376"/>
      <c r="T70" s="378"/>
    </row>
    <row r="71" spans="1:20" ht="12" customHeight="1">
      <c r="A71" s="49" t="s">
        <v>879</v>
      </c>
      <c r="B71" s="370"/>
      <c r="C71" s="472"/>
      <c r="D71" s="379">
        <f t="shared" ref="D71:I71" si="15">+D70/C70-1</f>
        <v>-5.2094277593678129E-2</v>
      </c>
      <c r="E71" s="379">
        <f t="shared" si="15"/>
        <v>-2.5726511639085237E-2</v>
      </c>
      <c r="F71" s="379">
        <f t="shared" si="15"/>
        <v>-4.7395114587996057E-2</v>
      </c>
      <c r="G71" s="473">
        <f t="shared" si="15"/>
        <v>8.6912553279003824E-3</v>
      </c>
      <c r="H71" s="944">
        <f t="shared" si="15"/>
        <v>1.0039697922963446</v>
      </c>
      <c r="I71" s="381">
        <f t="shared" si="15"/>
        <v>-4.977841414984685E-2</v>
      </c>
      <c r="J71" s="382"/>
      <c r="K71" s="380">
        <f>+K70/I70-1</f>
        <v>-0.21168301589264116</v>
      </c>
      <c r="L71" s="380">
        <f>+L70/K70-1</f>
        <v>-9.8236580319996158E-2</v>
      </c>
      <c r="M71" s="383">
        <f>+M70/L70-1</f>
        <v>-9.6139523766007873E-2</v>
      </c>
      <c r="N71" s="115"/>
      <c r="O71" s="944">
        <v>1.0492902343033776</v>
      </c>
      <c r="P71" s="381"/>
      <c r="Q71" s="381"/>
      <c r="R71" s="380"/>
      <c r="S71" s="380"/>
      <c r="T71" s="383"/>
    </row>
    <row r="72" spans="1:20" s="327" customFormat="1" ht="12" customHeight="1">
      <c r="A72" s="48"/>
      <c r="B72" s="370"/>
      <c r="C72" s="93"/>
      <c r="D72" s="93"/>
      <c r="E72" s="93"/>
      <c r="F72" s="93"/>
      <c r="G72" s="93"/>
      <c r="H72" s="384"/>
      <c r="I72" s="384"/>
      <c r="J72" s="93"/>
      <c r="K72" s="93"/>
      <c r="L72" s="93"/>
      <c r="M72" s="93"/>
      <c r="N72" s="115"/>
    </row>
    <row r="73" spans="1:20" s="327" customFormat="1" ht="12" customHeight="1">
      <c r="A73" s="256" t="s">
        <v>921</v>
      </c>
      <c r="B73" s="257"/>
      <c r="C73" s="257"/>
      <c r="D73" s="257"/>
      <c r="E73" s="257"/>
      <c r="F73" s="257"/>
      <c r="G73" s="257"/>
      <c r="H73" s="256"/>
      <c r="I73" s="256"/>
      <c r="J73" s="257"/>
      <c r="K73" s="257"/>
      <c r="L73" s="257"/>
      <c r="M73" s="257"/>
      <c r="N73" s="115"/>
    </row>
    <row r="74" spans="1:20" s="334" customFormat="1" ht="12" customHeight="1">
      <c r="A74" s="385" t="s">
        <v>922</v>
      </c>
      <c r="B74" s="46"/>
      <c r="C74" s="46"/>
      <c r="D74" s="46"/>
      <c r="E74" s="46"/>
      <c r="F74" s="46"/>
      <c r="G74" s="46"/>
      <c r="H74" s="89"/>
      <c r="I74" s="89"/>
      <c r="J74" s="88"/>
      <c r="K74" s="92"/>
      <c r="L74" s="91"/>
      <c r="M74" s="90"/>
      <c r="N74" s="115"/>
    </row>
    <row r="75" spans="1:20" s="334" customFormat="1" ht="12" customHeight="1">
      <c r="A75" s="385" t="s">
        <v>923</v>
      </c>
      <c r="B75" s="77"/>
      <c r="C75" s="77"/>
      <c r="D75" s="77"/>
      <c r="E75" s="77"/>
      <c r="F75" s="77"/>
      <c r="G75" s="77"/>
      <c r="H75" s="89"/>
      <c r="I75" s="89"/>
      <c r="J75" s="89"/>
      <c r="K75" s="89"/>
      <c r="L75" s="386"/>
      <c r="M75" s="88"/>
      <c r="N75" s="115"/>
    </row>
    <row r="76" spans="1:20" ht="12" customHeight="1">
      <c r="A76" s="385" t="s">
        <v>924</v>
      </c>
      <c r="B76" s="45"/>
      <c r="C76" s="45"/>
      <c r="D76" s="45"/>
      <c r="E76" s="45"/>
      <c r="F76" s="45"/>
      <c r="G76" s="45"/>
      <c r="H76" s="387"/>
      <c r="I76" s="387"/>
      <c r="J76" s="388"/>
      <c r="K76" s="388"/>
      <c r="L76" s="389"/>
      <c r="M76" s="87"/>
      <c r="N76" s="115"/>
    </row>
    <row r="77" spans="1:20" s="334" customFormat="1" ht="12" customHeight="1">
      <c r="A77" s="385"/>
      <c r="B77" s="257"/>
      <c r="C77" s="257"/>
      <c r="D77" s="257"/>
      <c r="E77" s="257"/>
      <c r="F77" s="257"/>
      <c r="G77" s="257"/>
      <c r="H77" s="391"/>
      <c r="I77" s="391"/>
      <c r="J77" s="392"/>
      <c r="K77" s="392"/>
      <c r="L77" s="393"/>
      <c r="M77" s="87"/>
      <c r="N77" s="115"/>
    </row>
    <row r="78" spans="1:20" ht="12" customHeight="1">
      <c r="A78" s="86"/>
      <c r="B78" s="86"/>
      <c r="C78" s="43"/>
      <c r="D78" s="43"/>
      <c r="E78" s="43"/>
      <c r="F78" s="43"/>
      <c r="G78" s="43"/>
      <c r="H78" s="85"/>
      <c r="I78" s="85"/>
      <c r="J78" s="85"/>
      <c r="K78" s="85"/>
      <c r="L78" s="85"/>
      <c r="M78" s="388"/>
      <c r="N78" s="115"/>
    </row>
    <row r="79" spans="1:20" ht="12" customHeight="1">
      <c r="A79" s="43"/>
      <c r="B79" s="43"/>
      <c r="C79" s="43"/>
      <c r="D79" s="43"/>
      <c r="E79" s="43"/>
      <c r="F79" s="43"/>
      <c r="G79" s="43"/>
      <c r="H79" s="85"/>
      <c r="I79" s="85"/>
      <c r="J79" s="44"/>
      <c r="K79" s="44"/>
      <c r="L79" s="44"/>
      <c r="M79" s="44"/>
      <c r="N79" s="115"/>
    </row>
    <row r="80" spans="1:20" s="334" customFormat="1" ht="12" customHeight="1">
      <c r="A80" s="385"/>
      <c r="B80" s="257"/>
      <c r="C80" s="257"/>
      <c r="D80" s="474"/>
      <c r="E80" s="474"/>
      <c r="F80" s="474"/>
      <c r="G80" s="474"/>
      <c r="H80" s="394"/>
      <c r="I80" s="394"/>
      <c r="J80" s="40"/>
      <c r="K80" s="394"/>
      <c r="L80" s="394"/>
      <c r="M80" s="394"/>
      <c r="N80" s="115"/>
    </row>
    <row r="81" spans="1:14" ht="12" customHeight="1">
      <c r="A81" s="86"/>
      <c r="B81" s="86"/>
      <c r="C81" s="43"/>
      <c r="D81" s="43"/>
      <c r="E81" s="43"/>
      <c r="F81" s="475"/>
      <c r="G81" s="43"/>
      <c r="H81" s="86"/>
      <c r="I81" s="86"/>
      <c r="J81" s="41"/>
      <c r="K81" s="86"/>
      <c r="L81" s="86"/>
      <c r="M81" s="86"/>
      <c r="N81" s="516"/>
    </row>
    <row r="82" spans="1:14" ht="12" customHeight="1">
      <c r="A82" s="43"/>
      <c r="B82" s="43"/>
      <c r="C82" s="43"/>
      <c r="D82" s="43"/>
      <c r="E82" s="43"/>
      <c r="F82" s="43"/>
      <c r="G82" s="43"/>
      <c r="H82" s="86"/>
      <c r="I82" s="86"/>
      <c r="J82" s="41"/>
      <c r="K82" s="43"/>
      <c r="L82" s="43"/>
      <c r="M82" s="43"/>
      <c r="N82" s="392"/>
    </row>
    <row r="83" spans="1:14">
      <c r="C83" s="396"/>
      <c r="D83" s="396"/>
      <c r="E83" s="396"/>
      <c r="F83" s="396"/>
      <c r="G83" s="396"/>
      <c r="H83" s="397"/>
      <c r="I83" s="397"/>
      <c r="J83" s="120"/>
      <c r="K83" s="396"/>
      <c r="L83" s="396"/>
      <c r="M83" s="396"/>
      <c r="N83" s="40"/>
    </row>
    <row r="84" spans="1:14" ht="12" customHeight="1">
      <c r="A84" s="120"/>
      <c r="B84" s="120"/>
      <c r="C84" s="120"/>
      <c r="D84" s="120"/>
      <c r="E84" s="120"/>
      <c r="F84" s="120"/>
      <c r="G84" s="120"/>
      <c r="H84" s="255"/>
      <c r="I84" s="255"/>
      <c r="J84" s="120"/>
      <c r="K84" s="120"/>
      <c r="L84" s="120"/>
    </row>
    <row r="85" spans="1:14">
      <c r="J85" s="41"/>
    </row>
    <row r="86" spans="1:14">
      <c r="J86" s="41"/>
      <c r="M86" s="120"/>
      <c r="N86" s="120"/>
    </row>
    <row r="87" spans="1:14">
      <c r="J87" s="41"/>
    </row>
    <row r="88" spans="1:14">
      <c r="J88" s="41"/>
    </row>
    <row r="89" spans="1:14">
      <c r="J89" s="41"/>
    </row>
    <row r="90" spans="1:14">
      <c r="J90" s="41"/>
    </row>
    <row r="91" spans="1:14">
      <c r="J91" s="41"/>
    </row>
    <row r="92" spans="1:14">
      <c r="J92" s="41"/>
    </row>
    <row r="93" spans="1:14">
      <c r="J93" s="41"/>
    </row>
    <row r="94" spans="1:14">
      <c r="J94" s="41"/>
    </row>
    <row r="95" spans="1:14">
      <c r="J95" s="41"/>
    </row>
    <row r="96" spans="1:14">
      <c r="J96" s="41"/>
    </row>
    <row r="97" spans="10:10">
      <c r="J97" s="41"/>
    </row>
    <row r="98" spans="10:10">
      <c r="J98" s="41"/>
    </row>
    <row r="99" spans="10:10">
      <c r="J99" s="41"/>
    </row>
    <row r="100" spans="10:10">
      <c r="J100" s="41"/>
    </row>
    <row r="101" spans="10:10">
      <c r="J101" s="41"/>
    </row>
    <row r="102" spans="10:10">
      <c r="J102" s="41"/>
    </row>
    <row r="103" spans="10:10">
      <c r="J103" s="41"/>
    </row>
    <row r="104" spans="10:10">
      <c r="J104" s="41"/>
    </row>
    <row r="105" spans="10:10">
      <c r="J105" s="41"/>
    </row>
    <row r="106" spans="10:10">
      <c r="J106" s="41"/>
    </row>
    <row r="107" spans="10:10">
      <c r="J107" s="41"/>
    </row>
    <row r="108" spans="10:10">
      <c r="J108" s="41"/>
    </row>
    <row r="109" spans="10:10">
      <c r="J109" s="41"/>
    </row>
    <row r="110" spans="10:10">
      <c r="J110" s="41"/>
    </row>
    <row r="111" spans="10:10">
      <c r="J111" s="41"/>
    </row>
    <row r="112" spans="10:10">
      <c r="J112" s="41"/>
    </row>
    <row r="113" spans="1:14">
      <c r="J113" s="41"/>
    </row>
    <row r="114" spans="1:14">
      <c r="J114" s="41"/>
    </row>
    <row r="115" spans="1:14">
      <c r="J115" s="41"/>
    </row>
    <row r="116" spans="1:14">
      <c r="J116" s="41"/>
    </row>
    <row r="117" spans="1:14">
      <c r="J117" s="41"/>
    </row>
    <row r="118" spans="1:14" ht="12" customHeight="1">
      <c r="A118" s="42"/>
      <c r="B118" s="120"/>
      <c r="C118" s="120"/>
      <c r="D118" s="120"/>
      <c r="E118" s="120"/>
      <c r="F118" s="120"/>
      <c r="G118" s="120"/>
      <c r="H118" s="255"/>
      <c r="I118" s="255"/>
      <c r="J118" s="120"/>
      <c r="K118" s="120"/>
      <c r="L118" s="120"/>
    </row>
    <row r="119" spans="1:14">
      <c r="J119" s="41"/>
    </row>
    <row r="120" spans="1:14">
      <c r="J120" s="41"/>
      <c r="M120" s="120"/>
      <c r="N120" s="120"/>
    </row>
    <row r="122" spans="1:14" ht="12" customHeight="1">
      <c r="B122" s="120"/>
      <c r="C122" s="120"/>
      <c r="D122" s="120"/>
      <c r="E122" s="120"/>
      <c r="F122" s="120"/>
      <c r="G122" s="120"/>
      <c r="H122" s="255"/>
      <c r="I122" s="255"/>
      <c r="J122" s="493"/>
      <c r="K122" s="120"/>
      <c r="L122" s="120"/>
    </row>
    <row r="124" spans="1:14">
      <c r="M124" s="120"/>
      <c r="N124" s="120"/>
    </row>
    <row r="135" spans="2:14" ht="12" customHeight="1">
      <c r="B135" s="120"/>
      <c r="C135" s="120"/>
      <c r="D135" s="120"/>
      <c r="E135" s="120"/>
      <c r="F135" s="120"/>
      <c r="G135" s="120"/>
      <c r="H135" s="255"/>
      <c r="I135" s="255"/>
      <c r="J135" s="493"/>
      <c r="K135" s="120"/>
      <c r="L135" s="120"/>
    </row>
    <row r="137" spans="2:14">
      <c r="M137" s="120"/>
      <c r="N137" s="120"/>
    </row>
    <row r="142" spans="2:14" ht="12" customHeight="1">
      <c r="B142" s="120"/>
      <c r="C142" s="120"/>
      <c r="D142" s="120"/>
      <c r="E142" s="120"/>
      <c r="F142" s="120"/>
      <c r="G142" s="120"/>
      <c r="H142" s="255"/>
      <c r="I142" s="255"/>
      <c r="J142" s="493"/>
      <c r="K142" s="120"/>
      <c r="L142" s="120"/>
    </row>
    <row r="144" spans="2:14">
      <c r="M144" s="120"/>
      <c r="N144" s="120"/>
    </row>
  </sheetData>
  <mergeCells count="3">
    <mergeCell ref="C7:G7"/>
    <mergeCell ref="H7:M7"/>
    <mergeCell ref="O7:T7"/>
  </mergeCells>
  <pageMargins left="0.7" right="0.7" top="0.75" bottom="0.75" header="0.3" footer="0.3"/>
  <pageSetup paperSize="9" scale="4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B8AD-12F7-469B-8D97-5E683B29BD2D}">
  <sheetPr>
    <tabColor theme="5" tint="-0.249977111117893"/>
  </sheetPr>
  <dimension ref="B7"/>
  <sheetViews>
    <sheetView workbookViewId="0">
      <selection activeCell="B7" sqref="B7"/>
    </sheetView>
  </sheetViews>
  <sheetFormatPr defaultColWidth="8.81640625" defaultRowHeight="14.5"/>
  <cols>
    <col min="1" max="16384" width="8.81640625" style="1"/>
  </cols>
  <sheetData>
    <row r="7" spans="2:2" ht="26">
      <c r="B7" s="2" t="s">
        <v>925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B766B-0C3B-4FA1-B5C3-D0C08D9495C0}">
  <sheetPr>
    <tabColor theme="5" tint="0.59999389629810485"/>
  </sheetPr>
  <dimension ref="A1:AM148"/>
  <sheetViews>
    <sheetView zoomScale="80" zoomScaleNormal="80" workbookViewId="0">
      <pane ySplit="6" topLeftCell="A7" activePane="bottomLeft" state="frozen"/>
      <selection activeCell="C2" sqref="C2"/>
      <selection pane="bottomLeft" activeCell="I41" sqref="I41"/>
    </sheetView>
  </sheetViews>
  <sheetFormatPr defaultColWidth="0" defaultRowHeight="13" outlineLevelRow="1" outlineLevelCol="1"/>
  <cols>
    <col min="1" max="1" width="1.453125" style="3" customWidth="1"/>
    <col min="2" max="2" width="3.26953125" style="3" customWidth="1"/>
    <col min="3" max="3" width="30.81640625" style="3" bestFit="1" customWidth="1"/>
    <col min="4" max="4" width="6.453125" style="3" customWidth="1"/>
    <col min="5" max="5" width="8.81640625" style="3" customWidth="1"/>
    <col min="6" max="6" width="11.81640625" style="3" customWidth="1"/>
    <col min="7" max="7" width="4.81640625" style="3" customWidth="1"/>
    <col min="8" max="8" width="15.26953125" style="3" bestFit="1" customWidth="1"/>
    <col min="9" max="9" width="15.26953125" style="3" customWidth="1" outlineLevel="1"/>
    <col min="10" max="10" width="5.1796875" style="3" customWidth="1" outlineLevel="1"/>
    <col min="11" max="11" width="15.26953125" style="3" customWidth="1" outlineLevel="1"/>
    <col min="12" max="12" width="5.81640625" style="3" customWidth="1" outlineLevel="1"/>
    <col min="13" max="13" width="17.26953125" style="3" customWidth="1" outlineLevel="1"/>
    <col min="14" max="14" width="6.81640625" style="3" customWidth="1" outlineLevel="1"/>
    <col min="15" max="15" width="11.81640625" style="3" customWidth="1" outlineLevel="1"/>
    <col min="16" max="16" width="6.26953125" style="3" customWidth="1" outlineLevel="1"/>
    <col min="17" max="17" width="11.1796875" style="3" customWidth="1" outlineLevel="1"/>
    <col min="18" max="18" width="11.81640625" style="3" customWidth="1"/>
    <col min="19" max="38" width="11.54296875" style="23" bestFit="1" customWidth="1"/>
    <col min="39" max="39" width="3.26953125" style="3" customWidth="1"/>
    <col min="40" max="16384" width="0" style="3" hidden="1"/>
  </cols>
  <sheetData>
    <row r="1" spans="2:38" ht="9" customHeight="1"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2:38">
      <c r="B2" s="4"/>
      <c r="C2" s="4"/>
      <c r="D2" s="4"/>
      <c r="E2" s="4"/>
      <c r="F2" s="4"/>
      <c r="G2" s="5"/>
      <c r="H2" s="5" t="s">
        <v>161</v>
      </c>
      <c r="I2" s="5"/>
      <c r="J2" s="5"/>
      <c r="K2" s="5"/>
      <c r="L2" s="5"/>
      <c r="M2" s="5"/>
      <c r="N2" s="5"/>
      <c r="O2" s="5"/>
      <c r="P2" s="5"/>
      <c r="Q2" s="5"/>
      <c r="R2" s="5" t="s">
        <v>120</v>
      </c>
      <c r="S2" s="10">
        <f>'Misc. Items'!I2</f>
        <v>42005</v>
      </c>
      <c r="T2" s="10">
        <f>'Misc. Items'!J2</f>
        <v>42370</v>
      </c>
      <c r="U2" s="10">
        <f>'Misc. Items'!K2</f>
        <v>42736</v>
      </c>
      <c r="V2" s="10">
        <f>'Misc. Items'!L2</f>
        <v>43101</v>
      </c>
      <c r="W2" s="10">
        <f>'Misc. Items'!M2</f>
        <v>43466</v>
      </c>
      <c r="X2" s="10">
        <f>'Misc. Items'!N2</f>
        <v>43831</v>
      </c>
      <c r="Y2" s="10">
        <f>'Misc. Items'!O2</f>
        <v>44197</v>
      </c>
      <c r="Z2" s="10">
        <f>'Misc. Items'!P2</f>
        <v>44562</v>
      </c>
      <c r="AA2" s="10">
        <f>'Misc. Items'!Q2</f>
        <v>44927</v>
      </c>
      <c r="AB2" s="10">
        <f>'Misc. Items'!R2</f>
        <v>45292</v>
      </c>
      <c r="AC2" s="10">
        <f>'Misc. Items'!S2</f>
        <v>45658</v>
      </c>
      <c r="AD2" s="10">
        <f>'Misc. Items'!T2</f>
        <v>46023</v>
      </c>
      <c r="AE2" s="10">
        <f>'Misc. Items'!U2</f>
        <v>46388</v>
      </c>
      <c r="AF2" s="10">
        <f>'Misc. Items'!V2</f>
        <v>46753</v>
      </c>
      <c r="AG2" s="10">
        <f>'Misc. Items'!W2</f>
        <v>47119</v>
      </c>
      <c r="AH2" s="10">
        <f>'Misc. Items'!X2</f>
        <v>47484</v>
      </c>
      <c r="AI2" s="10">
        <f>'Misc. Items'!Y2</f>
        <v>47849</v>
      </c>
      <c r="AJ2" s="10">
        <f>'Misc. Items'!Z2</f>
        <v>48214</v>
      </c>
      <c r="AK2" s="10">
        <f>'Misc. Items'!AA2</f>
        <v>48580</v>
      </c>
      <c r="AL2" s="10">
        <f>'Misc. Items'!AB2</f>
        <v>48945</v>
      </c>
    </row>
    <row r="3" spans="2:38">
      <c r="B3" s="4"/>
      <c r="C3" s="215" t="s">
        <v>121</v>
      </c>
      <c r="D3" s="4"/>
      <c r="E3" s="4"/>
      <c r="F3" s="4"/>
      <c r="G3" s="5"/>
      <c r="H3" s="177" t="s">
        <v>162</v>
      </c>
      <c r="I3" s="5"/>
      <c r="J3" s="5"/>
      <c r="K3" s="5"/>
      <c r="L3" s="5"/>
      <c r="M3" s="5"/>
      <c r="N3" s="5"/>
      <c r="O3" s="5"/>
      <c r="P3" s="5"/>
      <c r="Q3" s="5"/>
      <c r="R3" s="5" t="s">
        <v>122</v>
      </c>
      <c r="S3" s="10">
        <f>'Misc. Items'!I3</f>
        <v>42369</v>
      </c>
      <c r="T3" s="10">
        <f>'Misc. Items'!J3</f>
        <v>42735</v>
      </c>
      <c r="U3" s="10">
        <f>'Misc. Items'!K3</f>
        <v>43100</v>
      </c>
      <c r="V3" s="10">
        <f>'Misc. Items'!L3</f>
        <v>43465</v>
      </c>
      <c r="W3" s="10">
        <f>'Misc. Items'!M3</f>
        <v>43830</v>
      </c>
      <c r="X3" s="10">
        <f>'Misc. Items'!N3</f>
        <v>44196</v>
      </c>
      <c r="Y3" s="10">
        <f>'Misc. Items'!O3</f>
        <v>44561</v>
      </c>
      <c r="Z3" s="10">
        <f>'Misc. Items'!P3</f>
        <v>44926</v>
      </c>
      <c r="AA3" s="10">
        <f>'Misc. Items'!Q3</f>
        <v>45291</v>
      </c>
      <c r="AB3" s="10">
        <f>'Misc. Items'!R3</f>
        <v>45657</v>
      </c>
      <c r="AC3" s="10">
        <f>'Misc. Items'!S3</f>
        <v>46022</v>
      </c>
      <c r="AD3" s="10">
        <f>'Misc. Items'!T3</f>
        <v>46387</v>
      </c>
      <c r="AE3" s="10">
        <f>'Misc. Items'!U3</f>
        <v>46752</v>
      </c>
      <c r="AF3" s="10">
        <f>'Misc. Items'!V3</f>
        <v>47118</v>
      </c>
      <c r="AG3" s="10">
        <f>'Misc. Items'!W3</f>
        <v>47483</v>
      </c>
      <c r="AH3" s="10">
        <f>'Misc. Items'!X3</f>
        <v>47848</v>
      </c>
      <c r="AI3" s="10">
        <f>'Misc. Items'!Y3</f>
        <v>48213</v>
      </c>
      <c r="AJ3" s="10">
        <f>'Misc. Items'!Z3</f>
        <v>48579</v>
      </c>
      <c r="AK3" s="10">
        <f>'Misc. Items'!AA3</f>
        <v>48944</v>
      </c>
      <c r="AL3" s="10">
        <f>'Misc. Items'!AB3</f>
        <v>49309</v>
      </c>
    </row>
    <row r="4" spans="2:38">
      <c r="B4" s="4"/>
      <c r="C4" s="1540" t="s">
        <v>123</v>
      </c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124</v>
      </c>
      <c r="S4" s="11">
        <f>'Misc. Items'!I4</f>
        <v>2015</v>
      </c>
      <c r="T4" s="11">
        <f>'Misc. Items'!J4</f>
        <v>2016</v>
      </c>
      <c r="U4" s="11">
        <f>'Misc. Items'!K4</f>
        <v>2017</v>
      </c>
      <c r="V4" s="11">
        <f>'Misc. Items'!L4</f>
        <v>2018</v>
      </c>
      <c r="W4" s="11">
        <f>'Misc. Items'!M4</f>
        <v>2019</v>
      </c>
      <c r="X4" s="11">
        <f>'Misc. Items'!N4</f>
        <v>2020</v>
      </c>
      <c r="Y4" s="11">
        <f>'Misc. Items'!O4</f>
        <v>2021</v>
      </c>
      <c r="Z4" s="11">
        <f>'Misc. Items'!P4</f>
        <v>2022</v>
      </c>
      <c r="AA4" s="11">
        <f>'Misc. Items'!Q4</f>
        <v>2023</v>
      </c>
      <c r="AB4" s="11">
        <f>'Misc. Items'!R4</f>
        <v>2024</v>
      </c>
      <c r="AC4" s="11">
        <f>'Misc. Items'!S4</f>
        <v>2025</v>
      </c>
      <c r="AD4" s="11">
        <f>'Misc. Items'!T4</f>
        <v>2026</v>
      </c>
      <c r="AE4" s="11">
        <f>'Misc. Items'!U4</f>
        <v>2027</v>
      </c>
      <c r="AF4" s="11">
        <f>'Misc. Items'!V4</f>
        <v>2028</v>
      </c>
      <c r="AG4" s="11">
        <f>'Misc. Items'!W4</f>
        <v>2029</v>
      </c>
      <c r="AH4" s="11">
        <f>'Misc. Items'!X4</f>
        <v>2030</v>
      </c>
      <c r="AI4" s="11">
        <f>'Misc. Items'!Y4</f>
        <v>2031</v>
      </c>
      <c r="AJ4" s="11">
        <f>'Misc. Items'!Z4</f>
        <v>2032</v>
      </c>
      <c r="AK4" s="11">
        <f>'Misc. Items'!AA4</f>
        <v>2033</v>
      </c>
      <c r="AL4" s="11">
        <f>'Misc. Items'!AB4</f>
        <v>2034</v>
      </c>
    </row>
    <row r="5" spans="2:38">
      <c r="B5" s="4"/>
      <c r="C5" s="5" t="s">
        <v>164</v>
      </c>
      <c r="D5" s="4"/>
      <c r="E5" s="4"/>
      <c r="F5" s="4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">
        <v>125</v>
      </c>
      <c r="S5" s="11">
        <f>'Misc. Items'!I5</f>
        <v>1</v>
      </c>
      <c r="T5" s="11">
        <f>'Misc. Items'!J5</f>
        <v>2</v>
      </c>
      <c r="U5" s="11">
        <f>'Misc. Items'!K5</f>
        <v>3</v>
      </c>
      <c r="V5" s="11">
        <f>'Misc. Items'!L5</f>
        <v>4</v>
      </c>
      <c r="W5" s="11">
        <f>'Misc. Items'!M5</f>
        <v>5</v>
      </c>
      <c r="X5" s="11">
        <f>'Misc. Items'!N5</f>
        <v>6</v>
      </c>
      <c r="Y5" s="11">
        <f>'Misc. Items'!O5</f>
        <v>7</v>
      </c>
      <c r="Z5" s="11">
        <f>'Misc. Items'!P5</f>
        <v>8</v>
      </c>
      <c r="AA5" s="11">
        <f>'Misc. Items'!Q5</f>
        <v>9</v>
      </c>
      <c r="AB5" s="11">
        <f>'Misc. Items'!R5</f>
        <v>10</v>
      </c>
      <c r="AC5" s="11">
        <f>'Misc. Items'!S5</f>
        <v>11</v>
      </c>
      <c r="AD5" s="11">
        <f>'Misc. Items'!T5</f>
        <v>12</v>
      </c>
      <c r="AE5" s="11">
        <f>'Misc. Items'!U5</f>
        <v>13</v>
      </c>
      <c r="AF5" s="11">
        <f>'Misc. Items'!V5</f>
        <v>14</v>
      </c>
      <c r="AG5" s="11">
        <f>'Misc. Items'!W5</f>
        <v>15</v>
      </c>
      <c r="AH5" s="11">
        <f>'Misc. Items'!X5</f>
        <v>16</v>
      </c>
      <c r="AI5" s="11">
        <f>'Misc. Items'!Y5</f>
        <v>17</v>
      </c>
      <c r="AJ5" s="11">
        <f>'Misc. Items'!Z5</f>
        <v>18</v>
      </c>
      <c r="AK5" s="11">
        <f>'Misc. Items'!AA5</f>
        <v>19</v>
      </c>
      <c r="AL5" s="11">
        <f>'Misc. Items'!AB5</f>
        <v>20</v>
      </c>
    </row>
    <row r="6" spans="2:38">
      <c r="B6" s="4"/>
      <c r="C6" s="5" t="s">
        <v>165</v>
      </c>
      <c r="D6" s="4"/>
      <c r="E6" s="5" t="s">
        <v>10</v>
      </c>
      <c r="F6" s="5" t="s">
        <v>926</v>
      </c>
      <c r="G6" s="5"/>
      <c r="H6" s="5"/>
      <c r="I6" s="5" t="s">
        <v>927</v>
      </c>
      <c r="J6" s="5"/>
      <c r="K6" s="5" t="s">
        <v>928</v>
      </c>
      <c r="L6" s="5"/>
      <c r="M6" s="5" t="s">
        <v>929</v>
      </c>
      <c r="N6" s="5"/>
      <c r="O6" s="5" t="s">
        <v>176</v>
      </c>
      <c r="P6" s="5"/>
      <c r="Q6" s="5" t="s">
        <v>177</v>
      </c>
      <c r="R6" s="5" t="s">
        <v>126</v>
      </c>
      <c r="S6" s="11" t="str">
        <f>'Misc. Items'!I6</f>
        <v>RP2</v>
      </c>
      <c r="T6" s="11" t="str">
        <f>'Misc. Items'!J6</f>
        <v>RP2</v>
      </c>
      <c r="U6" s="11" t="str">
        <f>'Misc. Items'!K6</f>
        <v>RP2</v>
      </c>
      <c r="V6" s="11" t="str">
        <f>'Misc. Items'!L6</f>
        <v>RP2</v>
      </c>
      <c r="W6" s="11" t="str">
        <f>'Misc. Items'!M6</f>
        <v>RP2</v>
      </c>
      <c r="X6" s="11" t="str">
        <f>'Misc. Items'!N6</f>
        <v>RP3</v>
      </c>
      <c r="Y6" s="11" t="str">
        <f>'Misc. Items'!O6</f>
        <v>RP3</v>
      </c>
      <c r="Z6" s="11" t="str">
        <f>'Misc. Items'!P6</f>
        <v>RP3</v>
      </c>
      <c r="AA6" s="11" t="str">
        <f>'Misc. Items'!Q6</f>
        <v>RP3</v>
      </c>
      <c r="AB6" s="11" t="str">
        <f>'Misc. Items'!R6</f>
        <v>RP3</v>
      </c>
      <c r="AC6" s="11" t="str">
        <f>'Misc. Items'!S6</f>
        <v>RP4</v>
      </c>
      <c r="AD6" s="11" t="str">
        <f>'Misc. Items'!T6</f>
        <v>RP4</v>
      </c>
      <c r="AE6" s="11" t="str">
        <f>'Misc. Items'!U6</f>
        <v>RP4</v>
      </c>
      <c r="AF6" s="11" t="str">
        <f>'Misc. Items'!V6</f>
        <v>RP4</v>
      </c>
      <c r="AG6" s="11" t="str">
        <f>'Misc. Items'!W6</f>
        <v>RP4</v>
      </c>
      <c r="AH6" s="11" t="str">
        <f>'Misc. Items'!X6</f>
        <v>RP5</v>
      </c>
      <c r="AI6" s="11" t="str">
        <f>'Misc. Items'!Y6</f>
        <v>RP5</v>
      </c>
      <c r="AJ6" s="11" t="str">
        <f>'Misc. Items'!Z6</f>
        <v>RP5</v>
      </c>
      <c r="AK6" s="11" t="str">
        <f>'Misc. Items'!AA6</f>
        <v>RP5</v>
      </c>
      <c r="AL6" s="11" t="str">
        <f>'Misc. Items'!AB6</f>
        <v>RP5</v>
      </c>
    </row>
    <row r="7" spans="2:38"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</row>
    <row r="8" spans="2:38">
      <c r="B8" s="5" t="s">
        <v>178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2:38"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</row>
    <row r="10" spans="2:38" ht="13.5" outlineLevel="1" thickBot="1">
      <c r="C10" s="21" t="s">
        <v>767</v>
      </c>
      <c r="D10" s="21"/>
      <c r="E10" s="21"/>
      <c r="F10" s="21"/>
      <c r="G10" s="21"/>
      <c r="H10" s="21"/>
      <c r="I10" s="21" t="s">
        <v>930</v>
      </c>
      <c r="J10" s="21"/>
      <c r="K10" s="21"/>
      <c r="L10" s="21"/>
      <c r="M10" s="21"/>
      <c r="N10" s="21"/>
      <c r="O10" s="1179" t="s">
        <v>176</v>
      </c>
      <c r="P10" s="22"/>
      <c r="Q10" s="1179" t="s">
        <v>177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</row>
    <row r="11" spans="2:38" ht="13.5" outlineLevel="1" thickBot="1">
      <c r="C11" s="3" t="s">
        <v>931</v>
      </c>
      <c r="E11" s="3" t="s">
        <v>29</v>
      </c>
      <c r="I11" s="169"/>
      <c r="O11" s="1549">
        <v>0.8</v>
      </c>
      <c r="Q11" s="1550">
        <f>1-O11</f>
        <v>0.19999999999999996</v>
      </c>
      <c r="S11" s="146">
        <f>$I$11</f>
        <v>0</v>
      </c>
      <c r="T11" s="26">
        <f>S11-S12</f>
        <v>0</v>
      </c>
      <c r="U11" s="26">
        <f t="shared" ref="U11:AL11" si="0">T11-T12</f>
        <v>0</v>
      </c>
      <c r="V11" s="26">
        <f t="shared" si="0"/>
        <v>0</v>
      </c>
      <c r="W11" s="26">
        <f t="shared" si="0"/>
        <v>0</v>
      </c>
      <c r="X11" s="26">
        <f t="shared" si="0"/>
        <v>0</v>
      </c>
      <c r="Y11" s="26">
        <f t="shared" si="0"/>
        <v>0</v>
      </c>
      <c r="Z11" s="26">
        <f t="shared" si="0"/>
        <v>0</v>
      </c>
      <c r="AA11" s="26">
        <f t="shared" si="0"/>
        <v>0</v>
      </c>
      <c r="AB11" s="26">
        <f t="shared" si="0"/>
        <v>0</v>
      </c>
      <c r="AC11" s="26">
        <f t="shared" si="0"/>
        <v>0</v>
      </c>
      <c r="AD11" s="26">
        <f t="shared" si="0"/>
        <v>0</v>
      </c>
      <c r="AE11" s="26">
        <f t="shared" si="0"/>
        <v>0</v>
      </c>
      <c r="AF11" s="26">
        <f t="shared" si="0"/>
        <v>0</v>
      </c>
      <c r="AG11" s="26">
        <f t="shared" si="0"/>
        <v>0</v>
      </c>
      <c r="AH11" s="26">
        <f t="shared" si="0"/>
        <v>0</v>
      </c>
      <c r="AI11" s="26">
        <f t="shared" si="0"/>
        <v>0</v>
      </c>
      <c r="AJ11" s="26">
        <f t="shared" si="0"/>
        <v>0</v>
      </c>
      <c r="AK11" s="26">
        <f t="shared" si="0"/>
        <v>0</v>
      </c>
      <c r="AL11" s="26">
        <f t="shared" si="0"/>
        <v>0</v>
      </c>
    </row>
    <row r="12" spans="2:38" outlineLevel="1">
      <c r="C12" s="3" t="s">
        <v>31</v>
      </c>
      <c r="E12" s="3" t="s">
        <v>29</v>
      </c>
      <c r="S12" s="145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</row>
    <row r="13" spans="2:38"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</row>
    <row r="14" spans="2:38">
      <c r="B14" s="5" t="s">
        <v>186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2:38"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</row>
    <row r="16" spans="2:38">
      <c r="B16" s="20" t="s">
        <v>932</v>
      </c>
      <c r="C16" s="19"/>
      <c r="D16" s="19"/>
      <c r="E16" s="19"/>
      <c r="F16" s="19"/>
      <c r="G16" s="19"/>
      <c r="H16" s="19"/>
      <c r="I16" s="248"/>
      <c r="J16" s="19"/>
      <c r="K16" s="19"/>
      <c r="L16" s="19"/>
      <c r="M16" s="19"/>
      <c r="N16" s="19"/>
      <c r="O16" s="19"/>
      <c r="P16" s="19"/>
      <c r="Q16" s="19"/>
      <c r="R16" s="19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</row>
    <row r="17" spans="2:38"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</row>
    <row r="18" spans="2:38" ht="13.5" thickBot="1">
      <c r="B18" s="6" t="s">
        <v>53</v>
      </c>
      <c r="C18" s="6"/>
      <c r="D18" s="6"/>
      <c r="E18" s="6"/>
      <c r="F18" s="6"/>
      <c r="G18" s="22"/>
      <c r="H18" s="22" t="s">
        <v>161</v>
      </c>
      <c r="I18" s="22" t="s">
        <v>933</v>
      </c>
      <c r="J18" s="22"/>
      <c r="K18" s="22" t="s">
        <v>934</v>
      </c>
      <c r="L18" s="22"/>
      <c r="M18" s="6" t="s">
        <v>935</v>
      </c>
      <c r="N18" s="22"/>
      <c r="O18" s="1179" t="s">
        <v>176</v>
      </c>
      <c r="P18" s="22"/>
      <c r="Q18" s="1179" t="s">
        <v>177</v>
      </c>
      <c r="R18" s="22"/>
      <c r="S18" s="246" t="s">
        <v>936</v>
      </c>
      <c r="T18" s="22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</row>
    <row r="19" spans="2:38" outlineLevel="1">
      <c r="C19" s="3" t="s">
        <v>937</v>
      </c>
      <c r="E19" s="3" t="s">
        <v>29</v>
      </c>
      <c r="F19" s="1551">
        <v>1</v>
      </c>
      <c r="I19" s="169">
        <f>12995.269</f>
        <v>12995.269</v>
      </c>
      <c r="K19" s="178">
        <v>2016</v>
      </c>
      <c r="M19" s="179">
        <v>8</v>
      </c>
      <c r="O19" s="1549">
        <v>0.8</v>
      </c>
      <c r="Q19" s="1550">
        <f t="shared" ref="Q19:Q31" si="1">1-O19</f>
        <v>0.19999999999999996</v>
      </c>
      <c r="S19" s="37"/>
      <c r="T19" s="37">
        <v>0</v>
      </c>
      <c r="U19" s="37">
        <v>0</v>
      </c>
      <c r="V19" s="37">
        <v>0</v>
      </c>
      <c r="W19" s="37">
        <v>0</v>
      </c>
      <c r="X19" s="37">
        <v>0.33</v>
      </c>
      <c r="Y19" s="37">
        <v>0.33</v>
      </c>
      <c r="Z19" s="37">
        <v>0.27</v>
      </c>
      <c r="AA19" s="37">
        <v>0.27</v>
      </c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2:38" outlineLevel="1">
      <c r="C20" s="3" t="s">
        <v>938</v>
      </c>
      <c r="E20" s="3" t="s">
        <v>29</v>
      </c>
      <c r="F20" s="1551">
        <v>1</v>
      </c>
      <c r="I20" s="169">
        <f>1500</f>
        <v>1500</v>
      </c>
      <c r="K20" s="178">
        <v>2022</v>
      </c>
      <c r="M20" s="247">
        <v>24.671052631578949</v>
      </c>
      <c r="O20" s="1549">
        <v>0.8</v>
      </c>
      <c r="Q20" s="1550">
        <f t="shared" si="1"/>
        <v>0.19999999999999996</v>
      </c>
      <c r="S20" s="37"/>
      <c r="T20" s="37"/>
      <c r="U20" s="37"/>
      <c r="V20" s="37"/>
      <c r="W20" s="37"/>
      <c r="X20" s="37"/>
      <c r="Y20" s="37"/>
      <c r="Z20" s="37">
        <v>0.27</v>
      </c>
      <c r="AA20" s="37">
        <v>0.27</v>
      </c>
      <c r="AB20" s="37">
        <v>0.27</v>
      </c>
      <c r="AC20" s="37">
        <v>0.27</v>
      </c>
      <c r="AD20" s="37">
        <v>0.27</v>
      </c>
      <c r="AE20" s="37">
        <v>0.27</v>
      </c>
      <c r="AF20" s="37">
        <v>0.27</v>
      </c>
      <c r="AG20" s="37">
        <v>0.27</v>
      </c>
      <c r="AH20" s="37">
        <v>0.27</v>
      </c>
      <c r="AI20" s="37">
        <v>0.27</v>
      </c>
      <c r="AJ20" s="37">
        <v>0.27</v>
      </c>
      <c r="AK20" s="37">
        <v>0.27</v>
      </c>
      <c r="AL20" s="37">
        <v>0.27</v>
      </c>
    </row>
    <row r="21" spans="2:38" outlineLevel="1">
      <c r="C21" s="3" t="s">
        <v>939</v>
      </c>
      <c r="E21" s="3" t="s">
        <v>29</v>
      </c>
      <c r="F21" s="1551">
        <v>1</v>
      </c>
      <c r="I21" s="169">
        <f>1000</f>
        <v>1000</v>
      </c>
      <c r="K21" s="178">
        <v>2024</v>
      </c>
      <c r="M21" s="179">
        <v>25</v>
      </c>
      <c r="O21" s="1549">
        <v>0.8</v>
      </c>
      <c r="Q21" s="1550">
        <f t="shared" si="1"/>
        <v>0.19999999999999996</v>
      </c>
      <c r="S21" s="37"/>
      <c r="T21" s="37"/>
      <c r="U21" s="37"/>
      <c r="V21" s="37"/>
      <c r="W21" s="37"/>
      <c r="X21" s="37"/>
      <c r="Y21" s="37"/>
      <c r="Z21" s="37"/>
      <c r="AA21" s="37"/>
      <c r="AB21" s="37">
        <v>0.27</v>
      </c>
      <c r="AC21" s="37">
        <v>0.27</v>
      </c>
      <c r="AD21" s="37">
        <v>0.27</v>
      </c>
      <c r="AE21" s="37">
        <v>0.27</v>
      </c>
      <c r="AF21" s="37">
        <v>0.27</v>
      </c>
      <c r="AG21" s="37">
        <v>0.27</v>
      </c>
      <c r="AH21" s="37">
        <v>0.27</v>
      </c>
      <c r="AI21" s="37">
        <v>0.27</v>
      </c>
      <c r="AJ21" s="37">
        <v>0.27</v>
      </c>
      <c r="AK21" s="37">
        <v>0.27</v>
      </c>
      <c r="AL21" s="37">
        <v>0.27</v>
      </c>
    </row>
    <row r="22" spans="2:38" outlineLevel="1">
      <c r="C22" s="3" t="s">
        <v>940</v>
      </c>
      <c r="E22" s="3" t="s">
        <v>29</v>
      </c>
      <c r="F22" s="1551">
        <v>1</v>
      </c>
      <c r="I22" s="169">
        <v>0</v>
      </c>
      <c r="K22" s="178"/>
      <c r="M22" s="179"/>
      <c r="O22" s="1549">
        <v>0.8</v>
      </c>
      <c r="Q22" s="1550">
        <f t="shared" si="1"/>
        <v>0.19999999999999996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2:38" outlineLevel="1">
      <c r="C23" s="3" t="s">
        <v>941</v>
      </c>
      <c r="E23" s="3" t="s">
        <v>29</v>
      </c>
      <c r="F23" s="1551">
        <v>1</v>
      </c>
      <c r="I23" s="169">
        <f>1233</f>
        <v>1233</v>
      </c>
      <c r="K23" s="178">
        <v>2022</v>
      </c>
      <c r="M23" s="179">
        <v>5</v>
      </c>
      <c r="O23" s="1549">
        <v>0.8</v>
      </c>
      <c r="Q23" s="1550">
        <f t="shared" si="1"/>
        <v>0.19999999999999996</v>
      </c>
      <c r="S23" s="37"/>
      <c r="T23" s="37"/>
      <c r="U23" s="37"/>
      <c r="V23" s="37"/>
      <c r="W23" s="37"/>
      <c r="X23" s="37"/>
      <c r="Y23" s="37"/>
      <c r="Z23" s="37">
        <f>(250/$I$23)+((($I$23-250)/$I$23)*0.27)</f>
        <v>0.41801297648012981</v>
      </c>
      <c r="AA23" s="37">
        <f>(250/$I$23)+((($I$23-250)/$I$23)*0.27)</f>
        <v>0.41801297648012981</v>
      </c>
      <c r="AB23" s="37">
        <f>(250/$I$23)+((($I$23-250)/$I$23)*0.27)</f>
        <v>0.41801297648012981</v>
      </c>
      <c r="AC23" s="37">
        <f>(250/$I$23)+((($I$23-250)/$I$23)*0.27)</f>
        <v>0.41801297648012981</v>
      </c>
      <c r="AD23" s="37">
        <f>(250/$I$23)+((($I$23-250)/$I$23)*0.27)</f>
        <v>0.41801297648012981</v>
      </c>
      <c r="AE23" s="37"/>
      <c r="AF23" s="37"/>
      <c r="AG23" s="37"/>
      <c r="AH23" s="37"/>
      <c r="AI23" s="37"/>
      <c r="AJ23" s="37"/>
      <c r="AK23" s="37"/>
      <c r="AL23" s="37"/>
    </row>
    <row r="24" spans="2:38" outlineLevel="1">
      <c r="C24" s="3" t="s">
        <v>942</v>
      </c>
      <c r="E24" s="3" t="s">
        <v>29</v>
      </c>
      <c r="F24" s="1551">
        <v>1</v>
      </c>
      <c r="I24" s="169">
        <f>500</f>
        <v>500</v>
      </c>
      <c r="K24" s="178">
        <v>2025</v>
      </c>
      <c r="M24" s="179">
        <v>8</v>
      </c>
      <c r="O24" s="1549">
        <v>0.8</v>
      </c>
      <c r="Q24" s="1550">
        <f t="shared" si="1"/>
        <v>0.19999999999999996</v>
      </c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>
        <v>1</v>
      </c>
      <c r="AD24" s="37">
        <v>1</v>
      </c>
      <c r="AE24" s="37">
        <v>1</v>
      </c>
      <c r="AF24" s="37">
        <v>1</v>
      </c>
      <c r="AG24" s="37">
        <v>1</v>
      </c>
      <c r="AH24" s="37">
        <v>1</v>
      </c>
      <c r="AI24" s="37">
        <v>1</v>
      </c>
      <c r="AJ24" s="37">
        <v>1</v>
      </c>
      <c r="AK24" s="37"/>
      <c r="AL24" s="37"/>
    </row>
    <row r="25" spans="2:38" outlineLevel="1">
      <c r="C25" s="3" t="s">
        <v>943</v>
      </c>
      <c r="E25" s="3" t="s">
        <v>29</v>
      </c>
      <c r="F25" s="1551">
        <v>1</v>
      </c>
      <c r="I25" s="169">
        <v>5442</v>
      </c>
      <c r="K25" s="178">
        <v>2022</v>
      </c>
      <c r="M25" s="179">
        <v>5</v>
      </c>
      <c r="O25" s="1549">
        <v>0.8</v>
      </c>
      <c r="Q25" s="1550">
        <f t="shared" si="1"/>
        <v>0.19999999999999996</v>
      </c>
      <c r="S25" s="37"/>
      <c r="T25" s="37"/>
      <c r="U25" s="37"/>
      <c r="V25" s="37"/>
      <c r="W25" s="37"/>
      <c r="X25" s="37"/>
      <c r="Y25" s="37"/>
      <c r="Z25" s="37">
        <v>0.27</v>
      </c>
      <c r="AA25" s="37">
        <v>0.27</v>
      </c>
      <c r="AB25" s="37">
        <v>0.27</v>
      </c>
      <c r="AC25" s="37">
        <v>0.27</v>
      </c>
      <c r="AD25" s="37">
        <v>0.27</v>
      </c>
      <c r="AE25" s="37"/>
      <c r="AF25" s="37"/>
      <c r="AG25" s="37"/>
      <c r="AH25" s="37"/>
      <c r="AI25" s="37"/>
      <c r="AJ25" s="37"/>
      <c r="AK25" s="37"/>
      <c r="AL25" s="37"/>
    </row>
    <row r="26" spans="2:38" outlineLevel="1">
      <c r="C26" s="3" t="s">
        <v>944</v>
      </c>
      <c r="E26" s="3" t="s">
        <v>29</v>
      </c>
      <c r="F26" s="1551">
        <v>1</v>
      </c>
      <c r="I26" s="169">
        <f>6686</f>
        <v>6686</v>
      </c>
      <c r="K26" s="178">
        <v>2023</v>
      </c>
      <c r="M26" s="179">
        <v>5</v>
      </c>
      <c r="O26" s="1549">
        <v>0.8</v>
      </c>
      <c r="Q26" s="1550">
        <f t="shared" si="1"/>
        <v>0.19999999999999996</v>
      </c>
      <c r="S26" s="37"/>
      <c r="T26" s="37"/>
      <c r="U26" s="37"/>
      <c r="V26" s="37"/>
      <c r="W26" s="37"/>
      <c r="X26" s="37"/>
      <c r="Y26" s="37"/>
      <c r="Z26" s="37"/>
      <c r="AA26" s="37">
        <v>0.27</v>
      </c>
      <c r="AB26" s="37">
        <v>0.27</v>
      </c>
      <c r="AC26" s="37">
        <v>0.27</v>
      </c>
      <c r="AD26" s="37">
        <v>0.27</v>
      </c>
      <c r="AE26" s="37">
        <v>0.27</v>
      </c>
      <c r="AF26" s="37"/>
      <c r="AG26" s="37"/>
      <c r="AH26" s="37"/>
      <c r="AI26" s="37"/>
      <c r="AJ26" s="37"/>
      <c r="AK26" s="37"/>
      <c r="AL26" s="37"/>
    </row>
    <row r="27" spans="2:38" outlineLevel="1">
      <c r="C27" s="3" t="s">
        <v>945</v>
      </c>
      <c r="E27" s="3" t="s">
        <v>29</v>
      </c>
      <c r="F27" s="1551">
        <v>0</v>
      </c>
      <c r="I27" s="169"/>
      <c r="K27" s="178"/>
      <c r="M27" s="179"/>
      <c r="O27" s="1549">
        <v>0.8</v>
      </c>
      <c r="Q27" s="1550">
        <f t="shared" si="1"/>
        <v>0.19999999999999996</v>
      </c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2:38" outlineLevel="1">
      <c r="C28" s="3" t="s">
        <v>945</v>
      </c>
      <c r="E28" s="3" t="s">
        <v>29</v>
      </c>
      <c r="F28" s="1551">
        <v>0</v>
      </c>
      <c r="I28" s="169"/>
      <c r="K28" s="178"/>
      <c r="M28" s="179"/>
      <c r="O28" s="1549">
        <v>0.8</v>
      </c>
      <c r="Q28" s="1550">
        <f t="shared" si="1"/>
        <v>0.19999999999999996</v>
      </c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</row>
    <row r="29" spans="2:38" outlineLevel="1">
      <c r="C29" s="3" t="s">
        <v>945</v>
      </c>
      <c r="E29" s="3" t="s">
        <v>29</v>
      </c>
      <c r="F29" s="1551">
        <v>0</v>
      </c>
      <c r="I29" s="169"/>
      <c r="K29" s="178"/>
      <c r="M29" s="179"/>
      <c r="O29" s="1549">
        <v>0.8</v>
      </c>
      <c r="Q29" s="1550">
        <f t="shared" si="1"/>
        <v>0.19999999999999996</v>
      </c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</row>
    <row r="30" spans="2:38" outlineLevel="1">
      <c r="C30" s="3" t="s">
        <v>945</v>
      </c>
      <c r="E30" s="3" t="s">
        <v>29</v>
      </c>
      <c r="F30" s="1551">
        <v>0</v>
      </c>
      <c r="I30" s="169"/>
      <c r="K30" s="178"/>
      <c r="M30" s="179"/>
      <c r="O30" s="1549">
        <v>0.8</v>
      </c>
      <c r="Q30" s="1550">
        <f t="shared" si="1"/>
        <v>0.19999999999999996</v>
      </c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</row>
    <row r="31" spans="2:38" outlineLevel="1">
      <c r="C31" s="3" t="s">
        <v>945</v>
      </c>
      <c r="E31" s="3" t="s">
        <v>29</v>
      </c>
      <c r="F31" s="1551">
        <v>0</v>
      </c>
      <c r="I31" s="169"/>
      <c r="K31" s="178"/>
      <c r="M31" s="179"/>
      <c r="O31" s="1549">
        <v>0.8</v>
      </c>
      <c r="Q31" s="1550">
        <f t="shared" si="1"/>
        <v>0.19999999999999996</v>
      </c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</row>
    <row r="32" spans="2:38"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</row>
    <row r="33" spans="2:38"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2:38" ht="13.5" thickBot="1">
      <c r="B34" s="6" t="s">
        <v>31</v>
      </c>
      <c r="C34" s="6"/>
      <c r="D34" s="7"/>
      <c r="E34" s="7"/>
      <c r="F34" s="7"/>
      <c r="G34" s="7"/>
      <c r="H34" s="7"/>
      <c r="I34" s="7"/>
      <c r="J34" s="7"/>
      <c r="K34" s="6"/>
      <c r="L34" s="6"/>
      <c r="M34" s="6"/>
      <c r="N34" s="7"/>
      <c r="O34" s="7"/>
      <c r="P34" s="7"/>
      <c r="Q34" s="7"/>
      <c r="R34" s="7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</row>
    <row r="35" spans="2:38" outlineLevel="1">
      <c r="C35" s="3" t="str">
        <f t="shared" ref="C35:C47" si="2">C52</f>
        <v>AMAP</v>
      </c>
      <c r="E35" s="3" t="s">
        <v>29</v>
      </c>
      <c r="F35" s="1551">
        <v>1</v>
      </c>
      <c r="S35" s="26">
        <f t="shared" ref="S35:S47" si="3">IF(OR($F52=0,S$4&lt;$K19),0,IF(S$4=$K19,(S19*$I19/$M19),IF(AND(S$4&gt;$K19,S$4&lt;($K19+$M19)),S19*$I19/$M19,IF(S$4=($K19+$M19),(S19*I19/$M19),0))))</f>
        <v>0</v>
      </c>
      <c r="T35" s="26">
        <f t="shared" ref="T35:T47" si="4">IF(OR($F52=0,T$4&lt;$K19),0,IF(T$4=$K19,(T19*$I19/$M19),IF(AND(T$4&gt;$K19,T$4&lt;($K19+$M19)),T19*$I19/$M19,IF(T$4=($K19+$M19),(T19*J19/$M19),0))))</f>
        <v>0</v>
      </c>
      <c r="U35" s="26">
        <f t="shared" ref="U35:U47" si="5">IF(OR($F52=0,U$4&lt;$K19),0,IF(U$4=$K19,(U19*$I19/$M19),IF(AND(U$4&gt;$K19,U$4&lt;($K19+$M19)),U19*$I19/$M19,IF(U$4=($K19+$M19),(U19*K19/$M19),0))))</f>
        <v>0</v>
      </c>
      <c r="V35" s="26">
        <f t="shared" ref="V35:V47" si="6">IF(OR($F52=0,V$4&lt;$K19),0,IF(V$4=$K19,(V19*$I19/$M19),IF(AND(V$4&gt;$K19,V$4&lt;($K19+$M19)),V19*$I19/$M19,IF(V$4=($K19+$M19),(V19*L19/$M19),0))))</f>
        <v>0</v>
      </c>
      <c r="W35" s="26">
        <f t="shared" ref="W35:W47" si="7">IF(OR($F52=0,W$4&lt;$K19),0,IF(W$4=$K19,(W19*$I19/$M19),IF(AND(W$4&gt;$K19,W$4&lt;($K19+$M19)),W19*$I19/$M19,IF(W$4=($K19+$M19),(W19*M19/$M19),0))))</f>
        <v>0</v>
      </c>
      <c r="X35" s="26">
        <f t="shared" ref="X35:X47" si="8">IF(OR($F52=0,X$4&lt;$K19),0,IF(X$4=$K19,(X19*$I19/$M19),IF(AND(X$4&gt;$K19,X$4&lt;($K19+$M19)),X19*$I19/$M19,IF(X$4=($K19+$M19),(X19*N19/$M19),0))))</f>
        <v>536.05484625000008</v>
      </c>
      <c r="Y35" s="26">
        <f t="shared" ref="Y35:Y47" si="9">IF(OR($F52=0,Y$4&lt;$K19),0,IF(Y$4=$K19,(Y19*$I19/$M19),IF(AND(Y$4&gt;$K19,Y$4&lt;($K19+$M19)),Y19*$I19/$M19,IF(Y$4=($K19+$M19),(Y19*O19/$M19),0))))</f>
        <v>536.05484625000008</v>
      </c>
      <c r="Z35" s="26">
        <f t="shared" ref="Z35:Z47" si="10">IF(OR($F52=0,Z$4&lt;$K19),0,IF(Z$4=$K19,(Z19*$I19/$M19),IF(AND(Z$4&gt;$K19,Z$4&lt;($K19+$M19)),Z19*$I19/$M19,IF(Z$4=($K19+$M19),(Z19*P19/$M19),0))))</f>
        <v>438.59032875000003</v>
      </c>
      <c r="AA35" s="26">
        <f t="shared" ref="AA35:AA47" si="11">IF(OR($F52=0,AA$4&lt;$K19),0,IF(AA$4=$K19,(AA19*$I19/$M19),IF(AND(AA$4&gt;$K19,AA$4&lt;($K19+$M19)),AA19*$I19/$M19,IF(AA$4=($K19+$M19),(AA19*Q19/$M19),0))))</f>
        <v>438.59032875000003</v>
      </c>
      <c r="AB35" s="26">
        <f t="shared" ref="AB35:AB47" si="12">IF(OR($F52=0,AB$4&lt;$K19),0,IF(AB$4=$K19,(AB19*$I19/$M19),IF(AND(AB$4&gt;$K19,AB$4&lt;($K19+$M19)),AB19*$I19/$M19,IF(AB$4=($K19+$M19),(AB19*R19/$M19),0))))</f>
        <v>0</v>
      </c>
      <c r="AC35" s="26">
        <f t="shared" ref="AC35:AC47" si="13">IF(OR($F52=0,AC$4&lt;$K19),0,IF(AC$4=$K19,(AC19*$I19/$M19),IF(AND(AC$4&gt;$K19,AC$4&lt;($K19+$M19)),AC19*$I19/$M19,IF(AC$4=($K19+$M19),(AC19*S19/$M19),0))))</f>
        <v>0</v>
      </c>
      <c r="AD35" s="26">
        <f t="shared" ref="AD35:AD47" si="14">IF(OR($F52=0,AD$4&lt;$K19),0,IF(AD$4=$K19,(AD19*$I19/$M19),IF(AND(AD$4&gt;$K19,AD$4&lt;($K19+$M19)),AD19*$I19/$M19,IF(AD$4=($K19+$M19),(AD19*T19/$M19),0))))</f>
        <v>0</v>
      </c>
      <c r="AE35" s="26">
        <f t="shared" ref="AE35:AE47" si="15">IF(OR($F52=0,AE$4&lt;$K19),0,IF(AE$4=$K19,(AE19*$I19/$M19),IF(AND(AE$4&gt;$K19,AE$4&lt;($K19+$M19)),AE19*$I19/$M19,IF(AE$4=($K19+$M19),(AE19*U19/$M19),0))))</f>
        <v>0</v>
      </c>
      <c r="AF35" s="26">
        <f t="shared" ref="AF35:AF47" si="16">IF(OR($F52=0,AF$4&lt;$K19),0,IF(AF$4=$K19,(AF19*$I19/$M19),IF(AND(AF$4&gt;$K19,AF$4&lt;($K19+$M19)),AF19*$I19/$M19,IF(AF$4=($K19+$M19),(AF19*V19/$M19),0))))</f>
        <v>0</v>
      </c>
      <c r="AG35" s="26">
        <f t="shared" ref="AG35:AG47" si="17">IF(OR($F52=0,AG$4&lt;$K19),0,IF(AG$4=$K19,(AG19*$I19/$M19),IF(AND(AG$4&gt;$K19,AG$4&lt;($K19+$M19)),AG19*$I19/$M19,IF(AG$4=($K19+$M19),(AG19*W19/$M19),0))))</f>
        <v>0</v>
      </c>
      <c r="AH35" s="26">
        <f t="shared" ref="AH35:AH47" si="18">IF(OR($F52=0,AH$4&lt;$K19),0,IF(AH$4=$K19,(AH19*$I19/$M19),IF(AND(AH$4&gt;$K19,AH$4&lt;($K19+$M19)),AH19*$I19/$M19,IF(AH$4=($K19+$M19),(AH19*X19/$M19),0))))</f>
        <v>0</v>
      </c>
      <c r="AI35" s="26">
        <f t="shared" ref="AI35:AI47" si="19">IF(OR($F52=0,AI$4&lt;$K19),0,IF(AI$4=$K19,(AI19*$I19/$M19),IF(AND(AI$4&gt;$K19,AI$4&lt;($K19+$M19)),AI19*$I19/$M19,IF(AI$4=($K19+$M19),(AI19*Y19/$M19),0))))</f>
        <v>0</v>
      </c>
      <c r="AJ35" s="26">
        <f t="shared" ref="AJ35:AJ47" si="20">IF(OR($F52=0,AJ$4&lt;$K19),0,IF(AJ$4=$K19,(AJ19*$I19/$M19),IF(AND(AJ$4&gt;$K19,AJ$4&lt;($K19+$M19)),AJ19*$I19/$M19,IF(AJ$4=($K19+$M19),(AJ19*Z19/$M19),0))))</f>
        <v>0</v>
      </c>
      <c r="AK35" s="26">
        <f t="shared" ref="AK35:AK47" si="21">IF(OR($F52=0,AK$4&lt;$K19),0,IF(AK$4=$K19,(AK19*$I19/$M19),IF(AND(AK$4&gt;$K19,AK$4&lt;($K19+$M19)),AK19*$I19/$M19,IF(AK$4=($K19+$M19),(AK19*AA19/$M19),0))))</f>
        <v>0</v>
      </c>
      <c r="AL35" s="26">
        <f t="shared" ref="AL35:AL47" si="22">IF(OR($F52=0,AL$4&lt;$K19),0,IF(AL$4=$K19,(AL19*$I19/$M19),IF(AND(AL$4&gt;$K19,AL$4&lt;($K19+$M19)),AL19*$I19/$M19,IF(AL$4=($K19+$M19),(AL19*AB19/$M19),0))))</f>
        <v>0</v>
      </c>
    </row>
    <row r="36" spans="2:38" outlineLevel="1">
      <c r="C36" s="3" t="str">
        <f t="shared" si="2"/>
        <v>RADAR Upgrade (2022)</v>
      </c>
      <c r="E36" s="3" t="s">
        <v>29</v>
      </c>
      <c r="F36" s="1551">
        <v>1</v>
      </c>
      <c r="S36" s="26">
        <f t="shared" si="3"/>
        <v>0</v>
      </c>
      <c r="T36" s="26">
        <f t="shared" si="4"/>
        <v>0</v>
      </c>
      <c r="U36" s="26">
        <f t="shared" si="5"/>
        <v>0</v>
      </c>
      <c r="V36" s="26">
        <f t="shared" si="6"/>
        <v>0</v>
      </c>
      <c r="W36" s="26">
        <f t="shared" si="7"/>
        <v>0</v>
      </c>
      <c r="X36" s="26">
        <f t="shared" si="8"/>
        <v>0</v>
      </c>
      <c r="Y36" s="26">
        <f t="shared" si="9"/>
        <v>0</v>
      </c>
      <c r="Z36" s="26">
        <f t="shared" si="10"/>
        <v>16.416</v>
      </c>
      <c r="AA36" s="26">
        <f t="shared" si="11"/>
        <v>16.416</v>
      </c>
      <c r="AB36" s="26">
        <f t="shared" si="12"/>
        <v>16.416</v>
      </c>
      <c r="AC36" s="26">
        <f t="shared" si="13"/>
        <v>16.416</v>
      </c>
      <c r="AD36" s="26">
        <f t="shared" si="14"/>
        <v>16.416</v>
      </c>
      <c r="AE36" s="26">
        <f t="shared" si="15"/>
        <v>16.416</v>
      </c>
      <c r="AF36" s="26">
        <f t="shared" si="16"/>
        <v>16.416</v>
      </c>
      <c r="AG36" s="26">
        <f t="shared" si="17"/>
        <v>16.416</v>
      </c>
      <c r="AH36" s="26">
        <f t="shared" si="18"/>
        <v>16.416</v>
      </c>
      <c r="AI36" s="26">
        <f t="shared" si="19"/>
        <v>16.416</v>
      </c>
      <c r="AJ36" s="26">
        <f t="shared" si="20"/>
        <v>16.416</v>
      </c>
      <c r="AK36" s="26">
        <f t="shared" si="21"/>
        <v>16.416</v>
      </c>
      <c r="AL36" s="26">
        <f t="shared" si="22"/>
        <v>16.416</v>
      </c>
    </row>
    <row r="37" spans="2:38" outlineLevel="1">
      <c r="C37" s="3" t="str">
        <f t="shared" si="2"/>
        <v>RADAR Upgrade (2024)</v>
      </c>
      <c r="E37" s="3" t="s">
        <v>29</v>
      </c>
      <c r="F37" s="1551">
        <v>1</v>
      </c>
      <c r="S37" s="26">
        <f t="shared" si="3"/>
        <v>0</v>
      </c>
      <c r="T37" s="26">
        <f t="shared" si="4"/>
        <v>0</v>
      </c>
      <c r="U37" s="26">
        <f t="shared" si="5"/>
        <v>0</v>
      </c>
      <c r="V37" s="26">
        <f t="shared" si="6"/>
        <v>0</v>
      </c>
      <c r="W37" s="26">
        <f t="shared" si="7"/>
        <v>0</v>
      </c>
      <c r="X37" s="26">
        <f t="shared" si="8"/>
        <v>0</v>
      </c>
      <c r="Y37" s="26">
        <f t="shared" si="9"/>
        <v>0</v>
      </c>
      <c r="Z37" s="26">
        <f t="shared" si="10"/>
        <v>0</v>
      </c>
      <c r="AA37" s="26">
        <f t="shared" si="11"/>
        <v>0</v>
      </c>
      <c r="AB37" s="26">
        <f t="shared" si="12"/>
        <v>10.8</v>
      </c>
      <c r="AC37" s="26">
        <f t="shared" si="13"/>
        <v>10.8</v>
      </c>
      <c r="AD37" s="26">
        <f t="shared" si="14"/>
        <v>10.8</v>
      </c>
      <c r="AE37" s="26">
        <f t="shared" si="15"/>
        <v>10.8</v>
      </c>
      <c r="AF37" s="26">
        <f t="shared" si="16"/>
        <v>10.8</v>
      </c>
      <c r="AG37" s="26">
        <f t="shared" si="17"/>
        <v>10.8</v>
      </c>
      <c r="AH37" s="26">
        <f t="shared" si="18"/>
        <v>10.8</v>
      </c>
      <c r="AI37" s="26">
        <f t="shared" si="19"/>
        <v>10.8</v>
      </c>
      <c r="AJ37" s="26">
        <f t="shared" si="20"/>
        <v>10.8</v>
      </c>
      <c r="AK37" s="26">
        <f t="shared" si="21"/>
        <v>10.8</v>
      </c>
      <c r="AL37" s="26">
        <f t="shared" si="22"/>
        <v>10.8</v>
      </c>
    </row>
    <row r="38" spans="2:38" outlineLevel="1">
      <c r="C38" s="3" t="str">
        <f t="shared" si="2"/>
        <v>AUTO Climate Network</v>
      </c>
      <c r="E38" s="3" t="s">
        <v>29</v>
      </c>
      <c r="F38" s="1551">
        <v>1</v>
      </c>
      <c r="S38" s="26">
        <f t="shared" si="3"/>
        <v>0</v>
      </c>
      <c r="T38" s="26">
        <f t="shared" si="4"/>
        <v>0</v>
      </c>
      <c r="U38" s="26">
        <f t="shared" si="5"/>
        <v>0</v>
      </c>
      <c r="V38" s="26">
        <f t="shared" si="6"/>
        <v>0</v>
      </c>
      <c r="W38" s="26">
        <f t="shared" si="7"/>
        <v>0</v>
      </c>
      <c r="X38" s="26">
        <f t="shared" si="8"/>
        <v>0</v>
      </c>
      <c r="Y38" s="26">
        <f t="shared" si="9"/>
        <v>0</v>
      </c>
      <c r="Z38" s="26">
        <f t="shared" si="10"/>
        <v>0</v>
      </c>
      <c r="AA38" s="26">
        <f t="shared" si="11"/>
        <v>0</v>
      </c>
      <c r="AB38" s="26">
        <f t="shared" si="12"/>
        <v>0</v>
      </c>
      <c r="AC38" s="26">
        <f t="shared" si="13"/>
        <v>0</v>
      </c>
      <c r="AD38" s="26">
        <f t="shared" si="14"/>
        <v>0</v>
      </c>
      <c r="AE38" s="26">
        <f t="shared" si="15"/>
        <v>0</v>
      </c>
      <c r="AF38" s="26">
        <f t="shared" si="16"/>
        <v>0</v>
      </c>
      <c r="AG38" s="26">
        <f t="shared" si="17"/>
        <v>0</v>
      </c>
      <c r="AH38" s="26">
        <f t="shared" si="18"/>
        <v>0</v>
      </c>
      <c r="AI38" s="26">
        <f t="shared" si="19"/>
        <v>0</v>
      </c>
      <c r="AJ38" s="26">
        <f t="shared" si="20"/>
        <v>0</v>
      </c>
      <c r="AK38" s="26">
        <f t="shared" si="21"/>
        <v>0</v>
      </c>
      <c r="AL38" s="26">
        <f t="shared" si="22"/>
        <v>0</v>
      </c>
    </row>
    <row r="39" spans="2:38" outlineLevel="1">
      <c r="C39" s="3" t="str">
        <f t="shared" si="2"/>
        <v>METCOM</v>
      </c>
      <c r="E39" s="3" t="s">
        <v>29</v>
      </c>
      <c r="F39" s="1551">
        <v>1</v>
      </c>
      <c r="S39" s="26">
        <f t="shared" si="3"/>
        <v>0</v>
      </c>
      <c r="T39" s="26">
        <f t="shared" si="4"/>
        <v>0</v>
      </c>
      <c r="U39" s="26">
        <f t="shared" si="5"/>
        <v>0</v>
      </c>
      <c r="V39" s="26">
        <f t="shared" si="6"/>
        <v>0</v>
      </c>
      <c r="W39" s="26">
        <f t="shared" si="7"/>
        <v>0</v>
      </c>
      <c r="X39" s="26">
        <f t="shared" si="8"/>
        <v>0</v>
      </c>
      <c r="Y39" s="26">
        <f t="shared" si="9"/>
        <v>0</v>
      </c>
      <c r="Z39" s="26">
        <f t="shared" si="10"/>
        <v>103.08200000000002</v>
      </c>
      <c r="AA39" s="26">
        <f t="shared" si="11"/>
        <v>103.08200000000002</v>
      </c>
      <c r="AB39" s="26">
        <f t="shared" si="12"/>
        <v>103.08200000000002</v>
      </c>
      <c r="AC39" s="26">
        <f t="shared" si="13"/>
        <v>103.08200000000002</v>
      </c>
      <c r="AD39" s="26">
        <f t="shared" si="14"/>
        <v>103.08200000000002</v>
      </c>
      <c r="AE39" s="26">
        <f t="shared" si="15"/>
        <v>0</v>
      </c>
      <c r="AF39" s="26">
        <f t="shared" si="16"/>
        <v>0</v>
      </c>
      <c r="AG39" s="26">
        <f t="shared" si="17"/>
        <v>0</v>
      </c>
      <c r="AH39" s="26">
        <f t="shared" si="18"/>
        <v>0</v>
      </c>
      <c r="AI39" s="26">
        <f t="shared" si="19"/>
        <v>0</v>
      </c>
      <c r="AJ39" s="26">
        <f t="shared" si="20"/>
        <v>0</v>
      </c>
      <c r="AK39" s="26">
        <f t="shared" si="21"/>
        <v>0</v>
      </c>
      <c r="AL39" s="26">
        <f t="shared" si="22"/>
        <v>0</v>
      </c>
    </row>
    <row r="40" spans="2:38" outlineLevel="1">
      <c r="C40" s="3" t="str">
        <f t="shared" si="2"/>
        <v>AUTOMETAR</v>
      </c>
      <c r="E40" s="3" t="s">
        <v>29</v>
      </c>
      <c r="F40" s="1551">
        <v>1</v>
      </c>
      <c r="S40" s="26">
        <f t="shared" si="3"/>
        <v>0</v>
      </c>
      <c r="T40" s="26">
        <f t="shared" si="4"/>
        <v>0</v>
      </c>
      <c r="U40" s="26">
        <f t="shared" si="5"/>
        <v>0</v>
      </c>
      <c r="V40" s="26">
        <f t="shared" si="6"/>
        <v>0</v>
      </c>
      <c r="W40" s="26">
        <f t="shared" si="7"/>
        <v>0</v>
      </c>
      <c r="X40" s="26">
        <f t="shared" si="8"/>
        <v>0</v>
      </c>
      <c r="Y40" s="26">
        <f t="shared" si="9"/>
        <v>0</v>
      </c>
      <c r="Z40" s="26">
        <f t="shared" si="10"/>
        <v>0</v>
      </c>
      <c r="AA40" s="26">
        <f t="shared" si="11"/>
        <v>0</v>
      </c>
      <c r="AB40" s="26">
        <f t="shared" si="12"/>
        <v>0</v>
      </c>
      <c r="AC40" s="26">
        <f t="shared" si="13"/>
        <v>62.5</v>
      </c>
      <c r="AD40" s="26">
        <f t="shared" si="14"/>
        <v>62.5</v>
      </c>
      <c r="AE40" s="26">
        <f t="shared" si="15"/>
        <v>62.5</v>
      </c>
      <c r="AF40" s="26">
        <f t="shared" si="16"/>
        <v>62.5</v>
      </c>
      <c r="AG40" s="26">
        <f t="shared" si="17"/>
        <v>62.5</v>
      </c>
      <c r="AH40" s="26">
        <f t="shared" si="18"/>
        <v>62.5</v>
      </c>
      <c r="AI40" s="26">
        <f t="shared" si="19"/>
        <v>62.5</v>
      </c>
      <c r="AJ40" s="26">
        <f t="shared" si="20"/>
        <v>62.5</v>
      </c>
      <c r="AK40" s="26">
        <f t="shared" si="21"/>
        <v>0</v>
      </c>
      <c r="AL40" s="26">
        <f t="shared" si="22"/>
        <v>0</v>
      </c>
    </row>
    <row r="41" spans="2:38" outlineLevel="1">
      <c r="C41" s="3" t="str">
        <f t="shared" si="2"/>
        <v>IMaMS</v>
      </c>
      <c r="E41" s="3" t="s">
        <v>29</v>
      </c>
      <c r="F41" s="1551">
        <v>1</v>
      </c>
      <c r="S41" s="26">
        <f t="shared" si="3"/>
        <v>0</v>
      </c>
      <c r="T41" s="26">
        <f t="shared" si="4"/>
        <v>0</v>
      </c>
      <c r="U41" s="26">
        <f t="shared" si="5"/>
        <v>0</v>
      </c>
      <c r="V41" s="26">
        <f t="shared" si="6"/>
        <v>0</v>
      </c>
      <c r="W41" s="26">
        <f t="shared" si="7"/>
        <v>0</v>
      </c>
      <c r="X41" s="26">
        <f t="shared" si="8"/>
        <v>0</v>
      </c>
      <c r="Y41" s="26">
        <f t="shared" si="9"/>
        <v>0</v>
      </c>
      <c r="Z41" s="26">
        <f t="shared" si="10"/>
        <v>293.86800000000005</v>
      </c>
      <c r="AA41" s="26">
        <f t="shared" si="11"/>
        <v>293.86800000000005</v>
      </c>
      <c r="AB41" s="26">
        <f t="shared" si="12"/>
        <v>293.86800000000005</v>
      </c>
      <c r="AC41" s="26">
        <f t="shared" si="13"/>
        <v>293.86800000000005</v>
      </c>
      <c r="AD41" s="26">
        <f t="shared" si="14"/>
        <v>293.86800000000005</v>
      </c>
      <c r="AE41" s="26">
        <f t="shared" si="15"/>
        <v>0</v>
      </c>
      <c r="AF41" s="26">
        <f t="shared" si="16"/>
        <v>0</v>
      </c>
      <c r="AG41" s="26">
        <f t="shared" si="17"/>
        <v>0</v>
      </c>
      <c r="AH41" s="26">
        <f t="shared" si="18"/>
        <v>0</v>
      </c>
      <c r="AI41" s="26">
        <f t="shared" si="19"/>
        <v>0</v>
      </c>
      <c r="AJ41" s="26">
        <f t="shared" si="20"/>
        <v>0</v>
      </c>
      <c r="AK41" s="26">
        <f t="shared" si="21"/>
        <v>0</v>
      </c>
      <c r="AL41" s="26">
        <f t="shared" si="22"/>
        <v>0</v>
      </c>
    </row>
    <row r="42" spans="2:38" outlineLevel="1">
      <c r="C42" s="3" t="str">
        <f t="shared" si="2"/>
        <v>HPC</v>
      </c>
      <c r="E42" s="3" t="s">
        <v>29</v>
      </c>
      <c r="F42" s="1551">
        <v>1</v>
      </c>
      <c r="S42" s="26">
        <f t="shared" si="3"/>
        <v>0</v>
      </c>
      <c r="T42" s="26">
        <f t="shared" si="4"/>
        <v>0</v>
      </c>
      <c r="U42" s="26">
        <f t="shared" si="5"/>
        <v>0</v>
      </c>
      <c r="V42" s="26">
        <f t="shared" si="6"/>
        <v>0</v>
      </c>
      <c r="W42" s="26">
        <f t="shared" si="7"/>
        <v>0</v>
      </c>
      <c r="X42" s="26">
        <f t="shared" si="8"/>
        <v>0</v>
      </c>
      <c r="Y42" s="26">
        <f t="shared" si="9"/>
        <v>0</v>
      </c>
      <c r="Z42" s="26">
        <f t="shared" si="10"/>
        <v>0</v>
      </c>
      <c r="AA42" s="26">
        <f t="shared" si="11"/>
        <v>361.04399999999998</v>
      </c>
      <c r="AB42" s="26">
        <f t="shared" si="12"/>
        <v>361.04399999999998</v>
      </c>
      <c r="AC42" s="26">
        <f t="shared" si="13"/>
        <v>361.04399999999998</v>
      </c>
      <c r="AD42" s="26">
        <f t="shared" si="14"/>
        <v>361.04399999999998</v>
      </c>
      <c r="AE42" s="26">
        <f t="shared" si="15"/>
        <v>361.04399999999998</v>
      </c>
      <c r="AF42" s="26">
        <f t="shared" si="16"/>
        <v>0</v>
      </c>
      <c r="AG42" s="26">
        <f t="shared" si="17"/>
        <v>0</v>
      </c>
      <c r="AH42" s="26">
        <f t="shared" si="18"/>
        <v>0</v>
      </c>
      <c r="AI42" s="26">
        <f t="shared" si="19"/>
        <v>0</v>
      </c>
      <c r="AJ42" s="26">
        <f t="shared" si="20"/>
        <v>0</v>
      </c>
      <c r="AK42" s="26">
        <f t="shared" si="21"/>
        <v>0</v>
      </c>
      <c r="AL42" s="26">
        <f t="shared" si="22"/>
        <v>0</v>
      </c>
    </row>
    <row r="43" spans="2:38" outlineLevel="1">
      <c r="C43" s="3" t="str">
        <f t="shared" si="2"/>
        <v>&lt;&lt; add project &gt;&gt;</v>
      </c>
      <c r="E43" s="3" t="s">
        <v>29</v>
      </c>
      <c r="F43" s="1551">
        <v>0</v>
      </c>
      <c r="S43" s="26">
        <f t="shared" si="3"/>
        <v>0</v>
      </c>
      <c r="T43" s="26">
        <f t="shared" si="4"/>
        <v>0</v>
      </c>
      <c r="U43" s="26">
        <f t="shared" si="5"/>
        <v>0</v>
      </c>
      <c r="V43" s="26">
        <f t="shared" si="6"/>
        <v>0</v>
      </c>
      <c r="W43" s="26">
        <f t="shared" si="7"/>
        <v>0</v>
      </c>
      <c r="X43" s="26">
        <f t="shared" si="8"/>
        <v>0</v>
      </c>
      <c r="Y43" s="26">
        <f t="shared" si="9"/>
        <v>0</v>
      </c>
      <c r="Z43" s="26">
        <f t="shared" si="10"/>
        <v>0</v>
      </c>
      <c r="AA43" s="26">
        <f t="shared" si="11"/>
        <v>0</v>
      </c>
      <c r="AB43" s="26">
        <f t="shared" si="12"/>
        <v>0</v>
      </c>
      <c r="AC43" s="26">
        <f t="shared" si="13"/>
        <v>0</v>
      </c>
      <c r="AD43" s="26">
        <f t="shared" si="14"/>
        <v>0</v>
      </c>
      <c r="AE43" s="26">
        <f t="shared" si="15"/>
        <v>0</v>
      </c>
      <c r="AF43" s="26">
        <f t="shared" si="16"/>
        <v>0</v>
      </c>
      <c r="AG43" s="26">
        <f t="shared" si="17"/>
        <v>0</v>
      </c>
      <c r="AH43" s="26">
        <f t="shared" si="18"/>
        <v>0</v>
      </c>
      <c r="AI43" s="26">
        <f t="shared" si="19"/>
        <v>0</v>
      </c>
      <c r="AJ43" s="26">
        <f t="shared" si="20"/>
        <v>0</v>
      </c>
      <c r="AK43" s="26">
        <f t="shared" si="21"/>
        <v>0</v>
      </c>
      <c r="AL43" s="26">
        <f t="shared" si="22"/>
        <v>0</v>
      </c>
    </row>
    <row r="44" spans="2:38" outlineLevel="1">
      <c r="C44" s="3" t="str">
        <f t="shared" si="2"/>
        <v>&lt;&lt; add project &gt;&gt;</v>
      </c>
      <c r="E44" s="3" t="s">
        <v>29</v>
      </c>
      <c r="F44" s="1551">
        <v>0</v>
      </c>
      <c r="S44" s="26">
        <f t="shared" si="3"/>
        <v>0</v>
      </c>
      <c r="T44" s="26">
        <f t="shared" si="4"/>
        <v>0</v>
      </c>
      <c r="U44" s="26">
        <f t="shared" si="5"/>
        <v>0</v>
      </c>
      <c r="V44" s="26">
        <f t="shared" si="6"/>
        <v>0</v>
      </c>
      <c r="W44" s="26">
        <f t="shared" si="7"/>
        <v>0</v>
      </c>
      <c r="X44" s="26">
        <f t="shared" si="8"/>
        <v>0</v>
      </c>
      <c r="Y44" s="26">
        <f t="shared" si="9"/>
        <v>0</v>
      </c>
      <c r="Z44" s="26">
        <f t="shared" si="10"/>
        <v>0</v>
      </c>
      <c r="AA44" s="26">
        <f t="shared" si="11"/>
        <v>0</v>
      </c>
      <c r="AB44" s="26">
        <f t="shared" si="12"/>
        <v>0</v>
      </c>
      <c r="AC44" s="26">
        <f t="shared" si="13"/>
        <v>0</v>
      </c>
      <c r="AD44" s="26">
        <f t="shared" si="14"/>
        <v>0</v>
      </c>
      <c r="AE44" s="26">
        <f t="shared" si="15"/>
        <v>0</v>
      </c>
      <c r="AF44" s="26">
        <f t="shared" si="16"/>
        <v>0</v>
      </c>
      <c r="AG44" s="26">
        <f t="shared" si="17"/>
        <v>0</v>
      </c>
      <c r="AH44" s="26">
        <f t="shared" si="18"/>
        <v>0</v>
      </c>
      <c r="AI44" s="26">
        <f t="shared" si="19"/>
        <v>0</v>
      </c>
      <c r="AJ44" s="26">
        <f t="shared" si="20"/>
        <v>0</v>
      </c>
      <c r="AK44" s="26">
        <f t="shared" si="21"/>
        <v>0</v>
      </c>
      <c r="AL44" s="26">
        <f t="shared" si="22"/>
        <v>0</v>
      </c>
    </row>
    <row r="45" spans="2:38" outlineLevel="1">
      <c r="C45" s="3" t="str">
        <f t="shared" si="2"/>
        <v>&lt;&lt; add project &gt;&gt;</v>
      </c>
      <c r="E45" s="3" t="s">
        <v>29</v>
      </c>
      <c r="F45" s="1551">
        <v>0</v>
      </c>
      <c r="S45" s="26">
        <f t="shared" si="3"/>
        <v>0</v>
      </c>
      <c r="T45" s="26">
        <f t="shared" si="4"/>
        <v>0</v>
      </c>
      <c r="U45" s="26">
        <f t="shared" si="5"/>
        <v>0</v>
      </c>
      <c r="V45" s="26">
        <f t="shared" si="6"/>
        <v>0</v>
      </c>
      <c r="W45" s="26">
        <f t="shared" si="7"/>
        <v>0</v>
      </c>
      <c r="X45" s="26">
        <f t="shared" si="8"/>
        <v>0</v>
      </c>
      <c r="Y45" s="26">
        <f t="shared" si="9"/>
        <v>0</v>
      </c>
      <c r="Z45" s="26">
        <f t="shared" si="10"/>
        <v>0</v>
      </c>
      <c r="AA45" s="26">
        <f t="shared" si="11"/>
        <v>0</v>
      </c>
      <c r="AB45" s="26">
        <f t="shared" si="12"/>
        <v>0</v>
      </c>
      <c r="AC45" s="26">
        <f t="shared" si="13"/>
        <v>0</v>
      </c>
      <c r="AD45" s="26">
        <f t="shared" si="14"/>
        <v>0</v>
      </c>
      <c r="AE45" s="26">
        <f t="shared" si="15"/>
        <v>0</v>
      </c>
      <c r="AF45" s="26">
        <f t="shared" si="16"/>
        <v>0</v>
      </c>
      <c r="AG45" s="26">
        <f t="shared" si="17"/>
        <v>0</v>
      </c>
      <c r="AH45" s="26">
        <f t="shared" si="18"/>
        <v>0</v>
      </c>
      <c r="AI45" s="26">
        <f t="shared" si="19"/>
        <v>0</v>
      </c>
      <c r="AJ45" s="26">
        <f t="shared" si="20"/>
        <v>0</v>
      </c>
      <c r="AK45" s="26">
        <f t="shared" si="21"/>
        <v>0</v>
      </c>
      <c r="AL45" s="26">
        <f t="shared" si="22"/>
        <v>0</v>
      </c>
    </row>
    <row r="46" spans="2:38" outlineLevel="1">
      <c r="C46" s="3" t="str">
        <f t="shared" si="2"/>
        <v>&lt;&lt; add project &gt;&gt;</v>
      </c>
      <c r="E46" s="3" t="s">
        <v>29</v>
      </c>
      <c r="F46" s="1551">
        <v>0</v>
      </c>
      <c r="S46" s="26">
        <f t="shared" si="3"/>
        <v>0</v>
      </c>
      <c r="T46" s="26">
        <f t="shared" si="4"/>
        <v>0</v>
      </c>
      <c r="U46" s="26">
        <f t="shared" si="5"/>
        <v>0</v>
      </c>
      <c r="V46" s="26">
        <f t="shared" si="6"/>
        <v>0</v>
      </c>
      <c r="W46" s="26">
        <f t="shared" si="7"/>
        <v>0</v>
      </c>
      <c r="X46" s="26">
        <f t="shared" si="8"/>
        <v>0</v>
      </c>
      <c r="Y46" s="26">
        <f t="shared" si="9"/>
        <v>0</v>
      </c>
      <c r="Z46" s="26">
        <f t="shared" si="10"/>
        <v>0</v>
      </c>
      <c r="AA46" s="26">
        <f t="shared" si="11"/>
        <v>0</v>
      </c>
      <c r="AB46" s="26">
        <f t="shared" si="12"/>
        <v>0</v>
      </c>
      <c r="AC46" s="26">
        <f t="shared" si="13"/>
        <v>0</v>
      </c>
      <c r="AD46" s="26">
        <f t="shared" si="14"/>
        <v>0</v>
      </c>
      <c r="AE46" s="26">
        <f t="shared" si="15"/>
        <v>0</v>
      </c>
      <c r="AF46" s="26">
        <f t="shared" si="16"/>
        <v>0</v>
      </c>
      <c r="AG46" s="26">
        <f t="shared" si="17"/>
        <v>0</v>
      </c>
      <c r="AH46" s="26">
        <f t="shared" si="18"/>
        <v>0</v>
      </c>
      <c r="AI46" s="26">
        <f t="shared" si="19"/>
        <v>0</v>
      </c>
      <c r="AJ46" s="26">
        <f t="shared" si="20"/>
        <v>0</v>
      </c>
      <c r="AK46" s="26">
        <f t="shared" si="21"/>
        <v>0</v>
      </c>
      <c r="AL46" s="26">
        <f t="shared" si="22"/>
        <v>0</v>
      </c>
    </row>
    <row r="47" spans="2:38" outlineLevel="1">
      <c r="C47" s="3" t="str">
        <f t="shared" si="2"/>
        <v>&lt;&lt; add project &gt;&gt;</v>
      </c>
      <c r="E47" s="3" t="s">
        <v>29</v>
      </c>
      <c r="F47" s="1551">
        <v>0</v>
      </c>
      <c r="S47" s="26">
        <f t="shared" si="3"/>
        <v>0</v>
      </c>
      <c r="T47" s="26">
        <f t="shared" si="4"/>
        <v>0</v>
      </c>
      <c r="U47" s="26">
        <f t="shared" si="5"/>
        <v>0</v>
      </c>
      <c r="V47" s="26">
        <f t="shared" si="6"/>
        <v>0</v>
      </c>
      <c r="W47" s="26">
        <f t="shared" si="7"/>
        <v>0</v>
      </c>
      <c r="X47" s="26">
        <f t="shared" si="8"/>
        <v>0</v>
      </c>
      <c r="Y47" s="26">
        <f t="shared" si="9"/>
        <v>0</v>
      </c>
      <c r="Z47" s="26">
        <f t="shared" si="10"/>
        <v>0</v>
      </c>
      <c r="AA47" s="26">
        <f t="shared" si="11"/>
        <v>0</v>
      </c>
      <c r="AB47" s="26">
        <f t="shared" si="12"/>
        <v>0</v>
      </c>
      <c r="AC47" s="26">
        <f t="shared" si="13"/>
        <v>0</v>
      </c>
      <c r="AD47" s="26">
        <f t="shared" si="14"/>
        <v>0</v>
      </c>
      <c r="AE47" s="26">
        <f t="shared" si="15"/>
        <v>0</v>
      </c>
      <c r="AF47" s="26">
        <f t="shared" si="16"/>
        <v>0</v>
      </c>
      <c r="AG47" s="26">
        <f t="shared" si="17"/>
        <v>0</v>
      </c>
      <c r="AH47" s="26">
        <f t="shared" si="18"/>
        <v>0</v>
      </c>
      <c r="AI47" s="26">
        <f t="shared" si="19"/>
        <v>0</v>
      </c>
      <c r="AJ47" s="26">
        <f t="shared" si="20"/>
        <v>0</v>
      </c>
      <c r="AK47" s="26">
        <f t="shared" si="21"/>
        <v>0</v>
      </c>
      <c r="AL47" s="26">
        <f t="shared" si="22"/>
        <v>0</v>
      </c>
    </row>
    <row r="48" spans="2:38"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</row>
    <row r="49" spans="1:39">
      <c r="C49" s="17" t="s">
        <v>946</v>
      </c>
      <c r="E49" s="17" t="s">
        <v>29</v>
      </c>
      <c r="S49" s="27">
        <f t="shared" ref="S49:AL49" si="23">SUMPRODUCT($F$52:$F$64,S35:S47)</f>
        <v>0</v>
      </c>
      <c r="T49" s="27">
        <f t="shared" si="23"/>
        <v>0</v>
      </c>
      <c r="U49" s="27">
        <f t="shared" si="23"/>
        <v>0</v>
      </c>
      <c r="V49" s="27">
        <f t="shared" si="23"/>
        <v>0</v>
      </c>
      <c r="W49" s="27">
        <f t="shared" si="23"/>
        <v>0</v>
      </c>
      <c r="X49" s="27">
        <f t="shared" si="23"/>
        <v>536.05484625000008</v>
      </c>
      <c r="Y49" s="27">
        <f t="shared" si="23"/>
        <v>536.05484625000008</v>
      </c>
      <c r="Z49" s="27">
        <f t="shared" si="23"/>
        <v>851.95632875000013</v>
      </c>
      <c r="AA49" s="27">
        <f t="shared" si="23"/>
        <v>1213.0003287500001</v>
      </c>
      <c r="AB49" s="27">
        <f t="shared" si="23"/>
        <v>785.21</v>
      </c>
      <c r="AC49" s="27">
        <f t="shared" si="23"/>
        <v>847.71</v>
      </c>
      <c r="AD49" s="27">
        <f t="shared" si="23"/>
        <v>847.71</v>
      </c>
      <c r="AE49" s="27">
        <f t="shared" si="23"/>
        <v>450.76</v>
      </c>
      <c r="AF49" s="27">
        <f t="shared" si="23"/>
        <v>89.716000000000008</v>
      </c>
      <c r="AG49" s="27">
        <f t="shared" si="23"/>
        <v>89.716000000000008</v>
      </c>
      <c r="AH49" s="27">
        <f t="shared" si="23"/>
        <v>89.716000000000008</v>
      </c>
      <c r="AI49" s="27">
        <f t="shared" si="23"/>
        <v>89.716000000000008</v>
      </c>
      <c r="AJ49" s="27">
        <f t="shared" si="23"/>
        <v>89.716000000000008</v>
      </c>
      <c r="AK49" s="27">
        <f t="shared" si="23"/>
        <v>27.216000000000001</v>
      </c>
      <c r="AL49" s="27">
        <f t="shared" si="23"/>
        <v>27.216000000000001</v>
      </c>
    </row>
    <row r="50" spans="1:39"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</row>
    <row r="51" spans="1:39" s="7" customFormat="1" ht="13.5" thickBot="1">
      <c r="A51" s="3"/>
      <c r="B51" s="6" t="s">
        <v>947</v>
      </c>
      <c r="C51" s="6"/>
      <c r="R51" s="22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3"/>
    </row>
    <row r="52" spans="1:39" outlineLevel="1">
      <c r="C52" s="3" t="str">
        <f t="shared" ref="C52:C64" si="24">C19</f>
        <v>AMAP</v>
      </c>
      <c r="E52" s="3" t="s">
        <v>29</v>
      </c>
      <c r="F52" s="1551">
        <v>1</v>
      </c>
      <c r="R52" s="144"/>
      <c r="S52" s="26">
        <f t="shared" ref="S52:AL52" si="25">IF(S$4&lt;$K19,0,IF(S$4=$K19,(S19*$I19)-S35,MAX(0,R52-S35)))</f>
        <v>0</v>
      </c>
      <c r="T52" s="26">
        <f t="shared" si="25"/>
        <v>0</v>
      </c>
      <c r="U52" s="26">
        <f t="shared" si="25"/>
        <v>0</v>
      </c>
      <c r="V52" s="26">
        <f t="shared" si="25"/>
        <v>0</v>
      </c>
      <c r="W52" s="26">
        <f t="shared" si="25"/>
        <v>0</v>
      </c>
      <c r="X52" s="26">
        <f t="shared" si="25"/>
        <v>0</v>
      </c>
      <c r="Y52" s="26">
        <f t="shared" si="25"/>
        <v>0</v>
      </c>
      <c r="Z52" s="26">
        <f t="shared" si="25"/>
        <v>0</v>
      </c>
      <c r="AA52" s="26">
        <f t="shared" si="25"/>
        <v>0</v>
      </c>
      <c r="AB52" s="26">
        <f t="shared" si="25"/>
        <v>0</v>
      </c>
      <c r="AC52" s="26">
        <f t="shared" si="25"/>
        <v>0</v>
      </c>
      <c r="AD52" s="26">
        <f t="shared" si="25"/>
        <v>0</v>
      </c>
      <c r="AE52" s="26">
        <f t="shared" si="25"/>
        <v>0</v>
      </c>
      <c r="AF52" s="26">
        <f t="shared" si="25"/>
        <v>0</v>
      </c>
      <c r="AG52" s="26">
        <f t="shared" si="25"/>
        <v>0</v>
      </c>
      <c r="AH52" s="26">
        <f t="shared" si="25"/>
        <v>0</v>
      </c>
      <c r="AI52" s="26">
        <f t="shared" si="25"/>
        <v>0</v>
      </c>
      <c r="AJ52" s="26">
        <f t="shared" si="25"/>
        <v>0</v>
      </c>
      <c r="AK52" s="26">
        <f t="shared" si="25"/>
        <v>0</v>
      </c>
      <c r="AL52" s="26">
        <f t="shared" si="25"/>
        <v>0</v>
      </c>
    </row>
    <row r="53" spans="1:39" outlineLevel="1">
      <c r="C53" s="3" t="str">
        <f t="shared" si="24"/>
        <v>RADAR Upgrade (2022)</v>
      </c>
      <c r="E53" s="3" t="s">
        <v>29</v>
      </c>
      <c r="F53" s="1551">
        <v>1</v>
      </c>
      <c r="R53" s="144"/>
      <c r="S53" s="26">
        <f t="shared" ref="S53:AL53" si="26">IF(S$4&lt;$K20,0,IF(S$4=$K20,(S20*$I20)-S36,MAX(0,R53-S36)))</f>
        <v>0</v>
      </c>
      <c r="T53" s="26">
        <f t="shared" si="26"/>
        <v>0</v>
      </c>
      <c r="U53" s="26">
        <f t="shared" si="26"/>
        <v>0</v>
      </c>
      <c r="V53" s="26">
        <f t="shared" si="26"/>
        <v>0</v>
      </c>
      <c r="W53" s="26">
        <f t="shared" si="26"/>
        <v>0</v>
      </c>
      <c r="X53" s="26">
        <f t="shared" si="26"/>
        <v>0</v>
      </c>
      <c r="Y53" s="26">
        <f t="shared" si="26"/>
        <v>0</v>
      </c>
      <c r="Z53" s="26">
        <f t="shared" si="26"/>
        <v>388.584</v>
      </c>
      <c r="AA53" s="26">
        <f t="shared" si="26"/>
        <v>372.16800000000001</v>
      </c>
      <c r="AB53" s="26">
        <f t="shared" si="26"/>
        <v>355.75200000000001</v>
      </c>
      <c r="AC53" s="26">
        <f t="shared" si="26"/>
        <v>339.33600000000001</v>
      </c>
      <c r="AD53" s="26">
        <f t="shared" si="26"/>
        <v>322.92</v>
      </c>
      <c r="AE53" s="26">
        <f t="shared" si="26"/>
        <v>306.50400000000002</v>
      </c>
      <c r="AF53" s="26">
        <f t="shared" si="26"/>
        <v>290.08800000000002</v>
      </c>
      <c r="AG53" s="26">
        <f t="shared" si="26"/>
        <v>273.67200000000003</v>
      </c>
      <c r="AH53" s="26">
        <f t="shared" si="26"/>
        <v>257.25600000000003</v>
      </c>
      <c r="AI53" s="26">
        <f t="shared" si="26"/>
        <v>240.84000000000003</v>
      </c>
      <c r="AJ53" s="26">
        <f t="shared" si="26"/>
        <v>224.42400000000004</v>
      </c>
      <c r="AK53" s="26">
        <f t="shared" si="26"/>
        <v>208.00800000000004</v>
      </c>
      <c r="AL53" s="26">
        <f t="shared" si="26"/>
        <v>191.59200000000004</v>
      </c>
    </row>
    <row r="54" spans="1:39" outlineLevel="1">
      <c r="C54" s="3" t="str">
        <f t="shared" si="24"/>
        <v>RADAR Upgrade (2024)</v>
      </c>
      <c r="E54" s="3" t="s">
        <v>29</v>
      </c>
      <c r="F54" s="1551">
        <v>1</v>
      </c>
      <c r="R54" s="144"/>
      <c r="S54" s="26">
        <f t="shared" ref="S54:AL54" si="27">IF(S$4&lt;$K21,0,IF(S$4=$K21,(S21*$I21)-S37,MAX(0,R54-S37)))</f>
        <v>0</v>
      </c>
      <c r="T54" s="26">
        <f t="shared" si="27"/>
        <v>0</v>
      </c>
      <c r="U54" s="26">
        <f t="shared" si="27"/>
        <v>0</v>
      </c>
      <c r="V54" s="26">
        <f t="shared" si="27"/>
        <v>0</v>
      </c>
      <c r="W54" s="26">
        <f t="shared" si="27"/>
        <v>0</v>
      </c>
      <c r="X54" s="26">
        <f t="shared" si="27"/>
        <v>0</v>
      </c>
      <c r="Y54" s="26">
        <f t="shared" si="27"/>
        <v>0</v>
      </c>
      <c r="Z54" s="26">
        <f t="shared" si="27"/>
        <v>0</v>
      </c>
      <c r="AA54" s="26">
        <f t="shared" si="27"/>
        <v>0</v>
      </c>
      <c r="AB54" s="26">
        <f t="shared" si="27"/>
        <v>259.2</v>
      </c>
      <c r="AC54" s="26">
        <f t="shared" si="27"/>
        <v>248.39999999999998</v>
      </c>
      <c r="AD54" s="26">
        <f t="shared" si="27"/>
        <v>237.59999999999997</v>
      </c>
      <c r="AE54" s="26">
        <f t="shared" si="27"/>
        <v>226.79999999999995</v>
      </c>
      <c r="AF54" s="26">
        <f t="shared" si="27"/>
        <v>215.99999999999994</v>
      </c>
      <c r="AG54" s="26">
        <f t="shared" si="27"/>
        <v>205.19999999999993</v>
      </c>
      <c r="AH54" s="26">
        <f t="shared" si="27"/>
        <v>194.39999999999992</v>
      </c>
      <c r="AI54" s="26">
        <f t="shared" si="27"/>
        <v>183.59999999999991</v>
      </c>
      <c r="AJ54" s="26">
        <f t="shared" si="27"/>
        <v>172.7999999999999</v>
      </c>
      <c r="AK54" s="26">
        <f t="shared" si="27"/>
        <v>161.99999999999989</v>
      </c>
      <c r="AL54" s="26">
        <f t="shared" si="27"/>
        <v>151.19999999999987</v>
      </c>
    </row>
    <row r="55" spans="1:39" outlineLevel="1">
      <c r="C55" s="3" t="str">
        <f t="shared" si="24"/>
        <v>AUTO Climate Network</v>
      </c>
      <c r="E55" s="3" t="s">
        <v>29</v>
      </c>
      <c r="F55" s="1551">
        <v>1</v>
      </c>
      <c r="R55" s="144"/>
      <c r="S55" s="26">
        <f t="shared" ref="S55:AL55" si="28">IF(S$4&lt;$K22,0,IF(S$4=$K22,(S22*$I22)-S38,MAX(0,R55-S38)))</f>
        <v>0</v>
      </c>
      <c r="T55" s="26">
        <f t="shared" si="28"/>
        <v>0</v>
      </c>
      <c r="U55" s="26">
        <f t="shared" si="28"/>
        <v>0</v>
      </c>
      <c r="V55" s="26">
        <f t="shared" si="28"/>
        <v>0</v>
      </c>
      <c r="W55" s="26">
        <f t="shared" si="28"/>
        <v>0</v>
      </c>
      <c r="X55" s="26">
        <f t="shared" si="28"/>
        <v>0</v>
      </c>
      <c r="Y55" s="26">
        <f t="shared" si="28"/>
        <v>0</v>
      </c>
      <c r="Z55" s="26">
        <f t="shared" si="28"/>
        <v>0</v>
      </c>
      <c r="AA55" s="26">
        <f t="shared" si="28"/>
        <v>0</v>
      </c>
      <c r="AB55" s="26">
        <f t="shared" si="28"/>
        <v>0</v>
      </c>
      <c r="AC55" s="26">
        <f t="shared" si="28"/>
        <v>0</v>
      </c>
      <c r="AD55" s="26">
        <f t="shared" si="28"/>
        <v>0</v>
      </c>
      <c r="AE55" s="26">
        <f t="shared" si="28"/>
        <v>0</v>
      </c>
      <c r="AF55" s="26">
        <f t="shared" si="28"/>
        <v>0</v>
      </c>
      <c r="AG55" s="26">
        <f t="shared" si="28"/>
        <v>0</v>
      </c>
      <c r="AH55" s="26">
        <f t="shared" si="28"/>
        <v>0</v>
      </c>
      <c r="AI55" s="26">
        <f t="shared" si="28"/>
        <v>0</v>
      </c>
      <c r="AJ55" s="26">
        <f t="shared" si="28"/>
        <v>0</v>
      </c>
      <c r="AK55" s="26">
        <f t="shared" si="28"/>
        <v>0</v>
      </c>
      <c r="AL55" s="26">
        <f t="shared" si="28"/>
        <v>0</v>
      </c>
    </row>
    <row r="56" spans="1:39" outlineLevel="1">
      <c r="C56" s="3" t="str">
        <f t="shared" si="24"/>
        <v>METCOM</v>
      </c>
      <c r="E56" s="3" t="s">
        <v>29</v>
      </c>
      <c r="F56" s="1551">
        <v>1</v>
      </c>
      <c r="R56" s="144"/>
      <c r="S56" s="26">
        <f t="shared" ref="S56:AL56" si="29">IF(S$4&lt;$K23,0,IF(S$4=$K23,(S23*$I23)-S39,MAX(0,R56-S39)))</f>
        <v>0</v>
      </c>
      <c r="T56" s="26">
        <f t="shared" si="29"/>
        <v>0</v>
      </c>
      <c r="U56" s="26">
        <f t="shared" si="29"/>
        <v>0</v>
      </c>
      <c r="V56" s="26">
        <f t="shared" si="29"/>
        <v>0</v>
      </c>
      <c r="W56" s="26">
        <f t="shared" si="29"/>
        <v>0</v>
      </c>
      <c r="X56" s="26">
        <f t="shared" si="29"/>
        <v>0</v>
      </c>
      <c r="Y56" s="26">
        <f t="shared" si="29"/>
        <v>0</v>
      </c>
      <c r="Z56" s="26">
        <f t="shared" si="29"/>
        <v>412.32800000000009</v>
      </c>
      <c r="AA56" s="26">
        <f t="shared" si="29"/>
        <v>309.24600000000009</v>
      </c>
      <c r="AB56" s="26">
        <f t="shared" si="29"/>
        <v>206.16400000000007</v>
      </c>
      <c r="AC56" s="26">
        <f t="shared" si="29"/>
        <v>103.08200000000005</v>
      </c>
      <c r="AD56" s="26">
        <f t="shared" si="29"/>
        <v>2.8421709430404007E-14</v>
      </c>
      <c r="AE56" s="26">
        <f t="shared" si="29"/>
        <v>2.8421709430404007E-14</v>
      </c>
      <c r="AF56" s="26">
        <f t="shared" si="29"/>
        <v>2.8421709430404007E-14</v>
      </c>
      <c r="AG56" s="26">
        <f t="shared" si="29"/>
        <v>2.8421709430404007E-14</v>
      </c>
      <c r="AH56" s="26">
        <f t="shared" si="29"/>
        <v>2.8421709430404007E-14</v>
      </c>
      <c r="AI56" s="26">
        <f t="shared" si="29"/>
        <v>2.8421709430404007E-14</v>
      </c>
      <c r="AJ56" s="26">
        <f t="shared" si="29"/>
        <v>2.8421709430404007E-14</v>
      </c>
      <c r="AK56" s="26">
        <f t="shared" si="29"/>
        <v>2.8421709430404007E-14</v>
      </c>
      <c r="AL56" s="26">
        <f t="shared" si="29"/>
        <v>2.8421709430404007E-14</v>
      </c>
    </row>
    <row r="57" spans="1:39" outlineLevel="1">
      <c r="C57" s="3" t="str">
        <f t="shared" si="24"/>
        <v>AUTOMETAR</v>
      </c>
      <c r="E57" s="3" t="s">
        <v>29</v>
      </c>
      <c r="F57" s="1551">
        <v>1</v>
      </c>
      <c r="R57" s="144"/>
      <c r="S57" s="26">
        <f t="shared" ref="S57:AL57" si="30">IF(S$4&lt;$K24,0,IF(S$4=$K24,(S24*$I24)-S40,MAX(0,R57-S40)))</f>
        <v>0</v>
      </c>
      <c r="T57" s="26">
        <f t="shared" si="30"/>
        <v>0</v>
      </c>
      <c r="U57" s="26">
        <f t="shared" si="30"/>
        <v>0</v>
      </c>
      <c r="V57" s="26">
        <f t="shared" si="30"/>
        <v>0</v>
      </c>
      <c r="W57" s="26">
        <f t="shared" si="30"/>
        <v>0</v>
      </c>
      <c r="X57" s="26">
        <f t="shared" si="30"/>
        <v>0</v>
      </c>
      <c r="Y57" s="26">
        <f t="shared" si="30"/>
        <v>0</v>
      </c>
      <c r="Z57" s="26">
        <f t="shared" si="30"/>
        <v>0</v>
      </c>
      <c r="AA57" s="26">
        <f t="shared" si="30"/>
        <v>0</v>
      </c>
      <c r="AB57" s="26">
        <f t="shared" si="30"/>
        <v>0</v>
      </c>
      <c r="AC57" s="26">
        <f t="shared" si="30"/>
        <v>437.5</v>
      </c>
      <c r="AD57" s="26">
        <f t="shared" si="30"/>
        <v>375</v>
      </c>
      <c r="AE57" s="26">
        <f t="shared" si="30"/>
        <v>312.5</v>
      </c>
      <c r="AF57" s="26">
        <f t="shared" si="30"/>
        <v>250</v>
      </c>
      <c r="AG57" s="26">
        <f t="shared" si="30"/>
        <v>187.5</v>
      </c>
      <c r="AH57" s="26">
        <f t="shared" si="30"/>
        <v>125</v>
      </c>
      <c r="AI57" s="26">
        <f t="shared" si="30"/>
        <v>62.5</v>
      </c>
      <c r="AJ57" s="26">
        <f t="shared" si="30"/>
        <v>0</v>
      </c>
      <c r="AK57" s="26">
        <f t="shared" si="30"/>
        <v>0</v>
      </c>
      <c r="AL57" s="26">
        <f t="shared" si="30"/>
        <v>0</v>
      </c>
    </row>
    <row r="58" spans="1:39" outlineLevel="1">
      <c r="C58" s="3" t="str">
        <f t="shared" si="24"/>
        <v>IMaMS</v>
      </c>
      <c r="E58" s="3" t="s">
        <v>29</v>
      </c>
      <c r="F58" s="1551">
        <v>1</v>
      </c>
      <c r="R58" s="144"/>
      <c r="S58" s="26">
        <f t="shared" ref="S58:AL58" si="31">IF(S$4&lt;$K25,0,IF(S$4=$K25,(S25*$I25)-S41,MAX(0,R58-S41)))</f>
        <v>0</v>
      </c>
      <c r="T58" s="26">
        <f t="shared" si="31"/>
        <v>0</v>
      </c>
      <c r="U58" s="26">
        <f t="shared" si="31"/>
        <v>0</v>
      </c>
      <c r="V58" s="26">
        <f t="shared" si="31"/>
        <v>0</v>
      </c>
      <c r="W58" s="26">
        <f t="shared" si="31"/>
        <v>0</v>
      </c>
      <c r="X58" s="26">
        <f t="shared" si="31"/>
        <v>0</v>
      </c>
      <c r="Y58" s="26">
        <f t="shared" si="31"/>
        <v>0</v>
      </c>
      <c r="Z58" s="26">
        <f t="shared" si="31"/>
        <v>1175.4720000000002</v>
      </c>
      <c r="AA58" s="26">
        <f t="shared" si="31"/>
        <v>881.60400000000016</v>
      </c>
      <c r="AB58" s="26">
        <f t="shared" si="31"/>
        <v>587.7360000000001</v>
      </c>
      <c r="AC58" s="26">
        <f t="shared" si="31"/>
        <v>293.86800000000005</v>
      </c>
      <c r="AD58" s="26">
        <f t="shared" si="31"/>
        <v>0</v>
      </c>
      <c r="AE58" s="26">
        <f t="shared" si="31"/>
        <v>0</v>
      </c>
      <c r="AF58" s="26">
        <f t="shared" si="31"/>
        <v>0</v>
      </c>
      <c r="AG58" s="26">
        <f t="shared" si="31"/>
        <v>0</v>
      </c>
      <c r="AH58" s="26">
        <f t="shared" si="31"/>
        <v>0</v>
      </c>
      <c r="AI58" s="26">
        <f t="shared" si="31"/>
        <v>0</v>
      </c>
      <c r="AJ58" s="26">
        <f t="shared" si="31"/>
        <v>0</v>
      </c>
      <c r="AK58" s="26">
        <f t="shared" si="31"/>
        <v>0</v>
      </c>
      <c r="AL58" s="26">
        <f t="shared" si="31"/>
        <v>0</v>
      </c>
    </row>
    <row r="59" spans="1:39" outlineLevel="1">
      <c r="C59" s="3" t="str">
        <f t="shared" si="24"/>
        <v>HPC</v>
      </c>
      <c r="E59" s="3" t="s">
        <v>29</v>
      </c>
      <c r="F59" s="1551">
        <v>1</v>
      </c>
      <c r="R59" s="144"/>
      <c r="S59" s="26">
        <f t="shared" ref="S59:AL59" si="32">IF(S$4&lt;$K26,0,IF(S$4=$K26,(S26*$I26)-S42,MAX(0,R59-S42)))</f>
        <v>0</v>
      </c>
      <c r="T59" s="26">
        <f t="shared" si="32"/>
        <v>0</v>
      </c>
      <c r="U59" s="26">
        <f t="shared" si="32"/>
        <v>0</v>
      </c>
      <c r="V59" s="26">
        <f t="shared" si="32"/>
        <v>0</v>
      </c>
      <c r="W59" s="26">
        <f t="shared" si="32"/>
        <v>0</v>
      </c>
      <c r="X59" s="26">
        <f t="shared" si="32"/>
        <v>0</v>
      </c>
      <c r="Y59" s="26">
        <f t="shared" si="32"/>
        <v>0</v>
      </c>
      <c r="Z59" s="26">
        <f t="shared" si="32"/>
        <v>0</v>
      </c>
      <c r="AA59" s="26">
        <f t="shared" si="32"/>
        <v>1444.1759999999999</v>
      </c>
      <c r="AB59" s="26">
        <f t="shared" si="32"/>
        <v>1083.1320000000001</v>
      </c>
      <c r="AC59" s="26">
        <f t="shared" si="32"/>
        <v>722.08800000000008</v>
      </c>
      <c r="AD59" s="26">
        <f t="shared" si="32"/>
        <v>361.0440000000001</v>
      </c>
      <c r="AE59" s="26">
        <f t="shared" si="32"/>
        <v>1.1368683772161603E-13</v>
      </c>
      <c r="AF59" s="26">
        <f t="shared" si="32"/>
        <v>1.1368683772161603E-13</v>
      </c>
      <c r="AG59" s="26">
        <f t="shared" si="32"/>
        <v>1.1368683772161603E-13</v>
      </c>
      <c r="AH59" s="26">
        <f t="shared" si="32"/>
        <v>1.1368683772161603E-13</v>
      </c>
      <c r="AI59" s="26">
        <f t="shared" si="32"/>
        <v>1.1368683772161603E-13</v>
      </c>
      <c r="AJ59" s="26">
        <f t="shared" si="32"/>
        <v>1.1368683772161603E-13</v>
      </c>
      <c r="AK59" s="26">
        <f t="shared" si="32"/>
        <v>1.1368683772161603E-13</v>
      </c>
      <c r="AL59" s="26">
        <f t="shared" si="32"/>
        <v>1.1368683772161603E-13</v>
      </c>
    </row>
    <row r="60" spans="1:39" outlineLevel="1">
      <c r="C60" s="3" t="str">
        <f t="shared" si="24"/>
        <v>&lt;&lt; add project &gt;&gt;</v>
      </c>
      <c r="E60" s="3" t="s">
        <v>29</v>
      </c>
      <c r="F60" s="1551">
        <v>0</v>
      </c>
      <c r="R60" s="144"/>
      <c r="S60" s="26">
        <f t="shared" ref="S60:AL60" si="33">IF(S$4&lt;$K27,0,IF(S$4=$K27,(S27*$I27)-S43,MAX(0,R60-S43)))</f>
        <v>0</v>
      </c>
      <c r="T60" s="26">
        <f t="shared" si="33"/>
        <v>0</v>
      </c>
      <c r="U60" s="26">
        <f t="shared" si="33"/>
        <v>0</v>
      </c>
      <c r="V60" s="26">
        <f t="shared" si="33"/>
        <v>0</v>
      </c>
      <c r="W60" s="26">
        <f t="shared" si="33"/>
        <v>0</v>
      </c>
      <c r="X60" s="26">
        <f t="shared" si="33"/>
        <v>0</v>
      </c>
      <c r="Y60" s="26">
        <f t="shared" si="33"/>
        <v>0</v>
      </c>
      <c r="Z60" s="26">
        <f t="shared" si="33"/>
        <v>0</v>
      </c>
      <c r="AA60" s="26">
        <f t="shared" si="33"/>
        <v>0</v>
      </c>
      <c r="AB60" s="26">
        <f t="shared" si="33"/>
        <v>0</v>
      </c>
      <c r="AC60" s="26">
        <f t="shared" si="33"/>
        <v>0</v>
      </c>
      <c r="AD60" s="26">
        <f t="shared" si="33"/>
        <v>0</v>
      </c>
      <c r="AE60" s="26">
        <f t="shared" si="33"/>
        <v>0</v>
      </c>
      <c r="AF60" s="26">
        <f t="shared" si="33"/>
        <v>0</v>
      </c>
      <c r="AG60" s="26">
        <f t="shared" si="33"/>
        <v>0</v>
      </c>
      <c r="AH60" s="26">
        <f t="shared" si="33"/>
        <v>0</v>
      </c>
      <c r="AI60" s="26">
        <f t="shared" si="33"/>
        <v>0</v>
      </c>
      <c r="AJ60" s="26">
        <f t="shared" si="33"/>
        <v>0</v>
      </c>
      <c r="AK60" s="26">
        <f t="shared" si="33"/>
        <v>0</v>
      </c>
      <c r="AL60" s="26">
        <f t="shared" si="33"/>
        <v>0</v>
      </c>
    </row>
    <row r="61" spans="1:39" outlineLevel="1">
      <c r="C61" s="3" t="str">
        <f t="shared" si="24"/>
        <v>&lt;&lt; add project &gt;&gt;</v>
      </c>
      <c r="E61" s="3" t="s">
        <v>29</v>
      </c>
      <c r="F61" s="1551">
        <v>0</v>
      </c>
      <c r="R61" s="144"/>
      <c r="S61" s="26">
        <f t="shared" ref="S61:AL61" si="34">IF(S$4&lt;$K28,0,IF(S$4=$K28,(S28*$I28)-S44,MAX(0,R61-S44)))</f>
        <v>0</v>
      </c>
      <c r="T61" s="26">
        <f t="shared" si="34"/>
        <v>0</v>
      </c>
      <c r="U61" s="26">
        <f t="shared" si="34"/>
        <v>0</v>
      </c>
      <c r="V61" s="26">
        <f t="shared" si="34"/>
        <v>0</v>
      </c>
      <c r="W61" s="26">
        <f t="shared" si="34"/>
        <v>0</v>
      </c>
      <c r="X61" s="26">
        <f t="shared" si="34"/>
        <v>0</v>
      </c>
      <c r="Y61" s="26">
        <f t="shared" si="34"/>
        <v>0</v>
      </c>
      <c r="Z61" s="26">
        <f t="shared" si="34"/>
        <v>0</v>
      </c>
      <c r="AA61" s="26">
        <f t="shared" si="34"/>
        <v>0</v>
      </c>
      <c r="AB61" s="26">
        <f t="shared" si="34"/>
        <v>0</v>
      </c>
      <c r="AC61" s="26">
        <f t="shared" si="34"/>
        <v>0</v>
      </c>
      <c r="AD61" s="26">
        <f t="shared" si="34"/>
        <v>0</v>
      </c>
      <c r="AE61" s="26">
        <f t="shared" si="34"/>
        <v>0</v>
      </c>
      <c r="AF61" s="26">
        <f t="shared" si="34"/>
        <v>0</v>
      </c>
      <c r="AG61" s="26">
        <f t="shared" si="34"/>
        <v>0</v>
      </c>
      <c r="AH61" s="26">
        <f t="shared" si="34"/>
        <v>0</v>
      </c>
      <c r="AI61" s="26">
        <f t="shared" si="34"/>
        <v>0</v>
      </c>
      <c r="AJ61" s="26">
        <f t="shared" si="34"/>
        <v>0</v>
      </c>
      <c r="AK61" s="26">
        <f t="shared" si="34"/>
        <v>0</v>
      </c>
      <c r="AL61" s="26">
        <f t="shared" si="34"/>
        <v>0</v>
      </c>
    </row>
    <row r="62" spans="1:39" outlineLevel="1">
      <c r="C62" s="3" t="str">
        <f t="shared" si="24"/>
        <v>&lt;&lt; add project &gt;&gt;</v>
      </c>
      <c r="E62" s="3" t="s">
        <v>29</v>
      </c>
      <c r="F62" s="1551">
        <v>0</v>
      </c>
      <c r="R62" s="144"/>
      <c r="S62" s="26">
        <f t="shared" ref="S62:AL62" si="35">IF(S$4&lt;$K29,0,IF(S$4=$K29,(S29*$I29)-S45,MAX(0,R62-S45)))</f>
        <v>0</v>
      </c>
      <c r="T62" s="26">
        <f t="shared" si="35"/>
        <v>0</v>
      </c>
      <c r="U62" s="26">
        <f t="shared" si="35"/>
        <v>0</v>
      </c>
      <c r="V62" s="26">
        <f t="shared" si="35"/>
        <v>0</v>
      </c>
      <c r="W62" s="26">
        <f t="shared" si="35"/>
        <v>0</v>
      </c>
      <c r="X62" s="26">
        <f t="shared" si="35"/>
        <v>0</v>
      </c>
      <c r="Y62" s="26">
        <f t="shared" si="35"/>
        <v>0</v>
      </c>
      <c r="Z62" s="26">
        <f t="shared" si="35"/>
        <v>0</v>
      </c>
      <c r="AA62" s="26">
        <f t="shared" si="35"/>
        <v>0</v>
      </c>
      <c r="AB62" s="26">
        <f t="shared" si="35"/>
        <v>0</v>
      </c>
      <c r="AC62" s="26">
        <f t="shared" si="35"/>
        <v>0</v>
      </c>
      <c r="AD62" s="26">
        <f t="shared" si="35"/>
        <v>0</v>
      </c>
      <c r="AE62" s="26">
        <f t="shared" si="35"/>
        <v>0</v>
      </c>
      <c r="AF62" s="26">
        <f t="shared" si="35"/>
        <v>0</v>
      </c>
      <c r="AG62" s="26">
        <f t="shared" si="35"/>
        <v>0</v>
      </c>
      <c r="AH62" s="26">
        <f t="shared" si="35"/>
        <v>0</v>
      </c>
      <c r="AI62" s="26">
        <f t="shared" si="35"/>
        <v>0</v>
      </c>
      <c r="AJ62" s="26">
        <f t="shared" si="35"/>
        <v>0</v>
      </c>
      <c r="AK62" s="26">
        <f t="shared" si="35"/>
        <v>0</v>
      </c>
      <c r="AL62" s="26">
        <f t="shared" si="35"/>
        <v>0</v>
      </c>
    </row>
    <row r="63" spans="1:39" outlineLevel="1">
      <c r="C63" s="3" t="str">
        <f t="shared" si="24"/>
        <v>&lt;&lt; add project &gt;&gt;</v>
      </c>
      <c r="E63" s="3" t="s">
        <v>29</v>
      </c>
      <c r="F63" s="1551">
        <v>0</v>
      </c>
      <c r="R63" s="144"/>
      <c r="S63" s="26">
        <f t="shared" ref="S63:AL63" si="36">IF(S$4&lt;$K30,0,IF(S$4=$K30,(S30*$I30)-S46,MAX(0,R63-S46)))</f>
        <v>0</v>
      </c>
      <c r="T63" s="26">
        <f t="shared" si="36"/>
        <v>0</v>
      </c>
      <c r="U63" s="26">
        <f t="shared" si="36"/>
        <v>0</v>
      </c>
      <c r="V63" s="26">
        <f t="shared" si="36"/>
        <v>0</v>
      </c>
      <c r="W63" s="26">
        <f t="shared" si="36"/>
        <v>0</v>
      </c>
      <c r="X63" s="26">
        <f t="shared" si="36"/>
        <v>0</v>
      </c>
      <c r="Y63" s="26">
        <f t="shared" si="36"/>
        <v>0</v>
      </c>
      <c r="Z63" s="26">
        <f t="shared" si="36"/>
        <v>0</v>
      </c>
      <c r="AA63" s="26">
        <f t="shared" si="36"/>
        <v>0</v>
      </c>
      <c r="AB63" s="26">
        <f t="shared" si="36"/>
        <v>0</v>
      </c>
      <c r="AC63" s="26">
        <f t="shared" si="36"/>
        <v>0</v>
      </c>
      <c r="AD63" s="26">
        <f t="shared" si="36"/>
        <v>0</v>
      </c>
      <c r="AE63" s="26">
        <f t="shared" si="36"/>
        <v>0</v>
      </c>
      <c r="AF63" s="26">
        <f t="shared" si="36"/>
        <v>0</v>
      </c>
      <c r="AG63" s="26">
        <f t="shared" si="36"/>
        <v>0</v>
      </c>
      <c r="AH63" s="26">
        <f t="shared" si="36"/>
        <v>0</v>
      </c>
      <c r="AI63" s="26">
        <f t="shared" si="36"/>
        <v>0</v>
      </c>
      <c r="AJ63" s="26">
        <f t="shared" si="36"/>
        <v>0</v>
      </c>
      <c r="AK63" s="26">
        <f t="shared" si="36"/>
        <v>0</v>
      </c>
      <c r="AL63" s="26">
        <f t="shared" si="36"/>
        <v>0</v>
      </c>
    </row>
    <row r="64" spans="1:39" outlineLevel="1">
      <c r="C64" s="3" t="str">
        <f t="shared" si="24"/>
        <v>&lt;&lt; add project &gt;&gt;</v>
      </c>
      <c r="E64" s="3" t="s">
        <v>29</v>
      </c>
      <c r="F64" s="1551">
        <v>0</v>
      </c>
      <c r="R64" s="144"/>
      <c r="S64" s="26">
        <f t="shared" ref="S64:AL64" si="37">IF(S$4&lt;$K31,0,IF(S$4=$K31,(S31*$I31)-S47,MAX(0,R64-S47)))</f>
        <v>0</v>
      </c>
      <c r="T64" s="26">
        <f t="shared" si="37"/>
        <v>0</v>
      </c>
      <c r="U64" s="26">
        <f t="shared" si="37"/>
        <v>0</v>
      </c>
      <c r="V64" s="26">
        <f t="shared" si="37"/>
        <v>0</v>
      </c>
      <c r="W64" s="26">
        <f t="shared" si="37"/>
        <v>0</v>
      </c>
      <c r="X64" s="26">
        <f t="shared" si="37"/>
        <v>0</v>
      </c>
      <c r="Y64" s="26">
        <f t="shared" si="37"/>
        <v>0</v>
      </c>
      <c r="Z64" s="26">
        <f t="shared" si="37"/>
        <v>0</v>
      </c>
      <c r="AA64" s="26">
        <f t="shared" si="37"/>
        <v>0</v>
      </c>
      <c r="AB64" s="26">
        <f t="shared" si="37"/>
        <v>0</v>
      </c>
      <c r="AC64" s="26">
        <f t="shared" si="37"/>
        <v>0</v>
      </c>
      <c r="AD64" s="26">
        <f t="shared" si="37"/>
        <v>0</v>
      </c>
      <c r="AE64" s="26">
        <f t="shared" si="37"/>
        <v>0</v>
      </c>
      <c r="AF64" s="26">
        <f t="shared" si="37"/>
        <v>0</v>
      </c>
      <c r="AG64" s="26">
        <f t="shared" si="37"/>
        <v>0</v>
      </c>
      <c r="AH64" s="26">
        <f t="shared" si="37"/>
        <v>0</v>
      </c>
      <c r="AI64" s="26">
        <f t="shared" si="37"/>
        <v>0</v>
      </c>
      <c r="AJ64" s="26">
        <f t="shared" si="37"/>
        <v>0</v>
      </c>
      <c r="AK64" s="26">
        <f t="shared" si="37"/>
        <v>0</v>
      </c>
      <c r="AL64" s="26">
        <f t="shared" si="37"/>
        <v>0</v>
      </c>
    </row>
    <row r="65" spans="1:39" ht="8.5" customHeight="1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</row>
    <row r="66" spans="1:39">
      <c r="C66" s="17" t="s">
        <v>948</v>
      </c>
      <c r="D66" s="17"/>
      <c r="E66" s="17" t="s">
        <v>949</v>
      </c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27">
        <f t="shared" ref="S66:AL66" si="38">SUMPRODUCT($F$19:$F$31,S52:S64)</f>
        <v>0</v>
      </c>
      <c r="T66" s="27">
        <f t="shared" si="38"/>
        <v>0</v>
      </c>
      <c r="U66" s="27">
        <f t="shared" si="38"/>
        <v>0</v>
      </c>
      <c r="V66" s="27">
        <f t="shared" si="38"/>
        <v>0</v>
      </c>
      <c r="W66" s="27">
        <f t="shared" si="38"/>
        <v>0</v>
      </c>
      <c r="X66" s="27">
        <f t="shared" si="38"/>
        <v>0</v>
      </c>
      <c r="Y66" s="27">
        <f t="shared" si="38"/>
        <v>0</v>
      </c>
      <c r="Z66" s="27">
        <f t="shared" si="38"/>
        <v>1976.3840000000002</v>
      </c>
      <c r="AA66" s="27">
        <f t="shared" si="38"/>
        <v>3007.1940000000004</v>
      </c>
      <c r="AB66" s="27">
        <f t="shared" si="38"/>
        <v>2491.9840000000004</v>
      </c>
      <c r="AC66" s="27">
        <f t="shared" si="38"/>
        <v>2144.2740000000003</v>
      </c>
      <c r="AD66" s="27">
        <f t="shared" si="38"/>
        <v>1296.5640000000001</v>
      </c>
      <c r="AE66" s="27">
        <f t="shared" si="38"/>
        <v>845.80400000000009</v>
      </c>
      <c r="AF66" s="27">
        <f t="shared" si="38"/>
        <v>756.08800000000008</v>
      </c>
      <c r="AG66" s="27">
        <f t="shared" si="38"/>
        <v>666.37200000000007</v>
      </c>
      <c r="AH66" s="27">
        <f t="shared" si="38"/>
        <v>576.65600000000006</v>
      </c>
      <c r="AI66" s="27">
        <f t="shared" si="38"/>
        <v>486.94000000000005</v>
      </c>
      <c r="AJ66" s="27">
        <f t="shared" si="38"/>
        <v>397.22400000000005</v>
      </c>
      <c r="AK66" s="27">
        <f t="shared" si="38"/>
        <v>370.00800000000004</v>
      </c>
      <c r="AL66" s="27">
        <f t="shared" si="38"/>
        <v>342.79200000000003</v>
      </c>
    </row>
    <row r="67" spans="1:39" ht="8.5" customHeight="1"/>
    <row r="68" spans="1:39">
      <c r="B68" s="152" t="s">
        <v>150</v>
      </c>
      <c r="C68" s="152"/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  <c r="AA68" s="152"/>
      <c r="AB68" s="152"/>
      <c r="AC68" s="152"/>
      <c r="AD68" s="152"/>
      <c r="AE68" s="152"/>
      <c r="AF68" s="152"/>
      <c r="AG68" s="152"/>
      <c r="AH68" s="152"/>
      <c r="AI68" s="152"/>
      <c r="AJ68" s="152"/>
      <c r="AK68" s="152"/>
      <c r="AL68" s="152"/>
    </row>
    <row r="70" spans="1:39" s="7" customFormat="1" ht="13.5" thickBot="1">
      <c r="A70" s="3"/>
      <c r="B70" s="6" t="s">
        <v>31</v>
      </c>
      <c r="C70" s="6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3"/>
    </row>
    <row r="71" spans="1:39" outlineLevel="1">
      <c r="C71" s="3" t="str">
        <f t="shared" ref="C71:C83" si="39">C35</f>
        <v>AMAP</v>
      </c>
      <c r="E71" s="3" t="s">
        <v>29</v>
      </c>
      <c r="S71" s="26">
        <f t="shared" ref="S71:AL71" si="40">S35*$O19</f>
        <v>0</v>
      </c>
      <c r="T71" s="26">
        <f t="shared" si="40"/>
        <v>0</v>
      </c>
      <c r="U71" s="26">
        <f t="shared" si="40"/>
        <v>0</v>
      </c>
      <c r="V71" s="26">
        <f t="shared" si="40"/>
        <v>0</v>
      </c>
      <c r="W71" s="26">
        <f t="shared" si="40"/>
        <v>0</v>
      </c>
      <c r="X71" s="26">
        <f t="shared" si="40"/>
        <v>428.84387700000008</v>
      </c>
      <c r="Y71" s="26">
        <f t="shared" si="40"/>
        <v>428.84387700000008</v>
      </c>
      <c r="Z71" s="26">
        <f t="shared" si="40"/>
        <v>350.87226300000003</v>
      </c>
      <c r="AA71" s="26">
        <f t="shared" si="40"/>
        <v>350.87226300000003</v>
      </c>
      <c r="AB71" s="26">
        <f t="shared" si="40"/>
        <v>0</v>
      </c>
      <c r="AC71" s="26">
        <f t="shared" si="40"/>
        <v>0</v>
      </c>
      <c r="AD71" s="26">
        <f t="shared" si="40"/>
        <v>0</v>
      </c>
      <c r="AE71" s="26">
        <f t="shared" si="40"/>
        <v>0</v>
      </c>
      <c r="AF71" s="26">
        <f t="shared" si="40"/>
        <v>0</v>
      </c>
      <c r="AG71" s="26">
        <f t="shared" si="40"/>
        <v>0</v>
      </c>
      <c r="AH71" s="26">
        <f t="shared" si="40"/>
        <v>0</v>
      </c>
      <c r="AI71" s="26">
        <f t="shared" si="40"/>
        <v>0</v>
      </c>
      <c r="AJ71" s="26">
        <f t="shared" si="40"/>
        <v>0</v>
      </c>
      <c r="AK71" s="26">
        <f t="shared" si="40"/>
        <v>0</v>
      </c>
      <c r="AL71" s="26">
        <f t="shared" si="40"/>
        <v>0</v>
      </c>
    </row>
    <row r="72" spans="1:39" outlineLevel="1">
      <c r="C72" s="3" t="str">
        <f t="shared" si="39"/>
        <v>RADAR Upgrade (2022)</v>
      </c>
      <c r="E72" s="3" t="s">
        <v>29</v>
      </c>
      <c r="S72" s="26">
        <f t="shared" ref="S72:AL72" si="41">S36*$O20</f>
        <v>0</v>
      </c>
      <c r="T72" s="26">
        <f t="shared" si="41"/>
        <v>0</v>
      </c>
      <c r="U72" s="26">
        <f t="shared" si="41"/>
        <v>0</v>
      </c>
      <c r="V72" s="26">
        <f t="shared" si="41"/>
        <v>0</v>
      </c>
      <c r="W72" s="26">
        <f t="shared" si="41"/>
        <v>0</v>
      </c>
      <c r="X72" s="26">
        <f t="shared" si="41"/>
        <v>0</v>
      </c>
      <c r="Y72" s="26">
        <f t="shared" si="41"/>
        <v>0</v>
      </c>
      <c r="Z72" s="26">
        <f t="shared" si="41"/>
        <v>13.132800000000001</v>
      </c>
      <c r="AA72" s="26">
        <f t="shared" si="41"/>
        <v>13.132800000000001</v>
      </c>
      <c r="AB72" s="26">
        <f t="shared" si="41"/>
        <v>13.132800000000001</v>
      </c>
      <c r="AC72" s="26">
        <f t="shared" si="41"/>
        <v>13.132800000000001</v>
      </c>
      <c r="AD72" s="26">
        <f t="shared" si="41"/>
        <v>13.132800000000001</v>
      </c>
      <c r="AE72" s="26">
        <f t="shared" si="41"/>
        <v>13.132800000000001</v>
      </c>
      <c r="AF72" s="26">
        <f t="shared" si="41"/>
        <v>13.132800000000001</v>
      </c>
      <c r="AG72" s="26">
        <f t="shared" si="41"/>
        <v>13.132800000000001</v>
      </c>
      <c r="AH72" s="26">
        <f t="shared" si="41"/>
        <v>13.132800000000001</v>
      </c>
      <c r="AI72" s="26">
        <f t="shared" si="41"/>
        <v>13.132800000000001</v>
      </c>
      <c r="AJ72" s="26">
        <f t="shared" si="41"/>
        <v>13.132800000000001</v>
      </c>
      <c r="AK72" s="26">
        <f t="shared" si="41"/>
        <v>13.132800000000001</v>
      </c>
      <c r="AL72" s="26">
        <f t="shared" si="41"/>
        <v>13.132800000000001</v>
      </c>
    </row>
    <row r="73" spans="1:39" outlineLevel="1">
      <c r="C73" s="3" t="str">
        <f t="shared" si="39"/>
        <v>RADAR Upgrade (2024)</v>
      </c>
      <c r="E73" s="3" t="s">
        <v>29</v>
      </c>
      <c r="S73" s="26">
        <f t="shared" ref="S73:AL73" si="42">S37*$O21</f>
        <v>0</v>
      </c>
      <c r="T73" s="26">
        <f t="shared" si="42"/>
        <v>0</v>
      </c>
      <c r="U73" s="26">
        <f t="shared" si="42"/>
        <v>0</v>
      </c>
      <c r="V73" s="26">
        <f t="shared" si="42"/>
        <v>0</v>
      </c>
      <c r="W73" s="26">
        <f t="shared" si="42"/>
        <v>0</v>
      </c>
      <c r="X73" s="26">
        <f t="shared" si="42"/>
        <v>0</v>
      </c>
      <c r="Y73" s="26">
        <f t="shared" si="42"/>
        <v>0</v>
      </c>
      <c r="Z73" s="26">
        <f t="shared" si="42"/>
        <v>0</v>
      </c>
      <c r="AA73" s="26">
        <f t="shared" si="42"/>
        <v>0</v>
      </c>
      <c r="AB73" s="26">
        <f t="shared" si="42"/>
        <v>8.64</v>
      </c>
      <c r="AC73" s="26">
        <f t="shared" si="42"/>
        <v>8.64</v>
      </c>
      <c r="AD73" s="26">
        <f t="shared" si="42"/>
        <v>8.64</v>
      </c>
      <c r="AE73" s="26">
        <f t="shared" si="42"/>
        <v>8.64</v>
      </c>
      <c r="AF73" s="26">
        <f t="shared" si="42"/>
        <v>8.64</v>
      </c>
      <c r="AG73" s="26">
        <f t="shared" si="42"/>
        <v>8.64</v>
      </c>
      <c r="AH73" s="26">
        <f t="shared" si="42"/>
        <v>8.64</v>
      </c>
      <c r="AI73" s="26">
        <f t="shared" si="42"/>
        <v>8.64</v>
      </c>
      <c r="AJ73" s="26">
        <f t="shared" si="42"/>
        <v>8.64</v>
      </c>
      <c r="AK73" s="26">
        <f t="shared" si="42"/>
        <v>8.64</v>
      </c>
      <c r="AL73" s="26">
        <f t="shared" si="42"/>
        <v>8.64</v>
      </c>
    </row>
    <row r="74" spans="1:39" outlineLevel="1">
      <c r="C74" s="3" t="str">
        <f t="shared" si="39"/>
        <v>AUTO Climate Network</v>
      </c>
      <c r="E74" s="3" t="s">
        <v>29</v>
      </c>
      <c r="S74" s="26">
        <f t="shared" ref="S74:AL74" si="43">S38*$O22</f>
        <v>0</v>
      </c>
      <c r="T74" s="26">
        <f t="shared" si="43"/>
        <v>0</v>
      </c>
      <c r="U74" s="26">
        <f t="shared" si="43"/>
        <v>0</v>
      </c>
      <c r="V74" s="26">
        <f t="shared" si="43"/>
        <v>0</v>
      </c>
      <c r="W74" s="26">
        <f t="shared" si="43"/>
        <v>0</v>
      </c>
      <c r="X74" s="26">
        <f t="shared" si="43"/>
        <v>0</v>
      </c>
      <c r="Y74" s="26">
        <f t="shared" si="43"/>
        <v>0</v>
      </c>
      <c r="Z74" s="26">
        <f t="shared" si="43"/>
        <v>0</v>
      </c>
      <c r="AA74" s="26">
        <f t="shared" si="43"/>
        <v>0</v>
      </c>
      <c r="AB74" s="26">
        <f t="shared" si="43"/>
        <v>0</v>
      </c>
      <c r="AC74" s="26">
        <f t="shared" si="43"/>
        <v>0</v>
      </c>
      <c r="AD74" s="26">
        <f t="shared" si="43"/>
        <v>0</v>
      </c>
      <c r="AE74" s="26">
        <f t="shared" si="43"/>
        <v>0</v>
      </c>
      <c r="AF74" s="26">
        <f t="shared" si="43"/>
        <v>0</v>
      </c>
      <c r="AG74" s="26">
        <f t="shared" si="43"/>
        <v>0</v>
      </c>
      <c r="AH74" s="26">
        <f t="shared" si="43"/>
        <v>0</v>
      </c>
      <c r="AI74" s="26">
        <f t="shared" si="43"/>
        <v>0</v>
      </c>
      <c r="AJ74" s="26">
        <f t="shared" si="43"/>
        <v>0</v>
      </c>
      <c r="AK74" s="26">
        <f t="shared" si="43"/>
        <v>0</v>
      </c>
      <c r="AL74" s="26">
        <f t="shared" si="43"/>
        <v>0</v>
      </c>
    </row>
    <row r="75" spans="1:39" outlineLevel="1">
      <c r="C75" s="3" t="str">
        <f t="shared" si="39"/>
        <v>METCOM</v>
      </c>
      <c r="E75" s="3" t="s">
        <v>29</v>
      </c>
      <c r="S75" s="26">
        <f t="shared" ref="S75:AL75" si="44">S39*$O23</f>
        <v>0</v>
      </c>
      <c r="T75" s="26">
        <f t="shared" si="44"/>
        <v>0</v>
      </c>
      <c r="U75" s="26">
        <f t="shared" si="44"/>
        <v>0</v>
      </c>
      <c r="V75" s="26">
        <f t="shared" si="44"/>
        <v>0</v>
      </c>
      <c r="W75" s="26">
        <f t="shared" si="44"/>
        <v>0</v>
      </c>
      <c r="X75" s="26">
        <f t="shared" si="44"/>
        <v>0</v>
      </c>
      <c r="Y75" s="26">
        <f t="shared" si="44"/>
        <v>0</v>
      </c>
      <c r="Z75" s="26">
        <f t="shared" si="44"/>
        <v>82.465600000000023</v>
      </c>
      <c r="AA75" s="26">
        <f t="shared" si="44"/>
        <v>82.465600000000023</v>
      </c>
      <c r="AB75" s="26">
        <f t="shared" si="44"/>
        <v>82.465600000000023</v>
      </c>
      <c r="AC75" s="26">
        <f t="shared" si="44"/>
        <v>82.465600000000023</v>
      </c>
      <c r="AD75" s="26">
        <f t="shared" si="44"/>
        <v>82.465600000000023</v>
      </c>
      <c r="AE75" s="26">
        <f t="shared" si="44"/>
        <v>0</v>
      </c>
      <c r="AF75" s="26">
        <f t="shared" si="44"/>
        <v>0</v>
      </c>
      <c r="AG75" s="26">
        <f t="shared" si="44"/>
        <v>0</v>
      </c>
      <c r="AH75" s="26">
        <f t="shared" si="44"/>
        <v>0</v>
      </c>
      <c r="AI75" s="26">
        <f t="shared" si="44"/>
        <v>0</v>
      </c>
      <c r="AJ75" s="26">
        <f t="shared" si="44"/>
        <v>0</v>
      </c>
      <c r="AK75" s="26">
        <f t="shared" si="44"/>
        <v>0</v>
      </c>
      <c r="AL75" s="26">
        <f t="shared" si="44"/>
        <v>0</v>
      </c>
    </row>
    <row r="76" spans="1:39" outlineLevel="1">
      <c r="C76" s="3" t="str">
        <f t="shared" si="39"/>
        <v>AUTOMETAR</v>
      </c>
      <c r="E76" s="3" t="s">
        <v>29</v>
      </c>
      <c r="S76" s="26">
        <f t="shared" ref="S76:AL76" si="45">S40*$O24</f>
        <v>0</v>
      </c>
      <c r="T76" s="26">
        <f t="shared" si="45"/>
        <v>0</v>
      </c>
      <c r="U76" s="26">
        <f t="shared" si="45"/>
        <v>0</v>
      </c>
      <c r="V76" s="26">
        <f t="shared" si="45"/>
        <v>0</v>
      </c>
      <c r="W76" s="26">
        <f t="shared" si="45"/>
        <v>0</v>
      </c>
      <c r="X76" s="26">
        <f t="shared" si="45"/>
        <v>0</v>
      </c>
      <c r="Y76" s="26">
        <f t="shared" si="45"/>
        <v>0</v>
      </c>
      <c r="Z76" s="26">
        <f t="shared" si="45"/>
        <v>0</v>
      </c>
      <c r="AA76" s="26">
        <f t="shared" si="45"/>
        <v>0</v>
      </c>
      <c r="AB76" s="26">
        <f t="shared" si="45"/>
        <v>0</v>
      </c>
      <c r="AC76" s="26">
        <f t="shared" si="45"/>
        <v>50</v>
      </c>
      <c r="AD76" s="26">
        <f t="shared" si="45"/>
        <v>50</v>
      </c>
      <c r="AE76" s="26">
        <f t="shared" si="45"/>
        <v>50</v>
      </c>
      <c r="AF76" s="26">
        <f t="shared" si="45"/>
        <v>50</v>
      </c>
      <c r="AG76" s="26">
        <f t="shared" si="45"/>
        <v>50</v>
      </c>
      <c r="AH76" s="26">
        <f t="shared" si="45"/>
        <v>50</v>
      </c>
      <c r="AI76" s="26">
        <f t="shared" si="45"/>
        <v>50</v>
      </c>
      <c r="AJ76" s="26">
        <f t="shared" si="45"/>
        <v>50</v>
      </c>
      <c r="AK76" s="26">
        <f t="shared" si="45"/>
        <v>0</v>
      </c>
      <c r="AL76" s="26">
        <f t="shared" si="45"/>
        <v>0</v>
      </c>
    </row>
    <row r="77" spans="1:39" outlineLevel="1">
      <c r="C77" s="3" t="str">
        <f t="shared" si="39"/>
        <v>IMaMS</v>
      </c>
      <c r="E77" s="3" t="s">
        <v>29</v>
      </c>
      <c r="S77" s="26">
        <f t="shared" ref="S77:AL77" si="46">S41*$O25</f>
        <v>0</v>
      </c>
      <c r="T77" s="26">
        <f t="shared" si="46"/>
        <v>0</v>
      </c>
      <c r="U77" s="26">
        <f t="shared" si="46"/>
        <v>0</v>
      </c>
      <c r="V77" s="26">
        <f t="shared" si="46"/>
        <v>0</v>
      </c>
      <c r="W77" s="26">
        <f t="shared" si="46"/>
        <v>0</v>
      </c>
      <c r="X77" s="26">
        <f t="shared" si="46"/>
        <v>0</v>
      </c>
      <c r="Y77" s="26">
        <f t="shared" si="46"/>
        <v>0</v>
      </c>
      <c r="Z77" s="26">
        <f t="shared" si="46"/>
        <v>235.09440000000006</v>
      </c>
      <c r="AA77" s="26">
        <f t="shared" si="46"/>
        <v>235.09440000000006</v>
      </c>
      <c r="AB77" s="26">
        <f t="shared" si="46"/>
        <v>235.09440000000006</v>
      </c>
      <c r="AC77" s="26">
        <f t="shared" si="46"/>
        <v>235.09440000000006</v>
      </c>
      <c r="AD77" s="26">
        <f t="shared" si="46"/>
        <v>235.09440000000006</v>
      </c>
      <c r="AE77" s="26">
        <f t="shared" si="46"/>
        <v>0</v>
      </c>
      <c r="AF77" s="26">
        <f t="shared" si="46"/>
        <v>0</v>
      </c>
      <c r="AG77" s="26">
        <f t="shared" si="46"/>
        <v>0</v>
      </c>
      <c r="AH77" s="26">
        <f t="shared" si="46"/>
        <v>0</v>
      </c>
      <c r="AI77" s="26">
        <f t="shared" si="46"/>
        <v>0</v>
      </c>
      <c r="AJ77" s="26">
        <f t="shared" si="46"/>
        <v>0</v>
      </c>
      <c r="AK77" s="26">
        <f t="shared" si="46"/>
        <v>0</v>
      </c>
      <c r="AL77" s="26">
        <f t="shared" si="46"/>
        <v>0</v>
      </c>
    </row>
    <row r="78" spans="1:39" outlineLevel="1">
      <c r="C78" s="3" t="str">
        <f t="shared" si="39"/>
        <v>HPC</v>
      </c>
      <c r="E78" s="3" t="s">
        <v>29</v>
      </c>
      <c r="S78" s="26">
        <f t="shared" ref="S78:AL78" si="47">S42*$O26</f>
        <v>0</v>
      </c>
      <c r="T78" s="26">
        <f t="shared" si="47"/>
        <v>0</v>
      </c>
      <c r="U78" s="26">
        <f t="shared" si="47"/>
        <v>0</v>
      </c>
      <c r="V78" s="26">
        <f t="shared" si="47"/>
        <v>0</v>
      </c>
      <c r="W78" s="26">
        <f t="shared" si="47"/>
        <v>0</v>
      </c>
      <c r="X78" s="26">
        <f t="shared" si="47"/>
        <v>0</v>
      </c>
      <c r="Y78" s="26">
        <f t="shared" si="47"/>
        <v>0</v>
      </c>
      <c r="Z78" s="26">
        <f t="shared" si="47"/>
        <v>0</v>
      </c>
      <c r="AA78" s="26">
        <f t="shared" si="47"/>
        <v>288.83519999999999</v>
      </c>
      <c r="AB78" s="26">
        <f t="shared" si="47"/>
        <v>288.83519999999999</v>
      </c>
      <c r="AC78" s="26">
        <f t="shared" si="47"/>
        <v>288.83519999999999</v>
      </c>
      <c r="AD78" s="26">
        <f t="shared" si="47"/>
        <v>288.83519999999999</v>
      </c>
      <c r="AE78" s="26">
        <f t="shared" si="47"/>
        <v>288.83519999999999</v>
      </c>
      <c r="AF78" s="26">
        <f t="shared" si="47"/>
        <v>0</v>
      </c>
      <c r="AG78" s="26">
        <f t="shared" si="47"/>
        <v>0</v>
      </c>
      <c r="AH78" s="26">
        <f t="shared" si="47"/>
        <v>0</v>
      </c>
      <c r="AI78" s="26">
        <f t="shared" si="47"/>
        <v>0</v>
      </c>
      <c r="AJ78" s="26">
        <f t="shared" si="47"/>
        <v>0</v>
      </c>
      <c r="AK78" s="26">
        <f t="shared" si="47"/>
        <v>0</v>
      </c>
      <c r="AL78" s="26">
        <f t="shared" si="47"/>
        <v>0</v>
      </c>
    </row>
    <row r="79" spans="1:39" outlineLevel="1">
      <c r="C79" s="3" t="str">
        <f t="shared" si="39"/>
        <v>&lt;&lt; add project &gt;&gt;</v>
      </c>
      <c r="E79" s="3" t="s">
        <v>29</v>
      </c>
      <c r="S79" s="26">
        <f t="shared" ref="S79:AL79" si="48">S43*$O27</f>
        <v>0</v>
      </c>
      <c r="T79" s="26">
        <f t="shared" si="48"/>
        <v>0</v>
      </c>
      <c r="U79" s="26">
        <f t="shared" si="48"/>
        <v>0</v>
      </c>
      <c r="V79" s="26">
        <f t="shared" si="48"/>
        <v>0</v>
      </c>
      <c r="W79" s="26">
        <f t="shared" si="48"/>
        <v>0</v>
      </c>
      <c r="X79" s="26">
        <f t="shared" si="48"/>
        <v>0</v>
      </c>
      <c r="Y79" s="26">
        <f t="shared" si="48"/>
        <v>0</v>
      </c>
      <c r="Z79" s="26">
        <f t="shared" si="48"/>
        <v>0</v>
      </c>
      <c r="AA79" s="26">
        <f t="shared" si="48"/>
        <v>0</v>
      </c>
      <c r="AB79" s="26">
        <f t="shared" si="48"/>
        <v>0</v>
      </c>
      <c r="AC79" s="26">
        <f t="shared" si="48"/>
        <v>0</v>
      </c>
      <c r="AD79" s="26">
        <f t="shared" si="48"/>
        <v>0</v>
      </c>
      <c r="AE79" s="26">
        <f t="shared" si="48"/>
        <v>0</v>
      </c>
      <c r="AF79" s="26">
        <f t="shared" si="48"/>
        <v>0</v>
      </c>
      <c r="AG79" s="26">
        <f t="shared" si="48"/>
        <v>0</v>
      </c>
      <c r="AH79" s="26">
        <f t="shared" si="48"/>
        <v>0</v>
      </c>
      <c r="AI79" s="26">
        <f t="shared" si="48"/>
        <v>0</v>
      </c>
      <c r="AJ79" s="26">
        <f t="shared" si="48"/>
        <v>0</v>
      </c>
      <c r="AK79" s="26">
        <f t="shared" si="48"/>
        <v>0</v>
      </c>
      <c r="AL79" s="26">
        <f t="shared" si="48"/>
        <v>0</v>
      </c>
    </row>
    <row r="80" spans="1:39" outlineLevel="1">
      <c r="C80" s="3" t="str">
        <f t="shared" si="39"/>
        <v>&lt;&lt; add project &gt;&gt;</v>
      </c>
      <c r="E80" s="3" t="s">
        <v>29</v>
      </c>
      <c r="S80" s="26">
        <f t="shared" ref="S80:AL80" si="49">S44*$O28</f>
        <v>0</v>
      </c>
      <c r="T80" s="26">
        <f t="shared" si="49"/>
        <v>0</v>
      </c>
      <c r="U80" s="26">
        <f t="shared" si="49"/>
        <v>0</v>
      </c>
      <c r="V80" s="26">
        <f t="shared" si="49"/>
        <v>0</v>
      </c>
      <c r="W80" s="26">
        <f t="shared" si="49"/>
        <v>0</v>
      </c>
      <c r="X80" s="26">
        <f t="shared" si="49"/>
        <v>0</v>
      </c>
      <c r="Y80" s="26">
        <f t="shared" si="49"/>
        <v>0</v>
      </c>
      <c r="Z80" s="26">
        <f t="shared" si="49"/>
        <v>0</v>
      </c>
      <c r="AA80" s="26">
        <f t="shared" si="49"/>
        <v>0</v>
      </c>
      <c r="AB80" s="26">
        <f t="shared" si="49"/>
        <v>0</v>
      </c>
      <c r="AC80" s="26">
        <f t="shared" si="49"/>
        <v>0</v>
      </c>
      <c r="AD80" s="26">
        <f t="shared" si="49"/>
        <v>0</v>
      </c>
      <c r="AE80" s="26">
        <f t="shared" si="49"/>
        <v>0</v>
      </c>
      <c r="AF80" s="26">
        <f t="shared" si="49"/>
        <v>0</v>
      </c>
      <c r="AG80" s="26">
        <f t="shared" si="49"/>
        <v>0</v>
      </c>
      <c r="AH80" s="26">
        <f t="shared" si="49"/>
        <v>0</v>
      </c>
      <c r="AI80" s="26">
        <f t="shared" si="49"/>
        <v>0</v>
      </c>
      <c r="AJ80" s="26">
        <f t="shared" si="49"/>
        <v>0</v>
      </c>
      <c r="AK80" s="26">
        <f t="shared" si="49"/>
        <v>0</v>
      </c>
      <c r="AL80" s="26">
        <f t="shared" si="49"/>
        <v>0</v>
      </c>
    </row>
    <row r="81" spans="2:38" outlineLevel="1">
      <c r="C81" s="3" t="str">
        <f t="shared" si="39"/>
        <v>&lt;&lt; add project &gt;&gt;</v>
      </c>
      <c r="E81" s="3" t="s">
        <v>29</v>
      </c>
      <c r="S81" s="26">
        <f t="shared" ref="S81:AL81" si="50">S45*$O29</f>
        <v>0</v>
      </c>
      <c r="T81" s="26">
        <f t="shared" si="50"/>
        <v>0</v>
      </c>
      <c r="U81" s="26">
        <f t="shared" si="50"/>
        <v>0</v>
      </c>
      <c r="V81" s="26">
        <f t="shared" si="50"/>
        <v>0</v>
      </c>
      <c r="W81" s="26">
        <f t="shared" si="50"/>
        <v>0</v>
      </c>
      <c r="X81" s="26">
        <f t="shared" si="50"/>
        <v>0</v>
      </c>
      <c r="Y81" s="26">
        <f t="shared" si="50"/>
        <v>0</v>
      </c>
      <c r="Z81" s="26">
        <f t="shared" si="50"/>
        <v>0</v>
      </c>
      <c r="AA81" s="26">
        <f t="shared" si="50"/>
        <v>0</v>
      </c>
      <c r="AB81" s="26">
        <f t="shared" si="50"/>
        <v>0</v>
      </c>
      <c r="AC81" s="26">
        <f t="shared" si="50"/>
        <v>0</v>
      </c>
      <c r="AD81" s="26">
        <f t="shared" si="50"/>
        <v>0</v>
      </c>
      <c r="AE81" s="26">
        <f t="shared" si="50"/>
        <v>0</v>
      </c>
      <c r="AF81" s="26">
        <f t="shared" si="50"/>
        <v>0</v>
      </c>
      <c r="AG81" s="26">
        <f t="shared" si="50"/>
        <v>0</v>
      </c>
      <c r="AH81" s="26">
        <f t="shared" si="50"/>
        <v>0</v>
      </c>
      <c r="AI81" s="26">
        <f t="shared" si="50"/>
        <v>0</v>
      </c>
      <c r="AJ81" s="26">
        <f t="shared" si="50"/>
        <v>0</v>
      </c>
      <c r="AK81" s="26">
        <f t="shared" si="50"/>
        <v>0</v>
      </c>
      <c r="AL81" s="26">
        <f t="shared" si="50"/>
        <v>0</v>
      </c>
    </row>
    <row r="82" spans="2:38" outlineLevel="1">
      <c r="C82" s="3" t="str">
        <f t="shared" si="39"/>
        <v>&lt;&lt; add project &gt;&gt;</v>
      </c>
      <c r="E82" s="3" t="s">
        <v>29</v>
      </c>
      <c r="S82" s="26">
        <f t="shared" ref="S82:AL82" si="51">S46*$O30</f>
        <v>0</v>
      </c>
      <c r="T82" s="26">
        <f t="shared" si="51"/>
        <v>0</v>
      </c>
      <c r="U82" s="26">
        <f t="shared" si="51"/>
        <v>0</v>
      </c>
      <c r="V82" s="26">
        <f t="shared" si="51"/>
        <v>0</v>
      </c>
      <c r="W82" s="26">
        <f t="shared" si="51"/>
        <v>0</v>
      </c>
      <c r="X82" s="26">
        <f t="shared" si="51"/>
        <v>0</v>
      </c>
      <c r="Y82" s="26">
        <f t="shared" si="51"/>
        <v>0</v>
      </c>
      <c r="Z82" s="26">
        <f t="shared" si="51"/>
        <v>0</v>
      </c>
      <c r="AA82" s="26">
        <f t="shared" si="51"/>
        <v>0</v>
      </c>
      <c r="AB82" s="26">
        <f t="shared" si="51"/>
        <v>0</v>
      </c>
      <c r="AC82" s="26">
        <f t="shared" si="51"/>
        <v>0</v>
      </c>
      <c r="AD82" s="26">
        <f t="shared" si="51"/>
        <v>0</v>
      </c>
      <c r="AE82" s="26">
        <f t="shared" si="51"/>
        <v>0</v>
      </c>
      <c r="AF82" s="26">
        <f t="shared" si="51"/>
        <v>0</v>
      </c>
      <c r="AG82" s="26">
        <f t="shared" si="51"/>
        <v>0</v>
      </c>
      <c r="AH82" s="26">
        <f t="shared" si="51"/>
        <v>0</v>
      </c>
      <c r="AI82" s="26">
        <f t="shared" si="51"/>
        <v>0</v>
      </c>
      <c r="AJ82" s="26">
        <f t="shared" si="51"/>
        <v>0</v>
      </c>
      <c r="AK82" s="26">
        <f t="shared" si="51"/>
        <v>0</v>
      </c>
      <c r="AL82" s="26">
        <f t="shared" si="51"/>
        <v>0</v>
      </c>
    </row>
    <row r="83" spans="2:38" outlineLevel="1">
      <c r="C83" s="3" t="str">
        <f t="shared" si="39"/>
        <v>&lt;&lt; add project &gt;&gt;</v>
      </c>
      <c r="E83" s="3" t="s">
        <v>29</v>
      </c>
      <c r="S83" s="26">
        <f t="shared" ref="S83:AL83" si="52">S47*$O31</f>
        <v>0</v>
      </c>
      <c r="T83" s="26">
        <f t="shared" si="52"/>
        <v>0</v>
      </c>
      <c r="U83" s="26">
        <f t="shared" si="52"/>
        <v>0</v>
      </c>
      <c r="V83" s="26">
        <f t="shared" si="52"/>
        <v>0</v>
      </c>
      <c r="W83" s="26">
        <f t="shared" si="52"/>
        <v>0</v>
      </c>
      <c r="X83" s="26">
        <f t="shared" si="52"/>
        <v>0</v>
      </c>
      <c r="Y83" s="26">
        <f t="shared" si="52"/>
        <v>0</v>
      </c>
      <c r="Z83" s="26">
        <f t="shared" si="52"/>
        <v>0</v>
      </c>
      <c r="AA83" s="26">
        <f t="shared" si="52"/>
        <v>0</v>
      </c>
      <c r="AB83" s="26">
        <f t="shared" si="52"/>
        <v>0</v>
      </c>
      <c r="AC83" s="26">
        <f t="shared" si="52"/>
        <v>0</v>
      </c>
      <c r="AD83" s="26">
        <f t="shared" si="52"/>
        <v>0</v>
      </c>
      <c r="AE83" s="26">
        <f t="shared" si="52"/>
        <v>0</v>
      </c>
      <c r="AF83" s="26">
        <f t="shared" si="52"/>
        <v>0</v>
      </c>
      <c r="AG83" s="26">
        <f t="shared" si="52"/>
        <v>0</v>
      </c>
      <c r="AH83" s="26">
        <f t="shared" si="52"/>
        <v>0</v>
      </c>
      <c r="AI83" s="26">
        <f t="shared" si="52"/>
        <v>0</v>
      </c>
      <c r="AJ83" s="26">
        <f t="shared" si="52"/>
        <v>0</v>
      </c>
      <c r="AK83" s="26">
        <f t="shared" si="52"/>
        <v>0</v>
      </c>
      <c r="AL83" s="26">
        <f t="shared" si="52"/>
        <v>0</v>
      </c>
    </row>
    <row r="84" spans="2:38" ht="9" customHeight="1"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</row>
    <row r="85" spans="2:38">
      <c r="C85" s="17" t="s">
        <v>950</v>
      </c>
      <c r="E85" s="17" t="s">
        <v>29</v>
      </c>
      <c r="S85" s="27">
        <f t="shared" ref="S85:AL85" si="53">SUMPRODUCT($F$52:$F$64,S71:S83)</f>
        <v>0</v>
      </c>
      <c r="T85" s="27">
        <f t="shared" si="53"/>
        <v>0</v>
      </c>
      <c r="U85" s="27">
        <f t="shared" si="53"/>
        <v>0</v>
      </c>
      <c r="V85" s="27">
        <f t="shared" si="53"/>
        <v>0</v>
      </c>
      <c r="W85" s="27">
        <f t="shared" si="53"/>
        <v>0</v>
      </c>
      <c r="X85" s="27">
        <f t="shared" si="53"/>
        <v>428.84387700000008</v>
      </c>
      <c r="Y85" s="27">
        <f t="shared" si="53"/>
        <v>428.84387700000008</v>
      </c>
      <c r="Z85" s="27">
        <f t="shared" si="53"/>
        <v>681.56506300000012</v>
      </c>
      <c r="AA85" s="27">
        <f t="shared" si="53"/>
        <v>970.40026300000011</v>
      </c>
      <c r="AB85" s="27">
        <f t="shared" si="53"/>
        <v>628.16800000000012</v>
      </c>
      <c r="AC85" s="27">
        <f t="shared" si="53"/>
        <v>678.16800000000012</v>
      </c>
      <c r="AD85" s="27">
        <f t="shared" si="53"/>
        <v>678.16800000000012</v>
      </c>
      <c r="AE85" s="27">
        <f t="shared" si="53"/>
        <v>360.608</v>
      </c>
      <c r="AF85" s="27">
        <f t="shared" si="53"/>
        <v>71.772800000000004</v>
      </c>
      <c r="AG85" s="27">
        <f t="shared" si="53"/>
        <v>71.772800000000004</v>
      </c>
      <c r="AH85" s="27">
        <f t="shared" si="53"/>
        <v>71.772800000000004</v>
      </c>
      <c r="AI85" s="27">
        <f t="shared" si="53"/>
        <v>71.772800000000004</v>
      </c>
      <c r="AJ85" s="27">
        <f t="shared" si="53"/>
        <v>71.772800000000004</v>
      </c>
      <c r="AK85" s="27">
        <f t="shared" si="53"/>
        <v>21.772800000000004</v>
      </c>
      <c r="AL85" s="27">
        <f t="shared" si="53"/>
        <v>21.772800000000004</v>
      </c>
    </row>
    <row r="86" spans="2:38" ht="11.5" customHeight="1">
      <c r="C86" s="17" t="s">
        <v>951</v>
      </c>
      <c r="E86" s="17" t="s">
        <v>29</v>
      </c>
      <c r="S86" s="27">
        <f>S$12*$O$11</f>
        <v>0</v>
      </c>
      <c r="T86" s="27">
        <f t="shared" ref="T86:AL86" si="54">T$12*$O$11</f>
        <v>0</v>
      </c>
      <c r="U86" s="27">
        <f t="shared" si="54"/>
        <v>0</v>
      </c>
      <c r="V86" s="27">
        <f t="shared" si="54"/>
        <v>0</v>
      </c>
      <c r="W86" s="27">
        <f t="shared" si="54"/>
        <v>0</v>
      </c>
      <c r="X86" s="27">
        <f t="shared" si="54"/>
        <v>0</v>
      </c>
      <c r="Y86" s="27">
        <f t="shared" si="54"/>
        <v>0</v>
      </c>
      <c r="Z86" s="27">
        <f t="shared" si="54"/>
        <v>0</v>
      </c>
      <c r="AA86" s="27">
        <f t="shared" si="54"/>
        <v>0</v>
      </c>
      <c r="AB86" s="27">
        <f t="shared" si="54"/>
        <v>0</v>
      </c>
      <c r="AC86" s="27">
        <f t="shared" si="54"/>
        <v>0</v>
      </c>
      <c r="AD86" s="27">
        <f t="shared" si="54"/>
        <v>0</v>
      </c>
      <c r="AE86" s="27">
        <f t="shared" si="54"/>
        <v>0</v>
      </c>
      <c r="AF86" s="27">
        <f t="shared" si="54"/>
        <v>0</v>
      </c>
      <c r="AG86" s="27">
        <f t="shared" si="54"/>
        <v>0</v>
      </c>
      <c r="AH86" s="27">
        <f t="shared" si="54"/>
        <v>0</v>
      </c>
      <c r="AI86" s="27">
        <f t="shared" si="54"/>
        <v>0</v>
      </c>
      <c r="AJ86" s="27">
        <f t="shared" si="54"/>
        <v>0</v>
      </c>
      <c r="AK86" s="27">
        <f t="shared" si="54"/>
        <v>0</v>
      </c>
      <c r="AL86" s="27">
        <f t="shared" si="54"/>
        <v>0</v>
      </c>
    </row>
    <row r="87" spans="2:38" ht="11.5" customHeight="1">
      <c r="C87" s="17" t="s">
        <v>12</v>
      </c>
      <c r="E87" s="17" t="s">
        <v>29</v>
      </c>
      <c r="S87" s="27">
        <f>SUM(S85:S86)</f>
        <v>0</v>
      </c>
      <c r="T87" s="27">
        <f t="shared" ref="T87:AL87" si="55">SUM(T85:T86)</f>
        <v>0</v>
      </c>
      <c r="U87" s="27">
        <f t="shared" si="55"/>
        <v>0</v>
      </c>
      <c r="V87" s="27">
        <f t="shared" si="55"/>
        <v>0</v>
      </c>
      <c r="W87" s="27">
        <f t="shared" si="55"/>
        <v>0</v>
      </c>
      <c r="X87" s="27">
        <f t="shared" si="55"/>
        <v>428.84387700000008</v>
      </c>
      <c r="Y87" s="27">
        <f t="shared" si="55"/>
        <v>428.84387700000008</v>
      </c>
      <c r="Z87" s="27">
        <f t="shared" si="55"/>
        <v>681.56506300000012</v>
      </c>
      <c r="AA87" s="27">
        <f t="shared" si="55"/>
        <v>970.40026300000011</v>
      </c>
      <c r="AB87" s="27">
        <f t="shared" si="55"/>
        <v>628.16800000000012</v>
      </c>
      <c r="AC87" s="27">
        <f t="shared" si="55"/>
        <v>678.16800000000012</v>
      </c>
      <c r="AD87" s="27">
        <f t="shared" si="55"/>
        <v>678.16800000000012</v>
      </c>
      <c r="AE87" s="27">
        <f t="shared" si="55"/>
        <v>360.608</v>
      </c>
      <c r="AF87" s="27">
        <f t="shared" si="55"/>
        <v>71.772800000000004</v>
      </c>
      <c r="AG87" s="27">
        <f t="shared" si="55"/>
        <v>71.772800000000004</v>
      </c>
      <c r="AH87" s="27">
        <f t="shared" si="55"/>
        <v>71.772800000000004</v>
      </c>
      <c r="AI87" s="27">
        <f t="shared" si="55"/>
        <v>71.772800000000004</v>
      </c>
      <c r="AJ87" s="27">
        <f t="shared" si="55"/>
        <v>71.772800000000004</v>
      </c>
      <c r="AK87" s="27">
        <f t="shared" si="55"/>
        <v>21.772800000000004</v>
      </c>
      <c r="AL87" s="27">
        <f t="shared" si="55"/>
        <v>21.772800000000004</v>
      </c>
    </row>
    <row r="88" spans="2:38" ht="11.5" customHeight="1"/>
    <row r="89" spans="2:38" ht="11.5" customHeight="1" thickBot="1">
      <c r="B89" s="6" t="s">
        <v>947</v>
      </c>
      <c r="C89" s="6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</row>
    <row r="90" spans="2:38" ht="11.5" customHeight="1" outlineLevel="1">
      <c r="C90" s="3" t="str">
        <f t="shared" ref="C90:C102" si="56">C71</f>
        <v>AMAP</v>
      </c>
      <c r="E90" s="3" t="s">
        <v>29</v>
      </c>
      <c r="S90" s="26">
        <f t="shared" ref="S90:AL90" si="57">S52*$O19</f>
        <v>0</v>
      </c>
      <c r="T90" s="26">
        <f t="shared" si="57"/>
        <v>0</v>
      </c>
      <c r="U90" s="26">
        <f t="shared" si="57"/>
        <v>0</v>
      </c>
      <c r="V90" s="26">
        <f t="shared" si="57"/>
        <v>0</v>
      </c>
      <c r="W90" s="26">
        <f t="shared" si="57"/>
        <v>0</v>
      </c>
      <c r="X90" s="26">
        <f t="shared" si="57"/>
        <v>0</v>
      </c>
      <c r="Y90" s="26">
        <f t="shared" si="57"/>
        <v>0</v>
      </c>
      <c r="Z90" s="26">
        <f t="shared" si="57"/>
        <v>0</v>
      </c>
      <c r="AA90" s="26">
        <f t="shared" si="57"/>
        <v>0</v>
      </c>
      <c r="AB90" s="26">
        <f t="shared" si="57"/>
        <v>0</v>
      </c>
      <c r="AC90" s="26">
        <f t="shared" si="57"/>
        <v>0</v>
      </c>
      <c r="AD90" s="26">
        <f t="shared" si="57"/>
        <v>0</v>
      </c>
      <c r="AE90" s="26">
        <f t="shared" si="57"/>
        <v>0</v>
      </c>
      <c r="AF90" s="26">
        <f t="shared" si="57"/>
        <v>0</v>
      </c>
      <c r="AG90" s="26">
        <f t="shared" si="57"/>
        <v>0</v>
      </c>
      <c r="AH90" s="26">
        <f t="shared" si="57"/>
        <v>0</v>
      </c>
      <c r="AI90" s="26">
        <f t="shared" si="57"/>
        <v>0</v>
      </c>
      <c r="AJ90" s="26">
        <f t="shared" si="57"/>
        <v>0</v>
      </c>
      <c r="AK90" s="26">
        <f t="shared" si="57"/>
        <v>0</v>
      </c>
      <c r="AL90" s="26">
        <f t="shared" si="57"/>
        <v>0</v>
      </c>
    </row>
    <row r="91" spans="2:38" ht="11.5" customHeight="1" outlineLevel="1">
      <c r="C91" s="3" t="str">
        <f t="shared" si="56"/>
        <v>RADAR Upgrade (2022)</v>
      </c>
      <c r="E91" s="3" t="s">
        <v>29</v>
      </c>
      <c r="S91" s="26">
        <f t="shared" ref="S91:AL91" si="58">S53*$O20</f>
        <v>0</v>
      </c>
      <c r="T91" s="26">
        <f t="shared" si="58"/>
        <v>0</v>
      </c>
      <c r="U91" s="26">
        <f t="shared" si="58"/>
        <v>0</v>
      </c>
      <c r="V91" s="26">
        <f t="shared" si="58"/>
        <v>0</v>
      </c>
      <c r="W91" s="26">
        <f t="shared" si="58"/>
        <v>0</v>
      </c>
      <c r="X91" s="26">
        <f t="shared" si="58"/>
        <v>0</v>
      </c>
      <c r="Y91" s="26">
        <f t="shared" si="58"/>
        <v>0</v>
      </c>
      <c r="Z91" s="26">
        <f t="shared" si="58"/>
        <v>310.86720000000003</v>
      </c>
      <c r="AA91" s="26">
        <f t="shared" si="58"/>
        <v>297.73439999999999</v>
      </c>
      <c r="AB91" s="26">
        <f t="shared" si="58"/>
        <v>284.60160000000002</v>
      </c>
      <c r="AC91" s="26">
        <f t="shared" si="58"/>
        <v>271.46880000000004</v>
      </c>
      <c r="AD91" s="26">
        <f t="shared" si="58"/>
        <v>258.33600000000001</v>
      </c>
      <c r="AE91" s="26">
        <f t="shared" si="58"/>
        <v>245.20320000000004</v>
      </c>
      <c r="AF91" s="26">
        <f t="shared" si="58"/>
        <v>232.07040000000003</v>
      </c>
      <c r="AG91" s="26">
        <f t="shared" si="58"/>
        <v>218.93760000000003</v>
      </c>
      <c r="AH91" s="26">
        <f t="shared" si="58"/>
        <v>205.80480000000003</v>
      </c>
      <c r="AI91" s="26">
        <f t="shared" si="58"/>
        <v>192.67200000000003</v>
      </c>
      <c r="AJ91" s="26">
        <f t="shared" si="58"/>
        <v>179.53920000000005</v>
      </c>
      <c r="AK91" s="26">
        <f t="shared" si="58"/>
        <v>166.40640000000005</v>
      </c>
      <c r="AL91" s="26">
        <f t="shared" si="58"/>
        <v>153.27360000000004</v>
      </c>
    </row>
    <row r="92" spans="2:38" ht="11.5" customHeight="1" outlineLevel="1">
      <c r="C92" s="3" t="str">
        <f t="shared" si="56"/>
        <v>RADAR Upgrade (2024)</v>
      </c>
      <c r="E92" s="3" t="s">
        <v>29</v>
      </c>
      <c r="S92" s="26">
        <f t="shared" ref="S92:AL92" si="59">S54*$O21</f>
        <v>0</v>
      </c>
      <c r="T92" s="26">
        <f t="shared" si="59"/>
        <v>0</v>
      </c>
      <c r="U92" s="26">
        <f t="shared" si="59"/>
        <v>0</v>
      </c>
      <c r="V92" s="26">
        <f t="shared" si="59"/>
        <v>0</v>
      </c>
      <c r="W92" s="26">
        <f t="shared" si="59"/>
        <v>0</v>
      </c>
      <c r="X92" s="26">
        <f t="shared" si="59"/>
        <v>0</v>
      </c>
      <c r="Y92" s="26">
        <f t="shared" si="59"/>
        <v>0</v>
      </c>
      <c r="Z92" s="26">
        <f t="shared" si="59"/>
        <v>0</v>
      </c>
      <c r="AA92" s="26">
        <f t="shared" si="59"/>
        <v>0</v>
      </c>
      <c r="AB92" s="26">
        <f t="shared" si="59"/>
        <v>207.36</v>
      </c>
      <c r="AC92" s="26">
        <f t="shared" si="59"/>
        <v>198.72</v>
      </c>
      <c r="AD92" s="26">
        <f t="shared" si="59"/>
        <v>190.07999999999998</v>
      </c>
      <c r="AE92" s="26">
        <f t="shared" si="59"/>
        <v>181.43999999999997</v>
      </c>
      <c r="AF92" s="26">
        <f t="shared" si="59"/>
        <v>172.79999999999995</v>
      </c>
      <c r="AG92" s="26">
        <f t="shared" si="59"/>
        <v>164.15999999999997</v>
      </c>
      <c r="AH92" s="26">
        <f t="shared" si="59"/>
        <v>155.51999999999995</v>
      </c>
      <c r="AI92" s="26">
        <f t="shared" si="59"/>
        <v>146.87999999999994</v>
      </c>
      <c r="AJ92" s="26">
        <f t="shared" si="59"/>
        <v>138.23999999999992</v>
      </c>
      <c r="AK92" s="26">
        <f t="shared" si="59"/>
        <v>129.59999999999991</v>
      </c>
      <c r="AL92" s="26">
        <f t="shared" si="59"/>
        <v>120.95999999999991</v>
      </c>
    </row>
    <row r="93" spans="2:38" ht="11.5" customHeight="1" outlineLevel="1">
      <c r="C93" s="3" t="str">
        <f t="shared" si="56"/>
        <v>AUTO Climate Network</v>
      </c>
      <c r="E93" s="3" t="s">
        <v>29</v>
      </c>
      <c r="S93" s="26">
        <f t="shared" ref="S93:AL93" si="60">S55*$O22</f>
        <v>0</v>
      </c>
      <c r="T93" s="26">
        <f t="shared" si="60"/>
        <v>0</v>
      </c>
      <c r="U93" s="26">
        <f t="shared" si="60"/>
        <v>0</v>
      </c>
      <c r="V93" s="26">
        <f t="shared" si="60"/>
        <v>0</v>
      </c>
      <c r="W93" s="26">
        <f t="shared" si="60"/>
        <v>0</v>
      </c>
      <c r="X93" s="26">
        <f t="shared" si="60"/>
        <v>0</v>
      </c>
      <c r="Y93" s="26">
        <f t="shared" si="60"/>
        <v>0</v>
      </c>
      <c r="Z93" s="26">
        <f t="shared" si="60"/>
        <v>0</v>
      </c>
      <c r="AA93" s="26">
        <f t="shared" si="60"/>
        <v>0</v>
      </c>
      <c r="AB93" s="26">
        <f t="shared" si="60"/>
        <v>0</v>
      </c>
      <c r="AC93" s="26">
        <f t="shared" si="60"/>
        <v>0</v>
      </c>
      <c r="AD93" s="26">
        <f t="shared" si="60"/>
        <v>0</v>
      </c>
      <c r="AE93" s="26">
        <f t="shared" si="60"/>
        <v>0</v>
      </c>
      <c r="AF93" s="26">
        <f t="shared" si="60"/>
        <v>0</v>
      </c>
      <c r="AG93" s="26">
        <f t="shared" si="60"/>
        <v>0</v>
      </c>
      <c r="AH93" s="26">
        <f t="shared" si="60"/>
        <v>0</v>
      </c>
      <c r="AI93" s="26">
        <f t="shared" si="60"/>
        <v>0</v>
      </c>
      <c r="AJ93" s="26">
        <f t="shared" si="60"/>
        <v>0</v>
      </c>
      <c r="AK93" s="26">
        <f t="shared" si="60"/>
        <v>0</v>
      </c>
      <c r="AL93" s="26">
        <f t="shared" si="60"/>
        <v>0</v>
      </c>
    </row>
    <row r="94" spans="2:38" ht="11.5" customHeight="1" outlineLevel="1">
      <c r="C94" s="3" t="str">
        <f t="shared" si="56"/>
        <v>METCOM</v>
      </c>
      <c r="E94" s="3" t="s">
        <v>29</v>
      </c>
      <c r="S94" s="26">
        <f t="shared" ref="S94:AL94" si="61">S56*$O23</f>
        <v>0</v>
      </c>
      <c r="T94" s="26">
        <f t="shared" si="61"/>
        <v>0</v>
      </c>
      <c r="U94" s="26">
        <f t="shared" si="61"/>
        <v>0</v>
      </c>
      <c r="V94" s="26">
        <f t="shared" si="61"/>
        <v>0</v>
      </c>
      <c r="W94" s="26">
        <f t="shared" si="61"/>
        <v>0</v>
      </c>
      <c r="X94" s="26">
        <f t="shared" si="61"/>
        <v>0</v>
      </c>
      <c r="Y94" s="26">
        <f t="shared" si="61"/>
        <v>0</v>
      </c>
      <c r="Z94" s="26">
        <f t="shared" si="61"/>
        <v>329.86240000000009</v>
      </c>
      <c r="AA94" s="26">
        <f t="shared" si="61"/>
        <v>247.3968000000001</v>
      </c>
      <c r="AB94" s="26">
        <f t="shared" si="61"/>
        <v>164.93120000000008</v>
      </c>
      <c r="AC94" s="26">
        <f t="shared" si="61"/>
        <v>82.465600000000052</v>
      </c>
      <c r="AD94" s="26">
        <f t="shared" si="61"/>
        <v>2.2737367544323207E-14</v>
      </c>
      <c r="AE94" s="26">
        <f t="shared" si="61"/>
        <v>2.2737367544323207E-14</v>
      </c>
      <c r="AF94" s="26">
        <f t="shared" si="61"/>
        <v>2.2737367544323207E-14</v>
      </c>
      <c r="AG94" s="26">
        <f t="shared" si="61"/>
        <v>2.2737367544323207E-14</v>
      </c>
      <c r="AH94" s="26">
        <f t="shared" si="61"/>
        <v>2.2737367544323207E-14</v>
      </c>
      <c r="AI94" s="26">
        <f t="shared" si="61"/>
        <v>2.2737367544323207E-14</v>
      </c>
      <c r="AJ94" s="26">
        <f t="shared" si="61"/>
        <v>2.2737367544323207E-14</v>
      </c>
      <c r="AK94" s="26">
        <f t="shared" si="61"/>
        <v>2.2737367544323207E-14</v>
      </c>
      <c r="AL94" s="26">
        <f t="shared" si="61"/>
        <v>2.2737367544323207E-14</v>
      </c>
    </row>
    <row r="95" spans="2:38" ht="11.5" customHeight="1" outlineLevel="1">
      <c r="C95" s="3" t="str">
        <f t="shared" si="56"/>
        <v>AUTOMETAR</v>
      </c>
      <c r="E95" s="3" t="s">
        <v>29</v>
      </c>
      <c r="S95" s="26">
        <f t="shared" ref="S95:AL95" si="62">S57*$O24</f>
        <v>0</v>
      </c>
      <c r="T95" s="26">
        <f t="shared" si="62"/>
        <v>0</v>
      </c>
      <c r="U95" s="26">
        <f t="shared" si="62"/>
        <v>0</v>
      </c>
      <c r="V95" s="26">
        <f t="shared" si="62"/>
        <v>0</v>
      </c>
      <c r="W95" s="26">
        <f t="shared" si="62"/>
        <v>0</v>
      </c>
      <c r="X95" s="26">
        <f t="shared" si="62"/>
        <v>0</v>
      </c>
      <c r="Y95" s="26">
        <f t="shared" si="62"/>
        <v>0</v>
      </c>
      <c r="Z95" s="26">
        <f t="shared" si="62"/>
        <v>0</v>
      </c>
      <c r="AA95" s="26">
        <f t="shared" si="62"/>
        <v>0</v>
      </c>
      <c r="AB95" s="26">
        <f t="shared" si="62"/>
        <v>0</v>
      </c>
      <c r="AC95" s="26">
        <f t="shared" si="62"/>
        <v>350</v>
      </c>
      <c r="AD95" s="26">
        <f t="shared" si="62"/>
        <v>300</v>
      </c>
      <c r="AE95" s="26">
        <f t="shared" si="62"/>
        <v>250</v>
      </c>
      <c r="AF95" s="26">
        <f t="shared" si="62"/>
        <v>200</v>
      </c>
      <c r="AG95" s="26">
        <f t="shared" si="62"/>
        <v>150</v>
      </c>
      <c r="AH95" s="26">
        <f t="shared" si="62"/>
        <v>100</v>
      </c>
      <c r="AI95" s="26">
        <f t="shared" si="62"/>
        <v>50</v>
      </c>
      <c r="AJ95" s="26">
        <f t="shared" si="62"/>
        <v>0</v>
      </c>
      <c r="AK95" s="26">
        <f t="shared" si="62"/>
        <v>0</v>
      </c>
      <c r="AL95" s="26">
        <f t="shared" si="62"/>
        <v>0</v>
      </c>
    </row>
    <row r="96" spans="2:38" ht="11.5" customHeight="1" outlineLevel="1">
      <c r="C96" s="3" t="str">
        <f t="shared" si="56"/>
        <v>IMaMS</v>
      </c>
      <c r="E96" s="3" t="s">
        <v>29</v>
      </c>
      <c r="S96" s="26">
        <f t="shared" ref="S96:AL96" si="63">S58*$O25</f>
        <v>0</v>
      </c>
      <c r="T96" s="26">
        <f t="shared" si="63"/>
        <v>0</v>
      </c>
      <c r="U96" s="26">
        <f t="shared" si="63"/>
        <v>0</v>
      </c>
      <c r="V96" s="26">
        <f t="shared" si="63"/>
        <v>0</v>
      </c>
      <c r="W96" s="26">
        <f t="shared" si="63"/>
        <v>0</v>
      </c>
      <c r="X96" s="26">
        <f t="shared" si="63"/>
        <v>0</v>
      </c>
      <c r="Y96" s="26">
        <f t="shared" si="63"/>
        <v>0</v>
      </c>
      <c r="Z96" s="26">
        <f t="shared" si="63"/>
        <v>940.37760000000026</v>
      </c>
      <c r="AA96" s="26">
        <f t="shared" si="63"/>
        <v>705.28320000000019</v>
      </c>
      <c r="AB96" s="26">
        <f t="shared" si="63"/>
        <v>470.18880000000013</v>
      </c>
      <c r="AC96" s="26">
        <f t="shared" si="63"/>
        <v>235.09440000000006</v>
      </c>
      <c r="AD96" s="26">
        <f t="shared" si="63"/>
        <v>0</v>
      </c>
      <c r="AE96" s="26">
        <f t="shared" si="63"/>
        <v>0</v>
      </c>
      <c r="AF96" s="26">
        <f t="shared" si="63"/>
        <v>0</v>
      </c>
      <c r="AG96" s="26">
        <f t="shared" si="63"/>
        <v>0</v>
      </c>
      <c r="AH96" s="26">
        <f t="shared" si="63"/>
        <v>0</v>
      </c>
      <c r="AI96" s="26">
        <f t="shared" si="63"/>
        <v>0</v>
      </c>
      <c r="AJ96" s="26">
        <f t="shared" si="63"/>
        <v>0</v>
      </c>
      <c r="AK96" s="26">
        <f t="shared" si="63"/>
        <v>0</v>
      </c>
      <c r="AL96" s="26">
        <f t="shared" si="63"/>
        <v>0</v>
      </c>
    </row>
    <row r="97" spans="1:39" ht="11.5" customHeight="1" outlineLevel="1">
      <c r="C97" s="3" t="str">
        <f t="shared" si="56"/>
        <v>HPC</v>
      </c>
      <c r="E97" s="3" t="s">
        <v>29</v>
      </c>
      <c r="S97" s="26">
        <f t="shared" ref="S97:AL97" si="64">S59*$O26</f>
        <v>0</v>
      </c>
      <c r="T97" s="26">
        <f t="shared" si="64"/>
        <v>0</v>
      </c>
      <c r="U97" s="26">
        <f t="shared" si="64"/>
        <v>0</v>
      </c>
      <c r="V97" s="26">
        <f t="shared" si="64"/>
        <v>0</v>
      </c>
      <c r="W97" s="26">
        <f t="shared" si="64"/>
        <v>0</v>
      </c>
      <c r="X97" s="26">
        <f t="shared" si="64"/>
        <v>0</v>
      </c>
      <c r="Y97" s="26">
        <f t="shared" si="64"/>
        <v>0</v>
      </c>
      <c r="Z97" s="26">
        <f t="shared" si="64"/>
        <v>0</v>
      </c>
      <c r="AA97" s="26">
        <f t="shared" si="64"/>
        <v>1155.3407999999999</v>
      </c>
      <c r="AB97" s="26">
        <f t="shared" si="64"/>
        <v>866.50560000000007</v>
      </c>
      <c r="AC97" s="26">
        <f t="shared" si="64"/>
        <v>577.67040000000009</v>
      </c>
      <c r="AD97" s="26">
        <f t="shared" si="64"/>
        <v>288.8352000000001</v>
      </c>
      <c r="AE97" s="26">
        <f t="shared" si="64"/>
        <v>9.0949470177292829E-14</v>
      </c>
      <c r="AF97" s="26">
        <f t="shared" si="64"/>
        <v>9.0949470177292829E-14</v>
      </c>
      <c r="AG97" s="26">
        <f t="shared" si="64"/>
        <v>9.0949470177292829E-14</v>
      </c>
      <c r="AH97" s="26">
        <f t="shared" si="64"/>
        <v>9.0949470177292829E-14</v>
      </c>
      <c r="AI97" s="26">
        <f t="shared" si="64"/>
        <v>9.0949470177292829E-14</v>
      </c>
      <c r="AJ97" s="26">
        <f t="shared" si="64"/>
        <v>9.0949470177292829E-14</v>
      </c>
      <c r="AK97" s="26">
        <f t="shared" si="64"/>
        <v>9.0949470177292829E-14</v>
      </c>
      <c r="AL97" s="26">
        <f t="shared" si="64"/>
        <v>9.0949470177292829E-14</v>
      </c>
    </row>
    <row r="98" spans="1:39" ht="11.5" customHeight="1" outlineLevel="1">
      <c r="C98" s="3" t="str">
        <f t="shared" si="56"/>
        <v>&lt;&lt; add project &gt;&gt;</v>
      </c>
      <c r="E98" s="3" t="s">
        <v>29</v>
      </c>
      <c r="S98" s="26">
        <f t="shared" ref="S98:AL98" si="65">S60*$O27</f>
        <v>0</v>
      </c>
      <c r="T98" s="26">
        <f t="shared" si="65"/>
        <v>0</v>
      </c>
      <c r="U98" s="26">
        <f t="shared" si="65"/>
        <v>0</v>
      </c>
      <c r="V98" s="26">
        <f t="shared" si="65"/>
        <v>0</v>
      </c>
      <c r="W98" s="26">
        <f t="shared" si="65"/>
        <v>0</v>
      </c>
      <c r="X98" s="26">
        <f t="shared" si="65"/>
        <v>0</v>
      </c>
      <c r="Y98" s="26">
        <f t="shared" si="65"/>
        <v>0</v>
      </c>
      <c r="Z98" s="26">
        <f t="shared" si="65"/>
        <v>0</v>
      </c>
      <c r="AA98" s="26">
        <f t="shared" si="65"/>
        <v>0</v>
      </c>
      <c r="AB98" s="26">
        <f t="shared" si="65"/>
        <v>0</v>
      </c>
      <c r="AC98" s="26">
        <f t="shared" si="65"/>
        <v>0</v>
      </c>
      <c r="AD98" s="26">
        <f t="shared" si="65"/>
        <v>0</v>
      </c>
      <c r="AE98" s="26">
        <f t="shared" si="65"/>
        <v>0</v>
      </c>
      <c r="AF98" s="26">
        <f t="shared" si="65"/>
        <v>0</v>
      </c>
      <c r="AG98" s="26">
        <f t="shared" si="65"/>
        <v>0</v>
      </c>
      <c r="AH98" s="26">
        <f t="shared" si="65"/>
        <v>0</v>
      </c>
      <c r="AI98" s="26">
        <f t="shared" si="65"/>
        <v>0</v>
      </c>
      <c r="AJ98" s="26">
        <f t="shared" si="65"/>
        <v>0</v>
      </c>
      <c r="AK98" s="26">
        <f t="shared" si="65"/>
        <v>0</v>
      </c>
      <c r="AL98" s="26">
        <f t="shared" si="65"/>
        <v>0</v>
      </c>
    </row>
    <row r="99" spans="1:39" ht="11.5" customHeight="1" outlineLevel="1">
      <c r="C99" s="3" t="str">
        <f t="shared" si="56"/>
        <v>&lt;&lt; add project &gt;&gt;</v>
      </c>
      <c r="E99" s="3" t="s">
        <v>29</v>
      </c>
      <c r="S99" s="26">
        <f t="shared" ref="S99:AL99" si="66">S61*$O28</f>
        <v>0</v>
      </c>
      <c r="T99" s="26">
        <f t="shared" si="66"/>
        <v>0</v>
      </c>
      <c r="U99" s="26">
        <f t="shared" si="66"/>
        <v>0</v>
      </c>
      <c r="V99" s="26">
        <f t="shared" si="66"/>
        <v>0</v>
      </c>
      <c r="W99" s="26">
        <f t="shared" si="66"/>
        <v>0</v>
      </c>
      <c r="X99" s="26">
        <f t="shared" si="66"/>
        <v>0</v>
      </c>
      <c r="Y99" s="26">
        <f t="shared" si="66"/>
        <v>0</v>
      </c>
      <c r="Z99" s="26">
        <f t="shared" si="66"/>
        <v>0</v>
      </c>
      <c r="AA99" s="26">
        <f t="shared" si="66"/>
        <v>0</v>
      </c>
      <c r="AB99" s="26">
        <f t="shared" si="66"/>
        <v>0</v>
      </c>
      <c r="AC99" s="26">
        <f t="shared" si="66"/>
        <v>0</v>
      </c>
      <c r="AD99" s="26">
        <f t="shared" si="66"/>
        <v>0</v>
      </c>
      <c r="AE99" s="26">
        <f t="shared" si="66"/>
        <v>0</v>
      </c>
      <c r="AF99" s="26">
        <f t="shared" si="66"/>
        <v>0</v>
      </c>
      <c r="AG99" s="26">
        <f t="shared" si="66"/>
        <v>0</v>
      </c>
      <c r="AH99" s="26">
        <f t="shared" si="66"/>
        <v>0</v>
      </c>
      <c r="AI99" s="26">
        <f t="shared" si="66"/>
        <v>0</v>
      </c>
      <c r="AJ99" s="26">
        <f t="shared" si="66"/>
        <v>0</v>
      </c>
      <c r="AK99" s="26">
        <f t="shared" si="66"/>
        <v>0</v>
      </c>
      <c r="AL99" s="26">
        <f t="shared" si="66"/>
        <v>0</v>
      </c>
    </row>
    <row r="100" spans="1:39" ht="11.5" customHeight="1" outlineLevel="1">
      <c r="C100" s="3" t="str">
        <f t="shared" si="56"/>
        <v>&lt;&lt; add project &gt;&gt;</v>
      </c>
      <c r="E100" s="3" t="s">
        <v>29</v>
      </c>
      <c r="S100" s="26">
        <f t="shared" ref="S100:AL100" si="67">S62*$O29</f>
        <v>0</v>
      </c>
      <c r="T100" s="26">
        <f t="shared" si="67"/>
        <v>0</v>
      </c>
      <c r="U100" s="26">
        <f t="shared" si="67"/>
        <v>0</v>
      </c>
      <c r="V100" s="26">
        <f t="shared" si="67"/>
        <v>0</v>
      </c>
      <c r="W100" s="26">
        <f t="shared" si="67"/>
        <v>0</v>
      </c>
      <c r="X100" s="26">
        <f t="shared" si="67"/>
        <v>0</v>
      </c>
      <c r="Y100" s="26">
        <f t="shared" si="67"/>
        <v>0</v>
      </c>
      <c r="Z100" s="26">
        <f t="shared" si="67"/>
        <v>0</v>
      </c>
      <c r="AA100" s="26">
        <f t="shared" si="67"/>
        <v>0</v>
      </c>
      <c r="AB100" s="26">
        <f t="shared" si="67"/>
        <v>0</v>
      </c>
      <c r="AC100" s="26">
        <f t="shared" si="67"/>
        <v>0</v>
      </c>
      <c r="AD100" s="26">
        <f t="shared" si="67"/>
        <v>0</v>
      </c>
      <c r="AE100" s="26">
        <f t="shared" si="67"/>
        <v>0</v>
      </c>
      <c r="AF100" s="26">
        <f t="shared" si="67"/>
        <v>0</v>
      </c>
      <c r="AG100" s="26">
        <f t="shared" si="67"/>
        <v>0</v>
      </c>
      <c r="AH100" s="26">
        <f t="shared" si="67"/>
        <v>0</v>
      </c>
      <c r="AI100" s="26">
        <f t="shared" si="67"/>
        <v>0</v>
      </c>
      <c r="AJ100" s="26">
        <f t="shared" si="67"/>
        <v>0</v>
      </c>
      <c r="AK100" s="26">
        <f t="shared" si="67"/>
        <v>0</v>
      </c>
      <c r="AL100" s="26">
        <f t="shared" si="67"/>
        <v>0</v>
      </c>
    </row>
    <row r="101" spans="1:39" ht="11.5" customHeight="1" outlineLevel="1">
      <c r="C101" s="3" t="str">
        <f t="shared" si="56"/>
        <v>&lt;&lt; add project &gt;&gt;</v>
      </c>
      <c r="E101" s="3" t="s">
        <v>29</v>
      </c>
      <c r="S101" s="26">
        <f t="shared" ref="S101:AL101" si="68">S63*$O30</f>
        <v>0</v>
      </c>
      <c r="T101" s="26">
        <f t="shared" si="68"/>
        <v>0</v>
      </c>
      <c r="U101" s="26">
        <f t="shared" si="68"/>
        <v>0</v>
      </c>
      <c r="V101" s="26">
        <f t="shared" si="68"/>
        <v>0</v>
      </c>
      <c r="W101" s="26">
        <f t="shared" si="68"/>
        <v>0</v>
      </c>
      <c r="X101" s="26">
        <f t="shared" si="68"/>
        <v>0</v>
      </c>
      <c r="Y101" s="26">
        <f t="shared" si="68"/>
        <v>0</v>
      </c>
      <c r="Z101" s="26">
        <f t="shared" si="68"/>
        <v>0</v>
      </c>
      <c r="AA101" s="26">
        <f t="shared" si="68"/>
        <v>0</v>
      </c>
      <c r="AB101" s="26">
        <f t="shared" si="68"/>
        <v>0</v>
      </c>
      <c r="AC101" s="26">
        <f t="shared" si="68"/>
        <v>0</v>
      </c>
      <c r="AD101" s="26">
        <f t="shared" si="68"/>
        <v>0</v>
      </c>
      <c r="AE101" s="26">
        <f t="shared" si="68"/>
        <v>0</v>
      </c>
      <c r="AF101" s="26">
        <f t="shared" si="68"/>
        <v>0</v>
      </c>
      <c r="AG101" s="26">
        <f t="shared" si="68"/>
        <v>0</v>
      </c>
      <c r="AH101" s="26">
        <f t="shared" si="68"/>
        <v>0</v>
      </c>
      <c r="AI101" s="26">
        <f t="shared" si="68"/>
        <v>0</v>
      </c>
      <c r="AJ101" s="26">
        <f t="shared" si="68"/>
        <v>0</v>
      </c>
      <c r="AK101" s="26">
        <f t="shared" si="68"/>
        <v>0</v>
      </c>
      <c r="AL101" s="26">
        <f t="shared" si="68"/>
        <v>0</v>
      </c>
    </row>
    <row r="102" spans="1:39" ht="11.5" customHeight="1" outlineLevel="1">
      <c r="C102" s="3" t="str">
        <f t="shared" si="56"/>
        <v>&lt;&lt; add project &gt;&gt;</v>
      </c>
      <c r="E102" s="3" t="s">
        <v>29</v>
      </c>
      <c r="S102" s="26">
        <f t="shared" ref="S102:AL102" si="69">S64*$O31</f>
        <v>0</v>
      </c>
      <c r="T102" s="26">
        <f t="shared" si="69"/>
        <v>0</v>
      </c>
      <c r="U102" s="26">
        <f t="shared" si="69"/>
        <v>0</v>
      </c>
      <c r="V102" s="26">
        <f t="shared" si="69"/>
        <v>0</v>
      </c>
      <c r="W102" s="26">
        <f t="shared" si="69"/>
        <v>0</v>
      </c>
      <c r="X102" s="26">
        <f t="shared" si="69"/>
        <v>0</v>
      </c>
      <c r="Y102" s="26">
        <f t="shared" si="69"/>
        <v>0</v>
      </c>
      <c r="Z102" s="26">
        <f t="shared" si="69"/>
        <v>0</v>
      </c>
      <c r="AA102" s="26">
        <f t="shared" si="69"/>
        <v>0</v>
      </c>
      <c r="AB102" s="26">
        <f t="shared" si="69"/>
        <v>0</v>
      </c>
      <c r="AC102" s="26">
        <f t="shared" si="69"/>
        <v>0</v>
      </c>
      <c r="AD102" s="26">
        <f t="shared" si="69"/>
        <v>0</v>
      </c>
      <c r="AE102" s="26">
        <f t="shared" si="69"/>
        <v>0</v>
      </c>
      <c r="AF102" s="26">
        <f t="shared" si="69"/>
        <v>0</v>
      </c>
      <c r="AG102" s="26">
        <f t="shared" si="69"/>
        <v>0</v>
      </c>
      <c r="AH102" s="26">
        <f t="shared" si="69"/>
        <v>0</v>
      </c>
      <c r="AI102" s="26">
        <f t="shared" si="69"/>
        <v>0</v>
      </c>
      <c r="AJ102" s="26">
        <f t="shared" si="69"/>
        <v>0</v>
      </c>
      <c r="AK102" s="26">
        <f t="shared" si="69"/>
        <v>0</v>
      </c>
      <c r="AL102" s="26">
        <f t="shared" si="69"/>
        <v>0</v>
      </c>
    </row>
    <row r="103" spans="1:39" ht="11.5" customHeight="1"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</row>
    <row r="104" spans="1:39" ht="11.5" customHeight="1">
      <c r="C104" s="17" t="s">
        <v>950</v>
      </c>
      <c r="E104" s="17" t="s">
        <v>29</v>
      </c>
      <c r="S104" s="27">
        <f t="shared" ref="S104:AL104" si="70">SUMPRODUCT($F$52:$F$64,S90:S102)</f>
        <v>0</v>
      </c>
      <c r="T104" s="27">
        <f t="shared" si="70"/>
        <v>0</v>
      </c>
      <c r="U104" s="27">
        <f t="shared" si="70"/>
        <v>0</v>
      </c>
      <c r="V104" s="27">
        <f t="shared" si="70"/>
        <v>0</v>
      </c>
      <c r="W104" s="27">
        <f t="shared" si="70"/>
        <v>0</v>
      </c>
      <c r="X104" s="27">
        <f t="shared" si="70"/>
        <v>0</v>
      </c>
      <c r="Y104" s="27">
        <f t="shared" si="70"/>
        <v>0</v>
      </c>
      <c r="Z104" s="27">
        <f t="shared" si="70"/>
        <v>1581.1072000000004</v>
      </c>
      <c r="AA104" s="27">
        <f t="shared" si="70"/>
        <v>2405.7552000000001</v>
      </c>
      <c r="AB104" s="27">
        <f t="shared" si="70"/>
        <v>1993.5872000000004</v>
      </c>
      <c r="AC104" s="27">
        <f t="shared" si="70"/>
        <v>1715.4192000000003</v>
      </c>
      <c r="AD104" s="27">
        <f t="shared" si="70"/>
        <v>1037.2512000000002</v>
      </c>
      <c r="AE104" s="27">
        <f t="shared" si="70"/>
        <v>676.64320000000009</v>
      </c>
      <c r="AF104" s="27">
        <f t="shared" si="70"/>
        <v>604.87040000000013</v>
      </c>
      <c r="AG104" s="27">
        <f t="shared" si="70"/>
        <v>533.09760000000017</v>
      </c>
      <c r="AH104" s="27">
        <f t="shared" si="70"/>
        <v>461.3248000000001</v>
      </c>
      <c r="AI104" s="27">
        <f t="shared" si="70"/>
        <v>389.55200000000008</v>
      </c>
      <c r="AJ104" s="27">
        <f t="shared" si="70"/>
        <v>317.77920000000006</v>
      </c>
      <c r="AK104" s="27">
        <f t="shared" si="70"/>
        <v>296.0064000000001</v>
      </c>
      <c r="AL104" s="27">
        <f t="shared" si="70"/>
        <v>274.23360000000008</v>
      </c>
    </row>
    <row r="105" spans="1:39" ht="11.5" customHeight="1">
      <c r="C105" s="17" t="s">
        <v>951</v>
      </c>
      <c r="E105" s="17" t="s">
        <v>29</v>
      </c>
      <c r="S105" s="147">
        <f>S$11*$O11</f>
        <v>0</v>
      </c>
      <c r="T105" s="147">
        <f t="shared" ref="T105:AL105" si="71">T$11*$O11</f>
        <v>0</v>
      </c>
      <c r="U105" s="147">
        <f t="shared" si="71"/>
        <v>0</v>
      </c>
      <c r="V105" s="147">
        <f t="shared" si="71"/>
        <v>0</v>
      </c>
      <c r="W105" s="147">
        <f t="shared" si="71"/>
        <v>0</v>
      </c>
      <c r="X105" s="147">
        <f t="shared" si="71"/>
        <v>0</v>
      </c>
      <c r="Y105" s="147">
        <f t="shared" si="71"/>
        <v>0</v>
      </c>
      <c r="Z105" s="147">
        <f t="shared" si="71"/>
        <v>0</v>
      </c>
      <c r="AA105" s="147">
        <f t="shared" si="71"/>
        <v>0</v>
      </c>
      <c r="AB105" s="147">
        <f t="shared" si="71"/>
        <v>0</v>
      </c>
      <c r="AC105" s="147">
        <f t="shared" si="71"/>
        <v>0</v>
      </c>
      <c r="AD105" s="147">
        <f t="shared" si="71"/>
        <v>0</v>
      </c>
      <c r="AE105" s="147">
        <f t="shared" si="71"/>
        <v>0</v>
      </c>
      <c r="AF105" s="147">
        <f t="shared" si="71"/>
        <v>0</v>
      </c>
      <c r="AG105" s="147">
        <f t="shared" si="71"/>
        <v>0</v>
      </c>
      <c r="AH105" s="147">
        <f t="shared" si="71"/>
        <v>0</v>
      </c>
      <c r="AI105" s="147">
        <f t="shared" si="71"/>
        <v>0</v>
      </c>
      <c r="AJ105" s="147">
        <f t="shared" si="71"/>
        <v>0</v>
      </c>
      <c r="AK105" s="147">
        <f t="shared" si="71"/>
        <v>0</v>
      </c>
      <c r="AL105" s="147">
        <f t="shared" si="71"/>
        <v>0</v>
      </c>
    </row>
    <row r="106" spans="1:39" ht="11.5" customHeight="1">
      <c r="C106" s="17" t="s">
        <v>12</v>
      </c>
      <c r="E106" s="17" t="s">
        <v>29</v>
      </c>
      <c r="S106" s="147">
        <f>SUM(S104:S105)</f>
        <v>0</v>
      </c>
      <c r="T106" s="147">
        <f t="shared" ref="T106:AL106" si="72">SUM(T104:T105)</f>
        <v>0</v>
      </c>
      <c r="U106" s="147">
        <f t="shared" si="72"/>
        <v>0</v>
      </c>
      <c r="V106" s="147">
        <f t="shared" si="72"/>
        <v>0</v>
      </c>
      <c r="W106" s="147">
        <f t="shared" si="72"/>
        <v>0</v>
      </c>
      <c r="X106" s="147">
        <f t="shared" si="72"/>
        <v>0</v>
      </c>
      <c r="Y106" s="147">
        <f t="shared" si="72"/>
        <v>0</v>
      </c>
      <c r="Z106" s="147">
        <f t="shared" si="72"/>
        <v>1581.1072000000004</v>
      </c>
      <c r="AA106" s="147">
        <f t="shared" si="72"/>
        <v>2405.7552000000001</v>
      </c>
      <c r="AB106" s="147">
        <f t="shared" si="72"/>
        <v>1993.5872000000004</v>
      </c>
      <c r="AC106" s="147">
        <f t="shared" si="72"/>
        <v>1715.4192000000003</v>
      </c>
      <c r="AD106" s="147">
        <f t="shared" si="72"/>
        <v>1037.2512000000002</v>
      </c>
      <c r="AE106" s="147">
        <f t="shared" si="72"/>
        <v>676.64320000000009</v>
      </c>
      <c r="AF106" s="147">
        <f t="shared" si="72"/>
        <v>604.87040000000013</v>
      </c>
      <c r="AG106" s="147">
        <f t="shared" si="72"/>
        <v>533.09760000000017</v>
      </c>
      <c r="AH106" s="147">
        <f t="shared" si="72"/>
        <v>461.3248000000001</v>
      </c>
      <c r="AI106" s="147">
        <f t="shared" si="72"/>
        <v>389.55200000000008</v>
      </c>
      <c r="AJ106" s="147">
        <f t="shared" si="72"/>
        <v>317.77920000000006</v>
      </c>
      <c r="AK106" s="147">
        <f t="shared" si="72"/>
        <v>296.0064000000001</v>
      </c>
      <c r="AL106" s="147">
        <f t="shared" si="72"/>
        <v>274.23360000000008</v>
      </c>
    </row>
    <row r="107" spans="1:39" ht="11.5" customHeight="1"/>
    <row r="108" spans="1:39">
      <c r="B108" s="152" t="s">
        <v>24</v>
      </c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2"/>
      <c r="AH108" s="152"/>
      <c r="AI108" s="152"/>
      <c r="AJ108" s="152"/>
      <c r="AK108" s="152"/>
      <c r="AL108" s="152"/>
    </row>
    <row r="110" spans="1:39" s="7" customFormat="1" ht="13.5" thickBot="1">
      <c r="A110" s="3"/>
      <c r="B110" s="6" t="s">
        <v>31</v>
      </c>
      <c r="C110" s="6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3"/>
    </row>
    <row r="111" spans="1:39" outlineLevel="1">
      <c r="C111" s="3" t="str">
        <f t="shared" ref="C111:C123" si="73">C71</f>
        <v>AMAP</v>
      </c>
      <c r="E111" s="3" t="s">
        <v>29</v>
      </c>
      <c r="S111" s="26">
        <f t="shared" ref="S111:AL111" si="74">S35*$Q19</f>
        <v>0</v>
      </c>
      <c r="T111" s="26">
        <f t="shared" si="74"/>
        <v>0</v>
      </c>
      <c r="U111" s="26">
        <f t="shared" si="74"/>
        <v>0</v>
      </c>
      <c r="V111" s="26">
        <f t="shared" si="74"/>
        <v>0</v>
      </c>
      <c r="W111" s="26">
        <f t="shared" si="74"/>
        <v>0</v>
      </c>
      <c r="X111" s="26">
        <f t="shared" si="74"/>
        <v>107.21096924999999</v>
      </c>
      <c r="Y111" s="26">
        <f t="shared" si="74"/>
        <v>107.21096924999999</v>
      </c>
      <c r="Z111" s="26">
        <f t="shared" si="74"/>
        <v>87.71806574999998</v>
      </c>
      <c r="AA111" s="26">
        <f t="shared" si="74"/>
        <v>87.71806574999998</v>
      </c>
      <c r="AB111" s="26">
        <f t="shared" si="74"/>
        <v>0</v>
      </c>
      <c r="AC111" s="26">
        <f t="shared" si="74"/>
        <v>0</v>
      </c>
      <c r="AD111" s="26">
        <f t="shared" si="74"/>
        <v>0</v>
      </c>
      <c r="AE111" s="26">
        <f t="shared" si="74"/>
        <v>0</v>
      </c>
      <c r="AF111" s="26">
        <f t="shared" si="74"/>
        <v>0</v>
      </c>
      <c r="AG111" s="26">
        <f t="shared" si="74"/>
        <v>0</v>
      </c>
      <c r="AH111" s="26">
        <f t="shared" si="74"/>
        <v>0</v>
      </c>
      <c r="AI111" s="26">
        <f t="shared" si="74"/>
        <v>0</v>
      </c>
      <c r="AJ111" s="26">
        <f t="shared" si="74"/>
        <v>0</v>
      </c>
      <c r="AK111" s="26">
        <f t="shared" si="74"/>
        <v>0</v>
      </c>
      <c r="AL111" s="26">
        <f t="shared" si="74"/>
        <v>0</v>
      </c>
    </row>
    <row r="112" spans="1:39" outlineLevel="1">
      <c r="C112" s="3" t="str">
        <f t="shared" si="73"/>
        <v>RADAR Upgrade (2022)</v>
      </c>
      <c r="E112" s="3" t="s">
        <v>29</v>
      </c>
      <c r="S112" s="26">
        <f t="shared" ref="S112:AL112" si="75">S36*$Q20</f>
        <v>0</v>
      </c>
      <c r="T112" s="26">
        <f t="shared" si="75"/>
        <v>0</v>
      </c>
      <c r="U112" s="26">
        <f t="shared" si="75"/>
        <v>0</v>
      </c>
      <c r="V112" s="26">
        <f t="shared" si="75"/>
        <v>0</v>
      </c>
      <c r="W112" s="26">
        <f t="shared" si="75"/>
        <v>0</v>
      </c>
      <c r="X112" s="26">
        <f t="shared" si="75"/>
        <v>0</v>
      </c>
      <c r="Y112" s="26">
        <f t="shared" si="75"/>
        <v>0</v>
      </c>
      <c r="Z112" s="26">
        <f t="shared" si="75"/>
        <v>3.2831999999999995</v>
      </c>
      <c r="AA112" s="26">
        <f t="shared" si="75"/>
        <v>3.2831999999999995</v>
      </c>
      <c r="AB112" s="26">
        <f t="shared" si="75"/>
        <v>3.2831999999999995</v>
      </c>
      <c r="AC112" s="26">
        <f t="shared" si="75"/>
        <v>3.2831999999999995</v>
      </c>
      <c r="AD112" s="26">
        <f t="shared" si="75"/>
        <v>3.2831999999999995</v>
      </c>
      <c r="AE112" s="26">
        <f t="shared" si="75"/>
        <v>3.2831999999999995</v>
      </c>
      <c r="AF112" s="26">
        <f t="shared" si="75"/>
        <v>3.2831999999999995</v>
      </c>
      <c r="AG112" s="26">
        <f t="shared" si="75"/>
        <v>3.2831999999999995</v>
      </c>
      <c r="AH112" s="26">
        <f t="shared" si="75"/>
        <v>3.2831999999999995</v>
      </c>
      <c r="AI112" s="26">
        <f t="shared" si="75"/>
        <v>3.2831999999999995</v>
      </c>
      <c r="AJ112" s="26">
        <f t="shared" si="75"/>
        <v>3.2831999999999995</v>
      </c>
      <c r="AK112" s="26">
        <f t="shared" si="75"/>
        <v>3.2831999999999995</v>
      </c>
      <c r="AL112" s="26">
        <f t="shared" si="75"/>
        <v>3.2831999999999995</v>
      </c>
    </row>
    <row r="113" spans="3:38" outlineLevel="1">
      <c r="C113" s="3" t="str">
        <f t="shared" si="73"/>
        <v>RADAR Upgrade (2024)</v>
      </c>
      <c r="E113" s="3" t="s">
        <v>29</v>
      </c>
      <c r="S113" s="26">
        <f t="shared" ref="S113:AL113" si="76">S37*$Q21</f>
        <v>0</v>
      </c>
      <c r="T113" s="26">
        <f t="shared" si="76"/>
        <v>0</v>
      </c>
      <c r="U113" s="26">
        <f t="shared" si="76"/>
        <v>0</v>
      </c>
      <c r="V113" s="26">
        <f t="shared" si="76"/>
        <v>0</v>
      </c>
      <c r="W113" s="26">
        <f t="shared" si="76"/>
        <v>0</v>
      </c>
      <c r="X113" s="26">
        <f t="shared" si="76"/>
        <v>0</v>
      </c>
      <c r="Y113" s="26">
        <f t="shared" si="76"/>
        <v>0</v>
      </c>
      <c r="Z113" s="26">
        <f t="shared" si="76"/>
        <v>0</v>
      </c>
      <c r="AA113" s="26">
        <f t="shared" si="76"/>
        <v>0</v>
      </c>
      <c r="AB113" s="26">
        <f t="shared" si="76"/>
        <v>2.1599999999999997</v>
      </c>
      <c r="AC113" s="26">
        <f t="shared" si="76"/>
        <v>2.1599999999999997</v>
      </c>
      <c r="AD113" s="26">
        <f t="shared" si="76"/>
        <v>2.1599999999999997</v>
      </c>
      <c r="AE113" s="26">
        <f t="shared" si="76"/>
        <v>2.1599999999999997</v>
      </c>
      <c r="AF113" s="26">
        <f t="shared" si="76"/>
        <v>2.1599999999999997</v>
      </c>
      <c r="AG113" s="26">
        <f t="shared" si="76"/>
        <v>2.1599999999999997</v>
      </c>
      <c r="AH113" s="26">
        <f t="shared" si="76"/>
        <v>2.1599999999999997</v>
      </c>
      <c r="AI113" s="26">
        <f t="shared" si="76"/>
        <v>2.1599999999999997</v>
      </c>
      <c r="AJ113" s="26">
        <f t="shared" si="76"/>
        <v>2.1599999999999997</v>
      </c>
      <c r="AK113" s="26">
        <f t="shared" si="76"/>
        <v>2.1599999999999997</v>
      </c>
      <c r="AL113" s="26">
        <f t="shared" si="76"/>
        <v>2.1599999999999997</v>
      </c>
    </row>
    <row r="114" spans="3:38" outlineLevel="1">
      <c r="C114" s="3" t="str">
        <f t="shared" si="73"/>
        <v>AUTO Climate Network</v>
      </c>
      <c r="E114" s="3" t="s">
        <v>29</v>
      </c>
      <c r="S114" s="26">
        <f t="shared" ref="S114:AL114" si="77">S38*$Q22</f>
        <v>0</v>
      </c>
      <c r="T114" s="26">
        <f t="shared" si="77"/>
        <v>0</v>
      </c>
      <c r="U114" s="26">
        <f t="shared" si="77"/>
        <v>0</v>
      </c>
      <c r="V114" s="26">
        <f t="shared" si="77"/>
        <v>0</v>
      </c>
      <c r="W114" s="26">
        <f t="shared" si="77"/>
        <v>0</v>
      </c>
      <c r="X114" s="26">
        <f t="shared" si="77"/>
        <v>0</v>
      </c>
      <c r="Y114" s="26">
        <f t="shared" si="77"/>
        <v>0</v>
      </c>
      <c r="Z114" s="26">
        <f t="shared" si="77"/>
        <v>0</v>
      </c>
      <c r="AA114" s="26">
        <f t="shared" si="77"/>
        <v>0</v>
      </c>
      <c r="AB114" s="26">
        <f t="shared" si="77"/>
        <v>0</v>
      </c>
      <c r="AC114" s="26">
        <f t="shared" si="77"/>
        <v>0</v>
      </c>
      <c r="AD114" s="26">
        <f t="shared" si="77"/>
        <v>0</v>
      </c>
      <c r="AE114" s="26">
        <f t="shared" si="77"/>
        <v>0</v>
      </c>
      <c r="AF114" s="26">
        <f t="shared" si="77"/>
        <v>0</v>
      </c>
      <c r="AG114" s="26">
        <f t="shared" si="77"/>
        <v>0</v>
      </c>
      <c r="AH114" s="26">
        <f t="shared" si="77"/>
        <v>0</v>
      </c>
      <c r="AI114" s="26">
        <f t="shared" si="77"/>
        <v>0</v>
      </c>
      <c r="AJ114" s="26">
        <f t="shared" si="77"/>
        <v>0</v>
      </c>
      <c r="AK114" s="26">
        <f t="shared" si="77"/>
        <v>0</v>
      </c>
      <c r="AL114" s="26">
        <f t="shared" si="77"/>
        <v>0</v>
      </c>
    </row>
    <row r="115" spans="3:38" outlineLevel="1">
      <c r="C115" s="3" t="str">
        <f t="shared" si="73"/>
        <v>METCOM</v>
      </c>
      <c r="E115" s="3" t="s">
        <v>29</v>
      </c>
      <c r="S115" s="26">
        <f t="shared" ref="S115:AL115" si="78">S39*$Q23</f>
        <v>0</v>
      </c>
      <c r="T115" s="26">
        <f t="shared" si="78"/>
        <v>0</v>
      </c>
      <c r="U115" s="26">
        <f t="shared" si="78"/>
        <v>0</v>
      </c>
      <c r="V115" s="26">
        <f t="shared" si="78"/>
        <v>0</v>
      </c>
      <c r="W115" s="26">
        <f t="shared" si="78"/>
        <v>0</v>
      </c>
      <c r="X115" s="26">
        <f t="shared" si="78"/>
        <v>0</v>
      </c>
      <c r="Y115" s="26">
        <f t="shared" si="78"/>
        <v>0</v>
      </c>
      <c r="Z115" s="26">
        <f t="shared" si="78"/>
        <v>20.616399999999999</v>
      </c>
      <c r="AA115" s="26">
        <f t="shared" si="78"/>
        <v>20.616399999999999</v>
      </c>
      <c r="AB115" s="26">
        <f t="shared" si="78"/>
        <v>20.616399999999999</v>
      </c>
      <c r="AC115" s="26">
        <f t="shared" si="78"/>
        <v>20.616399999999999</v>
      </c>
      <c r="AD115" s="26">
        <f t="shared" si="78"/>
        <v>20.616399999999999</v>
      </c>
      <c r="AE115" s="26">
        <f t="shared" si="78"/>
        <v>0</v>
      </c>
      <c r="AF115" s="26">
        <f t="shared" si="78"/>
        <v>0</v>
      </c>
      <c r="AG115" s="26">
        <f t="shared" si="78"/>
        <v>0</v>
      </c>
      <c r="AH115" s="26">
        <f t="shared" si="78"/>
        <v>0</v>
      </c>
      <c r="AI115" s="26">
        <f t="shared" si="78"/>
        <v>0</v>
      </c>
      <c r="AJ115" s="26">
        <f t="shared" si="78"/>
        <v>0</v>
      </c>
      <c r="AK115" s="26">
        <f t="shared" si="78"/>
        <v>0</v>
      </c>
      <c r="AL115" s="26">
        <f t="shared" si="78"/>
        <v>0</v>
      </c>
    </row>
    <row r="116" spans="3:38" outlineLevel="1">
      <c r="C116" s="3" t="str">
        <f t="shared" si="73"/>
        <v>AUTOMETAR</v>
      </c>
      <c r="E116" s="3" t="s">
        <v>29</v>
      </c>
      <c r="S116" s="26">
        <f t="shared" ref="S116:AL116" si="79">S40*$Q24</f>
        <v>0</v>
      </c>
      <c r="T116" s="26">
        <f t="shared" si="79"/>
        <v>0</v>
      </c>
      <c r="U116" s="26">
        <f t="shared" si="79"/>
        <v>0</v>
      </c>
      <c r="V116" s="26">
        <f t="shared" si="79"/>
        <v>0</v>
      </c>
      <c r="W116" s="26">
        <f t="shared" si="79"/>
        <v>0</v>
      </c>
      <c r="X116" s="26">
        <f t="shared" si="79"/>
        <v>0</v>
      </c>
      <c r="Y116" s="26">
        <f t="shared" si="79"/>
        <v>0</v>
      </c>
      <c r="Z116" s="26">
        <f t="shared" si="79"/>
        <v>0</v>
      </c>
      <c r="AA116" s="26">
        <f t="shared" si="79"/>
        <v>0</v>
      </c>
      <c r="AB116" s="26">
        <f t="shared" si="79"/>
        <v>0</v>
      </c>
      <c r="AC116" s="26">
        <f t="shared" si="79"/>
        <v>12.499999999999996</v>
      </c>
      <c r="AD116" s="26">
        <f t="shared" si="79"/>
        <v>12.499999999999996</v>
      </c>
      <c r="AE116" s="26">
        <f t="shared" si="79"/>
        <v>12.499999999999996</v>
      </c>
      <c r="AF116" s="26">
        <f t="shared" si="79"/>
        <v>12.499999999999996</v>
      </c>
      <c r="AG116" s="26">
        <f t="shared" si="79"/>
        <v>12.499999999999996</v>
      </c>
      <c r="AH116" s="26">
        <f t="shared" si="79"/>
        <v>12.499999999999996</v>
      </c>
      <c r="AI116" s="26">
        <f t="shared" si="79"/>
        <v>12.499999999999996</v>
      </c>
      <c r="AJ116" s="26">
        <f t="shared" si="79"/>
        <v>12.499999999999996</v>
      </c>
      <c r="AK116" s="26">
        <f t="shared" si="79"/>
        <v>0</v>
      </c>
      <c r="AL116" s="26">
        <f t="shared" si="79"/>
        <v>0</v>
      </c>
    </row>
    <row r="117" spans="3:38" outlineLevel="1">
      <c r="C117" s="3" t="str">
        <f t="shared" si="73"/>
        <v>IMaMS</v>
      </c>
      <c r="E117" s="3" t="s">
        <v>29</v>
      </c>
      <c r="S117" s="26">
        <f t="shared" ref="S117:AL117" si="80">S41*$Q25</f>
        <v>0</v>
      </c>
      <c r="T117" s="26">
        <f t="shared" si="80"/>
        <v>0</v>
      </c>
      <c r="U117" s="26">
        <f t="shared" si="80"/>
        <v>0</v>
      </c>
      <c r="V117" s="26">
        <f t="shared" si="80"/>
        <v>0</v>
      </c>
      <c r="W117" s="26">
        <f t="shared" si="80"/>
        <v>0</v>
      </c>
      <c r="X117" s="26">
        <f t="shared" si="80"/>
        <v>0</v>
      </c>
      <c r="Y117" s="26">
        <f t="shared" si="80"/>
        <v>0</v>
      </c>
      <c r="Z117" s="26">
        <f t="shared" si="80"/>
        <v>58.773599999999995</v>
      </c>
      <c r="AA117" s="26">
        <f t="shared" si="80"/>
        <v>58.773599999999995</v>
      </c>
      <c r="AB117" s="26">
        <f t="shared" si="80"/>
        <v>58.773599999999995</v>
      </c>
      <c r="AC117" s="26">
        <f t="shared" si="80"/>
        <v>58.773599999999995</v>
      </c>
      <c r="AD117" s="26">
        <f t="shared" si="80"/>
        <v>58.773599999999995</v>
      </c>
      <c r="AE117" s="26">
        <f t="shared" si="80"/>
        <v>0</v>
      </c>
      <c r="AF117" s="26">
        <f t="shared" si="80"/>
        <v>0</v>
      </c>
      <c r="AG117" s="26">
        <f t="shared" si="80"/>
        <v>0</v>
      </c>
      <c r="AH117" s="26">
        <f t="shared" si="80"/>
        <v>0</v>
      </c>
      <c r="AI117" s="26">
        <f t="shared" si="80"/>
        <v>0</v>
      </c>
      <c r="AJ117" s="26">
        <f t="shared" si="80"/>
        <v>0</v>
      </c>
      <c r="AK117" s="26">
        <f t="shared" si="80"/>
        <v>0</v>
      </c>
      <c r="AL117" s="26">
        <f t="shared" si="80"/>
        <v>0</v>
      </c>
    </row>
    <row r="118" spans="3:38" outlineLevel="1">
      <c r="C118" s="3" t="str">
        <f t="shared" si="73"/>
        <v>HPC</v>
      </c>
      <c r="E118" s="3" t="s">
        <v>29</v>
      </c>
      <c r="S118" s="26">
        <f t="shared" ref="S118:AL118" si="81">S42*$Q26</f>
        <v>0</v>
      </c>
      <c r="T118" s="26">
        <f t="shared" si="81"/>
        <v>0</v>
      </c>
      <c r="U118" s="26">
        <f t="shared" si="81"/>
        <v>0</v>
      </c>
      <c r="V118" s="26">
        <f t="shared" si="81"/>
        <v>0</v>
      </c>
      <c r="W118" s="26">
        <f t="shared" si="81"/>
        <v>0</v>
      </c>
      <c r="X118" s="26">
        <f t="shared" si="81"/>
        <v>0</v>
      </c>
      <c r="Y118" s="26">
        <f t="shared" si="81"/>
        <v>0</v>
      </c>
      <c r="Z118" s="26">
        <f t="shared" si="81"/>
        <v>0</v>
      </c>
      <c r="AA118" s="26">
        <f t="shared" si="81"/>
        <v>72.208799999999982</v>
      </c>
      <c r="AB118" s="26">
        <f t="shared" si="81"/>
        <v>72.208799999999982</v>
      </c>
      <c r="AC118" s="26">
        <f t="shared" si="81"/>
        <v>72.208799999999982</v>
      </c>
      <c r="AD118" s="26">
        <f t="shared" si="81"/>
        <v>72.208799999999982</v>
      </c>
      <c r="AE118" s="26">
        <f t="shared" si="81"/>
        <v>72.208799999999982</v>
      </c>
      <c r="AF118" s="26">
        <f t="shared" si="81"/>
        <v>0</v>
      </c>
      <c r="AG118" s="26">
        <f t="shared" si="81"/>
        <v>0</v>
      </c>
      <c r="AH118" s="26">
        <f t="shared" si="81"/>
        <v>0</v>
      </c>
      <c r="AI118" s="26">
        <f t="shared" si="81"/>
        <v>0</v>
      </c>
      <c r="AJ118" s="26">
        <f t="shared" si="81"/>
        <v>0</v>
      </c>
      <c r="AK118" s="26">
        <f t="shared" si="81"/>
        <v>0</v>
      </c>
      <c r="AL118" s="26">
        <f t="shared" si="81"/>
        <v>0</v>
      </c>
    </row>
    <row r="119" spans="3:38" outlineLevel="1">
      <c r="C119" s="3" t="str">
        <f t="shared" si="73"/>
        <v>&lt;&lt; add project &gt;&gt;</v>
      </c>
      <c r="E119" s="3" t="s">
        <v>29</v>
      </c>
      <c r="S119" s="26">
        <f t="shared" ref="S119:AL119" si="82">S43*$Q27</f>
        <v>0</v>
      </c>
      <c r="T119" s="26">
        <f t="shared" si="82"/>
        <v>0</v>
      </c>
      <c r="U119" s="26">
        <f t="shared" si="82"/>
        <v>0</v>
      </c>
      <c r="V119" s="26">
        <f t="shared" si="82"/>
        <v>0</v>
      </c>
      <c r="W119" s="26">
        <f t="shared" si="82"/>
        <v>0</v>
      </c>
      <c r="X119" s="26">
        <f t="shared" si="82"/>
        <v>0</v>
      </c>
      <c r="Y119" s="26">
        <f t="shared" si="82"/>
        <v>0</v>
      </c>
      <c r="Z119" s="26">
        <f t="shared" si="82"/>
        <v>0</v>
      </c>
      <c r="AA119" s="26">
        <f t="shared" si="82"/>
        <v>0</v>
      </c>
      <c r="AB119" s="26">
        <f t="shared" si="82"/>
        <v>0</v>
      </c>
      <c r="AC119" s="26">
        <f t="shared" si="82"/>
        <v>0</v>
      </c>
      <c r="AD119" s="26">
        <f t="shared" si="82"/>
        <v>0</v>
      </c>
      <c r="AE119" s="26">
        <f t="shared" si="82"/>
        <v>0</v>
      </c>
      <c r="AF119" s="26">
        <f t="shared" si="82"/>
        <v>0</v>
      </c>
      <c r="AG119" s="26">
        <f t="shared" si="82"/>
        <v>0</v>
      </c>
      <c r="AH119" s="26">
        <f t="shared" si="82"/>
        <v>0</v>
      </c>
      <c r="AI119" s="26">
        <f t="shared" si="82"/>
        <v>0</v>
      </c>
      <c r="AJ119" s="26">
        <f t="shared" si="82"/>
        <v>0</v>
      </c>
      <c r="AK119" s="26">
        <f t="shared" si="82"/>
        <v>0</v>
      </c>
      <c r="AL119" s="26">
        <f t="shared" si="82"/>
        <v>0</v>
      </c>
    </row>
    <row r="120" spans="3:38" outlineLevel="1">
      <c r="C120" s="3" t="str">
        <f t="shared" si="73"/>
        <v>&lt;&lt; add project &gt;&gt;</v>
      </c>
      <c r="E120" s="3" t="s">
        <v>29</v>
      </c>
      <c r="S120" s="26">
        <f t="shared" ref="S120:AL120" si="83">S44*$Q28</f>
        <v>0</v>
      </c>
      <c r="T120" s="26">
        <f t="shared" si="83"/>
        <v>0</v>
      </c>
      <c r="U120" s="26">
        <f t="shared" si="83"/>
        <v>0</v>
      </c>
      <c r="V120" s="26">
        <f t="shared" si="83"/>
        <v>0</v>
      </c>
      <c r="W120" s="26">
        <f t="shared" si="83"/>
        <v>0</v>
      </c>
      <c r="X120" s="26">
        <f t="shared" si="83"/>
        <v>0</v>
      </c>
      <c r="Y120" s="26">
        <f t="shared" si="83"/>
        <v>0</v>
      </c>
      <c r="Z120" s="26">
        <f t="shared" si="83"/>
        <v>0</v>
      </c>
      <c r="AA120" s="26">
        <f t="shared" si="83"/>
        <v>0</v>
      </c>
      <c r="AB120" s="26">
        <f t="shared" si="83"/>
        <v>0</v>
      </c>
      <c r="AC120" s="26">
        <f t="shared" si="83"/>
        <v>0</v>
      </c>
      <c r="AD120" s="26">
        <f t="shared" si="83"/>
        <v>0</v>
      </c>
      <c r="AE120" s="26">
        <f t="shared" si="83"/>
        <v>0</v>
      </c>
      <c r="AF120" s="26">
        <f t="shared" si="83"/>
        <v>0</v>
      </c>
      <c r="AG120" s="26">
        <f t="shared" si="83"/>
        <v>0</v>
      </c>
      <c r="AH120" s="26">
        <f t="shared" si="83"/>
        <v>0</v>
      </c>
      <c r="AI120" s="26">
        <f t="shared" si="83"/>
        <v>0</v>
      </c>
      <c r="AJ120" s="26">
        <f t="shared" si="83"/>
        <v>0</v>
      </c>
      <c r="AK120" s="26">
        <f t="shared" si="83"/>
        <v>0</v>
      </c>
      <c r="AL120" s="26">
        <f t="shared" si="83"/>
        <v>0</v>
      </c>
    </row>
    <row r="121" spans="3:38" outlineLevel="1">
      <c r="C121" s="3" t="str">
        <f t="shared" si="73"/>
        <v>&lt;&lt; add project &gt;&gt;</v>
      </c>
      <c r="E121" s="3" t="s">
        <v>29</v>
      </c>
      <c r="S121" s="26">
        <f t="shared" ref="S121:AL121" si="84">S45*$Q29</f>
        <v>0</v>
      </c>
      <c r="T121" s="26">
        <f t="shared" si="84"/>
        <v>0</v>
      </c>
      <c r="U121" s="26">
        <f t="shared" si="84"/>
        <v>0</v>
      </c>
      <c r="V121" s="26">
        <f t="shared" si="84"/>
        <v>0</v>
      </c>
      <c r="W121" s="26">
        <f t="shared" si="84"/>
        <v>0</v>
      </c>
      <c r="X121" s="26">
        <f t="shared" si="84"/>
        <v>0</v>
      </c>
      <c r="Y121" s="26">
        <f t="shared" si="84"/>
        <v>0</v>
      </c>
      <c r="Z121" s="26">
        <f t="shared" si="84"/>
        <v>0</v>
      </c>
      <c r="AA121" s="26">
        <f t="shared" si="84"/>
        <v>0</v>
      </c>
      <c r="AB121" s="26">
        <f t="shared" si="84"/>
        <v>0</v>
      </c>
      <c r="AC121" s="26">
        <f t="shared" si="84"/>
        <v>0</v>
      </c>
      <c r="AD121" s="26">
        <f t="shared" si="84"/>
        <v>0</v>
      </c>
      <c r="AE121" s="26">
        <f t="shared" si="84"/>
        <v>0</v>
      </c>
      <c r="AF121" s="26">
        <f t="shared" si="84"/>
        <v>0</v>
      </c>
      <c r="AG121" s="26">
        <f t="shared" si="84"/>
        <v>0</v>
      </c>
      <c r="AH121" s="26">
        <f t="shared" si="84"/>
        <v>0</v>
      </c>
      <c r="AI121" s="26">
        <f t="shared" si="84"/>
        <v>0</v>
      </c>
      <c r="AJ121" s="26">
        <f t="shared" si="84"/>
        <v>0</v>
      </c>
      <c r="AK121" s="26">
        <f t="shared" si="84"/>
        <v>0</v>
      </c>
      <c r="AL121" s="26">
        <f t="shared" si="84"/>
        <v>0</v>
      </c>
    </row>
    <row r="122" spans="3:38" outlineLevel="1">
      <c r="C122" s="3" t="str">
        <f t="shared" si="73"/>
        <v>&lt;&lt; add project &gt;&gt;</v>
      </c>
      <c r="E122" s="3" t="s">
        <v>29</v>
      </c>
      <c r="S122" s="26">
        <f t="shared" ref="S122:AL122" si="85">S46*$Q30</f>
        <v>0</v>
      </c>
      <c r="T122" s="26">
        <f t="shared" si="85"/>
        <v>0</v>
      </c>
      <c r="U122" s="26">
        <f t="shared" si="85"/>
        <v>0</v>
      </c>
      <c r="V122" s="26">
        <f t="shared" si="85"/>
        <v>0</v>
      </c>
      <c r="W122" s="26">
        <f t="shared" si="85"/>
        <v>0</v>
      </c>
      <c r="X122" s="26">
        <f t="shared" si="85"/>
        <v>0</v>
      </c>
      <c r="Y122" s="26">
        <f t="shared" si="85"/>
        <v>0</v>
      </c>
      <c r="Z122" s="26">
        <f t="shared" si="85"/>
        <v>0</v>
      </c>
      <c r="AA122" s="26">
        <f t="shared" si="85"/>
        <v>0</v>
      </c>
      <c r="AB122" s="26">
        <f t="shared" si="85"/>
        <v>0</v>
      </c>
      <c r="AC122" s="26">
        <f t="shared" si="85"/>
        <v>0</v>
      </c>
      <c r="AD122" s="26">
        <f t="shared" si="85"/>
        <v>0</v>
      </c>
      <c r="AE122" s="26">
        <f t="shared" si="85"/>
        <v>0</v>
      </c>
      <c r="AF122" s="26">
        <f t="shared" si="85"/>
        <v>0</v>
      </c>
      <c r="AG122" s="26">
        <f t="shared" si="85"/>
        <v>0</v>
      </c>
      <c r="AH122" s="26">
        <f t="shared" si="85"/>
        <v>0</v>
      </c>
      <c r="AI122" s="26">
        <f t="shared" si="85"/>
        <v>0</v>
      </c>
      <c r="AJ122" s="26">
        <f t="shared" si="85"/>
        <v>0</v>
      </c>
      <c r="AK122" s="26">
        <f t="shared" si="85"/>
        <v>0</v>
      </c>
      <c r="AL122" s="26">
        <f t="shared" si="85"/>
        <v>0</v>
      </c>
    </row>
    <row r="123" spans="3:38" outlineLevel="1">
      <c r="C123" s="3" t="str">
        <f t="shared" si="73"/>
        <v>&lt;&lt; add project &gt;&gt;</v>
      </c>
      <c r="E123" s="3" t="s">
        <v>29</v>
      </c>
      <c r="S123" s="26">
        <f t="shared" ref="S123:AL123" si="86">S47*$Q31</f>
        <v>0</v>
      </c>
      <c r="T123" s="26">
        <f t="shared" si="86"/>
        <v>0</v>
      </c>
      <c r="U123" s="26">
        <f t="shared" si="86"/>
        <v>0</v>
      </c>
      <c r="V123" s="26">
        <f t="shared" si="86"/>
        <v>0</v>
      </c>
      <c r="W123" s="26">
        <f t="shared" si="86"/>
        <v>0</v>
      </c>
      <c r="X123" s="26">
        <f t="shared" si="86"/>
        <v>0</v>
      </c>
      <c r="Y123" s="26">
        <f t="shared" si="86"/>
        <v>0</v>
      </c>
      <c r="Z123" s="26">
        <f t="shared" si="86"/>
        <v>0</v>
      </c>
      <c r="AA123" s="26">
        <f t="shared" si="86"/>
        <v>0</v>
      </c>
      <c r="AB123" s="26">
        <f t="shared" si="86"/>
        <v>0</v>
      </c>
      <c r="AC123" s="26">
        <f t="shared" si="86"/>
        <v>0</v>
      </c>
      <c r="AD123" s="26">
        <f t="shared" si="86"/>
        <v>0</v>
      </c>
      <c r="AE123" s="26">
        <f t="shared" si="86"/>
        <v>0</v>
      </c>
      <c r="AF123" s="26">
        <f t="shared" si="86"/>
        <v>0</v>
      </c>
      <c r="AG123" s="26">
        <f t="shared" si="86"/>
        <v>0</v>
      </c>
      <c r="AH123" s="26">
        <f t="shared" si="86"/>
        <v>0</v>
      </c>
      <c r="AI123" s="26">
        <f t="shared" si="86"/>
        <v>0</v>
      </c>
      <c r="AJ123" s="26">
        <f t="shared" si="86"/>
        <v>0</v>
      </c>
      <c r="AK123" s="26">
        <f t="shared" si="86"/>
        <v>0</v>
      </c>
      <c r="AL123" s="26">
        <f t="shared" si="86"/>
        <v>0</v>
      </c>
    </row>
    <row r="124" spans="3:38" ht="8.5" customHeight="1"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</row>
    <row r="125" spans="3:38">
      <c r="C125" s="17" t="s">
        <v>950</v>
      </c>
      <c r="E125" s="17" t="s">
        <v>29</v>
      </c>
      <c r="S125" s="27">
        <f>SUMPRODUCT($F$35:$F$47,S111:S123)</f>
        <v>0</v>
      </c>
      <c r="T125" s="27">
        <f t="shared" ref="T125:AL125" si="87">SUMPRODUCT($F$35:$F$47,T111:T123)</f>
        <v>0</v>
      </c>
      <c r="U125" s="27">
        <f t="shared" si="87"/>
        <v>0</v>
      </c>
      <c r="V125" s="27">
        <f t="shared" si="87"/>
        <v>0</v>
      </c>
      <c r="W125" s="27">
        <f t="shared" si="87"/>
        <v>0</v>
      </c>
      <c r="X125" s="27">
        <f t="shared" si="87"/>
        <v>107.21096924999999</v>
      </c>
      <c r="Y125" s="27">
        <f t="shared" si="87"/>
        <v>107.21096924999999</v>
      </c>
      <c r="Z125" s="27">
        <f t="shared" si="87"/>
        <v>170.39126574999997</v>
      </c>
      <c r="AA125" s="27">
        <f t="shared" si="87"/>
        <v>242.60006574999994</v>
      </c>
      <c r="AB125" s="27">
        <f t="shared" si="87"/>
        <v>157.04199999999997</v>
      </c>
      <c r="AC125" s="27">
        <f t="shared" si="87"/>
        <v>169.54199999999997</v>
      </c>
      <c r="AD125" s="27">
        <f t="shared" si="87"/>
        <v>169.54199999999997</v>
      </c>
      <c r="AE125" s="27">
        <f t="shared" si="87"/>
        <v>90.151999999999987</v>
      </c>
      <c r="AF125" s="27">
        <f t="shared" si="87"/>
        <v>17.943199999999997</v>
      </c>
      <c r="AG125" s="27">
        <f t="shared" si="87"/>
        <v>17.943199999999997</v>
      </c>
      <c r="AH125" s="27">
        <f t="shared" si="87"/>
        <v>17.943199999999997</v>
      </c>
      <c r="AI125" s="27">
        <f t="shared" si="87"/>
        <v>17.943199999999997</v>
      </c>
      <c r="AJ125" s="27">
        <f t="shared" si="87"/>
        <v>17.943199999999997</v>
      </c>
      <c r="AK125" s="27">
        <f t="shared" si="87"/>
        <v>5.4431999999999992</v>
      </c>
      <c r="AL125" s="27">
        <f t="shared" si="87"/>
        <v>5.4431999999999992</v>
      </c>
    </row>
    <row r="126" spans="3:38">
      <c r="C126" s="17" t="s">
        <v>951</v>
      </c>
      <c r="E126" s="17" t="s">
        <v>29</v>
      </c>
      <c r="S126" s="27">
        <f>S$12*$Q$11</f>
        <v>0</v>
      </c>
      <c r="T126" s="27">
        <f t="shared" ref="T126:AL126" si="88">T$12*$Q$11</f>
        <v>0</v>
      </c>
      <c r="U126" s="27">
        <f t="shared" si="88"/>
        <v>0</v>
      </c>
      <c r="V126" s="27">
        <f t="shared" si="88"/>
        <v>0</v>
      </c>
      <c r="W126" s="27">
        <f t="shared" si="88"/>
        <v>0</v>
      </c>
      <c r="X126" s="27">
        <f t="shared" si="88"/>
        <v>0</v>
      </c>
      <c r="Y126" s="27">
        <f t="shared" si="88"/>
        <v>0</v>
      </c>
      <c r="Z126" s="27">
        <f t="shared" si="88"/>
        <v>0</v>
      </c>
      <c r="AA126" s="27">
        <f t="shared" si="88"/>
        <v>0</v>
      </c>
      <c r="AB126" s="27">
        <f t="shared" si="88"/>
        <v>0</v>
      </c>
      <c r="AC126" s="27">
        <f t="shared" si="88"/>
        <v>0</v>
      </c>
      <c r="AD126" s="27">
        <f t="shared" si="88"/>
        <v>0</v>
      </c>
      <c r="AE126" s="27">
        <f t="shared" si="88"/>
        <v>0</v>
      </c>
      <c r="AF126" s="27">
        <f t="shared" si="88"/>
        <v>0</v>
      </c>
      <c r="AG126" s="27">
        <f t="shared" si="88"/>
        <v>0</v>
      </c>
      <c r="AH126" s="27">
        <f t="shared" si="88"/>
        <v>0</v>
      </c>
      <c r="AI126" s="27">
        <f t="shared" si="88"/>
        <v>0</v>
      </c>
      <c r="AJ126" s="27">
        <f t="shared" si="88"/>
        <v>0</v>
      </c>
      <c r="AK126" s="27">
        <f t="shared" si="88"/>
        <v>0</v>
      </c>
      <c r="AL126" s="27">
        <f t="shared" si="88"/>
        <v>0</v>
      </c>
    </row>
    <row r="127" spans="3:38">
      <c r="C127" s="17" t="s">
        <v>12</v>
      </c>
      <c r="E127" s="17" t="s">
        <v>29</v>
      </c>
      <c r="S127" s="27">
        <f>SUM(S125:S126)</f>
        <v>0</v>
      </c>
      <c r="T127" s="27">
        <f t="shared" ref="T127" si="89">SUM(T125:T126)</f>
        <v>0</v>
      </c>
      <c r="U127" s="27">
        <f t="shared" ref="U127" si="90">SUM(U125:U126)</f>
        <v>0</v>
      </c>
      <c r="V127" s="27">
        <f t="shared" ref="V127" si="91">SUM(V125:V126)</f>
        <v>0</v>
      </c>
      <c r="W127" s="27">
        <f t="shared" ref="W127" si="92">SUM(W125:W126)</f>
        <v>0</v>
      </c>
      <c r="X127" s="27">
        <f t="shared" ref="X127" si="93">SUM(X125:X126)</f>
        <v>107.21096924999999</v>
      </c>
      <c r="Y127" s="27">
        <f t="shared" ref="Y127" si="94">SUM(Y125:Y126)</f>
        <v>107.21096924999999</v>
      </c>
      <c r="Z127" s="27">
        <f t="shared" ref="Z127" si="95">SUM(Z125:Z126)</f>
        <v>170.39126574999997</v>
      </c>
      <c r="AA127" s="27">
        <f t="shared" ref="AA127" si="96">SUM(AA125:AA126)</f>
        <v>242.60006574999994</v>
      </c>
      <c r="AB127" s="27">
        <f t="shared" ref="AB127" si="97">SUM(AB125:AB126)</f>
        <v>157.04199999999997</v>
      </c>
      <c r="AC127" s="27">
        <f t="shared" ref="AC127" si="98">SUM(AC125:AC126)</f>
        <v>169.54199999999997</v>
      </c>
      <c r="AD127" s="27">
        <f t="shared" ref="AD127" si="99">SUM(AD125:AD126)</f>
        <v>169.54199999999997</v>
      </c>
      <c r="AE127" s="27">
        <f t="shared" ref="AE127" si="100">SUM(AE125:AE126)</f>
        <v>90.151999999999987</v>
      </c>
      <c r="AF127" s="27">
        <f t="shared" ref="AF127" si="101">SUM(AF125:AF126)</f>
        <v>17.943199999999997</v>
      </c>
      <c r="AG127" s="27">
        <f t="shared" ref="AG127" si="102">SUM(AG125:AG126)</f>
        <v>17.943199999999997</v>
      </c>
      <c r="AH127" s="27">
        <f t="shared" ref="AH127" si="103">SUM(AH125:AH126)</f>
        <v>17.943199999999997</v>
      </c>
      <c r="AI127" s="27">
        <f t="shared" ref="AI127" si="104">SUM(AI125:AI126)</f>
        <v>17.943199999999997</v>
      </c>
      <c r="AJ127" s="27">
        <f t="shared" ref="AJ127" si="105">SUM(AJ125:AJ126)</f>
        <v>17.943199999999997</v>
      </c>
      <c r="AK127" s="27">
        <f t="shared" ref="AK127" si="106">SUM(AK125:AK126)</f>
        <v>5.4431999999999992</v>
      </c>
      <c r="AL127" s="27">
        <f t="shared" ref="AL127" si="107">SUM(AL125:AL126)</f>
        <v>5.4431999999999992</v>
      </c>
    </row>
    <row r="129" spans="2:38" ht="13.5" thickBot="1">
      <c r="B129" s="6" t="s">
        <v>947</v>
      </c>
      <c r="C129" s="6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</row>
    <row r="130" spans="2:38" outlineLevel="1">
      <c r="C130" s="3" t="str">
        <f>C111</f>
        <v>AMAP</v>
      </c>
      <c r="E130" s="3" t="s">
        <v>29</v>
      </c>
      <c r="S130" s="26">
        <f>S53*$Q20</f>
        <v>0</v>
      </c>
      <c r="T130" s="26">
        <f t="shared" ref="T130:AL130" si="108">T53*$Q20</f>
        <v>0</v>
      </c>
      <c r="U130" s="26">
        <f t="shared" si="108"/>
        <v>0</v>
      </c>
      <c r="V130" s="26">
        <f t="shared" si="108"/>
        <v>0</v>
      </c>
      <c r="W130" s="26">
        <f t="shared" si="108"/>
        <v>0</v>
      </c>
      <c r="X130" s="26">
        <f t="shared" si="108"/>
        <v>0</v>
      </c>
      <c r="Y130" s="26">
        <f t="shared" si="108"/>
        <v>0</v>
      </c>
      <c r="Z130" s="26">
        <f t="shared" si="108"/>
        <v>77.716799999999978</v>
      </c>
      <c r="AA130" s="26">
        <f t="shared" si="108"/>
        <v>74.433599999999984</v>
      </c>
      <c r="AB130" s="26">
        <f t="shared" si="108"/>
        <v>71.150399999999991</v>
      </c>
      <c r="AC130" s="26">
        <f t="shared" si="108"/>
        <v>67.867199999999983</v>
      </c>
      <c r="AD130" s="26">
        <f t="shared" si="108"/>
        <v>64.583999999999989</v>
      </c>
      <c r="AE130" s="26">
        <f t="shared" si="108"/>
        <v>61.300799999999988</v>
      </c>
      <c r="AF130" s="26">
        <f t="shared" si="108"/>
        <v>58.017599999999995</v>
      </c>
      <c r="AG130" s="26">
        <f t="shared" si="108"/>
        <v>54.734399999999994</v>
      </c>
      <c r="AH130" s="26">
        <f t="shared" si="108"/>
        <v>51.451199999999993</v>
      </c>
      <c r="AI130" s="26">
        <f t="shared" si="108"/>
        <v>48.167999999999992</v>
      </c>
      <c r="AJ130" s="26">
        <f t="shared" si="108"/>
        <v>44.884799999999998</v>
      </c>
      <c r="AK130" s="26">
        <f t="shared" si="108"/>
        <v>41.601599999999998</v>
      </c>
      <c r="AL130" s="26">
        <f t="shared" si="108"/>
        <v>38.318399999999997</v>
      </c>
    </row>
    <row r="131" spans="2:38" outlineLevel="1">
      <c r="C131" s="3" t="str">
        <f t="shared" ref="C131:C142" si="109">C112</f>
        <v>RADAR Upgrade (2022)</v>
      </c>
      <c r="E131" s="3" t="s">
        <v>29</v>
      </c>
      <c r="S131" s="26">
        <f t="shared" ref="S131:AL131" si="110">S54*$Q21</f>
        <v>0</v>
      </c>
      <c r="T131" s="26">
        <f t="shared" si="110"/>
        <v>0</v>
      </c>
      <c r="U131" s="26">
        <f t="shared" si="110"/>
        <v>0</v>
      </c>
      <c r="V131" s="26">
        <f t="shared" si="110"/>
        <v>0</v>
      </c>
      <c r="W131" s="26">
        <f t="shared" si="110"/>
        <v>0</v>
      </c>
      <c r="X131" s="26">
        <f t="shared" si="110"/>
        <v>0</v>
      </c>
      <c r="Y131" s="26">
        <f t="shared" si="110"/>
        <v>0</v>
      </c>
      <c r="Z131" s="26">
        <f t="shared" si="110"/>
        <v>0</v>
      </c>
      <c r="AA131" s="26">
        <f t="shared" si="110"/>
        <v>0</v>
      </c>
      <c r="AB131" s="26">
        <f t="shared" si="110"/>
        <v>51.839999999999989</v>
      </c>
      <c r="AC131" s="26">
        <f t="shared" si="110"/>
        <v>49.679999999999986</v>
      </c>
      <c r="AD131" s="26">
        <f t="shared" si="110"/>
        <v>47.519999999999982</v>
      </c>
      <c r="AE131" s="26">
        <f t="shared" si="110"/>
        <v>45.359999999999978</v>
      </c>
      <c r="AF131" s="26">
        <f t="shared" si="110"/>
        <v>43.199999999999982</v>
      </c>
      <c r="AG131" s="26">
        <f t="shared" si="110"/>
        <v>41.039999999999978</v>
      </c>
      <c r="AH131" s="26">
        <f t="shared" si="110"/>
        <v>38.879999999999974</v>
      </c>
      <c r="AI131" s="26">
        <f t="shared" si="110"/>
        <v>36.71999999999997</v>
      </c>
      <c r="AJ131" s="26">
        <f t="shared" si="110"/>
        <v>34.559999999999974</v>
      </c>
      <c r="AK131" s="26">
        <f t="shared" si="110"/>
        <v>32.39999999999997</v>
      </c>
      <c r="AL131" s="26">
        <f t="shared" si="110"/>
        <v>30.23999999999997</v>
      </c>
    </row>
    <row r="132" spans="2:38" outlineLevel="1">
      <c r="C132" s="3" t="str">
        <f t="shared" si="109"/>
        <v>RADAR Upgrade (2024)</v>
      </c>
      <c r="E132" s="3" t="s">
        <v>29</v>
      </c>
      <c r="S132" s="26">
        <f t="shared" ref="S132:AL132" si="111">S55*$Q22</f>
        <v>0</v>
      </c>
      <c r="T132" s="26">
        <f t="shared" si="111"/>
        <v>0</v>
      </c>
      <c r="U132" s="26">
        <f t="shared" si="111"/>
        <v>0</v>
      </c>
      <c r="V132" s="26">
        <f t="shared" si="111"/>
        <v>0</v>
      </c>
      <c r="W132" s="26">
        <f t="shared" si="111"/>
        <v>0</v>
      </c>
      <c r="X132" s="26">
        <f t="shared" si="111"/>
        <v>0</v>
      </c>
      <c r="Y132" s="26">
        <f t="shared" si="111"/>
        <v>0</v>
      </c>
      <c r="Z132" s="26">
        <f t="shared" si="111"/>
        <v>0</v>
      </c>
      <c r="AA132" s="26">
        <f t="shared" si="111"/>
        <v>0</v>
      </c>
      <c r="AB132" s="26">
        <f t="shared" si="111"/>
        <v>0</v>
      </c>
      <c r="AC132" s="26">
        <f t="shared" si="111"/>
        <v>0</v>
      </c>
      <c r="AD132" s="26">
        <f t="shared" si="111"/>
        <v>0</v>
      </c>
      <c r="AE132" s="26">
        <f t="shared" si="111"/>
        <v>0</v>
      </c>
      <c r="AF132" s="26">
        <f t="shared" si="111"/>
        <v>0</v>
      </c>
      <c r="AG132" s="26">
        <f t="shared" si="111"/>
        <v>0</v>
      </c>
      <c r="AH132" s="26">
        <f t="shared" si="111"/>
        <v>0</v>
      </c>
      <c r="AI132" s="26">
        <f t="shared" si="111"/>
        <v>0</v>
      </c>
      <c r="AJ132" s="26">
        <f t="shared" si="111"/>
        <v>0</v>
      </c>
      <c r="AK132" s="26">
        <f t="shared" si="111"/>
        <v>0</v>
      </c>
      <c r="AL132" s="26">
        <f t="shared" si="111"/>
        <v>0</v>
      </c>
    </row>
    <row r="133" spans="2:38" outlineLevel="1">
      <c r="C133" s="3" t="str">
        <f t="shared" si="109"/>
        <v>AUTO Climate Network</v>
      </c>
      <c r="E133" s="3" t="s">
        <v>29</v>
      </c>
      <c r="S133" s="26">
        <f t="shared" ref="S133:AL133" si="112">S56*$Q23</f>
        <v>0</v>
      </c>
      <c r="T133" s="26">
        <f t="shared" si="112"/>
        <v>0</v>
      </c>
      <c r="U133" s="26">
        <f t="shared" si="112"/>
        <v>0</v>
      </c>
      <c r="V133" s="26">
        <f t="shared" si="112"/>
        <v>0</v>
      </c>
      <c r="W133" s="26">
        <f t="shared" si="112"/>
        <v>0</v>
      </c>
      <c r="X133" s="26">
        <f t="shared" si="112"/>
        <v>0</v>
      </c>
      <c r="Y133" s="26">
        <f t="shared" si="112"/>
        <v>0</v>
      </c>
      <c r="Z133" s="26">
        <f t="shared" si="112"/>
        <v>82.465599999999995</v>
      </c>
      <c r="AA133" s="26">
        <f t="shared" si="112"/>
        <v>61.849200000000003</v>
      </c>
      <c r="AB133" s="26">
        <f t="shared" si="112"/>
        <v>41.232800000000005</v>
      </c>
      <c r="AC133" s="26">
        <f t="shared" si="112"/>
        <v>20.616400000000006</v>
      </c>
      <c r="AD133" s="26">
        <f t="shared" si="112"/>
        <v>5.6843418860808002E-15</v>
      </c>
      <c r="AE133" s="26">
        <f t="shared" si="112"/>
        <v>5.6843418860808002E-15</v>
      </c>
      <c r="AF133" s="26">
        <f t="shared" si="112"/>
        <v>5.6843418860808002E-15</v>
      </c>
      <c r="AG133" s="26">
        <f t="shared" si="112"/>
        <v>5.6843418860808002E-15</v>
      </c>
      <c r="AH133" s="26">
        <f t="shared" si="112"/>
        <v>5.6843418860808002E-15</v>
      </c>
      <c r="AI133" s="26">
        <f t="shared" si="112"/>
        <v>5.6843418860808002E-15</v>
      </c>
      <c r="AJ133" s="26">
        <f t="shared" si="112"/>
        <v>5.6843418860808002E-15</v>
      </c>
      <c r="AK133" s="26">
        <f t="shared" si="112"/>
        <v>5.6843418860808002E-15</v>
      </c>
      <c r="AL133" s="26">
        <f t="shared" si="112"/>
        <v>5.6843418860808002E-15</v>
      </c>
    </row>
    <row r="134" spans="2:38" outlineLevel="1">
      <c r="C134" s="3" t="str">
        <f t="shared" si="109"/>
        <v>METCOM</v>
      </c>
      <c r="E134" s="3" t="s">
        <v>29</v>
      </c>
      <c r="S134" s="26">
        <f t="shared" ref="S134:AL134" si="113">S57*$Q24</f>
        <v>0</v>
      </c>
      <c r="T134" s="26">
        <f t="shared" si="113"/>
        <v>0</v>
      </c>
      <c r="U134" s="26">
        <f t="shared" si="113"/>
        <v>0</v>
      </c>
      <c r="V134" s="26">
        <f t="shared" si="113"/>
        <v>0</v>
      </c>
      <c r="W134" s="26">
        <f t="shared" si="113"/>
        <v>0</v>
      </c>
      <c r="X134" s="26">
        <f t="shared" si="113"/>
        <v>0</v>
      </c>
      <c r="Y134" s="26">
        <f t="shared" si="113"/>
        <v>0</v>
      </c>
      <c r="Z134" s="26">
        <f t="shared" si="113"/>
        <v>0</v>
      </c>
      <c r="AA134" s="26">
        <f t="shared" si="113"/>
        <v>0</v>
      </c>
      <c r="AB134" s="26">
        <f t="shared" si="113"/>
        <v>0</v>
      </c>
      <c r="AC134" s="26">
        <f t="shared" si="113"/>
        <v>87.499999999999986</v>
      </c>
      <c r="AD134" s="26">
        <f t="shared" si="113"/>
        <v>74.999999999999986</v>
      </c>
      <c r="AE134" s="26">
        <f t="shared" si="113"/>
        <v>62.499999999999986</v>
      </c>
      <c r="AF134" s="26">
        <f t="shared" si="113"/>
        <v>49.999999999999986</v>
      </c>
      <c r="AG134" s="26">
        <f t="shared" si="113"/>
        <v>37.499999999999993</v>
      </c>
      <c r="AH134" s="26">
        <f t="shared" si="113"/>
        <v>24.999999999999993</v>
      </c>
      <c r="AI134" s="26">
        <f t="shared" si="113"/>
        <v>12.499999999999996</v>
      </c>
      <c r="AJ134" s="26">
        <f t="shared" si="113"/>
        <v>0</v>
      </c>
      <c r="AK134" s="26">
        <f t="shared" si="113"/>
        <v>0</v>
      </c>
      <c r="AL134" s="26">
        <f t="shared" si="113"/>
        <v>0</v>
      </c>
    </row>
    <row r="135" spans="2:38" outlineLevel="1">
      <c r="C135" s="3" t="str">
        <f t="shared" si="109"/>
        <v>AUTOMETAR</v>
      </c>
      <c r="E135" s="3" t="s">
        <v>29</v>
      </c>
      <c r="S135" s="26">
        <f t="shared" ref="S135:AL135" si="114">S58*$Q25</f>
        <v>0</v>
      </c>
      <c r="T135" s="26">
        <f t="shared" si="114"/>
        <v>0</v>
      </c>
      <c r="U135" s="26">
        <f t="shared" si="114"/>
        <v>0</v>
      </c>
      <c r="V135" s="26">
        <f t="shared" si="114"/>
        <v>0</v>
      </c>
      <c r="W135" s="26">
        <f t="shared" si="114"/>
        <v>0</v>
      </c>
      <c r="X135" s="26">
        <f t="shared" si="114"/>
        <v>0</v>
      </c>
      <c r="Y135" s="26">
        <f t="shared" si="114"/>
        <v>0</v>
      </c>
      <c r="Z135" s="26">
        <f t="shared" si="114"/>
        <v>235.09439999999998</v>
      </c>
      <c r="AA135" s="26">
        <f t="shared" si="114"/>
        <v>176.32079999999999</v>
      </c>
      <c r="AB135" s="26">
        <f t="shared" si="114"/>
        <v>117.54719999999999</v>
      </c>
      <c r="AC135" s="26">
        <f t="shared" si="114"/>
        <v>58.773599999999995</v>
      </c>
      <c r="AD135" s="26">
        <f t="shared" si="114"/>
        <v>0</v>
      </c>
      <c r="AE135" s="26">
        <f t="shared" si="114"/>
        <v>0</v>
      </c>
      <c r="AF135" s="26">
        <f t="shared" si="114"/>
        <v>0</v>
      </c>
      <c r="AG135" s="26">
        <f t="shared" si="114"/>
        <v>0</v>
      </c>
      <c r="AH135" s="26">
        <f t="shared" si="114"/>
        <v>0</v>
      </c>
      <c r="AI135" s="26">
        <f t="shared" si="114"/>
        <v>0</v>
      </c>
      <c r="AJ135" s="26">
        <f t="shared" si="114"/>
        <v>0</v>
      </c>
      <c r="AK135" s="26">
        <f t="shared" si="114"/>
        <v>0</v>
      </c>
      <c r="AL135" s="26">
        <f t="shared" si="114"/>
        <v>0</v>
      </c>
    </row>
    <row r="136" spans="2:38" outlineLevel="1">
      <c r="C136" s="3" t="str">
        <f t="shared" si="109"/>
        <v>IMaMS</v>
      </c>
      <c r="E136" s="3" t="s">
        <v>29</v>
      </c>
      <c r="S136" s="26">
        <f t="shared" ref="S136:AL136" si="115">S59*$Q26</f>
        <v>0</v>
      </c>
      <c r="T136" s="26">
        <f t="shared" si="115"/>
        <v>0</v>
      </c>
      <c r="U136" s="26">
        <f t="shared" si="115"/>
        <v>0</v>
      </c>
      <c r="V136" s="26">
        <f t="shared" si="115"/>
        <v>0</v>
      </c>
      <c r="W136" s="26">
        <f t="shared" si="115"/>
        <v>0</v>
      </c>
      <c r="X136" s="26">
        <f t="shared" si="115"/>
        <v>0</v>
      </c>
      <c r="Y136" s="26">
        <f t="shared" si="115"/>
        <v>0</v>
      </c>
      <c r="Z136" s="26">
        <f t="shared" si="115"/>
        <v>0</v>
      </c>
      <c r="AA136" s="26">
        <f t="shared" si="115"/>
        <v>288.83519999999993</v>
      </c>
      <c r="AB136" s="26">
        <f t="shared" si="115"/>
        <v>216.62639999999996</v>
      </c>
      <c r="AC136" s="26">
        <f t="shared" si="115"/>
        <v>144.41759999999999</v>
      </c>
      <c r="AD136" s="26">
        <f t="shared" si="115"/>
        <v>72.208799999999997</v>
      </c>
      <c r="AE136" s="26">
        <f t="shared" si="115"/>
        <v>2.2737367544323201E-14</v>
      </c>
      <c r="AF136" s="26">
        <f t="shared" si="115"/>
        <v>2.2737367544323201E-14</v>
      </c>
      <c r="AG136" s="26">
        <f t="shared" si="115"/>
        <v>2.2737367544323201E-14</v>
      </c>
      <c r="AH136" s="26">
        <f t="shared" si="115"/>
        <v>2.2737367544323201E-14</v>
      </c>
      <c r="AI136" s="26">
        <f t="shared" si="115"/>
        <v>2.2737367544323201E-14</v>
      </c>
      <c r="AJ136" s="26">
        <f t="shared" si="115"/>
        <v>2.2737367544323201E-14</v>
      </c>
      <c r="AK136" s="26">
        <f t="shared" si="115"/>
        <v>2.2737367544323201E-14</v>
      </c>
      <c r="AL136" s="26">
        <f t="shared" si="115"/>
        <v>2.2737367544323201E-14</v>
      </c>
    </row>
    <row r="137" spans="2:38" outlineLevel="1">
      <c r="C137" s="3" t="str">
        <f t="shared" si="109"/>
        <v>HPC</v>
      </c>
      <c r="E137" s="3" t="s">
        <v>29</v>
      </c>
      <c r="S137" s="26">
        <f t="shared" ref="S137:AL137" si="116">S60*$Q27</f>
        <v>0</v>
      </c>
      <c r="T137" s="26">
        <f t="shared" si="116"/>
        <v>0</v>
      </c>
      <c r="U137" s="26">
        <f t="shared" si="116"/>
        <v>0</v>
      </c>
      <c r="V137" s="26">
        <f t="shared" si="116"/>
        <v>0</v>
      </c>
      <c r="W137" s="26">
        <f t="shared" si="116"/>
        <v>0</v>
      </c>
      <c r="X137" s="26">
        <f t="shared" si="116"/>
        <v>0</v>
      </c>
      <c r="Y137" s="26">
        <f t="shared" si="116"/>
        <v>0</v>
      </c>
      <c r="Z137" s="26">
        <f t="shared" si="116"/>
        <v>0</v>
      </c>
      <c r="AA137" s="26">
        <f t="shared" si="116"/>
        <v>0</v>
      </c>
      <c r="AB137" s="26">
        <f t="shared" si="116"/>
        <v>0</v>
      </c>
      <c r="AC137" s="26">
        <f t="shared" si="116"/>
        <v>0</v>
      </c>
      <c r="AD137" s="26">
        <f t="shared" si="116"/>
        <v>0</v>
      </c>
      <c r="AE137" s="26">
        <f t="shared" si="116"/>
        <v>0</v>
      </c>
      <c r="AF137" s="26">
        <f t="shared" si="116"/>
        <v>0</v>
      </c>
      <c r="AG137" s="26">
        <f t="shared" si="116"/>
        <v>0</v>
      </c>
      <c r="AH137" s="26">
        <f t="shared" si="116"/>
        <v>0</v>
      </c>
      <c r="AI137" s="26">
        <f t="shared" si="116"/>
        <v>0</v>
      </c>
      <c r="AJ137" s="26">
        <f t="shared" si="116"/>
        <v>0</v>
      </c>
      <c r="AK137" s="26">
        <f t="shared" si="116"/>
        <v>0</v>
      </c>
      <c r="AL137" s="26">
        <f t="shared" si="116"/>
        <v>0</v>
      </c>
    </row>
    <row r="138" spans="2:38" outlineLevel="1">
      <c r="C138" s="3" t="str">
        <f t="shared" si="109"/>
        <v>&lt;&lt; add project &gt;&gt;</v>
      </c>
      <c r="E138" s="3" t="s">
        <v>29</v>
      </c>
      <c r="S138" s="26">
        <f t="shared" ref="S138:AL138" si="117">S61*$Q28</f>
        <v>0</v>
      </c>
      <c r="T138" s="26">
        <f t="shared" si="117"/>
        <v>0</v>
      </c>
      <c r="U138" s="26">
        <f t="shared" si="117"/>
        <v>0</v>
      </c>
      <c r="V138" s="26">
        <f t="shared" si="117"/>
        <v>0</v>
      </c>
      <c r="W138" s="26">
        <f t="shared" si="117"/>
        <v>0</v>
      </c>
      <c r="X138" s="26">
        <f t="shared" si="117"/>
        <v>0</v>
      </c>
      <c r="Y138" s="26">
        <f t="shared" si="117"/>
        <v>0</v>
      </c>
      <c r="Z138" s="26">
        <f t="shared" si="117"/>
        <v>0</v>
      </c>
      <c r="AA138" s="26">
        <f t="shared" si="117"/>
        <v>0</v>
      </c>
      <c r="AB138" s="26">
        <f t="shared" si="117"/>
        <v>0</v>
      </c>
      <c r="AC138" s="26">
        <f t="shared" si="117"/>
        <v>0</v>
      </c>
      <c r="AD138" s="26">
        <f t="shared" si="117"/>
        <v>0</v>
      </c>
      <c r="AE138" s="26">
        <f t="shared" si="117"/>
        <v>0</v>
      </c>
      <c r="AF138" s="26">
        <f t="shared" si="117"/>
        <v>0</v>
      </c>
      <c r="AG138" s="26">
        <f t="shared" si="117"/>
        <v>0</v>
      </c>
      <c r="AH138" s="26">
        <f t="shared" si="117"/>
        <v>0</v>
      </c>
      <c r="AI138" s="26">
        <f t="shared" si="117"/>
        <v>0</v>
      </c>
      <c r="AJ138" s="26">
        <f t="shared" si="117"/>
        <v>0</v>
      </c>
      <c r="AK138" s="26">
        <f t="shared" si="117"/>
        <v>0</v>
      </c>
      <c r="AL138" s="26">
        <f t="shared" si="117"/>
        <v>0</v>
      </c>
    </row>
    <row r="139" spans="2:38" outlineLevel="1">
      <c r="C139" s="3" t="str">
        <f t="shared" si="109"/>
        <v>&lt;&lt; add project &gt;&gt;</v>
      </c>
      <c r="E139" s="3" t="s">
        <v>29</v>
      </c>
      <c r="S139" s="26">
        <f t="shared" ref="S139:AL139" si="118">S62*$Q29</f>
        <v>0</v>
      </c>
      <c r="T139" s="26">
        <f t="shared" si="118"/>
        <v>0</v>
      </c>
      <c r="U139" s="26">
        <f t="shared" si="118"/>
        <v>0</v>
      </c>
      <c r="V139" s="26">
        <f t="shared" si="118"/>
        <v>0</v>
      </c>
      <c r="W139" s="26">
        <f t="shared" si="118"/>
        <v>0</v>
      </c>
      <c r="X139" s="26">
        <f t="shared" si="118"/>
        <v>0</v>
      </c>
      <c r="Y139" s="26">
        <f t="shared" si="118"/>
        <v>0</v>
      </c>
      <c r="Z139" s="26">
        <f t="shared" si="118"/>
        <v>0</v>
      </c>
      <c r="AA139" s="26">
        <f t="shared" si="118"/>
        <v>0</v>
      </c>
      <c r="AB139" s="26">
        <f t="shared" si="118"/>
        <v>0</v>
      </c>
      <c r="AC139" s="26">
        <f t="shared" si="118"/>
        <v>0</v>
      </c>
      <c r="AD139" s="26">
        <f t="shared" si="118"/>
        <v>0</v>
      </c>
      <c r="AE139" s="26">
        <f t="shared" si="118"/>
        <v>0</v>
      </c>
      <c r="AF139" s="26">
        <f t="shared" si="118"/>
        <v>0</v>
      </c>
      <c r="AG139" s="26">
        <f t="shared" si="118"/>
        <v>0</v>
      </c>
      <c r="AH139" s="26">
        <f t="shared" si="118"/>
        <v>0</v>
      </c>
      <c r="AI139" s="26">
        <f t="shared" si="118"/>
        <v>0</v>
      </c>
      <c r="AJ139" s="26">
        <f t="shared" si="118"/>
        <v>0</v>
      </c>
      <c r="AK139" s="26">
        <f t="shared" si="118"/>
        <v>0</v>
      </c>
      <c r="AL139" s="26">
        <f t="shared" si="118"/>
        <v>0</v>
      </c>
    </row>
    <row r="140" spans="2:38" outlineLevel="1">
      <c r="C140" s="3" t="str">
        <f t="shared" si="109"/>
        <v>&lt;&lt; add project &gt;&gt;</v>
      </c>
      <c r="E140" s="3" t="s">
        <v>29</v>
      </c>
      <c r="S140" s="26">
        <f t="shared" ref="S140:AL140" si="119">S63*$Q30</f>
        <v>0</v>
      </c>
      <c r="T140" s="26">
        <f t="shared" si="119"/>
        <v>0</v>
      </c>
      <c r="U140" s="26">
        <f t="shared" si="119"/>
        <v>0</v>
      </c>
      <c r="V140" s="26">
        <f t="shared" si="119"/>
        <v>0</v>
      </c>
      <c r="W140" s="26">
        <f t="shared" si="119"/>
        <v>0</v>
      </c>
      <c r="X140" s="26">
        <f t="shared" si="119"/>
        <v>0</v>
      </c>
      <c r="Y140" s="26">
        <f t="shared" si="119"/>
        <v>0</v>
      </c>
      <c r="Z140" s="26">
        <f t="shared" si="119"/>
        <v>0</v>
      </c>
      <c r="AA140" s="26">
        <f t="shared" si="119"/>
        <v>0</v>
      </c>
      <c r="AB140" s="26">
        <f t="shared" si="119"/>
        <v>0</v>
      </c>
      <c r="AC140" s="26">
        <f t="shared" si="119"/>
        <v>0</v>
      </c>
      <c r="AD140" s="26">
        <f t="shared" si="119"/>
        <v>0</v>
      </c>
      <c r="AE140" s="26">
        <f t="shared" si="119"/>
        <v>0</v>
      </c>
      <c r="AF140" s="26">
        <f t="shared" si="119"/>
        <v>0</v>
      </c>
      <c r="AG140" s="26">
        <f t="shared" si="119"/>
        <v>0</v>
      </c>
      <c r="AH140" s="26">
        <f t="shared" si="119"/>
        <v>0</v>
      </c>
      <c r="AI140" s="26">
        <f t="shared" si="119"/>
        <v>0</v>
      </c>
      <c r="AJ140" s="26">
        <f t="shared" si="119"/>
        <v>0</v>
      </c>
      <c r="AK140" s="26">
        <f t="shared" si="119"/>
        <v>0</v>
      </c>
      <c r="AL140" s="26">
        <f t="shared" si="119"/>
        <v>0</v>
      </c>
    </row>
    <row r="141" spans="2:38" outlineLevel="1">
      <c r="C141" s="3" t="str">
        <f t="shared" si="109"/>
        <v>&lt;&lt; add project &gt;&gt;</v>
      </c>
      <c r="E141" s="3" t="s">
        <v>29</v>
      </c>
      <c r="S141" s="26">
        <f t="shared" ref="S141:AL141" si="120">S64*$Q31</f>
        <v>0</v>
      </c>
      <c r="T141" s="26">
        <f t="shared" si="120"/>
        <v>0</v>
      </c>
      <c r="U141" s="26">
        <f t="shared" si="120"/>
        <v>0</v>
      </c>
      <c r="V141" s="26">
        <f t="shared" si="120"/>
        <v>0</v>
      </c>
      <c r="W141" s="26">
        <f t="shared" si="120"/>
        <v>0</v>
      </c>
      <c r="X141" s="26">
        <f t="shared" si="120"/>
        <v>0</v>
      </c>
      <c r="Y141" s="26">
        <f t="shared" si="120"/>
        <v>0</v>
      </c>
      <c r="Z141" s="26">
        <f t="shared" si="120"/>
        <v>0</v>
      </c>
      <c r="AA141" s="26">
        <f t="shared" si="120"/>
        <v>0</v>
      </c>
      <c r="AB141" s="26">
        <f t="shared" si="120"/>
        <v>0</v>
      </c>
      <c r="AC141" s="26">
        <f t="shared" si="120"/>
        <v>0</v>
      </c>
      <c r="AD141" s="26">
        <f t="shared" si="120"/>
        <v>0</v>
      </c>
      <c r="AE141" s="26">
        <f t="shared" si="120"/>
        <v>0</v>
      </c>
      <c r="AF141" s="26">
        <f t="shared" si="120"/>
        <v>0</v>
      </c>
      <c r="AG141" s="26">
        <f t="shared" si="120"/>
        <v>0</v>
      </c>
      <c r="AH141" s="26">
        <f t="shared" si="120"/>
        <v>0</v>
      </c>
      <c r="AI141" s="26">
        <f t="shared" si="120"/>
        <v>0</v>
      </c>
      <c r="AJ141" s="26">
        <f t="shared" si="120"/>
        <v>0</v>
      </c>
      <c r="AK141" s="26">
        <f t="shared" si="120"/>
        <v>0</v>
      </c>
      <c r="AL141" s="26">
        <f t="shared" si="120"/>
        <v>0</v>
      </c>
    </row>
    <row r="142" spans="2:38" outlineLevel="1">
      <c r="C142" s="3" t="str">
        <f t="shared" si="109"/>
        <v>&lt;&lt; add project &gt;&gt;</v>
      </c>
      <c r="E142" s="3" t="s">
        <v>29</v>
      </c>
      <c r="S142" s="26">
        <f t="shared" ref="S142:AL142" si="121">S65*$Q32</f>
        <v>0</v>
      </c>
      <c r="T142" s="26">
        <f t="shared" si="121"/>
        <v>0</v>
      </c>
      <c r="U142" s="26">
        <f t="shared" si="121"/>
        <v>0</v>
      </c>
      <c r="V142" s="26">
        <f t="shared" si="121"/>
        <v>0</v>
      </c>
      <c r="W142" s="26">
        <f t="shared" si="121"/>
        <v>0</v>
      </c>
      <c r="X142" s="26">
        <f t="shared" si="121"/>
        <v>0</v>
      </c>
      <c r="Y142" s="26">
        <f t="shared" si="121"/>
        <v>0</v>
      </c>
      <c r="Z142" s="26">
        <f t="shared" si="121"/>
        <v>0</v>
      </c>
      <c r="AA142" s="26">
        <f t="shared" si="121"/>
        <v>0</v>
      </c>
      <c r="AB142" s="26">
        <f t="shared" si="121"/>
        <v>0</v>
      </c>
      <c r="AC142" s="26">
        <f t="shared" si="121"/>
        <v>0</v>
      </c>
      <c r="AD142" s="26">
        <f t="shared" si="121"/>
        <v>0</v>
      </c>
      <c r="AE142" s="26">
        <f t="shared" si="121"/>
        <v>0</v>
      </c>
      <c r="AF142" s="26">
        <f t="shared" si="121"/>
        <v>0</v>
      </c>
      <c r="AG142" s="26">
        <f t="shared" si="121"/>
        <v>0</v>
      </c>
      <c r="AH142" s="26">
        <f t="shared" si="121"/>
        <v>0</v>
      </c>
      <c r="AI142" s="26">
        <f t="shared" si="121"/>
        <v>0</v>
      </c>
      <c r="AJ142" s="26">
        <f t="shared" si="121"/>
        <v>0</v>
      </c>
      <c r="AK142" s="26">
        <f t="shared" si="121"/>
        <v>0</v>
      </c>
      <c r="AL142" s="26">
        <f t="shared" si="121"/>
        <v>0</v>
      </c>
    </row>
    <row r="143" spans="2:38"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</row>
    <row r="144" spans="2:38">
      <c r="C144" s="17" t="s">
        <v>950</v>
      </c>
      <c r="E144" s="17" t="s">
        <v>29</v>
      </c>
      <c r="S144" s="26">
        <f>SUMPRODUCT($F$52:$F$64,S130:S142)</f>
        <v>0</v>
      </c>
      <c r="T144" s="26">
        <f t="shared" ref="T144:AL144" si="122">SUMPRODUCT($F$52:$F$64,T130:T142)</f>
        <v>0</v>
      </c>
      <c r="U144" s="26">
        <f t="shared" si="122"/>
        <v>0</v>
      </c>
      <c r="V144" s="26">
        <f t="shared" si="122"/>
        <v>0</v>
      </c>
      <c r="W144" s="26">
        <f t="shared" si="122"/>
        <v>0</v>
      </c>
      <c r="X144" s="26">
        <f t="shared" si="122"/>
        <v>0</v>
      </c>
      <c r="Y144" s="26">
        <f t="shared" si="122"/>
        <v>0</v>
      </c>
      <c r="Z144" s="26">
        <f t="shared" si="122"/>
        <v>395.27679999999998</v>
      </c>
      <c r="AA144" s="26">
        <f t="shared" si="122"/>
        <v>601.4387999999999</v>
      </c>
      <c r="AB144" s="26">
        <f t="shared" si="122"/>
        <v>498.39679999999998</v>
      </c>
      <c r="AC144" s="26">
        <f t="shared" si="122"/>
        <v>428.85479999999995</v>
      </c>
      <c r="AD144" s="26">
        <f t="shared" si="122"/>
        <v>259.31279999999992</v>
      </c>
      <c r="AE144" s="26">
        <f t="shared" si="122"/>
        <v>169.16079999999997</v>
      </c>
      <c r="AF144" s="26">
        <f t="shared" si="122"/>
        <v>151.21759999999998</v>
      </c>
      <c r="AG144" s="26">
        <f t="shared" si="122"/>
        <v>133.27439999999999</v>
      </c>
      <c r="AH144" s="26">
        <f t="shared" si="122"/>
        <v>115.3312</v>
      </c>
      <c r="AI144" s="26">
        <f t="shared" si="122"/>
        <v>97.387999999999991</v>
      </c>
      <c r="AJ144" s="26">
        <f t="shared" si="122"/>
        <v>79.444800000000001</v>
      </c>
      <c r="AK144" s="26">
        <f t="shared" si="122"/>
        <v>74.001599999999996</v>
      </c>
      <c r="AL144" s="26">
        <f t="shared" si="122"/>
        <v>68.558399999999992</v>
      </c>
    </row>
    <row r="145" spans="2:38">
      <c r="C145" s="17" t="s">
        <v>951</v>
      </c>
      <c r="E145" s="17" t="s">
        <v>29</v>
      </c>
      <c r="S145" s="23">
        <f>S$11*$Q$11</f>
        <v>0</v>
      </c>
      <c r="T145" s="23">
        <f t="shared" ref="T145:AL145" si="123">T$11*$Q$11</f>
        <v>0</v>
      </c>
      <c r="U145" s="23">
        <f t="shared" si="123"/>
        <v>0</v>
      </c>
      <c r="V145" s="23">
        <f t="shared" si="123"/>
        <v>0</v>
      </c>
      <c r="W145" s="23">
        <f t="shared" si="123"/>
        <v>0</v>
      </c>
      <c r="X145" s="23">
        <f t="shared" si="123"/>
        <v>0</v>
      </c>
      <c r="Y145" s="23">
        <f t="shared" si="123"/>
        <v>0</v>
      </c>
      <c r="Z145" s="23">
        <f t="shared" si="123"/>
        <v>0</v>
      </c>
      <c r="AA145" s="23">
        <f t="shared" si="123"/>
        <v>0</v>
      </c>
      <c r="AB145" s="23">
        <f t="shared" si="123"/>
        <v>0</v>
      </c>
      <c r="AC145" s="23">
        <f t="shared" si="123"/>
        <v>0</v>
      </c>
      <c r="AD145" s="23">
        <f t="shared" si="123"/>
        <v>0</v>
      </c>
      <c r="AE145" s="23">
        <f t="shared" si="123"/>
        <v>0</v>
      </c>
      <c r="AF145" s="23">
        <f t="shared" si="123"/>
        <v>0</v>
      </c>
      <c r="AG145" s="23">
        <f t="shared" si="123"/>
        <v>0</v>
      </c>
      <c r="AH145" s="23">
        <f t="shared" si="123"/>
        <v>0</v>
      </c>
      <c r="AI145" s="23">
        <f t="shared" si="123"/>
        <v>0</v>
      </c>
      <c r="AJ145" s="23">
        <f t="shared" si="123"/>
        <v>0</v>
      </c>
      <c r="AK145" s="23">
        <f t="shared" si="123"/>
        <v>0</v>
      </c>
      <c r="AL145" s="23">
        <f t="shared" si="123"/>
        <v>0</v>
      </c>
    </row>
    <row r="146" spans="2:38">
      <c r="C146" s="17" t="s">
        <v>12</v>
      </c>
      <c r="E146" s="17" t="s">
        <v>29</v>
      </c>
      <c r="S146" s="147">
        <f t="shared" ref="S146" si="124">SUM(S144:S145)</f>
        <v>0</v>
      </c>
      <c r="T146" s="147">
        <f t="shared" ref="T146:AL146" si="125">SUM(T144:T145)</f>
        <v>0</v>
      </c>
      <c r="U146" s="147">
        <f t="shared" si="125"/>
        <v>0</v>
      </c>
      <c r="V146" s="147">
        <f t="shared" si="125"/>
        <v>0</v>
      </c>
      <c r="W146" s="147">
        <f t="shared" si="125"/>
        <v>0</v>
      </c>
      <c r="X146" s="147">
        <f t="shared" si="125"/>
        <v>0</v>
      </c>
      <c r="Y146" s="147">
        <f t="shared" si="125"/>
        <v>0</v>
      </c>
      <c r="Z146" s="147">
        <f t="shared" si="125"/>
        <v>395.27679999999998</v>
      </c>
      <c r="AA146" s="147">
        <f t="shared" si="125"/>
        <v>601.4387999999999</v>
      </c>
      <c r="AB146" s="147">
        <f t="shared" si="125"/>
        <v>498.39679999999998</v>
      </c>
      <c r="AC146" s="147">
        <f t="shared" si="125"/>
        <v>428.85479999999995</v>
      </c>
      <c r="AD146" s="147">
        <f t="shared" si="125"/>
        <v>259.31279999999992</v>
      </c>
      <c r="AE146" s="147">
        <f t="shared" si="125"/>
        <v>169.16079999999997</v>
      </c>
      <c r="AF146" s="147">
        <f t="shared" si="125"/>
        <v>151.21759999999998</v>
      </c>
      <c r="AG146" s="147">
        <f t="shared" si="125"/>
        <v>133.27439999999999</v>
      </c>
      <c r="AH146" s="147">
        <f t="shared" si="125"/>
        <v>115.3312</v>
      </c>
      <c r="AI146" s="147">
        <f t="shared" si="125"/>
        <v>97.387999999999991</v>
      </c>
      <c r="AJ146" s="147">
        <f t="shared" si="125"/>
        <v>79.444800000000001</v>
      </c>
      <c r="AK146" s="147">
        <f t="shared" si="125"/>
        <v>74.001599999999996</v>
      </c>
      <c r="AL146" s="147">
        <f t="shared" si="125"/>
        <v>68.558399999999992</v>
      </c>
    </row>
    <row r="148" spans="2:38">
      <c r="B148" s="5" t="s">
        <v>60</v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</row>
  </sheetData>
  <dataValidations count="1">
    <dataValidation type="list" allowBlank="1" showInputMessage="1" showErrorMessage="1" sqref="F19:F31 F35:F47 F52:F64" xr:uid="{3752FB94-A4CE-4004-9A35-5FC932A472CE}">
      <formula1>"0,1"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E332-235B-4C3E-8981-6612C84C6704}">
  <sheetPr>
    <tabColor theme="5" tint="0.59999389629810485"/>
  </sheetPr>
  <dimension ref="A1:AL116"/>
  <sheetViews>
    <sheetView showGridLines="0" zoomScale="80" zoomScaleNormal="80" workbookViewId="0">
      <pane ySplit="6" topLeftCell="A7" activePane="bottomLeft" state="frozen"/>
      <selection activeCell="C2" sqref="C2"/>
      <selection pane="bottomLeft" activeCell="O102" sqref="O102"/>
    </sheetView>
  </sheetViews>
  <sheetFormatPr defaultColWidth="0" defaultRowHeight="13" outlineLevelCol="1"/>
  <cols>
    <col min="1" max="1" width="1.4531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4.453125" style="3" customWidth="1"/>
    <col min="7" max="7" width="12.54296875" style="3" customWidth="1"/>
    <col min="8" max="8" width="11.7265625" style="3" hidden="1" customWidth="1" outlineLevel="1"/>
    <col min="9" max="9" width="2.81640625" style="3" hidden="1" customWidth="1" outlineLevel="1"/>
    <col min="10" max="10" width="13.453125" style="3" hidden="1" customWidth="1" outlineLevel="1"/>
    <col min="11" max="11" width="13.453125" style="3" customWidth="1" collapsed="1"/>
    <col min="12" max="31" width="11.54296875" style="3" bestFit="1" customWidth="1"/>
    <col min="32" max="32" width="3.26953125" style="3" customWidth="1"/>
    <col min="33" max="16384" width="0" style="3" hidden="1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tr">
        <f>'Misc. Items'!H2</f>
        <v>Period Start</v>
      </c>
      <c r="L2" s="10">
        <f>'Misc. Items'!I2</f>
        <v>42005</v>
      </c>
      <c r="M2" s="10">
        <f>'Misc. Items'!J2</f>
        <v>42370</v>
      </c>
      <c r="N2" s="10">
        <f>'Misc. Items'!K2</f>
        <v>42736</v>
      </c>
      <c r="O2" s="10">
        <f>'Misc. Items'!L2</f>
        <v>43101</v>
      </c>
      <c r="P2" s="10">
        <f>'Misc. Items'!M2</f>
        <v>43466</v>
      </c>
      <c r="Q2" s="10">
        <f>'Misc. Items'!N2</f>
        <v>43831</v>
      </c>
      <c r="R2" s="10">
        <f>'Misc. Items'!O2</f>
        <v>44197</v>
      </c>
      <c r="S2" s="10">
        <f>'Misc. Items'!P2</f>
        <v>44562</v>
      </c>
      <c r="T2" s="10">
        <f>'Misc. Items'!Q2</f>
        <v>44927</v>
      </c>
      <c r="U2" s="10">
        <f>'Misc. Items'!R2</f>
        <v>45292</v>
      </c>
      <c r="V2" s="10">
        <f>'Misc. Items'!S2</f>
        <v>45658</v>
      </c>
      <c r="W2" s="10">
        <f>'Misc. Items'!T2</f>
        <v>46023</v>
      </c>
      <c r="X2" s="10">
        <f>'Misc. Items'!U2</f>
        <v>46388</v>
      </c>
      <c r="Y2" s="10">
        <f>'Misc. Items'!V2</f>
        <v>46753</v>
      </c>
      <c r="Z2" s="10">
        <f>'Misc. Items'!W2</f>
        <v>47119</v>
      </c>
      <c r="AA2" s="10">
        <f>'Misc. Items'!X2</f>
        <v>47484</v>
      </c>
      <c r="AB2" s="10">
        <f>'Misc. Items'!Y2</f>
        <v>47849</v>
      </c>
      <c r="AC2" s="10">
        <f>'Misc. Items'!Z2</f>
        <v>48214</v>
      </c>
      <c r="AD2" s="10">
        <f>'Misc. Items'!AA2</f>
        <v>48580</v>
      </c>
      <c r="AE2" s="10">
        <f>'Misc. Items'!AB2</f>
        <v>48945</v>
      </c>
    </row>
    <row r="3" spans="2:31">
      <c r="B3" s="4"/>
      <c r="C3" s="215" t="s">
        <v>121</v>
      </c>
      <c r="D3" s="4"/>
      <c r="E3" s="4"/>
      <c r="F3" s="4"/>
      <c r="G3" s="4"/>
      <c r="H3" s="4"/>
      <c r="I3" s="4"/>
      <c r="J3" s="4"/>
      <c r="K3" s="5" t="str">
        <f>'Misc. Items'!H3</f>
        <v>Period End</v>
      </c>
      <c r="L3" s="10">
        <f>'Misc. Items'!I3</f>
        <v>42369</v>
      </c>
      <c r="M3" s="10">
        <f>'Misc. Items'!J3</f>
        <v>42735</v>
      </c>
      <c r="N3" s="10">
        <f>'Misc. Items'!K3</f>
        <v>43100</v>
      </c>
      <c r="O3" s="10">
        <f>'Misc. Items'!L3</f>
        <v>43465</v>
      </c>
      <c r="P3" s="10">
        <f>'Misc. Items'!M3</f>
        <v>43830</v>
      </c>
      <c r="Q3" s="10">
        <f>'Misc. Items'!N3</f>
        <v>44196</v>
      </c>
      <c r="R3" s="10">
        <f>'Misc. Items'!O3</f>
        <v>44561</v>
      </c>
      <c r="S3" s="10">
        <f>'Misc. Items'!P3</f>
        <v>44926</v>
      </c>
      <c r="T3" s="10">
        <f>'Misc. Items'!Q3</f>
        <v>45291</v>
      </c>
      <c r="U3" s="10">
        <f>'Misc. Items'!R3</f>
        <v>45657</v>
      </c>
      <c r="V3" s="10">
        <f>'Misc. Items'!S3</f>
        <v>46022</v>
      </c>
      <c r="W3" s="10">
        <f>'Misc. Items'!T3</f>
        <v>46387</v>
      </c>
      <c r="X3" s="10">
        <f>'Misc. Items'!U3</f>
        <v>46752</v>
      </c>
      <c r="Y3" s="10">
        <f>'Misc. Items'!V3</f>
        <v>47118</v>
      </c>
      <c r="Z3" s="10">
        <f>'Misc. Items'!W3</f>
        <v>47483</v>
      </c>
      <c r="AA3" s="10">
        <f>'Misc. Items'!X3</f>
        <v>47848</v>
      </c>
      <c r="AB3" s="10">
        <f>'Misc. Items'!Y3</f>
        <v>48213</v>
      </c>
      <c r="AC3" s="10">
        <f>'Misc. Items'!Z3</f>
        <v>48579</v>
      </c>
      <c r="AD3" s="10">
        <f>'Misc. Items'!AA3</f>
        <v>48944</v>
      </c>
      <c r="AE3" s="10">
        <f>'Misc. Items'!AB3</f>
        <v>49309</v>
      </c>
    </row>
    <row r="4" spans="2:31">
      <c r="B4" s="4"/>
      <c r="C4" s="1540" t="s">
        <v>123</v>
      </c>
      <c r="D4" s="4"/>
      <c r="E4" s="4"/>
      <c r="F4" s="4"/>
      <c r="G4" s="4"/>
      <c r="H4" s="4"/>
      <c r="I4" s="4"/>
      <c r="J4" s="4"/>
      <c r="K4" s="5" t="s">
        <v>124</v>
      </c>
      <c r="L4" s="11">
        <f>'Misc. Items'!I4</f>
        <v>2015</v>
      </c>
      <c r="M4" s="11">
        <f>'Misc. Items'!J4</f>
        <v>2016</v>
      </c>
      <c r="N4" s="11">
        <f>'Misc. Items'!K4</f>
        <v>2017</v>
      </c>
      <c r="O4" s="11">
        <f>'Misc. Items'!L4</f>
        <v>2018</v>
      </c>
      <c r="P4" s="11">
        <f>'Misc. Items'!M4</f>
        <v>2019</v>
      </c>
      <c r="Q4" s="11">
        <f>'Misc. Items'!N4</f>
        <v>2020</v>
      </c>
      <c r="R4" s="11">
        <f>'Misc. Items'!O4</f>
        <v>2021</v>
      </c>
      <c r="S4" s="11">
        <f>'Misc. Items'!P4</f>
        <v>2022</v>
      </c>
      <c r="T4" s="11">
        <f>'Misc. Items'!Q4</f>
        <v>2023</v>
      </c>
      <c r="U4" s="11">
        <f>'Misc. Items'!R4</f>
        <v>2024</v>
      </c>
      <c r="V4" s="11">
        <f>'Misc. Items'!S4</f>
        <v>2025</v>
      </c>
      <c r="W4" s="11">
        <f>'Misc. Items'!T4</f>
        <v>2026</v>
      </c>
      <c r="X4" s="11">
        <f>'Misc. Items'!U4</f>
        <v>2027</v>
      </c>
      <c r="Y4" s="11">
        <f>'Misc. Items'!V4</f>
        <v>2028</v>
      </c>
      <c r="Z4" s="11">
        <f>'Misc. Items'!W4</f>
        <v>2029</v>
      </c>
      <c r="AA4" s="11">
        <f>'Misc. Items'!X4</f>
        <v>2030</v>
      </c>
      <c r="AB4" s="11">
        <f>'Misc. Items'!Y4</f>
        <v>2031</v>
      </c>
      <c r="AC4" s="11">
        <f>'Misc. Items'!Z4</f>
        <v>2032</v>
      </c>
      <c r="AD4" s="11">
        <f>'Misc. Items'!AA4</f>
        <v>2033</v>
      </c>
      <c r="AE4" s="11">
        <f>'Misc. Items'!AB4</f>
        <v>2034</v>
      </c>
    </row>
    <row r="5" spans="2:31">
      <c r="B5" s="4"/>
      <c r="C5" s="5" t="str">
        <f>"Price Base: "&amp;IF(E5=1,2018,'Misc. Items'!$F$26)</f>
        <v>Price Base: 2017</v>
      </c>
      <c r="D5" s="5" t="s">
        <v>952</v>
      </c>
      <c r="E5" s="249">
        <v>0</v>
      </c>
      <c r="F5" s="4"/>
      <c r="G5" s="4"/>
      <c r="H5" s="4"/>
      <c r="I5" s="4"/>
      <c r="J5" s="4"/>
      <c r="K5" s="5" t="str">
        <f>'Misc. Items'!H5</f>
        <v>Period Counter</v>
      </c>
      <c r="L5" s="11">
        <f>'Misc. Items'!I5</f>
        <v>1</v>
      </c>
      <c r="M5" s="11">
        <f>'Misc. Items'!J5</f>
        <v>2</v>
      </c>
      <c r="N5" s="11">
        <f>'Misc. Items'!K5</f>
        <v>3</v>
      </c>
      <c r="O5" s="11">
        <f>'Misc. Items'!L5</f>
        <v>4</v>
      </c>
      <c r="P5" s="11">
        <f>'Misc. Items'!M5</f>
        <v>5</v>
      </c>
      <c r="Q5" s="11">
        <f>'Misc. Items'!N5</f>
        <v>6</v>
      </c>
      <c r="R5" s="11">
        <f>'Misc. Items'!O5</f>
        <v>7</v>
      </c>
      <c r="S5" s="11">
        <f>'Misc. Items'!P5</f>
        <v>8</v>
      </c>
      <c r="T5" s="11">
        <f>'Misc. Items'!Q5</f>
        <v>9</v>
      </c>
      <c r="U5" s="11">
        <f>'Misc. Items'!R5</f>
        <v>10</v>
      </c>
      <c r="V5" s="11">
        <f>'Misc. Items'!S5</f>
        <v>11</v>
      </c>
      <c r="W5" s="11">
        <f>'Misc. Items'!T5</f>
        <v>12</v>
      </c>
      <c r="X5" s="11">
        <f>'Misc. Items'!U5</f>
        <v>13</v>
      </c>
      <c r="Y5" s="11">
        <f>'Misc. Items'!V5</f>
        <v>14</v>
      </c>
      <c r="Z5" s="11">
        <f>'Misc. Items'!W5</f>
        <v>15</v>
      </c>
      <c r="AA5" s="11">
        <f>'Misc. Items'!X5</f>
        <v>16</v>
      </c>
      <c r="AB5" s="11">
        <f>'Misc. Items'!Y5</f>
        <v>17</v>
      </c>
      <c r="AC5" s="11">
        <f>'Misc. Items'!Z5</f>
        <v>18</v>
      </c>
      <c r="AD5" s="11">
        <f>'Misc. Items'!AA5</f>
        <v>19</v>
      </c>
      <c r="AE5" s="11">
        <f>'Misc. Items'!AB5</f>
        <v>20</v>
      </c>
    </row>
    <row r="6" spans="2:31">
      <c r="B6" s="4"/>
      <c r="C6" s="5" t="s">
        <v>9</v>
      </c>
      <c r="D6" s="4"/>
      <c r="E6" s="5"/>
      <c r="F6" s="5"/>
      <c r="G6" s="5" t="s">
        <v>953</v>
      </c>
      <c r="H6" s="5" t="s">
        <v>176</v>
      </c>
      <c r="I6" s="5"/>
      <c r="J6" s="5" t="s">
        <v>177</v>
      </c>
      <c r="K6" s="5" t="str">
        <f>'Misc. Items'!H6</f>
        <v>RP#</v>
      </c>
      <c r="L6" s="11" t="str">
        <f>'Misc. Items'!I6</f>
        <v>RP2</v>
      </c>
      <c r="M6" s="11" t="str">
        <f>'Misc. Items'!J6</f>
        <v>RP2</v>
      </c>
      <c r="N6" s="11" t="str">
        <f>'Misc. Items'!K6</f>
        <v>RP2</v>
      </c>
      <c r="O6" s="11" t="str">
        <f>'Misc. Items'!L6</f>
        <v>RP2</v>
      </c>
      <c r="P6" s="11" t="str">
        <f>'Misc. Items'!M6</f>
        <v>RP2</v>
      </c>
      <c r="Q6" s="11" t="str">
        <f>'Misc. Items'!N6</f>
        <v>RP3</v>
      </c>
      <c r="R6" s="11" t="str">
        <f>'Misc. Items'!O6</f>
        <v>RP3</v>
      </c>
      <c r="S6" s="11" t="str">
        <f>'Misc. Items'!P6</f>
        <v>RP3</v>
      </c>
      <c r="T6" s="11" t="str">
        <f>'Misc. Items'!Q6</f>
        <v>RP3</v>
      </c>
      <c r="U6" s="11" t="str">
        <f>'Misc. Items'!R6</f>
        <v>RP3</v>
      </c>
      <c r="V6" s="11" t="str">
        <f>'Misc. Items'!S6</f>
        <v>RP4</v>
      </c>
      <c r="W6" s="11" t="str">
        <f>'Misc. Items'!T6</f>
        <v>RP4</v>
      </c>
      <c r="X6" s="11" t="str">
        <f>'Misc. Items'!U6</f>
        <v>RP4</v>
      </c>
      <c r="Y6" s="11" t="str">
        <f>'Misc. Items'!V6</f>
        <v>RP4</v>
      </c>
      <c r="Z6" s="11" t="str">
        <f>'Misc. Items'!W6</f>
        <v>RP4</v>
      </c>
      <c r="AA6" s="11" t="str">
        <f>'Misc. Items'!X6</f>
        <v>RP5</v>
      </c>
      <c r="AB6" s="11" t="str">
        <f>'Misc. Items'!Y6</f>
        <v>RP5</v>
      </c>
      <c r="AC6" s="11" t="str">
        <f>'Misc. Items'!Z6</f>
        <v>RP5</v>
      </c>
      <c r="AD6" s="11" t="str">
        <f>'Misc. Items'!AA6</f>
        <v>RP5</v>
      </c>
      <c r="AE6" s="11" t="str">
        <f>'Misc. Items'!AB6</f>
        <v>RP5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795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796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797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798</v>
      </c>
      <c r="E13" s="3" t="s">
        <v>29</v>
      </c>
      <c r="L13" s="38"/>
      <c r="M13" s="38"/>
      <c r="N13" s="38"/>
      <c r="O13" s="38"/>
      <c r="P13" s="38"/>
      <c r="Q13" s="149"/>
      <c r="R13" s="149"/>
      <c r="S13" s="149"/>
      <c r="T13" s="149"/>
      <c r="U13" s="149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pans="2:31">
      <c r="C14" s="3" t="s">
        <v>796</v>
      </c>
      <c r="E14" s="3" t="s">
        <v>29</v>
      </c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pans="2:31">
      <c r="C15" s="3" t="s">
        <v>799</v>
      </c>
      <c r="E15" s="3" t="s">
        <v>29</v>
      </c>
      <c r="L15" s="149"/>
      <c r="M15" s="149"/>
      <c r="N15" s="149"/>
      <c r="O15" s="149"/>
      <c r="P15" s="149"/>
      <c r="Q15" s="149">
        <f>343.01/IF($E$5=1,1,1+'Misc. Items'!$L$26)</f>
        <v>340.62562065541215</v>
      </c>
      <c r="R15" s="149">
        <f>343.01/IF($E$5=1,1,1+'Misc. Items'!$L$26)</f>
        <v>340.62562065541215</v>
      </c>
      <c r="S15" s="149">
        <f>337.23/IF($E$5=1,1,1+'Misc. Items'!$L$26)</f>
        <v>334.88579940417088</v>
      </c>
      <c r="T15" s="149">
        <f>315.117/IF($E$5=1,1,1+'Misc. Items'!$L$26)</f>
        <v>312.92651439920559</v>
      </c>
      <c r="U15" s="149">
        <f>315.117/IF($E$5=1,1,1+'Misc. Items'!$L$26)</f>
        <v>312.92651439920559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pans="2:31">
      <c r="P16" s="245"/>
    </row>
    <row r="17" spans="3:31">
      <c r="R17" s="148"/>
      <c r="S17" s="148"/>
      <c r="T17" s="148"/>
      <c r="U17" s="148"/>
    </row>
    <row r="18" spans="3:31" ht="13.5" thickBot="1">
      <c r="C18" s="6" t="s">
        <v>954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3:31">
      <c r="C19" s="3" t="s">
        <v>955</v>
      </c>
      <c r="E19" s="3" t="s">
        <v>64</v>
      </c>
      <c r="L19" s="173">
        <v>0</v>
      </c>
      <c r="M19" s="173">
        <v>0</v>
      </c>
      <c r="N19" s="173">
        <v>0</v>
      </c>
      <c r="O19" s="173">
        <v>0</v>
      </c>
      <c r="P19" s="173">
        <v>0</v>
      </c>
      <c r="Q19" s="173">
        <f>6+1</f>
        <v>7</v>
      </c>
      <c r="R19" s="173">
        <f>6+1</f>
        <v>7</v>
      </c>
      <c r="S19" s="173">
        <f>6+1</f>
        <v>7</v>
      </c>
      <c r="T19" s="173">
        <f>6+1</f>
        <v>7</v>
      </c>
      <c r="U19" s="173">
        <f>6+1</f>
        <v>7</v>
      </c>
      <c r="V19" s="173">
        <v>0</v>
      </c>
      <c r="W19" s="173">
        <v>0</v>
      </c>
      <c r="X19" s="173">
        <v>0</v>
      </c>
      <c r="Y19" s="173">
        <v>0</v>
      </c>
      <c r="Z19" s="173">
        <v>0</v>
      </c>
      <c r="AA19" s="173">
        <v>0</v>
      </c>
      <c r="AB19" s="173">
        <v>0</v>
      </c>
      <c r="AC19" s="173">
        <v>0</v>
      </c>
      <c r="AD19" s="173">
        <v>0</v>
      </c>
      <c r="AE19" s="173">
        <v>0</v>
      </c>
    </row>
    <row r="20" spans="3:31">
      <c r="C20" s="3" t="s">
        <v>956</v>
      </c>
      <c r="E20" s="3" t="s">
        <v>64</v>
      </c>
      <c r="L20" s="173">
        <v>0</v>
      </c>
      <c r="M20" s="173">
        <v>0</v>
      </c>
      <c r="N20" s="173">
        <v>0</v>
      </c>
      <c r="O20" s="173">
        <v>0</v>
      </c>
      <c r="P20" s="173">
        <v>0</v>
      </c>
      <c r="Q20" s="173">
        <f>7+8+22</f>
        <v>37</v>
      </c>
      <c r="R20" s="173">
        <f>7+8+22</f>
        <v>37</v>
      </c>
      <c r="S20" s="173">
        <f>6+8+22</f>
        <v>36</v>
      </c>
      <c r="T20" s="173">
        <f>6+8+22</f>
        <v>36</v>
      </c>
      <c r="U20" s="173">
        <f>6+8+19</f>
        <v>33</v>
      </c>
      <c r="V20" s="173">
        <v>0</v>
      </c>
      <c r="W20" s="173">
        <v>0</v>
      </c>
      <c r="X20" s="173">
        <v>0</v>
      </c>
      <c r="Y20" s="173">
        <v>0</v>
      </c>
      <c r="Z20" s="173">
        <v>0</v>
      </c>
      <c r="AA20" s="173">
        <v>0</v>
      </c>
      <c r="AB20" s="173">
        <v>0</v>
      </c>
      <c r="AC20" s="173">
        <v>0</v>
      </c>
      <c r="AD20" s="173">
        <v>0</v>
      </c>
      <c r="AE20" s="173">
        <v>0</v>
      </c>
    </row>
    <row r="21" spans="3:31">
      <c r="C21" s="3" t="s">
        <v>957</v>
      </c>
      <c r="E21" s="3" t="s">
        <v>64</v>
      </c>
      <c r="L21" s="173">
        <v>0</v>
      </c>
      <c r="M21" s="173">
        <v>0</v>
      </c>
      <c r="N21" s="173">
        <v>0</v>
      </c>
      <c r="O21" s="173">
        <v>0</v>
      </c>
      <c r="P21" s="173">
        <v>0</v>
      </c>
      <c r="Q21" s="173">
        <v>6</v>
      </c>
      <c r="R21" s="173">
        <v>6</v>
      </c>
      <c r="S21" s="173">
        <v>6</v>
      </c>
      <c r="T21" s="173">
        <v>6</v>
      </c>
      <c r="U21" s="173">
        <v>6</v>
      </c>
      <c r="V21" s="173">
        <v>0</v>
      </c>
      <c r="W21" s="173">
        <v>0</v>
      </c>
      <c r="X21" s="173">
        <v>0</v>
      </c>
      <c r="Y21" s="173">
        <v>0</v>
      </c>
      <c r="Z21" s="173">
        <v>0</v>
      </c>
      <c r="AA21" s="173">
        <v>0</v>
      </c>
      <c r="AB21" s="173">
        <v>0</v>
      </c>
      <c r="AC21" s="173">
        <v>0</v>
      </c>
      <c r="AD21" s="173">
        <v>0</v>
      </c>
      <c r="AE21" s="173">
        <v>0</v>
      </c>
    </row>
    <row r="22" spans="3:31">
      <c r="C22" s="3" t="s">
        <v>958</v>
      </c>
      <c r="E22" s="3" t="s">
        <v>64</v>
      </c>
      <c r="L22" s="173">
        <v>0</v>
      </c>
      <c r="M22" s="173">
        <v>0</v>
      </c>
      <c r="N22" s="173">
        <v>0</v>
      </c>
      <c r="O22" s="173">
        <v>0</v>
      </c>
      <c r="P22" s="173">
        <v>0</v>
      </c>
      <c r="Q22" s="173">
        <v>2</v>
      </c>
      <c r="R22" s="173">
        <v>2</v>
      </c>
      <c r="S22" s="173">
        <v>2</v>
      </c>
      <c r="T22" s="173">
        <v>2</v>
      </c>
      <c r="U22" s="173">
        <v>2</v>
      </c>
      <c r="V22" s="173">
        <v>0</v>
      </c>
      <c r="W22" s="173">
        <v>0</v>
      </c>
      <c r="X22" s="173">
        <v>0</v>
      </c>
      <c r="Y22" s="173">
        <v>0</v>
      </c>
      <c r="Z22" s="173">
        <v>0</v>
      </c>
      <c r="AA22" s="173">
        <v>0</v>
      </c>
      <c r="AB22" s="173">
        <v>0</v>
      </c>
      <c r="AC22" s="173">
        <v>0</v>
      </c>
      <c r="AD22" s="173">
        <v>0</v>
      </c>
      <c r="AE22" s="173">
        <v>0</v>
      </c>
    </row>
    <row r="23" spans="3:31">
      <c r="C23" s="3" t="s">
        <v>807</v>
      </c>
      <c r="E23" s="3" t="s">
        <v>64</v>
      </c>
      <c r="L23" s="173">
        <v>0</v>
      </c>
      <c r="M23" s="173">
        <v>0</v>
      </c>
      <c r="N23" s="173">
        <v>0</v>
      </c>
      <c r="O23" s="173">
        <v>0</v>
      </c>
      <c r="P23" s="173">
        <v>0</v>
      </c>
      <c r="Q23" s="173">
        <v>0</v>
      </c>
      <c r="R23" s="173">
        <v>0</v>
      </c>
      <c r="S23" s="173">
        <v>0</v>
      </c>
      <c r="T23" s="173">
        <v>0</v>
      </c>
      <c r="U23" s="173">
        <v>0</v>
      </c>
      <c r="V23" s="173">
        <v>0</v>
      </c>
      <c r="W23" s="173">
        <v>0</v>
      </c>
      <c r="X23" s="173">
        <v>0</v>
      </c>
      <c r="Y23" s="173">
        <v>0</v>
      </c>
      <c r="Z23" s="173">
        <v>0</v>
      </c>
      <c r="AA23" s="173">
        <v>0</v>
      </c>
      <c r="AB23" s="173">
        <v>0</v>
      </c>
      <c r="AC23" s="173">
        <v>0</v>
      </c>
      <c r="AD23" s="173">
        <v>0</v>
      </c>
      <c r="AE23" s="173">
        <v>0</v>
      </c>
    </row>
    <row r="24" spans="3:31">
      <c r="C24" s="3" t="s">
        <v>807</v>
      </c>
      <c r="E24" s="3" t="s">
        <v>64</v>
      </c>
      <c r="L24" s="173">
        <v>0</v>
      </c>
      <c r="M24" s="173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0</v>
      </c>
      <c r="S24" s="173">
        <v>0</v>
      </c>
      <c r="T24" s="173">
        <v>0</v>
      </c>
      <c r="U24" s="173">
        <v>0</v>
      </c>
      <c r="V24" s="173">
        <v>0</v>
      </c>
      <c r="W24" s="173">
        <v>0</v>
      </c>
      <c r="X24" s="173">
        <v>0</v>
      </c>
      <c r="Y24" s="173">
        <v>0</v>
      </c>
      <c r="Z24" s="173">
        <v>0</v>
      </c>
      <c r="AA24" s="173">
        <v>0</v>
      </c>
      <c r="AB24" s="173">
        <v>0</v>
      </c>
      <c r="AC24" s="173">
        <v>0</v>
      </c>
      <c r="AD24" s="173">
        <v>0</v>
      </c>
      <c r="AE24" s="173">
        <v>0</v>
      </c>
    </row>
    <row r="25" spans="3:31">
      <c r="C25" s="3" t="s">
        <v>807</v>
      </c>
      <c r="E25" s="3" t="s">
        <v>64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0</v>
      </c>
      <c r="T25" s="173">
        <v>0</v>
      </c>
      <c r="U25" s="173">
        <v>0</v>
      </c>
      <c r="V25" s="173">
        <v>0</v>
      </c>
      <c r="W25" s="173">
        <v>0</v>
      </c>
      <c r="X25" s="173">
        <v>0</v>
      </c>
      <c r="Y25" s="173">
        <v>0</v>
      </c>
      <c r="Z25" s="173">
        <v>0</v>
      </c>
      <c r="AA25" s="173">
        <v>0</v>
      </c>
      <c r="AB25" s="173">
        <v>0</v>
      </c>
      <c r="AC25" s="173">
        <v>0</v>
      </c>
      <c r="AD25" s="173">
        <v>0</v>
      </c>
      <c r="AE25" s="173">
        <v>0</v>
      </c>
    </row>
    <row r="26" spans="3:31">
      <c r="C26" s="3" t="s">
        <v>807</v>
      </c>
      <c r="E26" s="3" t="s">
        <v>64</v>
      </c>
      <c r="L26" s="173">
        <v>0</v>
      </c>
      <c r="M26" s="173">
        <v>0</v>
      </c>
      <c r="N26" s="173">
        <v>0</v>
      </c>
      <c r="O26" s="173">
        <v>0</v>
      </c>
      <c r="P26" s="173">
        <v>0</v>
      </c>
      <c r="Q26" s="173">
        <v>0</v>
      </c>
      <c r="R26" s="173">
        <v>0</v>
      </c>
      <c r="S26" s="173">
        <v>0</v>
      </c>
      <c r="T26" s="173">
        <v>0</v>
      </c>
      <c r="U26" s="173">
        <v>0</v>
      </c>
      <c r="V26" s="173">
        <v>0</v>
      </c>
      <c r="W26" s="173">
        <v>0</v>
      </c>
      <c r="X26" s="173">
        <v>0</v>
      </c>
      <c r="Y26" s="173">
        <v>0</v>
      </c>
      <c r="Z26" s="173">
        <v>0</v>
      </c>
      <c r="AA26" s="173">
        <v>0</v>
      </c>
      <c r="AB26" s="173">
        <v>0</v>
      </c>
      <c r="AC26" s="173">
        <v>0</v>
      </c>
      <c r="AD26" s="173">
        <v>0</v>
      </c>
      <c r="AE26" s="173">
        <v>0</v>
      </c>
    </row>
    <row r="27" spans="3:31">
      <c r="C27" s="3" t="s">
        <v>807</v>
      </c>
      <c r="E27" s="3" t="s">
        <v>64</v>
      </c>
      <c r="L27" s="173">
        <v>0</v>
      </c>
      <c r="M27" s="173">
        <v>0</v>
      </c>
      <c r="N27" s="173">
        <v>0</v>
      </c>
      <c r="O27" s="173">
        <v>0</v>
      </c>
      <c r="P27" s="173">
        <v>0</v>
      </c>
      <c r="Q27" s="173">
        <v>0</v>
      </c>
      <c r="R27" s="173">
        <v>0</v>
      </c>
      <c r="S27" s="173">
        <v>0</v>
      </c>
      <c r="T27" s="173">
        <v>0</v>
      </c>
      <c r="U27" s="173">
        <v>0</v>
      </c>
      <c r="V27" s="173">
        <v>0</v>
      </c>
      <c r="W27" s="173">
        <v>0</v>
      </c>
      <c r="X27" s="173">
        <v>0</v>
      </c>
      <c r="Y27" s="173">
        <v>0</v>
      </c>
      <c r="Z27" s="173">
        <v>0</v>
      </c>
      <c r="AA27" s="173">
        <v>0</v>
      </c>
      <c r="AB27" s="173">
        <v>0</v>
      </c>
      <c r="AC27" s="173">
        <v>0</v>
      </c>
      <c r="AD27" s="173">
        <v>0</v>
      </c>
      <c r="AE27" s="173">
        <v>0</v>
      </c>
    </row>
    <row r="28" spans="3:31">
      <c r="C28" s="3" t="s">
        <v>807</v>
      </c>
      <c r="E28" s="3" t="s">
        <v>64</v>
      </c>
      <c r="L28" s="173">
        <v>0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3">
        <v>0</v>
      </c>
      <c r="W28" s="173">
        <v>0</v>
      </c>
      <c r="X28" s="173">
        <v>0</v>
      </c>
      <c r="Y28" s="173">
        <v>0</v>
      </c>
      <c r="Z28" s="173">
        <v>0</v>
      </c>
      <c r="AA28" s="173">
        <v>0</v>
      </c>
      <c r="AB28" s="173">
        <v>0</v>
      </c>
      <c r="AC28" s="173">
        <v>0</v>
      </c>
      <c r="AD28" s="173">
        <v>0</v>
      </c>
      <c r="AE28" s="173">
        <v>0</v>
      </c>
    </row>
    <row r="29" spans="3:31">
      <c r="C29" s="3" t="s">
        <v>807</v>
      </c>
      <c r="E29" s="3" t="s">
        <v>64</v>
      </c>
      <c r="L29" s="173">
        <v>0</v>
      </c>
      <c r="M29" s="173">
        <v>0</v>
      </c>
      <c r="N29" s="173">
        <v>0</v>
      </c>
      <c r="O29" s="173">
        <v>0</v>
      </c>
      <c r="P29" s="173">
        <v>0</v>
      </c>
      <c r="Q29" s="173">
        <v>0</v>
      </c>
      <c r="R29" s="173">
        <v>0</v>
      </c>
      <c r="S29" s="173">
        <v>0</v>
      </c>
      <c r="T29" s="173">
        <v>0</v>
      </c>
      <c r="U29" s="173">
        <v>0</v>
      </c>
      <c r="V29" s="173">
        <v>0</v>
      </c>
      <c r="W29" s="173">
        <v>0</v>
      </c>
      <c r="X29" s="173">
        <v>0</v>
      </c>
      <c r="Y29" s="173">
        <v>0</v>
      </c>
      <c r="Z29" s="173">
        <v>0</v>
      </c>
      <c r="AA29" s="173">
        <v>0</v>
      </c>
      <c r="AB29" s="173">
        <v>0</v>
      </c>
      <c r="AC29" s="173">
        <v>0</v>
      </c>
      <c r="AD29" s="173">
        <v>0</v>
      </c>
      <c r="AE29" s="173">
        <v>0</v>
      </c>
    </row>
    <row r="30" spans="3:31">
      <c r="C30" s="14"/>
      <c r="D30" s="14"/>
      <c r="E30" s="14"/>
      <c r="F30" s="14"/>
      <c r="G30" s="14"/>
      <c r="H30" s="14"/>
      <c r="I30" s="14"/>
      <c r="J30" s="14"/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3:31">
      <c r="C31" s="17" t="s">
        <v>808</v>
      </c>
      <c r="E31" s="3" t="s">
        <v>64</v>
      </c>
      <c r="L31" s="27">
        <f t="shared" ref="L31:AE31" si="0">SUM(L19:L29)*(L$13="")+L$13</f>
        <v>0</v>
      </c>
      <c r="M31" s="27">
        <f t="shared" si="0"/>
        <v>0</v>
      </c>
      <c r="N31" s="27">
        <f t="shared" si="0"/>
        <v>0</v>
      </c>
      <c r="O31" s="27">
        <f t="shared" si="0"/>
        <v>0</v>
      </c>
      <c r="P31" s="27">
        <f t="shared" si="0"/>
        <v>0</v>
      </c>
      <c r="Q31" s="27">
        <f t="shared" si="0"/>
        <v>52</v>
      </c>
      <c r="R31" s="27">
        <f t="shared" si="0"/>
        <v>52</v>
      </c>
      <c r="S31" s="27">
        <f t="shared" si="0"/>
        <v>51</v>
      </c>
      <c r="T31" s="27">
        <f t="shared" si="0"/>
        <v>51</v>
      </c>
      <c r="U31" s="27">
        <f t="shared" si="0"/>
        <v>48</v>
      </c>
      <c r="V31" s="27">
        <f t="shared" si="0"/>
        <v>0</v>
      </c>
      <c r="W31" s="27">
        <f t="shared" si="0"/>
        <v>0</v>
      </c>
      <c r="X31" s="27">
        <f t="shared" si="0"/>
        <v>0</v>
      </c>
      <c r="Y31" s="27">
        <f t="shared" si="0"/>
        <v>0</v>
      </c>
      <c r="Z31" s="27">
        <f t="shared" si="0"/>
        <v>0</v>
      </c>
      <c r="AA31" s="27">
        <f t="shared" si="0"/>
        <v>0</v>
      </c>
      <c r="AB31" s="27">
        <f t="shared" si="0"/>
        <v>0</v>
      </c>
      <c r="AC31" s="27">
        <f t="shared" si="0"/>
        <v>0</v>
      </c>
      <c r="AD31" s="27">
        <f t="shared" si="0"/>
        <v>0</v>
      </c>
      <c r="AE31" s="27">
        <f t="shared" si="0"/>
        <v>0</v>
      </c>
    </row>
    <row r="33" spans="1:32" s="7" customFormat="1" ht="13.5" thickBot="1">
      <c r="A33" s="3"/>
      <c r="B33" s="3"/>
      <c r="C33" s="6" t="s">
        <v>796</v>
      </c>
      <c r="H33" s="18"/>
      <c r="J33" s="18"/>
      <c r="K33" s="22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3"/>
    </row>
    <row r="34" spans="1:32">
      <c r="C34" s="3" t="s">
        <v>955</v>
      </c>
      <c r="E34" s="3" t="s">
        <v>29</v>
      </c>
      <c r="H34" s="1552">
        <v>0.8</v>
      </c>
      <c r="I34" s="17"/>
      <c r="J34" s="1553">
        <f t="shared" ref="J34:J43" si="1">1-H34</f>
        <v>0.19999999999999996</v>
      </c>
      <c r="K34" s="156"/>
      <c r="L34" s="173">
        <v>0</v>
      </c>
      <c r="M34" s="173">
        <v>0</v>
      </c>
      <c r="N34" s="173">
        <v>0</v>
      </c>
      <c r="O34" s="173">
        <v>0</v>
      </c>
      <c r="P34" s="173">
        <v>0</v>
      </c>
      <c r="Q34" s="173">
        <f>531.024/IF($E$5=1,1,1+'Misc. Items'!$L$26)</f>
        <v>527.33267130089382</v>
      </c>
      <c r="R34" s="173">
        <f>531.024/IF($E$5=1,1,1+'Misc. Items'!$L$26)</f>
        <v>527.33267130089382</v>
      </c>
      <c r="S34" s="173">
        <f>531.024/IF($E$5=1,1,1+'Misc. Items'!$L$26)</f>
        <v>527.33267130089382</v>
      </c>
      <c r="T34" s="173">
        <f>531.024/IF($E$5=1,1,1+'Misc. Items'!$L$26)</f>
        <v>527.33267130089382</v>
      </c>
      <c r="U34" s="173">
        <f>531.024/IF($E$5=1,1,1+'Misc. Items'!$L$26)</f>
        <v>527.33267130089382</v>
      </c>
      <c r="V34" s="173">
        <v>0</v>
      </c>
      <c r="W34" s="173">
        <v>0</v>
      </c>
      <c r="X34" s="173">
        <v>0</v>
      </c>
      <c r="Y34" s="173">
        <v>0</v>
      </c>
      <c r="Z34" s="173">
        <v>0</v>
      </c>
      <c r="AA34" s="173">
        <v>0</v>
      </c>
      <c r="AB34" s="173">
        <v>0</v>
      </c>
      <c r="AC34" s="173">
        <v>0</v>
      </c>
      <c r="AD34" s="173">
        <v>0</v>
      </c>
      <c r="AE34" s="173">
        <v>0</v>
      </c>
    </row>
    <row r="35" spans="1:32">
      <c r="C35" s="3" t="s">
        <v>956</v>
      </c>
      <c r="E35" s="3" t="s">
        <v>29</v>
      </c>
      <c r="H35" s="1552">
        <v>0.8</v>
      </c>
      <c r="I35" s="17"/>
      <c r="J35" s="1553">
        <f t="shared" si="1"/>
        <v>0.19999999999999996</v>
      </c>
      <c r="K35" s="156"/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f>2711.364/IF($E$5=1,1,1+'Misc. Items'!$L$26)</f>
        <v>2692.5163853028803</v>
      </c>
      <c r="R35" s="173">
        <f>2711.364/IF($E$5=1,1,1+'Misc. Items'!$L$26)</f>
        <v>2692.5163853028803</v>
      </c>
      <c r="S35" s="173">
        <f>2644.337/IF($E$5=1,1,1+'Misc. Items'!$L$26)</f>
        <v>2625.955312810328</v>
      </c>
      <c r="T35" s="173">
        <f>2644.337/IF($E$5=1,1,1+'Misc. Items'!$L$26)</f>
        <v>2625.955312810328</v>
      </c>
      <c r="U35" s="173">
        <f>2452.018/IF($E$5=1,1,1+'Misc. Items'!$L$26)</f>
        <v>2434.973187686197</v>
      </c>
      <c r="V35" s="173">
        <v>0</v>
      </c>
      <c r="W35" s="173">
        <v>0</v>
      </c>
      <c r="X35" s="173">
        <v>0</v>
      </c>
      <c r="Y35" s="173">
        <v>0</v>
      </c>
      <c r="Z35" s="173">
        <v>0</v>
      </c>
      <c r="AA35" s="173">
        <v>0</v>
      </c>
      <c r="AB35" s="173">
        <v>0</v>
      </c>
      <c r="AC35" s="173">
        <v>0</v>
      </c>
      <c r="AD35" s="173">
        <v>0</v>
      </c>
      <c r="AE35" s="173">
        <v>0</v>
      </c>
    </row>
    <row r="36" spans="1:32">
      <c r="C36" s="3" t="s">
        <v>957</v>
      </c>
      <c r="E36" s="3" t="s">
        <v>29</v>
      </c>
      <c r="H36" s="1552">
        <v>0.8</v>
      </c>
      <c r="I36" s="17"/>
      <c r="J36" s="1553">
        <f t="shared" si="1"/>
        <v>0.19999999999999996</v>
      </c>
      <c r="K36" s="156"/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f>448.215/IF($E$5=1,1,1+'Misc. Items'!$L$26)</f>
        <v>445.09930486593845</v>
      </c>
      <c r="R36" s="173">
        <f>448.215/IF($E$5=1,1,1+'Misc. Items'!$L$26)</f>
        <v>445.09930486593845</v>
      </c>
      <c r="S36" s="173">
        <f>448.215/IF($E$5=1,1,1+'Misc. Items'!$L$26)</f>
        <v>445.09930486593845</v>
      </c>
      <c r="T36" s="173">
        <f>448.215/IF($E$5=1,1,1+'Misc. Items'!$L$26)</f>
        <v>445.09930486593845</v>
      </c>
      <c r="U36" s="173">
        <f>448.215/IF($E$5=1,1,1+'Misc. Items'!$L$26)</f>
        <v>445.09930486593845</v>
      </c>
      <c r="V36" s="173">
        <v>0</v>
      </c>
      <c r="W36" s="173">
        <v>0</v>
      </c>
      <c r="X36" s="173">
        <v>0</v>
      </c>
      <c r="Y36" s="173">
        <v>0</v>
      </c>
      <c r="Z36" s="173">
        <v>0</v>
      </c>
      <c r="AA36" s="173">
        <v>0</v>
      </c>
      <c r="AB36" s="173">
        <v>0</v>
      </c>
      <c r="AC36" s="173">
        <v>0</v>
      </c>
      <c r="AD36" s="173">
        <v>0</v>
      </c>
      <c r="AE36" s="173">
        <v>0</v>
      </c>
    </row>
    <row r="37" spans="1:32">
      <c r="C37" s="3" t="s">
        <v>958</v>
      </c>
      <c r="E37" s="3" t="s">
        <v>29</v>
      </c>
      <c r="H37" s="1552">
        <v>0.8</v>
      </c>
      <c r="I37" s="17"/>
      <c r="J37" s="1553">
        <f t="shared" si="1"/>
        <v>0.19999999999999996</v>
      </c>
      <c r="K37" s="156"/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f>144.982/IF($E$5=1,1,1+'Misc. Items'!$L$26)</f>
        <v>143.97418073485602</v>
      </c>
      <c r="R37" s="173">
        <f>144.982/IF($E$5=1,1,1+'Misc. Items'!$L$26)</f>
        <v>143.97418073485602</v>
      </c>
      <c r="S37" s="173">
        <f>144.982/IF($E$5=1,1,1+'Misc. Items'!$L$26)</f>
        <v>143.97418073485602</v>
      </c>
      <c r="T37" s="173">
        <f>144.982/IF($E$5=1,1,1+'Misc. Items'!$L$26)</f>
        <v>143.97418073485602</v>
      </c>
      <c r="U37" s="173">
        <f>144.982/IF($E$5=1,1,1+'Misc. Items'!$L$26)</f>
        <v>143.97418073485602</v>
      </c>
      <c r="V37" s="173">
        <v>0</v>
      </c>
      <c r="W37" s="173">
        <v>0</v>
      </c>
      <c r="X37" s="173">
        <v>0</v>
      </c>
      <c r="Y37" s="173">
        <v>0</v>
      </c>
      <c r="Z37" s="173">
        <v>0</v>
      </c>
      <c r="AA37" s="173">
        <v>0</v>
      </c>
      <c r="AB37" s="173">
        <v>0</v>
      </c>
      <c r="AC37" s="173">
        <v>0</v>
      </c>
      <c r="AD37" s="173">
        <v>0</v>
      </c>
      <c r="AE37" s="173">
        <v>0</v>
      </c>
    </row>
    <row r="38" spans="1:32">
      <c r="C38" s="3" t="s">
        <v>862</v>
      </c>
      <c r="E38" s="3" t="s">
        <v>29</v>
      </c>
      <c r="H38" s="1552">
        <v>0.8</v>
      </c>
      <c r="I38" s="17"/>
      <c r="J38" s="1553">
        <f t="shared" si="1"/>
        <v>0.19999999999999996</v>
      </c>
      <c r="K38" s="156"/>
      <c r="L38" s="173">
        <v>0</v>
      </c>
      <c r="M38" s="173">
        <v>0</v>
      </c>
      <c r="N38" s="173">
        <v>0</v>
      </c>
      <c r="O38" s="173">
        <v>0</v>
      </c>
      <c r="P38" s="173">
        <v>0</v>
      </c>
      <c r="Q38" s="173">
        <v>0</v>
      </c>
      <c r="R38" s="173">
        <v>0</v>
      </c>
      <c r="S38" s="173">
        <v>0</v>
      </c>
      <c r="T38" s="173">
        <v>0</v>
      </c>
      <c r="U38" s="173">
        <v>0</v>
      </c>
      <c r="V38" s="173">
        <v>0</v>
      </c>
      <c r="W38" s="173">
        <v>0</v>
      </c>
      <c r="X38" s="173">
        <v>0</v>
      </c>
      <c r="Y38" s="173">
        <v>0</v>
      </c>
      <c r="Z38" s="173">
        <v>0</v>
      </c>
      <c r="AA38" s="173">
        <v>0</v>
      </c>
      <c r="AB38" s="173">
        <v>0</v>
      </c>
      <c r="AC38" s="173">
        <v>0</v>
      </c>
      <c r="AD38" s="173">
        <v>0</v>
      </c>
      <c r="AE38" s="173">
        <v>0</v>
      </c>
    </row>
    <row r="39" spans="1:32">
      <c r="C39" s="3" t="s">
        <v>862</v>
      </c>
      <c r="E39" s="3" t="s">
        <v>29</v>
      </c>
      <c r="H39" s="1552">
        <v>0.8</v>
      </c>
      <c r="I39" s="17"/>
      <c r="J39" s="1553">
        <f t="shared" si="1"/>
        <v>0.19999999999999996</v>
      </c>
      <c r="K39" s="156"/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0</v>
      </c>
      <c r="T39" s="173">
        <v>0</v>
      </c>
      <c r="U39" s="173">
        <v>0</v>
      </c>
      <c r="V39" s="173">
        <v>0</v>
      </c>
      <c r="W39" s="173">
        <v>0</v>
      </c>
      <c r="X39" s="173">
        <v>0</v>
      </c>
      <c r="Y39" s="173">
        <v>0</v>
      </c>
      <c r="Z39" s="173">
        <v>0</v>
      </c>
      <c r="AA39" s="173">
        <v>0</v>
      </c>
      <c r="AB39" s="173">
        <v>0</v>
      </c>
      <c r="AC39" s="173">
        <v>0</v>
      </c>
      <c r="AD39" s="173">
        <v>0</v>
      </c>
      <c r="AE39" s="173">
        <v>0</v>
      </c>
    </row>
    <row r="40" spans="1:32">
      <c r="C40" s="3" t="s">
        <v>862</v>
      </c>
      <c r="E40" s="3" t="s">
        <v>29</v>
      </c>
      <c r="H40" s="1552">
        <v>0.8</v>
      </c>
      <c r="I40" s="17"/>
      <c r="J40" s="1553">
        <f t="shared" si="1"/>
        <v>0.19999999999999996</v>
      </c>
      <c r="K40" s="156"/>
      <c r="L40" s="173">
        <v>0</v>
      </c>
      <c r="M40" s="173">
        <v>0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0</v>
      </c>
      <c r="T40" s="173">
        <v>0</v>
      </c>
      <c r="U40" s="173">
        <v>0</v>
      </c>
      <c r="V40" s="173">
        <v>0</v>
      </c>
      <c r="W40" s="173">
        <v>0</v>
      </c>
      <c r="X40" s="173">
        <v>0</v>
      </c>
      <c r="Y40" s="173">
        <v>0</v>
      </c>
      <c r="Z40" s="173">
        <v>0</v>
      </c>
      <c r="AA40" s="173">
        <v>0</v>
      </c>
      <c r="AB40" s="173">
        <v>0</v>
      </c>
      <c r="AC40" s="173">
        <v>0</v>
      </c>
      <c r="AD40" s="173">
        <v>0</v>
      </c>
      <c r="AE40" s="173">
        <v>0</v>
      </c>
    </row>
    <row r="41" spans="1:32">
      <c r="C41" s="3" t="s">
        <v>862</v>
      </c>
      <c r="E41" s="3" t="s">
        <v>29</v>
      </c>
      <c r="H41" s="1552">
        <v>0.8</v>
      </c>
      <c r="I41" s="17"/>
      <c r="J41" s="1553">
        <f t="shared" si="1"/>
        <v>0.19999999999999996</v>
      </c>
      <c r="K41" s="156"/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3">
        <v>0</v>
      </c>
      <c r="W41" s="173">
        <v>0</v>
      </c>
      <c r="X41" s="173">
        <v>0</v>
      </c>
      <c r="Y41" s="173">
        <v>0</v>
      </c>
      <c r="Z41" s="173">
        <v>0</v>
      </c>
      <c r="AA41" s="173">
        <v>0</v>
      </c>
      <c r="AB41" s="173">
        <v>0</v>
      </c>
      <c r="AC41" s="173">
        <v>0</v>
      </c>
      <c r="AD41" s="173">
        <v>0</v>
      </c>
      <c r="AE41" s="173">
        <v>0</v>
      </c>
    </row>
    <row r="42" spans="1:32">
      <c r="C42" s="3" t="s">
        <v>862</v>
      </c>
      <c r="E42" s="3" t="s">
        <v>29</v>
      </c>
      <c r="H42" s="1552">
        <v>0.8</v>
      </c>
      <c r="I42" s="17"/>
      <c r="J42" s="1553">
        <f t="shared" si="1"/>
        <v>0.19999999999999996</v>
      </c>
      <c r="K42" s="156"/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  <c r="T42" s="173">
        <v>0</v>
      </c>
      <c r="U42" s="173">
        <v>0</v>
      </c>
      <c r="V42" s="173">
        <v>0</v>
      </c>
      <c r="W42" s="173">
        <v>0</v>
      </c>
      <c r="X42" s="173">
        <v>0</v>
      </c>
      <c r="Y42" s="173">
        <v>0</v>
      </c>
      <c r="Z42" s="173">
        <v>0</v>
      </c>
      <c r="AA42" s="173">
        <v>0</v>
      </c>
      <c r="AB42" s="173">
        <v>0</v>
      </c>
      <c r="AC42" s="173">
        <v>0</v>
      </c>
      <c r="AD42" s="173">
        <v>0</v>
      </c>
      <c r="AE42" s="173">
        <v>0</v>
      </c>
    </row>
    <row r="43" spans="1:32">
      <c r="C43" s="3" t="s">
        <v>862</v>
      </c>
      <c r="E43" s="3" t="s">
        <v>29</v>
      </c>
      <c r="H43" s="1552">
        <v>0.8</v>
      </c>
      <c r="I43" s="17"/>
      <c r="J43" s="1553">
        <f t="shared" si="1"/>
        <v>0.19999999999999996</v>
      </c>
      <c r="K43" s="156"/>
      <c r="L43" s="173">
        <v>0</v>
      </c>
      <c r="M43" s="173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3">
        <v>0</v>
      </c>
      <c r="T43" s="173">
        <v>0</v>
      </c>
      <c r="U43" s="173">
        <v>0</v>
      </c>
      <c r="V43" s="173">
        <v>0</v>
      </c>
      <c r="W43" s="173">
        <v>0</v>
      </c>
      <c r="X43" s="173">
        <v>0</v>
      </c>
      <c r="Y43" s="173">
        <v>0</v>
      </c>
      <c r="Z43" s="173">
        <v>0</v>
      </c>
      <c r="AA43" s="173">
        <v>0</v>
      </c>
      <c r="AB43" s="173">
        <v>0</v>
      </c>
      <c r="AC43" s="173">
        <v>0</v>
      </c>
      <c r="AD43" s="173">
        <v>0</v>
      </c>
      <c r="AE43" s="173">
        <v>0</v>
      </c>
    </row>
    <row r="44" spans="1:32" ht="10.9" customHeight="1">
      <c r="C44" s="14"/>
      <c r="D44" s="14"/>
      <c r="E44" s="14"/>
      <c r="F44" s="14"/>
      <c r="G44" s="14"/>
      <c r="H44" s="14"/>
      <c r="I44" s="14"/>
      <c r="J44" s="14"/>
      <c r="K44" s="1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2">
      <c r="C45" s="17" t="s">
        <v>809</v>
      </c>
      <c r="E45" s="3" t="s">
        <v>29</v>
      </c>
      <c r="H45" s="1552">
        <v>0.8</v>
      </c>
      <c r="I45" s="17"/>
      <c r="J45" s="1553">
        <f>1-H45</f>
        <v>0.19999999999999996</v>
      </c>
      <c r="L45" s="27">
        <f t="shared" ref="L45:AE45" si="2">SUM(L34:L43)*(L$14="")+L$14</f>
        <v>0</v>
      </c>
      <c r="M45" s="27">
        <f t="shared" si="2"/>
        <v>0</v>
      </c>
      <c r="N45" s="27">
        <f t="shared" si="2"/>
        <v>0</v>
      </c>
      <c r="O45" s="27">
        <f t="shared" si="2"/>
        <v>0</v>
      </c>
      <c r="P45" s="27">
        <f t="shared" si="2"/>
        <v>0</v>
      </c>
      <c r="Q45" s="27">
        <f t="shared" si="2"/>
        <v>3808.9225422045683</v>
      </c>
      <c r="R45" s="27">
        <f t="shared" si="2"/>
        <v>3808.9225422045683</v>
      </c>
      <c r="S45" s="27">
        <f t="shared" si="2"/>
        <v>3742.3614697120161</v>
      </c>
      <c r="T45" s="27">
        <f t="shared" si="2"/>
        <v>3742.3614697120161</v>
      </c>
      <c r="U45" s="27">
        <f t="shared" si="2"/>
        <v>3551.379344587885</v>
      </c>
      <c r="V45" s="27">
        <f t="shared" si="2"/>
        <v>0</v>
      </c>
      <c r="W45" s="27">
        <f t="shared" si="2"/>
        <v>0</v>
      </c>
      <c r="X45" s="27">
        <f t="shared" si="2"/>
        <v>0</v>
      </c>
      <c r="Y45" s="27">
        <f t="shared" si="2"/>
        <v>0</v>
      </c>
      <c r="Z45" s="27">
        <f t="shared" si="2"/>
        <v>0</v>
      </c>
      <c r="AA45" s="27">
        <f t="shared" si="2"/>
        <v>0</v>
      </c>
      <c r="AB45" s="27">
        <f t="shared" si="2"/>
        <v>0</v>
      </c>
      <c r="AC45" s="27">
        <f t="shared" si="2"/>
        <v>0</v>
      </c>
      <c r="AD45" s="27">
        <f t="shared" si="2"/>
        <v>0</v>
      </c>
      <c r="AE45" s="27">
        <f t="shared" si="2"/>
        <v>0</v>
      </c>
    </row>
    <row r="46" spans="1:32">
      <c r="C46" s="39" t="s">
        <v>810</v>
      </c>
      <c r="E46" s="3" t="s">
        <v>29</v>
      </c>
      <c r="F46" s="39"/>
      <c r="G46" s="39"/>
      <c r="L46" s="150">
        <f t="shared" ref="L46:AE46" si="3">L15</f>
        <v>0</v>
      </c>
      <c r="M46" s="150">
        <f t="shared" si="3"/>
        <v>0</v>
      </c>
      <c r="N46" s="150">
        <f t="shared" si="3"/>
        <v>0</v>
      </c>
      <c r="O46" s="150">
        <f t="shared" si="3"/>
        <v>0</v>
      </c>
      <c r="P46" s="150">
        <f t="shared" si="3"/>
        <v>0</v>
      </c>
      <c r="Q46" s="150">
        <f t="shared" si="3"/>
        <v>340.62562065541215</v>
      </c>
      <c r="R46" s="150">
        <f t="shared" si="3"/>
        <v>340.62562065541215</v>
      </c>
      <c r="S46" s="150">
        <f t="shared" si="3"/>
        <v>334.88579940417088</v>
      </c>
      <c r="T46" s="150">
        <f t="shared" si="3"/>
        <v>312.92651439920559</v>
      </c>
      <c r="U46" s="150">
        <f t="shared" si="3"/>
        <v>312.92651439920559</v>
      </c>
      <c r="V46" s="150">
        <f t="shared" si="3"/>
        <v>0</v>
      </c>
      <c r="W46" s="150">
        <f t="shared" si="3"/>
        <v>0</v>
      </c>
      <c r="X46" s="150">
        <f t="shared" si="3"/>
        <v>0</v>
      </c>
      <c r="Y46" s="150">
        <f t="shared" si="3"/>
        <v>0</v>
      </c>
      <c r="Z46" s="150">
        <f t="shared" si="3"/>
        <v>0</v>
      </c>
      <c r="AA46" s="150">
        <f t="shared" si="3"/>
        <v>0</v>
      </c>
      <c r="AB46" s="150">
        <f t="shared" si="3"/>
        <v>0</v>
      </c>
      <c r="AC46" s="150">
        <f t="shared" si="3"/>
        <v>0</v>
      </c>
      <c r="AD46" s="150">
        <f t="shared" si="3"/>
        <v>0</v>
      </c>
      <c r="AE46" s="150">
        <f t="shared" si="3"/>
        <v>0</v>
      </c>
    </row>
    <row r="47" spans="1:32" ht="10.9" customHeight="1">
      <c r="C47" s="14"/>
      <c r="D47" s="14"/>
      <c r="E47" s="14"/>
      <c r="F47" s="14"/>
      <c r="G47" s="14"/>
      <c r="H47" s="14"/>
      <c r="I47" s="14"/>
      <c r="J47" s="14"/>
      <c r="K47" s="14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2" customFormat="1" ht="10.9" customHeight="1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</row>
    <row r="49" spans="1:32" s="7" customFormat="1" ht="13.5" thickBot="1">
      <c r="A49" s="3"/>
      <c r="B49" s="152" t="s">
        <v>150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3"/>
    </row>
    <row r="50" spans="1:32">
      <c r="Q50" s="148"/>
      <c r="R50" s="148"/>
      <c r="S50" s="148"/>
      <c r="T50" s="148"/>
      <c r="U50" s="148"/>
    </row>
    <row r="51" spans="1:32" ht="13.5" thickBot="1">
      <c r="C51" s="6" t="s">
        <v>797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2">
      <c r="C52" s="3" t="s">
        <v>796</v>
      </c>
      <c r="E52" s="3" t="s">
        <v>29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pans="1:32">
      <c r="C53" s="3" t="s">
        <v>799</v>
      </c>
      <c r="E53" s="3" t="s">
        <v>29</v>
      </c>
      <c r="J53" s="148"/>
      <c r="K53" s="148"/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pans="1:32" ht="10.9" customHeight="1">
      <c r="J54" s="148"/>
      <c r="K54" s="148"/>
    </row>
    <row r="55" spans="1:32" ht="13.5" thickBot="1">
      <c r="C55" s="6" t="s">
        <v>815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2">
      <c r="C56" s="3" t="s">
        <v>796</v>
      </c>
      <c r="E56" s="3" t="s">
        <v>29</v>
      </c>
      <c r="L56" s="27">
        <f>(SUMPRODUCT(L34:L43,$H$34:$H$43)*(L52="")+L52)</f>
        <v>0</v>
      </c>
      <c r="M56" s="27">
        <f t="shared" ref="M56:AE56" si="4">(SUMPRODUCT(M34:M43,$H$34:$H$43)*(M52="")+M52)</f>
        <v>0</v>
      </c>
      <c r="N56" s="27">
        <f t="shared" si="4"/>
        <v>0</v>
      </c>
      <c r="O56" s="27">
        <f t="shared" si="4"/>
        <v>0</v>
      </c>
      <c r="P56" s="27">
        <f t="shared" si="4"/>
        <v>0</v>
      </c>
      <c r="Q56" s="27">
        <f t="shared" si="4"/>
        <v>3047.1380337636547</v>
      </c>
      <c r="R56" s="27">
        <f t="shared" si="4"/>
        <v>3047.1380337636547</v>
      </c>
      <c r="S56" s="27">
        <f t="shared" si="4"/>
        <v>2993.8891757696128</v>
      </c>
      <c r="T56" s="27">
        <f t="shared" si="4"/>
        <v>2993.8891757696128</v>
      </c>
      <c r="U56" s="27">
        <f>(SUMPRODUCT(U34:U43,$H$34:$H$43)*(U52="")+U52)</f>
        <v>2841.1034756703084</v>
      </c>
      <c r="V56" s="27">
        <f t="shared" si="4"/>
        <v>0</v>
      </c>
      <c r="W56" s="27">
        <f t="shared" si="4"/>
        <v>0</v>
      </c>
      <c r="X56" s="27">
        <f t="shared" si="4"/>
        <v>0</v>
      </c>
      <c r="Y56" s="27">
        <f t="shared" si="4"/>
        <v>0</v>
      </c>
      <c r="Z56" s="27">
        <f t="shared" si="4"/>
        <v>0</v>
      </c>
      <c r="AA56" s="27">
        <f t="shared" si="4"/>
        <v>0</v>
      </c>
      <c r="AB56" s="27">
        <f t="shared" si="4"/>
        <v>0</v>
      </c>
      <c r="AC56" s="27">
        <f t="shared" si="4"/>
        <v>0</v>
      </c>
      <c r="AD56" s="27">
        <f t="shared" si="4"/>
        <v>0</v>
      </c>
      <c r="AE56" s="27">
        <f t="shared" si="4"/>
        <v>0</v>
      </c>
    </row>
    <row r="57" spans="1:32">
      <c r="C57" s="3" t="s">
        <v>799</v>
      </c>
      <c r="E57" s="3" t="s">
        <v>29</v>
      </c>
      <c r="L57" s="150">
        <f t="shared" ref="L57:AE57" si="5">IF(SUM(L34:L43)=0,0,L46*SUMPRODUCT(L34:L43,$H$34:$H$43)/SUM(L34:L43))*(L53="")+L53</f>
        <v>0</v>
      </c>
      <c r="M57" s="150">
        <f t="shared" si="5"/>
        <v>0</v>
      </c>
      <c r="N57" s="150">
        <f t="shared" si="5"/>
        <v>0</v>
      </c>
      <c r="O57" s="150">
        <f t="shared" si="5"/>
        <v>0</v>
      </c>
      <c r="P57" s="150">
        <f t="shared" si="5"/>
        <v>0</v>
      </c>
      <c r="Q57" s="150">
        <f t="shared" si="5"/>
        <v>272.50049652432972</v>
      </c>
      <c r="R57" s="150">
        <f t="shared" si="5"/>
        <v>272.50049652432972</v>
      </c>
      <c r="S57" s="150">
        <f t="shared" si="5"/>
        <v>267.90863952333672</v>
      </c>
      <c r="T57" s="150">
        <f t="shared" si="5"/>
        <v>250.34121151936449</v>
      </c>
      <c r="U57" s="150">
        <f t="shared" si="5"/>
        <v>250.34121151936452</v>
      </c>
      <c r="V57" s="150">
        <f t="shared" si="5"/>
        <v>0</v>
      </c>
      <c r="W57" s="150">
        <f t="shared" si="5"/>
        <v>0</v>
      </c>
      <c r="X57" s="150">
        <f t="shared" si="5"/>
        <v>0</v>
      </c>
      <c r="Y57" s="150">
        <f t="shared" si="5"/>
        <v>0</v>
      </c>
      <c r="Z57" s="150">
        <f t="shared" si="5"/>
        <v>0</v>
      </c>
      <c r="AA57" s="150">
        <f t="shared" si="5"/>
        <v>0</v>
      </c>
      <c r="AB57" s="150">
        <f t="shared" si="5"/>
        <v>0</v>
      </c>
      <c r="AC57" s="150">
        <f t="shared" si="5"/>
        <v>0</v>
      </c>
      <c r="AD57" s="150">
        <f t="shared" si="5"/>
        <v>0</v>
      </c>
      <c r="AE57" s="150">
        <f t="shared" si="5"/>
        <v>0</v>
      </c>
    </row>
    <row r="58" spans="1:32">
      <c r="C58" s="17"/>
      <c r="D58" s="17"/>
      <c r="E58" s="17"/>
      <c r="F58" s="17"/>
      <c r="G58" s="17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32">
      <c r="B59" s="152" t="s">
        <v>24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1" spans="1:32" ht="13.5" thickBot="1">
      <c r="C61" s="6" t="s">
        <v>797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2">
      <c r="C62" s="3" t="s">
        <v>796</v>
      </c>
      <c r="E62" s="3" t="s">
        <v>29</v>
      </c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pans="1:32">
      <c r="C63" s="3" t="s">
        <v>799</v>
      </c>
      <c r="E63" s="3" t="s">
        <v>29</v>
      </c>
      <c r="L63" s="38"/>
      <c r="M63" s="38"/>
      <c r="N63" s="38"/>
      <c r="O63" s="38"/>
      <c r="P63" s="38"/>
      <c r="Q63" s="149"/>
      <c r="R63" s="149"/>
      <c r="S63" s="149"/>
      <c r="T63" s="149"/>
      <c r="U63" s="149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5" spans="1:32" ht="13.5" thickBot="1">
      <c r="C65" s="6" t="s">
        <v>815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2">
      <c r="C66" s="3" t="s">
        <v>796</v>
      </c>
      <c r="E66" s="3" t="s">
        <v>29</v>
      </c>
      <c r="L66" s="27">
        <f t="shared" ref="L66:Q66" si="6">(SUMPRODUCT(L34:L43,$J$34:$J$43)*(L62="")+L62)</f>
        <v>0</v>
      </c>
      <c r="M66" s="27">
        <f t="shared" si="6"/>
        <v>0</v>
      </c>
      <c r="N66" s="27">
        <f t="shared" si="6"/>
        <v>0</v>
      </c>
      <c r="O66" s="27">
        <f t="shared" si="6"/>
        <v>0</v>
      </c>
      <c r="P66" s="27">
        <f t="shared" si="6"/>
        <v>0</v>
      </c>
      <c r="Q66" s="27">
        <f t="shared" si="6"/>
        <v>761.78450844091344</v>
      </c>
      <c r="R66" s="27">
        <f t="shared" ref="R66:AE66" si="7">(SUMPRODUCT(R34:R43,$J$34:$J$43)*(R62="")+R62)</f>
        <v>761.78450844091344</v>
      </c>
      <c r="S66" s="27">
        <f t="shared" si="7"/>
        <v>748.47229394240298</v>
      </c>
      <c r="T66" s="27">
        <f t="shared" si="7"/>
        <v>748.47229394240298</v>
      </c>
      <c r="U66" s="27">
        <f t="shared" si="7"/>
        <v>710.27586891757687</v>
      </c>
      <c r="V66" s="27">
        <f t="shared" si="7"/>
        <v>0</v>
      </c>
      <c r="W66" s="27">
        <f t="shared" si="7"/>
        <v>0</v>
      </c>
      <c r="X66" s="27">
        <f t="shared" si="7"/>
        <v>0</v>
      </c>
      <c r="Y66" s="27">
        <f t="shared" si="7"/>
        <v>0</v>
      </c>
      <c r="Z66" s="27">
        <f t="shared" si="7"/>
        <v>0</v>
      </c>
      <c r="AA66" s="27">
        <f t="shared" si="7"/>
        <v>0</v>
      </c>
      <c r="AB66" s="27">
        <f t="shared" si="7"/>
        <v>0</v>
      </c>
      <c r="AC66" s="27">
        <f t="shared" si="7"/>
        <v>0</v>
      </c>
      <c r="AD66" s="27">
        <f t="shared" si="7"/>
        <v>0</v>
      </c>
      <c r="AE66" s="27">
        <f t="shared" si="7"/>
        <v>0</v>
      </c>
    </row>
    <row r="67" spans="1:32">
      <c r="C67" s="3" t="s">
        <v>799</v>
      </c>
      <c r="E67" s="3" t="s">
        <v>29</v>
      </c>
      <c r="L67" s="150">
        <f t="shared" ref="L67:Q67" si="8">IF(SUM(L34:L43)=0,0,L46*SUMPRODUCT(L34:L43,$J$34:$J$43)/SUM(L34:L43))*(L63="")+L63</f>
        <v>0</v>
      </c>
      <c r="M67" s="150">
        <f t="shared" si="8"/>
        <v>0</v>
      </c>
      <c r="N67" s="150">
        <f t="shared" si="8"/>
        <v>0</v>
      </c>
      <c r="O67" s="150">
        <f t="shared" si="8"/>
        <v>0</v>
      </c>
      <c r="P67" s="150">
        <f t="shared" si="8"/>
        <v>0</v>
      </c>
      <c r="Q67" s="150">
        <f t="shared" si="8"/>
        <v>68.125124131082416</v>
      </c>
      <c r="R67" s="150">
        <f t="shared" ref="R67:AE67" si="9">IF(SUM(R34:R43)=0,0,R46*SUMPRODUCT(R34:R43,$J$34:$J$43)/SUM(R34:R43))*(R63="")+R63</f>
        <v>68.125124131082416</v>
      </c>
      <c r="S67" s="150">
        <f t="shared" si="9"/>
        <v>66.977159880834165</v>
      </c>
      <c r="T67" s="150">
        <f t="shared" si="9"/>
        <v>62.585302879841095</v>
      </c>
      <c r="U67" s="150">
        <f t="shared" si="9"/>
        <v>62.585302879841102</v>
      </c>
      <c r="V67" s="150">
        <f t="shared" si="9"/>
        <v>0</v>
      </c>
      <c r="W67" s="150">
        <f t="shared" si="9"/>
        <v>0</v>
      </c>
      <c r="X67" s="150">
        <f t="shared" si="9"/>
        <v>0</v>
      </c>
      <c r="Y67" s="150">
        <f t="shared" si="9"/>
        <v>0</v>
      </c>
      <c r="Z67" s="150">
        <f t="shared" si="9"/>
        <v>0</v>
      </c>
      <c r="AA67" s="150">
        <f t="shared" si="9"/>
        <v>0</v>
      </c>
      <c r="AB67" s="150">
        <f t="shared" si="9"/>
        <v>0</v>
      </c>
      <c r="AC67" s="150">
        <f t="shared" si="9"/>
        <v>0</v>
      </c>
      <c r="AD67" s="150">
        <f t="shared" si="9"/>
        <v>0</v>
      </c>
      <c r="AE67" s="150">
        <f t="shared" si="9"/>
        <v>0</v>
      </c>
    </row>
    <row r="68" spans="1:32">
      <c r="C68" s="17"/>
      <c r="D68" s="17"/>
      <c r="E68" s="17"/>
      <c r="F68" s="17"/>
      <c r="G68" s="17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</row>
    <row r="69" spans="1:32">
      <c r="B69" s="20" t="s">
        <v>817</v>
      </c>
      <c r="C69" s="19"/>
      <c r="D69" s="19"/>
      <c r="E69" s="19"/>
      <c r="F69" s="19"/>
      <c r="G69" s="19"/>
      <c r="H69" s="19"/>
      <c r="I69" s="19"/>
      <c r="J69" s="19"/>
      <c r="K69" s="19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</row>
    <row r="71" spans="1:32" ht="13.5" thickBot="1">
      <c r="C71" s="6" t="s">
        <v>797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</row>
    <row r="72" spans="1:32">
      <c r="C72" s="3" t="s">
        <v>818</v>
      </c>
      <c r="E72" s="3" t="s">
        <v>29</v>
      </c>
      <c r="L72" s="149"/>
      <c r="M72" s="149"/>
      <c r="N72" s="149"/>
      <c r="O72" s="149"/>
      <c r="P72" s="149"/>
      <c r="Q72" s="149">
        <f>2343.28/IF($E$5=1,1,1+'Misc. Items'!$L$26)</f>
        <v>2326.991062562066</v>
      </c>
      <c r="R72" s="149">
        <f>2380.77/IF($E$5=1,1,1+'Misc. Items'!$L$26)</f>
        <v>2364.2204568023835</v>
      </c>
      <c r="S72" s="149">
        <f>2356.56/IF($E$5=1,1,1+'Misc. Items'!$L$26)</f>
        <v>2340.1787487586894</v>
      </c>
      <c r="T72" s="149">
        <f>2403.69/IF($E$5=1,1,1+'Misc. Items'!$L$26)</f>
        <v>2386.981132075472</v>
      </c>
      <c r="U72" s="149">
        <f>2451.76/IF($E$5=1,1,1+'Misc. Items'!$L$26)</f>
        <v>2434.7169811320759</v>
      </c>
      <c r="V72" s="149"/>
      <c r="W72" s="149"/>
      <c r="X72" s="149"/>
      <c r="Y72" s="149"/>
      <c r="Z72" s="149"/>
      <c r="AA72" s="149"/>
      <c r="AB72" s="149"/>
      <c r="AC72" s="149"/>
      <c r="AD72" s="149"/>
      <c r="AE72" s="149"/>
    </row>
    <row r="73" spans="1:32">
      <c r="P73" s="148"/>
      <c r="Q73" s="148"/>
      <c r="R73" s="148"/>
      <c r="S73" s="148"/>
      <c r="T73" s="148"/>
      <c r="U73" s="148"/>
    </row>
    <row r="74" spans="1:32" s="7" customFormat="1" ht="13.5" thickBot="1">
      <c r="A74" s="3"/>
      <c r="B74" s="3"/>
      <c r="C74" s="6" t="s">
        <v>817</v>
      </c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3"/>
    </row>
    <row r="75" spans="1:32">
      <c r="C75" s="3" t="s">
        <v>763</v>
      </c>
      <c r="E75" s="3" t="s">
        <v>29</v>
      </c>
      <c r="L75" s="176">
        <v>0</v>
      </c>
      <c r="M75" s="176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6">
        <v>0</v>
      </c>
      <c r="W75" s="176">
        <v>0</v>
      </c>
      <c r="X75" s="176">
        <v>0</v>
      </c>
      <c r="Y75" s="176">
        <v>0</v>
      </c>
      <c r="Z75" s="176">
        <v>0</v>
      </c>
      <c r="AA75" s="176">
        <v>0</v>
      </c>
      <c r="AB75" s="176">
        <v>0</v>
      </c>
      <c r="AC75" s="176">
        <v>0</v>
      </c>
      <c r="AD75" s="176">
        <v>0</v>
      </c>
      <c r="AE75" s="176">
        <v>0</v>
      </c>
    </row>
    <row r="76" spans="1:32">
      <c r="C76" s="3" t="s">
        <v>763</v>
      </c>
      <c r="E76" s="3" t="s">
        <v>29</v>
      </c>
      <c r="L76" s="176">
        <v>0</v>
      </c>
      <c r="M76" s="176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6">
        <v>0</v>
      </c>
      <c r="W76" s="176">
        <v>0</v>
      </c>
      <c r="X76" s="176">
        <v>0</v>
      </c>
      <c r="Y76" s="176">
        <v>0</v>
      </c>
      <c r="Z76" s="176">
        <v>0</v>
      </c>
      <c r="AA76" s="176">
        <v>0</v>
      </c>
      <c r="AB76" s="176">
        <v>0</v>
      </c>
      <c r="AC76" s="176">
        <v>0</v>
      </c>
      <c r="AD76" s="176">
        <v>0</v>
      </c>
      <c r="AE76" s="176">
        <v>0</v>
      </c>
    </row>
    <row r="77" spans="1:32">
      <c r="C77" s="3" t="s">
        <v>763</v>
      </c>
      <c r="E77" s="3" t="s">
        <v>29</v>
      </c>
      <c r="L77" s="176">
        <v>0</v>
      </c>
      <c r="M77" s="176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6">
        <v>0</v>
      </c>
      <c r="W77" s="176">
        <v>0</v>
      </c>
      <c r="X77" s="176">
        <v>0</v>
      </c>
      <c r="Y77" s="176">
        <v>0</v>
      </c>
      <c r="Z77" s="176">
        <v>0</v>
      </c>
      <c r="AA77" s="176">
        <v>0</v>
      </c>
      <c r="AB77" s="176">
        <v>0</v>
      </c>
      <c r="AC77" s="176">
        <v>0</v>
      </c>
      <c r="AD77" s="176">
        <v>0</v>
      </c>
      <c r="AE77" s="176">
        <v>0</v>
      </c>
    </row>
    <row r="78" spans="1:32">
      <c r="C78" s="3" t="s">
        <v>763</v>
      </c>
      <c r="E78" s="3" t="s">
        <v>29</v>
      </c>
      <c r="L78" s="176">
        <v>0</v>
      </c>
      <c r="M78" s="176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6">
        <v>0</v>
      </c>
      <c r="W78" s="176">
        <v>0</v>
      </c>
      <c r="X78" s="176">
        <v>0</v>
      </c>
      <c r="Y78" s="176">
        <v>0</v>
      </c>
      <c r="Z78" s="176">
        <v>0</v>
      </c>
      <c r="AA78" s="176">
        <v>0</v>
      </c>
      <c r="AB78" s="176">
        <v>0</v>
      </c>
      <c r="AC78" s="176">
        <v>0</v>
      </c>
      <c r="AD78" s="176">
        <v>0</v>
      </c>
      <c r="AE78" s="176">
        <v>0</v>
      </c>
    </row>
    <row r="79" spans="1:32">
      <c r="C79" s="3" t="s">
        <v>763</v>
      </c>
      <c r="E79" s="3" t="s">
        <v>29</v>
      </c>
      <c r="L79" s="176">
        <v>0</v>
      </c>
      <c r="M79" s="176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6">
        <v>0</v>
      </c>
      <c r="W79" s="176">
        <v>0</v>
      </c>
      <c r="X79" s="176">
        <v>0</v>
      </c>
      <c r="Y79" s="176">
        <v>0</v>
      </c>
      <c r="Z79" s="176">
        <v>0</v>
      </c>
      <c r="AA79" s="176">
        <v>0</v>
      </c>
      <c r="AB79" s="176">
        <v>0</v>
      </c>
      <c r="AC79" s="176">
        <v>0</v>
      </c>
      <c r="AD79" s="176">
        <v>0</v>
      </c>
      <c r="AE79" s="176">
        <v>0</v>
      </c>
    </row>
    <row r="80" spans="1:32" ht="10.9" customHeight="1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</row>
    <row r="81" spans="2:31">
      <c r="C81" s="17" t="s">
        <v>850</v>
      </c>
      <c r="D81" s="17"/>
      <c r="E81" s="3" t="s">
        <v>29</v>
      </c>
      <c r="F81" s="17"/>
      <c r="G81" s="17"/>
      <c r="H81" s="1552">
        <v>0.8</v>
      </c>
      <c r="I81" s="17"/>
      <c r="J81" s="1553">
        <f>1-H81</f>
        <v>0.19999999999999996</v>
      </c>
      <c r="K81" s="156"/>
      <c r="L81" s="26">
        <f t="shared" ref="L81:AE81" si="10">SUM(L75:L79)*(L$72="")+L$72</f>
        <v>0</v>
      </c>
      <c r="M81" s="26">
        <f t="shared" si="10"/>
        <v>0</v>
      </c>
      <c r="N81" s="26">
        <f t="shared" si="10"/>
        <v>0</v>
      </c>
      <c r="O81" s="26">
        <f t="shared" si="10"/>
        <v>0</v>
      </c>
      <c r="P81" s="26">
        <f t="shared" si="10"/>
        <v>0</v>
      </c>
      <c r="Q81" s="26">
        <f t="shared" si="10"/>
        <v>2326.991062562066</v>
      </c>
      <c r="R81" s="26">
        <f t="shared" si="10"/>
        <v>2364.2204568023835</v>
      </c>
      <c r="S81" s="26">
        <f t="shared" si="10"/>
        <v>2340.1787487586894</v>
      </c>
      <c r="T81" s="26">
        <f t="shared" si="10"/>
        <v>2386.981132075472</v>
      </c>
      <c r="U81" s="26">
        <f t="shared" si="10"/>
        <v>2434.7169811320759</v>
      </c>
      <c r="V81" s="26">
        <f t="shared" si="10"/>
        <v>0</v>
      </c>
      <c r="W81" s="26">
        <f t="shared" si="10"/>
        <v>0</v>
      </c>
      <c r="X81" s="26">
        <f t="shared" si="10"/>
        <v>0</v>
      </c>
      <c r="Y81" s="26">
        <f t="shared" si="10"/>
        <v>0</v>
      </c>
      <c r="Z81" s="26">
        <f t="shared" si="10"/>
        <v>0</v>
      </c>
      <c r="AA81" s="26">
        <f t="shared" si="10"/>
        <v>0</v>
      </c>
      <c r="AB81" s="26">
        <f t="shared" si="10"/>
        <v>0</v>
      </c>
      <c r="AC81" s="26">
        <f t="shared" si="10"/>
        <v>0</v>
      </c>
      <c r="AD81" s="26">
        <f t="shared" si="10"/>
        <v>0</v>
      </c>
      <c r="AE81" s="26">
        <f t="shared" si="10"/>
        <v>0</v>
      </c>
    </row>
    <row r="82" spans="2:31"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2:31">
      <c r="B83" s="152" t="s">
        <v>150</v>
      </c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5" spans="2:31" ht="13.5" thickBot="1">
      <c r="C85" s="6" t="s">
        <v>797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</row>
    <row r="86" spans="2:31">
      <c r="C86" s="3" t="s">
        <v>853</v>
      </c>
      <c r="E86" s="3" t="s">
        <v>29</v>
      </c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38"/>
      <c r="X86" s="38"/>
      <c r="Y86" s="38"/>
      <c r="Z86" s="38"/>
      <c r="AA86" s="38"/>
      <c r="AB86" s="38"/>
      <c r="AC86" s="38"/>
      <c r="AD86" s="38"/>
      <c r="AE86" s="38"/>
    </row>
    <row r="87" spans="2:31">
      <c r="J87" s="148"/>
      <c r="K87" s="148"/>
    </row>
    <row r="88" spans="2:31" ht="13.5" thickBot="1">
      <c r="C88" s="6" t="s">
        <v>815</v>
      </c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</row>
    <row r="89" spans="2:31">
      <c r="C89" s="3" t="s">
        <v>853</v>
      </c>
      <c r="E89" s="3" t="s">
        <v>29</v>
      </c>
      <c r="L89" s="27">
        <f>((L$81*$H$81)*(L86="")+L86)</f>
        <v>0</v>
      </c>
      <c r="M89" s="27">
        <f t="shared" ref="M89:AE89" si="11">((M$81*$H$81)*(M86="")+M86)</f>
        <v>0</v>
      </c>
      <c r="N89" s="27">
        <f t="shared" si="11"/>
        <v>0</v>
      </c>
      <c r="O89" s="27">
        <f t="shared" si="11"/>
        <v>0</v>
      </c>
      <c r="P89" s="27">
        <f t="shared" si="11"/>
        <v>0</v>
      </c>
      <c r="Q89" s="27">
        <f t="shared" si="11"/>
        <v>1861.592850049653</v>
      </c>
      <c r="R89" s="27">
        <f t="shared" si="11"/>
        <v>1891.376365441907</v>
      </c>
      <c r="S89" s="27">
        <f t="shared" si="11"/>
        <v>1872.1429990069516</v>
      </c>
      <c r="T89" s="27">
        <f t="shared" si="11"/>
        <v>1909.5849056603777</v>
      </c>
      <c r="U89" s="27">
        <f t="shared" si="11"/>
        <v>1947.7735849056608</v>
      </c>
      <c r="V89" s="27">
        <f t="shared" si="11"/>
        <v>0</v>
      </c>
      <c r="W89" s="27">
        <f t="shared" si="11"/>
        <v>0</v>
      </c>
      <c r="X89" s="27">
        <f t="shared" si="11"/>
        <v>0</v>
      </c>
      <c r="Y89" s="27">
        <f t="shared" si="11"/>
        <v>0</v>
      </c>
      <c r="Z89" s="27">
        <f t="shared" si="11"/>
        <v>0</v>
      </c>
      <c r="AA89" s="27">
        <f t="shared" si="11"/>
        <v>0</v>
      </c>
      <c r="AB89" s="27">
        <f t="shared" si="11"/>
        <v>0</v>
      </c>
      <c r="AC89" s="27">
        <f t="shared" si="11"/>
        <v>0</v>
      </c>
      <c r="AD89" s="27">
        <f t="shared" si="11"/>
        <v>0</v>
      </c>
      <c r="AE89" s="27">
        <f t="shared" si="11"/>
        <v>0</v>
      </c>
    </row>
    <row r="90" spans="2:31">
      <c r="C90" s="17"/>
      <c r="D90" s="17"/>
      <c r="E90" s="17"/>
      <c r="F90" s="17"/>
      <c r="G90" s="17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2:31">
      <c r="B91" s="152" t="s">
        <v>24</v>
      </c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3" spans="2:31" ht="13.5" thickBot="1">
      <c r="C93" s="6" t="s">
        <v>797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</row>
    <row r="94" spans="2:31">
      <c r="C94" s="3" t="s">
        <v>853</v>
      </c>
      <c r="E94" s="3" t="s">
        <v>29</v>
      </c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6" spans="2:31" ht="13.5" thickBot="1">
      <c r="C96" s="6" t="s">
        <v>815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</row>
    <row r="97" spans="2:31">
      <c r="C97" s="3" t="s">
        <v>853</v>
      </c>
      <c r="E97" s="3" t="s">
        <v>29</v>
      </c>
      <c r="L97" s="27">
        <f>((L$81*$J$81)*(L94="")+L94)</f>
        <v>0</v>
      </c>
      <c r="M97" s="27">
        <f t="shared" ref="M97:AE97" si="12">((M$81*$J$81)*(M94="")+M94)</f>
        <v>0</v>
      </c>
      <c r="N97" s="27">
        <f t="shared" si="12"/>
        <v>0</v>
      </c>
      <c r="O97" s="27">
        <f t="shared" si="12"/>
        <v>0</v>
      </c>
      <c r="P97" s="27">
        <f t="shared" si="12"/>
        <v>0</v>
      </c>
      <c r="Q97" s="27">
        <f t="shared" si="12"/>
        <v>465.39821251241307</v>
      </c>
      <c r="R97" s="27">
        <f t="shared" si="12"/>
        <v>472.84409136047663</v>
      </c>
      <c r="S97" s="27">
        <f t="shared" si="12"/>
        <v>468.0357497517378</v>
      </c>
      <c r="T97" s="27">
        <f t="shared" si="12"/>
        <v>477.3962264150943</v>
      </c>
      <c r="U97" s="27">
        <f t="shared" si="12"/>
        <v>486.94339622641508</v>
      </c>
      <c r="V97" s="27">
        <f t="shared" si="12"/>
        <v>0</v>
      </c>
      <c r="W97" s="27">
        <f t="shared" si="12"/>
        <v>0</v>
      </c>
      <c r="X97" s="27">
        <f t="shared" si="12"/>
        <v>0</v>
      </c>
      <c r="Y97" s="27">
        <f t="shared" si="12"/>
        <v>0</v>
      </c>
      <c r="Z97" s="27">
        <f t="shared" si="12"/>
        <v>0</v>
      </c>
      <c r="AA97" s="27">
        <f t="shared" si="12"/>
        <v>0</v>
      </c>
      <c r="AB97" s="27">
        <f t="shared" si="12"/>
        <v>0</v>
      </c>
      <c r="AC97" s="27">
        <f t="shared" si="12"/>
        <v>0</v>
      </c>
      <c r="AD97" s="27">
        <f t="shared" si="12"/>
        <v>0</v>
      </c>
      <c r="AE97" s="27">
        <f t="shared" si="12"/>
        <v>0</v>
      </c>
    </row>
    <row r="98" spans="2:31">
      <c r="H98" s="148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2:31">
      <c r="B99" s="20" t="s">
        <v>959</v>
      </c>
      <c r="C99" s="19"/>
      <c r="D99" s="19"/>
      <c r="E99" s="19"/>
      <c r="F99" s="19"/>
      <c r="G99" s="19"/>
      <c r="H99" s="19"/>
      <c r="I99" s="19"/>
      <c r="J99" s="19"/>
      <c r="K99" s="19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1" spans="2:31" ht="13.5" thickBot="1">
      <c r="C101" s="6" t="s">
        <v>12</v>
      </c>
      <c r="D101" s="6"/>
      <c r="E101" s="6"/>
      <c r="F101" s="6"/>
      <c r="G101" s="6"/>
      <c r="H101" s="30"/>
      <c r="I101" s="6"/>
      <c r="J101" s="30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2:31">
      <c r="C102" s="3" t="s">
        <v>960</v>
      </c>
      <c r="E102" s="3" t="s">
        <v>29</v>
      </c>
      <c r="H102" s="1552">
        <v>0.8</v>
      </c>
      <c r="I102" s="17"/>
      <c r="J102" s="1553">
        <f>1-H102</f>
        <v>0.19999999999999996</v>
      </c>
      <c r="L102" s="149"/>
      <c r="M102" s="149"/>
      <c r="N102" s="149"/>
      <c r="O102" s="149"/>
      <c r="P102" s="149"/>
      <c r="Q102" s="149">
        <f>1500/IF($E$5=1,1,1+'Misc. Items'!$L$26)</f>
        <v>1489.5729890764649</v>
      </c>
      <c r="R102" s="149">
        <f>1227.6/IF($E$5=1,1,1+'Misc. Items'!$L$26)</f>
        <v>1219.0665342601787</v>
      </c>
      <c r="S102" s="149">
        <f>1227.6/IF($E$5=1,1,1+'Misc. Items'!$L$26)</f>
        <v>1219.0665342601787</v>
      </c>
      <c r="T102" s="149">
        <f>1227.6/IF($E$5=1,1,1+'Misc. Items'!$L$26)</f>
        <v>1219.0665342601787</v>
      </c>
      <c r="U102" s="149">
        <f>1227.6/IF($E$5=1,1,1+'Misc. Items'!$L$26)</f>
        <v>1219.0665342601787</v>
      </c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</row>
    <row r="104" spans="2:31">
      <c r="B104" s="152" t="s">
        <v>150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2:31" customFormat="1" ht="14.5"/>
    <row r="106" spans="2:31" ht="13.5" thickBot="1">
      <c r="C106" s="6" t="s">
        <v>12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2:31">
      <c r="C107" s="3" t="s">
        <v>960</v>
      </c>
      <c r="E107" s="3" t="s">
        <v>29</v>
      </c>
      <c r="L107" s="27">
        <f>L$102*$H$102</f>
        <v>0</v>
      </c>
      <c r="M107" s="27">
        <f t="shared" ref="M107:AE107" si="13">M$102*$H$102</f>
        <v>0</v>
      </c>
      <c r="N107" s="27">
        <f t="shared" si="13"/>
        <v>0</v>
      </c>
      <c r="O107" s="27">
        <f t="shared" si="13"/>
        <v>0</v>
      </c>
      <c r="P107" s="27">
        <f t="shared" si="13"/>
        <v>0</v>
      </c>
      <c r="Q107" s="27">
        <f t="shared" si="13"/>
        <v>1191.658391261172</v>
      </c>
      <c r="R107" s="27">
        <f t="shared" si="13"/>
        <v>975.25322740814306</v>
      </c>
      <c r="S107" s="27">
        <f t="shared" si="13"/>
        <v>975.25322740814306</v>
      </c>
      <c r="T107" s="27">
        <f t="shared" si="13"/>
        <v>975.25322740814306</v>
      </c>
      <c r="U107" s="27">
        <f t="shared" si="13"/>
        <v>975.25322740814306</v>
      </c>
      <c r="V107" s="27">
        <f t="shared" si="13"/>
        <v>0</v>
      </c>
      <c r="W107" s="27">
        <f t="shared" si="13"/>
        <v>0</v>
      </c>
      <c r="X107" s="27">
        <f t="shared" si="13"/>
        <v>0</v>
      </c>
      <c r="Y107" s="27">
        <f t="shared" si="13"/>
        <v>0</v>
      </c>
      <c r="Z107" s="27">
        <f t="shared" si="13"/>
        <v>0</v>
      </c>
      <c r="AA107" s="27">
        <f t="shared" si="13"/>
        <v>0</v>
      </c>
      <c r="AB107" s="27">
        <f t="shared" si="13"/>
        <v>0</v>
      </c>
      <c r="AC107" s="27">
        <f t="shared" si="13"/>
        <v>0</v>
      </c>
      <c r="AD107" s="27">
        <f t="shared" si="13"/>
        <v>0</v>
      </c>
      <c r="AE107" s="27">
        <f t="shared" si="13"/>
        <v>0</v>
      </c>
    </row>
    <row r="108" spans="2:31">
      <c r="C108" s="17"/>
      <c r="D108" s="17"/>
      <c r="E108" s="17"/>
      <c r="F108" s="17"/>
      <c r="G108" s="17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2:31">
      <c r="B109" s="152" t="s">
        <v>24</v>
      </c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2:31" customFormat="1" ht="14.5"/>
    <row r="111" spans="2:31" ht="13.5" thickBot="1">
      <c r="C111" s="6" t="s">
        <v>12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</row>
    <row r="112" spans="2:31">
      <c r="C112" s="3" t="s">
        <v>960</v>
      </c>
      <c r="E112" s="3" t="s">
        <v>29</v>
      </c>
      <c r="L112" s="27">
        <f>L$102*$J$102</f>
        <v>0</v>
      </c>
      <c r="M112" s="27">
        <f t="shared" ref="M112:AE112" si="14">M$102*$J$102</f>
        <v>0</v>
      </c>
      <c r="N112" s="27">
        <f t="shared" si="14"/>
        <v>0</v>
      </c>
      <c r="O112" s="27">
        <f t="shared" si="14"/>
        <v>0</v>
      </c>
      <c r="P112" s="27">
        <f t="shared" si="14"/>
        <v>0</v>
      </c>
      <c r="Q112" s="27">
        <f t="shared" si="14"/>
        <v>297.91459781529289</v>
      </c>
      <c r="R112" s="27">
        <f t="shared" si="14"/>
        <v>243.81330685203568</v>
      </c>
      <c r="S112" s="27">
        <f t="shared" si="14"/>
        <v>243.81330685203568</v>
      </c>
      <c r="T112" s="27">
        <f t="shared" si="14"/>
        <v>243.81330685203568</v>
      </c>
      <c r="U112" s="27">
        <f t="shared" si="14"/>
        <v>243.81330685203568</v>
      </c>
      <c r="V112" s="27">
        <f t="shared" si="14"/>
        <v>0</v>
      </c>
      <c r="W112" s="27">
        <f t="shared" si="14"/>
        <v>0</v>
      </c>
      <c r="X112" s="27">
        <f t="shared" si="14"/>
        <v>0</v>
      </c>
      <c r="Y112" s="27">
        <f t="shared" si="14"/>
        <v>0</v>
      </c>
      <c r="Z112" s="27">
        <f t="shared" si="14"/>
        <v>0</v>
      </c>
      <c r="AA112" s="27">
        <f t="shared" si="14"/>
        <v>0</v>
      </c>
      <c r="AB112" s="27">
        <f t="shared" si="14"/>
        <v>0</v>
      </c>
      <c r="AC112" s="27">
        <f t="shared" si="14"/>
        <v>0</v>
      </c>
      <c r="AD112" s="27">
        <f t="shared" si="14"/>
        <v>0</v>
      </c>
      <c r="AE112" s="27">
        <f t="shared" si="14"/>
        <v>0</v>
      </c>
    </row>
    <row r="113" spans="2:38">
      <c r="Q113" s="148"/>
      <c r="R113" s="148"/>
    </row>
    <row r="114" spans="2:38">
      <c r="B114" s="5" t="s">
        <v>60</v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</row>
    <row r="115" spans="2:38">
      <c r="Q115" s="148"/>
      <c r="R115" s="148"/>
    </row>
    <row r="116" spans="2:38">
      <c r="Q116" s="148"/>
      <c r="R116" s="148"/>
    </row>
  </sheetData>
  <dataValidations count="1">
    <dataValidation type="list" allowBlank="1" showInputMessage="1" showErrorMessage="1" sqref="E5" xr:uid="{7B178DE7-BBE4-4B0E-96AE-B430FA367F63}">
      <formula1>"0,1"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F0501-20C1-4CAA-B38A-3A77094C2892}">
  <sheetPr>
    <tabColor theme="1"/>
    <pageSetUpPr fitToPage="1"/>
  </sheetPr>
  <dimension ref="A1:AL106"/>
  <sheetViews>
    <sheetView showGridLines="0" zoomScale="85" zoomScaleNormal="85" workbookViewId="0">
      <pane ySplit="2" topLeftCell="A87" activePane="bottomLeft" state="frozen"/>
      <selection pane="bottomLeft" activeCell="S11" sqref="S11"/>
    </sheetView>
  </sheetViews>
  <sheetFormatPr defaultColWidth="9.1796875" defaultRowHeight="13" outlineLevelCol="1"/>
  <cols>
    <col min="1" max="1" width="10.26953125" style="1018" customWidth="1"/>
    <col min="2" max="2" width="11.1796875" style="1018" customWidth="1"/>
    <col min="3" max="3" width="9.1796875" style="1018" customWidth="1"/>
    <col min="4" max="4" width="11.26953125" style="1018" bestFit="1" customWidth="1"/>
    <col min="5" max="5" width="19.1796875" style="1018" bestFit="1" customWidth="1"/>
    <col min="6" max="6" width="9.1796875" style="1018" customWidth="1"/>
    <col min="7" max="7" width="10" style="1018" bestFit="1" customWidth="1"/>
    <col min="8" max="15" width="9.1796875" style="1018" customWidth="1"/>
    <col min="16" max="16" width="8.1796875" style="1018" bestFit="1" customWidth="1"/>
    <col min="17" max="22" width="9.1796875" style="1018" customWidth="1"/>
    <col min="23" max="33" width="9.1796875" style="1018"/>
    <col min="34" max="35" width="5.81640625" style="1018" hidden="1" customWidth="1" outlineLevel="1"/>
    <col min="36" max="36" width="5" style="1018" hidden="1" customWidth="1" outlineLevel="1"/>
    <col min="37" max="37" width="4.81640625" style="1018" hidden="1" customWidth="1" outlineLevel="1"/>
    <col min="38" max="38" width="9.1796875" style="1018" collapsed="1"/>
    <col min="39" max="16384" width="9.1796875" style="1018"/>
  </cols>
  <sheetData>
    <row r="1" spans="1:37" ht="13.5" thickBot="1">
      <c r="AH1" s="1659" t="s">
        <v>7</v>
      </c>
    </row>
    <row r="2" spans="1:37" ht="17.5" thickBot="1">
      <c r="B2" s="1019" t="s">
        <v>8</v>
      </c>
      <c r="C2" s="1019"/>
      <c r="D2" s="1019"/>
      <c r="E2" s="1019" t="s">
        <v>9</v>
      </c>
      <c r="F2" s="1019" t="s">
        <v>10</v>
      </c>
      <c r="G2" s="1019"/>
      <c r="H2" s="1019">
        <v>2015</v>
      </c>
      <c r="I2" s="1019">
        <f t="shared" ref="I2:Q2" si="0">H2+1</f>
        <v>2016</v>
      </c>
      <c r="J2" s="1019">
        <f t="shared" si="0"/>
        <v>2017</v>
      </c>
      <c r="K2" s="1019">
        <f t="shared" si="0"/>
        <v>2018</v>
      </c>
      <c r="L2" s="1019">
        <f t="shared" si="0"/>
        <v>2019</v>
      </c>
      <c r="M2" s="1019">
        <f t="shared" si="0"/>
        <v>2020</v>
      </c>
      <c r="N2" s="1019">
        <f t="shared" si="0"/>
        <v>2021</v>
      </c>
      <c r="O2" s="1019">
        <f t="shared" si="0"/>
        <v>2022</v>
      </c>
      <c r="P2" s="1019">
        <f t="shared" si="0"/>
        <v>2023</v>
      </c>
      <c r="Q2" s="1019">
        <f t="shared" si="0"/>
        <v>2024</v>
      </c>
      <c r="R2" s="1019"/>
      <c r="S2" s="1019" t="s">
        <v>11</v>
      </c>
      <c r="T2" s="1019"/>
      <c r="U2" s="1019"/>
      <c r="V2" s="1644" t="str">
        <f>'DUC &amp; UR'!$F$6</f>
        <v>Base</v>
      </c>
      <c r="W2" s="1019"/>
      <c r="X2" s="1019"/>
      <c r="Y2" s="1019"/>
      <c r="Z2" s="1019"/>
      <c r="AA2" s="1019"/>
      <c r="AB2" s="1019"/>
      <c r="AC2" s="1019"/>
      <c r="AD2" s="1019"/>
      <c r="AE2" s="1019"/>
      <c r="AG2" s="1659"/>
      <c r="AH2" s="1659" t="s">
        <v>12</v>
      </c>
      <c r="AI2" s="1660" t="s">
        <v>13</v>
      </c>
      <c r="AJ2" s="1660" t="s">
        <v>5</v>
      </c>
      <c r="AK2" s="1660" t="s">
        <v>14</v>
      </c>
    </row>
    <row r="3" spans="1:37">
      <c r="E3" s="1018" t="s">
        <v>15</v>
      </c>
      <c r="H3" s="1024">
        <v>2015</v>
      </c>
      <c r="I3" s="1024">
        <v>2016</v>
      </c>
      <c r="J3" s="1024">
        <v>2017</v>
      </c>
      <c r="K3" s="1024">
        <v>2018</v>
      </c>
      <c r="L3" s="1024">
        <v>2019</v>
      </c>
      <c r="M3" s="1024" t="s">
        <v>16</v>
      </c>
      <c r="N3" s="1024" t="s">
        <v>16</v>
      </c>
      <c r="O3" s="1024">
        <v>2022</v>
      </c>
      <c r="P3" s="1024">
        <v>2023</v>
      </c>
      <c r="Q3" s="1024">
        <v>2024</v>
      </c>
      <c r="R3" s="1024"/>
      <c r="S3" s="1024"/>
      <c r="T3" s="1024"/>
      <c r="U3" s="1024"/>
      <c r="V3" s="1024"/>
      <c r="W3" s="1024"/>
      <c r="X3" s="1024"/>
      <c r="Y3" s="1024"/>
      <c r="Z3" s="1024"/>
      <c r="AA3" s="1024"/>
      <c r="AB3" s="1024"/>
      <c r="AC3" s="1024"/>
    </row>
    <row r="4" spans="1:37">
      <c r="E4" s="1018" t="s">
        <v>17</v>
      </c>
      <c r="H4" s="1029" t="s">
        <v>18</v>
      </c>
      <c r="I4" s="1029" t="s">
        <v>18</v>
      </c>
      <c r="J4" s="1029" t="s">
        <v>18</v>
      </c>
      <c r="K4" s="1029" t="s">
        <v>18</v>
      </c>
      <c r="L4" s="1029" t="s">
        <v>18</v>
      </c>
      <c r="M4" s="1029" t="s">
        <v>18</v>
      </c>
      <c r="N4" s="1029" t="s">
        <v>19</v>
      </c>
      <c r="O4" s="1029" t="s">
        <v>19</v>
      </c>
      <c r="P4" s="1029" t="s">
        <v>19</v>
      </c>
      <c r="Q4" s="1029" t="s">
        <v>19</v>
      </c>
    </row>
    <row r="5" spans="1:37">
      <c r="E5" s="1018" t="s">
        <v>20</v>
      </c>
      <c r="F5" s="1026">
        <f>'Misc. Items'!$F$26</f>
        <v>2017</v>
      </c>
      <c r="H5" s="1027">
        <f>'Misc. Items'!I27</f>
        <v>99.8994</v>
      </c>
      <c r="I5" s="1027">
        <f>'Misc. Items'!J27</f>
        <v>99.7</v>
      </c>
      <c r="J5" s="1027">
        <f>'Misc. Items'!K27</f>
        <v>100</v>
      </c>
      <c r="K5" s="1027">
        <f>'Misc. Items'!L27</f>
        <v>100.69999999999999</v>
      </c>
      <c r="L5" s="1027">
        <f>'Misc. Items'!M27</f>
        <v>101.60629999999998</v>
      </c>
      <c r="M5" s="1027">
        <f>'Misc. Items'!N27</f>
        <v>101.60629999999998</v>
      </c>
      <c r="N5" s="1027">
        <f>'Misc. Items'!O27</f>
        <v>103.23200079999998</v>
      </c>
      <c r="O5" s="1027">
        <f>'Misc. Items'!P27</f>
        <v>105.19340881519997</v>
      </c>
      <c r="P5" s="1027">
        <f>'Misc. Items'!Q27</f>
        <v>107.29727699150398</v>
      </c>
      <c r="Q5" s="1027">
        <f>'Misc. Items'!R27</f>
        <v>109.44322253133406</v>
      </c>
    </row>
    <row r="6" spans="1:37" ht="15" thickBot="1">
      <c r="B6" s="1020" t="s">
        <v>21</v>
      </c>
      <c r="C6" s="1020"/>
      <c r="D6" s="1020"/>
      <c r="E6" s="1020"/>
      <c r="F6" s="1020"/>
      <c r="G6" s="1020"/>
      <c r="H6" s="1020"/>
      <c r="I6" s="1020"/>
      <c r="J6" s="1020"/>
      <c r="K6" s="1020"/>
      <c r="L6" s="1020"/>
      <c r="M6" s="1020"/>
      <c r="N6" s="1020"/>
      <c r="O6" s="1020"/>
      <c r="P6" s="1020"/>
      <c r="Q6" s="1020"/>
      <c r="R6" s="1020"/>
      <c r="S6" s="1020"/>
      <c r="T6" s="1020"/>
      <c r="U6" s="1020"/>
      <c r="V6" s="1020"/>
      <c r="W6" s="1020"/>
      <c r="X6" s="1020"/>
      <c r="Y6" s="1020"/>
      <c r="Z6" s="1020"/>
      <c r="AA6" s="1020"/>
      <c r="AB6" s="1020"/>
      <c r="AC6" s="1020"/>
      <c r="AD6" s="1020"/>
      <c r="AE6" s="1020"/>
    </row>
    <row r="7" spans="1:37" ht="13.5" thickTop="1"/>
    <row r="8" spans="1:37">
      <c r="D8" s="1022" t="s">
        <v>22</v>
      </c>
    </row>
    <row r="9" spans="1:37">
      <c r="E9" s="1018" t="s">
        <v>23</v>
      </c>
      <c r="H9" s="210">
        <f>'Misc. Items'!I36</f>
        <v>4182.45</v>
      </c>
      <c r="I9" s="210">
        <f>'Misc. Items'!J36</f>
        <v>4467.5950000000003</v>
      </c>
      <c r="J9" s="210">
        <f>'Misc. Items'!K36</f>
        <v>4465.2529999999997</v>
      </c>
      <c r="K9" s="210">
        <f>'Misc. Items'!L36</f>
        <v>4549.8827233000011</v>
      </c>
      <c r="L9" s="210">
        <f>'Misc. Items'!M36</f>
        <v>4640.8595650000007</v>
      </c>
      <c r="M9" s="210">
        <f>'Misc. Items'!N36</f>
        <v>1988.2902946000002</v>
      </c>
      <c r="N9" s="210">
        <f>'Misc. Items'!O36</f>
        <v>2072</v>
      </c>
      <c r="O9" s="210">
        <f>'Misc. Items'!P36</f>
        <v>3202</v>
      </c>
      <c r="P9" s="210">
        <f>'Misc. Items'!Q36</f>
        <v>4039</v>
      </c>
      <c r="Q9" s="210">
        <f>'Misc. Items'!R36</f>
        <v>4726</v>
      </c>
    </row>
    <row r="10" spans="1:37">
      <c r="E10" s="1018" t="s">
        <v>24</v>
      </c>
      <c r="H10" s="210">
        <f>'Misc. Items'!I37</f>
        <v>149.863</v>
      </c>
      <c r="I10" s="210">
        <f>'Misc. Items'!J37</f>
        <v>163.30528635600001</v>
      </c>
      <c r="J10" s="210">
        <f>'Misc. Items'!K37</f>
        <v>171.66498065517399</v>
      </c>
      <c r="K10" s="210">
        <f>'Misc. Items'!L37</f>
        <v>182.71100000000001</v>
      </c>
      <c r="L10" s="210">
        <f>'Misc. Items'!M37</f>
        <v>187.70944677700001</v>
      </c>
      <c r="M10" s="210">
        <f>'Misc. Items'!N37</f>
        <v>70.511440283846895</v>
      </c>
      <c r="N10" s="210">
        <f>'Misc. Items'!O37</f>
        <v>77</v>
      </c>
      <c r="O10" s="210">
        <f>'Misc. Items'!P37</f>
        <v>136</v>
      </c>
      <c r="P10" s="210">
        <f>'Misc. Items'!Q37</f>
        <v>163</v>
      </c>
      <c r="Q10" s="210">
        <f>'Misc. Items'!R37</f>
        <v>188</v>
      </c>
    </row>
    <row r="11" spans="1:37">
      <c r="H11" s="1028"/>
      <c r="I11" s="1028"/>
      <c r="J11" s="1028"/>
      <c r="K11" s="1028"/>
      <c r="L11" s="1028"/>
      <c r="M11" s="1028"/>
      <c r="N11" s="1028"/>
      <c r="O11" s="1028"/>
      <c r="P11" s="1028"/>
      <c r="Q11" s="1028"/>
    </row>
    <row r="13" spans="1:37" ht="15" thickBot="1">
      <c r="B13" s="1020" t="s">
        <v>25</v>
      </c>
      <c r="C13" s="1020"/>
      <c r="D13" s="1020" t="s">
        <v>26</v>
      </c>
      <c r="E13" s="1534" t="s">
        <v>12</v>
      </c>
      <c r="F13" s="1535" t="s">
        <v>27</v>
      </c>
      <c r="G13" s="1020"/>
      <c r="H13" s="1020"/>
      <c r="I13" s="1020"/>
      <c r="J13" s="1020"/>
      <c r="K13" s="1020"/>
      <c r="L13" s="1020"/>
      <c r="M13" s="1020"/>
      <c r="N13" s="1020"/>
      <c r="O13" s="1020"/>
      <c r="P13" s="1020"/>
      <c r="Q13" s="1020"/>
      <c r="R13" s="1020"/>
      <c r="S13" s="1020"/>
      <c r="T13" s="1020"/>
      <c r="U13" s="1020"/>
      <c r="V13" s="1020"/>
      <c r="W13" s="1020"/>
      <c r="X13" s="1020"/>
      <c r="Y13" s="1020"/>
      <c r="Z13" s="1020"/>
      <c r="AA13" s="1020"/>
      <c r="AB13" s="1020"/>
      <c r="AC13" s="1020"/>
      <c r="AD13" s="1020"/>
      <c r="AE13" s="1020"/>
    </row>
    <row r="14" spans="1:37" ht="13.5" thickTop="1">
      <c r="E14" s="1021">
        <f>INDEX('Misc. Items'!$D$52:$D$55,MATCH(E13,'Misc. Items'!$C$52:$C$55,0))</f>
        <v>4</v>
      </c>
    </row>
    <row r="15" spans="1:37">
      <c r="D15" s="1041" t="s">
        <v>12</v>
      </c>
      <c r="E15" s="1042"/>
      <c r="F15" s="1042"/>
      <c r="G15" s="1042"/>
      <c r="H15" s="1042"/>
      <c r="I15" s="1042"/>
      <c r="J15" s="1042"/>
      <c r="K15" s="1042"/>
      <c r="L15" s="1042"/>
      <c r="M15" s="1042"/>
      <c r="N15" s="1042"/>
      <c r="O15" s="1042"/>
      <c r="P15" s="1042"/>
      <c r="Q15" s="1042"/>
      <c r="R15" s="1042"/>
      <c r="S15" s="1042"/>
      <c r="T15" s="1042"/>
      <c r="U15" s="1042"/>
      <c r="V15" s="1042"/>
      <c r="W15" s="1042"/>
      <c r="X15" s="1042"/>
      <c r="Y15" s="1042"/>
      <c r="Z15" s="1042"/>
      <c r="AA15" s="1042"/>
      <c r="AB15" s="1042"/>
      <c r="AC15" s="1042"/>
      <c r="AD15" s="1042"/>
      <c r="AE15" s="1042"/>
      <c r="AI15" s="1655">
        <f>ROUND(IF(AND($E$13=AI$2,$F$13='Misc. Items'!$C$57),SUMPRODUCT('ANSP Opex (CAR)'!Q45:U45,$M$5:$Q$5)/100-SUM(M16:Q16),0),5)</f>
        <v>0</v>
      </c>
      <c r="AJ15" s="1657">
        <f>IF(AND($E$13=AJ$2,$F$13='Misc. Items'!$C$57),SUM(M16:Q16)-SUMPRODUCT($M$5:$Q$5,'Met Opex'!Q45:U45)/100,0)</f>
        <v>0</v>
      </c>
      <c r="AK15" s="1657">
        <f>ROUND(IF(AND($E$13=AK$2,$F$13='Misc. Items'!$C$57),SUM(M16:Q16)-SUM('Supervision Opex'!Q56:U56,'Supervision Opex'!Q66:U66),0),5)</f>
        <v>0</v>
      </c>
    </row>
    <row r="16" spans="1:37">
      <c r="A16" s="1189"/>
      <c r="B16" s="1189"/>
      <c r="D16" s="1031"/>
      <c r="E16" s="1045" t="s">
        <v>28</v>
      </c>
      <c r="F16" s="14" t="s">
        <v>29</v>
      </c>
      <c r="G16" s="1049"/>
      <c r="H16" s="1045">
        <f t="shared" ref="H16:Q16" si="1">SUM(H46,H31)</f>
        <v>70459.882641937787</v>
      </c>
      <c r="I16" s="1045">
        <f t="shared" si="1"/>
        <v>71684.052156469406</v>
      </c>
      <c r="J16" s="1045">
        <f t="shared" si="1"/>
        <v>74343</v>
      </c>
      <c r="K16" s="1045">
        <f t="shared" si="1"/>
        <v>75653.426017874881</v>
      </c>
      <c r="L16" s="1045">
        <f t="shared" si="1"/>
        <v>74270.985165289967</v>
      </c>
      <c r="M16" s="1045">
        <f t="shared" si="1"/>
        <v>67648.907558788123</v>
      </c>
      <c r="N16" s="1045">
        <f t="shared" si="1"/>
        <v>62809.282378298012</v>
      </c>
      <c r="O16" s="1045">
        <f t="shared" si="1"/>
        <v>73933.984006854327</v>
      </c>
      <c r="P16" s="1045">
        <f t="shared" si="1"/>
        <v>75822.926731254091</v>
      </c>
      <c r="Q16" s="1045">
        <f t="shared" si="1"/>
        <v>77449.531811786015</v>
      </c>
      <c r="R16" s="1031"/>
      <c r="S16" s="1031"/>
      <c r="T16" s="1031"/>
      <c r="U16" s="1031"/>
      <c r="V16" s="1031"/>
      <c r="W16" s="1031"/>
      <c r="X16" s="1031"/>
      <c r="Y16" s="1031"/>
      <c r="Z16" s="1031"/>
      <c r="AA16" s="1031"/>
      <c r="AB16" s="1031"/>
      <c r="AC16" s="1031"/>
      <c r="AD16" s="1031"/>
      <c r="AE16" s="1031"/>
      <c r="AF16" s="1189"/>
      <c r="AI16" s="1655">
        <f>ROUND(IF(AND($E$13=AI$2,$F$13='Misc. Items'!$C$57),SUMPRODUCT('ANSP Opex (CAR)'!Q143:U143,$M$5:$Q$5)/100-SUM(M17:Q17),0),5)</f>
        <v>0</v>
      </c>
      <c r="AJ16" s="1657">
        <f>ROUND(IF(AND($E$13=AJ$2,$F$13='Misc. Items'!$C$57),SUM(M17:Q17)-SUMPRODUCT($M$5:$Q$5,'Met Opex'!Q72:U72)/100,0),5)</f>
        <v>0</v>
      </c>
      <c r="AK16" s="1657">
        <f>ROUND(IF(AND($E$13=AK$2,$F$13='Misc. Items'!$C$57),SUM(M17:Q17)-SUM('Supervision Opex'!Q102:U102,'Supervision Opex'!Q110:U110),0),5)</f>
        <v>0</v>
      </c>
    </row>
    <row r="17" spans="1:37">
      <c r="A17" s="1189"/>
      <c r="B17" s="1189"/>
      <c r="D17" s="1031"/>
      <c r="E17" s="1033" t="s">
        <v>30</v>
      </c>
      <c r="F17" s="14" t="s">
        <v>29</v>
      </c>
      <c r="G17" s="1049"/>
      <c r="H17" s="1033">
        <f t="shared" ref="H17:Q17" si="2">SUM(H47,H32)</f>
        <v>36688.909042496751</v>
      </c>
      <c r="I17" s="1033">
        <f t="shared" si="2"/>
        <v>39117.352056168507</v>
      </c>
      <c r="J17" s="1033">
        <f t="shared" si="2"/>
        <v>42188</v>
      </c>
      <c r="K17" s="1033">
        <f t="shared" si="2"/>
        <v>43925.521350546187</v>
      </c>
      <c r="L17" s="1033">
        <f t="shared" si="2"/>
        <v>50546.078343567293</v>
      </c>
      <c r="M17" s="1033">
        <f t="shared" si="2"/>
        <v>40444.7942201283</v>
      </c>
      <c r="N17" s="1033">
        <f t="shared" si="2"/>
        <v>44066.638663923237</v>
      </c>
      <c r="O17" s="1033">
        <f t="shared" si="2"/>
        <v>46377.113703705712</v>
      </c>
      <c r="P17" s="1033">
        <f t="shared" si="2"/>
        <v>47671.379872442063</v>
      </c>
      <c r="Q17" s="1033">
        <f t="shared" si="2"/>
        <v>48457.52632597927</v>
      </c>
      <c r="R17" s="1031"/>
      <c r="S17" s="1031"/>
      <c r="T17" s="1031"/>
      <c r="U17" s="1031"/>
      <c r="V17" s="1031"/>
      <c r="W17" s="1031"/>
      <c r="X17" s="1031"/>
      <c r="Y17" s="1031"/>
      <c r="Z17" s="1031"/>
      <c r="AA17" s="1031"/>
      <c r="AB17" s="1031"/>
      <c r="AC17" s="1031"/>
      <c r="AD17" s="1031"/>
      <c r="AE17" s="1031"/>
      <c r="AF17" s="1656"/>
      <c r="AH17" s="1189"/>
      <c r="AI17" s="1623">
        <f>ROUND(IF(AND($E$13=AI$2,$F$13='Misc. Items'!$C$57),SUM('ANSP Capex (CAR)'!BH1002:BL1002,'ANSP Capex (CAR)'!BH1319:BL1319)-SUM(M18:Q18)),5)</f>
        <v>0</v>
      </c>
      <c r="AJ17" s="1623">
        <f>ROUND(IF(AND($E$13=AJ$2,$F$13='Misc. Items'!$C$57),SUM(M18:Q18)-SUM('MET Capex'!X49:AB49),0),5)</f>
        <v>0</v>
      </c>
      <c r="AK17" s="1657">
        <f>ROUND(IF(AND($E$13=AK$2,$F$13='Misc. Items'!$C$57),SUM(M18:Q18)-SUM('Supervision Capex '!W63:AA63,'Supervision Capex '!W91:AA91),0),5)</f>
        <v>0</v>
      </c>
    </row>
    <row r="18" spans="1:37">
      <c r="A18" s="1622"/>
      <c r="B18" s="1189"/>
      <c r="D18" s="1031"/>
      <c r="E18" s="1033" t="s">
        <v>31</v>
      </c>
      <c r="F18" s="14" t="s">
        <v>29</v>
      </c>
      <c r="G18" s="1049"/>
      <c r="H18" s="1033">
        <f t="shared" ref="H18:Q18" si="3">SUM(H48,H33)</f>
        <v>12525.600754358884</v>
      </c>
      <c r="I18" s="1033">
        <f t="shared" si="3"/>
        <v>12600.802407221665</v>
      </c>
      <c r="J18" s="1033">
        <f t="shared" si="3"/>
        <v>13002</v>
      </c>
      <c r="K18" s="1033">
        <f t="shared" si="3"/>
        <v>13710.029791459783</v>
      </c>
      <c r="L18" s="1033">
        <f t="shared" si="3"/>
        <v>10539.700786270147</v>
      </c>
      <c r="M18" s="1033">
        <f t="shared" si="3"/>
        <v>9186.3733063724958</v>
      </c>
      <c r="N18" s="1033">
        <f t="shared" si="3"/>
        <v>11244.110889057551</v>
      </c>
      <c r="O18" s="1033">
        <f t="shared" si="3"/>
        <v>13672.879123449093</v>
      </c>
      <c r="P18" s="1033">
        <f t="shared" si="3"/>
        <v>14580.310833089772</v>
      </c>
      <c r="Q18" s="1033">
        <f t="shared" si="3"/>
        <v>13242.31257435837</v>
      </c>
      <c r="R18" s="1031"/>
      <c r="S18" s="1031"/>
      <c r="T18" s="1031"/>
      <c r="U18" s="1031"/>
      <c r="V18" s="1031"/>
      <c r="W18" s="1031"/>
      <c r="X18" s="1031"/>
      <c r="Y18" s="1031"/>
      <c r="Z18" s="1031"/>
      <c r="AA18" s="1031"/>
      <c r="AB18" s="1031"/>
      <c r="AC18" s="1031"/>
      <c r="AD18" s="1031"/>
      <c r="AE18" s="1031"/>
      <c r="AF18" s="1656"/>
      <c r="AI18" s="1623">
        <f>IF(AND($E$13=AI$2,$F$13='Misc. Items'!$C$57),SUM(M19:Q19)-SUM('ANSP WACC (CAR)'!Z86:AD86),0)</f>
        <v>0</v>
      </c>
      <c r="AJ18" s="1657">
        <v>0</v>
      </c>
      <c r="AK18" s="1657">
        <v>0</v>
      </c>
    </row>
    <row r="19" spans="1:37">
      <c r="B19" s="1189"/>
      <c r="D19" s="1031"/>
      <c r="E19" s="1033" t="s">
        <v>32</v>
      </c>
      <c r="F19" s="14" t="s">
        <v>29</v>
      </c>
      <c r="G19" s="1049"/>
      <c r="H19" s="1033">
        <f t="shared" ref="H19:Q19" si="4">SUM(H49,H34)</f>
        <v>9572.9613991675615</v>
      </c>
      <c r="I19" s="1033">
        <f t="shared" si="4"/>
        <v>8872.976898696088</v>
      </c>
      <c r="J19" s="1033">
        <f t="shared" si="4"/>
        <v>8258</v>
      </c>
      <c r="K19" s="1033">
        <f t="shared" si="4"/>
        <v>7861.9662363455809</v>
      </c>
      <c r="L19" s="1033">
        <f t="shared" si="4"/>
        <v>6162.0194810754856</v>
      </c>
      <c r="M19" s="1033">
        <f t="shared" si="4"/>
        <v>1594.9561590395683</v>
      </c>
      <c r="N19" s="1033">
        <f t="shared" si="4"/>
        <v>3235.2669590336877</v>
      </c>
      <c r="O19" s="1033">
        <f t="shared" si="4"/>
        <v>6894.1363288819848</v>
      </c>
      <c r="P19" s="1033">
        <f t="shared" si="4"/>
        <v>7768.6954314179484</v>
      </c>
      <c r="Q19" s="1033">
        <f t="shared" si="4"/>
        <v>7458.4771414088509</v>
      </c>
      <c r="R19" s="1031"/>
      <c r="S19" s="1031"/>
      <c r="T19" s="1031"/>
      <c r="U19" s="1031"/>
      <c r="V19" s="1031"/>
      <c r="W19" s="1031"/>
      <c r="X19" s="1031"/>
      <c r="Y19" s="1031"/>
      <c r="Z19" s="1031"/>
      <c r="AA19" s="1031"/>
      <c r="AB19" s="1031"/>
      <c r="AC19" s="1031"/>
      <c r="AD19" s="1031"/>
      <c r="AE19" s="1031"/>
      <c r="AF19" s="1656"/>
      <c r="AI19" s="1657">
        <f>ROUND(IF(AND($E$13=AI$2,$F$13='Misc. Items'!$C$57),SUM(M20:Q20)-SUMPRODUCT('ANSP Opex (CAR)'!Q233:U233,$M$5:$Q$5/100),0),5)</f>
        <v>0</v>
      </c>
      <c r="AJ19" s="1657">
        <f>ROUND(IF(AND($E$13=AJ$2,$F$13='Misc. Items'!$C$57),SUM(M20:Q20)-SUMPRODUCT($M$5:$Q$5,'Met Opex'!Q102:U102)/100,0),5)</f>
        <v>0</v>
      </c>
      <c r="AK19" s="1657">
        <v>0</v>
      </c>
    </row>
    <row r="20" spans="1:37">
      <c r="B20" s="1189"/>
      <c r="D20" s="1031"/>
      <c r="E20" s="1033" t="s">
        <v>33</v>
      </c>
      <c r="F20" s="14" t="s">
        <v>29</v>
      </c>
      <c r="G20" s="1049"/>
      <c r="H20" s="1033">
        <f t="shared" ref="H20:Q20" si="5">SUM(H50,H35)</f>
        <v>0</v>
      </c>
      <c r="I20" s="1033">
        <f t="shared" si="5"/>
        <v>0</v>
      </c>
      <c r="J20" s="1033">
        <f t="shared" si="5"/>
        <v>0</v>
      </c>
      <c r="K20" s="1033">
        <f t="shared" si="5"/>
        <v>0</v>
      </c>
      <c r="L20" s="1033">
        <f t="shared" si="5"/>
        <v>0</v>
      </c>
      <c r="M20" s="1033">
        <f t="shared" si="5"/>
        <v>1489.5729890764649</v>
      </c>
      <c r="N20" s="1033">
        <f>SUM(N50,N35)</f>
        <v>2455.0665342601787</v>
      </c>
      <c r="O20" s="1033">
        <f t="shared" si="5"/>
        <v>1219.0665342601787</v>
      </c>
      <c r="P20" s="1033">
        <f t="shared" si="5"/>
        <v>1219.0665342601787</v>
      </c>
      <c r="Q20" s="1033">
        <f t="shared" si="5"/>
        <v>1219.0665342601787</v>
      </c>
      <c r="R20" s="1031"/>
      <c r="S20" s="1031"/>
      <c r="T20" s="1031"/>
      <c r="U20" s="1031"/>
      <c r="V20" s="1031"/>
      <c r="W20" s="1031"/>
      <c r="X20" s="1031"/>
      <c r="Y20" s="1031"/>
      <c r="Z20" s="1031"/>
      <c r="AA20" s="1031"/>
      <c r="AB20" s="1031"/>
      <c r="AC20" s="1031"/>
      <c r="AD20" s="1031"/>
      <c r="AE20" s="1031"/>
      <c r="AF20" s="1656"/>
    </row>
    <row r="21" spans="1:37">
      <c r="D21" s="1031"/>
      <c r="E21" s="1031"/>
      <c r="F21" s="1031"/>
      <c r="G21" s="1031"/>
      <c r="H21" s="1031"/>
      <c r="I21" s="1031"/>
      <c r="J21" s="1031"/>
      <c r="K21" s="1031"/>
      <c r="L21" s="1031"/>
      <c r="M21" s="1031"/>
      <c r="N21" s="1031"/>
      <c r="O21" s="1031"/>
      <c r="P21" s="1031"/>
      <c r="Q21" s="1031"/>
      <c r="R21" s="1031"/>
      <c r="S21" s="1031"/>
      <c r="T21" s="1031"/>
      <c r="U21" s="1031"/>
      <c r="V21" s="1031"/>
      <c r="W21" s="1031"/>
      <c r="X21" s="1031"/>
      <c r="Y21" s="1031"/>
      <c r="Z21" s="1031"/>
      <c r="AA21" s="1031"/>
      <c r="AB21" s="1031"/>
      <c r="AC21" s="1031"/>
      <c r="AD21" s="1031"/>
      <c r="AE21" s="1031"/>
    </row>
    <row r="22" spans="1:37">
      <c r="D22" s="1031"/>
      <c r="E22" s="1030" t="s">
        <v>12</v>
      </c>
      <c r="F22" s="1031"/>
      <c r="G22" s="1031"/>
      <c r="H22" s="1043">
        <f>SUM(H16:H20)</f>
        <v>129247.35383796098</v>
      </c>
      <c r="I22" s="1043">
        <f t="shared" ref="I22:Q22" si="6">SUM(I16:I20)</f>
        <v>132275.18351855568</v>
      </c>
      <c r="J22" s="1043">
        <f t="shared" si="6"/>
        <v>137791</v>
      </c>
      <c r="K22" s="1043">
        <f t="shared" si="6"/>
        <v>141150.94339622644</v>
      </c>
      <c r="L22" s="1043">
        <f t="shared" si="6"/>
        <v>141518.78377620291</v>
      </c>
      <c r="M22" s="1043">
        <f t="shared" si="6"/>
        <v>120364.60423340496</v>
      </c>
      <c r="N22" s="1043">
        <f>SUM(N16:N20)</f>
        <v>123810.36542457266</v>
      </c>
      <c r="O22" s="1043">
        <f t="shared" ref="O22" si="7">SUM(O16:O20)</f>
        <v>142097.1796971513</v>
      </c>
      <c r="P22" s="1043">
        <f t="shared" si="6"/>
        <v>147062.37940246405</v>
      </c>
      <c r="Q22" s="1043">
        <f t="shared" si="6"/>
        <v>147826.9143877927</v>
      </c>
      <c r="R22" s="1031"/>
      <c r="S22" s="1031"/>
      <c r="T22" s="1031"/>
      <c r="U22" s="1031"/>
      <c r="V22" s="1031"/>
      <c r="W22" s="1031"/>
      <c r="X22" s="1031"/>
      <c r="Y22" s="1031"/>
      <c r="Z22" s="1031"/>
      <c r="AA22" s="1031"/>
      <c r="AB22" s="1031"/>
      <c r="AC22" s="1031"/>
      <c r="AD22" s="1031"/>
      <c r="AE22" s="1031"/>
      <c r="AH22" s="1657">
        <f>ROUND(IF(AND($F$13='Misc. Items'!$C$57,$E$13="total"),SUM(M22:Q22)-SUM('ERT DC'!J60:M61,'TRM DC'!J60:M61),0),5)</f>
        <v>0</v>
      </c>
    </row>
    <row r="23" spans="1:37">
      <c r="D23" s="1031"/>
      <c r="E23" s="1050"/>
      <c r="F23" s="1031"/>
      <c r="G23" s="1031"/>
      <c r="H23" s="1031"/>
      <c r="I23" s="1031"/>
      <c r="J23" s="1031"/>
      <c r="K23" s="1031"/>
      <c r="L23" s="1031"/>
      <c r="M23" s="1031"/>
      <c r="N23" s="1031"/>
      <c r="O23" s="1031"/>
      <c r="P23" s="1031"/>
      <c r="Q23" s="1031"/>
      <c r="R23" s="1031"/>
      <c r="S23" s="1031"/>
      <c r="T23" s="1031"/>
      <c r="U23" s="1031"/>
      <c r="V23" s="1031"/>
      <c r="W23" s="1031"/>
      <c r="X23" s="1031"/>
      <c r="Y23" s="1031"/>
      <c r="Z23" s="1031"/>
      <c r="AA23" s="1031"/>
      <c r="AB23" s="1031"/>
      <c r="AC23" s="1031"/>
      <c r="AD23" s="1031"/>
      <c r="AE23" s="1031"/>
    </row>
    <row r="24" spans="1:37">
      <c r="D24" s="1031"/>
      <c r="E24" s="1050"/>
      <c r="F24" s="1031"/>
      <c r="G24" s="1031"/>
      <c r="H24" s="1031"/>
      <c r="I24" s="1031"/>
      <c r="J24" s="1031"/>
      <c r="K24" s="1031"/>
      <c r="L24" s="1031"/>
      <c r="M24" s="1048"/>
      <c r="N24" s="1048"/>
      <c r="O24" s="1048"/>
      <c r="P24" s="1048"/>
      <c r="Q24" s="1048"/>
      <c r="R24" s="1031"/>
      <c r="S24" s="1031"/>
      <c r="T24" s="1031"/>
      <c r="U24" s="1031"/>
      <c r="V24" s="1031"/>
      <c r="W24" s="1031"/>
      <c r="X24" s="1031"/>
      <c r="Y24" s="1031"/>
      <c r="Z24" s="1031"/>
      <c r="AA24" s="1031"/>
      <c r="AB24" s="1031"/>
      <c r="AC24" s="1031"/>
      <c r="AD24" s="1031"/>
      <c r="AE24" s="1031"/>
    </row>
    <row r="25" spans="1:37">
      <c r="D25" s="1031"/>
      <c r="E25" s="1050"/>
      <c r="F25" s="1031"/>
      <c r="G25" s="1031"/>
      <c r="H25" s="1031"/>
      <c r="I25" s="1031"/>
      <c r="J25" s="1031"/>
      <c r="K25" s="1031"/>
      <c r="L25" s="1031"/>
      <c r="M25" s="1031"/>
      <c r="N25" s="1031"/>
      <c r="O25" s="1031"/>
      <c r="P25" s="1031"/>
      <c r="Q25" s="1031"/>
      <c r="R25" s="1031"/>
      <c r="S25" s="1031"/>
      <c r="T25" s="1031"/>
      <c r="U25" s="1031"/>
      <c r="V25" s="1031"/>
      <c r="W25" s="1031"/>
      <c r="X25" s="1031"/>
      <c r="Y25" s="1031"/>
      <c r="Z25" s="1031"/>
      <c r="AA25" s="1031"/>
      <c r="AB25" s="1031"/>
      <c r="AC25" s="1031"/>
      <c r="AD25" s="1031"/>
      <c r="AE25" s="1031"/>
    </row>
    <row r="26" spans="1:37">
      <c r="D26" s="1031"/>
      <c r="E26" s="1050"/>
      <c r="F26" s="1031"/>
      <c r="G26" s="1031"/>
      <c r="H26" s="1031"/>
      <c r="I26" s="1031"/>
      <c r="J26" s="1031"/>
      <c r="K26" s="1031"/>
      <c r="L26" s="1031"/>
      <c r="M26" s="1031"/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031"/>
      <c r="Z26" s="1031"/>
      <c r="AA26" s="1031"/>
      <c r="AB26" s="1031"/>
      <c r="AC26" s="1031"/>
      <c r="AD26" s="1031"/>
      <c r="AE26" s="1031"/>
    </row>
    <row r="27" spans="1:37">
      <c r="D27" s="1031"/>
      <c r="E27" s="1050"/>
      <c r="F27" s="1031"/>
      <c r="G27" s="1031"/>
      <c r="H27" s="1031"/>
      <c r="I27" s="1031"/>
      <c r="J27" s="1031"/>
      <c r="K27" s="1031"/>
      <c r="L27" s="1031"/>
      <c r="M27" s="1031"/>
      <c r="N27" s="1031"/>
      <c r="O27" s="1031"/>
      <c r="P27" s="1031"/>
      <c r="Q27" s="1031"/>
      <c r="R27" s="1031"/>
      <c r="S27" s="1031"/>
      <c r="T27" s="1031"/>
      <c r="U27" s="1031"/>
      <c r="V27" s="1031"/>
      <c r="W27" s="1031"/>
      <c r="X27" s="1031"/>
      <c r="Y27" s="1031"/>
      <c r="Z27" s="1031"/>
      <c r="AA27" s="1031"/>
      <c r="AB27" s="1031"/>
      <c r="AC27" s="1031"/>
      <c r="AD27" s="1031"/>
      <c r="AE27" s="1031"/>
    </row>
    <row r="28" spans="1:37">
      <c r="D28" s="1031"/>
      <c r="E28" s="1050"/>
      <c r="F28" s="1031"/>
      <c r="G28" s="1031"/>
      <c r="H28" s="1031"/>
      <c r="I28" s="1031"/>
      <c r="J28" s="1031"/>
      <c r="K28" s="1031"/>
      <c r="L28" s="1031"/>
      <c r="M28" s="1031"/>
      <c r="N28" s="1031"/>
      <c r="O28" s="1031"/>
      <c r="P28" s="1031"/>
      <c r="Q28" s="1031"/>
      <c r="R28" s="1031"/>
      <c r="S28" s="1031"/>
      <c r="T28" s="1031"/>
      <c r="U28" s="1031"/>
      <c r="V28" s="1031"/>
      <c r="W28" s="1031"/>
      <c r="X28" s="1031"/>
      <c r="Y28" s="1031"/>
      <c r="Z28" s="1031"/>
      <c r="AA28" s="1031"/>
      <c r="AB28" s="1031"/>
      <c r="AC28" s="1031"/>
      <c r="AD28" s="1031"/>
      <c r="AE28" s="1031"/>
    </row>
    <row r="29" spans="1:37">
      <c r="E29" s="1021"/>
    </row>
    <row r="30" spans="1:37">
      <c r="D30" s="1041" t="s">
        <v>23</v>
      </c>
      <c r="E30" s="1051"/>
      <c r="F30" s="1042"/>
      <c r="G30" s="1042"/>
      <c r="H30" s="1042"/>
      <c r="I30" s="1042"/>
      <c r="J30" s="1042"/>
      <c r="K30" s="1042"/>
      <c r="L30" s="1042"/>
      <c r="M30" s="1042"/>
      <c r="N30" s="1042"/>
      <c r="O30" s="1042"/>
      <c r="P30" s="1042"/>
      <c r="Q30" s="1042"/>
      <c r="R30" s="1042"/>
      <c r="S30" s="1042"/>
      <c r="T30" s="1042"/>
      <c r="U30" s="1042"/>
      <c r="V30" s="1042"/>
      <c r="W30" s="1042"/>
      <c r="X30" s="1042"/>
      <c r="Y30" s="1042"/>
      <c r="Z30" s="1042"/>
      <c r="AA30" s="1042"/>
      <c r="AB30" s="1042"/>
      <c r="AC30" s="1042"/>
      <c r="AD30" s="1042"/>
      <c r="AE30" s="1042"/>
    </row>
    <row r="31" spans="1:37">
      <c r="D31" s="1031"/>
      <c r="E31" s="1033" t="s">
        <v>28</v>
      </c>
      <c r="F31" s="14" t="s">
        <v>29</v>
      </c>
      <c r="G31" s="1049"/>
      <c r="H31" s="1033">
        <f>CHOOSE($E$14,'ANSP ERT'!C12,'MET ERT'!C12,'Supervision ERT'!C12,'ERT DC'!C12)/IF($F$13='Misc. Items'!$C$57,1,H$5/100)</f>
        <v>60064.424811360223</v>
      </c>
      <c r="I31" s="1033">
        <f>CHOOSE($E$14,'ANSP ERT'!D12,'MET ERT'!D12,'Supervision ERT'!D12,'ERT DC'!D12)/IF($F$13='Misc. Items'!$C$57,1,I$5/100)</f>
        <v>60954.864593781342</v>
      </c>
      <c r="J31" s="1033">
        <f>CHOOSE($E$14,'ANSP ERT'!E12,'MET ERT'!E12,'Supervision ERT'!E12,'ERT DC'!E12)/IF($F$13='Misc. Items'!$C$57,1,J$5/100)</f>
        <v>63213</v>
      </c>
      <c r="K31" s="1033">
        <f>CHOOSE($E$14,'ANSP ERT'!F12,'MET ERT'!F12,'Supervision ERT'!F12,'ERT DC'!F12)/IF($F$13='Misc. Items'!$C$57,1,K$5/100)</f>
        <v>64370.407149950355</v>
      </c>
      <c r="L31" s="1033">
        <f>CHOOSE($E$14,'ANSP ERT'!G12,'MET ERT'!G12,'Supervision ERT'!G12,'ERT DC'!G12)/IF($F$13='Misc. Items'!$C$57,1,L$5/100)</f>
        <v>63291.351028430341</v>
      </c>
      <c r="M31" s="1033">
        <f>CHOOSE($E$14,'ANSP ERT'!H12,'MET ERT'!H12,'Supervision ERT'!H12,'ERT DC'!H12)/IF($F$13='Misc. Items'!$C$57,1,M$5/100)</f>
        <v>57573.230951849218</v>
      </c>
      <c r="N31" s="1033">
        <f>CHOOSE($E$14,'ANSP ERT'!I12,'MET ERT'!I12,'Supervision ERT'!I12,'ERT DC'!I12)/IF($F$13='Misc. Items'!$C$57,1,N$5/100)</f>
        <v>54003.280731909697</v>
      </c>
      <c r="O31" s="1033">
        <f>CHOOSE($E$14,'ANSP ERT'!K12,'MET ERT'!K12,'Supervision ERT'!K12,'ERT DC'!K12)/IF($F$13='Misc. Items'!$C$57,1,O$5/100)</f>
        <v>63572.370564613826</v>
      </c>
      <c r="P31" s="1033">
        <f>CHOOSE($E$14,'ANSP ERT'!L12,'MET ERT'!L12,'Supervision ERT'!L12,'ERT DC'!L12)/IF($F$13='Misc. Items'!$C$57,1,P$5/100)</f>
        <v>64873.265048096604</v>
      </c>
      <c r="Q31" s="1033">
        <f>CHOOSE($E$14,'ANSP ERT'!M12,'MET ERT'!M12,'Supervision ERT'!M12,'ERT DC'!M12)/IF($F$13='Misc. Items'!$C$57,1,Q$5/100)</f>
        <v>65528.357987864481</v>
      </c>
      <c r="R31" s="1031"/>
      <c r="S31" s="1031"/>
      <c r="T31" s="1031"/>
      <c r="U31" s="1031"/>
      <c r="V31" s="1031"/>
      <c r="W31" s="1031"/>
      <c r="X31" s="1031"/>
      <c r="Y31" s="1031"/>
      <c r="Z31" s="1031"/>
      <c r="AA31" s="1031"/>
      <c r="AB31" s="1031"/>
      <c r="AC31" s="1031"/>
      <c r="AD31" s="1031"/>
      <c r="AE31" s="1031"/>
    </row>
    <row r="32" spans="1:37">
      <c r="D32" s="1031"/>
      <c r="E32" s="1033" t="s">
        <v>30</v>
      </c>
      <c r="F32" s="14" t="s">
        <v>29</v>
      </c>
      <c r="G32" s="1049"/>
      <c r="H32" s="1033">
        <f>CHOOSE($E$14,'ANSP ERT'!C14,'MET ERT'!C14,'Supervision ERT'!C14,'ERT DC'!C14)/IF($F$13='Misc. Items'!$C$57,1,H$5/100)</f>
        <v>31476.665525518671</v>
      </c>
      <c r="I32" s="1033">
        <f>CHOOSE($E$14,'ANSP ERT'!D14,'MET ERT'!D14,'Supervision ERT'!D14,'ERT DC'!D14)/IF($F$13='Misc. Items'!$C$57,1,I$5/100)</f>
        <v>33189.568706118356</v>
      </c>
      <c r="J32" s="1033">
        <f>CHOOSE($E$14,'ANSP ERT'!E14,'MET ERT'!E14,'Supervision ERT'!E14,'ERT DC'!E14)/IF($F$13='Misc. Items'!$C$57,1,J$5/100)</f>
        <v>35848</v>
      </c>
      <c r="K32" s="1033">
        <f>CHOOSE($E$14,'ANSP ERT'!F14,'MET ERT'!F14,'Supervision ERT'!F14,'ERT DC'!F14)/IF($F$13='Misc. Items'!$C$57,1,K$5/100)</f>
        <v>37287.984111221456</v>
      </c>
      <c r="L32" s="1033">
        <f>CHOOSE($E$14,'ANSP ERT'!G14,'MET ERT'!G14,'Supervision ERT'!G14,'ERT DC'!G14)/IF($F$13='Misc. Items'!$C$57,1,L$5/100)</f>
        <v>41104.734647359473</v>
      </c>
      <c r="M32" s="1033">
        <f>CHOOSE($E$14,'ANSP ERT'!H14,'MET ERT'!H14,'Supervision ERT'!H14,'ERT DC'!H14)/IF($F$13='Misc. Items'!$C$57,1,M$5/100)</f>
        <v>35029.994271967771</v>
      </c>
      <c r="N32" s="1033">
        <f>CHOOSE($E$14,'ANSP ERT'!I14,'MET ERT'!I14,'Supervision ERT'!I14,'ERT DC'!I14)/IF($F$13='Misc. Items'!$C$57,1,N$5/100)</f>
        <v>37870.406970406468</v>
      </c>
      <c r="O32" s="1033">
        <f>CHOOSE($E$14,'ANSP ERT'!K14,'MET ERT'!K14,'Supervision ERT'!K14,'ERT DC'!K14)/IF($F$13='Misc. Items'!$C$57,1,O$5/100)</f>
        <v>39681.734528436718</v>
      </c>
      <c r="P32" s="1033">
        <f>CHOOSE($E$14,'ANSP ERT'!L14,'MET ERT'!L14,'Supervision ERT'!L14,'ERT DC'!L14)/IF($F$13='Misc. Items'!$C$57,1,P$5/100)</f>
        <v>40707.192025587749</v>
      </c>
      <c r="Q32" s="1033">
        <f>CHOOSE($E$14,'ANSP ERT'!M14,'MET ERT'!M14,'Supervision ERT'!M14,'ERT DC'!M14)/IF($F$13='Misc. Items'!$C$57,1,Q$5/100)</f>
        <v>41360.151057707975</v>
      </c>
      <c r="R32" s="1031"/>
      <c r="S32" s="1031"/>
      <c r="T32" s="1031"/>
      <c r="U32" s="1031"/>
      <c r="V32" s="1031"/>
      <c r="W32" s="1031"/>
      <c r="X32" s="1031"/>
      <c r="Y32" s="1031"/>
      <c r="Z32" s="1031"/>
      <c r="AA32" s="1031"/>
      <c r="AB32" s="1031"/>
      <c r="AC32" s="1031"/>
      <c r="AD32" s="1031"/>
      <c r="AE32" s="1031"/>
    </row>
    <row r="33" spans="4:31">
      <c r="D33" s="1031"/>
      <c r="E33" s="1033" t="s">
        <v>31</v>
      </c>
      <c r="F33" s="14" t="s">
        <v>29</v>
      </c>
      <c r="G33" s="1049"/>
      <c r="H33" s="1033">
        <f>CHOOSE($E$14,'ANSP ERT'!C15,'MET ERT'!C15,'Supervision ERT'!C15,'ERT DC'!C15)/IF($F$13='Misc. Items'!$C$57,1,H$5/100)</f>
        <v>8701.7539644882745</v>
      </c>
      <c r="I33" s="1033">
        <f>CHOOSE($E$14,'ANSP ERT'!D15,'MET ERT'!D15,'Supervision ERT'!D15,'ERT DC'!D15)/IF($F$13='Misc. Items'!$C$57,1,I$5/100)</f>
        <v>8739.217652958876</v>
      </c>
      <c r="J33" s="1033">
        <f>CHOOSE($E$14,'ANSP ERT'!E15,'MET ERT'!E15,'Supervision ERT'!E15,'ERT DC'!E15)/IF($F$13='Misc. Items'!$C$57,1,J$5/100)</f>
        <v>9106</v>
      </c>
      <c r="K33" s="1033">
        <f>CHOOSE($E$14,'ANSP ERT'!F15,'MET ERT'!F15,'Supervision ERT'!F15,'ERT DC'!F15)/IF($F$13='Misc. Items'!$C$57,1,K$5/100)</f>
        <v>9848.0635551142022</v>
      </c>
      <c r="L33" s="1033">
        <f>CHOOSE($E$14,'ANSP ERT'!G15,'MET ERT'!G15,'Supervision ERT'!G15,'ERT DC'!G15)/IF($F$13='Misc. Items'!$C$57,1,L$5/100)</f>
        <v>7610.748546103935</v>
      </c>
      <c r="M33" s="1033">
        <f>CHOOSE($E$14,'ANSP ERT'!H15,'MET ERT'!H15,'Supervision ERT'!H15,'ERT DC'!H15)/IF($F$13='Misc. Items'!$C$57,1,M$5/100)</f>
        <v>6676.9537096232307</v>
      </c>
      <c r="N33" s="1033">
        <f>CHOOSE($E$14,'ANSP ERT'!I15,'MET ERT'!I15,'Supervision ERT'!I15,'ERT DC'!I15)/IF($F$13='Misc. Items'!$C$57,1,N$5/100)</f>
        <v>7793.4116105575895</v>
      </c>
      <c r="O33" s="1033">
        <f>CHOOSE($E$14,'ANSP ERT'!K15,'MET ERT'!K15,'Supervision ERT'!K15,'ERT DC'!K15)/IF($F$13='Misc. Items'!$C$57,1,O$5/100)</f>
        <v>8784.7295460946079</v>
      </c>
      <c r="P33" s="1033">
        <f>CHOOSE($E$14,'ANSP ERT'!L15,'MET ERT'!L15,'Supervision ERT'!L15,'ERT DC'!L15)/IF($F$13='Misc. Items'!$C$57,1,P$5/100)</f>
        <v>9180.8926634103173</v>
      </c>
      <c r="Q33" s="1033">
        <f>CHOOSE($E$14,'ANSP ERT'!M15,'MET ERT'!M15,'Supervision ERT'!M15,'ERT DC'!M15)/IF($F$13='Misc. Items'!$C$57,1,Q$5/100)</f>
        <v>7941.8695000713633</v>
      </c>
      <c r="R33" s="1031"/>
      <c r="S33" s="1031"/>
      <c r="T33" s="1031"/>
      <c r="U33" s="1031"/>
      <c r="V33" s="1031"/>
      <c r="W33" s="1031"/>
      <c r="X33" s="1031"/>
      <c r="Y33" s="1031"/>
      <c r="Z33" s="1031"/>
      <c r="AA33" s="1031"/>
      <c r="AB33" s="1031"/>
      <c r="AC33" s="1031"/>
      <c r="AD33" s="1031"/>
      <c r="AE33" s="1031"/>
    </row>
    <row r="34" spans="4:31">
      <c r="D34" s="1031"/>
      <c r="E34" s="1033" t="s">
        <v>32</v>
      </c>
      <c r="F34" s="14" t="s">
        <v>29</v>
      </c>
      <c r="G34" s="1049"/>
      <c r="H34" s="1033">
        <f>CHOOSE($E$14,'ANSP ERT'!C16,'MET ERT'!C16,'Supervision ERT'!C16,'ERT DC'!C16)/IF($F$13='Misc. Items'!$C$57,1,H$5/100)</f>
        <v>6649.4553520841964</v>
      </c>
      <c r="I34" s="1033">
        <f>CHOOSE($E$14,'ANSP ERT'!D16,'MET ERT'!D16,'Supervision ERT'!D16,'ERT DC'!D16)/IF($F$13='Misc. Items'!$C$57,1,I$5/100)</f>
        <v>6113.9798676028086</v>
      </c>
      <c r="J34" s="1033">
        <f>CHOOSE($E$14,'ANSP ERT'!E16,'MET ERT'!E16,'Supervision ERT'!E16,'ERT DC'!E16)/IF($F$13='Misc. Items'!$C$57,1,J$5/100)</f>
        <v>5744</v>
      </c>
      <c r="K34" s="1033">
        <f>CHOOSE($E$14,'ANSP ERT'!F16,'MET ERT'!F16,'Supervision ERT'!F16,'ERT DC'!F16)/IF($F$13='Misc. Items'!$C$57,1,K$5/100)</f>
        <v>5568.0238331678256</v>
      </c>
      <c r="L34" s="1033">
        <f>CHOOSE($E$14,'ANSP ERT'!G16,'MET ERT'!G16,'Supervision ERT'!G16,'ERT DC'!G16)/IF($F$13='Misc. Items'!$C$57,1,L$5/100)</f>
        <v>4307.8037483896187</v>
      </c>
      <c r="M34" s="1033">
        <f>CHOOSE($E$14,'ANSP ERT'!H16,'MET ERT'!H16,'Supervision ERT'!H16,'ERT DC'!H16)/IF($F$13='Misc. Items'!$C$57,1,M$5/100)</f>
        <v>1125.217739072925</v>
      </c>
      <c r="N34" s="1033">
        <f>CHOOSE($E$14,'ANSP ERT'!I16,'MET ERT'!I16,'Supervision ERT'!I16,'ERT DC'!I16)/IF($F$13='Misc. Items'!$C$57,1,N$5/100)</f>
        <v>2386.6214551964681</v>
      </c>
      <c r="O34" s="1033">
        <f>CHOOSE($E$14,'ANSP ERT'!K16,'MET ERT'!K16,'Supervision ERT'!K16,'ERT DC'!K16)/IF($F$13='Misc. Items'!$C$57,1,O$5/100)</f>
        <v>2919.6999762900405</v>
      </c>
      <c r="P34" s="1033">
        <f>CHOOSE($E$14,'ANSP ERT'!L16,'MET ERT'!L16,'Supervision ERT'!L16,'ERT DC'!L16)/IF($F$13='Misc. Items'!$C$57,1,P$5/100)</f>
        <v>3330.8666793479661</v>
      </c>
      <c r="Q34" s="1033">
        <f>CHOOSE($E$14,'ANSP ERT'!M16,'MET ERT'!M16,'Supervision ERT'!M16,'ERT DC'!M16)/IF($F$13='Misc. Items'!$C$57,1,Q$5/100)</f>
        <v>3204.2080377994762</v>
      </c>
      <c r="R34" s="1031"/>
      <c r="S34" s="1031"/>
      <c r="T34" s="1031"/>
      <c r="U34" s="1031"/>
      <c r="V34" s="1031"/>
      <c r="W34" s="1031"/>
      <c r="X34" s="1031"/>
      <c r="Y34" s="1031"/>
      <c r="Z34" s="1031"/>
      <c r="AA34" s="1031"/>
      <c r="AB34" s="1031"/>
      <c r="AC34" s="1031"/>
      <c r="AD34" s="1031"/>
      <c r="AE34" s="1031"/>
    </row>
    <row r="35" spans="4:31">
      <c r="D35" s="1031"/>
      <c r="E35" s="1033" t="s">
        <v>33</v>
      </c>
      <c r="F35" s="14" t="s">
        <v>29</v>
      </c>
      <c r="G35" s="1049"/>
      <c r="H35" s="1033">
        <f>CHOOSE($E$14,'ANSP ERT'!C17,'MET ERT'!C17,'Supervision ERT'!C17,'ERT DC'!C17)/IF($F$13='Misc. Items'!$C$57,1,H$5/100)</f>
        <v>0</v>
      </c>
      <c r="I35" s="1033">
        <f>CHOOSE($E$14,'ANSP ERT'!D17,'MET ERT'!D17,'Supervision ERT'!D17,'ERT DC'!D17)/IF($F$13='Misc. Items'!$C$57,1,I$5/100)</f>
        <v>0</v>
      </c>
      <c r="J35" s="1033">
        <f>CHOOSE($E$14,'ANSP ERT'!E17,'MET ERT'!E17,'Supervision ERT'!E17,'ERT DC'!E17)/IF($F$13='Misc. Items'!$C$57,1,J$5/100)</f>
        <v>0</v>
      </c>
      <c r="K35" s="1033">
        <f>CHOOSE($E$14,'ANSP ERT'!F17,'MET ERT'!F17,'Supervision ERT'!F17,'ERT DC'!F17)/IF($F$13='Misc. Items'!$C$57,1,K$5/100)</f>
        <v>0</v>
      </c>
      <c r="L35" s="1033">
        <f>CHOOSE($E$14,'ANSP ERT'!G17,'MET ERT'!G17,'Supervision ERT'!G17,'ERT DC'!G17)/IF($F$13='Misc. Items'!$C$57,1,L$5/100)</f>
        <v>0</v>
      </c>
      <c r="M35" s="1033">
        <f>CHOOSE($E$14,'ANSP ERT'!H17,'MET ERT'!H17,'Supervision ERT'!H17,'ERT DC'!H17)/IF($F$13='Misc. Items'!$C$57,1,M$5/100)</f>
        <v>1191.658391261172</v>
      </c>
      <c r="N35" s="1033">
        <f>CHOOSE($E$14,'ANSP ERT'!I17,'MET ERT'!I17,'Supervision ERT'!I17,'ERT DC'!I17)/IF($F$13='Misc. Items'!$C$57,1,N$5/100)</f>
        <v>2150.2532274081432</v>
      </c>
      <c r="O35" s="1033">
        <f>CHOOSE($E$14,'ANSP ERT'!K17,'MET ERT'!K17,'Supervision ERT'!K17,'ERT DC'!K17)/IF($F$13='Misc. Items'!$C$57,1,O$5/100)</f>
        <v>975.25322740814306</v>
      </c>
      <c r="P35" s="1033">
        <f>CHOOSE($E$14,'ANSP ERT'!L17,'MET ERT'!L17,'Supervision ERT'!L17,'ERT DC'!L17)/IF($F$13='Misc. Items'!$C$57,1,P$5/100)</f>
        <v>975.25322740814306</v>
      </c>
      <c r="Q35" s="1033">
        <f>CHOOSE($E$14,'ANSP ERT'!M17,'MET ERT'!M17,'Supervision ERT'!M17,'ERT DC'!M17)/IF($F$13='Misc. Items'!$C$57,1,Q$5/100)</f>
        <v>975.25322740814306</v>
      </c>
      <c r="R35" s="1031"/>
      <c r="S35" s="1031"/>
      <c r="T35" s="1031"/>
      <c r="U35" s="1031"/>
      <c r="V35" s="1031"/>
      <c r="W35" s="1031"/>
      <c r="X35" s="1031"/>
      <c r="Y35" s="1031"/>
      <c r="Z35" s="1031"/>
      <c r="AA35" s="1031"/>
      <c r="AB35" s="1031"/>
      <c r="AC35" s="1031"/>
      <c r="AD35" s="1031"/>
      <c r="AE35" s="1031"/>
    </row>
    <row r="36" spans="4:31">
      <c r="D36" s="1031"/>
      <c r="E36" s="1031"/>
      <c r="F36" s="1031"/>
      <c r="G36" s="1031"/>
      <c r="H36" s="1031"/>
      <c r="I36" s="1031"/>
      <c r="J36" s="1031"/>
      <c r="K36" s="1031"/>
      <c r="L36" s="1031"/>
      <c r="M36" s="1031"/>
      <c r="N36" s="1031"/>
      <c r="O36" s="1031"/>
      <c r="P36" s="1031"/>
      <c r="Q36" s="1031"/>
      <c r="R36" s="1031"/>
      <c r="S36" s="1031"/>
      <c r="T36" s="1031"/>
      <c r="U36" s="1031"/>
      <c r="V36" s="1031"/>
      <c r="W36" s="1031"/>
      <c r="X36" s="1031"/>
      <c r="Y36" s="1031"/>
      <c r="Z36" s="1031"/>
      <c r="AA36" s="1031"/>
      <c r="AB36" s="1031"/>
      <c r="AC36" s="1031"/>
      <c r="AD36" s="1031"/>
      <c r="AE36" s="1031"/>
    </row>
    <row r="37" spans="4:31">
      <c r="D37" s="1031"/>
      <c r="E37" s="1030" t="s">
        <v>12</v>
      </c>
      <c r="F37" s="1031"/>
      <c r="G37" s="1031"/>
      <c r="H37" s="1043">
        <f t="shared" ref="H37:P37" si="8">SUM(H31:H35)</f>
        <v>106892.29965345138</v>
      </c>
      <c r="I37" s="1043">
        <f t="shared" si="8"/>
        <v>108997.63082046139</v>
      </c>
      <c r="J37" s="1043">
        <f t="shared" si="8"/>
        <v>113911</v>
      </c>
      <c r="K37" s="1043">
        <f t="shared" si="8"/>
        <v>117074.47864945384</v>
      </c>
      <c r="L37" s="1043">
        <f t="shared" si="8"/>
        <v>116314.63797028337</v>
      </c>
      <c r="M37" s="1043">
        <f t="shared" si="8"/>
        <v>101597.0550637743</v>
      </c>
      <c r="N37" s="1043">
        <f t="shared" si="8"/>
        <v>104203.97399547837</v>
      </c>
      <c r="O37" s="1043">
        <f t="shared" si="8"/>
        <v>115933.78784284333</v>
      </c>
      <c r="P37" s="1043">
        <f t="shared" si="8"/>
        <v>119067.46964385077</v>
      </c>
      <c r="Q37" s="1043">
        <f>SUM(Q31:Q35)</f>
        <v>119009.83981085144</v>
      </c>
      <c r="R37" s="1031"/>
      <c r="S37" s="1031"/>
      <c r="T37" s="1031"/>
      <c r="U37" s="1031"/>
      <c r="V37" s="1031"/>
      <c r="W37" s="1031"/>
      <c r="X37" s="1031"/>
      <c r="Y37" s="1031"/>
      <c r="Z37" s="1031"/>
      <c r="AA37" s="1031"/>
      <c r="AB37" s="1031"/>
      <c r="AC37" s="1031"/>
      <c r="AD37" s="1031"/>
      <c r="AE37" s="1031"/>
    </row>
    <row r="38" spans="4:31">
      <c r="D38" s="1031"/>
      <c r="E38" s="1031"/>
      <c r="F38" s="1031"/>
      <c r="G38" s="1031"/>
      <c r="H38" s="1031"/>
      <c r="I38" s="1031"/>
      <c r="J38" s="1031"/>
      <c r="K38" s="1031"/>
      <c r="L38" s="1031"/>
      <c r="M38" s="1031"/>
      <c r="N38" s="1031"/>
      <c r="O38" s="1031"/>
      <c r="P38" s="1031"/>
      <c r="Q38" s="1031"/>
      <c r="R38" s="1031"/>
      <c r="S38" s="1031"/>
      <c r="T38" s="1031"/>
      <c r="U38" s="1031"/>
      <c r="V38" s="1031"/>
      <c r="W38" s="1031"/>
      <c r="X38" s="1031"/>
      <c r="Y38" s="1031"/>
      <c r="Z38" s="1031"/>
      <c r="AA38" s="1031"/>
      <c r="AB38" s="1031"/>
      <c r="AC38" s="1031"/>
      <c r="AD38" s="1031"/>
      <c r="AE38" s="1031"/>
    </row>
    <row r="39" spans="4:31">
      <c r="D39" s="1031"/>
      <c r="E39" s="1031"/>
      <c r="F39" s="1031"/>
      <c r="G39" s="1031"/>
      <c r="H39" s="1043"/>
      <c r="I39" s="1043"/>
      <c r="J39" s="1043"/>
      <c r="K39" s="1043"/>
      <c r="L39" s="1043"/>
      <c r="M39" s="1043"/>
      <c r="N39" s="1043"/>
      <c r="O39" s="1043"/>
      <c r="P39" s="1043"/>
      <c r="Q39" s="1043"/>
      <c r="R39" s="1031"/>
      <c r="S39" s="1031"/>
      <c r="T39" s="1031"/>
      <c r="U39" s="1031"/>
      <c r="V39" s="1031"/>
      <c r="W39" s="1031"/>
      <c r="X39" s="1031"/>
      <c r="Y39" s="1031"/>
      <c r="Z39" s="1031"/>
      <c r="AA39" s="1031"/>
      <c r="AB39" s="1031"/>
      <c r="AC39" s="1031"/>
      <c r="AD39" s="1031"/>
      <c r="AE39" s="1031"/>
    </row>
    <row r="40" spans="4:31">
      <c r="D40" s="1031"/>
      <c r="E40" s="1031"/>
      <c r="F40" s="1031"/>
      <c r="G40" s="1031"/>
      <c r="H40" s="1031"/>
      <c r="I40" s="1031"/>
      <c r="J40" s="1031"/>
      <c r="K40" s="1031"/>
      <c r="L40" s="1031"/>
      <c r="M40" s="1031"/>
      <c r="N40" s="1031"/>
      <c r="O40" s="1031"/>
      <c r="P40" s="1031"/>
      <c r="Q40" s="1031"/>
      <c r="R40" s="1031"/>
      <c r="S40" s="1031"/>
      <c r="T40" s="1031"/>
      <c r="U40" s="1031"/>
      <c r="V40" s="1031"/>
      <c r="W40" s="1031"/>
      <c r="X40" s="1031"/>
      <c r="Y40" s="1031"/>
      <c r="Z40" s="1031"/>
      <c r="AA40" s="1031"/>
      <c r="AB40" s="1031"/>
      <c r="AC40" s="1031"/>
      <c r="AD40" s="1031"/>
      <c r="AE40" s="1031"/>
    </row>
    <row r="41" spans="4:31">
      <c r="D41" s="1031"/>
      <c r="E41" s="1031"/>
      <c r="F41" s="1031"/>
      <c r="G41" s="1031"/>
      <c r="H41" s="1031"/>
      <c r="I41" s="1031"/>
      <c r="J41" s="1031"/>
      <c r="K41" s="1031"/>
      <c r="L41" s="1031"/>
      <c r="M41" s="1031"/>
      <c r="N41" s="1031"/>
      <c r="O41" s="1031"/>
      <c r="P41" s="1031"/>
      <c r="Q41" s="1031"/>
      <c r="R41" s="1031"/>
      <c r="S41" s="1031"/>
      <c r="T41" s="1031"/>
      <c r="U41" s="1031"/>
      <c r="V41" s="1031"/>
      <c r="W41" s="1031"/>
      <c r="X41" s="1031"/>
      <c r="Y41" s="1031"/>
      <c r="Z41" s="1031"/>
      <c r="AA41" s="1031"/>
      <c r="AB41" s="1031"/>
      <c r="AC41" s="1031"/>
      <c r="AD41" s="1031"/>
      <c r="AE41" s="1031"/>
    </row>
    <row r="42" spans="4:31">
      <c r="D42" s="1031"/>
      <c r="E42" s="1031"/>
      <c r="F42" s="1031"/>
      <c r="G42" s="1031"/>
      <c r="H42" s="1031"/>
      <c r="I42" s="1031"/>
      <c r="J42" s="1031"/>
      <c r="K42" s="1031"/>
      <c r="L42" s="1031"/>
      <c r="M42" s="1031"/>
      <c r="N42" s="1031"/>
      <c r="O42" s="1031"/>
      <c r="P42" s="1031"/>
      <c r="Q42" s="1031"/>
      <c r="R42" s="1031"/>
      <c r="S42" s="1031"/>
      <c r="T42" s="1031"/>
      <c r="U42" s="1031"/>
      <c r="V42" s="1031"/>
      <c r="W42" s="1031"/>
      <c r="X42" s="1031"/>
      <c r="Y42" s="1031"/>
      <c r="Z42" s="1031"/>
      <c r="AA42" s="1031"/>
      <c r="AB42" s="1031"/>
      <c r="AC42" s="1031"/>
      <c r="AD42" s="1031"/>
      <c r="AE42" s="1031"/>
    </row>
    <row r="43" spans="4:31">
      <c r="D43" s="1031"/>
      <c r="E43" s="1031"/>
      <c r="F43" s="1031"/>
      <c r="G43" s="1031"/>
      <c r="H43" s="1031"/>
      <c r="I43" s="1031"/>
      <c r="J43" s="1031"/>
      <c r="K43" s="1031"/>
      <c r="L43" s="1031"/>
      <c r="M43" s="1031"/>
      <c r="N43" s="1031"/>
      <c r="O43" s="1031"/>
      <c r="P43" s="1031"/>
      <c r="Q43" s="1031"/>
      <c r="R43" s="1031"/>
      <c r="S43" s="1031"/>
      <c r="T43" s="1031"/>
      <c r="U43" s="1031"/>
      <c r="V43" s="1031"/>
      <c r="W43" s="1031"/>
      <c r="X43" s="1031"/>
      <c r="Y43" s="1031"/>
      <c r="Z43" s="1031"/>
      <c r="AA43" s="1031"/>
      <c r="AB43" s="1031"/>
      <c r="AC43" s="1031"/>
      <c r="AD43" s="1031"/>
      <c r="AE43" s="1031"/>
    </row>
    <row r="45" spans="4:31">
      <c r="D45" s="1041" t="s">
        <v>24</v>
      </c>
      <c r="E45" s="1042"/>
      <c r="F45" s="1042"/>
      <c r="G45" s="1042"/>
      <c r="H45" s="1042"/>
      <c r="I45" s="1042"/>
      <c r="J45" s="1042"/>
      <c r="K45" s="1042"/>
      <c r="L45" s="1042"/>
      <c r="M45" s="1042"/>
      <c r="N45" s="1042"/>
      <c r="O45" s="1042"/>
      <c r="P45" s="1042"/>
      <c r="Q45" s="1042"/>
      <c r="R45" s="1042"/>
      <c r="S45" s="1042"/>
      <c r="T45" s="1042"/>
      <c r="U45" s="1042"/>
      <c r="V45" s="1042"/>
      <c r="W45" s="1042"/>
      <c r="X45" s="1042"/>
      <c r="Y45" s="1042"/>
      <c r="Z45" s="1042"/>
      <c r="AA45" s="1042"/>
      <c r="AB45" s="1042"/>
      <c r="AC45" s="1042"/>
      <c r="AD45" s="1042"/>
      <c r="AE45" s="1042"/>
    </row>
    <row r="46" spans="4:31">
      <c r="D46" s="1031"/>
      <c r="E46" s="1033" t="s">
        <v>28</v>
      </c>
      <c r="F46" s="14" t="s">
        <v>29</v>
      </c>
      <c r="G46" s="1049"/>
      <c r="H46" s="1033">
        <f>CHOOSE($E$14,'ANSP TRM'!C12,'MET TRM'!C12,'Supervision TRM'!C12,'TRM DC'!C12)/IF($F$13='Misc. Items'!$C$57,1,H$5/100)</f>
        <v>10395.457830577561</v>
      </c>
      <c r="I46" s="1033">
        <f>CHOOSE($E$14,'ANSP TRM'!D12,'MET TRM'!D12,'Supervision TRM'!D12,'TRM DC'!D12)/IF($F$13='Misc. Items'!$C$57,1,I$5/100)</f>
        <v>10729.187562688065</v>
      </c>
      <c r="J46" s="1033">
        <f>CHOOSE($E$14,'ANSP TRM'!E12,'MET TRM'!E12,'Supervision TRM'!E12,'TRM DC'!E12)/IF($F$13='Misc. Items'!$C$57,1,J$5/100)</f>
        <v>11130</v>
      </c>
      <c r="K46" s="1033">
        <f>CHOOSE($E$14,'ANSP TRM'!F12,'MET TRM'!F12,'Supervision TRM'!F12,'TRM DC'!F12)/IF($F$13='Misc. Items'!$C$57,1,K$5/100)</f>
        <v>11283.018867924529</v>
      </c>
      <c r="L46" s="1033">
        <f>CHOOSE($E$14,'ANSP TRM'!G12,'MET TRM'!G12,'Supervision TRM'!G12,'TRM DC'!G12)/IF($F$13='Misc. Items'!$C$57,1,L$5/100)</f>
        <v>10979.634136859628</v>
      </c>
      <c r="M46" s="1033">
        <f>CHOOSE($E$14,'ANSP TRM'!H12,'MET TRM'!H12,'Supervision TRM'!H12,'TRM DC'!H12)/IF($F$13='Misc. Items'!$C$57,1,M$5/100)</f>
        <v>10075.676606938901</v>
      </c>
      <c r="N46" s="1033">
        <f>CHOOSE($E$14,'ANSP TRM'!I12,'MET TRM'!I12,'Supervision TRM'!I12,'TRM DC'!I12)/IF($F$13='Misc. Items'!$C$57,1,N$5/100)</f>
        <v>8806.0016463883167</v>
      </c>
      <c r="O46" s="1033">
        <f>CHOOSE($E$14,'ANSP TRM'!K12,'MET TRM'!K12,'Supervision TRM'!K12,'TRM DC'!K12)/IF($F$13='Misc. Items'!$C$57,1,O$5/100)</f>
        <v>10361.613442240508</v>
      </c>
      <c r="P46" s="1033">
        <f>CHOOSE($E$14,'ANSP TRM'!L12,'MET TRM'!L12,'Supervision TRM'!L12,'TRM DC'!L12)/IF($F$13='Misc. Items'!$C$57,1,P$5/100)</f>
        <v>10949.661683157483</v>
      </c>
      <c r="Q46" s="1033">
        <f>CHOOSE($E$14,'ANSP TRM'!M12,'MET TRM'!M12,'Supervision TRM'!M12,'TRM DC'!M12)/IF($F$13='Misc. Items'!$C$57,1,Q$5/100)</f>
        <v>11921.173823921537</v>
      </c>
      <c r="R46" s="1031"/>
      <c r="S46" s="1031"/>
      <c r="T46" s="1031"/>
      <c r="U46" s="1031"/>
      <c r="V46" s="1031"/>
      <c r="W46" s="1031"/>
      <c r="X46" s="1031"/>
      <c r="Y46" s="1031"/>
      <c r="Z46" s="1031"/>
      <c r="AA46" s="1031"/>
      <c r="AB46" s="1031"/>
      <c r="AC46" s="1031"/>
      <c r="AD46" s="1031"/>
      <c r="AE46" s="1031"/>
    </row>
    <row r="47" spans="4:31">
      <c r="D47" s="1031"/>
      <c r="E47" s="1033" t="s">
        <v>30</v>
      </c>
      <c r="F47" s="14" t="s">
        <v>29</v>
      </c>
      <c r="G47" s="1049"/>
      <c r="H47" s="1033">
        <f>CHOOSE($E$14,'ANSP TRM'!C14,'MET TRM'!C14,'Supervision TRM'!C14,'TRM DC'!C14)/IF($F$13='Misc. Items'!$C$57,1,H$5/100)</f>
        <v>5212.2435169780792</v>
      </c>
      <c r="I47" s="1033">
        <f>CHOOSE($E$14,'ANSP TRM'!D14,'MET TRM'!D14,'Supervision TRM'!D14,'TRM DC'!D14)/IF($F$13='Misc. Items'!$C$57,1,I$5/100)</f>
        <v>5927.7833500501501</v>
      </c>
      <c r="J47" s="1033">
        <f>CHOOSE($E$14,'ANSP TRM'!E14,'MET TRM'!E14,'Supervision TRM'!E14,'TRM DC'!E14)/IF($F$13='Misc. Items'!$C$57,1,J$5/100)</f>
        <v>6340</v>
      </c>
      <c r="K47" s="1033">
        <f>CHOOSE($E$14,'ANSP TRM'!F14,'MET TRM'!F14,'Supervision TRM'!F14,'TRM DC'!F14)/IF($F$13='Misc. Items'!$C$57,1,K$5/100)</f>
        <v>6637.537239324728</v>
      </c>
      <c r="L47" s="1033">
        <f>CHOOSE($E$14,'ANSP TRM'!G14,'MET TRM'!G14,'Supervision TRM'!G14,'TRM DC'!G14)/IF($F$13='Misc. Items'!$C$57,1,L$5/100)</f>
        <v>9441.3436962078158</v>
      </c>
      <c r="M47" s="1033">
        <f>CHOOSE($E$14,'ANSP TRM'!H14,'MET TRM'!H14,'Supervision TRM'!H14,'TRM DC'!H14)/IF($F$13='Misc. Items'!$C$57,1,M$5/100)</f>
        <v>5414.799948160532</v>
      </c>
      <c r="N47" s="1033">
        <f>CHOOSE($E$14,'ANSP TRM'!I14,'MET TRM'!I14,'Supervision TRM'!I14,'TRM DC'!I14)/IF($F$13='Misc. Items'!$C$57,1,N$5/100)</f>
        <v>6196.2316935167682</v>
      </c>
      <c r="O47" s="1033">
        <f>CHOOSE($E$14,'ANSP TRM'!K14,'MET TRM'!K14,'Supervision TRM'!K14,'TRM DC'!K14)/IF($F$13='Misc. Items'!$C$57,1,O$5/100)</f>
        <v>6695.379175268994</v>
      </c>
      <c r="P47" s="1033">
        <f>CHOOSE($E$14,'ANSP TRM'!L14,'MET TRM'!L14,'Supervision TRM'!L14,'TRM DC'!L14)/IF($F$13='Misc. Items'!$C$57,1,P$5/100)</f>
        <v>6964.1878468543136</v>
      </c>
      <c r="Q47" s="1033">
        <f>CHOOSE($E$14,'ANSP TRM'!M14,'MET TRM'!M14,'Supervision TRM'!M14,'TRM DC'!M14)/IF($F$13='Misc. Items'!$C$57,1,Q$5/100)</f>
        <v>7097.375268271292</v>
      </c>
      <c r="R47" s="1031"/>
      <c r="S47" s="1031"/>
      <c r="T47" s="1031"/>
      <c r="U47" s="1031"/>
      <c r="V47" s="1031"/>
      <c r="W47" s="1031"/>
      <c r="X47" s="1031"/>
      <c r="Y47" s="1031"/>
      <c r="Z47" s="1031"/>
      <c r="AA47" s="1031"/>
      <c r="AB47" s="1031"/>
      <c r="AC47" s="1031"/>
      <c r="AD47" s="1031"/>
      <c r="AE47" s="1031"/>
    </row>
    <row r="48" spans="4:31">
      <c r="D48" s="1031"/>
      <c r="E48" s="1033" t="s">
        <v>31</v>
      </c>
      <c r="F48" s="14" t="s">
        <v>29</v>
      </c>
      <c r="G48" s="1049"/>
      <c r="H48" s="1033">
        <f>CHOOSE($E$14,'ANSP TRM'!C15,'MET TRM'!C15,'Supervision TRM'!C15,'TRM DC'!C15)/IF($F$13='Misc. Items'!$C$57,1,H$5/100)</f>
        <v>3823.8467898706094</v>
      </c>
      <c r="I48" s="1033">
        <f>CHOOSE($E$14,'ANSP TRM'!D15,'MET TRM'!D15,'Supervision TRM'!D15,'TRM DC'!D15)/IF($F$13='Misc. Items'!$C$57,1,I$5/100)</f>
        <v>3861.5847542627885</v>
      </c>
      <c r="J48" s="1033">
        <f>CHOOSE($E$14,'ANSP TRM'!E15,'MET TRM'!E15,'Supervision TRM'!E15,'TRM DC'!E15)/IF($F$13='Misc. Items'!$C$57,1,J$5/100)</f>
        <v>3896</v>
      </c>
      <c r="K48" s="1033">
        <f>CHOOSE($E$14,'ANSP TRM'!F15,'MET TRM'!F15,'Supervision TRM'!F15,'TRM DC'!F15)/IF($F$13='Misc. Items'!$C$57,1,K$5/100)</f>
        <v>3861.9662363455814</v>
      </c>
      <c r="L48" s="1033">
        <f>CHOOSE($E$14,'ANSP TRM'!G15,'MET TRM'!G15,'Supervision TRM'!G15,'TRM DC'!G15)/IF($F$13='Misc. Items'!$C$57,1,L$5/100)</f>
        <v>2928.9522401662111</v>
      </c>
      <c r="M48" s="1033">
        <f>CHOOSE($E$14,'ANSP TRM'!H15,'MET TRM'!H15,'Supervision TRM'!H15,'TRM DC'!H15)/IF($F$13='Misc. Items'!$C$57,1,M$5/100)</f>
        <v>2509.4195967492647</v>
      </c>
      <c r="N48" s="1033">
        <f>CHOOSE($E$14,'ANSP TRM'!I15,'MET TRM'!I15,'Supervision TRM'!I15,'TRM DC'!I15)/IF($F$13='Misc. Items'!$C$57,1,N$5/100)</f>
        <v>3450.6992784999616</v>
      </c>
      <c r="O48" s="1033">
        <f>CHOOSE($E$14,'ANSP TRM'!K15,'MET TRM'!K15,'Supervision TRM'!K15,'TRM DC'!K15)/IF($F$13='Misc. Items'!$C$57,1,O$5/100)</f>
        <v>4888.1495773544848</v>
      </c>
      <c r="P48" s="1033">
        <f>CHOOSE($E$14,'ANSP TRM'!L15,'MET TRM'!L15,'Supervision TRM'!L15,'TRM DC'!L15)/IF($F$13='Misc. Items'!$C$57,1,P$5/100)</f>
        <v>5399.4181696794549</v>
      </c>
      <c r="Q48" s="1033">
        <f>CHOOSE($E$14,'ANSP TRM'!M15,'MET TRM'!M15,'Supervision TRM'!M15,'TRM DC'!M15)/IF($F$13='Misc. Items'!$C$57,1,Q$5/100)</f>
        <v>5300.4430742870072</v>
      </c>
      <c r="R48" s="1031"/>
      <c r="S48" s="1031"/>
      <c r="T48" s="1031"/>
      <c r="U48" s="1031"/>
      <c r="V48" s="1031"/>
      <c r="W48" s="1031"/>
      <c r="X48" s="1031"/>
      <c r="Y48" s="1031"/>
      <c r="Z48" s="1031"/>
      <c r="AA48" s="1031"/>
      <c r="AB48" s="1031"/>
      <c r="AC48" s="1031"/>
      <c r="AD48" s="1031"/>
      <c r="AE48" s="1031"/>
    </row>
    <row r="49" spans="1:31">
      <c r="D49" s="1031"/>
      <c r="E49" s="1033" t="s">
        <v>32</v>
      </c>
      <c r="F49" s="14" t="s">
        <v>29</v>
      </c>
      <c r="G49" s="1049"/>
      <c r="H49" s="1033">
        <f>CHOOSE($E$14,'ANSP TRM'!C16,'MET TRM'!C16,'Supervision TRM'!C16,'TRM DC'!C16)/IF($F$13='Misc. Items'!$C$57,1,H$5/100)</f>
        <v>2923.506047083366</v>
      </c>
      <c r="I49" s="1033">
        <f>CHOOSE($E$14,'ANSP TRM'!D16,'MET TRM'!D16,'Supervision TRM'!D16,'TRM DC'!D16)/IF($F$13='Misc. Items'!$C$57,1,I$5/100)</f>
        <v>2758.9970310932799</v>
      </c>
      <c r="J49" s="1033">
        <f>CHOOSE($E$14,'ANSP TRM'!E16,'MET TRM'!E16,'Supervision TRM'!E16,'TRM DC'!E16)/IF($F$13='Misc. Items'!$C$57,1,J$5/100)</f>
        <v>2514</v>
      </c>
      <c r="K49" s="1033">
        <f>CHOOSE($E$14,'ANSP TRM'!F16,'MET TRM'!F16,'Supervision TRM'!F16,'TRM DC'!F16)/IF($F$13='Misc. Items'!$C$57,1,K$5/100)</f>
        <v>2293.9424031777558</v>
      </c>
      <c r="L49" s="1033">
        <f>CHOOSE($E$14,'ANSP TRM'!G16,'MET TRM'!G16,'Supervision TRM'!G16,'TRM DC'!G16)/IF($F$13='Misc. Items'!$C$57,1,L$5/100)</f>
        <v>1854.2157326858674</v>
      </c>
      <c r="M49" s="1033">
        <f>CHOOSE($E$14,'ANSP TRM'!H16,'MET TRM'!H16,'Supervision TRM'!H16,'TRM DC'!H16)/IF($F$13='Misc. Items'!$C$57,1,M$5/100)</f>
        <v>469.73841996664339</v>
      </c>
      <c r="N49" s="1033">
        <f>CHOOSE($E$14,'ANSP TRM'!I16,'MET TRM'!I16,'Supervision TRM'!I16,'TRM DC'!I16)/IF($F$13='Misc. Items'!$C$57,1,N$5/100)</f>
        <v>848.64550383721951</v>
      </c>
      <c r="O49" s="1033">
        <f>CHOOSE($E$14,'ANSP TRM'!K16,'MET TRM'!K16,'Supervision TRM'!K16,'TRM DC'!K16)/IF($F$13='Misc. Items'!$C$57,1,O$5/100)</f>
        <v>3974.4363525919448</v>
      </c>
      <c r="P49" s="1033">
        <f>CHOOSE($E$14,'ANSP TRM'!L16,'MET TRM'!L16,'Supervision TRM'!L16,'TRM DC'!L16)/IF($F$13='Misc. Items'!$C$57,1,P$5/100)</f>
        <v>4437.8287520699823</v>
      </c>
      <c r="Q49" s="1033">
        <f>CHOOSE($E$14,'ANSP TRM'!M16,'MET TRM'!M16,'Supervision TRM'!M16,'TRM DC'!M16)/IF($F$13='Misc. Items'!$C$57,1,Q$5/100)</f>
        <v>4254.2691036093747</v>
      </c>
      <c r="R49" s="1031"/>
      <c r="S49" s="1031"/>
      <c r="T49" s="1031"/>
      <c r="U49" s="1031"/>
      <c r="V49" s="1031"/>
      <c r="W49" s="1031"/>
      <c r="X49" s="1031"/>
      <c r="Y49" s="1031"/>
      <c r="Z49" s="1031"/>
      <c r="AA49" s="1031"/>
      <c r="AB49" s="1031"/>
      <c r="AC49" s="1031"/>
      <c r="AD49" s="1031"/>
      <c r="AE49" s="1031"/>
    </row>
    <row r="50" spans="1:31">
      <c r="D50" s="1031"/>
      <c r="E50" s="1033" t="s">
        <v>33</v>
      </c>
      <c r="F50" s="14" t="s">
        <v>29</v>
      </c>
      <c r="G50" s="1049"/>
      <c r="H50" s="1033">
        <f>CHOOSE($E$14,'ANSP TRM'!C17,'MET TRM'!C17,'Supervision TRM'!C17,'TRM DC'!C17)/IF($F$13='Misc. Items'!$C$57,1,H$5/100)</f>
        <v>0</v>
      </c>
      <c r="I50" s="1033">
        <f>CHOOSE($E$14,'ANSP TRM'!D17,'MET TRM'!D17,'Supervision TRM'!D17,'TRM DC'!D17)/IF($F$13='Misc. Items'!$C$57,1,I$5/100)</f>
        <v>0</v>
      </c>
      <c r="J50" s="1033">
        <f>CHOOSE($E$14,'ANSP TRM'!E17,'MET TRM'!E17,'Supervision TRM'!E17,'TRM DC'!E17)/IF($F$13='Misc. Items'!$C$57,1,J$5/100)</f>
        <v>0</v>
      </c>
      <c r="K50" s="1033">
        <f>CHOOSE($E$14,'ANSP TRM'!F17,'MET TRM'!F17,'Supervision TRM'!F17,'TRM DC'!F17)/IF($F$13='Misc. Items'!$C$57,1,K$5/100)</f>
        <v>0</v>
      </c>
      <c r="L50" s="1033">
        <f>CHOOSE($E$14,'ANSP TRM'!G17,'MET TRM'!G17,'Supervision TRM'!G17,'TRM DC'!G17)/IF($F$13='Misc. Items'!$C$57,1,L$5/100)</f>
        <v>0</v>
      </c>
      <c r="M50" s="1033">
        <f>CHOOSE($E$14,'ANSP TRM'!H17,'MET TRM'!H17,'Supervision TRM'!H17,'TRM DC'!H17)/IF($F$13='Misc. Items'!$C$57,1,M$5/100)</f>
        <v>297.91459781529289</v>
      </c>
      <c r="N50" s="1033">
        <f>CHOOSE($E$14,'ANSP TRM'!I17,'MET TRM'!I17,'Supervision TRM'!I17,'TRM DC'!I17)/IF($F$13='Misc. Items'!$C$57,1,N$5/100)</f>
        <v>304.81330685203568</v>
      </c>
      <c r="O50" s="1033">
        <f>CHOOSE($E$14,'ANSP TRM'!K17,'MET TRM'!K17,'Supervision TRM'!K17,'TRM DC'!K17)/IF($F$13='Misc. Items'!$C$57,1,O$5/100)</f>
        <v>243.81330685203568</v>
      </c>
      <c r="P50" s="1033">
        <f>CHOOSE($E$14,'ANSP TRM'!L17,'MET TRM'!L17,'Supervision TRM'!L17,'TRM DC'!L17)/IF($F$13='Misc. Items'!$C$57,1,P$5/100)</f>
        <v>243.81330685203565</v>
      </c>
      <c r="Q50" s="1033">
        <f>CHOOSE($E$14,'ANSP TRM'!M17,'MET TRM'!M17,'Supervision TRM'!M17,'TRM DC'!M17)/IF($F$13='Misc. Items'!$C$57,1,Q$5/100)</f>
        <v>243.81330685203568</v>
      </c>
      <c r="R50" s="1031"/>
      <c r="S50" s="1031"/>
      <c r="T50" s="1031"/>
      <c r="U50" s="1031"/>
      <c r="V50" s="1031"/>
      <c r="W50" s="1031"/>
      <c r="X50" s="1031"/>
      <c r="Y50" s="1031"/>
      <c r="Z50" s="1031"/>
      <c r="AA50" s="1031"/>
      <c r="AB50" s="1031"/>
      <c r="AC50" s="1031"/>
      <c r="AD50" s="1031"/>
      <c r="AE50" s="1031"/>
    </row>
    <row r="51" spans="1:31">
      <c r="D51" s="1031"/>
      <c r="E51" s="1031"/>
      <c r="F51" s="1031"/>
      <c r="G51" s="1031"/>
      <c r="H51" s="1031"/>
      <c r="I51" s="1031"/>
      <c r="J51" s="1031"/>
      <c r="K51" s="1031"/>
      <c r="L51" s="1031"/>
      <c r="M51" s="1031"/>
      <c r="N51" s="1031"/>
      <c r="O51" s="1031"/>
      <c r="P51" s="1031"/>
      <c r="Q51" s="1031"/>
      <c r="R51" s="1031"/>
      <c r="S51" s="1031"/>
      <c r="T51" s="1031"/>
      <c r="U51" s="1031"/>
      <c r="V51" s="1031"/>
      <c r="W51" s="1031"/>
      <c r="X51" s="1031"/>
      <c r="Y51" s="1031"/>
      <c r="Z51" s="1031"/>
      <c r="AA51" s="1031"/>
      <c r="AB51" s="1031"/>
      <c r="AC51" s="1031"/>
      <c r="AD51" s="1031"/>
      <c r="AE51" s="1031"/>
    </row>
    <row r="52" spans="1:31">
      <c r="D52" s="1031"/>
      <c r="E52" s="1030" t="s">
        <v>12</v>
      </c>
      <c r="F52" s="1031"/>
      <c r="G52" s="1031"/>
      <c r="H52" s="1043">
        <f t="shared" ref="H52:P52" si="9">SUM(H46:H50)</f>
        <v>22355.05418450962</v>
      </c>
      <c r="I52" s="1043">
        <f t="shared" si="9"/>
        <v>23277.552698094285</v>
      </c>
      <c r="J52" s="1043">
        <f t="shared" si="9"/>
        <v>23880</v>
      </c>
      <c r="K52" s="1043">
        <f t="shared" si="9"/>
        <v>24076.464746772595</v>
      </c>
      <c r="L52" s="1043">
        <f t="shared" si="9"/>
        <v>25204.145805919525</v>
      </c>
      <c r="M52" s="1043">
        <f t="shared" si="9"/>
        <v>18767.549169630634</v>
      </c>
      <c r="N52" s="1043">
        <f t="shared" si="9"/>
        <v>19606.391429094299</v>
      </c>
      <c r="O52" s="1043">
        <f t="shared" si="9"/>
        <v>26163.391854307967</v>
      </c>
      <c r="P52" s="1043">
        <f t="shared" si="9"/>
        <v>27994.90975861327</v>
      </c>
      <c r="Q52" s="1043">
        <f>SUM(Q46:Q50)</f>
        <v>28817.074576941246</v>
      </c>
      <c r="R52" s="1031"/>
      <c r="S52" s="1031"/>
      <c r="T52" s="1031"/>
      <c r="U52" s="1031"/>
      <c r="V52" s="1031"/>
      <c r="W52" s="1031"/>
      <c r="X52" s="1031"/>
      <c r="Y52" s="1031"/>
      <c r="Z52" s="1031"/>
      <c r="AA52" s="1031"/>
      <c r="AB52" s="1031"/>
      <c r="AC52" s="1031"/>
      <c r="AD52" s="1031"/>
      <c r="AE52" s="1031"/>
    </row>
    <row r="53" spans="1:31">
      <c r="D53" s="1031"/>
      <c r="E53" s="1031"/>
      <c r="F53" s="1031"/>
      <c r="G53" s="1031"/>
      <c r="H53" s="1031"/>
      <c r="I53" s="1031"/>
      <c r="J53" s="1031"/>
      <c r="K53" s="1031"/>
      <c r="L53" s="1031"/>
      <c r="M53" s="1031"/>
      <c r="N53" s="1031"/>
      <c r="O53" s="1031"/>
      <c r="P53" s="1031"/>
      <c r="Q53" s="1031"/>
      <c r="R53" s="1031"/>
      <c r="S53" s="1031"/>
      <c r="T53" s="1031"/>
      <c r="U53" s="1031"/>
      <c r="V53" s="1031"/>
      <c r="W53" s="1031"/>
      <c r="X53" s="1031"/>
      <c r="Y53" s="1031"/>
      <c r="Z53" s="1031"/>
      <c r="AA53" s="1031"/>
      <c r="AB53" s="1031"/>
      <c r="AC53" s="1031"/>
      <c r="AD53" s="1031"/>
      <c r="AE53" s="1031"/>
    </row>
    <row r="54" spans="1:31">
      <c r="D54" s="1031"/>
      <c r="E54" s="1031"/>
      <c r="F54" s="1031"/>
      <c r="G54" s="1031"/>
      <c r="H54" s="1043"/>
      <c r="I54" s="1043"/>
      <c r="J54" s="1043"/>
      <c r="K54" s="1043"/>
      <c r="L54" s="1043"/>
      <c r="M54" s="1043"/>
      <c r="N54" s="1043"/>
      <c r="O54" s="1043"/>
      <c r="P54" s="1043"/>
      <c r="Q54" s="1043"/>
      <c r="R54" s="1031"/>
      <c r="S54" s="1031"/>
      <c r="T54" s="1031"/>
      <c r="U54" s="1031"/>
      <c r="V54" s="1031"/>
      <c r="W54" s="1031"/>
      <c r="X54" s="1031"/>
      <c r="Y54" s="1031"/>
      <c r="Z54" s="1031"/>
      <c r="AA54" s="1031"/>
      <c r="AB54" s="1031"/>
      <c r="AC54" s="1031"/>
      <c r="AD54" s="1031"/>
      <c r="AE54" s="1031"/>
    </row>
    <row r="55" spans="1:31">
      <c r="D55" s="1031"/>
      <c r="E55" s="1031"/>
      <c r="F55" s="1031"/>
      <c r="G55" s="1031"/>
      <c r="H55" s="1031"/>
      <c r="I55" s="1031"/>
      <c r="J55" s="1031"/>
      <c r="K55" s="1031"/>
      <c r="L55" s="1031"/>
      <c r="M55" s="1031"/>
      <c r="N55" s="1031"/>
      <c r="O55" s="1031"/>
      <c r="P55" s="1031"/>
      <c r="Q55" s="1031"/>
      <c r="R55" s="1031"/>
      <c r="S55" s="1031"/>
      <c r="T55" s="1031"/>
      <c r="U55" s="1031"/>
      <c r="V55" s="1031"/>
      <c r="W55" s="1031"/>
      <c r="X55" s="1031"/>
      <c r="Y55" s="1031"/>
      <c r="Z55" s="1031"/>
      <c r="AA55" s="1031"/>
      <c r="AB55" s="1031"/>
      <c r="AC55" s="1031"/>
      <c r="AD55" s="1031"/>
      <c r="AE55" s="1031"/>
    </row>
    <row r="56" spans="1:31">
      <c r="D56" s="1031"/>
      <c r="E56" s="1031"/>
      <c r="F56" s="1031"/>
      <c r="G56" s="1031"/>
      <c r="H56" s="1031"/>
      <c r="I56" s="1031"/>
      <c r="J56" s="1031"/>
      <c r="K56" s="1031"/>
      <c r="L56" s="1031"/>
      <c r="M56" s="1031"/>
      <c r="N56" s="1031"/>
      <c r="O56" s="1031"/>
      <c r="P56" s="1031"/>
      <c r="Q56" s="1031"/>
      <c r="R56" s="1031"/>
      <c r="S56" s="1031"/>
      <c r="T56" s="1031"/>
      <c r="U56" s="1031"/>
      <c r="V56" s="1031"/>
      <c r="W56" s="1031"/>
      <c r="X56" s="1031"/>
      <c r="Y56" s="1031"/>
      <c r="Z56" s="1031"/>
      <c r="AA56" s="1031"/>
      <c r="AB56" s="1031"/>
      <c r="AC56" s="1031"/>
      <c r="AD56" s="1031"/>
      <c r="AE56" s="1031"/>
    </row>
    <row r="57" spans="1:31">
      <c r="D57" s="1031"/>
      <c r="E57" s="1031"/>
      <c r="F57" s="1031"/>
      <c r="G57" s="1031"/>
      <c r="H57" s="1031"/>
      <c r="I57" s="1031"/>
      <c r="J57" s="1031"/>
      <c r="K57" s="1031"/>
      <c r="L57" s="1031"/>
      <c r="M57" s="1031"/>
      <c r="N57" s="1031"/>
      <c r="O57" s="1031"/>
      <c r="P57" s="1031"/>
      <c r="Q57" s="1031"/>
      <c r="R57" s="1031"/>
      <c r="S57" s="1031"/>
      <c r="T57" s="1031"/>
      <c r="U57" s="1031"/>
      <c r="V57" s="1031"/>
      <c r="W57" s="1031"/>
      <c r="X57" s="1031"/>
      <c r="Y57" s="1031"/>
      <c r="Z57" s="1031"/>
      <c r="AA57" s="1031"/>
      <c r="AB57" s="1031"/>
      <c r="AC57" s="1031"/>
      <c r="AD57" s="1031"/>
      <c r="AE57" s="1031"/>
    </row>
    <row r="58" spans="1:31">
      <c r="D58" s="1031"/>
      <c r="E58" s="1031"/>
      <c r="F58" s="1031"/>
      <c r="G58" s="1031"/>
      <c r="H58" s="1031"/>
      <c r="I58" s="1031"/>
      <c r="J58" s="1031"/>
      <c r="K58" s="1031"/>
      <c r="L58" s="1031"/>
      <c r="M58" s="1031"/>
      <c r="N58" s="1031"/>
      <c r="O58" s="1031"/>
      <c r="P58" s="1031"/>
      <c r="Q58" s="1031"/>
      <c r="R58" s="1031"/>
      <c r="S58" s="1031"/>
      <c r="T58" s="1031"/>
      <c r="U58" s="1031"/>
      <c r="V58" s="1031"/>
      <c r="W58" s="1031"/>
      <c r="X58" s="1031"/>
      <c r="Y58" s="1031"/>
      <c r="Z58" s="1031"/>
      <c r="AA58" s="1031"/>
      <c r="AB58" s="1031"/>
      <c r="AC58" s="1031"/>
      <c r="AD58" s="1031"/>
      <c r="AE58" s="1031"/>
    </row>
    <row r="60" spans="1:31" ht="15" thickBot="1">
      <c r="B60" s="1020" t="s">
        <v>34</v>
      </c>
      <c r="C60" s="1020"/>
      <c r="D60" s="1020"/>
      <c r="E60" s="1020"/>
      <c r="F60" s="1536" t="s">
        <v>35</v>
      </c>
      <c r="G60" s="1020"/>
      <c r="H60" s="1020"/>
      <c r="I60" s="1020"/>
      <c r="J60" s="1020"/>
      <c r="K60" s="1020"/>
      <c r="L60" s="1020"/>
      <c r="M60" s="1020"/>
      <c r="N60" s="1020"/>
      <c r="O60" s="1020"/>
      <c r="P60" s="1020"/>
      <c r="Q60" s="1020"/>
      <c r="R60" s="1020"/>
      <c r="S60" s="1020"/>
      <c r="T60" s="1020"/>
      <c r="U60" s="1020"/>
      <c r="V60" s="1020"/>
      <c r="W60" s="1020"/>
      <c r="X60" s="1020"/>
      <c r="Y60" s="1020"/>
      <c r="Z60" s="1020"/>
      <c r="AA60" s="1020"/>
      <c r="AB60" s="1020"/>
      <c r="AC60" s="1020"/>
      <c r="AD60" s="1020"/>
      <c r="AE60" s="1020"/>
    </row>
    <row r="61" spans="1:31" ht="13.5" thickTop="1"/>
    <row r="62" spans="1:31">
      <c r="D62" s="1041" t="s">
        <v>36</v>
      </c>
      <c r="E62" s="1042"/>
      <c r="F62" s="1042"/>
      <c r="G62" s="1041" t="s">
        <v>37</v>
      </c>
      <c r="H62" s="1042"/>
      <c r="I62" s="1042"/>
      <c r="J62" s="1042"/>
      <c r="K62" s="1042"/>
      <c r="L62" s="1042"/>
      <c r="M62" s="1042"/>
      <c r="N62" s="1042"/>
      <c r="O62" s="1042"/>
      <c r="P62" s="1042"/>
      <c r="Q62" s="1042"/>
      <c r="R62" s="1042"/>
      <c r="S62" s="1042"/>
      <c r="T62" s="1042"/>
      <c r="U62" s="1042"/>
      <c r="V62" s="1042"/>
      <c r="W62" s="1042"/>
      <c r="X62" s="1042"/>
      <c r="Y62" s="1042"/>
      <c r="Z62" s="1042"/>
      <c r="AA62" s="1042"/>
      <c r="AB62" s="1042"/>
      <c r="AC62" s="1042"/>
      <c r="AD62" s="1042"/>
      <c r="AE62" s="1042"/>
    </row>
    <row r="63" spans="1:31">
      <c r="A63" s="1623"/>
      <c r="D63" s="1031"/>
      <c r="E63" s="1031" t="s">
        <v>38</v>
      </c>
      <c r="F63" s="14" t="s">
        <v>29</v>
      </c>
      <c r="G63" s="1649">
        <v>0</v>
      </c>
      <c r="H63" s="1031"/>
      <c r="I63" s="1031"/>
      <c r="J63" s="1031"/>
      <c r="K63" s="1031"/>
      <c r="L63" s="1031"/>
      <c r="M63" s="1031"/>
      <c r="N63" s="1031"/>
      <c r="O63" s="1033">
        <f>('ERT ANSP'!D91+'TRM ANSP'!D91+'ERT MET'!D90+'TRM MET'!D90+'ERT Supervision'!D90+'TRM Supervision'!D90)*(1+$G63)</f>
        <v>116065.71105885852</v>
      </c>
      <c r="P63" s="1033">
        <f>('ERT ANSP'!E91+'TRM ANSP'!E91+'ERT MET'!E90+'TRM MET'!E90+'ERT Supervision'!E90+'TRM Supervision'!E90)*(1+$G63)</f>
        <v>136611.94815821887</v>
      </c>
      <c r="Q63" s="1033">
        <f>('ERT ANSP'!F91+'TRM ANSP'!F91+'ERT MET'!F90+'TRM MET'!F90+'ERT Supervision'!F90+'TRM Supervision'!F90)*(1+$G63)</f>
        <v>148982.41073932915</v>
      </c>
      <c r="R63" s="1031"/>
      <c r="S63" s="1031"/>
      <c r="T63" s="1031"/>
      <c r="U63" s="1031"/>
      <c r="V63" s="1031"/>
      <c r="W63" s="1031"/>
      <c r="X63" s="1031"/>
      <c r="Y63" s="1031"/>
      <c r="Z63" s="1031"/>
      <c r="AA63" s="1031"/>
      <c r="AB63" s="1031"/>
      <c r="AC63" s="1031"/>
      <c r="AD63" s="1031"/>
      <c r="AE63" s="1031"/>
    </row>
    <row r="64" spans="1:31">
      <c r="A64" s="1623"/>
      <c r="D64" s="1031"/>
      <c r="E64" s="1031" t="s">
        <v>39</v>
      </c>
      <c r="F64" s="14" t="s">
        <v>29</v>
      </c>
      <c r="G64" s="1649">
        <v>0</v>
      </c>
      <c r="H64" s="1031"/>
      <c r="I64" s="1031"/>
      <c r="J64" s="1031"/>
      <c r="K64" s="1031"/>
      <c r="L64" s="1031"/>
      <c r="M64" s="1031"/>
      <c r="N64" s="1031"/>
      <c r="O64" s="1033">
        <f>(-SUM('ANSP ERT'!K14,'ANSP ERT'!K12,'ANSP TRM'!K12,'ANSP TRM'!K14))*(1+$G64)</f>
        <v>-104759.78911759284</v>
      </c>
      <c r="P64" s="1033">
        <f>(-SUM('ANSP ERT'!L14,'ANSP ERT'!L12,'ANSP TRM'!L12,'ANSP TRM'!L14))*(1+$G64)</f>
        <v>-109981.3097981021</v>
      </c>
      <c r="Q64" s="1033">
        <f>(-SUM('ANSP ERT'!M14,'ANSP ERT'!M12,'ANSP TRM'!M12,'ANSP TRM'!M14))*(1+$G64)</f>
        <v>-114948.33033179062</v>
      </c>
      <c r="R64" s="1031"/>
      <c r="S64" s="1031"/>
      <c r="T64" s="1031"/>
      <c r="U64" s="1031"/>
      <c r="V64" s="1031"/>
      <c r="W64" s="1031"/>
      <c r="X64" s="1031"/>
      <c r="Y64" s="1031"/>
      <c r="Z64" s="1031"/>
      <c r="AA64" s="1031"/>
      <c r="AB64" s="1031"/>
      <c r="AC64" s="1031"/>
      <c r="AD64" s="1031"/>
      <c r="AE64" s="1031"/>
    </row>
    <row r="65" spans="1:31">
      <c r="A65" s="1623"/>
      <c r="D65" s="1031"/>
      <c r="E65" s="1031" t="s">
        <v>31</v>
      </c>
      <c r="F65" s="14" t="s">
        <v>29</v>
      </c>
      <c r="G65" s="1047"/>
      <c r="H65" s="1031"/>
      <c r="I65" s="1031"/>
      <c r="J65" s="1031"/>
      <c r="K65" s="1031"/>
      <c r="L65" s="1031"/>
      <c r="M65" s="1031"/>
      <c r="N65" s="1031"/>
      <c r="O65" s="1033">
        <f>-SUM('ANSP ERT'!K15,'ANSP TRM'!K15)</f>
        <v>-13280.897705577623</v>
      </c>
      <c r="P65" s="1033">
        <f>-SUM('ANSP ERT'!L15,'ANSP TRM'!L15)</f>
        <v>-14181.162573242284</v>
      </c>
      <c r="Q65" s="1033">
        <f>-SUM('ANSP ERT'!M15,'ANSP TRM'!M15)</f>
        <v>-13457.490020239551</v>
      </c>
      <c r="R65" s="1031"/>
      <c r="S65" s="1031"/>
      <c r="T65" s="1031"/>
      <c r="U65" s="1031"/>
      <c r="V65" s="1031"/>
      <c r="W65" s="1031"/>
      <c r="X65" s="1031"/>
      <c r="Y65" s="1031"/>
      <c r="Z65" s="1031"/>
      <c r="AA65" s="1031"/>
      <c r="AB65" s="1031"/>
      <c r="AC65" s="1031"/>
      <c r="AD65" s="1031"/>
      <c r="AE65" s="1031"/>
    </row>
    <row r="66" spans="1:31">
      <c r="D66" s="1031"/>
      <c r="E66" s="1031"/>
      <c r="F66" s="1031"/>
      <c r="G66" s="1031"/>
      <c r="H66" s="1031"/>
      <c r="I66" s="1031"/>
      <c r="J66" s="1031"/>
      <c r="K66" s="1031"/>
      <c r="L66" s="1031"/>
      <c r="M66" s="1031"/>
      <c r="N66" s="1031"/>
      <c r="O66" s="1048"/>
      <c r="P66" s="1048"/>
      <c r="Q66" s="1048"/>
      <c r="R66" s="1031"/>
      <c r="S66" s="1031"/>
      <c r="T66" s="1031"/>
      <c r="U66" s="1031"/>
      <c r="V66" s="1031"/>
      <c r="W66" s="1031"/>
      <c r="X66" s="1031"/>
      <c r="Y66" s="1031"/>
      <c r="Z66" s="1031"/>
      <c r="AA66" s="1031"/>
      <c r="AB66" s="1031"/>
      <c r="AC66" s="1031"/>
      <c r="AD66" s="1031"/>
      <c r="AE66" s="1031"/>
    </row>
    <row r="67" spans="1:31">
      <c r="D67" s="1031"/>
      <c r="E67" s="1031" t="s">
        <v>40</v>
      </c>
      <c r="F67" s="14" t="s">
        <v>29</v>
      </c>
      <c r="G67" s="1031"/>
      <c r="H67" s="1031"/>
      <c r="I67" s="1031"/>
      <c r="J67" s="1031"/>
      <c r="K67" s="1031"/>
      <c r="L67" s="1031"/>
      <c r="M67" s="1031"/>
      <c r="N67" s="1031"/>
      <c r="O67" s="1033">
        <f>SUM(O63:O64)</f>
        <v>11305.921941265682</v>
      </c>
      <c r="P67" s="1033">
        <f t="shared" ref="P67:Q67" si="10">SUM(P63:P64)</f>
        <v>26630.638360116776</v>
      </c>
      <c r="Q67" s="1033">
        <f t="shared" si="10"/>
        <v>34034.080407538524</v>
      </c>
      <c r="R67" s="1031"/>
      <c r="S67" s="1031"/>
      <c r="T67" s="1031"/>
      <c r="U67" s="1031"/>
      <c r="V67" s="1031"/>
      <c r="W67" s="1031"/>
      <c r="X67" s="1031"/>
      <c r="Y67" s="1031"/>
      <c r="Z67" s="1031"/>
      <c r="AA67" s="1031"/>
      <c r="AB67" s="1031"/>
      <c r="AC67" s="1031"/>
      <c r="AD67" s="1031"/>
      <c r="AE67" s="1031"/>
    </row>
    <row r="68" spans="1:31">
      <c r="D68" s="1031"/>
      <c r="E68" s="1031" t="s">
        <v>41</v>
      </c>
      <c r="F68" s="14" t="s">
        <v>29</v>
      </c>
      <c r="G68" s="1031"/>
      <c r="H68" s="1031"/>
      <c r="I68" s="1031"/>
      <c r="J68" s="1031"/>
      <c r="K68" s="1031"/>
      <c r="L68" s="1031"/>
      <c r="M68" s="1031"/>
      <c r="N68" s="1031"/>
      <c r="O68" s="1033">
        <f>SUM(O63:O65)</f>
        <v>-1974.975764311941</v>
      </c>
      <c r="P68" s="1033">
        <f t="shared" ref="P68:Q68" si="11">SUM(P63:P65)</f>
        <v>12449.475786874493</v>
      </c>
      <c r="Q68" s="1033">
        <f t="shared" si="11"/>
        <v>20576.590387298973</v>
      </c>
      <c r="R68" s="1031"/>
      <c r="S68" s="1031"/>
      <c r="T68" s="1031"/>
      <c r="U68" s="1031"/>
      <c r="V68" s="1031"/>
      <c r="W68" s="1031"/>
      <c r="X68" s="1031"/>
      <c r="Y68" s="1031"/>
      <c r="Z68" s="1031"/>
      <c r="AA68" s="1031"/>
      <c r="AB68" s="1031"/>
      <c r="AC68" s="1031"/>
      <c r="AD68" s="1031"/>
      <c r="AE68" s="1031"/>
    </row>
    <row r="69" spans="1:31">
      <c r="D69" s="1031"/>
      <c r="E69" s="1031"/>
      <c r="F69" s="1031"/>
      <c r="G69" s="1031"/>
      <c r="H69" s="1031"/>
      <c r="I69" s="1031"/>
      <c r="J69" s="1031"/>
      <c r="K69" s="1031"/>
      <c r="L69" s="1031"/>
      <c r="M69" s="1031"/>
      <c r="N69" s="1031"/>
      <c r="O69" s="1031"/>
      <c r="P69" s="1031"/>
      <c r="Q69" s="1031"/>
      <c r="R69" s="1031"/>
      <c r="S69" s="1031"/>
      <c r="T69" s="1031"/>
      <c r="U69" s="1031"/>
      <c r="V69" s="1031"/>
      <c r="W69" s="1031"/>
      <c r="X69" s="1031"/>
      <c r="Y69" s="1031"/>
      <c r="Z69" s="1031"/>
      <c r="AA69" s="1031"/>
      <c r="AB69" s="1031"/>
      <c r="AC69" s="1031"/>
      <c r="AD69" s="1031"/>
      <c r="AE69" s="1031"/>
    </row>
    <row r="70" spans="1:31">
      <c r="A70" s="1623"/>
      <c r="D70" s="1031"/>
      <c r="E70" s="1052" t="s">
        <v>42</v>
      </c>
      <c r="F70" s="1052" t="s">
        <v>43</v>
      </c>
      <c r="G70" s="1052"/>
      <c r="H70" s="1052"/>
      <c r="I70" s="1052"/>
      <c r="J70" s="1052"/>
      <c r="K70" s="1052"/>
      <c r="L70" s="1052"/>
      <c r="M70" s="1052"/>
      <c r="N70" s="1052"/>
      <c r="O70" s="1056">
        <f>'ANSP WACC (CAR)'!AB57</f>
        <v>2.020340483234695E-2</v>
      </c>
      <c r="P70" s="1056">
        <f>'ANSP WACC (CAR)'!AC57</f>
        <v>2.1204585798816566E-2</v>
      </c>
      <c r="Q70" s="1056">
        <f>'ANSP WACC (CAR)'!AD57</f>
        <v>2.1204585798816566E-2</v>
      </c>
      <c r="R70" s="1031"/>
      <c r="S70" s="1031"/>
      <c r="T70" s="1031"/>
      <c r="U70" s="1031"/>
      <c r="V70" s="1031"/>
      <c r="W70" s="1031"/>
      <c r="X70" s="1031"/>
      <c r="Y70" s="1031"/>
      <c r="Z70" s="1031"/>
      <c r="AA70" s="1031"/>
      <c r="AB70" s="1031"/>
      <c r="AC70" s="1031"/>
      <c r="AD70" s="1031"/>
      <c r="AE70" s="1031"/>
    </row>
    <row r="71" spans="1:31">
      <c r="D71" s="1031"/>
      <c r="E71" s="1031" t="s">
        <v>42</v>
      </c>
      <c r="F71" s="14" t="s">
        <v>29</v>
      </c>
      <c r="G71" s="1031"/>
      <c r="H71" s="1031"/>
      <c r="I71" s="1031"/>
      <c r="J71" s="1031"/>
      <c r="K71" s="1031"/>
      <c r="L71" s="1031"/>
      <c r="M71" s="1031"/>
      <c r="N71" s="1031"/>
      <c r="O71" s="1033">
        <f>MIN(O97,0)*O70</f>
        <v>-254.61571079136726</v>
      </c>
      <c r="P71" s="1033">
        <f>MIN(P97,0)*P70</f>
        <v>-181.16628149964501</v>
      </c>
      <c r="Q71" s="1033">
        <f>MIN(Q97,0)*Q70</f>
        <v>0</v>
      </c>
      <c r="R71" s="1031"/>
      <c r="S71" s="1031"/>
      <c r="T71" s="1031"/>
      <c r="U71" s="1031"/>
      <c r="V71" s="1031"/>
      <c r="W71" s="1031"/>
      <c r="X71" s="1031"/>
      <c r="Y71" s="1031"/>
      <c r="Z71" s="1031"/>
      <c r="AA71" s="1031"/>
      <c r="AB71" s="1031"/>
      <c r="AC71" s="1031"/>
      <c r="AD71" s="1031"/>
      <c r="AE71" s="1031"/>
    </row>
    <row r="72" spans="1:31">
      <c r="D72" s="1031"/>
      <c r="E72" s="1031"/>
      <c r="F72" s="1031"/>
      <c r="G72" s="1031"/>
      <c r="H72" s="1031"/>
      <c r="I72" s="1031"/>
      <c r="J72" s="1031"/>
      <c r="K72" s="1031"/>
      <c r="L72" s="1031"/>
      <c r="M72" s="1031"/>
      <c r="N72" s="1031"/>
      <c r="O72" s="1031"/>
      <c r="P72" s="1031"/>
      <c r="Q72" s="1031"/>
      <c r="R72" s="1031"/>
      <c r="S72" s="1031"/>
      <c r="T72" s="1031"/>
      <c r="U72" s="1031"/>
      <c r="V72" s="1031"/>
      <c r="W72" s="1031"/>
      <c r="X72" s="1031"/>
      <c r="Y72" s="1031"/>
      <c r="Z72" s="1031"/>
      <c r="AA72" s="1031"/>
      <c r="AB72" s="1031"/>
      <c r="AC72" s="1031"/>
      <c r="AD72" s="1031"/>
      <c r="AE72" s="1031"/>
    </row>
    <row r="73" spans="1:31">
      <c r="D73" s="1031"/>
      <c r="E73" s="1031" t="s">
        <v>44</v>
      </c>
      <c r="F73" s="14" t="s">
        <v>29</v>
      </c>
      <c r="G73" s="1031"/>
      <c r="H73" s="1031"/>
      <c r="I73" s="1031"/>
      <c r="J73" s="1031"/>
      <c r="K73" s="1031"/>
      <c r="L73" s="1031"/>
      <c r="M73" s="1031"/>
      <c r="N73" s="1031"/>
      <c r="O73" s="1033">
        <f>O68+O71</f>
        <v>-2229.5914751033083</v>
      </c>
      <c r="P73" s="1033">
        <f>P68+P71</f>
        <v>12268.309505374848</v>
      </c>
      <c r="Q73" s="1033">
        <f>Q68+Q71</f>
        <v>20576.590387298973</v>
      </c>
      <c r="R73" s="1031"/>
      <c r="S73" s="1031"/>
      <c r="T73" s="1031"/>
      <c r="U73" s="1031"/>
      <c r="V73" s="1031"/>
      <c r="W73" s="1031"/>
      <c r="X73" s="1031"/>
      <c r="Y73" s="1031"/>
      <c r="Z73" s="1031"/>
      <c r="AA73" s="1031"/>
      <c r="AB73" s="1031"/>
      <c r="AC73" s="1031"/>
      <c r="AD73" s="1031"/>
      <c r="AE73" s="1031"/>
    </row>
    <row r="74" spans="1:31">
      <c r="D74" s="1031"/>
      <c r="E74" s="1031"/>
      <c r="F74" s="1031"/>
      <c r="G74" s="1031"/>
      <c r="H74" s="1031"/>
      <c r="I74" s="1031"/>
      <c r="J74" s="1031"/>
      <c r="K74" s="1031"/>
      <c r="L74" s="1031"/>
      <c r="M74" s="1031"/>
      <c r="N74" s="1031"/>
      <c r="O74" s="1031"/>
      <c r="P74" s="1031"/>
      <c r="Q74" s="1031"/>
      <c r="R74" s="1031"/>
      <c r="S74" s="1031"/>
      <c r="T74" s="1031"/>
      <c r="U74" s="1031"/>
      <c r="V74" s="1031"/>
      <c r="W74" s="1031"/>
      <c r="X74" s="1031"/>
      <c r="Y74" s="1031"/>
      <c r="Z74" s="1031"/>
      <c r="AA74" s="1031"/>
      <c r="AB74" s="1031"/>
      <c r="AC74" s="1031"/>
      <c r="AD74" s="1031"/>
      <c r="AE74" s="1031"/>
    </row>
    <row r="75" spans="1:31">
      <c r="D75" s="1031"/>
      <c r="E75" s="1052" t="s">
        <v>45</v>
      </c>
      <c r="F75" s="1052" t="s">
        <v>43</v>
      </c>
      <c r="G75" s="1031"/>
      <c r="H75" s="1031"/>
      <c r="I75" s="1031"/>
      <c r="J75" s="1031"/>
      <c r="K75" s="1031"/>
      <c r="L75" s="1031"/>
      <c r="M75" s="1031"/>
      <c r="N75" s="1031"/>
      <c r="O75" s="1057">
        <v>0.125</v>
      </c>
      <c r="P75" s="1057">
        <v>0.125</v>
      </c>
      <c r="Q75" s="1057">
        <v>0.125</v>
      </c>
      <c r="R75" s="1031"/>
      <c r="S75" s="1031"/>
      <c r="T75" s="1031"/>
      <c r="U75" s="1031"/>
      <c r="V75" s="1031"/>
      <c r="W75" s="1031"/>
      <c r="X75" s="1031"/>
      <c r="Y75" s="1031"/>
      <c r="Z75" s="1031"/>
      <c r="AA75" s="1031"/>
      <c r="AB75" s="1031"/>
      <c r="AC75" s="1031"/>
      <c r="AD75" s="1031"/>
      <c r="AE75" s="1031"/>
    </row>
    <row r="76" spans="1:31">
      <c r="D76" s="1031"/>
      <c r="E76" s="1031"/>
      <c r="F76" s="1031"/>
      <c r="G76" s="1031"/>
      <c r="H76" s="1031"/>
      <c r="I76" s="1031"/>
      <c r="J76" s="1031"/>
      <c r="K76" s="1031"/>
      <c r="L76" s="1031"/>
      <c r="M76" s="1031"/>
      <c r="N76" s="1031"/>
      <c r="O76" s="1031"/>
      <c r="P76" s="1031"/>
      <c r="Q76" s="1031"/>
      <c r="R76" s="1031"/>
      <c r="S76" s="1031"/>
      <c r="T76" s="1031"/>
      <c r="U76" s="1031"/>
      <c r="V76" s="1031"/>
      <c r="W76" s="1031"/>
      <c r="X76" s="1031"/>
      <c r="Y76" s="1031"/>
      <c r="Z76" s="1031"/>
      <c r="AA76" s="1031"/>
      <c r="AB76" s="1031"/>
      <c r="AC76" s="1031"/>
      <c r="AD76" s="1031"/>
      <c r="AE76" s="1031"/>
    </row>
    <row r="77" spans="1:31">
      <c r="D77" s="1031"/>
      <c r="E77" s="1031" t="s">
        <v>46</v>
      </c>
      <c r="F77" s="14" t="s">
        <v>29</v>
      </c>
      <c r="G77" s="1031"/>
      <c r="H77" s="1031"/>
      <c r="I77" s="1031"/>
      <c r="J77" s="1031"/>
      <c r="K77" s="1031"/>
      <c r="L77" s="1031"/>
      <c r="M77" s="1031"/>
      <c r="N77" s="1031"/>
      <c r="O77" s="1033">
        <f>-(O73&gt;0)*O73*O75</f>
        <v>0</v>
      </c>
      <c r="P77" s="1033">
        <f>-(P73&gt;0)*P73*P75</f>
        <v>-1533.5386881718559</v>
      </c>
      <c r="Q77" s="1033">
        <f>-(Q73&gt;0)*Q73*Q75</f>
        <v>-2572.0737984123716</v>
      </c>
      <c r="R77" s="1031"/>
      <c r="S77" s="1031"/>
      <c r="T77" s="1031"/>
      <c r="U77" s="1031"/>
      <c r="V77" s="1031"/>
      <c r="W77" s="1031"/>
      <c r="X77" s="1031"/>
      <c r="Y77" s="1031"/>
      <c r="Z77" s="1031"/>
      <c r="AA77" s="1031"/>
      <c r="AB77" s="1031"/>
      <c r="AC77" s="1031"/>
      <c r="AD77" s="1031"/>
      <c r="AE77" s="1031"/>
    </row>
    <row r="78" spans="1:31">
      <c r="D78" s="1031"/>
      <c r="E78" s="1031"/>
      <c r="F78" s="1031"/>
      <c r="G78" s="1031"/>
      <c r="H78" s="1031"/>
      <c r="I78" s="1031"/>
      <c r="J78" s="1031"/>
      <c r="K78" s="1031"/>
      <c r="L78" s="1031"/>
      <c r="M78" s="1031"/>
      <c r="N78" s="1031"/>
      <c r="O78" s="1031"/>
      <c r="P78" s="1031"/>
      <c r="Q78" s="1031"/>
      <c r="R78" s="1031"/>
      <c r="S78" s="1031"/>
      <c r="T78" s="1031"/>
      <c r="U78" s="1031"/>
      <c r="V78" s="1031"/>
      <c r="W78" s="1031"/>
      <c r="X78" s="1031"/>
      <c r="Y78" s="1031"/>
      <c r="Z78" s="1031"/>
      <c r="AA78" s="1031"/>
      <c r="AB78" s="1031"/>
      <c r="AC78" s="1031"/>
      <c r="AD78" s="1031"/>
      <c r="AE78" s="1031"/>
    </row>
    <row r="79" spans="1:31">
      <c r="D79" s="1031"/>
      <c r="E79" s="1031" t="s">
        <v>47</v>
      </c>
      <c r="F79" s="14" t="s">
        <v>29</v>
      </c>
      <c r="G79" s="1031"/>
      <c r="H79" s="1031"/>
      <c r="I79" s="1031"/>
      <c r="J79" s="1031"/>
      <c r="K79" s="1031"/>
      <c r="L79" s="1031"/>
      <c r="M79" s="1031"/>
      <c r="N79" s="1031"/>
      <c r="O79" s="1033">
        <f>O77+O73</f>
        <v>-2229.5914751033083</v>
      </c>
      <c r="P79" s="1033">
        <f>P77+P73</f>
        <v>10734.770817202992</v>
      </c>
      <c r="Q79" s="1033">
        <f>Q77+Q73</f>
        <v>18004.516588886603</v>
      </c>
      <c r="R79" s="1031"/>
      <c r="S79" s="1031"/>
      <c r="T79" s="1031"/>
      <c r="U79" s="1031"/>
      <c r="V79" s="1031"/>
      <c r="W79" s="1031"/>
      <c r="X79" s="1031"/>
      <c r="Y79" s="1031"/>
      <c r="Z79" s="1031"/>
      <c r="AA79" s="1031"/>
      <c r="AB79" s="1031"/>
      <c r="AC79" s="1031"/>
      <c r="AD79" s="1031"/>
      <c r="AE79" s="1031"/>
    </row>
    <row r="80" spans="1:31">
      <c r="D80" s="1031"/>
      <c r="E80" s="1031"/>
      <c r="F80" s="1031"/>
      <c r="G80" s="1031"/>
      <c r="H80" s="1031"/>
      <c r="I80" s="1031"/>
      <c r="J80" s="1031"/>
      <c r="K80" s="1031"/>
      <c r="L80" s="1031"/>
      <c r="M80" s="1031"/>
      <c r="N80" s="1031"/>
      <c r="O80" s="1031"/>
      <c r="P80" s="1031"/>
      <c r="Q80" s="1031"/>
      <c r="R80" s="1031"/>
      <c r="S80" s="1031"/>
      <c r="T80" s="1031"/>
      <c r="U80" s="1031"/>
      <c r="V80" s="1031"/>
      <c r="W80" s="1031"/>
      <c r="X80" s="1031"/>
      <c r="Y80" s="1031"/>
      <c r="Z80" s="1031"/>
      <c r="AA80" s="1031"/>
      <c r="AB80" s="1031"/>
      <c r="AC80" s="1031"/>
      <c r="AD80" s="1031"/>
      <c r="AE80" s="1031"/>
    </row>
    <row r="81" spans="4:31">
      <c r="D81" s="1031"/>
      <c r="E81" s="1052" t="s">
        <v>48</v>
      </c>
      <c r="F81" s="1031" t="s">
        <v>43</v>
      </c>
      <c r="G81" s="1031"/>
      <c r="H81" s="1031"/>
      <c r="I81" s="1031"/>
      <c r="J81" s="1031"/>
      <c r="K81" s="1031"/>
      <c r="L81" s="1031"/>
      <c r="M81" s="1031"/>
      <c r="N81" s="1031"/>
      <c r="O81" s="1044">
        <f t="shared" ref="O81:Q82" si="12">O67/O$63</f>
        <v>9.7409664216267053E-2</v>
      </c>
      <c r="P81" s="1044">
        <f t="shared" si="12"/>
        <v>0.19493637796069024</v>
      </c>
      <c r="Q81" s="1044">
        <f t="shared" si="12"/>
        <v>0.22844361450887726</v>
      </c>
      <c r="R81" s="1031"/>
      <c r="S81" s="1031"/>
      <c r="T81" s="1031"/>
      <c r="U81" s="1031"/>
      <c r="V81" s="1031"/>
      <c r="W81" s="1031"/>
      <c r="X81" s="1031"/>
      <c r="Y81" s="1031"/>
      <c r="Z81" s="1031"/>
      <c r="AA81" s="1031"/>
      <c r="AB81" s="1031"/>
      <c r="AC81" s="1031"/>
      <c r="AD81" s="1031"/>
      <c r="AE81" s="1031"/>
    </row>
    <row r="82" spans="4:31">
      <c r="D82" s="1031"/>
      <c r="E82" s="1052" t="s">
        <v>49</v>
      </c>
      <c r="F82" s="1031" t="s">
        <v>43</v>
      </c>
      <c r="G82" s="1031"/>
      <c r="H82" s="1031"/>
      <c r="I82" s="1031"/>
      <c r="J82" s="1031"/>
      <c r="K82" s="1031"/>
      <c r="L82" s="1031"/>
      <c r="M82" s="1031"/>
      <c r="N82" s="1031"/>
      <c r="O82" s="1044">
        <f t="shared" si="12"/>
        <v>-1.7016014000124494E-2</v>
      </c>
      <c r="P82" s="1044">
        <f t="shared" si="12"/>
        <v>9.11302119230155E-2</v>
      </c>
      <c r="Q82" s="1044">
        <f t="shared" si="12"/>
        <v>0.13811422627132358</v>
      </c>
      <c r="R82" s="1031"/>
      <c r="S82" s="1031"/>
      <c r="T82" s="1031"/>
      <c r="U82" s="1031"/>
      <c r="V82" s="1031"/>
      <c r="W82" s="1031"/>
      <c r="X82" s="1031"/>
      <c r="Y82" s="1031"/>
      <c r="Z82" s="1031"/>
      <c r="AA82" s="1031"/>
      <c r="AB82" s="1031"/>
      <c r="AC82" s="1031"/>
      <c r="AD82" s="1031"/>
      <c r="AE82" s="1031"/>
    </row>
    <row r="83" spans="4:31">
      <c r="D83" s="1031"/>
      <c r="E83" s="1052" t="s">
        <v>50</v>
      </c>
      <c r="F83" s="1031" t="s">
        <v>43</v>
      </c>
      <c r="G83" s="1031"/>
      <c r="H83" s="1031"/>
      <c r="I83" s="1031"/>
      <c r="J83" s="1031"/>
      <c r="K83" s="1031"/>
      <c r="L83" s="1031"/>
      <c r="M83" s="1031"/>
      <c r="N83" s="1031"/>
      <c r="O83" s="1044">
        <f>O73/O63</f>
        <v>-1.9209734337238084E-2</v>
      </c>
      <c r="P83" s="1044">
        <f>P73/P63</f>
        <v>8.980407402701078E-2</v>
      </c>
      <c r="Q83" s="1044">
        <f>Q73/Q63</f>
        <v>0.13811422627132358</v>
      </c>
      <c r="R83" s="1031"/>
      <c r="S83" s="1031"/>
      <c r="T83" s="1031"/>
      <c r="U83" s="1031"/>
      <c r="V83" s="1031"/>
      <c r="W83" s="1031"/>
      <c r="X83" s="1031"/>
      <c r="Y83" s="1031"/>
      <c r="Z83" s="1031"/>
      <c r="AA83" s="1031"/>
      <c r="AB83" s="1031"/>
      <c r="AC83" s="1031"/>
      <c r="AD83" s="1031"/>
      <c r="AE83" s="1031"/>
    </row>
    <row r="84" spans="4:31">
      <c r="D84" s="1031"/>
      <c r="E84" s="1052" t="s">
        <v>47</v>
      </c>
      <c r="F84" s="1031" t="s">
        <v>43</v>
      </c>
      <c r="G84" s="1031"/>
      <c r="H84" s="1031"/>
      <c r="I84" s="1031"/>
      <c r="J84" s="1031"/>
      <c r="K84" s="1031"/>
      <c r="L84" s="1031"/>
      <c r="M84" s="1031"/>
      <c r="N84" s="1031"/>
      <c r="O84" s="1044">
        <f>O79/O$63</f>
        <v>-1.9209734337238084E-2</v>
      </c>
      <c r="P84" s="1044">
        <f>P79/P$63</f>
        <v>7.8578564773634438E-2</v>
      </c>
      <c r="Q84" s="1044">
        <f>Q79/Q$63</f>
        <v>0.12084994798740814</v>
      </c>
      <c r="R84" s="1031"/>
      <c r="S84" s="1031"/>
      <c r="T84" s="1031"/>
      <c r="U84" s="1031"/>
      <c r="V84" s="1031"/>
      <c r="W84" s="1031"/>
      <c r="X84" s="1031"/>
      <c r="Y84" s="1031"/>
      <c r="Z84" s="1031"/>
      <c r="AA84" s="1031"/>
      <c r="AB84" s="1031"/>
      <c r="AC84" s="1031"/>
      <c r="AD84" s="1031"/>
      <c r="AE84" s="1031"/>
    </row>
    <row r="85" spans="4:31">
      <c r="D85" s="1031"/>
      <c r="E85" s="1031"/>
      <c r="F85" s="1031"/>
      <c r="G85" s="1031"/>
      <c r="H85" s="1031"/>
      <c r="I85" s="1031"/>
      <c r="J85" s="1031"/>
      <c r="K85" s="1031"/>
      <c r="L85" s="1031"/>
      <c r="M85" s="1031"/>
      <c r="N85" s="1031"/>
      <c r="O85" s="1031"/>
      <c r="P85" s="1031"/>
      <c r="Q85" s="1031"/>
      <c r="R85" s="1031"/>
      <c r="S85" s="1031"/>
      <c r="T85" s="1031"/>
      <c r="U85" s="1031"/>
      <c r="V85" s="1031"/>
      <c r="W85" s="1031"/>
      <c r="X85" s="1031"/>
      <c r="Y85" s="1031"/>
      <c r="Z85" s="1031"/>
      <c r="AA85" s="1031"/>
      <c r="AB85" s="1031"/>
      <c r="AC85" s="1031"/>
      <c r="AD85" s="1031"/>
      <c r="AE85" s="1031"/>
    </row>
    <row r="86" spans="4:31">
      <c r="D86" s="1031"/>
      <c r="E86" s="1031"/>
      <c r="F86" s="1031"/>
      <c r="G86" s="1031"/>
      <c r="H86" s="1031"/>
      <c r="I86" s="1031"/>
      <c r="J86" s="1031"/>
      <c r="K86" s="1031"/>
      <c r="L86" s="1031"/>
      <c r="M86" s="1031"/>
      <c r="N86" s="1031"/>
      <c r="O86" s="1031"/>
      <c r="P86" s="1031"/>
      <c r="Q86" s="1031"/>
      <c r="R86" s="1031"/>
      <c r="S86" s="1031"/>
      <c r="T86" s="1031"/>
      <c r="U86" s="1031"/>
      <c r="V86" s="1031"/>
      <c r="W86" s="1031"/>
      <c r="X86" s="1031"/>
      <c r="Y86" s="1031"/>
      <c r="Z86" s="1031"/>
      <c r="AA86" s="1031"/>
      <c r="AB86" s="1031"/>
      <c r="AC86" s="1031"/>
      <c r="AD86" s="1031"/>
      <c r="AE86" s="1031"/>
    </row>
    <row r="87" spans="4:31">
      <c r="D87" s="1031"/>
      <c r="E87" s="1031"/>
      <c r="F87" s="1031"/>
      <c r="G87" s="1031"/>
      <c r="H87" s="1031"/>
      <c r="I87" s="1031"/>
      <c r="J87" s="1031"/>
      <c r="K87" s="1031"/>
      <c r="L87" s="1031"/>
      <c r="M87" s="1031"/>
      <c r="N87" s="1031"/>
      <c r="O87" s="1031"/>
      <c r="P87" s="1031"/>
      <c r="Q87" s="1031"/>
      <c r="R87" s="1031"/>
      <c r="S87" s="1031"/>
      <c r="T87" s="1031"/>
      <c r="U87" s="1031"/>
      <c r="V87" s="1031"/>
      <c r="W87" s="1031"/>
      <c r="X87" s="1031"/>
      <c r="Y87" s="1031"/>
      <c r="Z87" s="1031"/>
      <c r="AA87" s="1031"/>
      <c r="AB87" s="1031"/>
      <c r="AC87" s="1031"/>
      <c r="AD87" s="1031"/>
      <c r="AE87" s="1031"/>
    </row>
    <row r="89" spans="4:31">
      <c r="D89" s="1041" t="s">
        <v>51</v>
      </c>
      <c r="E89" s="1042"/>
      <c r="F89" s="1042"/>
      <c r="G89" s="1042"/>
      <c r="H89" s="1042"/>
      <c r="I89" s="1042"/>
      <c r="J89" s="1042"/>
      <c r="K89" s="1042"/>
      <c r="L89" s="1042"/>
      <c r="M89" s="1042"/>
      <c r="N89" s="1042"/>
      <c r="O89" s="1042"/>
      <c r="P89" s="1042"/>
      <c r="Q89" s="1042"/>
      <c r="R89" s="1042"/>
      <c r="S89" s="1042"/>
      <c r="T89" s="1042"/>
      <c r="U89" s="1042"/>
      <c r="V89" s="1042"/>
      <c r="W89" s="1042"/>
      <c r="X89" s="1042"/>
      <c r="Y89" s="1042"/>
      <c r="Z89" s="1042"/>
      <c r="AA89" s="1042"/>
      <c r="AB89" s="1042"/>
      <c r="AC89" s="1042"/>
      <c r="AD89" s="1042"/>
      <c r="AE89" s="1042"/>
    </row>
    <row r="90" spans="4:31">
      <c r="D90" s="1031"/>
      <c r="E90" s="1031" t="s">
        <v>52</v>
      </c>
      <c r="F90" s="14" t="s">
        <v>29</v>
      </c>
      <c r="G90" s="1047"/>
      <c r="H90" s="1031"/>
      <c r="I90" s="1031"/>
      <c r="J90" s="1031"/>
      <c r="K90" s="1031"/>
      <c r="L90" s="1031"/>
      <c r="M90" s="1031"/>
      <c r="N90" s="1031"/>
      <c r="O90" s="1033">
        <f>O67</f>
        <v>11305.921941265682</v>
      </c>
      <c r="P90" s="1033">
        <f>P67</f>
        <v>26630.638360116776</v>
      </c>
      <c r="Q90" s="1033">
        <f>Q67</f>
        <v>34034.080407538524</v>
      </c>
      <c r="R90" s="1031"/>
      <c r="S90" s="1031"/>
      <c r="T90" s="1031"/>
      <c r="U90" s="1031"/>
      <c r="V90" s="1031"/>
      <c r="W90" s="1031"/>
      <c r="X90" s="1031"/>
      <c r="Y90" s="1031"/>
      <c r="Z90" s="1031"/>
      <c r="AA90" s="1031"/>
      <c r="AB90" s="1031"/>
      <c r="AC90" s="1031"/>
      <c r="AD90" s="1031"/>
      <c r="AE90" s="1031"/>
    </row>
    <row r="91" spans="4:31">
      <c r="D91" s="1031"/>
      <c r="E91" s="1031" t="s">
        <v>53</v>
      </c>
      <c r="F91" s="1031" t="s">
        <v>29</v>
      </c>
      <c r="G91" s="1649">
        <v>0</v>
      </c>
      <c r="H91" s="1031"/>
      <c r="I91" s="1031"/>
      <c r="J91" s="1031"/>
      <c r="K91" s="1031"/>
      <c r="L91" s="1031"/>
      <c r="M91" s="1031"/>
      <c r="N91" s="1031"/>
      <c r="O91" s="1033">
        <f>-'ANSP Capex (CAR)'!BJ46*(1+$G91)</f>
        <v>-23908.535852348192</v>
      </c>
      <c r="P91" s="1033">
        <f>-'ANSP Capex (CAR)'!BK46*(1+$G91)</f>
        <v>-22571.755659749826</v>
      </c>
      <c r="Q91" s="1033">
        <f>-'ANSP Capex (CAR)'!BL46*(1+$G91)</f>
        <v>-12000</v>
      </c>
      <c r="R91" s="1031"/>
      <c r="S91" s="1031"/>
      <c r="T91" s="1031"/>
      <c r="U91" s="1031"/>
      <c r="V91" s="1031"/>
      <c r="W91" s="1031"/>
      <c r="X91" s="1031"/>
      <c r="Y91" s="1031"/>
      <c r="Z91" s="1031"/>
      <c r="AA91" s="1031"/>
      <c r="AB91" s="1031"/>
      <c r="AC91" s="1031"/>
      <c r="AD91" s="1031"/>
      <c r="AE91" s="1031"/>
    </row>
    <row r="92" spans="4:31">
      <c r="D92" s="1031"/>
      <c r="E92" s="1031"/>
      <c r="F92" s="1031"/>
      <c r="G92" s="1031"/>
      <c r="H92" s="1031"/>
      <c r="I92" s="1031"/>
      <c r="J92" s="1031"/>
      <c r="K92" s="1031"/>
      <c r="L92" s="1031"/>
      <c r="M92" s="1031"/>
      <c r="N92" s="1031"/>
      <c r="O92" s="1031"/>
      <c r="P92" s="1031"/>
      <c r="Q92" s="1031"/>
      <c r="R92" s="1031"/>
      <c r="S92" s="1031"/>
      <c r="T92" s="1031"/>
      <c r="U92" s="1031"/>
      <c r="V92" s="1031"/>
      <c r="W92" s="1031"/>
      <c r="X92" s="1031"/>
      <c r="Y92" s="1031"/>
      <c r="Z92" s="1031"/>
      <c r="AA92" s="1031"/>
      <c r="AB92" s="1031"/>
      <c r="AC92" s="1031"/>
      <c r="AD92" s="1031"/>
      <c r="AE92" s="1031"/>
    </row>
    <row r="93" spans="4:31">
      <c r="D93" s="1031"/>
      <c r="E93" s="1030" t="s">
        <v>54</v>
      </c>
      <c r="F93" s="1053" t="s">
        <v>29</v>
      </c>
      <c r="G93" s="1031"/>
      <c r="H93" s="1031"/>
      <c r="I93" s="1031"/>
      <c r="J93" s="1031"/>
      <c r="K93" s="1031"/>
      <c r="L93" s="1031"/>
      <c r="M93" s="1031"/>
      <c r="N93" s="1031"/>
      <c r="O93" s="1037">
        <f>SUM(O90:O91)</f>
        <v>-12602.61391108251</v>
      </c>
      <c r="P93" s="1037">
        <f>SUM(P90:P91)</f>
        <v>4058.8827003669503</v>
      </c>
      <c r="Q93" s="1037">
        <f>SUM(Q90:Q91)</f>
        <v>22034.080407538524</v>
      </c>
      <c r="R93" s="1031"/>
      <c r="S93" s="1031"/>
      <c r="T93" s="1031"/>
      <c r="U93" s="1031"/>
      <c r="V93" s="1031"/>
      <c r="W93" s="1031"/>
      <c r="X93" s="1031"/>
      <c r="Y93" s="1031"/>
      <c r="Z93" s="1031"/>
      <c r="AA93" s="1031"/>
      <c r="AB93" s="1031"/>
      <c r="AC93" s="1031"/>
      <c r="AD93" s="1031"/>
      <c r="AE93" s="1031"/>
    </row>
    <row r="94" spans="4:31">
      <c r="D94" s="1031"/>
      <c r="E94" s="1031"/>
      <c r="F94" s="1031"/>
      <c r="G94" s="1031"/>
      <c r="H94" s="1031"/>
      <c r="I94" s="1031"/>
      <c r="J94" s="1031"/>
      <c r="K94" s="1031"/>
      <c r="L94" s="1031"/>
      <c r="M94" s="1031"/>
      <c r="N94" s="1031"/>
      <c r="O94" s="1031"/>
      <c r="P94" s="1048"/>
      <c r="Q94" s="1048"/>
      <c r="R94" s="1031"/>
      <c r="S94" s="1031"/>
      <c r="T94" s="1031"/>
      <c r="U94" s="1031"/>
      <c r="V94" s="1031"/>
      <c r="W94" s="1031"/>
      <c r="X94" s="1031"/>
      <c r="Y94" s="1031"/>
      <c r="Z94" s="1031"/>
      <c r="AA94" s="1031"/>
      <c r="AB94" s="1031"/>
      <c r="AC94" s="1031"/>
      <c r="AD94" s="1031"/>
      <c r="AE94" s="1031"/>
    </row>
    <row r="95" spans="4:31">
      <c r="D95" s="1031"/>
      <c r="E95" s="1031" t="s">
        <v>55</v>
      </c>
      <c r="F95" s="14" t="s">
        <v>29</v>
      </c>
      <c r="G95" s="1031"/>
      <c r="H95" s="1031"/>
      <c r="I95" s="1031"/>
      <c r="J95" s="1031"/>
      <c r="K95" s="1031"/>
      <c r="L95" s="1031"/>
      <c r="M95" s="1031"/>
      <c r="N95" s="1031"/>
      <c r="O95" s="1033">
        <f>N97</f>
        <v>0</v>
      </c>
      <c r="P95" s="1033">
        <f>O97</f>
        <v>-12602.61391108251</v>
      </c>
      <c r="Q95" s="1033">
        <f>P97</f>
        <v>-8543.7312107155594</v>
      </c>
      <c r="R95" s="1031"/>
      <c r="S95" s="1031"/>
      <c r="T95" s="1031"/>
      <c r="U95" s="1031"/>
      <c r="V95" s="1031"/>
      <c r="W95" s="1031"/>
      <c r="X95" s="1031"/>
      <c r="Y95" s="1031"/>
      <c r="Z95" s="1031"/>
      <c r="AA95" s="1031"/>
      <c r="AB95" s="1031"/>
      <c r="AC95" s="1031"/>
      <c r="AD95" s="1031"/>
      <c r="AE95" s="1031"/>
    </row>
    <row r="96" spans="4:31">
      <c r="D96" s="1031"/>
      <c r="E96" s="1031"/>
      <c r="F96" s="1031"/>
      <c r="G96" s="1031"/>
      <c r="H96" s="1031"/>
      <c r="I96" s="1031"/>
      <c r="J96" s="1031"/>
      <c r="K96" s="1031"/>
      <c r="L96" s="1031"/>
      <c r="M96" s="1031"/>
      <c r="N96" s="1031"/>
      <c r="O96" s="1031"/>
      <c r="P96" s="1031"/>
      <c r="Q96" s="1031"/>
      <c r="R96" s="1031"/>
      <c r="S96" s="1031"/>
      <c r="T96" s="1031"/>
      <c r="U96" s="1031"/>
      <c r="V96" s="1031"/>
      <c r="W96" s="1031"/>
      <c r="X96" s="1031"/>
      <c r="Y96" s="1031"/>
      <c r="Z96" s="1031"/>
      <c r="AA96" s="1031"/>
      <c r="AB96" s="1031"/>
      <c r="AC96" s="1031"/>
      <c r="AD96" s="1031"/>
      <c r="AE96" s="1031"/>
    </row>
    <row r="97" spans="2:31">
      <c r="D97" s="1031"/>
      <c r="E97" s="1031" t="s">
        <v>56</v>
      </c>
      <c r="F97" s="14" t="s">
        <v>29</v>
      </c>
      <c r="G97" s="1031"/>
      <c r="H97" s="1031"/>
      <c r="I97" s="1031"/>
      <c r="J97" s="1031"/>
      <c r="K97" s="1031"/>
      <c r="L97" s="1031"/>
      <c r="M97" s="1031"/>
      <c r="N97" s="1537">
        <v>0</v>
      </c>
      <c r="O97" s="1033">
        <f>SUM(O93:O95)</f>
        <v>-12602.61391108251</v>
      </c>
      <c r="P97" s="1033">
        <f>SUM(P93:P95)</f>
        <v>-8543.7312107155594</v>
      </c>
      <c r="Q97" s="1033">
        <f>SUM(Q93:Q95)</f>
        <v>13490.349196822965</v>
      </c>
      <c r="R97" s="1031"/>
      <c r="S97" s="1031"/>
      <c r="T97" s="1031"/>
      <c r="U97" s="1031"/>
      <c r="V97" s="1031"/>
      <c r="W97" s="1031"/>
      <c r="X97" s="1031"/>
      <c r="Y97" s="1031"/>
      <c r="Z97" s="1031"/>
      <c r="AA97" s="1031"/>
      <c r="AB97" s="1031"/>
      <c r="AC97" s="1031"/>
      <c r="AD97" s="1031"/>
      <c r="AE97" s="1031"/>
    </row>
    <row r="98" spans="2:31">
      <c r="D98" s="1031"/>
      <c r="E98" s="1031"/>
      <c r="F98" s="1031"/>
      <c r="G98" s="1031"/>
      <c r="H98" s="1031"/>
      <c r="I98" s="1031"/>
      <c r="J98" s="1031"/>
      <c r="K98" s="1031"/>
      <c r="L98" s="1031"/>
      <c r="M98" s="1031"/>
      <c r="N98" s="1031"/>
      <c r="O98" s="1031"/>
      <c r="P98" s="1031"/>
      <c r="Q98" s="1031"/>
      <c r="R98" s="1031"/>
      <c r="S98" s="1031"/>
      <c r="T98" s="1031"/>
      <c r="U98" s="1031"/>
      <c r="V98" s="1031"/>
      <c r="W98" s="1031"/>
      <c r="X98" s="1031"/>
      <c r="Y98" s="1031"/>
      <c r="Z98" s="1031"/>
      <c r="AA98" s="1031"/>
      <c r="AB98" s="1031"/>
      <c r="AC98" s="1031"/>
      <c r="AD98" s="1031"/>
      <c r="AE98" s="1031"/>
    </row>
    <row r="99" spans="2:31">
      <c r="D99" s="1031"/>
      <c r="E99" s="1031"/>
      <c r="F99" s="1031"/>
      <c r="G99" s="1031"/>
      <c r="H99" s="1031"/>
      <c r="I99" s="1031"/>
      <c r="J99" s="1031"/>
      <c r="K99" s="1031"/>
      <c r="L99" s="1031"/>
      <c r="M99" s="1031"/>
      <c r="N99" s="1031"/>
      <c r="O99" s="1031"/>
      <c r="P99" s="1031"/>
      <c r="Q99" s="1031"/>
      <c r="R99" s="1031"/>
      <c r="S99" s="1031"/>
      <c r="T99" s="1031"/>
      <c r="U99" s="1031"/>
      <c r="V99" s="1031"/>
      <c r="W99" s="1031"/>
      <c r="X99" s="1031"/>
      <c r="Y99" s="1031"/>
      <c r="Z99" s="1031"/>
      <c r="AA99" s="1031"/>
      <c r="AB99" s="1031"/>
      <c r="AC99" s="1031"/>
      <c r="AD99" s="1031"/>
      <c r="AE99" s="1031"/>
    </row>
    <row r="100" spans="2:31">
      <c r="D100" s="1031"/>
      <c r="E100" s="1052" t="s">
        <v>57</v>
      </c>
      <c r="F100" s="1052" t="s">
        <v>58</v>
      </c>
      <c r="G100" s="1031"/>
      <c r="H100" s="1031"/>
      <c r="I100" s="1031"/>
      <c r="J100" s="1031"/>
      <c r="K100" s="1031"/>
      <c r="L100" s="1031"/>
      <c r="M100" s="1031"/>
      <c r="N100" s="1031"/>
      <c r="O100" s="1200">
        <f>-IF(O95&gt;=0,0,O95/O67)</f>
        <v>0</v>
      </c>
      <c r="P100" s="1200">
        <f>-IF(P95&gt;=0,0,P95/P67)</f>
        <v>0.47323739448757424</v>
      </c>
      <c r="Q100" s="1200">
        <f>-IF(Q95&gt;=0,0,Q95/Q67)</f>
        <v>0.25103458381743521</v>
      </c>
      <c r="R100" s="1031"/>
      <c r="S100" s="1031"/>
      <c r="T100" s="1031"/>
      <c r="U100" s="1031"/>
      <c r="V100" s="1031"/>
      <c r="W100" s="1031"/>
      <c r="X100" s="1031"/>
      <c r="Y100" s="1031"/>
      <c r="Z100" s="1031"/>
      <c r="AA100" s="1031"/>
      <c r="AB100" s="1031"/>
      <c r="AC100" s="1031"/>
      <c r="AD100" s="1031"/>
      <c r="AE100" s="1031"/>
    </row>
    <row r="101" spans="2:31">
      <c r="D101" s="1031"/>
      <c r="E101" s="1052" t="s">
        <v>59</v>
      </c>
      <c r="F101" s="1052" t="s">
        <v>58</v>
      </c>
      <c r="G101" s="1031"/>
      <c r="H101" s="1031"/>
      <c r="I101" s="1031"/>
      <c r="J101" s="1031"/>
      <c r="K101" s="1031"/>
      <c r="L101" s="1031"/>
      <c r="M101" s="1031"/>
      <c r="N101" s="1031"/>
      <c r="O101" s="1200">
        <f>-IF(O95&gt;=0,0,O90/O95)</f>
        <v>0</v>
      </c>
      <c r="P101" s="1200">
        <f>-IF(P95&gt;=0,0,P90/P95)</f>
        <v>2.1131043566048056</v>
      </c>
      <c r="Q101" s="1200">
        <f>-IF(Q95&gt;=0,0,Q90/Q95)</f>
        <v>3.9835148798750755</v>
      </c>
      <c r="R101" s="1031"/>
      <c r="S101" s="1031"/>
      <c r="T101" s="1031"/>
      <c r="U101" s="1031"/>
      <c r="V101" s="1031"/>
      <c r="W101" s="1031"/>
      <c r="X101" s="1031"/>
      <c r="Y101" s="1031"/>
      <c r="Z101" s="1031"/>
      <c r="AA101" s="1031"/>
      <c r="AB101" s="1031"/>
      <c r="AC101" s="1031"/>
      <c r="AD101" s="1031"/>
      <c r="AE101" s="1031"/>
    </row>
    <row r="102" spans="2:31">
      <c r="D102" s="1031"/>
      <c r="E102" s="1052"/>
      <c r="F102" s="1031"/>
      <c r="G102" s="1031"/>
      <c r="H102" s="1031"/>
      <c r="I102" s="1031"/>
      <c r="J102" s="1031"/>
      <c r="K102" s="1031"/>
      <c r="L102" s="1031"/>
      <c r="M102" s="1031"/>
      <c r="N102" s="1031"/>
      <c r="O102" s="1031"/>
      <c r="P102" s="1031"/>
      <c r="Q102" s="1031"/>
      <c r="R102" s="1031"/>
      <c r="S102" s="1031"/>
      <c r="T102" s="1031"/>
      <c r="U102" s="1031"/>
      <c r="V102" s="1031"/>
      <c r="W102" s="1031"/>
      <c r="X102" s="1031"/>
      <c r="Y102" s="1031"/>
      <c r="Z102" s="1031"/>
      <c r="AA102" s="1031"/>
      <c r="AB102" s="1031"/>
      <c r="AC102" s="1031"/>
      <c r="AD102" s="1031"/>
      <c r="AE102" s="1031"/>
    </row>
    <row r="103" spans="2:31">
      <c r="D103" s="1031"/>
      <c r="E103" s="1052"/>
      <c r="F103" s="1031"/>
      <c r="G103" s="1031"/>
      <c r="H103" s="1031"/>
      <c r="I103" s="1031"/>
      <c r="J103" s="1031"/>
      <c r="K103" s="1031"/>
      <c r="L103" s="1031"/>
      <c r="M103" s="1031"/>
      <c r="N103" s="1031"/>
      <c r="O103" s="1031"/>
      <c r="P103" s="1031"/>
      <c r="Q103" s="1031"/>
      <c r="R103" s="1031"/>
      <c r="S103" s="1031"/>
      <c r="T103" s="1031"/>
      <c r="U103" s="1031"/>
      <c r="V103" s="1031"/>
      <c r="W103" s="1031"/>
      <c r="X103" s="1031"/>
      <c r="Y103" s="1031"/>
      <c r="Z103" s="1031"/>
      <c r="AA103" s="1031"/>
      <c r="AB103" s="1031"/>
      <c r="AC103" s="1031"/>
      <c r="AD103" s="1031"/>
      <c r="AE103" s="1031"/>
    </row>
    <row r="104" spans="2:31">
      <c r="D104" s="1031"/>
      <c r="E104" s="1031"/>
      <c r="F104" s="1031"/>
      <c r="G104" s="1031"/>
      <c r="H104" s="1031"/>
      <c r="I104" s="1031"/>
      <c r="J104" s="1031"/>
      <c r="K104" s="1031"/>
      <c r="L104" s="1031"/>
      <c r="M104" s="1031"/>
      <c r="N104" s="1031"/>
      <c r="O104" s="1031"/>
      <c r="P104" s="1031"/>
      <c r="Q104" s="1031"/>
      <c r="R104" s="1031"/>
      <c r="S104" s="1031"/>
      <c r="T104" s="1031"/>
      <c r="U104" s="1031"/>
      <c r="V104" s="1031"/>
      <c r="W104" s="1031"/>
      <c r="X104" s="1031"/>
      <c r="Y104" s="1031"/>
      <c r="Z104" s="1031"/>
      <c r="AA104" s="1031"/>
      <c r="AB104" s="1031"/>
      <c r="AC104" s="1031"/>
      <c r="AD104" s="1031"/>
      <c r="AE104" s="1031"/>
    </row>
    <row r="106" spans="2:31" ht="17">
      <c r="B106" s="1019" t="s">
        <v>60</v>
      </c>
      <c r="C106" s="1019"/>
      <c r="D106" s="1019"/>
      <c r="E106" s="1019"/>
      <c r="F106" s="1019"/>
      <c r="G106" s="1019"/>
      <c r="H106" s="1019"/>
      <c r="I106" s="1019"/>
      <c r="J106" s="1019"/>
      <c r="K106" s="1019"/>
      <c r="L106" s="1019"/>
      <c r="M106" s="1019"/>
      <c r="N106" s="1019"/>
      <c r="O106" s="1019"/>
      <c r="P106" s="1019"/>
      <c r="Q106" s="1019"/>
      <c r="R106" s="1019"/>
      <c r="S106" s="1019"/>
      <c r="T106" s="1019"/>
      <c r="U106" s="1019"/>
      <c r="V106" s="1019"/>
      <c r="W106" s="1019"/>
      <c r="X106" s="1019"/>
      <c r="Y106" s="1019"/>
      <c r="Z106" s="1019"/>
      <c r="AA106" s="1019"/>
      <c r="AB106" s="1019"/>
      <c r="AC106" s="1019"/>
      <c r="AD106" s="1019"/>
      <c r="AE106" s="1019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&amp;CPage &amp;P&amp;R&amp;G
</oddHeader>
    <oddFooter>&amp;LPrinted on &amp;D at &amp;T&amp;RPage &amp;P of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B39BD50-3ADC-4848-986B-52D7170462F1}">
          <x14:formula1>
            <xm:f>'Misc. Items'!$C$52:$C$55</xm:f>
          </x14:formula1>
          <xm:sqref>E13</xm:sqref>
        </x14:dataValidation>
        <x14:dataValidation type="list" allowBlank="1" showInputMessage="1" showErrorMessage="1" xr:uid="{FC59304F-87A0-4828-B66A-F9A24C7C1DC3}">
          <x14:formula1>
            <xm:f>'Misc. Items'!$C$57:$C$58</xm:f>
          </x14:formula1>
          <xm:sqref>F13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EADC-B4DD-476D-8ACF-49C5F65D624B}">
  <sheetPr>
    <tabColor theme="5" tint="-0.249977111117893"/>
    <pageSetUpPr fitToPage="1"/>
  </sheetPr>
  <dimension ref="A1:T119"/>
  <sheetViews>
    <sheetView topLeftCell="A5" zoomScale="115" zoomScaleNormal="115" workbookViewId="0">
      <selection activeCell="J70" sqref="J70"/>
    </sheetView>
  </sheetViews>
  <sheetFormatPr defaultColWidth="12.54296875" defaultRowHeight="12"/>
  <cols>
    <col min="1" max="1" width="30.81640625" style="40" customWidth="1"/>
    <col min="2" max="2" width="0.453125" style="40" customWidth="1"/>
    <col min="3" max="6" width="8" style="40" customWidth="1"/>
    <col min="7" max="7" width="8" style="262" customWidth="1"/>
    <col min="8" max="9" width="9" style="250" customWidth="1"/>
    <col min="10" max="10" width="8.81640625" style="41" customWidth="1"/>
    <col min="11" max="13" width="9" style="41" customWidth="1"/>
    <col min="14" max="14" width="1.1796875" style="41" customWidth="1"/>
    <col min="15" max="16384" width="12.54296875" style="120"/>
  </cols>
  <sheetData>
    <row r="1" spans="1:20" ht="12" customHeight="1">
      <c r="A1" s="121" t="s">
        <v>863</v>
      </c>
      <c r="B1" s="121"/>
      <c r="C1" s="121"/>
      <c r="D1" s="121"/>
      <c r="E1" s="121"/>
      <c r="F1" s="121"/>
      <c r="G1" s="121"/>
      <c r="I1" s="251"/>
      <c r="J1" s="121"/>
      <c r="K1" s="121"/>
      <c r="L1" s="121"/>
      <c r="M1" s="121"/>
      <c r="N1" s="121"/>
    </row>
    <row r="2" spans="1:20" ht="12" customHeight="1">
      <c r="A2" s="1213" t="s">
        <v>864</v>
      </c>
      <c r="B2" s="43"/>
      <c r="C2" s="43"/>
      <c r="D2" s="43"/>
      <c r="E2" s="43"/>
      <c r="F2" s="43"/>
      <c r="G2" s="86"/>
    </row>
    <row r="3" spans="1:20" ht="12" customHeight="1">
      <c r="A3" s="476" t="s">
        <v>164</v>
      </c>
      <c r="B3" s="252"/>
      <c r="C3" s="252"/>
      <c r="D3" s="252"/>
      <c r="E3" s="252"/>
      <c r="F3" s="252"/>
      <c r="G3" s="253"/>
      <c r="H3" s="85"/>
      <c r="I3" s="85"/>
      <c r="J3" s="44"/>
      <c r="K3" s="44"/>
      <c r="L3" s="44"/>
      <c r="M3" s="44"/>
      <c r="N3" s="44"/>
    </row>
    <row r="4" spans="1:20" ht="12" customHeight="1">
      <c r="A4" s="398" t="s">
        <v>865</v>
      </c>
      <c r="B4" s="252"/>
      <c r="C4" s="252"/>
      <c r="D4" s="252"/>
      <c r="E4" s="252"/>
      <c r="F4" s="252"/>
      <c r="G4" s="253"/>
      <c r="H4" s="85"/>
      <c r="I4" s="85"/>
      <c r="J4" s="44"/>
      <c r="K4" s="44"/>
      <c r="L4" s="44"/>
      <c r="M4" s="44"/>
      <c r="N4" s="44"/>
    </row>
    <row r="5" spans="1:20" ht="12" customHeight="1">
      <c r="A5" s="399" t="s">
        <v>5</v>
      </c>
      <c r="B5" s="252"/>
      <c r="C5" s="252"/>
      <c r="D5" s="252"/>
      <c r="E5" s="252"/>
      <c r="F5" s="252"/>
      <c r="G5" s="253"/>
      <c r="H5" s="85"/>
      <c r="I5" s="85"/>
      <c r="J5" s="44"/>
      <c r="K5" s="44"/>
      <c r="L5" s="44"/>
      <c r="M5" s="44"/>
      <c r="N5" s="44"/>
    </row>
    <row r="6" spans="1:20" ht="12" customHeight="1">
      <c r="A6" s="43"/>
      <c r="B6" s="43"/>
      <c r="C6" s="43"/>
      <c r="D6" s="43"/>
      <c r="E6" s="43"/>
      <c r="F6" s="43"/>
      <c r="G6" s="1201" t="s">
        <v>961</v>
      </c>
    </row>
    <row r="7" spans="1:20" s="254" customFormat="1" ht="12" customHeight="1">
      <c r="C7" s="1673" t="s">
        <v>866</v>
      </c>
      <c r="D7" s="1674"/>
      <c r="E7" s="1674"/>
      <c r="F7" s="1674"/>
      <c r="G7" s="1675"/>
      <c r="H7" s="1671" t="s">
        <v>867</v>
      </c>
      <c r="I7" s="1672"/>
      <c r="J7" s="1672"/>
      <c r="K7" s="1672"/>
      <c r="L7" s="1672"/>
      <c r="M7" s="1672"/>
      <c r="N7" s="400"/>
      <c r="O7" s="1676" t="s">
        <v>868</v>
      </c>
      <c r="P7" s="1677"/>
      <c r="Q7" s="1677"/>
      <c r="R7" s="1677"/>
      <c r="S7" s="1677"/>
      <c r="T7" s="1677"/>
    </row>
    <row r="8" spans="1:20" ht="12" customHeight="1">
      <c r="A8" s="255" t="s">
        <v>20</v>
      </c>
      <c r="B8" s="255"/>
      <c r="C8" s="477">
        <f>C65</f>
        <v>99.8994</v>
      </c>
      <c r="D8" s="477">
        <f t="shared" ref="D8:M8" si="0">D65</f>
        <v>99.7</v>
      </c>
      <c r="E8" s="477">
        <f t="shared" si="0"/>
        <v>100</v>
      </c>
      <c r="F8" s="477">
        <f t="shared" si="0"/>
        <v>100.69999999999999</v>
      </c>
      <c r="G8" s="477">
        <f t="shared" si="0"/>
        <v>101.60629999999998</v>
      </c>
      <c r="H8" s="477">
        <f t="shared" si="0"/>
        <v>101.60629999999998</v>
      </c>
      <c r="I8" s="477">
        <f t="shared" si="0"/>
        <v>103.23200079999998</v>
      </c>
      <c r="J8" s="477"/>
      <c r="K8" s="477">
        <f t="shared" si="0"/>
        <v>105.19340881519997</v>
      </c>
      <c r="L8" s="477">
        <f t="shared" si="0"/>
        <v>107.29727699150398</v>
      </c>
      <c r="M8" s="477">
        <f t="shared" si="0"/>
        <v>109.44322253133406</v>
      </c>
      <c r="N8" s="257"/>
    </row>
    <row r="9" spans="1:20" s="261" customFormat="1" ht="12" customHeight="1">
      <c r="A9" s="1547" t="s">
        <v>869</v>
      </c>
      <c r="B9" s="43"/>
      <c r="C9" s="117">
        <v>2015</v>
      </c>
      <c r="D9" s="117">
        <v>2016</v>
      </c>
      <c r="E9" s="117">
        <v>2017</v>
      </c>
      <c r="F9" s="117">
        <v>2018</v>
      </c>
      <c r="G9" s="116">
        <v>2019</v>
      </c>
      <c r="H9" s="258">
        <v>2020</v>
      </c>
      <c r="I9" s="258">
        <v>2021</v>
      </c>
      <c r="J9" s="117" t="s">
        <v>16</v>
      </c>
      <c r="K9" s="117">
        <v>2022</v>
      </c>
      <c r="L9" s="117">
        <v>2023</v>
      </c>
      <c r="M9" s="116">
        <v>2024</v>
      </c>
      <c r="N9" s="119"/>
      <c r="O9" s="259">
        <v>2020</v>
      </c>
      <c r="P9" s="260">
        <v>2021</v>
      </c>
      <c r="Q9" s="117" t="s">
        <v>870</v>
      </c>
      <c r="R9" s="117">
        <v>2022</v>
      </c>
      <c r="S9" s="117">
        <v>2023</v>
      </c>
      <c r="T9" s="116">
        <v>2024</v>
      </c>
    </row>
    <row r="10" spans="1:20" ht="12" customHeight="1">
      <c r="A10" s="43"/>
      <c r="B10" s="43"/>
      <c r="C10" s="43"/>
      <c r="D10" s="43"/>
      <c r="E10" s="43"/>
      <c r="F10" s="43"/>
      <c r="G10" s="86"/>
      <c r="H10" s="262"/>
      <c r="I10" s="262"/>
      <c r="J10" s="40"/>
      <c r="K10" s="40"/>
      <c r="O10" s="262"/>
      <c r="P10" s="40"/>
      <c r="Q10" s="40"/>
      <c r="R10" s="40"/>
      <c r="S10" s="40"/>
      <c r="T10" s="40"/>
    </row>
    <row r="11" spans="1:20" ht="15.65" customHeight="1">
      <c r="A11" s="62" t="s">
        <v>871</v>
      </c>
      <c r="B11" s="62"/>
      <c r="C11" s="62"/>
      <c r="D11" s="62"/>
      <c r="E11" s="62"/>
      <c r="F11" s="62"/>
      <c r="G11" s="401"/>
      <c r="H11" s="263"/>
      <c r="I11" s="263"/>
      <c r="J11" s="61"/>
      <c r="K11" s="61"/>
      <c r="L11" s="61"/>
      <c r="M11" s="75"/>
      <c r="N11" s="75"/>
      <c r="O11" s="263"/>
      <c r="P11" s="61"/>
      <c r="Q11" s="61"/>
      <c r="R11" s="1214"/>
      <c r="S11" s="1214"/>
      <c r="T11" s="1214"/>
    </row>
    <row r="12" spans="1:20" ht="12" customHeight="1">
      <c r="A12" s="1215" t="s">
        <v>872</v>
      </c>
      <c r="B12" s="1224"/>
      <c r="C12" s="1216">
        <v>4338</v>
      </c>
      <c r="D12" s="1216">
        <v>4499</v>
      </c>
      <c r="E12" s="1216">
        <v>4638</v>
      </c>
      <c r="F12" s="1216">
        <v>3999</v>
      </c>
      <c r="G12" s="1302">
        <v>3818</v>
      </c>
      <c r="H12" s="1302">
        <f>'Met Opex'!Q56*(H$8/100)</f>
        <v>3096.0842119999993</v>
      </c>
      <c r="I12" s="1282">
        <f>'Met Opex'!R56*(I$8/100)</f>
        <v>3145.6215593920001</v>
      </c>
      <c r="J12" s="1216">
        <f>H12+I12</f>
        <v>6241.7057713919994</v>
      </c>
      <c r="K12" s="1303">
        <f>'Met Opex'!S56*(K$8/100)</f>
        <v>3149.3740801413496</v>
      </c>
      <c r="L12" s="1303">
        <f>'Met Opex'!T56*(L$8/100)</f>
        <v>3212.3615617441769</v>
      </c>
      <c r="M12" s="1303">
        <f>'Met Opex'!U56*(M$8/100)</f>
        <v>3109.3951992233219</v>
      </c>
      <c r="N12" s="402"/>
      <c r="O12" s="1302">
        <v>3096.0839999999998</v>
      </c>
      <c r="P12" s="1221"/>
      <c r="Q12" s="1221"/>
      <c r="R12" s="1222"/>
      <c r="S12" s="1221"/>
      <c r="T12" s="1223"/>
    </row>
    <row r="13" spans="1:20" ht="12" customHeight="1">
      <c r="A13" s="74" t="s">
        <v>873</v>
      </c>
      <c r="B13" s="74"/>
      <c r="C13" s="125"/>
      <c r="D13" s="125"/>
      <c r="E13" s="125"/>
      <c r="F13" s="137"/>
      <c r="G13" s="403"/>
      <c r="H13" s="925">
        <f>'Met Opex'!Q57*(H$8/100)</f>
        <v>276.87767199999996</v>
      </c>
      <c r="I13" s="289">
        <f>'Met Opex'!R57*(I$8/100)</f>
        <v>281.30771475199998</v>
      </c>
      <c r="J13" s="65">
        <f>H13+I13</f>
        <v>558.18538675199989</v>
      </c>
      <c r="K13" s="404">
        <f>'Met Opex'!S57*(K$8/100)</f>
        <v>281.82223042502397</v>
      </c>
      <c r="L13" s="404">
        <f>'Met Opex'!T57*(L$8/100)</f>
        <v>268.60930314781939</v>
      </c>
      <c r="M13" s="405">
        <f>'Met Opex'!U57*(M$8/100)</f>
        <v>273.98148921077581</v>
      </c>
      <c r="N13" s="402"/>
      <c r="O13" s="925">
        <v>276.87799999999999</v>
      </c>
      <c r="P13" s="134"/>
      <c r="Q13" s="134"/>
      <c r="R13" s="135"/>
      <c r="S13" s="134"/>
      <c r="T13" s="133"/>
    </row>
    <row r="14" spans="1:20" ht="12" customHeight="1">
      <c r="A14" s="74" t="s">
        <v>874</v>
      </c>
      <c r="B14" s="74"/>
      <c r="C14" s="114">
        <v>2154</v>
      </c>
      <c r="D14" s="114">
        <v>3099</v>
      </c>
      <c r="E14" s="114">
        <v>3158</v>
      </c>
      <c r="F14" s="114">
        <v>3182</v>
      </c>
      <c r="G14" s="1302">
        <v>6512</v>
      </c>
      <c r="H14" s="919">
        <f>'Met Opex'!Q89*(H$8/100)</f>
        <v>1891.4956159999999</v>
      </c>
      <c r="I14" s="406">
        <f>'Met Opex'!R89*(I$8/100)</f>
        <v>1952.5056647040001</v>
      </c>
      <c r="J14" s="114">
        <f>H14+I14</f>
        <v>3844.0012807040002</v>
      </c>
      <c r="K14" s="407">
        <f>'Met Opex'!S89*(K$8/100)</f>
        <v>1969.3710385505276</v>
      </c>
      <c r="L14" s="407">
        <f>'Met Opex'!T89*(L$8/100)</f>
        <v>2048.9326056143655</v>
      </c>
      <c r="M14" s="408">
        <f>'Met Opex'!U89*(M$8/100)</f>
        <v>2131.706178934845</v>
      </c>
      <c r="N14" s="402"/>
      <c r="O14" s="919">
        <v>1891.4960000000001</v>
      </c>
      <c r="P14" s="142"/>
      <c r="Q14" s="142"/>
      <c r="R14" s="143"/>
      <c r="S14" s="142"/>
      <c r="T14" s="141"/>
    </row>
    <row r="15" spans="1:20" ht="12" customHeight="1">
      <c r="A15" s="74" t="s">
        <v>875</v>
      </c>
      <c r="B15" s="74"/>
      <c r="C15" s="114"/>
      <c r="D15" s="114"/>
      <c r="E15" s="114"/>
      <c r="F15" s="114"/>
      <c r="G15" s="113"/>
      <c r="H15" s="919">
        <f>'MET Capex'!X87</f>
        <v>428.84387700000008</v>
      </c>
      <c r="I15" s="406">
        <f>'MET Capex'!Y87</f>
        <v>428.84387700000008</v>
      </c>
      <c r="J15" s="114">
        <f>H15+I15</f>
        <v>857.68775400000015</v>
      </c>
      <c r="K15" s="407">
        <f>'MET Capex'!Z87</f>
        <v>681.56506300000012</v>
      </c>
      <c r="L15" s="407">
        <f>'MET Capex'!AA87</f>
        <v>970.40026300000011</v>
      </c>
      <c r="M15" s="408">
        <f>'MET Capex'!AB87</f>
        <v>628.16800000000012</v>
      </c>
      <c r="N15" s="402"/>
      <c r="O15" s="919">
        <v>428.84399999999999</v>
      </c>
      <c r="P15" s="142"/>
      <c r="Q15" s="142"/>
      <c r="R15" s="143"/>
      <c r="S15" s="142"/>
      <c r="T15" s="141"/>
    </row>
    <row r="16" spans="1:20" ht="12" customHeight="1">
      <c r="A16" s="74" t="s">
        <v>876</v>
      </c>
      <c r="B16" s="74"/>
      <c r="C16" s="114"/>
      <c r="D16" s="114"/>
      <c r="E16" s="114"/>
      <c r="F16" s="114"/>
      <c r="G16" s="113"/>
      <c r="H16" s="919"/>
      <c r="I16" s="406"/>
      <c r="J16" s="114"/>
      <c r="K16" s="407"/>
      <c r="L16" s="407"/>
      <c r="M16" s="408"/>
      <c r="N16" s="402"/>
      <c r="O16" s="919">
        <v>0</v>
      </c>
      <c r="P16" s="142"/>
      <c r="Q16" s="142"/>
      <c r="R16" s="143"/>
      <c r="S16" s="114"/>
      <c r="T16" s="113"/>
    </row>
    <row r="17" spans="1:20" ht="12" customHeight="1">
      <c r="A17" s="74" t="s">
        <v>877</v>
      </c>
      <c r="B17" s="74"/>
      <c r="C17" s="114"/>
      <c r="D17" s="114"/>
      <c r="E17" s="114"/>
      <c r="F17" s="114"/>
      <c r="G17" s="114"/>
      <c r="H17" s="919">
        <f>'Met Opex'!Q107*(H$8/100)</f>
        <v>1210.8</v>
      </c>
      <c r="I17" s="406">
        <f>'Met Opex'!R107*(I$8/100)</f>
        <v>1006.7734195199999</v>
      </c>
      <c r="J17" s="114">
        <f>H17+I17</f>
        <v>2217.5734195199998</v>
      </c>
      <c r="K17" s="407">
        <f>'Met Opex'!S107*(K$8/100)</f>
        <v>1025.9021144908797</v>
      </c>
      <c r="L17" s="407">
        <f>'Met Opex'!T107*(L$8/100)</f>
        <v>1046.4201567806974</v>
      </c>
      <c r="M17" s="408">
        <f>'Met Opex'!U107*(M$8/100)</f>
        <v>1067.3485599163114</v>
      </c>
      <c r="N17" s="402"/>
      <c r="O17" s="919">
        <v>1210.8</v>
      </c>
      <c r="P17" s="142"/>
      <c r="Q17" s="142"/>
      <c r="R17" s="143"/>
      <c r="S17" s="142"/>
      <c r="T17" s="141"/>
    </row>
    <row r="18" spans="1:20" ht="12" customHeight="1">
      <c r="A18" s="111" t="s">
        <v>878</v>
      </c>
      <c r="B18" s="73"/>
      <c r="C18" s="81">
        <f>SUM(C12:C17)</f>
        <v>6492</v>
      </c>
      <c r="D18" s="81">
        <f>SUM(D12:D17)</f>
        <v>7598</v>
      </c>
      <c r="E18" s="81">
        <f>SUM(E12:E17)</f>
        <v>7796</v>
      </c>
      <c r="F18" s="81">
        <f>F12+SUM(F14:F17)</f>
        <v>7181</v>
      </c>
      <c r="G18" s="272">
        <f t="shared" ref="G18:M18" si="1">G12+SUM(G14:G17)</f>
        <v>10330</v>
      </c>
      <c r="H18" s="920">
        <f t="shared" si="1"/>
        <v>6627.2237049999985</v>
      </c>
      <c r="I18" s="271">
        <f t="shared" si="1"/>
        <v>6533.744520616001</v>
      </c>
      <c r="J18" s="81">
        <f>J12+SUM(J14:J17)</f>
        <v>13160.968225616001</v>
      </c>
      <c r="K18" s="272">
        <f t="shared" si="1"/>
        <v>6826.2122961827572</v>
      </c>
      <c r="L18" s="272">
        <f t="shared" si="1"/>
        <v>7278.11458713924</v>
      </c>
      <c r="M18" s="270">
        <f t="shared" si="1"/>
        <v>6936.6179380744779</v>
      </c>
      <c r="N18" s="402"/>
      <c r="O18" s="920">
        <v>6627.2240000000002</v>
      </c>
      <c r="P18" s="81"/>
      <c r="Q18" s="81"/>
      <c r="R18" s="81"/>
      <c r="S18" s="81"/>
      <c r="T18" s="80"/>
    </row>
    <row r="19" spans="1:20" ht="12" customHeight="1">
      <c r="A19" s="109" t="s">
        <v>879</v>
      </c>
      <c r="B19" s="68"/>
      <c r="C19" s="71"/>
      <c r="D19" s="71">
        <f t="shared" ref="D19:I19" si="2">+D18/C18-1</f>
        <v>0.17036352433764623</v>
      </c>
      <c r="E19" s="71">
        <f t="shared" si="2"/>
        <v>2.6059489339299802E-2</v>
      </c>
      <c r="F19" s="71">
        <f t="shared" si="2"/>
        <v>-7.8886608517188317E-2</v>
      </c>
      <c r="G19" s="273">
        <f t="shared" si="2"/>
        <v>0.43851831221278381</v>
      </c>
      <c r="H19" s="921">
        <f t="shared" si="2"/>
        <v>-0.35844881848983556</v>
      </c>
      <c r="I19" s="274">
        <f t="shared" si="2"/>
        <v>-1.4105331062458482E-2</v>
      </c>
      <c r="J19" s="275"/>
      <c r="K19" s="276">
        <f>+K18/I18-1</f>
        <v>4.4762658632263586E-2</v>
      </c>
      <c r="L19" s="276">
        <f>+L18/K18-1</f>
        <v>6.6201030871716027E-2</v>
      </c>
      <c r="M19" s="273">
        <f>+M18/L18-1</f>
        <v>-4.6921032222850934E-2</v>
      </c>
      <c r="N19" s="402"/>
      <c r="O19" s="921">
        <v>-2.6750940556808933E-3</v>
      </c>
      <c r="P19" s="71"/>
      <c r="Q19" s="71"/>
      <c r="R19" s="71"/>
      <c r="S19" s="71"/>
      <c r="T19" s="70"/>
    </row>
    <row r="20" spans="1:20" ht="12" customHeight="1">
      <c r="A20" s="68"/>
      <c r="B20" s="68"/>
      <c r="C20" s="68"/>
      <c r="D20" s="68"/>
      <c r="E20" s="68"/>
      <c r="F20" s="68"/>
      <c r="G20" s="409"/>
      <c r="H20" s="945"/>
      <c r="I20" s="945"/>
      <c r="J20" s="67"/>
      <c r="K20" s="410"/>
      <c r="L20" s="410"/>
      <c r="M20" s="410"/>
      <c r="N20" s="402"/>
      <c r="O20" s="945"/>
      <c r="P20" s="67"/>
      <c r="Q20" s="67"/>
      <c r="R20" s="67"/>
      <c r="S20" s="67"/>
      <c r="T20" s="67"/>
    </row>
    <row r="21" spans="1:20" ht="15.65" customHeight="1">
      <c r="A21" s="62" t="s">
        <v>880</v>
      </c>
      <c r="B21" s="62"/>
      <c r="C21" s="62"/>
      <c r="D21" s="62"/>
      <c r="E21" s="62"/>
      <c r="F21" s="62"/>
      <c r="G21" s="411"/>
      <c r="H21" s="946"/>
      <c r="I21" s="946"/>
      <c r="J21" s="61"/>
      <c r="K21" s="412"/>
      <c r="L21" s="412"/>
      <c r="M21" s="413"/>
      <c r="N21" s="402"/>
      <c r="O21" s="946"/>
      <c r="P21" s="61"/>
      <c r="Q21" s="61"/>
      <c r="R21" s="1214"/>
      <c r="S21" s="1214"/>
      <c r="T21" s="1214"/>
    </row>
    <row r="22" spans="1:20" ht="12" customHeight="1">
      <c r="A22" s="1224" t="s">
        <v>881</v>
      </c>
      <c r="B22" s="74"/>
      <c r="C22" s="1252"/>
      <c r="D22" s="1252"/>
      <c r="E22" s="1252"/>
      <c r="F22" s="1304"/>
      <c r="G22" s="1305"/>
      <c r="H22" s="1306"/>
      <c r="I22" s="1307"/>
      <c r="J22" s="1304"/>
      <c r="K22" s="1304"/>
      <c r="L22" s="1304"/>
      <c r="M22" s="1308"/>
      <c r="N22" s="402"/>
      <c r="O22" s="1306"/>
      <c r="P22" s="1232"/>
      <c r="Q22" s="1232"/>
      <c r="R22" s="1233"/>
      <c r="S22" s="1232"/>
      <c r="T22" s="1234"/>
    </row>
    <row r="23" spans="1:20" ht="12" customHeight="1">
      <c r="A23" s="57" t="s">
        <v>882</v>
      </c>
      <c r="B23" s="74"/>
      <c r="C23" s="125"/>
      <c r="D23" s="125"/>
      <c r="E23" s="125"/>
      <c r="F23" s="137"/>
      <c r="G23" s="414"/>
      <c r="H23" s="947"/>
      <c r="I23" s="415"/>
      <c r="J23" s="137"/>
      <c r="K23" s="137"/>
      <c r="L23" s="137"/>
      <c r="M23" s="136"/>
      <c r="N23" s="402"/>
      <c r="O23" s="947"/>
      <c r="P23" s="134"/>
      <c r="Q23" s="134"/>
      <c r="R23" s="135"/>
      <c r="S23" s="134"/>
      <c r="T23" s="133"/>
    </row>
    <row r="24" spans="1:20" ht="12" customHeight="1">
      <c r="A24" s="57" t="s">
        <v>883</v>
      </c>
      <c r="B24" s="74"/>
      <c r="C24" s="125"/>
      <c r="D24" s="125"/>
      <c r="E24" s="125"/>
      <c r="F24" s="137"/>
      <c r="G24" s="414"/>
      <c r="H24" s="947"/>
      <c r="I24" s="415"/>
      <c r="J24" s="137"/>
      <c r="K24" s="137"/>
      <c r="L24" s="137"/>
      <c r="M24" s="136"/>
      <c r="N24" s="402"/>
      <c r="O24" s="947"/>
      <c r="P24" s="134"/>
      <c r="Q24" s="134"/>
      <c r="R24" s="135"/>
      <c r="S24" s="134"/>
      <c r="T24" s="133"/>
    </row>
    <row r="25" spans="1:20" ht="12" customHeight="1">
      <c r="A25" s="57" t="s">
        <v>884</v>
      </c>
      <c r="B25" s="74"/>
      <c r="C25" s="125"/>
      <c r="D25" s="125"/>
      <c r="E25" s="125"/>
      <c r="F25" s="137"/>
      <c r="G25" s="414"/>
      <c r="H25" s="947"/>
      <c r="I25" s="415"/>
      <c r="J25" s="137"/>
      <c r="K25" s="137"/>
      <c r="L25" s="137"/>
      <c r="M25" s="136"/>
      <c r="N25" s="402"/>
      <c r="O25" s="947"/>
      <c r="P25" s="134"/>
      <c r="Q25" s="134"/>
      <c r="R25" s="135"/>
      <c r="S25" s="134"/>
      <c r="T25" s="133"/>
    </row>
    <row r="26" spans="1:20" ht="12" customHeight="1">
      <c r="A26" s="57" t="s">
        <v>885</v>
      </c>
      <c r="B26" s="74"/>
      <c r="C26" s="125"/>
      <c r="D26" s="125"/>
      <c r="E26" s="125"/>
      <c r="F26" s="137"/>
      <c r="G26" s="414"/>
      <c r="H26" s="947"/>
      <c r="I26" s="415"/>
      <c r="J26" s="137"/>
      <c r="K26" s="137"/>
      <c r="L26" s="137"/>
      <c r="M26" s="136"/>
      <c r="N26" s="402"/>
      <c r="O26" s="947"/>
      <c r="P26" s="134"/>
      <c r="Q26" s="134"/>
      <c r="R26" s="135"/>
      <c r="S26" s="134"/>
      <c r="T26" s="133"/>
    </row>
    <row r="27" spans="1:20" ht="12" customHeight="1">
      <c r="A27" s="57" t="s">
        <v>886</v>
      </c>
      <c r="B27" s="74"/>
      <c r="C27" s="125"/>
      <c r="D27" s="125"/>
      <c r="E27" s="125"/>
      <c r="F27" s="137"/>
      <c r="G27" s="414"/>
      <c r="H27" s="947"/>
      <c r="I27" s="415"/>
      <c r="J27" s="137"/>
      <c r="K27" s="137"/>
      <c r="L27" s="137"/>
      <c r="M27" s="136"/>
      <c r="N27" s="402"/>
      <c r="O27" s="947"/>
      <c r="P27" s="134"/>
      <c r="Q27" s="134"/>
      <c r="R27" s="135"/>
      <c r="S27" s="134"/>
      <c r="T27" s="133"/>
    </row>
    <row r="28" spans="1:20" ht="12" customHeight="1">
      <c r="A28" s="57" t="s">
        <v>887</v>
      </c>
      <c r="B28" s="74"/>
      <c r="C28" s="65">
        <f t="shared" ref="C28:M28" si="3">C18</f>
        <v>6492</v>
      </c>
      <c r="D28" s="65">
        <f t="shared" si="3"/>
        <v>7598</v>
      </c>
      <c r="E28" s="65">
        <f t="shared" si="3"/>
        <v>7796</v>
      </c>
      <c r="F28" s="65">
        <f t="shared" si="3"/>
        <v>7181</v>
      </c>
      <c r="G28" s="269">
        <f t="shared" si="3"/>
        <v>10330</v>
      </c>
      <c r="H28" s="925">
        <f t="shared" si="3"/>
        <v>6627.2237049999985</v>
      </c>
      <c r="I28" s="289">
        <f t="shared" si="3"/>
        <v>6533.744520616001</v>
      </c>
      <c r="J28" s="65">
        <f t="shared" si="3"/>
        <v>13160.968225616001</v>
      </c>
      <c r="K28" s="404">
        <f t="shared" si="3"/>
        <v>6826.2122961827572</v>
      </c>
      <c r="L28" s="404">
        <f t="shared" si="3"/>
        <v>7278.11458713924</v>
      </c>
      <c r="M28" s="405">
        <f t="shared" si="3"/>
        <v>6936.6179380744779</v>
      </c>
      <c r="N28" s="402"/>
      <c r="O28" s="925">
        <v>6627.2240000000002</v>
      </c>
      <c r="P28" s="134"/>
      <c r="Q28" s="134"/>
      <c r="R28" s="135"/>
      <c r="S28" s="134"/>
      <c r="T28" s="133"/>
    </row>
    <row r="29" spans="1:20" ht="12" customHeight="1">
      <c r="A29" s="57" t="s">
        <v>888</v>
      </c>
      <c r="B29" s="74"/>
      <c r="C29" s="125"/>
      <c r="D29" s="125"/>
      <c r="E29" s="125"/>
      <c r="F29" s="137"/>
      <c r="G29" s="416"/>
      <c r="H29" s="918"/>
      <c r="I29" s="417"/>
      <c r="J29" s="125"/>
      <c r="K29" s="403"/>
      <c r="L29" s="403"/>
      <c r="M29" s="264"/>
      <c r="N29" s="402"/>
      <c r="O29" s="918"/>
      <c r="P29" s="137"/>
      <c r="Q29" s="137"/>
      <c r="R29" s="138"/>
      <c r="S29" s="137"/>
      <c r="T29" s="136"/>
    </row>
    <row r="30" spans="1:20" ht="12" customHeight="1">
      <c r="A30" s="57" t="s">
        <v>889</v>
      </c>
      <c r="B30" s="74"/>
      <c r="C30" s="125"/>
      <c r="D30" s="125"/>
      <c r="E30" s="125"/>
      <c r="F30" s="137"/>
      <c r="G30" s="416"/>
      <c r="H30" s="918"/>
      <c r="I30" s="417"/>
      <c r="J30" s="125"/>
      <c r="K30" s="403"/>
      <c r="L30" s="403"/>
      <c r="M30" s="264"/>
      <c r="N30" s="402"/>
      <c r="O30" s="918"/>
      <c r="P30" s="137"/>
      <c r="Q30" s="137"/>
      <c r="R30" s="138"/>
      <c r="S30" s="137"/>
      <c r="T30" s="136"/>
    </row>
    <row r="31" spans="1:20" s="295" customFormat="1" ht="12" customHeight="1">
      <c r="A31" s="112" t="s">
        <v>890</v>
      </c>
      <c r="B31" s="111"/>
      <c r="C31" s="81">
        <f>SUM(C22:C30)</f>
        <v>6492</v>
      </c>
      <c r="D31" s="81">
        <f>SUM(D22:D30)</f>
        <v>7598</v>
      </c>
      <c r="E31" s="81">
        <f>SUM(E22:E30)</f>
        <v>7796</v>
      </c>
      <c r="F31" s="81">
        <f>SUM(F22:F30)</f>
        <v>7181</v>
      </c>
      <c r="G31" s="270">
        <f t="shared" ref="G31:M31" si="4">SUM(G22:G30)</f>
        <v>10330</v>
      </c>
      <c r="H31" s="920">
        <f t="shared" si="4"/>
        <v>6627.2237049999985</v>
      </c>
      <c r="I31" s="271">
        <f t="shared" si="4"/>
        <v>6533.744520616001</v>
      </c>
      <c r="J31" s="81">
        <f t="shared" si="4"/>
        <v>13160.968225616001</v>
      </c>
      <c r="K31" s="272">
        <f t="shared" si="4"/>
        <v>6826.2122961827572</v>
      </c>
      <c r="L31" s="272">
        <f t="shared" si="4"/>
        <v>7278.11458713924</v>
      </c>
      <c r="M31" s="270">
        <f t="shared" si="4"/>
        <v>6936.6179380744779</v>
      </c>
      <c r="N31" s="402"/>
      <c r="O31" s="920">
        <v>6627.2240000000002</v>
      </c>
      <c r="P31" s="81"/>
      <c r="Q31" s="81"/>
      <c r="R31" s="81"/>
      <c r="S31" s="81"/>
      <c r="T31" s="80"/>
    </row>
    <row r="32" spans="1:20" ht="12" customHeight="1">
      <c r="A32" s="109" t="s">
        <v>879</v>
      </c>
      <c r="B32" s="418"/>
      <c r="C32" s="71"/>
      <c r="D32" s="71">
        <f t="shared" ref="D32:I32" si="5">+D31/C31-1</f>
        <v>0.17036352433764623</v>
      </c>
      <c r="E32" s="71">
        <f t="shared" si="5"/>
        <v>2.6059489339299802E-2</v>
      </c>
      <c r="F32" s="71">
        <f t="shared" si="5"/>
        <v>-7.8886608517188317E-2</v>
      </c>
      <c r="G32" s="273">
        <f t="shared" si="5"/>
        <v>0.43851831221278381</v>
      </c>
      <c r="H32" s="921">
        <f t="shared" si="5"/>
        <v>-0.35844881848983556</v>
      </c>
      <c r="I32" s="274">
        <f t="shared" si="5"/>
        <v>-1.4105331062458482E-2</v>
      </c>
      <c r="J32" s="275"/>
      <c r="K32" s="276">
        <f>+K31/I31-1</f>
        <v>4.4762658632263586E-2</v>
      </c>
      <c r="L32" s="276">
        <f>+L31/K31-1</f>
        <v>6.6201030871716027E-2</v>
      </c>
      <c r="M32" s="273">
        <f>+M31/L31-1</f>
        <v>-4.6921032222850934E-2</v>
      </c>
      <c r="N32" s="402"/>
      <c r="O32" s="921">
        <v>-2.6750940556808933E-3</v>
      </c>
      <c r="P32" s="71"/>
      <c r="Q32" s="71"/>
      <c r="R32" s="71"/>
      <c r="S32" s="71"/>
      <c r="T32" s="70"/>
    </row>
    <row r="33" spans="1:20" ht="12" customHeight="1">
      <c r="A33" s="68"/>
      <c r="B33" s="69"/>
      <c r="C33" s="69"/>
      <c r="D33" s="69"/>
      <c r="E33" s="69"/>
      <c r="F33" s="69"/>
      <c r="G33" s="902"/>
      <c r="H33" s="902"/>
      <c r="I33" s="902"/>
      <c r="J33" s="69"/>
      <c r="K33" s="419"/>
      <c r="L33" s="419"/>
      <c r="M33" s="419"/>
      <c r="N33" s="402"/>
      <c r="O33" s="902"/>
      <c r="P33" s="69"/>
      <c r="Q33" s="69"/>
      <c r="R33" s="67"/>
      <c r="S33" s="67"/>
      <c r="T33" s="67"/>
    </row>
    <row r="34" spans="1:20" ht="15.65" customHeight="1">
      <c r="A34" s="62" t="s">
        <v>891</v>
      </c>
      <c r="B34" s="62"/>
      <c r="C34" s="62"/>
      <c r="D34" s="62"/>
      <c r="E34" s="62"/>
      <c r="F34" s="62"/>
      <c r="G34" s="420"/>
      <c r="H34" s="946"/>
      <c r="I34" s="946"/>
      <c r="J34" s="61"/>
      <c r="K34" s="412"/>
      <c r="L34" s="412"/>
      <c r="M34" s="413"/>
      <c r="N34" s="402"/>
      <c r="O34" s="946"/>
      <c r="P34" s="61"/>
      <c r="Q34" s="61"/>
      <c r="R34" s="61"/>
      <c r="S34" s="61"/>
      <c r="T34" s="61"/>
    </row>
    <row r="35" spans="1:20" ht="12" customHeight="1">
      <c r="A35" s="62" t="s">
        <v>892</v>
      </c>
      <c r="B35" s="62"/>
      <c r="C35" s="62"/>
      <c r="D35" s="62"/>
      <c r="E35" s="62"/>
      <c r="F35" s="62"/>
      <c r="G35" s="420"/>
      <c r="H35" s="946"/>
      <c r="I35" s="946"/>
      <c r="J35" s="61"/>
      <c r="K35" s="412"/>
      <c r="L35" s="412"/>
      <c r="M35" s="412"/>
      <c r="N35" s="402"/>
      <c r="O35" s="946"/>
      <c r="P35" s="61"/>
      <c r="Q35" s="61"/>
      <c r="R35" s="61"/>
      <c r="S35" s="61"/>
      <c r="T35" s="61"/>
    </row>
    <row r="36" spans="1:20" s="257" customFormat="1" ht="12" customHeight="1">
      <c r="A36" s="1235" t="s">
        <v>893</v>
      </c>
      <c r="B36" s="59"/>
      <c r="C36" s="1236"/>
      <c r="D36" s="1236"/>
      <c r="E36" s="1236"/>
      <c r="F36" s="1236"/>
      <c r="G36" s="1225"/>
      <c r="H36" s="1297">
        <v>0</v>
      </c>
      <c r="I36" s="1297">
        <v>0</v>
      </c>
      <c r="J36" s="1252"/>
      <c r="K36" s="1298">
        <v>0</v>
      </c>
      <c r="L36" s="1298">
        <v>0</v>
      </c>
      <c r="M36" s="1299">
        <v>0</v>
      </c>
      <c r="N36" s="402"/>
      <c r="O36" s="1231">
        <v>0</v>
      </c>
      <c r="P36" s="1232"/>
      <c r="Q36" s="1232"/>
      <c r="R36" s="1233"/>
      <c r="S36" s="1232"/>
      <c r="T36" s="1234"/>
    </row>
    <row r="37" spans="1:20" s="257" customFormat="1" ht="12" customHeight="1">
      <c r="A37" s="298" t="s">
        <v>894</v>
      </c>
      <c r="B37" s="59"/>
      <c r="C37" s="65"/>
      <c r="D37" s="65"/>
      <c r="E37" s="65"/>
      <c r="F37" s="134"/>
      <c r="G37" s="404"/>
      <c r="H37" s="925">
        <v>0</v>
      </c>
      <c r="I37" s="289">
        <v>0</v>
      </c>
      <c r="J37" s="125"/>
      <c r="K37" s="404">
        <v>0</v>
      </c>
      <c r="L37" s="404">
        <v>0</v>
      </c>
      <c r="M37" s="405">
        <v>0</v>
      </c>
      <c r="N37" s="402"/>
      <c r="O37" s="925">
        <v>0</v>
      </c>
      <c r="P37" s="134"/>
      <c r="Q37" s="134"/>
      <c r="R37" s="135"/>
      <c r="S37" s="134"/>
      <c r="T37" s="133"/>
    </row>
    <row r="38" spans="1:20" s="257" customFormat="1" ht="12" customHeight="1">
      <c r="A38" s="298" t="s">
        <v>895</v>
      </c>
      <c r="B38" s="59"/>
      <c r="C38" s="65"/>
      <c r="D38" s="65"/>
      <c r="E38" s="65"/>
      <c r="F38" s="134"/>
      <c r="G38" s="404"/>
      <c r="H38" s="925">
        <v>0</v>
      </c>
      <c r="I38" s="289">
        <v>0</v>
      </c>
      <c r="J38" s="125"/>
      <c r="K38" s="404">
        <v>0</v>
      </c>
      <c r="L38" s="404">
        <v>0</v>
      </c>
      <c r="M38" s="405">
        <v>0</v>
      </c>
      <c r="N38" s="402"/>
      <c r="O38" s="925">
        <v>0</v>
      </c>
      <c r="P38" s="134"/>
      <c r="Q38" s="134"/>
      <c r="R38" s="135"/>
      <c r="S38" s="134"/>
      <c r="T38" s="133"/>
    </row>
    <row r="39" spans="1:20" s="257" customFormat="1" ht="12" customHeight="1">
      <c r="A39" s="301" t="s">
        <v>896</v>
      </c>
      <c r="B39" s="59"/>
      <c r="C39" s="96"/>
      <c r="D39" s="96"/>
      <c r="E39" s="96"/>
      <c r="F39" s="96"/>
      <c r="G39" s="302"/>
      <c r="H39" s="928">
        <f t="shared" ref="H39:M39" si="6">SUM(H36:H38)</f>
        <v>0</v>
      </c>
      <c r="I39" s="303">
        <f t="shared" si="6"/>
        <v>0</v>
      </c>
      <c r="J39" s="304"/>
      <c r="K39" s="302">
        <f t="shared" si="6"/>
        <v>0</v>
      </c>
      <c r="L39" s="302">
        <f t="shared" si="6"/>
        <v>0</v>
      </c>
      <c r="M39" s="305">
        <f t="shared" si="6"/>
        <v>0</v>
      </c>
      <c r="N39" s="402"/>
      <c r="O39" s="928">
        <v>0</v>
      </c>
      <c r="P39" s="96"/>
      <c r="Q39" s="96"/>
      <c r="R39" s="96"/>
      <c r="S39" s="96"/>
      <c r="T39" s="98"/>
    </row>
    <row r="40" spans="1:20" ht="12" customHeight="1">
      <c r="A40" s="62" t="s">
        <v>897</v>
      </c>
      <c r="B40" s="62"/>
      <c r="C40" s="62"/>
      <c r="D40" s="62"/>
      <c r="E40" s="62"/>
      <c r="F40" s="62"/>
      <c r="G40" s="420"/>
      <c r="H40" s="948"/>
      <c r="I40" s="948"/>
      <c r="J40" s="60"/>
      <c r="K40" s="421"/>
      <c r="L40" s="421"/>
      <c r="M40" s="421"/>
      <c r="N40" s="402"/>
      <c r="O40" s="948"/>
      <c r="P40" s="60"/>
      <c r="Q40" s="60"/>
      <c r="R40" s="1238"/>
      <c r="S40" s="1238"/>
      <c r="T40" s="1238"/>
    </row>
    <row r="41" spans="1:20" s="257" customFormat="1" ht="12" customHeight="1">
      <c r="A41" s="1239" t="s">
        <v>898</v>
      </c>
      <c r="B41" s="59"/>
      <c r="C41" s="1240"/>
      <c r="D41" s="1240"/>
      <c r="E41" s="1240"/>
      <c r="F41" s="1240"/>
      <c r="G41" s="1240"/>
      <c r="H41" s="1246"/>
      <c r="I41" s="1309"/>
      <c r="J41" s="1252"/>
      <c r="K41" s="1241"/>
      <c r="L41" s="1241"/>
      <c r="M41" s="1310"/>
      <c r="N41" s="402"/>
      <c r="O41" s="1246" t="e">
        <v>#DIV/0!</v>
      </c>
      <c r="P41" s="1240"/>
      <c r="Q41" s="1240"/>
      <c r="R41" s="1247"/>
      <c r="S41" s="1248"/>
      <c r="T41" s="1249"/>
    </row>
    <row r="42" spans="1:20" s="257" customFormat="1" ht="12" customHeight="1">
      <c r="A42" s="64" t="s">
        <v>899</v>
      </c>
      <c r="B42" s="59"/>
      <c r="C42" s="307"/>
      <c r="D42" s="307"/>
      <c r="E42" s="307"/>
      <c r="F42" s="307"/>
      <c r="G42" s="307"/>
      <c r="H42" s="930"/>
      <c r="I42" s="895"/>
      <c r="J42" s="125"/>
      <c r="K42" s="310"/>
      <c r="L42" s="310"/>
      <c r="M42" s="311"/>
      <c r="N42" s="402"/>
      <c r="O42" s="930">
        <v>0</v>
      </c>
      <c r="P42" s="314"/>
      <c r="Q42" s="314"/>
      <c r="R42" s="423"/>
      <c r="S42" s="312"/>
      <c r="T42" s="313"/>
    </row>
    <row r="43" spans="1:20" s="257" customFormat="1" ht="12" customHeight="1">
      <c r="A43" s="64" t="s">
        <v>900</v>
      </c>
      <c r="B43" s="59"/>
      <c r="C43" s="307"/>
      <c r="D43" s="307"/>
      <c r="E43" s="307"/>
      <c r="F43" s="314"/>
      <c r="G43" s="307"/>
      <c r="H43" s="930"/>
      <c r="I43" s="895"/>
      <c r="J43" s="125"/>
      <c r="K43" s="310"/>
      <c r="L43" s="310"/>
      <c r="M43" s="311"/>
      <c r="N43" s="402"/>
      <c r="O43" s="930">
        <v>0</v>
      </c>
      <c r="P43" s="314"/>
      <c r="Q43" s="314"/>
      <c r="R43" s="423"/>
      <c r="S43" s="312"/>
      <c r="T43" s="313"/>
    </row>
    <row r="44" spans="1:20" s="257" customFormat="1" ht="12" customHeight="1">
      <c r="A44" s="63" t="s">
        <v>901</v>
      </c>
      <c r="B44" s="59"/>
      <c r="C44" s="315"/>
      <c r="D44" s="315"/>
      <c r="E44" s="315"/>
      <c r="F44" s="315"/>
      <c r="G44" s="315"/>
      <c r="H44" s="931"/>
      <c r="I44" s="317"/>
      <c r="J44" s="304"/>
      <c r="K44" s="318"/>
      <c r="L44" s="318"/>
      <c r="M44" s="319"/>
      <c r="N44" s="402"/>
      <c r="O44" s="931">
        <v>0</v>
      </c>
      <c r="P44" s="425"/>
      <c r="Q44" s="425"/>
      <c r="R44" s="426"/>
      <c r="S44" s="320"/>
      <c r="T44" s="1250"/>
    </row>
    <row r="45" spans="1:20" s="257" customFormat="1" ht="5.5" customHeight="1">
      <c r="A45" s="61"/>
      <c r="B45" s="44"/>
      <c r="C45" s="44"/>
      <c r="D45" s="44"/>
      <c r="E45" s="44"/>
      <c r="F45" s="44"/>
      <c r="G45" s="427"/>
      <c r="H45" s="949"/>
      <c r="I45" s="949"/>
      <c r="J45" s="322"/>
      <c r="K45" s="428"/>
      <c r="L45" s="428"/>
      <c r="M45" s="428"/>
      <c r="N45" s="402"/>
      <c r="O45" s="949"/>
      <c r="P45" s="322"/>
      <c r="Q45" s="322"/>
      <c r="R45" s="503"/>
      <c r="S45" s="325"/>
      <c r="T45" s="325"/>
    </row>
    <row r="46" spans="1:20" s="328" customFormat="1" ht="12" customHeight="1">
      <c r="A46" s="55" t="s">
        <v>902</v>
      </c>
      <c r="B46" s="44"/>
      <c r="C46" s="44"/>
      <c r="D46" s="44"/>
      <c r="E46" s="44"/>
      <c r="F46" s="44"/>
      <c r="G46" s="427"/>
      <c r="H46" s="950"/>
      <c r="I46" s="950"/>
      <c r="J46" s="47"/>
      <c r="K46" s="429"/>
      <c r="L46" s="429"/>
      <c r="M46" s="429"/>
      <c r="N46" s="402"/>
      <c r="O46" s="950"/>
      <c r="P46" s="47"/>
      <c r="Q46" s="47"/>
      <c r="R46" s="108"/>
      <c r="S46" s="108"/>
      <c r="T46" s="108"/>
    </row>
    <row r="47" spans="1:20" s="327" customFormat="1" ht="12" customHeight="1">
      <c r="A47" s="1548" t="s">
        <v>903</v>
      </c>
      <c r="B47" s="104"/>
      <c r="C47" s="430"/>
      <c r="D47" s="430"/>
      <c r="E47" s="430"/>
      <c r="F47" s="430"/>
      <c r="G47" s="431"/>
      <c r="H47" s="1311"/>
      <c r="I47" s="432"/>
      <c r="J47" s="433"/>
      <c r="K47" s="431"/>
      <c r="L47" s="431"/>
      <c r="M47" s="434"/>
      <c r="N47" s="402"/>
      <c r="O47" s="1311"/>
      <c r="P47" s="504"/>
      <c r="Q47" s="131"/>
      <c r="R47" s="130"/>
      <c r="S47" s="107"/>
      <c r="T47" s="106"/>
    </row>
    <row r="48" spans="1:20" s="257" customFormat="1" ht="5.5" customHeight="1">
      <c r="A48" s="61"/>
      <c r="B48" s="44"/>
      <c r="C48" s="44"/>
      <c r="D48" s="44"/>
      <c r="E48" s="44"/>
      <c r="F48" s="44"/>
      <c r="G48" s="427"/>
      <c r="H48" s="949"/>
      <c r="I48" s="949"/>
      <c r="J48" s="322"/>
      <c r="K48" s="428"/>
      <c r="L48" s="428"/>
      <c r="M48" s="428"/>
      <c r="N48" s="402"/>
      <c r="O48" s="949"/>
      <c r="P48" s="322"/>
      <c r="Q48" s="322"/>
      <c r="R48" s="324"/>
      <c r="S48" s="325"/>
      <c r="T48" s="325"/>
    </row>
    <row r="49" spans="1:20" s="334" customFormat="1" ht="12" customHeight="1">
      <c r="A49" s="58" t="s">
        <v>904</v>
      </c>
      <c r="B49" s="43"/>
      <c r="C49" s="43"/>
      <c r="D49" s="43"/>
      <c r="E49" s="43"/>
      <c r="F49" s="43"/>
      <c r="G49" s="435"/>
      <c r="H49" s="951"/>
      <c r="I49" s="951"/>
      <c r="J49" s="66"/>
      <c r="K49" s="436"/>
      <c r="L49" s="436"/>
      <c r="M49" s="436"/>
      <c r="N49" s="402"/>
      <c r="O49" s="951"/>
      <c r="P49" s="66"/>
      <c r="Q49" s="66"/>
      <c r="R49" s="105"/>
      <c r="S49" s="105"/>
      <c r="T49" s="105"/>
    </row>
    <row r="50" spans="1:20" s="257" customFormat="1" ht="12" customHeight="1">
      <c r="A50" s="1235" t="s">
        <v>905</v>
      </c>
      <c r="B50" s="59"/>
      <c r="C50" s="1252"/>
      <c r="D50" s="1252"/>
      <c r="E50" s="1252"/>
      <c r="F50" s="1252"/>
      <c r="G50" s="1304"/>
      <c r="H50" s="1312">
        <f>H15</f>
        <v>428.84387700000008</v>
      </c>
      <c r="I50" s="1313">
        <f>I15</f>
        <v>428.84387700000008</v>
      </c>
      <c r="J50" s="1236">
        <f>H50+I50</f>
        <v>857.68775400000015</v>
      </c>
      <c r="K50" s="1232">
        <f t="shared" ref="K50:M50" si="7">K15</f>
        <v>681.56506300000012</v>
      </c>
      <c r="L50" s="1232">
        <f t="shared" si="7"/>
        <v>970.40026300000011</v>
      </c>
      <c r="M50" s="1234">
        <f t="shared" si="7"/>
        <v>628.16800000000012</v>
      </c>
      <c r="N50" s="402"/>
      <c r="O50" s="1312">
        <v>428.84399999999999</v>
      </c>
      <c r="P50" s="1256"/>
      <c r="Q50" s="1256"/>
      <c r="R50" s="1257"/>
      <c r="S50" s="1258"/>
      <c r="T50" s="1259"/>
    </row>
    <row r="51" spans="1:20" s="257" customFormat="1" ht="12" customHeight="1">
      <c r="A51" s="298" t="s">
        <v>906</v>
      </c>
      <c r="B51" s="59"/>
      <c r="C51" s="125"/>
      <c r="D51" s="125"/>
      <c r="E51" s="125"/>
      <c r="F51" s="125"/>
      <c r="G51" s="137"/>
      <c r="H51" s="956">
        <v>0</v>
      </c>
      <c r="I51" s="437">
        <v>0</v>
      </c>
      <c r="J51" s="65">
        <f>H51+I51</f>
        <v>0</v>
      </c>
      <c r="K51" s="134">
        <v>0</v>
      </c>
      <c r="L51" s="134">
        <v>0</v>
      </c>
      <c r="M51" s="133">
        <v>0</v>
      </c>
      <c r="N51" s="402"/>
      <c r="O51" s="956">
        <v>0</v>
      </c>
      <c r="P51" s="129"/>
      <c r="Q51" s="129"/>
      <c r="R51" s="128"/>
      <c r="S51" s="84"/>
      <c r="T51" s="103"/>
    </row>
    <row r="52" spans="1:20" s="257" customFormat="1" ht="12" customHeight="1">
      <c r="A52" s="63" t="s">
        <v>907</v>
      </c>
      <c r="B52" s="59"/>
      <c r="C52" s="338"/>
      <c r="D52" s="338"/>
      <c r="E52" s="338"/>
      <c r="F52" s="338"/>
      <c r="G52" s="438"/>
      <c r="H52" s="977">
        <v>0</v>
      </c>
      <c r="I52" s="439">
        <v>0</v>
      </c>
      <c r="J52" s="346">
        <f>H52+I52</f>
        <v>0</v>
      </c>
      <c r="K52" s="440">
        <v>0</v>
      </c>
      <c r="L52" s="440">
        <v>0</v>
      </c>
      <c r="M52" s="441">
        <v>0</v>
      </c>
      <c r="N52" s="402"/>
      <c r="O52" s="977">
        <v>0</v>
      </c>
      <c r="P52" s="514"/>
      <c r="Q52" s="514"/>
      <c r="R52" s="515"/>
      <c r="S52" s="320"/>
      <c r="T52" s="1250"/>
    </row>
    <row r="53" spans="1:20" s="257" customFormat="1" ht="5.5" customHeight="1">
      <c r="A53" s="61"/>
      <c r="B53" s="44"/>
      <c r="C53" s="44"/>
      <c r="D53" s="44"/>
      <c r="E53" s="44"/>
      <c r="F53" s="44"/>
      <c r="G53" s="427"/>
      <c r="H53" s="949"/>
      <c r="I53" s="949"/>
      <c r="J53" s="322"/>
      <c r="K53" s="428"/>
      <c r="L53" s="428"/>
      <c r="M53" s="428"/>
      <c r="N53" s="402"/>
      <c r="O53" s="949"/>
      <c r="P53" s="322"/>
      <c r="Q53" s="322"/>
      <c r="R53" s="324"/>
      <c r="S53" s="325"/>
      <c r="T53" s="325"/>
    </row>
    <row r="54" spans="1:20" s="334" customFormat="1" ht="12" customHeight="1">
      <c r="A54" s="58" t="s">
        <v>908</v>
      </c>
      <c r="B54" s="43"/>
      <c r="C54" s="43"/>
      <c r="D54" s="43"/>
      <c r="E54" s="43"/>
      <c r="F54" s="43"/>
      <c r="G54" s="435"/>
      <c r="H54" s="951"/>
      <c r="I54" s="951"/>
      <c r="J54" s="66"/>
      <c r="K54" s="436"/>
      <c r="L54" s="436"/>
      <c r="M54" s="436"/>
      <c r="N54" s="402"/>
      <c r="O54" s="951"/>
      <c r="P54" s="66"/>
      <c r="Q54" s="66"/>
      <c r="R54" s="105"/>
      <c r="S54" s="105"/>
      <c r="T54" s="105"/>
    </row>
    <row r="55" spans="1:20" s="343" customFormat="1" ht="12" customHeight="1">
      <c r="A55" s="1260" t="s">
        <v>909</v>
      </c>
      <c r="B55" s="104"/>
      <c r="C55" s="1261"/>
      <c r="D55" s="1261"/>
      <c r="E55" s="1261"/>
      <c r="F55" s="1262"/>
      <c r="G55" s="1263"/>
      <c r="H55" s="1264"/>
      <c r="I55" s="1265"/>
      <c r="J55" s="1261"/>
      <c r="K55" s="1266"/>
      <c r="L55" s="1266"/>
      <c r="M55" s="1263"/>
      <c r="N55" s="402"/>
      <c r="O55" s="1264"/>
      <c r="P55" s="1261"/>
      <c r="Q55" s="1261"/>
      <c r="R55" s="1267"/>
      <c r="S55" s="1267"/>
      <c r="T55" s="1268"/>
    </row>
    <row r="56" spans="1:20" s="257" customFormat="1" ht="12" customHeight="1">
      <c r="A56" s="298" t="s">
        <v>910</v>
      </c>
      <c r="B56" s="59"/>
      <c r="C56" s="125"/>
      <c r="D56" s="125"/>
      <c r="E56" s="125"/>
      <c r="F56" s="125"/>
      <c r="G56" s="136"/>
      <c r="H56" s="947"/>
      <c r="I56" s="415"/>
      <c r="J56" s="125"/>
      <c r="K56" s="137"/>
      <c r="L56" s="137"/>
      <c r="M56" s="136"/>
      <c r="N56" s="402"/>
      <c r="O56" s="947"/>
      <c r="P56" s="125"/>
      <c r="Q56" s="125"/>
      <c r="R56" s="124"/>
      <c r="S56" s="124"/>
      <c r="T56" s="123"/>
    </row>
    <row r="57" spans="1:20" s="257" customFormat="1" ht="12" customHeight="1">
      <c r="A57" s="63" t="s">
        <v>911</v>
      </c>
      <c r="B57" s="59"/>
      <c r="C57" s="338"/>
      <c r="D57" s="338"/>
      <c r="E57" s="338"/>
      <c r="F57" s="338"/>
      <c r="G57" s="443"/>
      <c r="H57" s="952"/>
      <c r="I57" s="444"/>
      <c r="J57" s="338"/>
      <c r="K57" s="438"/>
      <c r="L57" s="438"/>
      <c r="M57" s="443"/>
      <c r="N57" s="402"/>
      <c r="O57" s="952"/>
      <c r="P57" s="338"/>
      <c r="Q57" s="338"/>
      <c r="R57" s="445"/>
      <c r="S57" s="382"/>
      <c r="T57" s="1269"/>
    </row>
    <row r="58" spans="1:20" ht="12" customHeight="1">
      <c r="A58" s="102"/>
      <c r="B58" s="101"/>
      <c r="C58" s="101"/>
      <c r="D58" s="101"/>
      <c r="E58" s="101"/>
      <c r="F58" s="101"/>
      <c r="G58" s="446"/>
      <c r="H58" s="953"/>
      <c r="I58" s="953"/>
      <c r="J58" s="122"/>
      <c r="K58" s="447"/>
      <c r="L58" s="447"/>
      <c r="M58" s="447"/>
      <c r="N58" s="402"/>
      <c r="O58" s="953"/>
      <c r="P58" s="122"/>
      <c r="Q58" s="122"/>
      <c r="R58" s="100"/>
      <c r="S58" s="100"/>
      <c r="T58" s="100"/>
    </row>
    <row r="59" spans="1:20" ht="15.65" customHeight="1">
      <c r="A59" s="62" t="s">
        <v>912</v>
      </c>
      <c r="B59" s="62"/>
      <c r="C59" s="62"/>
      <c r="D59" s="62"/>
      <c r="E59" s="62"/>
      <c r="F59" s="62"/>
      <c r="G59" s="420"/>
      <c r="H59" s="946"/>
      <c r="I59" s="946"/>
      <c r="J59" s="61"/>
      <c r="K59" s="412"/>
      <c r="L59" s="412"/>
      <c r="M59" s="413"/>
      <c r="N59" s="402"/>
      <c r="O59" s="946"/>
      <c r="P59" s="61"/>
      <c r="Q59" s="61"/>
      <c r="R59" s="1214"/>
      <c r="S59" s="1214"/>
      <c r="T59" s="1214"/>
    </row>
    <row r="60" spans="1:20" ht="12" customHeight="1">
      <c r="A60" s="1270" t="s">
        <v>913</v>
      </c>
      <c r="B60" s="59"/>
      <c r="C60" s="1236"/>
      <c r="D60" s="1236"/>
      <c r="E60" s="1236"/>
      <c r="F60" s="1232"/>
      <c r="G60" s="1232"/>
      <c r="H60" s="1312"/>
      <c r="I60" s="1313"/>
      <c r="J60" s="1236">
        <f>H60+I60</f>
        <v>0</v>
      </c>
      <c r="K60" s="1232"/>
      <c r="L60" s="1232"/>
      <c r="M60" s="1234"/>
      <c r="N60" s="402"/>
      <c r="O60" s="1312"/>
      <c r="P60" s="1232"/>
      <c r="Q60" s="1232"/>
      <c r="R60" s="1271"/>
      <c r="S60" s="1272"/>
      <c r="T60" s="1273"/>
    </row>
    <row r="61" spans="1:20" s="295" customFormat="1" ht="12" customHeight="1">
      <c r="A61" s="352" t="s">
        <v>914</v>
      </c>
      <c r="B61" s="99"/>
      <c r="C61" s="96">
        <f t="shared" ref="C61:M61" si="8">C18-C60</f>
        <v>6492</v>
      </c>
      <c r="D61" s="96">
        <f t="shared" si="8"/>
        <v>7598</v>
      </c>
      <c r="E61" s="96">
        <f t="shared" si="8"/>
        <v>7796</v>
      </c>
      <c r="F61" s="96">
        <f t="shared" si="8"/>
        <v>7181</v>
      </c>
      <c r="G61" s="302">
        <f t="shared" si="8"/>
        <v>10330</v>
      </c>
      <c r="H61" s="928">
        <f t="shared" si="8"/>
        <v>6627.2237049999985</v>
      </c>
      <c r="I61" s="303">
        <f t="shared" si="8"/>
        <v>6533.744520616001</v>
      </c>
      <c r="J61" s="96">
        <f t="shared" si="8"/>
        <v>13160.968225616001</v>
      </c>
      <c r="K61" s="302">
        <f t="shared" si="8"/>
        <v>6826.2122961827572</v>
      </c>
      <c r="L61" s="302">
        <f t="shared" si="8"/>
        <v>7278.11458713924</v>
      </c>
      <c r="M61" s="305">
        <f t="shared" si="8"/>
        <v>6936.6179380744779</v>
      </c>
      <c r="N61" s="402"/>
      <c r="O61" s="928">
        <v>6627.2240000000002</v>
      </c>
      <c r="P61" s="96"/>
      <c r="Q61" s="96"/>
      <c r="R61" s="95"/>
      <c r="S61" s="94"/>
      <c r="T61" s="1274"/>
    </row>
    <row r="62" spans="1:20" s="356" customFormat="1" ht="12" customHeight="1">
      <c r="A62" s="61"/>
      <c r="B62" s="44"/>
      <c r="C62" s="44"/>
      <c r="D62" s="44"/>
      <c r="E62" s="44"/>
      <c r="F62" s="44"/>
      <c r="G62" s="427"/>
      <c r="H62" s="954"/>
      <c r="I62" s="954"/>
      <c r="J62" s="353"/>
      <c r="K62" s="448"/>
      <c r="L62" s="448"/>
      <c r="M62" s="448"/>
      <c r="N62" s="402"/>
      <c r="O62" s="954"/>
      <c r="P62" s="353"/>
      <c r="Q62" s="353"/>
      <c r="R62" s="355"/>
      <c r="S62" s="355"/>
      <c r="T62" s="355"/>
    </row>
    <row r="63" spans="1:20" ht="15.65" customHeight="1">
      <c r="A63" s="62" t="s">
        <v>915</v>
      </c>
      <c r="B63" s="62"/>
      <c r="C63" s="62"/>
      <c r="D63" s="62"/>
      <c r="E63" s="62"/>
      <c r="F63" s="62"/>
      <c r="G63" s="420"/>
      <c r="H63" s="946"/>
      <c r="I63" s="946"/>
      <c r="J63" s="61"/>
      <c r="K63" s="412"/>
      <c r="L63" s="412"/>
      <c r="M63" s="413"/>
      <c r="N63" s="402"/>
      <c r="O63" s="946"/>
      <c r="P63" s="61"/>
      <c r="Q63" s="61"/>
      <c r="R63" s="1214"/>
      <c r="S63" s="1214"/>
      <c r="T63" s="1214"/>
    </row>
    <row r="64" spans="1:20" s="357" customFormat="1" ht="12" customHeight="1">
      <c r="A64" s="1235" t="s">
        <v>916</v>
      </c>
      <c r="B64" s="44"/>
      <c r="C64" s="1314">
        <f>'Misc. Items'!I26</f>
        <v>0</v>
      </c>
      <c r="D64" s="1314">
        <f>'Misc. Items'!J26</f>
        <v>-2E-3</v>
      </c>
      <c r="E64" s="1314">
        <f>'Misc. Items'!K26</f>
        <v>3.0000000000000001E-3</v>
      </c>
      <c r="F64" s="1278">
        <f>'Misc. Items'!L26</f>
        <v>7.0000000000000001E-3</v>
      </c>
      <c r="G64" s="1278">
        <f>'Misc. Items'!M26</f>
        <v>8.9999999999999993E-3</v>
      </c>
      <c r="H64" s="1277">
        <f>'Misc. Items'!N26</f>
        <v>0</v>
      </c>
      <c r="I64" s="1278">
        <f>'Misc. Items'!O26</f>
        <v>1.6E-2</v>
      </c>
      <c r="J64" s="1315"/>
      <c r="K64" s="1278">
        <f>'Misc. Items'!P26</f>
        <v>1.9E-2</v>
      </c>
      <c r="L64" s="1278">
        <f>'Misc. Items'!Q26</f>
        <v>0.02</v>
      </c>
      <c r="M64" s="1316">
        <f>'Misc. Items'!R26</f>
        <v>0.02</v>
      </c>
      <c r="N64" s="402"/>
      <c r="O64" s="1277">
        <v>0</v>
      </c>
      <c r="P64" s="1278"/>
      <c r="Q64" s="1278"/>
      <c r="R64" s="1280"/>
      <c r="S64" s="1280"/>
      <c r="T64" s="1276"/>
    </row>
    <row r="65" spans="1:20" s="356" customFormat="1" ht="12" customHeight="1">
      <c r="A65" s="298" t="s">
        <v>917</v>
      </c>
      <c r="B65" s="44"/>
      <c r="C65" s="450">
        <f>'Misc. Items'!I27</f>
        <v>99.8994</v>
      </c>
      <c r="D65" s="450">
        <f>'Misc. Items'!J27</f>
        <v>99.7</v>
      </c>
      <c r="E65" s="450">
        <f>'Misc. Items'!K27</f>
        <v>100</v>
      </c>
      <c r="F65" s="451">
        <f>'Misc. Items'!L27</f>
        <v>100.69999999999999</v>
      </c>
      <c r="G65" s="451">
        <f>'Misc. Items'!M27</f>
        <v>101.60629999999998</v>
      </c>
      <c r="H65" s="955">
        <f>'Misc. Items'!N27</f>
        <v>101.60629999999998</v>
      </c>
      <c r="I65" s="452">
        <f>'Misc. Items'!O27</f>
        <v>103.23200079999998</v>
      </c>
      <c r="J65" s="359"/>
      <c r="K65" s="451">
        <f>'Misc. Items'!P27</f>
        <v>105.19340881519997</v>
      </c>
      <c r="L65" s="451">
        <f>'Misc. Items'!Q27</f>
        <v>107.29727699150398</v>
      </c>
      <c r="M65" s="453">
        <f>'Misc. Items'!R27</f>
        <v>109.44322253133406</v>
      </c>
      <c r="N65" s="402"/>
      <c r="O65" s="955">
        <v>101.60629999999998</v>
      </c>
      <c r="P65" s="452"/>
      <c r="Q65" s="452"/>
      <c r="R65" s="451"/>
      <c r="S65" s="451"/>
      <c r="T65" s="453"/>
    </row>
    <row r="66" spans="1:20" s="356" customFormat="1" ht="12" customHeight="1">
      <c r="A66" s="363" t="s">
        <v>918</v>
      </c>
      <c r="B66" s="82"/>
      <c r="C66" s="81">
        <f t="shared" ref="C66:M66" si="9">((C61-C15-C16)/(C65/100))+C15+C16</f>
        <v>6498.5375287539264</v>
      </c>
      <c r="D66" s="81">
        <f t="shared" si="9"/>
        <v>7620.8625877632903</v>
      </c>
      <c r="E66" s="81">
        <f t="shared" si="9"/>
        <v>7796</v>
      </c>
      <c r="F66" s="272">
        <f t="shared" si="9"/>
        <v>7131.0824230387298</v>
      </c>
      <c r="G66" s="272">
        <f t="shared" si="9"/>
        <v>10166.692419662957</v>
      </c>
      <c r="H66" s="920">
        <f t="shared" si="9"/>
        <v>6529.2331520744792</v>
      </c>
      <c r="I66" s="271">
        <f t="shared" si="9"/>
        <v>6342.6115036137053</v>
      </c>
      <c r="J66" s="81">
        <f>H66+I66</f>
        <v>12871.844655688185</v>
      </c>
      <c r="K66" s="272">
        <f t="shared" si="9"/>
        <v>6522.8504651847079</v>
      </c>
      <c r="L66" s="272">
        <f t="shared" si="9"/>
        <v>6849.1275718381339</v>
      </c>
      <c r="M66" s="270">
        <f t="shared" si="9"/>
        <v>6392.2982879841129</v>
      </c>
      <c r="N66" s="402"/>
      <c r="O66" s="920">
        <v>6529.2334443553227</v>
      </c>
      <c r="P66" s="271"/>
      <c r="Q66" s="271"/>
      <c r="R66" s="272"/>
      <c r="S66" s="272"/>
      <c r="T66" s="270"/>
    </row>
    <row r="67" spans="1:20" s="356" customFormat="1" ht="12" customHeight="1">
      <c r="A67" s="52" t="s">
        <v>879</v>
      </c>
      <c r="B67" s="44"/>
      <c r="C67" s="364"/>
      <c r="D67" s="364">
        <f t="shared" ref="D67:I67" si="10">D66/C66-1</f>
        <v>0.17270425138632173</v>
      </c>
      <c r="E67" s="364">
        <f t="shared" si="10"/>
        <v>2.2981310871281746E-2</v>
      </c>
      <c r="F67" s="365">
        <f t="shared" si="10"/>
        <v>-8.5289581447058782E-2</v>
      </c>
      <c r="G67" s="365">
        <f t="shared" si="10"/>
        <v>0.42568712806024189</v>
      </c>
      <c r="H67" s="941">
        <f t="shared" si="10"/>
        <v>-0.35778197248826238</v>
      </c>
      <c r="I67" s="366">
        <f t="shared" si="10"/>
        <v>-2.8582475784538319E-2</v>
      </c>
      <c r="J67" s="367"/>
      <c r="K67" s="365">
        <f>K66/I66-1</f>
        <v>2.8417153008395868E-2</v>
      </c>
      <c r="L67" s="365">
        <f>L66/K66-1</f>
        <v>5.0020632604550475E-2</v>
      </c>
      <c r="M67" s="368">
        <f>M66/L66-1</f>
        <v>-6.6698901292536417E-2</v>
      </c>
      <c r="N67" s="402"/>
      <c r="O67" s="941">
        <v>-1.6384467762227128E-3</v>
      </c>
      <c r="P67" s="366"/>
      <c r="Q67" s="366"/>
      <c r="R67" s="365"/>
      <c r="S67" s="365"/>
      <c r="T67" s="368"/>
    </row>
    <row r="68" spans="1:20" s="356" customFormat="1" ht="12" customHeight="1">
      <c r="A68" s="369" t="s">
        <v>919</v>
      </c>
      <c r="B68" s="370"/>
      <c r="C68" s="53">
        <f>'Misc. Items'!I36</f>
        <v>4182.45</v>
      </c>
      <c r="D68" s="53">
        <f>'Misc. Items'!J36</f>
        <v>4467.5950000000003</v>
      </c>
      <c r="E68" s="53">
        <f>'Misc. Items'!K36</f>
        <v>4465.2529999999997</v>
      </c>
      <c r="F68" s="53">
        <f>'Misc. Items'!L36</f>
        <v>4549.8827233000011</v>
      </c>
      <c r="G68" s="374">
        <f>'Misc. Items'!M36</f>
        <v>4640.8595650000007</v>
      </c>
      <c r="H68" s="942">
        <f>'Misc. Items'!N36</f>
        <v>1988.2902946000002</v>
      </c>
      <c r="I68" s="373">
        <f>'Misc. Items'!O36</f>
        <v>2072</v>
      </c>
      <c r="J68" s="53">
        <f>H68+I68</f>
        <v>4060.2902946000004</v>
      </c>
      <c r="K68" s="372">
        <f>'Misc. Items'!P36</f>
        <v>3202</v>
      </c>
      <c r="L68" s="372">
        <f>'Misc. Items'!Q36</f>
        <v>4039</v>
      </c>
      <c r="M68" s="374">
        <f>'Misc. Items'!R36</f>
        <v>4726</v>
      </c>
      <c r="N68" s="402"/>
      <c r="O68" s="942">
        <v>1988.2902946000002</v>
      </c>
      <c r="P68" s="894">
        <f>I68</f>
        <v>2072</v>
      </c>
      <c r="Q68" s="373"/>
      <c r="R68" s="372"/>
      <c r="S68" s="372"/>
      <c r="T68" s="374"/>
    </row>
    <row r="69" spans="1:20" s="356" customFormat="1" ht="12" customHeight="1">
      <c r="A69" s="52" t="s">
        <v>879</v>
      </c>
      <c r="B69" s="370"/>
      <c r="C69" s="364"/>
      <c r="D69" s="364">
        <f t="shared" ref="D69:I69" si="11">D68/C68-1</f>
        <v>6.8176547239058527E-2</v>
      </c>
      <c r="E69" s="364">
        <f t="shared" si="11"/>
        <v>-5.2421940663838207E-4</v>
      </c>
      <c r="F69" s="365">
        <f t="shared" si="11"/>
        <v>1.8952951445304844E-2</v>
      </c>
      <c r="G69" s="365">
        <f t="shared" si="11"/>
        <v>1.9995425647809872E-2</v>
      </c>
      <c r="H69" s="941">
        <f t="shared" si="11"/>
        <v>-0.57156852803840441</v>
      </c>
      <c r="I69" s="366">
        <f t="shared" si="11"/>
        <v>4.2101349902148089E-2</v>
      </c>
      <c r="J69" s="367"/>
      <c r="K69" s="365">
        <f>K68/I68-1</f>
        <v>0.54536679536679533</v>
      </c>
      <c r="L69" s="365">
        <f>L68/K68-1</f>
        <v>0.26139912554653333</v>
      </c>
      <c r="M69" s="368">
        <f>M68/L68-1</f>
        <v>0.17009160683337465</v>
      </c>
      <c r="N69" s="402"/>
      <c r="O69" s="941">
        <v>-0.57156852803840441</v>
      </c>
      <c r="P69" s="366"/>
      <c r="Q69" s="366"/>
      <c r="R69" s="365"/>
      <c r="S69" s="365"/>
      <c r="T69" s="368"/>
    </row>
    <row r="70" spans="1:20" s="356" customFormat="1" ht="12" customHeight="1">
      <c r="A70" s="369" t="s">
        <v>920</v>
      </c>
      <c r="B70" s="370"/>
      <c r="C70" s="51">
        <f t="shared" ref="C70:M70" si="12">C66/C68</f>
        <v>1.5537633513261191</v>
      </c>
      <c r="D70" s="51">
        <f t="shared" si="12"/>
        <v>1.7058087377578517</v>
      </c>
      <c r="E70" s="51">
        <f t="shared" si="12"/>
        <v>1.7459257067852596</v>
      </c>
      <c r="F70" s="376">
        <f t="shared" si="12"/>
        <v>1.5673112598090442</v>
      </c>
      <c r="G70" s="376">
        <f t="shared" si="12"/>
        <v>2.1906916762440227</v>
      </c>
      <c r="H70" s="943">
        <f t="shared" si="12"/>
        <v>3.2838429930514828</v>
      </c>
      <c r="I70" s="377">
        <f t="shared" si="12"/>
        <v>3.0611059380375027</v>
      </c>
      <c r="J70" s="51">
        <f>J66/J68</f>
        <v>3.1701784162593367</v>
      </c>
      <c r="K70" s="376">
        <f t="shared" si="12"/>
        <v>2.0371175718877912</v>
      </c>
      <c r="L70" s="376">
        <f t="shared" si="12"/>
        <v>1.6957483465803749</v>
      </c>
      <c r="M70" s="378">
        <f t="shared" si="12"/>
        <v>1.3525811019856353</v>
      </c>
      <c r="N70" s="402"/>
      <c r="O70" s="943">
        <v>3.2838431400525745</v>
      </c>
      <c r="P70" s="377"/>
      <c r="Q70" s="377"/>
      <c r="R70" s="376"/>
      <c r="S70" s="376"/>
      <c r="T70" s="378"/>
    </row>
    <row r="71" spans="1:20" ht="12" customHeight="1">
      <c r="A71" s="49" t="s">
        <v>879</v>
      </c>
      <c r="B71" s="370"/>
      <c r="C71" s="379"/>
      <c r="D71" s="379">
        <f t="shared" ref="D71:I71" si="13">D70/C70-1</f>
        <v>9.785620590288957E-2</v>
      </c>
      <c r="E71" s="379">
        <f t="shared" si="13"/>
        <v>2.3517858795903734E-2</v>
      </c>
      <c r="F71" s="380">
        <f t="shared" si="13"/>
        <v>-0.10230357814313584</v>
      </c>
      <c r="G71" s="380">
        <f t="shared" si="13"/>
        <v>0.39773874687209809</v>
      </c>
      <c r="H71" s="944">
        <f t="shared" si="13"/>
        <v>0.49899825185883118</v>
      </c>
      <c r="I71" s="381">
        <f t="shared" si="13"/>
        <v>-6.7828168242295761E-2</v>
      </c>
      <c r="J71" s="382"/>
      <c r="K71" s="380">
        <f>K70/I70-1</f>
        <v>-0.33451582103891442</v>
      </c>
      <c r="L71" s="380">
        <f>L70/K70-1</f>
        <v>-0.16757463094831115</v>
      </c>
      <c r="M71" s="383">
        <f>M70/L70-1</f>
        <v>-0.20236920489220367</v>
      </c>
      <c r="N71" s="402"/>
      <c r="O71" s="944">
        <v>1.3302712768805889</v>
      </c>
      <c r="P71" s="381"/>
      <c r="Q71" s="381"/>
      <c r="R71" s="380"/>
      <c r="S71" s="380"/>
      <c r="T71" s="383"/>
    </row>
    <row r="72" spans="1:20" s="327" customFormat="1" ht="12" customHeight="1">
      <c r="A72" s="48"/>
      <c r="B72" s="370"/>
      <c r="C72" s="370"/>
      <c r="D72" s="370"/>
      <c r="E72" s="370"/>
      <c r="F72" s="370"/>
      <c r="G72" s="370"/>
      <c r="H72" s="384"/>
      <c r="I72" s="384"/>
      <c r="J72" s="93"/>
      <c r="K72" s="93"/>
      <c r="L72" s="93"/>
      <c r="M72" s="93"/>
      <c r="N72" s="402"/>
    </row>
    <row r="73" spans="1:20" s="327" customFormat="1" ht="12" customHeight="1">
      <c r="A73" s="256"/>
      <c r="B73" s="257"/>
      <c r="C73" s="257"/>
      <c r="D73" s="257"/>
      <c r="E73" s="257"/>
      <c r="F73" s="257"/>
      <c r="G73" s="257"/>
      <c r="H73" s="256"/>
      <c r="I73" s="256"/>
      <c r="J73" s="257"/>
      <c r="K73" s="257"/>
      <c r="L73" s="257"/>
      <c r="M73" s="257"/>
      <c r="N73" s="402"/>
    </row>
    <row r="74" spans="1:20" s="334" customFormat="1" ht="12" customHeight="1">
      <c r="A74" s="385"/>
      <c r="B74" s="46"/>
      <c r="C74" s="46"/>
      <c r="D74" s="46"/>
      <c r="E74" s="46"/>
      <c r="F74" s="46"/>
      <c r="G74" s="46"/>
      <c r="H74" s="89"/>
      <c r="I74" s="89"/>
      <c r="J74" s="88"/>
      <c r="K74" s="92"/>
      <c r="L74" s="91"/>
      <c r="M74" s="90"/>
      <c r="N74" s="402"/>
    </row>
    <row r="75" spans="1:20" s="334" customFormat="1" ht="12" customHeight="1">
      <c r="A75" s="385"/>
      <c r="B75" s="77"/>
      <c r="C75" s="77"/>
      <c r="D75" s="77"/>
      <c r="E75" s="77"/>
      <c r="F75" s="77"/>
      <c r="G75" s="77"/>
      <c r="H75" s="89"/>
      <c r="I75" s="89"/>
      <c r="J75" s="89"/>
      <c r="K75" s="89"/>
      <c r="L75" s="386"/>
      <c r="M75" s="88"/>
      <c r="N75" s="402"/>
    </row>
    <row r="76" spans="1:20" ht="12" customHeight="1">
      <c r="A76" s="385"/>
      <c r="B76" s="45"/>
      <c r="C76" s="45"/>
      <c r="D76" s="45"/>
      <c r="E76" s="45"/>
      <c r="F76" s="45"/>
      <c r="G76" s="45"/>
      <c r="H76" s="387"/>
      <c r="I76" s="387"/>
      <c r="J76" s="388"/>
      <c r="K76" s="388"/>
      <c r="L76" s="389"/>
      <c r="M76" s="87"/>
      <c r="N76" s="402"/>
    </row>
    <row r="77" spans="1:20" s="334" customFormat="1" ht="12" customHeight="1">
      <c r="A77" s="390"/>
      <c r="B77" s="343"/>
      <c r="C77" s="343"/>
      <c r="D77" s="343"/>
      <c r="E77" s="343"/>
      <c r="F77" s="343"/>
      <c r="G77" s="343"/>
      <c r="H77" s="391"/>
      <c r="I77" s="391"/>
      <c r="J77" s="392"/>
      <c r="K77" s="392"/>
      <c r="L77" s="393"/>
      <c r="M77" s="87"/>
      <c r="N77" s="402"/>
    </row>
    <row r="78" spans="1:20" ht="12" customHeight="1">
      <c r="A78" s="86"/>
      <c r="B78" s="86"/>
      <c r="C78" s="86"/>
      <c r="D78" s="86"/>
      <c r="E78" s="86"/>
      <c r="F78" s="86"/>
      <c r="G78" s="86"/>
      <c r="H78" s="85"/>
      <c r="I78" s="85"/>
      <c r="J78" s="85"/>
      <c r="K78" s="85"/>
      <c r="L78" s="85"/>
      <c r="M78" s="388"/>
      <c r="N78" s="402"/>
    </row>
    <row r="79" spans="1:20" ht="12" customHeight="1">
      <c r="A79" s="43"/>
      <c r="B79" s="43"/>
      <c r="C79" s="43"/>
      <c r="D79" s="43"/>
      <c r="E79" s="43"/>
      <c r="F79" s="43"/>
      <c r="G79" s="43"/>
      <c r="H79" s="85"/>
      <c r="I79" s="85"/>
      <c r="J79" s="44"/>
      <c r="K79" s="44"/>
      <c r="L79" s="44"/>
      <c r="M79" s="44"/>
      <c r="N79" s="402"/>
    </row>
    <row r="80" spans="1:20" s="334" customFormat="1" ht="12" customHeight="1">
      <c r="A80" s="390"/>
      <c r="B80" s="343"/>
      <c r="C80" s="343"/>
      <c r="D80" s="394"/>
      <c r="E80" s="394"/>
      <c r="F80" s="394"/>
      <c r="G80" s="394"/>
      <c r="H80" s="394"/>
      <c r="I80" s="394"/>
      <c r="J80" s="40"/>
      <c r="K80" s="394"/>
      <c r="L80" s="394"/>
      <c r="M80" s="394"/>
      <c r="N80" s="402"/>
    </row>
    <row r="81" spans="1:14" ht="12" customHeight="1">
      <c r="A81" s="86"/>
      <c r="B81" s="86"/>
      <c r="C81" s="86"/>
      <c r="D81" s="86"/>
      <c r="E81" s="86"/>
      <c r="F81" s="395"/>
      <c r="G81" s="86"/>
      <c r="H81" s="86"/>
      <c r="I81" s="86"/>
      <c r="K81" s="86"/>
      <c r="L81" s="86"/>
      <c r="M81" s="86"/>
      <c r="N81" s="402"/>
    </row>
    <row r="82" spans="1:14" ht="12" customHeight="1">
      <c r="A82" s="43"/>
      <c r="B82" s="43"/>
      <c r="C82" s="43"/>
      <c r="D82" s="43"/>
      <c r="E82" s="43"/>
      <c r="F82" s="43"/>
      <c r="G82" s="43"/>
      <c r="H82" s="86"/>
      <c r="I82" s="86"/>
      <c r="K82" s="43"/>
      <c r="L82" s="43"/>
      <c r="M82" s="43"/>
      <c r="N82" s="402"/>
    </row>
    <row r="83" spans="1:14">
      <c r="C83" s="396"/>
      <c r="D83" s="396"/>
      <c r="E83" s="396"/>
      <c r="F83" s="396"/>
      <c r="G83" s="396"/>
      <c r="H83" s="397"/>
      <c r="I83" s="397"/>
      <c r="J83" s="120"/>
      <c r="K83" s="396"/>
      <c r="L83" s="396"/>
      <c r="M83" s="396"/>
      <c r="N83" s="402"/>
    </row>
    <row r="84" spans="1:14">
      <c r="N84" s="402"/>
    </row>
    <row r="85" spans="1:14">
      <c r="M85" s="120"/>
      <c r="N85" s="402"/>
    </row>
    <row r="86" spans="1:14">
      <c r="N86" s="402"/>
    </row>
    <row r="87" spans="1:14">
      <c r="N87" s="402"/>
    </row>
    <row r="88" spans="1:14">
      <c r="N88" s="402"/>
    </row>
    <row r="89" spans="1:14">
      <c r="N89" s="402"/>
    </row>
    <row r="90" spans="1:14">
      <c r="N90" s="402"/>
    </row>
    <row r="117" spans="1:14" ht="12" customHeight="1">
      <c r="A117" s="42"/>
      <c r="B117" s="120"/>
      <c r="C117" s="120"/>
      <c r="D117" s="120"/>
      <c r="E117" s="120"/>
      <c r="F117" s="120"/>
      <c r="G117" s="255"/>
      <c r="H117" s="255"/>
      <c r="I117" s="255"/>
      <c r="J117" s="120"/>
      <c r="K117" s="120"/>
      <c r="L117" s="120"/>
    </row>
    <row r="119" spans="1:14">
      <c r="M119" s="120"/>
      <c r="N119" s="120"/>
    </row>
  </sheetData>
  <mergeCells count="3">
    <mergeCell ref="H7:M7"/>
    <mergeCell ref="C7:G7"/>
    <mergeCell ref="O7:T7"/>
  </mergeCells>
  <pageMargins left="0.7" right="0.7" top="0.75" bottom="0.75" header="0.3" footer="0.3"/>
  <pageSetup paperSize="9" scale="6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F1069-D474-4A8A-B154-FA34D373BDEB}">
  <sheetPr>
    <tabColor theme="5" tint="-0.249977111117893"/>
    <pageSetUpPr fitToPage="1"/>
  </sheetPr>
  <dimension ref="A1:T119"/>
  <sheetViews>
    <sheetView showGridLines="0" zoomScaleNormal="100" workbookViewId="0">
      <selection activeCell="J70" sqref="J70"/>
    </sheetView>
  </sheetViews>
  <sheetFormatPr defaultColWidth="12.54296875" defaultRowHeight="12"/>
  <cols>
    <col min="1" max="1" width="30.81640625" style="40" customWidth="1"/>
    <col min="2" max="2" width="0.54296875" style="40" customWidth="1"/>
    <col min="3" max="7" width="8.54296875" style="40" customWidth="1"/>
    <col min="8" max="9" width="8.54296875" style="250" customWidth="1"/>
    <col min="10" max="13" width="8.54296875" style="41" customWidth="1"/>
    <col min="14" max="14" width="0.54296875" style="41" customWidth="1"/>
    <col min="15" max="16384" width="12.54296875" style="120"/>
  </cols>
  <sheetData>
    <row r="1" spans="1:20" ht="12" customHeight="1">
      <c r="A1" s="121" t="s">
        <v>863</v>
      </c>
      <c r="B1" s="121"/>
      <c r="C1" s="121"/>
      <c r="D1" s="121"/>
      <c r="E1" s="121"/>
      <c r="F1" s="121"/>
      <c r="G1" s="121"/>
      <c r="I1" s="251"/>
      <c r="J1" s="121"/>
      <c r="K1" s="121"/>
      <c r="L1" s="121"/>
      <c r="M1" s="121"/>
      <c r="N1" s="121"/>
    </row>
    <row r="2" spans="1:20" ht="12" customHeight="1">
      <c r="A2" s="1213" t="s">
        <v>864</v>
      </c>
      <c r="B2" s="43"/>
      <c r="C2" s="43"/>
      <c r="D2" s="43"/>
      <c r="E2" s="43"/>
      <c r="F2" s="43"/>
      <c r="G2" s="43"/>
    </row>
    <row r="3" spans="1:20" ht="12" customHeight="1">
      <c r="A3" s="476" t="s">
        <v>164</v>
      </c>
      <c r="B3" s="252"/>
      <c r="C3" s="252"/>
      <c r="D3" s="252"/>
      <c r="E3" s="252"/>
      <c r="F3" s="252"/>
      <c r="G3" s="252"/>
      <c r="H3" s="85"/>
      <c r="I3" s="85"/>
      <c r="J3" s="44"/>
      <c r="K3" s="44"/>
      <c r="L3" s="44"/>
      <c r="M3" s="44"/>
      <c r="N3" s="44"/>
    </row>
    <row r="4" spans="1:20" ht="12" customHeight="1">
      <c r="A4" s="398" t="s">
        <v>865</v>
      </c>
      <c r="B4" s="252"/>
      <c r="C4" s="252"/>
      <c r="D4" s="252"/>
      <c r="E4" s="252"/>
      <c r="F4" s="252"/>
      <c r="G4" s="252"/>
      <c r="H4" s="85"/>
      <c r="I4" s="85"/>
      <c r="J4" s="44"/>
      <c r="K4" s="44"/>
      <c r="L4" s="44"/>
      <c r="M4" s="44"/>
      <c r="N4" s="44"/>
    </row>
    <row r="5" spans="1:20" ht="12" customHeight="1">
      <c r="A5" s="399" t="s">
        <v>5</v>
      </c>
      <c r="B5" s="252"/>
      <c r="C5" s="252"/>
      <c r="D5" s="252"/>
      <c r="E5" s="252"/>
      <c r="F5" s="252"/>
      <c r="G5" s="252"/>
      <c r="H5" s="85"/>
      <c r="I5" s="85"/>
      <c r="J5" s="44"/>
      <c r="K5" s="44"/>
      <c r="L5" s="44"/>
      <c r="M5" s="44"/>
      <c r="N5" s="44"/>
    </row>
    <row r="6" spans="1:20" ht="12" customHeight="1">
      <c r="A6" s="43"/>
      <c r="B6" s="43"/>
      <c r="C6" s="43"/>
      <c r="D6" s="43"/>
      <c r="E6" s="43"/>
      <c r="F6" s="43"/>
      <c r="G6" s="1202" t="s">
        <v>961</v>
      </c>
    </row>
    <row r="7" spans="1:20" s="254" customFormat="1" ht="12" customHeight="1">
      <c r="C7" s="1673" t="s">
        <v>866</v>
      </c>
      <c r="D7" s="1674"/>
      <c r="E7" s="1674"/>
      <c r="F7" s="1674"/>
      <c r="G7" s="1675"/>
      <c r="H7" s="1671" t="s">
        <v>867</v>
      </c>
      <c r="I7" s="1672"/>
      <c r="J7" s="1672"/>
      <c r="K7" s="1672"/>
      <c r="L7" s="1672"/>
      <c r="M7" s="1678"/>
      <c r="N7" s="454"/>
      <c r="O7" s="1676" t="s">
        <v>868</v>
      </c>
      <c r="P7" s="1677"/>
      <c r="Q7" s="1677"/>
      <c r="R7" s="1677"/>
      <c r="S7" s="1677"/>
      <c r="T7" s="1677"/>
    </row>
    <row r="8" spans="1:20" ht="12" customHeight="1">
      <c r="A8" s="255" t="s">
        <v>20</v>
      </c>
      <c r="B8" s="120"/>
      <c r="C8" s="477">
        <f t="shared" ref="C8:I8" si="0">C65</f>
        <v>99.8994</v>
      </c>
      <c r="D8" s="477">
        <f t="shared" si="0"/>
        <v>99.7</v>
      </c>
      <c r="E8" s="477">
        <f t="shared" si="0"/>
        <v>100</v>
      </c>
      <c r="F8" s="477">
        <f t="shared" si="0"/>
        <v>100.69999999999999</v>
      </c>
      <c r="G8" s="477">
        <f t="shared" si="0"/>
        <v>101.60629999999998</v>
      </c>
      <c r="H8" s="477">
        <f t="shared" si="0"/>
        <v>101.60629999999998</v>
      </c>
      <c r="I8" s="477">
        <f t="shared" si="0"/>
        <v>103.23200079999998</v>
      </c>
      <c r="J8" s="477"/>
      <c r="K8" s="477">
        <f>K65</f>
        <v>105.19340881519997</v>
      </c>
      <c r="L8" s="477">
        <f>L65</f>
        <v>107.29727699150398</v>
      </c>
      <c r="M8" s="477">
        <f>M65</f>
        <v>109.44322253133406</v>
      </c>
      <c r="N8" s="257"/>
    </row>
    <row r="9" spans="1:20" s="261" customFormat="1" ht="12" customHeight="1">
      <c r="A9" s="1547" t="s">
        <v>869</v>
      </c>
      <c r="B9" s="43"/>
      <c r="C9" s="118">
        <v>2015</v>
      </c>
      <c r="D9" s="117">
        <v>2016</v>
      </c>
      <c r="E9" s="117">
        <v>2017</v>
      </c>
      <c r="F9" s="117">
        <v>2018</v>
      </c>
      <c r="G9" s="116">
        <v>2019</v>
      </c>
      <c r="H9" s="258">
        <v>2020</v>
      </c>
      <c r="I9" s="258">
        <v>2021</v>
      </c>
      <c r="J9" s="117" t="s">
        <v>16</v>
      </c>
      <c r="K9" s="117">
        <v>2022</v>
      </c>
      <c r="L9" s="117">
        <v>2023</v>
      </c>
      <c r="M9" s="116">
        <v>2024</v>
      </c>
      <c r="N9" s="119"/>
      <c r="O9" s="259">
        <v>2020</v>
      </c>
      <c r="P9" s="260">
        <v>2021</v>
      </c>
      <c r="Q9" s="117" t="s">
        <v>870</v>
      </c>
      <c r="R9" s="117">
        <v>2022</v>
      </c>
      <c r="S9" s="117">
        <v>2023</v>
      </c>
      <c r="T9" s="116">
        <v>2024</v>
      </c>
    </row>
    <row r="10" spans="1:20" ht="12" customHeight="1">
      <c r="A10" s="43"/>
      <c r="B10" s="43"/>
      <c r="C10" s="43"/>
      <c r="D10" s="43"/>
      <c r="E10" s="43"/>
      <c r="F10" s="43"/>
      <c r="G10" s="43"/>
      <c r="H10" s="262"/>
      <c r="I10" s="262"/>
      <c r="J10" s="40"/>
      <c r="K10" s="40"/>
      <c r="O10" s="262"/>
      <c r="P10" s="40"/>
      <c r="Q10" s="40"/>
      <c r="R10" s="40"/>
      <c r="S10" s="40"/>
      <c r="T10" s="40"/>
    </row>
    <row r="11" spans="1:20" ht="15.65" customHeight="1">
      <c r="A11" s="62" t="s">
        <v>871</v>
      </c>
      <c r="B11" s="455"/>
      <c r="C11" s="62"/>
      <c r="D11" s="62"/>
      <c r="E11" s="62"/>
      <c r="F11" s="62"/>
      <c r="G11" s="62"/>
      <c r="H11" s="263"/>
      <c r="I11" s="263"/>
      <c r="J11" s="61"/>
      <c r="K11" s="61"/>
      <c r="L11" s="61"/>
      <c r="M11" s="75"/>
      <c r="N11" s="75"/>
      <c r="O11" s="263"/>
      <c r="P11" s="61"/>
      <c r="Q11" s="61"/>
      <c r="R11" s="1214"/>
      <c r="S11" s="1214"/>
      <c r="T11" s="1214"/>
    </row>
    <row r="12" spans="1:20" ht="12" customHeight="1">
      <c r="A12" s="1215" t="s">
        <v>872</v>
      </c>
      <c r="B12" s="74"/>
      <c r="C12" s="1281">
        <v>1084</v>
      </c>
      <c r="D12" s="1216">
        <v>1125</v>
      </c>
      <c r="E12" s="1216">
        <v>1159</v>
      </c>
      <c r="F12" s="1216">
        <v>1000</v>
      </c>
      <c r="G12" s="1302">
        <v>955</v>
      </c>
      <c r="H12" s="1302">
        <f>'Met Opex'!Q66*(H$8/100)</f>
        <v>774.0210529999996</v>
      </c>
      <c r="I12" s="1282">
        <f>'Met Opex'!R66*(I$8/100)</f>
        <v>786.4053898479998</v>
      </c>
      <c r="J12" s="1216">
        <f>H12+I12</f>
        <v>1560.4264428479994</v>
      </c>
      <c r="K12" s="1303">
        <f>'Met Opex'!S66*(K$8/100)</f>
        <v>787.34352003533706</v>
      </c>
      <c r="L12" s="1303">
        <f>'Met Opex'!T66*(L$8/100)</f>
        <v>803.090390436044</v>
      </c>
      <c r="M12" s="1317">
        <f>'Met Opex'!U66*(M$8/100)</f>
        <v>777.34879980583014</v>
      </c>
      <c r="N12" s="402"/>
      <c r="O12" s="1302">
        <v>774.02099999999996</v>
      </c>
      <c r="P12" s="1221"/>
      <c r="Q12" s="1221"/>
      <c r="R12" s="1222"/>
      <c r="S12" s="1221"/>
      <c r="T12" s="1223"/>
    </row>
    <row r="13" spans="1:20" ht="12" customHeight="1">
      <c r="A13" s="74" t="s">
        <v>873</v>
      </c>
      <c r="B13" s="74"/>
      <c r="C13" s="126"/>
      <c r="D13" s="125"/>
      <c r="E13" s="125"/>
      <c r="F13" s="125"/>
      <c r="G13" s="127"/>
      <c r="H13" s="925">
        <f>'Met Opex'!Q67*(H$8/100)</f>
        <v>69.219417999999976</v>
      </c>
      <c r="I13" s="289">
        <f>'Met Opex'!R67*(I$8/100)</f>
        <v>70.326928687999981</v>
      </c>
      <c r="J13" s="65">
        <f>H13+I13</f>
        <v>139.54634668799997</v>
      </c>
      <c r="K13" s="404">
        <f>'Met Opex'!S67*(K$8/100)</f>
        <v>70.455557606255979</v>
      </c>
      <c r="L13" s="404">
        <f>'Met Opex'!T67*(L$8/100)</f>
        <v>67.152325786954819</v>
      </c>
      <c r="M13" s="405">
        <f>'Met Opex'!U67*(M$8/100)</f>
        <v>68.495372302693909</v>
      </c>
      <c r="N13" s="402"/>
      <c r="O13" s="925">
        <v>69.218999999999994</v>
      </c>
      <c r="P13" s="134"/>
      <c r="Q13" s="134"/>
      <c r="R13" s="135"/>
      <c r="S13" s="134"/>
      <c r="T13" s="133"/>
    </row>
    <row r="14" spans="1:20" ht="12" customHeight="1">
      <c r="A14" s="74" t="s">
        <v>874</v>
      </c>
      <c r="B14" s="74"/>
      <c r="C14" s="268">
        <v>539</v>
      </c>
      <c r="D14" s="114">
        <v>774</v>
      </c>
      <c r="E14" s="114">
        <v>790</v>
      </c>
      <c r="F14" s="114">
        <v>795</v>
      </c>
      <c r="G14" s="1302">
        <v>1304</v>
      </c>
      <c r="H14" s="919">
        <f>'Met Opex'!Q97*(H$8/100)</f>
        <v>472.87390399999981</v>
      </c>
      <c r="I14" s="406">
        <f>'Met Opex'!R97*(I$8/100)</f>
        <v>488.12641617599991</v>
      </c>
      <c r="J14" s="114">
        <f>H14+I14</f>
        <v>961.00032017599972</v>
      </c>
      <c r="K14" s="407">
        <f>'Met Opex'!S97*(K$8/100)</f>
        <v>492.34275963763179</v>
      </c>
      <c r="L14" s="407">
        <f>'Met Opex'!T97*(L$8/100)</f>
        <v>512.23315140359125</v>
      </c>
      <c r="M14" s="408">
        <f>'Met Opex'!U97*(M$8/100)</f>
        <v>532.92654473371113</v>
      </c>
      <c r="N14" s="402"/>
      <c r="O14" s="919">
        <v>472.87400000000002</v>
      </c>
      <c r="P14" s="142"/>
      <c r="Q14" s="142"/>
      <c r="R14" s="143"/>
      <c r="S14" s="142"/>
      <c r="T14" s="141"/>
    </row>
    <row r="15" spans="1:20" ht="12" customHeight="1">
      <c r="A15" s="74" t="s">
        <v>875</v>
      </c>
      <c r="B15" s="74"/>
      <c r="C15" s="268"/>
      <c r="D15" s="114"/>
      <c r="E15" s="114"/>
      <c r="F15" s="114"/>
      <c r="G15" s="113"/>
      <c r="H15" s="919">
        <f>'MET Capex'!X127</f>
        <v>107.21096924999999</v>
      </c>
      <c r="I15" s="406">
        <f>'MET Capex'!Y127</f>
        <v>107.21096924999999</v>
      </c>
      <c r="J15" s="114">
        <f>H15+I15</f>
        <v>214.42193849999998</v>
      </c>
      <c r="K15" s="407">
        <f>'MET Capex'!Z127</f>
        <v>170.39126574999997</v>
      </c>
      <c r="L15" s="407">
        <f>'MET Capex'!AA127</f>
        <v>242.60006574999994</v>
      </c>
      <c r="M15" s="408">
        <f>'MET Capex'!AB127</f>
        <v>157.04199999999997</v>
      </c>
      <c r="N15" s="402"/>
      <c r="O15" s="919">
        <v>107.211</v>
      </c>
      <c r="P15" s="142"/>
      <c r="Q15" s="142"/>
      <c r="R15" s="143"/>
      <c r="S15" s="142"/>
      <c r="T15" s="141"/>
    </row>
    <row r="16" spans="1:20" ht="12" customHeight="1">
      <c r="A16" s="74" t="s">
        <v>876</v>
      </c>
      <c r="B16" s="74"/>
      <c r="C16" s="268"/>
      <c r="D16" s="114"/>
      <c r="E16" s="114"/>
      <c r="F16" s="114"/>
      <c r="G16" s="113"/>
      <c r="H16" s="919"/>
      <c r="I16" s="406"/>
      <c r="J16" s="114"/>
      <c r="K16" s="407"/>
      <c r="L16" s="407"/>
      <c r="M16" s="408"/>
      <c r="N16" s="402"/>
      <c r="O16" s="919">
        <v>0</v>
      </c>
      <c r="P16" s="142"/>
      <c r="Q16" s="142"/>
      <c r="R16" s="143"/>
      <c r="S16" s="114"/>
      <c r="T16" s="113"/>
    </row>
    <row r="17" spans="1:20" ht="12" customHeight="1">
      <c r="A17" s="74" t="s">
        <v>877</v>
      </c>
      <c r="B17" s="74"/>
      <c r="C17" s="268"/>
      <c r="D17" s="114"/>
      <c r="E17" s="114"/>
      <c r="F17" s="114"/>
      <c r="G17" s="113"/>
      <c r="H17" s="919">
        <f>'Met Opex'!Q112*(H$8/100)</f>
        <v>302.69999999999987</v>
      </c>
      <c r="I17" s="406">
        <f>'Met Opex'!R112*(I$8/100)</f>
        <v>251.6933548799999</v>
      </c>
      <c r="J17" s="114">
        <f>H17+I17</f>
        <v>554.39335487999983</v>
      </c>
      <c r="K17" s="407">
        <f>'Met Opex'!S112*(K$8/100)</f>
        <v>256.47552862271982</v>
      </c>
      <c r="L17" s="407">
        <f>'Met Opex'!T112*(L$8/100)</f>
        <v>261.60503919517424</v>
      </c>
      <c r="M17" s="408">
        <f>'Met Opex'!U112*(M$8/100)</f>
        <v>266.83713997907773</v>
      </c>
      <c r="N17" s="402"/>
      <c r="O17" s="919">
        <v>302.7</v>
      </c>
      <c r="P17" s="142"/>
      <c r="Q17" s="142"/>
      <c r="R17" s="143"/>
      <c r="S17" s="142"/>
      <c r="T17" s="141"/>
    </row>
    <row r="18" spans="1:20" ht="12" customHeight="1">
      <c r="A18" s="111" t="s">
        <v>878</v>
      </c>
      <c r="B18" s="73"/>
      <c r="C18" s="79">
        <f>SUM(C12:C17)</f>
        <v>1623</v>
      </c>
      <c r="D18" s="81">
        <f>SUM(D12:D17)</f>
        <v>1899</v>
      </c>
      <c r="E18" s="81">
        <f>SUM(E12:E17)</f>
        <v>1949</v>
      </c>
      <c r="F18" s="81">
        <f>F12+SUM(F14:F17)</f>
        <v>1795</v>
      </c>
      <c r="G18" s="80">
        <f t="shared" ref="G18:M18" si="1">G12+SUM(G14:G17)</f>
        <v>2259</v>
      </c>
      <c r="H18" s="920">
        <f t="shared" si="1"/>
        <v>1656.8059262499992</v>
      </c>
      <c r="I18" s="271">
        <f t="shared" si="1"/>
        <v>1633.4361301539996</v>
      </c>
      <c r="J18" s="81">
        <f>J12+SUM(J14:J17)</f>
        <v>3290.242056403999</v>
      </c>
      <c r="K18" s="272">
        <f t="shared" si="1"/>
        <v>1706.5530740456886</v>
      </c>
      <c r="L18" s="272">
        <f t="shared" si="1"/>
        <v>1819.5286467848096</v>
      </c>
      <c r="M18" s="270">
        <f t="shared" si="1"/>
        <v>1734.154484518619</v>
      </c>
      <c r="N18" s="402"/>
      <c r="O18" s="920">
        <v>1656.806</v>
      </c>
      <c r="P18" s="81"/>
      <c r="Q18" s="81"/>
      <c r="R18" s="81"/>
      <c r="S18" s="81"/>
      <c r="T18" s="80"/>
    </row>
    <row r="19" spans="1:20" ht="12" customHeight="1">
      <c r="A19" s="109" t="s">
        <v>879</v>
      </c>
      <c r="B19" s="68"/>
      <c r="C19" s="72"/>
      <c r="D19" s="71">
        <f t="shared" ref="D19:I19" si="2">+D18/C18-1</f>
        <v>0.17005545286506463</v>
      </c>
      <c r="E19" s="71">
        <f t="shared" si="2"/>
        <v>2.6329647182727678E-2</v>
      </c>
      <c r="F19" s="71">
        <f t="shared" si="2"/>
        <v>-7.9014879425346352E-2</v>
      </c>
      <c r="G19" s="70">
        <f t="shared" si="2"/>
        <v>0.25849582172701946</v>
      </c>
      <c r="H19" s="921">
        <f t="shared" si="2"/>
        <v>-0.26657550852147005</v>
      </c>
      <c r="I19" s="274">
        <f t="shared" si="2"/>
        <v>-1.4105331062458593E-2</v>
      </c>
      <c r="J19" s="275"/>
      <c r="K19" s="276">
        <f>+K18/I18-1</f>
        <v>4.4762658632263586E-2</v>
      </c>
      <c r="L19" s="276">
        <f>+L18/K18-1</f>
        <v>6.6201030871716249E-2</v>
      </c>
      <c r="M19" s="273">
        <f>+M18/L18-1</f>
        <v>-4.6921032222851045E-2</v>
      </c>
      <c r="N19" s="402"/>
      <c r="O19" s="921">
        <v>-2.5249849488260256E-3</v>
      </c>
      <c r="P19" s="71"/>
      <c r="Q19" s="71"/>
      <c r="R19" s="71"/>
      <c r="S19" s="71"/>
      <c r="T19" s="70"/>
    </row>
    <row r="20" spans="1:20" ht="12" customHeight="1">
      <c r="A20" s="68"/>
      <c r="B20" s="68"/>
      <c r="C20" s="68"/>
      <c r="D20" s="68"/>
      <c r="E20" s="68"/>
      <c r="F20" s="68"/>
      <c r="G20" s="68"/>
      <c r="H20" s="945"/>
      <c r="I20" s="945"/>
      <c r="J20" s="67"/>
      <c r="K20" s="410"/>
      <c r="L20" s="410"/>
      <c r="M20" s="410"/>
      <c r="N20" s="402"/>
      <c r="O20" s="945"/>
      <c r="P20" s="67"/>
      <c r="Q20" s="67"/>
      <c r="R20" s="67"/>
      <c r="S20" s="67"/>
      <c r="T20" s="67"/>
    </row>
    <row r="21" spans="1:20" ht="15.65" customHeight="1">
      <c r="A21" s="62" t="s">
        <v>880</v>
      </c>
      <c r="B21" s="62"/>
      <c r="C21" s="62"/>
      <c r="D21" s="62"/>
      <c r="E21" s="62"/>
      <c r="F21" s="62"/>
      <c r="G21" s="62"/>
      <c r="H21" s="946"/>
      <c r="I21" s="946"/>
      <c r="J21" s="61"/>
      <c r="K21" s="412"/>
      <c r="L21" s="412"/>
      <c r="M21" s="413"/>
      <c r="N21" s="402"/>
      <c r="O21" s="946"/>
      <c r="P21" s="61"/>
      <c r="Q21" s="61"/>
      <c r="R21" s="1214"/>
      <c r="S21" s="1214"/>
      <c r="T21" s="1214"/>
    </row>
    <row r="22" spans="1:20" ht="12" customHeight="1">
      <c r="A22" s="1224" t="s">
        <v>881</v>
      </c>
      <c r="B22" s="74"/>
      <c r="C22" s="1291"/>
      <c r="D22" s="1252"/>
      <c r="E22" s="1252"/>
      <c r="F22" s="1252"/>
      <c r="G22" s="1292"/>
      <c r="H22" s="1306"/>
      <c r="I22" s="1307"/>
      <c r="J22" s="1304"/>
      <c r="K22" s="1304"/>
      <c r="L22" s="1304"/>
      <c r="M22" s="1308"/>
      <c r="N22" s="402"/>
      <c r="O22" s="1306"/>
      <c r="P22" s="1232"/>
      <c r="Q22" s="1232"/>
      <c r="R22" s="1233"/>
      <c r="S22" s="1232"/>
      <c r="T22" s="1234"/>
    </row>
    <row r="23" spans="1:20" ht="12" customHeight="1">
      <c r="A23" s="57" t="s">
        <v>882</v>
      </c>
      <c r="B23" s="74"/>
      <c r="C23" s="126"/>
      <c r="D23" s="125"/>
      <c r="E23" s="125"/>
      <c r="F23" s="125"/>
      <c r="G23" s="127"/>
      <c r="H23" s="947"/>
      <c r="I23" s="415"/>
      <c r="J23" s="137"/>
      <c r="K23" s="137"/>
      <c r="L23" s="137"/>
      <c r="M23" s="136"/>
      <c r="N23" s="402"/>
      <c r="O23" s="947"/>
      <c r="P23" s="134"/>
      <c r="Q23" s="134"/>
      <c r="R23" s="135"/>
      <c r="S23" s="134"/>
      <c r="T23" s="133"/>
    </row>
    <row r="24" spans="1:20" ht="12" customHeight="1">
      <c r="A24" s="57" t="s">
        <v>883</v>
      </c>
      <c r="B24" s="74"/>
      <c r="C24" s="126"/>
      <c r="D24" s="125"/>
      <c r="E24" s="125"/>
      <c r="F24" s="125"/>
      <c r="G24" s="127"/>
      <c r="H24" s="947"/>
      <c r="I24" s="415"/>
      <c r="J24" s="137"/>
      <c r="K24" s="137"/>
      <c r="L24" s="137"/>
      <c r="M24" s="136"/>
      <c r="N24" s="402"/>
      <c r="O24" s="947"/>
      <c r="P24" s="134"/>
      <c r="Q24" s="134"/>
      <c r="R24" s="135"/>
      <c r="S24" s="134"/>
      <c r="T24" s="133"/>
    </row>
    <row r="25" spans="1:20" ht="12" customHeight="1">
      <c r="A25" s="57" t="s">
        <v>884</v>
      </c>
      <c r="B25" s="74"/>
      <c r="C25" s="126"/>
      <c r="D25" s="125"/>
      <c r="E25" s="125"/>
      <c r="F25" s="125"/>
      <c r="G25" s="127"/>
      <c r="H25" s="947"/>
      <c r="I25" s="415"/>
      <c r="J25" s="137"/>
      <c r="K25" s="137"/>
      <c r="L25" s="137"/>
      <c r="M25" s="136"/>
      <c r="N25" s="402"/>
      <c r="O25" s="947"/>
      <c r="P25" s="134"/>
      <c r="Q25" s="134"/>
      <c r="R25" s="135"/>
      <c r="S25" s="134"/>
      <c r="T25" s="133"/>
    </row>
    <row r="26" spans="1:20" ht="12" customHeight="1">
      <c r="A26" s="57" t="s">
        <v>885</v>
      </c>
      <c r="B26" s="74"/>
      <c r="C26" s="126"/>
      <c r="D26" s="125"/>
      <c r="E26" s="125"/>
      <c r="F26" s="125"/>
      <c r="G26" s="127"/>
      <c r="H26" s="947"/>
      <c r="I26" s="415"/>
      <c r="J26" s="137"/>
      <c r="K26" s="137"/>
      <c r="L26" s="137"/>
      <c r="M26" s="136"/>
      <c r="N26" s="402"/>
      <c r="O26" s="947"/>
      <c r="P26" s="134"/>
      <c r="Q26" s="134"/>
      <c r="R26" s="135"/>
      <c r="S26" s="134"/>
      <c r="T26" s="133"/>
    </row>
    <row r="27" spans="1:20" ht="12" customHeight="1">
      <c r="A27" s="57" t="s">
        <v>886</v>
      </c>
      <c r="B27" s="74"/>
      <c r="C27" s="126"/>
      <c r="D27" s="125"/>
      <c r="E27" s="125"/>
      <c r="F27" s="125"/>
      <c r="G27" s="127"/>
      <c r="H27" s="947"/>
      <c r="I27" s="415"/>
      <c r="J27" s="137"/>
      <c r="K27" s="137"/>
      <c r="L27" s="137"/>
      <c r="M27" s="136"/>
      <c r="N27" s="402"/>
      <c r="O27" s="947"/>
      <c r="P27" s="134"/>
      <c r="Q27" s="134"/>
      <c r="R27" s="135"/>
      <c r="S27" s="134"/>
      <c r="T27" s="133"/>
    </row>
    <row r="28" spans="1:20" ht="12" customHeight="1">
      <c r="A28" s="57" t="s">
        <v>887</v>
      </c>
      <c r="B28" s="74"/>
      <c r="C28" s="286">
        <f>C18</f>
        <v>1623</v>
      </c>
      <c r="D28" s="65">
        <f t="shared" ref="D28:N28" si="3">D18</f>
        <v>1899</v>
      </c>
      <c r="E28" s="65">
        <f t="shared" si="3"/>
        <v>1949</v>
      </c>
      <c r="F28" s="65">
        <f t="shared" si="3"/>
        <v>1795</v>
      </c>
      <c r="G28" s="269">
        <f t="shared" si="3"/>
        <v>2259</v>
      </c>
      <c r="H28" s="925">
        <f t="shared" si="3"/>
        <v>1656.8059262499992</v>
      </c>
      <c r="I28" s="289">
        <f t="shared" si="3"/>
        <v>1633.4361301539996</v>
      </c>
      <c r="J28" s="65">
        <f t="shared" si="3"/>
        <v>3290.242056403999</v>
      </c>
      <c r="K28" s="404">
        <f t="shared" si="3"/>
        <v>1706.5530740456886</v>
      </c>
      <c r="L28" s="404">
        <f t="shared" si="3"/>
        <v>1819.5286467848096</v>
      </c>
      <c r="M28" s="405">
        <f t="shared" si="3"/>
        <v>1734.154484518619</v>
      </c>
      <c r="N28" s="402">
        <f t="shared" si="3"/>
        <v>0</v>
      </c>
      <c r="O28" s="925">
        <v>1656.806</v>
      </c>
      <c r="P28" s="134"/>
      <c r="Q28" s="134"/>
      <c r="R28" s="135"/>
      <c r="S28" s="134"/>
      <c r="T28" s="133"/>
    </row>
    <row r="29" spans="1:20" ht="12" customHeight="1">
      <c r="A29" s="57" t="s">
        <v>888</v>
      </c>
      <c r="B29" s="74"/>
      <c r="C29" s="126"/>
      <c r="D29" s="125"/>
      <c r="E29" s="125"/>
      <c r="F29" s="125"/>
      <c r="G29" s="127"/>
      <c r="H29" s="918"/>
      <c r="I29" s="417"/>
      <c r="J29" s="125"/>
      <c r="K29" s="403"/>
      <c r="L29" s="403"/>
      <c r="M29" s="264"/>
      <c r="N29" s="402"/>
      <c r="O29" s="918"/>
      <c r="P29" s="137"/>
      <c r="Q29" s="137"/>
      <c r="R29" s="138"/>
      <c r="S29" s="137"/>
      <c r="T29" s="136"/>
    </row>
    <row r="30" spans="1:20" ht="12" customHeight="1">
      <c r="A30" s="57" t="s">
        <v>889</v>
      </c>
      <c r="B30" s="74"/>
      <c r="C30" s="126"/>
      <c r="D30" s="125"/>
      <c r="E30" s="125"/>
      <c r="F30" s="125"/>
      <c r="G30" s="127"/>
      <c r="H30" s="918"/>
      <c r="I30" s="417"/>
      <c r="J30" s="125"/>
      <c r="K30" s="403"/>
      <c r="L30" s="403"/>
      <c r="M30" s="264"/>
      <c r="N30" s="402"/>
      <c r="O30" s="918"/>
      <c r="P30" s="137"/>
      <c r="Q30" s="137"/>
      <c r="R30" s="138"/>
      <c r="S30" s="137"/>
      <c r="T30" s="136"/>
    </row>
    <row r="31" spans="1:20" s="295" customFormat="1" ht="12" customHeight="1">
      <c r="A31" s="112" t="s">
        <v>890</v>
      </c>
      <c r="B31" s="111"/>
      <c r="C31" s="79">
        <f>SUM(C22:C30)</f>
        <v>1623</v>
      </c>
      <c r="D31" s="81">
        <f>SUM(D22:D30)</f>
        <v>1899</v>
      </c>
      <c r="E31" s="81">
        <f>SUM(E22:E30)</f>
        <v>1949</v>
      </c>
      <c r="F31" s="81">
        <f>SUM(F22:F30)</f>
        <v>1795</v>
      </c>
      <c r="G31" s="80">
        <f t="shared" ref="G31:M31" si="4">SUM(G22:G30)</f>
        <v>2259</v>
      </c>
      <c r="H31" s="920">
        <f t="shared" si="4"/>
        <v>1656.8059262499992</v>
      </c>
      <c r="I31" s="271">
        <f t="shared" si="4"/>
        <v>1633.4361301539996</v>
      </c>
      <c r="J31" s="81">
        <f t="shared" si="4"/>
        <v>3290.242056403999</v>
      </c>
      <c r="K31" s="272">
        <f t="shared" si="4"/>
        <v>1706.5530740456886</v>
      </c>
      <c r="L31" s="272">
        <f t="shared" si="4"/>
        <v>1819.5286467848096</v>
      </c>
      <c r="M31" s="270">
        <f t="shared" si="4"/>
        <v>1734.154484518619</v>
      </c>
      <c r="N31" s="402"/>
      <c r="O31" s="920">
        <v>1656.806</v>
      </c>
      <c r="P31" s="81"/>
      <c r="Q31" s="81"/>
      <c r="R31" s="81"/>
      <c r="S31" s="81"/>
      <c r="T31" s="80"/>
    </row>
    <row r="32" spans="1:20" ht="12" customHeight="1">
      <c r="A32" s="109" t="s">
        <v>879</v>
      </c>
      <c r="B32" s="418"/>
      <c r="C32" s="72"/>
      <c r="D32" s="71">
        <f t="shared" ref="D32:I32" si="5">+D31/C31-1</f>
        <v>0.17005545286506463</v>
      </c>
      <c r="E32" s="71">
        <f t="shared" si="5"/>
        <v>2.6329647182727678E-2</v>
      </c>
      <c r="F32" s="71">
        <f t="shared" si="5"/>
        <v>-7.9014879425346352E-2</v>
      </c>
      <c r="G32" s="70">
        <f t="shared" si="5"/>
        <v>0.25849582172701946</v>
      </c>
      <c r="H32" s="921">
        <f t="shared" si="5"/>
        <v>-0.26657550852147005</v>
      </c>
      <c r="I32" s="274">
        <f t="shared" si="5"/>
        <v>-1.4105331062458593E-2</v>
      </c>
      <c r="J32" s="275"/>
      <c r="K32" s="276">
        <f>+K31/I31-1</f>
        <v>4.4762658632263586E-2</v>
      </c>
      <c r="L32" s="276">
        <f>+L31/K31-1</f>
        <v>6.6201030871716249E-2</v>
      </c>
      <c r="M32" s="273">
        <f>+M31/L31-1</f>
        <v>-4.6921032222851045E-2</v>
      </c>
      <c r="N32" s="402"/>
      <c r="O32" s="921">
        <v>-2.5249849488260256E-3</v>
      </c>
      <c r="P32" s="71"/>
      <c r="Q32" s="71"/>
      <c r="R32" s="71"/>
      <c r="S32" s="71"/>
      <c r="T32" s="70"/>
    </row>
    <row r="33" spans="1:20" ht="12" customHeight="1">
      <c r="A33" s="68"/>
      <c r="B33" s="69"/>
      <c r="C33" s="69"/>
      <c r="D33" s="69"/>
      <c r="E33" s="69"/>
      <c r="F33" s="69"/>
      <c r="G33" s="69"/>
      <c r="H33" s="902"/>
      <c r="I33" s="902"/>
      <c r="J33" s="69"/>
      <c r="K33" s="419"/>
      <c r="L33" s="419"/>
      <c r="M33" s="419"/>
      <c r="N33" s="402"/>
      <c r="O33" s="902"/>
      <c r="P33" s="69"/>
      <c r="Q33" s="69"/>
      <c r="R33" s="67"/>
      <c r="S33" s="67"/>
      <c r="T33" s="67"/>
    </row>
    <row r="34" spans="1:20" ht="15.65" customHeight="1">
      <c r="A34" s="62" t="s">
        <v>891</v>
      </c>
      <c r="B34" s="62"/>
      <c r="C34" s="62"/>
      <c r="D34" s="62"/>
      <c r="E34" s="62"/>
      <c r="F34" s="62"/>
      <c r="G34" s="62"/>
      <c r="H34" s="946"/>
      <c r="I34" s="946"/>
      <c r="J34" s="61"/>
      <c r="K34" s="412"/>
      <c r="L34" s="412"/>
      <c r="M34" s="413"/>
      <c r="N34" s="402"/>
      <c r="O34" s="946"/>
      <c r="P34" s="61"/>
      <c r="Q34" s="61"/>
      <c r="R34" s="61"/>
      <c r="S34" s="61"/>
      <c r="T34" s="61"/>
    </row>
    <row r="35" spans="1:20" ht="12" customHeight="1">
      <c r="A35" s="62" t="s">
        <v>892</v>
      </c>
      <c r="B35" s="62"/>
      <c r="C35" s="62"/>
      <c r="D35" s="62"/>
      <c r="E35" s="62"/>
      <c r="F35" s="62"/>
      <c r="G35" s="62"/>
      <c r="H35" s="946"/>
      <c r="I35" s="946"/>
      <c r="J35" s="61"/>
      <c r="K35" s="412"/>
      <c r="L35" s="412"/>
      <c r="M35" s="412"/>
      <c r="N35" s="402"/>
      <c r="O35" s="946"/>
      <c r="P35" s="61"/>
      <c r="Q35" s="61"/>
      <c r="R35" s="61"/>
      <c r="S35" s="61"/>
      <c r="T35" s="61"/>
    </row>
    <row r="36" spans="1:20" s="257" customFormat="1" ht="12" customHeight="1">
      <c r="A36" s="1235" t="s">
        <v>893</v>
      </c>
      <c r="B36" s="456"/>
      <c r="C36" s="1288"/>
      <c r="D36" s="1236"/>
      <c r="E36" s="1236"/>
      <c r="F36" s="1236"/>
      <c r="G36" s="1225"/>
      <c r="H36" s="1297">
        <v>0</v>
      </c>
      <c r="I36" s="1297">
        <v>0</v>
      </c>
      <c r="J36" s="1252"/>
      <c r="K36" s="1298">
        <v>0</v>
      </c>
      <c r="L36" s="1298">
        <v>0</v>
      </c>
      <c r="M36" s="1299">
        <v>0</v>
      </c>
      <c r="N36" s="402"/>
      <c r="O36" s="1231">
        <v>0</v>
      </c>
      <c r="P36" s="1232"/>
      <c r="Q36" s="1232"/>
      <c r="R36" s="1233"/>
      <c r="S36" s="1232"/>
      <c r="T36" s="1234"/>
    </row>
    <row r="37" spans="1:20" s="257" customFormat="1" ht="12" customHeight="1">
      <c r="A37" s="298" t="s">
        <v>894</v>
      </c>
      <c r="B37" s="456"/>
      <c r="C37" s="286"/>
      <c r="D37" s="65"/>
      <c r="E37" s="65"/>
      <c r="F37" s="65"/>
      <c r="G37" s="269"/>
      <c r="H37" s="925">
        <v>0</v>
      </c>
      <c r="I37" s="289">
        <v>0</v>
      </c>
      <c r="J37" s="125"/>
      <c r="K37" s="404">
        <v>0</v>
      </c>
      <c r="L37" s="404">
        <v>0</v>
      </c>
      <c r="M37" s="405">
        <v>0</v>
      </c>
      <c r="N37" s="402"/>
      <c r="O37" s="925">
        <v>0</v>
      </c>
      <c r="P37" s="134"/>
      <c r="Q37" s="134"/>
      <c r="R37" s="135"/>
      <c r="S37" s="134"/>
      <c r="T37" s="133"/>
    </row>
    <row r="38" spans="1:20" s="257" customFormat="1" ht="12" customHeight="1">
      <c r="A38" s="298" t="s">
        <v>895</v>
      </c>
      <c r="B38" s="456"/>
      <c r="C38" s="286"/>
      <c r="D38" s="65"/>
      <c r="E38" s="65"/>
      <c r="F38" s="65"/>
      <c r="G38" s="269"/>
      <c r="H38" s="925">
        <v>0</v>
      </c>
      <c r="I38" s="289">
        <v>0</v>
      </c>
      <c r="J38" s="125"/>
      <c r="K38" s="404">
        <v>0</v>
      </c>
      <c r="L38" s="404">
        <v>0</v>
      </c>
      <c r="M38" s="405">
        <v>0</v>
      </c>
      <c r="N38" s="402"/>
      <c r="O38" s="925">
        <v>0</v>
      </c>
      <c r="P38" s="134"/>
      <c r="Q38" s="134"/>
      <c r="R38" s="135"/>
      <c r="S38" s="134"/>
      <c r="T38" s="133"/>
    </row>
    <row r="39" spans="1:20" s="257" customFormat="1" ht="12" customHeight="1">
      <c r="A39" s="301" t="s">
        <v>896</v>
      </c>
      <c r="B39" s="456"/>
      <c r="C39" s="97">
        <f>SUM(C36:C38)</f>
        <v>0</v>
      </c>
      <c r="D39" s="96">
        <f>SUM(D36:D38)</f>
        <v>0</v>
      </c>
      <c r="E39" s="96">
        <f>SUM(E36:E38)</f>
        <v>0</v>
      </c>
      <c r="F39" s="96">
        <f t="shared" ref="F39:M39" si="6">SUM(F36:F38)</f>
        <v>0</v>
      </c>
      <c r="G39" s="98">
        <f t="shared" si="6"/>
        <v>0</v>
      </c>
      <c r="H39" s="928">
        <f t="shared" si="6"/>
        <v>0</v>
      </c>
      <c r="I39" s="303">
        <f t="shared" si="6"/>
        <v>0</v>
      </c>
      <c r="J39" s="304"/>
      <c r="K39" s="302">
        <f t="shared" si="6"/>
        <v>0</v>
      </c>
      <c r="L39" s="302">
        <f t="shared" si="6"/>
        <v>0</v>
      </c>
      <c r="M39" s="305">
        <f t="shared" si="6"/>
        <v>0</v>
      </c>
      <c r="N39" s="402"/>
      <c r="O39" s="928">
        <v>0</v>
      </c>
      <c r="P39" s="96"/>
      <c r="Q39" s="96"/>
      <c r="R39" s="96"/>
      <c r="S39" s="96"/>
      <c r="T39" s="98"/>
    </row>
    <row r="40" spans="1:20" ht="12" customHeight="1">
      <c r="A40" s="62" t="s">
        <v>897</v>
      </c>
      <c r="B40" s="62"/>
      <c r="C40" s="62"/>
      <c r="D40" s="62"/>
      <c r="E40" s="62"/>
      <c r="F40" s="62"/>
      <c r="G40" s="62"/>
      <c r="H40" s="948"/>
      <c r="I40" s="948"/>
      <c r="J40" s="60"/>
      <c r="K40" s="421"/>
      <c r="L40" s="421"/>
      <c r="M40" s="421"/>
      <c r="N40" s="402"/>
      <c r="O40" s="948"/>
      <c r="P40" s="60"/>
      <c r="Q40" s="60"/>
      <c r="R40" s="1238"/>
      <c r="S40" s="1238"/>
      <c r="T40" s="1238"/>
    </row>
    <row r="41" spans="1:20" s="257" customFormat="1" ht="12" customHeight="1">
      <c r="A41" s="1239" t="s">
        <v>898</v>
      </c>
      <c r="B41" s="456"/>
      <c r="C41" s="1289" t="str">
        <f>IF(C39=0,"",C16/C39)</f>
        <v/>
      </c>
      <c r="D41" s="1240" t="str">
        <f>IF(D39=0,"",D16/D39)</f>
        <v/>
      </c>
      <c r="E41" s="1240" t="str">
        <f>IF(E39=0,"",E16/E39)</f>
        <v/>
      </c>
      <c r="F41" s="1240" t="str">
        <f>IF(F39=0,"",F16/F39)</f>
        <v/>
      </c>
      <c r="G41" s="1290" t="str">
        <f>IF(G39=0,"",G16/G39)</f>
        <v/>
      </c>
      <c r="H41" s="1246"/>
      <c r="I41" s="1309"/>
      <c r="J41" s="1252"/>
      <c r="K41" s="1241"/>
      <c r="L41" s="1241"/>
      <c r="M41" s="1310"/>
      <c r="N41" s="402"/>
      <c r="O41" s="1246" t="e">
        <v>#DIV/0!</v>
      </c>
      <c r="P41" s="1240"/>
      <c r="Q41" s="1240"/>
      <c r="R41" s="1247"/>
      <c r="S41" s="1248"/>
      <c r="T41" s="1249"/>
    </row>
    <row r="42" spans="1:20" s="257" customFormat="1" ht="12" customHeight="1">
      <c r="A42" s="64" t="s">
        <v>899</v>
      </c>
      <c r="B42" s="456"/>
      <c r="C42" s="422"/>
      <c r="D42" s="307"/>
      <c r="E42" s="307"/>
      <c r="F42" s="307"/>
      <c r="G42" s="457"/>
      <c r="H42" s="930"/>
      <c r="I42" s="895"/>
      <c r="J42" s="125"/>
      <c r="K42" s="310"/>
      <c r="L42" s="310"/>
      <c r="M42" s="311"/>
      <c r="N42" s="402"/>
      <c r="O42" s="930">
        <v>0</v>
      </c>
      <c r="P42" s="314"/>
      <c r="Q42" s="314"/>
      <c r="R42" s="423"/>
      <c r="S42" s="312"/>
      <c r="T42" s="313"/>
    </row>
    <row r="43" spans="1:20" s="257" customFormat="1" ht="12" customHeight="1">
      <c r="A43" s="64" t="s">
        <v>900</v>
      </c>
      <c r="B43" s="456"/>
      <c r="C43" s="422"/>
      <c r="D43" s="307"/>
      <c r="E43" s="307"/>
      <c r="F43" s="307"/>
      <c r="G43" s="457"/>
      <c r="H43" s="930"/>
      <c r="I43" s="895"/>
      <c r="J43" s="125"/>
      <c r="K43" s="310"/>
      <c r="L43" s="310"/>
      <c r="M43" s="311"/>
      <c r="N43" s="402"/>
      <c r="O43" s="930">
        <v>0</v>
      </c>
      <c r="P43" s="314"/>
      <c r="Q43" s="314"/>
      <c r="R43" s="423"/>
      <c r="S43" s="312"/>
      <c r="T43" s="313"/>
    </row>
    <row r="44" spans="1:20" s="257" customFormat="1" ht="12" customHeight="1">
      <c r="A44" s="63" t="s">
        <v>901</v>
      </c>
      <c r="B44" s="456"/>
      <c r="C44" s="424"/>
      <c r="D44" s="315"/>
      <c r="E44" s="315"/>
      <c r="F44" s="315"/>
      <c r="G44" s="458"/>
      <c r="H44" s="931"/>
      <c r="I44" s="317"/>
      <c r="J44" s="304"/>
      <c r="K44" s="318"/>
      <c r="L44" s="318"/>
      <c r="M44" s="319"/>
      <c r="N44" s="402"/>
      <c r="O44" s="931">
        <v>0</v>
      </c>
      <c r="P44" s="425"/>
      <c r="Q44" s="425"/>
      <c r="R44" s="426"/>
      <c r="S44" s="320"/>
      <c r="T44" s="1250"/>
    </row>
    <row r="45" spans="1:20" s="257" customFormat="1" ht="5.5" customHeight="1">
      <c r="A45" s="61"/>
      <c r="B45" s="44"/>
      <c r="C45" s="44"/>
      <c r="D45" s="44"/>
      <c r="E45" s="44"/>
      <c r="F45" s="44"/>
      <c r="G45" s="44"/>
      <c r="H45" s="949"/>
      <c r="I45" s="949"/>
      <c r="J45" s="322"/>
      <c r="K45" s="428"/>
      <c r="L45" s="428"/>
      <c r="M45" s="428"/>
      <c r="N45" s="402"/>
      <c r="O45" s="949"/>
      <c r="P45" s="322"/>
      <c r="Q45" s="322"/>
      <c r="R45" s="503"/>
      <c r="S45" s="325"/>
      <c r="T45" s="325"/>
    </row>
    <row r="46" spans="1:20" s="328" customFormat="1" ht="12" customHeight="1">
      <c r="A46" s="55" t="s">
        <v>902</v>
      </c>
      <c r="B46" s="44"/>
      <c r="C46" s="44"/>
      <c r="D46" s="44"/>
      <c r="E46" s="44"/>
      <c r="F46" s="44"/>
      <c r="G46" s="44"/>
      <c r="H46" s="950"/>
      <c r="I46" s="950"/>
      <c r="J46" s="47"/>
      <c r="K46" s="429"/>
      <c r="L46" s="429"/>
      <c r="M46" s="429"/>
      <c r="N46" s="402"/>
      <c r="O46" s="950"/>
      <c r="P46" s="47"/>
      <c r="Q46" s="47"/>
      <c r="R46" s="108"/>
      <c r="S46" s="108"/>
      <c r="T46" s="108"/>
    </row>
    <row r="47" spans="1:20" s="327" customFormat="1" ht="12" customHeight="1">
      <c r="A47" s="1548" t="s">
        <v>903</v>
      </c>
      <c r="B47" s="459"/>
      <c r="C47" s="460"/>
      <c r="D47" s="461"/>
      <c r="E47" s="461"/>
      <c r="F47" s="461"/>
      <c r="G47" s="462"/>
      <c r="H47" s="1318"/>
      <c r="I47" s="463"/>
      <c r="J47" s="461"/>
      <c r="K47" s="464"/>
      <c r="L47" s="464"/>
      <c r="M47" s="465"/>
      <c r="N47" s="466"/>
      <c r="O47" s="1318">
        <v>0</v>
      </c>
      <c r="P47" s="504"/>
      <c r="Q47" s="131"/>
      <c r="R47" s="130"/>
      <c r="S47" s="107"/>
      <c r="T47" s="106"/>
    </row>
    <row r="48" spans="1:20" s="257" customFormat="1" ht="5.5" customHeight="1">
      <c r="A48" s="61"/>
      <c r="B48" s="44"/>
      <c r="C48" s="44"/>
      <c r="D48" s="44"/>
      <c r="E48" s="44"/>
      <c r="F48" s="44"/>
      <c r="G48" s="44"/>
      <c r="H48" s="949"/>
      <c r="I48" s="949"/>
      <c r="J48" s="322"/>
      <c r="K48" s="428"/>
      <c r="L48" s="428"/>
      <c r="M48" s="428"/>
      <c r="N48" s="402"/>
      <c r="O48" s="949"/>
      <c r="P48" s="322"/>
      <c r="Q48" s="322"/>
      <c r="R48" s="324"/>
      <c r="S48" s="325"/>
      <c r="T48" s="325"/>
    </row>
    <row r="49" spans="1:20" s="334" customFormat="1" ht="12" customHeight="1">
      <c r="A49" s="58" t="s">
        <v>904</v>
      </c>
      <c r="B49" s="43"/>
      <c r="C49" s="43"/>
      <c r="D49" s="43"/>
      <c r="E49" s="43"/>
      <c r="F49" s="43"/>
      <c r="G49" s="43"/>
      <c r="H49" s="951"/>
      <c r="I49" s="951"/>
      <c r="J49" s="66"/>
      <c r="K49" s="436"/>
      <c r="L49" s="436"/>
      <c r="M49" s="436"/>
      <c r="N49" s="402"/>
      <c r="O49" s="951"/>
      <c r="P49" s="66"/>
      <c r="Q49" s="66"/>
      <c r="R49" s="105"/>
      <c r="S49" s="105"/>
      <c r="T49" s="105"/>
    </row>
    <row r="50" spans="1:20" s="257" customFormat="1" ht="12" customHeight="1">
      <c r="A50" s="1235" t="s">
        <v>905</v>
      </c>
      <c r="B50" s="456"/>
      <c r="C50" s="1291"/>
      <c r="D50" s="1252"/>
      <c r="E50" s="1252"/>
      <c r="F50" s="1252"/>
      <c r="G50" s="1292"/>
      <c r="H50" s="1312">
        <f>H15</f>
        <v>107.21096924999999</v>
      </c>
      <c r="I50" s="1313">
        <f>I15</f>
        <v>107.21096924999999</v>
      </c>
      <c r="J50" s="1236">
        <f>H50+I50</f>
        <v>214.42193849999998</v>
      </c>
      <c r="K50" s="1232">
        <v>0</v>
      </c>
      <c r="L50" s="1232">
        <v>0</v>
      </c>
      <c r="M50" s="1234">
        <v>0</v>
      </c>
      <c r="N50" s="402"/>
      <c r="O50" s="1312">
        <v>107.211</v>
      </c>
      <c r="P50" s="1256"/>
      <c r="Q50" s="1256"/>
      <c r="R50" s="1257"/>
      <c r="S50" s="1258"/>
      <c r="T50" s="1259"/>
    </row>
    <row r="51" spans="1:20" s="257" customFormat="1" ht="12" customHeight="1">
      <c r="A51" s="298" t="s">
        <v>906</v>
      </c>
      <c r="B51" s="456"/>
      <c r="C51" s="126"/>
      <c r="D51" s="125"/>
      <c r="E51" s="125"/>
      <c r="F51" s="125"/>
      <c r="G51" s="127"/>
      <c r="H51" s="956">
        <v>0</v>
      </c>
      <c r="I51" s="437">
        <v>0</v>
      </c>
      <c r="J51" s="65">
        <f>H51+I51</f>
        <v>0</v>
      </c>
      <c r="K51" s="134">
        <v>0</v>
      </c>
      <c r="L51" s="134">
        <v>0</v>
      </c>
      <c r="M51" s="133">
        <v>0</v>
      </c>
      <c r="N51" s="402"/>
      <c r="O51" s="956">
        <v>0</v>
      </c>
      <c r="P51" s="129"/>
      <c r="Q51" s="129"/>
      <c r="R51" s="128"/>
      <c r="S51" s="84"/>
      <c r="T51" s="103"/>
    </row>
    <row r="52" spans="1:20" s="257" customFormat="1" ht="12" customHeight="1">
      <c r="A52" s="63" t="s">
        <v>907</v>
      </c>
      <c r="B52" s="456"/>
      <c r="C52" s="442"/>
      <c r="D52" s="338"/>
      <c r="E52" s="338"/>
      <c r="F52" s="338"/>
      <c r="G52" s="467"/>
      <c r="H52" s="977">
        <v>0</v>
      </c>
      <c r="I52" s="439">
        <v>0</v>
      </c>
      <c r="J52" s="346">
        <f>H52+I52</f>
        <v>0</v>
      </c>
      <c r="K52" s="440">
        <v>0</v>
      </c>
      <c r="L52" s="440">
        <v>0</v>
      </c>
      <c r="M52" s="441">
        <v>0</v>
      </c>
      <c r="N52" s="402"/>
      <c r="O52" s="977">
        <v>0</v>
      </c>
      <c r="P52" s="514"/>
      <c r="Q52" s="514"/>
      <c r="R52" s="515"/>
      <c r="S52" s="320"/>
      <c r="T52" s="1250"/>
    </row>
    <row r="53" spans="1:20" s="257" customFormat="1" ht="5.5" customHeight="1">
      <c r="A53" s="61"/>
      <c r="B53" s="44"/>
      <c r="C53" s="44"/>
      <c r="D53" s="44"/>
      <c r="E53" s="44"/>
      <c r="F53" s="44"/>
      <c r="G53" s="44"/>
      <c r="H53" s="949"/>
      <c r="I53" s="949"/>
      <c r="J53" s="322"/>
      <c r="K53" s="428"/>
      <c r="L53" s="428"/>
      <c r="M53" s="428"/>
      <c r="N53" s="402"/>
      <c r="O53" s="949"/>
      <c r="P53" s="322"/>
      <c r="Q53" s="322"/>
      <c r="R53" s="324"/>
      <c r="S53" s="325"/>
      <c r="T53" s="325"/>
    </row>
    <row r="54" spans="1:20" s="334" customFormat="1" ht="12" customHeight="1">
      <c r="A54" s="58" t="s">
        <v>908</v>
      </c>
      <c r="B54" s="43"/>
      <c r="C54" s="43"/>
      <c r="D54" s="43"/>
      <c r="E54" s="43"/>
      <c r="F54" s="43"/>
      <c r="G54" s="43"/>
      <c r="H54" s="951"/>
      <c r="I54" s="951"/>
      <c r="J54" s="66"/>
      <c r="K54" s="436"/>
      <c r="L54" s="436"/>
      <c r="M54" s="436"/>
      <c r="N54" s="402"/>
      <c r="O54" s="951"/>
      <c r="P54" s="66"/>
      <c r="Q54" s="66"/>
      <c r="R54" s="105"/>
      <c r="S54" s="105"/>
      <c r="T54" s="105"/>
    </row>
    <row r="55" spans="1:20" s="343" customFormat="1" ht="12" customHeight="1">
      <c r="A55" s="1260" t="s">
        <v>909</v>
      </c>
      <c r="B55" s="459"/>
      <c r="C55" s="1295"/>
      <c r="D55" s="1261"/>
      <c r="E55" s="1261"/>
      <c r="F55" s="1261"/>
      <c r="G55" s="1296"/>
      <c r="H55" s="1264"/>
      <c r="I55" s="1265"/>
      <c r="J55" s="1261"/>
      <c r="K55" s="1266"/>
      <c r="L55" s="1266"/>
      <c r="M55" s="1263"/>
      <c r="N55" s="402"/>
      <c r="O55" s="1264"/>
      <c r="P55" s="1261"/>
      <c r="Q55" s="1261"/>
      <c r="R55" s="1267"/>
      <c r="S55" s="1267"/>
      <c r="T55" s="1268"/>
    </row>
    <row r="56" spans="1:20" s="257" customFormat="1" ht="12" customHeight="1">
      <c r="A56" s="298" t="s">
        <v>910</v>
      </c>
      <c r="B56" s="456"/>
      <c r="C56" s="126"/>
      <c r="D56" s="125"/>
      <c r="E56" s="125"/>
      <c r="F56" s="125"/>
      <c r="G56" s="127"/>
      <c r="H56" s="947"/>
      <c r="I56" s="415"/>
      <c r="J56" s="125"/>
      <c r="K56" s="137"/>
      <c r="L56" s="137"/>
      <c r="M56" s="136"/>
      <c r="N56" s="402"/>
      <c r="O56" s="947"/>
      <c r="P56" s="125"/>
      <c r="Q56" s="125"/>
      <c r="R56" s="124"/>
      <c r="S56" s="124"/>
      <c r="T56" s="123"/>
    </row>
    <row r="57" spans="1:20" s="257" customFormat="1" ht="12" customHeight="1">
      <c r="A57" s="63" t="s">
        <v>911</v>
      </c>
      <c r="B57" s="456"/>
      <c r="C57" s="442"/>
      <c r="D57" s="338"/>
      <c r="E57" s="338"/>
      <c r="F57" s="338"/>
      <c r="G57" s="467"/>
      <c r="H57" s="952"/>
      <c r="I57" s="444"/>
      <c r="J57" s="338"/>
      <c r="K57" s="438"/>
      <c r="L57" s="438"/>
      <c r="M57" s="443"/>
      <c r="N57" s="402"/>
      <c r="O57" s="952"/>
      <c r="P57" s="338"/>
      <c r="Q57" s="338"/>
      <c r="R57" s="445"/>
      <c r="S57" s="382"/>
      <c r="T57" s="1269"/>
    </row>
    <row r="58" spans="1:20" ht="12" customHeight="1">
      <c r="A58" s="102"/>
      <c r="B58" s="101"/>
      <c r="C58" s="101"/>
      <c r="D58" s="101"/>
      <c r="E58" s="101"/>
      <c r="F58" s="101"/>
      <c r="G58" s="101"/>
      <c r="H58" s="953"/>
      <c r="I58" s="953"/>
      <c r="J58" s="122"/>
      <c r="K58" s="447"/>
      <c r="L58" s="447"/>
      <c r="M58" s="447"/>
      <c r="N58" s="402"/>
      <c r="O58" s="953"/>
      <c r="P58" s="122"/>
      <c r="Q58" s="122"/>
      <c r="R58" s="100"/>
      <c r="S58" s="100"/>
      <c r="T58" s="100"/>
    </row>
    <row r="59" spans="1:20" ht="15.65" customHeight="1">
      <c r="A59" s="62" t="s">
        <v>912</v>
      </c>
      <c r="B59" s="62"/>
      <c r="C59" s="62"/>
      <c r="D59" s="62"/>
      <c r="E59" s="62"/>
      <c r="F59" s="62"/>
      <c r="G59" s="62"/>
      <c r="H59" s="946"/>
      <c r="I59" s="946"/>
      <c r="J59" s="61"/>
      <c r="K59" s="412"/>
      <c r="L59" s="412"/>
      <c r="M59" s="413"/>
      <c r="N59" s="402"/>
      <c r="O59" s="946"/>
      <c r="P59" s="61"/>
      <c r="Q59" s="61"/>
      <c r="R59" s="1214"/>
      <c r="S59" s="1214"/>
      <c r="T59" s="1214"/>
    </row>
    <row r="60" spans="1:20" ht="12" customHeight="1">
      <c r="A60" s="1270" t="s">
        <v>913</v>
      </c>
      <c r="B60" s="456"/>
      <c r="C60" s="1288"/>
      <c r="D60" s="1236"/>
      <c r="E60" s="1236"/>
      <c r="F60" s="1236"/>
      <c r="G60" s="1225"/>
      <c r="H60" s="1312">
        <v>0</v>
      </c>
      <c r="I60" s="1313">
        <v>0</v>
      </c>
      <c r="J60" s="1236">
        <f>H60+I60</f>
        <v>0</v>
      </c>
      <c r="K60" s="1232">
        <v>0</v>
      </c>
      <c r="L60" s="1232">
        <v>0</v>
      </c>
      <c r="M60" s="1234">
        <v>0</v>
      </c>
      <c r="N60" s="402"/>
      <c r="O60" s="1312">
        <v>0</v>
      </c>
      <c r="P60" s="1232"/>
      <c r="Q60" s="1232"/>
      <c r="R60" s="1271"/>
      <c r="S60" s="1272"/>
      <c r="T60" s="1273"/>
    </row>
    <row r="61" spans="1:20" s="295" customFormat="1" ht="12" customHeight="1">
      <c r="A61" s="352" t="s">
        <v>914</v>
      </c>
      <c r="B61" s="468"/>
      <c r="C61" s="97">
        <f t="shared" ref="C61:M61" si="7">C18-C60</f>
        <v>1623</v>
      </c>
      <c r="D61" s="96">
        <f t="shared" si="7"/>
        <v>1899</v>
      </c>
      <c r="E61" s="96">
        <f t="shared" si="7"/>
        <v>1949</v>
      </c>
      <c r="F61" s="96">
        <f t="shared" si="7"/>
        <v>1795</v>
      </c>
      <c r="G61" s="98">
        <f t="shared" si="7"/>
        <v>2259</v>
      </c>
      <c r="H61" s="928">
        <f t="shared" si="7"/>
        <v>1656.8059262499992</v>
      </c>
      <c r="I61" s="303">
        <f t="shared" si="7"/>
        <v>1633.4361301539996</v>
      </c>
      <c r="J61" s="96">
        <f t="shared" si="7"/>
        <v>3290.242056403999</v>
      </c>
      <c r="K61" s="302">
        <f t="shared" si="7"/>
        <v>1706.5530740456886</v>
      </c>
      <c r="L61" s="302">
        <f t="shared" si="7"/>
        <v>1819.5286467848096</v>
      </c>
      <c r="M61" s="305">
        <f t="shared" si="7"/>
        <v>1734.154484518619</v>
      </c>
      <c r="N61" s="402"/>
      <c r="O61" s="928">
        <v>1656.806</v>
      </c>
      <c r="P61" s="96"/>
      <c r="Q61" s="96"/>
      <c r="R61" s="95"/>
      <c r="S61" s="94"/>
      <c r="T61" s="1274"/>
    </row>
    <row r="62" spans="1:20" s="356" customFormat="1" ht="12" customHeight="1">
      <c r="A62" s="61"/>
      <c r="B62" s="44"/>
      <c r="C62" s="44"/>
      <c r="D62" s="44"/>
      <c r="E62" s="44"/>
      <c r="F62" s="44"/>
      <c r="G62" s="44"/>
      <c r="H62" s="954"/>
      <c r="I62" s="954"/>
      <c r="J62" s="353"/>
      <c r="K62" s="448"/>
      <c r="L62" s="448"/>
      <c r="M62" s="448"/>
      <c r="N62" s="402"/>
      <c r="O62" s="954"/>
      <c r="P62" s="353"/>
      <c r="Q62" s="353"/>
      <c r="R62" s="355"/>
      <c r="S62" s="355"/>
      <c r="T62" s="355"/>
    </row>
    <row r="63" spans="1:20" ht="15.65" customHeight="1">
      <c r="A63" s="62" t="s">
        <v>915</v>
      </c>
      <c r="B63" s="62"/>
      <c r="C63" s="62"/>
      <c r="D63" s="62"/>
      <c r="E63" s="62"/>
      <c r="F63" s="62"/>
      <c r="G63" s="62"/>
      <c r="H63" s="946"/>
      <c r="I63" s="946"/>
      <c r="J63" s="61"/>
      <c r="K63" s="412"/>
      <c r="L63" s="412"/>
      <c r="M63" s="413"/>
      <c r="N63" s="402"/>
      <c r="O63" s="946"/>
      <c r="P63" s="61"/>
      <c r="Q63" s="61"/>
      <c r="R63" s="1214"/>
      <c r="S63" s="1214"/>
      <c r="T63" s="1214"/>
    </row>
    <row r="64" spans="1:20" s="357" customFormat="1" ht="12" customHeight="1">
      <c r="A64" s="1235" t="s">
        <v>916</v>
      </c>
      <c r="B64" s="44"/>
      <c r="C64" s="1300">
        <f>'Misc. Items'!I26</f>
        <v>0</v>
      </c>
      <c r="D64" s="1275">
        <f>'Misc. Items'!J26</f>
        <v>-2E-3</v>
      </c>
      <c r="E64" s="1275">
        <f>'Misc. Items'!K26</f>
        <v>3.0000000000000001E-3</v>
      </c>
      <c r="F64" s="1275">
        <f>'Misc. Items'!L26</f>
        <v>7.0000000000000001E-3</v>
      </c>
      <c r="G64" s="1301">
        <f>'Misc. Items'!M26</f>
        <v>8.9999999999999993E-3</v>
      </c>
      <c r="H64" s="1277">
        <f>'Misc. Items'!N26</f>
        <v>0</v>
      </c>
      <c r="I64" s="1278">
        <f>'Misc. Items'!O26</f>
        <v>1.6E-2</v>
      </c>
      <c r="J64" s="1279"/>
      <c r="K64" s="1280">
        <f>'Misc. Items'!P26</f>
        <v>1.9E-2</v>
      </c>
      <c r="L64" s="1280">
        <f>'Misc. Items'!Q26</f>
        <v>0.02</v>
      </c>
      <c r="M64" s="1276">
        <f>'Misc. Items'!R26</f>
        <v>0.02</v>
      </c>
      <c r="N64" s="402"/>
      <c r="O64" s="1277">
        <v>0</v>
      </c>
      <c r="P64" s="1278"/>
      <c r="Q64" s="1278"/>
      <c r="R64" s="1280"/>
      <c r="S64" s="1280"/>
      <c r="T64" s="1276"/>
    </row>
    <row r="65" spans="1:20" s="356" customFormat="1" ht="12" customHeight="1">
      <c r="A65" s="298" t="s">
        <v>917</v>
      </c>
      <c r="B65" s="44"/>
      <c r="C65" s="449">
        <f>'Misc. Items'!I27</f>
        <v>99.8994</v>
      </c>
      <c r="D65" s="450">
        <f>'Misc. Items'!J27</f>
        <v>99.7</v>
      </c>
      <c r="E65" s="450">
        <f>'Misc. Items'!K27</f>
        <v>100</v>
      </c>
      <c r="F65" s="450">
        <f>'Misc. Items'!L27</f>
        <v>100.69999999999999</v>
      </c>
      <c r="G65" s="469">
        <f>'Misc. Items'!M27</f>
        <v>101.60629999999998</v>
      </c>
      <c r="H65" s="955">
        <f>'Misc. Items'!N27</f>
        <v>101.60629999999998</v>
      </c>
      <c r="I65" s="452">
        <f>'Misc. Items'!O27</f>
        <v>103.23200079999998</v>
      </c>
      <c r="J65" s="359"/>
      <c r="K65" s="451">
        <f>'Misc. Items'!P27</f>
        <v>105.19340881519997</v>
      </c>
      <c r="L65" s="451">
        <f>'Misc. Items'!Q27</f>
        <v>107.29727699150398</v>
      </c>
      <c r="M65" s="453">
        <f>'Misc. Items'!R27</f>
        <v>109.44322253133406</v>
      </c>
      <c r="N65" s="402"/>
      <c r="O65" s="955">
        <v>101.60629999999998</v>
      </c>
      <c r="P65" s="452"/>
      <c r="Q65" s="452"/>
      <c r="R65" s="451"/>
      <c r="S65" s="451"/>
      <c r="T65" s="453"/>
    </row>
    <row r="66" spans="1:20" s="356" customFormat="1" ht="12" customHeight="1">
      <c r="A66" s="363" t="s">
        <v>918</v>
      </c>
      <c r="B66" s="82"/>
      <c r="C66" s="79">
        <f t="shared" ref="C66:M66" si="8">((C61-C15-C16)/(C65/100))+C15+C16</f>
        <v>1624.6343821884816</v>
      </c>
      <c r="D66" s="81">
        <f t="shared" si="8"/>
        <v>1904.7141424272818</v>
      </c>
      <c r="E66" s="81">
        <f t="shared" si="8"/>
        <v>1949</v>
      </c>
      <c r="F66" s="81">
        <f t="shared" si="8"/>
        <v>1782.5223435948362</v>
      </c>
      <c r="G66" s="80">
        <f t="shared" si="8"/>
        <v>2223.2873355293918</v>
      </c>
      <c r="H66" s="920">
        <f t="shared" si="8"/>
        <v>1632.3082880186194</v>
      </c>
      <c r="I66" s="271">
        <f t="shared" si="8"/>
        <v>1585.6528759034256</v>
      </c>
      <c r="J66" s="81">
        <f>H66+I66</f>
        <v>3217.9611639220448</v>
      </c>
      <c r="K66" s="272">
        <f t="shared" si="8"/>
        <v>1630.7126162961763</v>
      </c>
      <c r="L66" s="272">
        <f t="shared" si="8"/>
        <v>1712.281892959533</v>
      </c>
      <c r="M66" s="270">
        <f t="shared" si="8"/>
        <v>1598.0745719960275</v>
      </c>
      <c r="N66" s="402"/>
      <c r="O66" s="920">
        <v>1632.3083610888307</v>
      </c>
      <c r="P66" s="271"/>
      <c r="Q66" s="271"/>
      <c r="R66" s="272"/>
      <c r="S66" s="272"/>
      <c r="T66" s="270"/>
    </row>
    <row r="67" spans="1:20" s="356" customFormat="1" ht="12" customHeight="1">
      <c r="A67" s="52" t="s">
        <v>879</v>
      </c>
      <c r="B67" s="44"/>
      <c r="C67" s="470"/>
      <c r="D67" s="364">
        <f t="shared" ref="D67:I67" si="9">D66/C66-1</f>
        <v>0.17239556377079479</v>
      </c>
      <c r="E67" s="364">
        <f t="shared" si="9"/>
        <v>2.3250658241179556E-2</v>
      </c>
      <c r="F67" s="364">
        <f t="shared" si="9"/>
        <v>-8.5416960700443134E-2</v>
      </c>
      <c r="G67" s="471">
        <f t="shared" si="9"/>
        <v>0.24727038823292347</v>
      </c>
      <c r="H67" s="941">
        <f t="shared" si="9"/>
        <v>-0.26581316686628509</v>
      </c>
      <c r="I67" s="366">
        <f t="shared" si="9"/>
        <v>-2.8582475784538541E-2</v>
      </c>
      <c r="J67" s="367"/>
      <c r="K67" s="365">
        <f>K66/I66-1</f>
        <v>2.8417153008395868E-2</v>
      </c>
      <c r="L67" s="365">
        <f>L66/K66-1</f>
        <v>5.0020632604550697E-2</v>
      </c>
      <c r="M67" s="368">
        <f>M66/L66-1</f>
        <v>-6.6698901292536528E-2</v>
      </c>
      <c r="N67" s="402"/>
      <c r="O67" s="941">
        <v>-1.4881816417819937E-3</v>
      </c>
      <c r="P67" s="366"/>
      <c r="Q67" s="366"/>
      <c r="R67" s="365"/>
      <c r="S67" s="365"/>
      <c r="T67" s="368"/>
    </row>
    <row r="68" spans="1:20" s="356" customFormat="1" ht="12" customHeight="1">
      <c r="A68" s="369" t="s">
        <v>919</v>
      </c>
      <c r="B68" s="370"/>
      <c r="C68" s="371">
        <f>'Misc. Items'!I37</f>
        <v>149.863</v>
      </c>
      <c r="D68" s="53">
        <f>'Misc. Items'!J37</f>
        <v>163.30528635600001</v>
      </c>
      <c r="E68" s="53">
        <f>'Misc. Items'!K37</f>
        <v>171.66498065517399</v>
      </c>
      <c r="F68" s="53">
        <f>'Misc. Items'!L37</f>
        <v>182.71100000000001</v>
      </c>
      <c r="G68" s="54">
        <f>'Misc. Items'!M37</f>
        <v>187.70944677700001</v>
      </c>
      <c r="H68" s="942">
        <f>'Misc. Items'!N37</f>
        <v>70.511440283846895</v>
      </c>
      <c r="I68" s="373">
        <f>'Misc. Items'!O37</f>
        <v>77</v>
      </c>
      <c r="J68" s="53">
        <f>H68+I68</f>
        <v>147.51144028384689</v>
      </c>
      <c r="K68" s="372">
        <f>'Misc. Items'!P37</f>
        <v>136</v>
      </c>
      <c r="L68" s="372">
        <f>'Misc. Items'!Q37</f>
        <v>163</v>
      </c>
      <c r="M68" s="374">
        <f>'Misc. Items'!R37</f>
        <v>188</v>
      </c>
      <c r="N68" s="402"/>
      <c r="O68" s="942">
        <v>70.511440283846895</v>
      </c>
      <c r="P68" s="894">
        <f>I68</f>
        <v>77</v>
      </c>
      <c r="Q68" s="373"/>
      <c r="R68" s="372"/>
      <c r="S68" s="372"/>
      <c r="T68" s="374"/>
    </row>
    <row r="69" spans="1:20" s="356" customFormat="1" ht="12" customHeight="1">
      <c r="A69" s="52" t="s">
        <v>879</v>
      </c>
      <c r="B69" s="370"/>
      <c r="C69" s="470"/>
      <c r="D69" s="364">
        <f t="shared" ref="D69:I69" si="10">D68/C68-1</f>
        <v>8.9697165784750066E-2</v>
      </c>
      <c r="E69" s="364">
        <f t="shared" si="10"/>
        <v>5.1190592084999098E-2</v>
      </c>
      <c r="F69" s="364">
        <f t="shared" si="10"/>
        <v>6.4346375729446681E-2</v>
      </c>
      <c r="G69" s="471">
        <f t="shared" si="10"/>
        <v>2.7357120135076629E-2</v>
      </c>
      <c r="H69" s="941">
        <f t="shared" si="10"/>
        <v>-0.62435859518772685</v>
      </c>
      <c r="I69" s="366">
        <f t="shared" si="10"/>
        <v>9.2021375397143057E-2</v>
      </c>
      <c r="J69" s="367"/>
      <c r="K69" s="365">
        <f>K68/I68-1</f>
        <v>0.76623376623376616</v>
      </c>
      <c r="L69" s="365">
        <f>L68/K68-1</f>
        <v>0.19852941176470584</v>
      </c>
      <c r="M69" s="368">
        <f>M68/L68-1</f>
        <v>0.15337423312883436</v>
      </c>
      <c r="N69" s="402"/>
      <c r="O69" s="941">
        <v>-0.62435859518772685</v>
      </c>
      <c r="P69" s="366"/>
      <c r="Q69" s="366"/>
      <c r="R69" s="365"/>
      <c r="S69" s="365"/>
      <c r="T69" s="368"/>
    </row>
    <row r="70" spans="1:20" s="356" customFormat="1" ht="12" customHeight="1">
      <c r="A70" s="369" t="s">
        <v>920</v>
      </c>
      <c r="B70" s="370"/>
      <c r="C70" s="375">
        <f t="shared" ref="C70:M70" si="11">C66/C68</f>
        <v>10.840797142646828</v>
      </c>
      <c r="D70" s="51">
        <f t="shared" si="11"/>
        <v>11.663517972560113</v>
      </c>
      <c r="E70" s="51">
        <f t="shared" si="11"/>
        <v>11.353509565908409</v>
      </c>
      <c r="F70" s="51">
        <f t="shared" si="11"/>
        <v>9.7559662176597808</v>
      </c>
      <c r="G70" s="50">
        <f t="shared" si="11"/>
        <v>11.8443017850384</v>
      </c>
      <c r="H70" s="943">
        <f t="shared" si="11"/>
        <v>23.149552490314917</v>
      </c>
      <c r="I70" s="377">
        <f t="shared" si="11"/>
        <v>20.592894492252281</v>
      </c>
      <c r="J70" s="51">
        <f>J66/J68</f>
        <v>21.81499385898427</v>
      </c>
      <c r="K70" s="376">
        <f t="shared" si="11"/>
        <v>11.990533943354237</v>
      </c>
      <c r="L70" s="376">
        <f t="shared" si="11"/>
        <v>10.504796889322288</v>
      </c>
      <c r="M70" s="378">
        <f t="shared" si="11"/>
        <v>8.5003966595533385</v>
      </c>
      <c r="N70" s="402"/>
      <c r="O70" s="943">
        <v>23.149553526603651</v>
      </c>
      <c r="P70" s="377"/>
      <c r="Q70" s="377"/>
      <c r="R70" s="376"/>
      <c r="S70" s="376"/>
      <c r="T70" s="378"/>
    </row>
    <row r="71" spans="1:20" ht="12" customHeight="1">
      <c r="A71" s="49" t="s">
        <v>879</v>
      </c>
      <c r="B71" s="370"/>
      <c r="C71" s="472"/>
      <c r="D71" s="379">
        <f t="shared" ref="D71:I71" si="12">D70/C70-1</f>
        <v>7.5891174706772091E-2</v>
      </c>
      <c r="E71" s="379">
        <f t="shared" si="12"/>
        <v>-2.6579322583549669E-2</v>
      </c>
      <c r="F71" s="379">
        <f t="shared" si="12"/>
        <v>-0.14070920881113524</v>
      </c>
      <c r="G71" s="473">
        <f t="shared" si="12"/>
        <v>0.21405727744304959</v>
      </c>
      <c r="H71" s="944">
        <f t="shared" si="12"/>
        <v>0.9544885726870953</v>
      </c>
      <c r="I71" s="381">
        <f t="shared" si="12"/>
        <v>-0.11044092533245586</v>
      </c>
      <c r="J71" s="382"/>
      <c r="K71" s="380">
        <f>K70/I70-1</f>
        <v>-0.41773440601730527</v>
      </c>
      <c r="L71" s="380">
        <f>L70/K70-1</f>
        <v>-0.12390916543423991</v>
      </c>
      <c r="M71" s="383">
        <f>M70/L70-1</f>
        <v>-0.19080808995044374</v>
      </c>
      <c r="N71" s="402"/>
      <c r="O71" s="944">
        <v>1.6581516456026044</v>
      </c>
      <c r="P71" s="381"/>
      <c r="Q71" s="381"/>
      <c r="R71" s="380"/>
      <c r="S71" s="380"/>
      <c r="T71" s="383"/>
    </row>
    <row r="72" spans="1:20" s="327" customFormat="1" ht="12" customHeight="1">
      <c r="A72" s="48"/>
      <c r="B72" s="370"/>
      <c r="C72" s="370"/>
      <c r="D72" s="370"/>
      <c r="E72" s="370"/>
      <c r="F72" s="370"/>
      <c r="G72" s="370"/>
      <c r="H72" s="384"/>
      <c r="I72" s="384"/>
      <c r="J72" s="93"/>
      <c r="K72" s="93"/>
      <c r="L72" s="93"/>
      <c r="M72" s="93"/>
      <c r="N72" s="402"/>
    </row>
    <row r="73" spans="1:20" s="327" customFormat="1" ht="12" customHeight="1">
      <c r="A73" s="256" t="s">
        <v>921</v>
      </c>
      <c r="B73" s="257"/>
      <c r="C73" s="257"/>
      <c r="D73" s="257"/>
      <c r="E73" s="257"/>
      <c r="F73" s="257"/>
      <c r="G73" s="257"/>
      <c r="H73" s="256"/>
      <c r="I73" s="256"/>
      <c r="J73" s="257"/>
      <c r="K73" s="257"/>
      <c r="L73" s="257"/>
      <c r="M73" s="257"/>
      <c r="N73" s="402"/>
    </row>
    <row r="74" spans="1:20" s="334" customFormat="1" ht="12" customHeight="1">
      <c r="A74" s="385" t="s">
        <v>922</v>
      </c>
      <c r="B74" s="46"/>
      <c r="C74" s="46"/>
      <c r="D74" s="46"/>
      <c r="E74" s="46"/>
      <c r="F74" s="46"/>
      <c r="G74" s="46"/>
      <c r="H74" s="89"/>
      <c r="I74" s="89"/>
      <c r="J74" s="88"/>
      <c r="K74" s="92"/>
      <c r="L74" s="91"/>
      <c r="M74" s="90"/>
      <c r="N74" s="402"/>
    </row>
    <row r="75" spans="1:20" s="334" customFormat="1" ht="12" customHeight="1">
      <c r="A75" s="385" t="s">
        <v>923</v>
      </c>
      <c r="B75" s="77"/>
      <c r="C75" s="77"/>
      <c r="D75" s="77"/>
      <c r="E75" s="77"/>
      <c r="F75" s="77"/>
      <c r="G75" s="77"/>
      <c r="H75" s="89"/>
      <c r="I75" s="89"/>
      <c r="J75" s="89"/>
      <c r="K75" s="89"/>
      <c r="L75" s="386"/>
      <c r="M75" s="88"/>
      <c r="N75" s="402"/>
    </row>
    <row r="76" spans="1:20" ht="12" customHeight="1">
      <c r="A76" s="385" t="s">
        <v>924</v>
      </c>
      <c r="B76" s="45"/>
      <c r="C76" s="45"/>
      <c r="D76" s="45"/>
      <c r="E76" s="45"/>
      <c r="F76" s="45"/>
      <c r="G76" s="45"/>
      <c r="H76" s="387"/>
      <c r="I76" s="387"/>
      <c r="J76" s="388"/>
      <c r="K76" s="388"/>
      <c r="L76" s="389"/>
      <c r="M76" s="87"/>
      <c r="N76" s="402"/>
    </row>
    <row r="77" spans="1:20" s="334" customFormat="1" ht="12" customHeight="1">
      <c r="A77" s="385"/>
      <c r="B77" s="257"/>
      <c r="C77" s="257"/>
      <c r="D77" s="257"/>
      <c r="E77" s="257"/>
      <c r="F77" s="257"/>
      <c r="G77" s="257"/>
      <c r="H77" s="391"/>
      <c r="I77" s="391"/>
      <c r="J77" s="392"/>
      <c r="K77" s="392"/>
      <c r="L77" s="393"/>
      <c r="M77" s="87"/>
      <c r="N77" s="402"/>
    </row>
    <row r="78" spans="1:20" ht="12" customHeight="1">
      <c r="A78" s="86"/>
      <c r="B78" s="86"/>
      <c r="C78" s="43"/>
      <c r="D78" s="43"/>
      <c r="E78" s="43"/>
      <c r="F78" s="43"/>
      <c r="G78" s="43"/>
      <c r="H78" s="85"/>
      <c r="I78" s="85"/>
      <c r="J78" s="85"/>
      <c r="K78" s="85"/>
      <c r="L78" s="85"/>
      <c r="M78" s="388"/>
      <c r="N78" s="402"/>
    </row>
    <row r="79" spans="1:20" ht="12" customHeight="1">
      <c r="A79" s="43"/>
      <c r="B79" s="43"/>
      <c r="C79" s="43"/>
      <c r="D79" s="43"/>
      <c r="E79" s="43"/>
      <c r="F79" s="43"/>
      <c r="G79" s="43"/>
      <c r="H79" s="85"/>
      <c r="I79" s="85"/>
      <c r="J79" s="44"/>
      <c r="K79" s="44"/>
      <c r="L79" s="44"/>
      <c r="M79" s="44"/>
      <c r="N79" s="402"/>
    </row>
    <row r="80" spans="1:20" s="334" customFormat="1" ht="12" customHeight="1">
      <c r="A80" s="385"/>
      <c r="B80" s="257"/>
      <c r="C80" s="257"/>
      <c r="D80" s="474"/>
      <c r="E80" s="474"/>
      <c r="F80" s="474"/>
      <c r="G80" s="474"/>
      <c r="H80" s="394"/>
      <c r="I80" s="394"/>
      <c r="J80" s="40"/>
      <c r="K80" s="394"/>
      <c r="L80" s="394"/>
      <c r="M80" s="394"/>
      <c r="N80" s="402"/>
    </row>
    <row r="81" spans="1:14" ht="12" customHeight="1">
      <c r="A81" s="86"/>
      <c r="B81" s="86"/>
      <c r="C81" s="43"/>
      <c r="D81" s="43"/>
      <c r="E81" s="43"/>
      <c r="F81" s="475"/>
      <c r="G81" s="43"/>
      <c r="H81" s="86"/>
      <c r="I81" s="86"/>
      <c r="K81" s="86"/>
      <c r="L81" s="86"/>
      <c r="M81" s="86"/>
      <c r="N81" s="402"/>
    </row>
    <row r="82" spans="1:14" ht="12" customHeight="1">
      <c r="A82" s="43"/>
      <c r="B82" s="43"/>
      <c r="C82" s="43"/>
      <c r="D82" s="43"/>
      <c r="E82" s="43"/>
      <c r="F82" s="43"/>
      <c r="G82" s="43"/>
      <c r="H82" s="86"/>
      <c r="I82" s="86"/>
      <c r="K82" s="43"/>
      <c r="L82" s="43"/>
      <c r="M82" s="43"/>
      <c r="N82" s="402"/>
    </row>
    <row r="83" spans="1:14">
      <c r="C83" s="396"/>
      <c r="D83" s="396"/>
      <c r="E83" s="396"/>
      <c r="F83" s="396"/>
      <c r="G83" s="396"/>
      <c r="H83" s="397"/>
      <c r="I83" s="397"/>
      <c r="J83" s="120"/>
      <c r="K83" s="396"/>
      <c r="L83" s="396"/>
      <c r="M83" s="396"/>
      <c r="N83" s="402"/>
    </row>
    <row r="84" spans="1:14">
      <c r="N84" s="402"/>
    </row>
    <row r="85" spans="1:14">
      <c r="M85" s="120"/>
      <c r="N85" s="402"/>
    </row>
    <row r="86" spans="1:14">
      <c r="N86" s="402"/>
    </row>
    <row r="87" spans="1:14">
      <c r="N87" s="402"/>
    </row>
    <row r="88" spans="1:14">
      <c r="N88" s="402"/>
    </row>
    <row r="89" spans="1:14">
      <c r="N89" s="402"/>
    </row>
    <row r="90" spans="1:14">
      <c r="N90" s="402"/>
    </row>
    <row r="117" spans="1:14" ht="12" customHeight="1">
      <c r="A117" s="42"/>
      <c r="B117" s="120"/>
      <c r="C117" s="120"/>
      <c r="D117" s="120"/>
      <c r="E117" s="120"/>
      <c r="F117" s="120"/>
      <c r="G117" s="120"/>
      <c r="H117" s="255"/>
      <c r="I117" s="255"/>
      <c r="J117" s="120"/>
      <c r="K117" s="120"/>
      <c r="L117" s="120"/>
    </row>
    <row r="119" spans="1:14">
      <c r="M119" s="120"/>
      <c r="N119" s="120"/>
    </row>
  </sheetData>
  <mergeCells count="3">
    <mergeCell ref="C7:G7"/>
    <mergeCell ref="H7:M7"/>
    <mergeCell ref="O7:T7"/>
  </mergeCells>
  <pageMargins left="0.7" right="0.7" top="0.75" bottom="0.75" header="0.3" footer="0.3"/>
  <pageSetup paperSize="9" scale="4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FF16-3A59-413D-93C9-EBF0E0FDA76E}">
  <sheetPr>
    <tabColor theme="7"/>
  </sheetPr>
  <dimension ref="B7"/>
  <sheetViews>
    <sheetView workbookViewId="0">
      <selection activeCell="B7" sqref="B7"/>
    </sheetView>
  </sheetViews>
  <sheetFormatPr defaultColWidth="8.81640625" defaultRowHeight="14.5"/>
  <cols>
    <col min="1" max="16384" width="8.81640625" style="1"/>
  </cols>
  <sheetData>
    <row r="7" spans="2:2" ht="26">
      <c r="B7" s="2" t="s">
        <v>962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E7BFE-E1E2-464F-996D-F9EB88EF00D5}">
  <sheetPr>
    <tabColor theme="7" tint="0.59999389629810485"/>
  </sheetPr>
  <dimension ref="A1:AL106"/>
  <sheetViews>
    <sheetView zoomScale="85" zoomScaleNormal="85" workbookViewId="0">
      <pane ySplit="6" topLeftCell="A18" activePane="bottomLeft" state="frozen"/>
      <selection activeCell="C2" sqref="C2"/>
      <selection pane="bottomLeft" activeCell="U65" sqref="U65"/>
    </sheetView>
  </sheetViews>
  <sheetFormatPr defaultColWidth="0" defaultRowHeight="13" outlineLevelRow="1" outlineLevelCol="1"/>
  <cols>
    <col min="1" max="1" width="1.453125" style="3" customWidth="1"/>
    <col min="2" max="2" width="3.26953125" style="3" customWidth="1"/>
    <col min="3" max="3" width="30.81640625" style="3" bestFit="1" customWidth="1"/>
    <col min="4" max="4" width="3.1796875" style="3" customWidth="1"/>
    <col min="5" max="5" width="8.81640625" style="3" customWidth="1"/>
    <col min="6" max="6" width="4.81640625" style="3" customWidth="1"/>
    <col min="7" max="7" width="15.26953125" style="3" bestFit="1" customWidth="1"/>
    <col min="8" max="8" width="15.26953125" style="3" customWidth="1" outlineLevel="1"/>
    <col min="9" max="9" width="5.1796875" style="3" customWidth="1" outlineLevel="1"/>
    <col min="10" max="10" width="11.453125" style="3" customWidth="1" outlineLevel="1"/>
    <col min="11" max="11" width="5.81640625" style="3" customWidth="1" outlineLevel="1"/>
    <col min="12" max="12" width="17.26953125" style="3" customWidth="1" outlineLevel="1"/>
    <col min="13" max="13" width="6.81640625" style="3" customWidth="1" outlineLevel="1"/>
    <col min="14" max="14" width="11.81640625" style="3" customWidth="1" outlineLevel="1"/>
    <col min="15" max="15" width="11.54296875" style="3" bestFit="1" customWidth="1" outlineLevel="1"/>
    <col min="16" max="16" width="11.1796875" style="3" customWidth="1" outlineLevel="1"/>
    <col min="17" max="17" width="11.81640625" style="3" customWidth="1"/>
    <col min="18" max="37" width="11.54296875" style="23" bestFit="1" customWidth="1"/>
    <col min="38" max="38" width="3.26953125" style="3" customWidth="1"/>
    <col min="39" max="16384" width="0" style="3" hidden="1"/>
  </cols>
  <sheetData>
    <row r="1" spans="2:38" ht="9" customHeight="1"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2:38">
      <c r="B2" s="4"/>
      <c r="C2" s="4"/>
      <c r="D2" s="4"/>
      <c r="E2" s="4"/>
      <c r="F2" s="5"/>
      <c r="G2" s="5" t="s">
        <v>161</v>
      </c>
      <c r="H2" s="5"/>
      <c r="I2" s="5"/>
      <c r="J2" s="5"/>
      <c r="K2" s="5"/>
      <c r="L2" s="5"/>
      <c r="M2" s="5"/>
      <c r="N2" s="5"/>
      <c r="O2" s="5"/>
      <c r="P2" s="5"/>
      <c r="Q2" s="5" t="s">
        <v>120</v>
      </c>
      <c r="R2" s="10">
        <f>'Misc. Items'!I2</f>
        <v>42005</v>
      </c>
      <c r="S2" s="10">
        <f>'Misc. Items'!J2</f>
        <v>42370</v>
      </c>
      <c r="T2" s="10">
        <f>'Misc. Items'!K2</f>
        <v>42736</v>
      </c>
      <c r="U2" s="10">
        <f>'Misc. Items'!L2</f>
        <v>43101</v>
      </c>
      <c r="V2" s="10">
        <f>'Misc. Items'!M2</f>
        <v>43466</v>
      </c>
      <c r="W2" s="10">
        <f>'Misc. Items'!N2</f>
        <v>43831</v>
      </c>
      <c r="X2" s="10">
        <f>'Misc. Items'!O2</f>
        <v>44197</v>
      </c>
      <c r="Y2" s="10">
        <f>'Misc. Items'!P2</f>
        <v>44562</v>
      </c>
      <c r="Z2" s="10">
        <f>'Misc. Items'!Q2</f>
        <v>44927</v>
      </c>
      <c r="AA2" s="10">
        <f>'Misc. Items'!R2</f>
        <v>45292</v>
      </c>
      <c r="AB2" s="10">
        <f>'Misc. Items'!S2</f>
        <v>45658</v>
      </c>
      <c r="AC2" s="10">
        <f>'Misc. Items'!T2</f>
        <v>46023</v>
      </c>
      <c r="AD2" s="10">
        <f>'Misc. Items'!U2</f>
        <v>46388</v>
      </c>
      <c r="AE2" s="10">
        <f>'Misc. Items'!V2</f>
        <v>46753</v>
      </c>
      <c r="AF2" s="10">
        <f>'Misc. Items'!W2</f>
        <v>47119</v>
      </c>
      <c r="AG2" s="10">
        <f>'Misc. Items'!X2</f>
        <v>47484</v>
      </c>
      <c r="AH2" s="10">
        <f>'Misc. Items'!Y2</f>
        <v>47849</v>
      </c>
      <c r="AI2" s="10">
        <f>'Misc. Items'!Z2</f>
        <v>48214</v>
      </c>
      <c r="AJ2" s="10">
        <f>'Misc. Items'!AA2</f>
        <v>48580</v>
      </c>
      <c r="AK2" s="10">
        <f>'Misc. Items'!AB2</f>
        <v>48945</v>
      </c>
    </row>
    <row r="3" spans="2:38">
      <c r="B3" s="4"/>
      <c r="C3" s="215" t="s">
        <v>121</v>
      </c>
      <c r="D3" s="4"/>
      <c r="E3" s="4"/>
      <c r="F3" s="5"/>
      <c r="G3" s="177" t="s">
        <v>162</v>
      </c>
      <c r="H3" s="5"/>
      <c r="I3" s="5"/>
      <c r="J3" s="5"/>
      <c r="K3" s="5"/>
      <c r="L3" s="5"/>
      <c r="M3" s="5"/>
      <c r="N3" s="5"/>
      <c r="O3" s="5"/>
      <c r="P3" s="5"/>
      <c r="Q3" s="5" t="s">
        <v>122</v>
      </c>
      <c r="R3" s="10">
        <f>'Misc. Items'!I3</f>
        <v>42369</v>
      </c>
      <c r="S3" s="10">
        <f>'Misc. Items'!J3</f>
        <v>42735</v>
      </c>
      <c r="T3" s="10">
        <f>'Misc. Items'!K3</f>
        <v>43100</v>
      </c>
      <c r="U3" s="10">
        <f>'Misc. Items'!L3</f>
        <v>43465</v>
      </c>
      <c r="V3" s="10">
        <f>'Misc. Items'!M3</f>
        <v>43830</v>
      </c>
      <c r="W3" s="10">
        <f>'Misc. Items'!N3</f>
        <v>44196</v>
      </c>
      <c r="X3" s="10">
        <f>'Misc. Items'!O3</f>
        <v>44561</v>
      </c>
      <c r="Y3" s="10">
        <f>'Misc. Items'!P3</f>
        <v>44926</v>
      </c>
      <c r="Z3" s="10">
        <f>'Misc. Items'!Q3</f>
        <v>45291</v>
      </c>
      <c r="AA3" s="10">
        <f>'Misc. Items'!R3</f>
        <v>45657</v>
      </c>
      <c r="AB3" s="10">
        <f>'Misc. Items'!S3</f>
        <v>46022</v>
      </c>
      <c r="AC3" s="10">
        <f>'Misc. Items'!T3</f>
        <v>46387</v>
      </c>
      <c r="AD3" s="10">
        <f>'Misc. Items'!U3</f>
        <v>46752</v>
      </c>
      <c r="AE3" s="10">
        <f>'Misc. Items'!V3</f>
        <v>47118</v>
      </c>
      <c r="AF3" s="10">
        <f>'Misc. Items'!W3</f>
        <v>47483</v>
      </c>
      <c r="AG3" s="10">
        <f>'Misc. Items'!X3</f>
        <v>47848</v>
      </c>
      <c r="AH3" s="10">
        <f>'Misc. Items'!Y3</f>
        <v>48213</v>
      </c>
      <c r="AI3" s="10">
        <f>'Misc. Items'!Z3</f>
        <v>48579</v>
      </c>
      <c r="AJ3" s="10">
        <f>'Misc. Items'!AA3</f>
        <v>48944</v>
      </c>
      <c r="AK3" s="10">
        <f>'Misc. Items'!AB3</f>
        <v>49309</v>
      </c>
    </row>
    <row r="4" spans="2:38">
      <c r="B4" s="4"/>
      <c r="C4" s="1540" t="s">
        <v>123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 t="s">
        <v>124</v>
      </c>
      <c r="R4" s="11">
        <f>'Misc. Items'!I4</f>
        <v>2015</v>
      </c>
      <c r="S4" s="11">
        <f>'Misc. Items'!J4</f>
        <v>2016</v>
      </c>
      <c r="T4" s="11">
        <f>'Misc. Items'!K4</f>
        <v>2017</v>
      </c>
      <c r="U4" s="11">
        <f>'Misc. Items'!L4</f>
        <v>2018</v>
      </c>
      <c r="V4" s="11">
        <f>'Misc. Items'!M4</f>
        <v>2019</v>
      </c>
      <c r="W4" s="11">
        <f>'Misc. Items'!N4</f>
        <v>2020</v>
      </c>
      <c r="X4" s="11">
        <f>'Misc. Items'!O4</f>
        <v>2021</v>
      </c>
      <c r="Y4" s="11">
        <f>'Misc. Items'!P4</f>
        <v>2022</v>
      </c>
      <c r="Z4" s="11">
        <f>'Misc. Items'!Q4</f>
        <v>2023</v>
      </c>
      <c r="AA4" s="11">
        <f>'Misc. Items'!R4</f>
        <v>2024</v>
      </c>
      <c r="AB4" s="11">
        <f>'Misc. Items'!S4</f>
        <v>2025</v>
      </c>
      <c r="AC4" s="11">
        <f>'Misc. Items'!T4</f>
        <v>2026</v>
      </c>
      <c r="AD4" s="11">
        <f>'Misc. Items'!U4</f>
        <v>2027</v>
      </c>
      <c r="AE4" s="11">
        <f>'Misc. Items'!V4</f>
        <v>2028</v>
      </c>
      <c r="AF4" s="11">
        <f>'Misc. Items'!W4</f>
        <v>2029</v>
      </c>
      <c r="AG4" s="11">
        <f>'Misc. Items'!X4</f>
        <v>2030</v>
      </c>
      <c r="AH4" s="11">
        <f>'Misc. Items'!Y4</f>
        <v>2031</v>
      </c>
      <c r="AI4" s="11">
        <f>'Misc. Items'!Z4</f>
        <v>2032</v>
      </c>
      <c r="AJ4" s="11">
        <f>'Misc. Items'!AA4</f>
        <v>2033</v>
      </c>
      <c r="AK4" s="11">
        <f>'Misc. Items'!AB4</f>
        <v>2034</v>
      </c>
    </row>
    <row r="5" spans="2:38">
      <c r="B5" s="4"/>
      <c r="C5" s="5" t="s">
        <v>164</v>
      </c>
      <c r="D5" s="4"/>
      <c r="E5" s="4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 t="s">
        <v>125</v>
      </c>
      <c r="R5" s="11">
        <f>'Misc. Items'!I5</f>
        <v>1</v>
      </c>
      <c r="S5" s="11">
        <f>'Misc. Items'!J5</f>
        <v>2</v>
      </c>
      <c r="T5" s="11">
        <f>'Misc. Items'!K5</f>
        <v>3</v>
      </c>
      <c r="U5" s="11">
        <f>'Misc. Items'!L5</f>
        <v>4</v>
      </c>
      <c r="V5" s="11">
        <f>'Misc. Items'!M5</f>
        <v>5</v>
      </c>
      <c r="W5" s="11">
        <f>'Misc. Items'!N5</f>
        <v>6</v>
      </c>
      <c r="X5" s="11">
        <f>'Misc. Items'!O5</f>
        <v>7</v>
      </c>
      <c r="Y5" s="11">
        <f>'Misc. Items'!P5</f>
        <v>8</v>
      </c>
      <c r="Z5" s="11">
        <f>'Misc. Items'!Q5</f>
        <v>9</v>
      </c>
      <c r="AA5" s="11">
        <f>'Misc. Items'!R5</f>
        <v>10</v>
      </c>
      <c r="AB5" s="11">
        <f>'Misc. Items'!S5</f>
        <v>11</v>
      </c>
      <c r="AC5" s="11">
        <f>'Misc. Items'!T5</f>
        <v>12</v>
      </c>
      <c r="AD5" s="11">
        <f>'Misc. Items'!U5</f>
        <v>13</v>
      </c>
      <c r="AE5" s="11">
        <f>'Misc. Items'!V5</f>
        <v>14</v>
      </c>
      <c r="AF5" s="11">
        <f>'Misc. Items'!W5</f>
        <v>15</v>
      </c>
      <c r="AG5" s="11">
        <f>'Misc. Items'!X5</f>
        <v>16</v>
      </c>
      <c r="AH5" s="11">
        <f>'Misc. Items'!Y5</f>
        <v>17</v>
      </c>
      <c r="AI5" s="11">
        <f>'Misc. Items'!Z5</f>
        <v>18</v>
      </c>
      <c r="AJ5" s="11">
        <f>'Misc. Items'!AA5</f>
        <v>19</v>
      </c>
      <c r="AK5" s="11">
        <f>'Misc. Items'!AB5</f>
        <v>20</v>
      </c>
    </row>
    <row r="6" spans="2:38">
      <c r="B6" s="4"/>
      <c r="C6" s="5" t="s">
        <v>165</v>
      </c>
      <c r="D6" s="4"/>
      <c r="E6" s="5" t="s">
        <v>10</v>
      </c>
      <c r="F6" s="5"/>
      <c r="G6" s="5"/>
      <c r="H6" s="5" t="s">
        <v>927</v>
      </c>
      <c r="I6" s="5"/>
      <c r="J6" s="5"/>
      <c r="K6" s="5"/>
      <c r="L6" s="5" t="s">
        <v>929</v>
      </c>
      <c r="M6" s="5"/>
      <c r="N6" s="5" t="s">
        <v>176</v>
      </c>
      <c r="O6" s="5" t="s">
        <v>963</v>
      </c>
      <c r="P6" s="5" t="s">
        <v>177</v>
      </c>
      <c r="Q6" s="5" t="s">
        <v>126</v>
      </c>
      <c r="R6" s="11" t="str">
        <f>'Misc. Items'!I6</f>
        <v>RP2</v>
      </c>
      <c r="S6" s="11" t="str">
        <f>'Misc. Items'!J6</f>
        <v>RP2</v>
      </c>
      <c r="T6" s="11" t="str">
        <f>'Misc. Items'!K6</f>
        <v>RP2</v>
      </c>
      <c r="U6" s="11" t="str">
        <f>'Misc. Items'!L6</f>
        <v>RP2</v>
      </c>
      <c r="V6" s="11" t="str">
        <f>'Misc. Items'!M6</f>
        <v>RP2</v>
      </c>
      <c r="W6" s="11" t="str">
        <f>'Misc. Items'!N6</f>
        <v>RP3</v>
      </c>
      <c r="X6" s="11" t="str">
        <f>'Misc. Items'!O6</f>
        <v>RP3</v>
      </c>
      <c r="Y6" s="11" t="str">
        <f>'Misc. Items'!P6</f>
        <v>RP3</v>
      </c>
      <c r="Z6" s="11" t="str">
        <f>'Misc. Items'!Q6</f>
        <v>RP3</v>
      </c>
      <c r="AA6" s="11" t="str">
        <f>'Misc. Items'!R6</f>
        <v>RP3</v>
      </c>
      <c r="AB6" s="11" t="str">
        <f>'Misc. Items'!S6</f>
        <v>RP4</v>
      </c>
      <c r="AC6" s="11" t="str">
        <f>'Misc. Items'!T6</f>
        <v>RP4</v>
      </c>
      <c r="AD6" s="11" t="str">
        <f>'Misc. Items'!U6</f>
        <v>RP4</v>
      </c>
      <c r="AE6" s="11" t="str">
        <f>'Misc. Items'!V6</f>
        <v>RP4</v>
      </c>
      <c r="AF6" s="11" t="str">
        <f>'Misc. Items'!W6</f>
        <v>RP4</v>
      </c>
      <c r="AG6" s="11" t="str">
        <f>'Misc. Items'!X6</f>
        <v>RP5</v>
      </c>
      <c r="AH6" s="11" t="str">
        <f>'Misc. Items'!Y6</f>
        <v>RP5</v>
      </c>
      <c r="AI6" s="11" t="str">
        <f>'Misc. Items'!Z6</f>
        <v>RP5</v>
      </c>
      <c r="AJ6" s="11" t="str">
        <f>'Misc. Items'!AA6</f>
        <v>RP5</v>
      </c>
      <c r="AK6" s="11" t="str">
        <f>'Misc. Items'!AB6</f>
        <v>RP5</v>
      </c>
    </row>
    <row r="7" spans="2:38"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2:38">
      <c r="B8" s="5" t="s">
        <v>178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</row>
    <row r="9" spans="2:38"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2:38" ht="13.5" outlineLevel="1" thickBot="1">
      <c r="C10" s="21" t="s">
        <v>767</v>
      </c>
      <c r="D10" s="21"/>
      <c r="E10" s="21"/>
      <c r="F10" s="21"/>
      <c r="G10" s="21"/>
      <c r="H10" s="21" t="s">
        <v>930</v>
      </c>
      <c r="I10" s="21"/>
      <c r="J10" s="21"/>
      <c r="K10" s="21"/>
      <c r="L10" s="21"/>
      <c r="M10" s="21"/>
      <c r="N10" s="22" t="s">
        <v>176</v>
      </c>
      <c r="O10" s="22"/>
      <c r="P10" s="22" t="s">
        <v>177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</row>
    <row r="11" spans="2:38" ht="13.5" outlineLevel="1" thickBot="1">
      <c r="C11" s="3" t="s">
        <v>931</v>
      </c>
      <c r="E11" s="3" t="s">
        <v>29</v>
      </c>
      <c r="H11" s="169"/>
      <c r="N11" s="1552">
        <v>0.73033707865168551</v>
      </c>
      <c r="O11" s="1176">
        <f t="shared" ref="O11" si="0">1-N11-P11</f>
        <v>0.12359550561797739</v>
      </c>
      <c r="P11" s="1552">
        <v>0.1460674157303371</v>
      </c>
      <c r="R11" s="146">
        <f>$H$11</f>
        <v>0</v>
      </c>
      <c r="S11" s="26">
        <f>MAX(R11-R12,0)</f>
        <v>0</v>
      </c>
      <c r="T11" s="26">
        <f t="shared" ref="T11:AK11" si="1">MAX(S11-S12,0)</f>
        <v>0</v>
      </c>
      <c r="U11" s="26">
        <f t="shared" si="1"/>
        <v>0</v>
      </c>
      <c r="V11" s="26">
        <f t="shared" si="1"/>
        <v>0</v>
      </c>
      <c r="W11" s="26">
        <f t="shared" si="1"/>
        <v>0</v>
      </c>
      <c r="X11" s="26">
        <f t="shared" si="1"/>
        <v>0</v>
      </c>
      <c r="Y11" s="26">
        <f t="shared" si="1"/>
        <v>0</v>
      </c>
      <c r="Z11" s="26">
        <f t="shared" si="1"/>
        <v>0</v>
      </c>
      <c r="AA11" s="26">
        <f t="shared" si="1"/>
        <v>0</v>
      </c>
      <c r="AB11" s="26">
        <f t="shared" si="1"/>
        <v>0</v>
      </c>
      <c r="AC11" s="26">
        <f t="shared" si="1"/>
        <v>0</v>
      </c>
      <c r="AD11" s="26">
        <f t="shared" si="1"/>
        <v>0</v>
      </c>
      <c r="AE11" s="26">
        <f t="shared" si="1"/>
        <v>0</v>
      </c>
      <c r="AF11" s="26">
        <f t="shared" si="1"/>
        <v>0</v>
      </c>
      <c r="AG11" s="26">
        <f t="shared" si="1"/>
        <v>0</v>
      </c>
      <c r="AH11" s="26">
        <f t="shared" si="1"/>
        <v>0</v>
      </c>
      <c r="AI11" s="26">
        <f t="shared" si="1"/>
        <v>0</v>
      </c>
      <c r="AJ11" s="26">
        <f t="shared" si="1"/>
        <v>0</v>
      </c>
      <c r="AK11" s="26">
        <f t="shared" si="1"/>
        <v>0</v>
      </c>
      <c r="AL11" s="26"/>
    </row>
    <row r="12" spans="2:38" outlineLevel="1">
      <c r="C12" s="3" t="s">
        <v>31</v>
      </c>
      <c r="E12" s="3" t="s">
        <v>29</v>
      </c>
      <c r="R12" s="145"/>
      <c r="S12" s="38"/>
      <c r="T12" s="38"/>
      <c r="U12" s="38"/>
      <c r="V12" s="38"/>
      <c r="W12" s="149">
        <v>19.321000000000002</v>
      </c>
      <c r="X12" s="149">
        <v>4.544746323529413</v>
      </c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</row>
    <row r="13" spans="2:38"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2:38">
      <c r="B14" s="5" t="s">
        <v>186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2:38"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2:38">
      <c r="B16" s="20" t="s">
        <v>932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</row>
    <row r="17" spans="2:37"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</row>
    <row r="18" spans="2:37" ht="13.5" thickBot="1">
      <c r="B18" s="6" t="s">
        <v>53</v>
      </c>
      <c r="C18" s="6"/>
      <c r="D18" s="6"/>
      <c r="E18" s="6"/>
      <c r="F18" s="22"/>
      <c r="G18" s="22" t="s">
        <v>161</v>
      </c>
      <c r="H18" s="22" t="s">
        <v>964</v>
      </c>
      <c r="I18" s="22"/>
      <c r="J18" s="22" t="s">
        <v>965</v>
      </c>
      <c r="K18" s="22"/>
      <c r="L18" s="6" t="s">
        <v>935</v>
      </c>
      <c r="M18" s="22"/>
      <c r="N18" s="22" t="s">
        <v>176</v>
      </c>
      <c r="O18" s="22"/>
      <c r="P18" s="22" t="s">
        <v>177</v>
      </c>
      <c r="Q18" s="22"/>
      <c r="R18" s="246" t="s">
        <v>966</v>
      </c>
      <c r="S18" s="22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</row>
    <row r="19" spans="2:37" outlineLevel="1">
      <c r="C19" s="3" t="s">
        <v>967</v>
      </c>
      <c r="E19" s="3" t="s">
        <v>29</v>
      </c>
      <c r="H19" s="169">
        <v>2850</v>
      </c>
      <c r="J19" s="179">
        <v>2022</v>
      </c>
      <c r="L19" s="179">
        <v>6</v>
      </c>
      <c r="N19" s="1552">
        <v>0.73033707865168551</v>
      </c>
      <c r="O19" s="1176">
        <f t="shared" ref="O19:O20" si="2">1-N19-P19</f>
        <v>0.12359550561797739</v>
      </c>
      <c r="P19" s="1552">
        <v>0.1460674157303371</v>
      </c>
      <c r="R19" s="38"/>
      <c r="S19" s="38"/>
      <c r="T19" s="38"/>
      <c r="U19" s="38"/>
      <c r="V19" s="38"/>
      <c r="W19" s="37"/>
      <c r="X19" s="37"/>
      <c r="Y19" s="37">
        <v>0.16544117647058823</v>
      </c>
      <c r="Z19" s="37">
        <v>0.16544117647058823</v>
      </c>
      <c r="AA19" s="37">
        <v>0.16544117647058823</v>
      </c>
      <c r="AB19" s="37">
        <v>0.16544117647058823</v>
      </c>
      <c r="AC19" s="37">
        <v>0.16544117647058823</v>
      </c>
      <c r="AD19" s="37">
        <v>0.16544117647058823</v>
      </c>
      <c r="AE19" s="38"/>
      <c r="AF19" s="38"/>
      <c r="AG19" s="38"/>
      <c r="AH19" s="38"/>
      <c r="AI19" s="38"/>
      <c r="AJ19" s="38"/>
      <c r="AK19" s="38"/>
    </row>
    <row r="20" spans="2:37" outlineLevel="1">
      <c r="C20" s="3" t="s">
        <v>968</v>
      </c>
      <c r="E20" s="3" t="s">
        <v>29</v>
      </c>
      <c r="H20" s="169">
        <v>10000</v>
      </c>
      <c r="J20" s="179">
        <v>2021</v>
      </c>
      <c r="L20" s="179">
        <v>8</v>
      </c>
      <c r="N20" s="1552">
        <v>0.73033707865168551</v>
      </c>
      <c r="O20" s="1176">
        <f t="shared" si="2"/>
        <v>0.12359550561797739</v>
      </c>
      <c r="P20" s="1552">
        <v>0.1460674157303371</v>
      </c>
      <c r="R20" s="38"/>
      <c r="S20" s="38"/>
      <c r="T20" s="38"/>
      <c r="U20" s="38"/>
      <c r="V20" s="38"/>
      <c r="W20" s="38"/>
      <c r="X20" s="37">
        <f>16.5441176470588%/12</f>
        <v>1.3786764705882333E-2</v>
      </c>
      <c r="Y20" s="37">
        <v>0.16544117647058823</v>
      </c>
      <c r="Z20" s="37">
        <v>0.16544117647058823</v>
      </c>
      <c r="AA20" s="37">
        <v>0.16544117647058823</v>
      </c>
      <c r="AB20" s="37">
        <v>0.16544117647058823</v>
      </c>
      <c r="AC20" s="37">
        <v>0.16544117647058823</v>
      </c>
      <c r="AD20" s="37">
        <v>0.16544117647058823</v>
      </c>
      <c r="AE20" s="37">
        <v>0.16544117647058823</v>
      </c>
      <c r="AF20" s="37">
        <f>16.5441176470588%*11/12</f>
        <v>0.15165441176470568</v>
      </c>
      <c r="AG20" s="38"/>
      <c r="AH20" s="38"/>
      <c r="AI20" s="38"/>
      <c r="AJ20" s="38"/>
      <c r="AK20" s="38"/>
    </row>
    <row r="21" spans="2:37" outlineLevel="1">
      <c r="C21" s="3" t="s">
        <v>945</v>
      </c>
      <c r="E21" s="3" t="s">
        <v>29</v>
      </c>
      <c r="H21" s="169"/>
      <c r="J21" s="179"/>
      <c r="L21" s="179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</row>
    <row r="22" spans="2:37" outlineLevel="1">
      <c r="C22" s="3" t="s">
        <v>945</v>
      </c>
      <c r="E22" s="3" t="s">
        <v>29</v>
      </c>
      <c r="H22" s="169"/>
      <c r="J22" s="179"/>
      <c r="L22" s="179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</row>
    <row r="23" spans="2:37" outlineLevel="1">
      <c r="C23" s="3" t="s">
        <v>945</v>
      </c>
      <c r="E23" s="3" t="s">
        <v>29</v>
      </c>
      <c r="H23" s="169"/>
      <c r="J23" s="179"/>
      <c r="L23" s="179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</row>
    <row r="24" spans="2:37" outlineLevel="1">
      <c r="C24" s="3" t="s">
        <v>945</v>
      </c>
      <c r="E24" s="3" t="s">
        <v>29</v>
      </c>
      <c r="H24" s="169"/>
      <c r="J24" s="179"/>
      <c r="L24" s="179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</row>
    <row r="25" spans="2:37" outlineLevel="1">
      <c r="C25" s="3" t="s">
        <v>945</v>
      </c>
      <c r="E25" s="3" t="s">
        <v>29</v>
      </c>
      <c r="H25" s="169"/>
      <c r="J25" s="179"/>
      <c r="L25" s="179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</row>
    <row r="26" spans="2:37"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</row>
    <row r="27" spans="2:37"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2:37" ht="13.5" thickBot="1">
      <c r="B28" s="6" t="s">
        <v>31</v>
      </c>
      <c r="C28" s="6"/>
      <c r="D28" s="7"/>
      <c r="E28" s="7"/>
      <c r="F28" s="7"/>
      <c r="G28" s="7"/>
      <c r="H28" s="7"/>
      <c r="I28" s="7"/>
      <c r="J28" s="6"/>
      <c r="K28" s="6"/>
      <c r="L28" s="6"/>
      <c r="M28" s="7"/>
      <c r="N28" s="7"/>
      <c r="O28" s="7"/>
      <c r="P28" s="7"/>
      <c r="Q28" s="7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</row>
    <row r="29" spans="2:37" outlineLevel="1">
      <c r="C29" s="3" t="str">
        <f t="shared" ref="C29:C35" si="3">C40</f>
        <v>New Regulator ICT Infrastructure Costs</v>
      </c>
      <c r="E29" s="3" t="s">
        <v>949</v>
      </c>
      <c r="R29" s="26">
        <f t="shared" ref="R29:AK29" si="4">IF(R19=0,0,($H19*R19)/$L19)</f>
        <v>0</v>
      </c>
      <c r="S29" s="26">
        <f t="shared" si="4"/>
        <v>0</v>
      </c>
      <c r="T29" s="26">
        <f t="shared" si="4"/>
        <v>0</v>
      </c>
      <c r="U29" s="26">
        <f t="shared" si="4"/>
        <v>0</v>
      </c>
      <c r="V29" s="26">
        <f t="shared" si="4"/>
        <v>0</v>
      </c>
      <c r="W29" s="26">
        <f t="shared" si="4"/>
        <v>0</v>
      </c>
      <c r="X29" s="26">
        <f t="shared" si="4"/>
        <v>0</v>
      </c>
      <c r="Y29" s="26">
        <f t="shared" si="4"/>
        <v>78.584558823529406</v>
      </c>
      <c r="Z29" s="26">
        <f t="shared" si="4"/>
        <v>78.584558823529406</v>
      </c>
      <c r="AA29" s="26">
        <f t="shared" si="4"/>
        <v>78.584558823529406</v>
      </c>
      <c r="AB29" s="26">
        <f t="shared" si="4"/>
        <v>78.584558823529406</v>
      </c>
      <c r="AC29" s="26">
        <f t="shared" si="4"/>
        <v>78.584558823529406</v>
      </c>
      <c r="AD29" s="26">
        <f t="shared" si="4"/>
        <v>78.584558823529406</v>
      </c>
      <c r="AE29" s="26">
        <f t="shared" si="4"/>
        <v>0</v>
      </c>
      <c r="AF29" s="26">
        <f t="shared" si="4"/>
        <v>0</v>
      </c>
      <c r="AG29" s="26">
        <f t="shared" si="4"/>
        <v>0</v>
      </c>
      <c r="AH29" s="26">
        <f t="shared" si="4"/>
        <v>0</v>
      </c>
      <c r="AI29" s="26">
        <f t="shared" si="4"/>
        <v>0</v>
      </c>
      <c r="AJ29" s="26">
        <f t="shared" si="4"/>
        <v>0</v>
      </c>
      <c r="AK29" s="26">
        <f t="shared" si="4"/>
        <v>0</v>
      </c>
    </row>
    <row r="30" spans="2:37" outlineLevel="1">
      <c r="C30" s="3" t="str">
        <f t="shared" si="3"/>
        <v>New Digital Online Regulatory System</v>
      </c>
      <c r="E30" s="3" t="s">
        <v>949</v>
      </c>
      <c r="R30" s="26">
        <f t="shared" ref="R30:AK30" si="5">IF(R20=0,0,($H20*R20)/$L20)</f>
        <v>0</v>
      </c>
      <c r="S30" s="26">
        <f t="shared" si="5"/>
        <v>0</v>
      </c>
      <c r="T30" s="26">
        <f t="shared" si="5"/>
        <v>0</v>
      </c>
      <c r="U30" s="26">
        <f t="shared" si="5"/>
        <v>0</v>
      </c>
      <c r="V30" s="26">
        <f t="shared" si="5"/>
        <v>0</v>
      </c>
      <c r="W30" s="26">
        <f t="shared" si="5"/>
        <v>0</v>
      </c>
      <c r="X30" s="26">
        <f t="shared" si="5"/>
        <v>17.233455882352917</v>
      </c>
      <c r="Y30" s="26">
        <f t="shared" si="5"/>
        <v>206.80147058823528</v>
      </c>
      <c r="Z30" s="26">
        <f t="shared" si="5"/>
        <v>206.80147058823528</v>
      </c>
      <c r="AA30" s="26">
        <f t="shared" si="5"/>
        <v>206.80147058823528</v>
      </c>
      <c r="AB30" s="26">
        <f t="shared" si="5"/>
        <v>206.80147058823528</v>
      </c>
      <c r="AC30" s="26">
        <f t="shared" si="5"/>
        <v>206.80147058823528</v>
      </c>
      <c r="AD30" s="26">
        <f t="shared" si="5"/>
        <v>206.80147058823528</v>
      </c>
      <c r="AE30" s="26">
        <f t="shared" si="5"/>
        <v>206.80147058823528</v>
      </c>
      <c r="AF30" s="26">
        <f t="shared" si="5"/>
        <v>189.56801470588209</v>
      </c>
      <c r="AG30" s="26">
        <f t="shared" si="5"/>
        <v>0</v>
      </c>
      <c r="AH30" s="26">
        <f t="shared" si="5"/>
        <v>0</v>
      </c>
      <c r="AI30" s="26">
        <f t="shared" si="5"/>
        <v>0</v>
      </c>
      <c r="AJ30" s="26">
        <f t="shared" si="5"/>
        <v>0</v>
      </c>
      <c r="AK30" s="26">
        <f t="shared" si="5"/>
        <v>0</v>
      </c>
    </row>
    <row r="31" spans="2:37" outlineLevel="1">
      <c r="C31" s="3" t="str">
        <f t="shared" si="3"/>
        <v>&lt;&lt; add project &gt;&gt;</v>
      </c>
      <c r="E31" s="3" t="s">
        <v>949</v>
      </c>
      <c r="R31" s="26">
        <f t="shared" ref="R31:AK31" si="6">IF(R21=0,0,($H21*R21)/$L21)</f>
        <v>0</v>
      </c>
      <c r="S31" s="26">
        <f t="shared" si="6"/>
        <v>0</v>
      </c>
      <c r="T31" s="26">
        <f t="shared" si="6"/>
        <v>0</v>
      </c>
      <c r="U31" s="26">
        <f t="shared" si="6"/>
        <v>0</v>
      </c>
      <c r="V31" s="26">
        <f t="shared" si="6"/>
        <v>0</v>
      </c>
      <c r="W31" s="26">
        <f t="shared" si="6"/>
        <v>0</v>
      </c>
      <c r="X31" s="26">
        <f t="shared" si="6"/>
        <v>0</v>
      </c>
      <c r="Y31" s="26">
        <f t="shared" si="6"/>
        <v>0</v>
      </c>
      <c r="Z31" s="26">
        <f t="shared" si="6"/>
        <v>0</v>
      </c>
      <c r="AA31" s="26">
        <f t="shared" si="6"/>
        <v>0</v>
      </c>
      <c r="AB31" s="26">
        <f t="shared" si="6"/>
        <v>0</v>
      </c>
      <c r="AC31" s="26">
        <f t="shared" si="6"/>
        <v>0</v>
      </c>
      <c r="AD31" s="26">
        <f t="shared" si="6"/>
        <v>0</v>
      </c>
      <c r="AE31" s="26">
        <f t="shared" si="6"/>
        <v>0</v>
      </c>
      <c r="AF31" s="26">
        <f t="shared" si="6"/>
        <v>0</v>
      </c>
      <c r="AG31" s="26">
        <f t="shared" si="6"/>
        <v>0</v>
      </c>
      <c r="AH31" s="26">
        <f t="shared" si="6"/>
        <v>0</v>
      </c>
      <c r="AI31" s="26">
        <f t="shared" si="6"/>
        <v>0</v>
      </c>
      <c r="AJ31" s="26">
        <f t="shared" si="6"/>
        <v>0</v>
      </c>
      <c r="AK31" s="26">
        <f t="shared" si="6"/>
        <v>0</v>
      </c>
    </row>
    <row r="32" spans="2:37" outlineLevel="1">
      <c r="C32" s="3" t="str">
        <f t="shared" si="3"/>
        <v>&lt;&lt; add project &gt;&gt;</v>
      </c>
      <c r="E32" s="3" t="s">
        <v>949</v>
      </c>
      <c r="R32" s="26">
        <f t="shared" ref="R32:AK32" si="7">IF(R22=0,0,($H22*R22)/$L22)</f>
        <v>0</v>
      </c>
      <c r="S32" s="26">
        <f t="shared" si="7"/>
        <v>0</v>
      </c>
      <c r="T32" s="26">
        <f t="shared" si="7"/>
        <v>0</v>
      </c>
      <c r="U32" s="26">
        <f t="shared" si="7"/>
        <v>0</v>
      </c>
      <c r="V32" s="26">
        <f t="shared" si="7"/>
        <v>0</v>
      </c>
      <c r="W32" s="26">
        <f t="shared" si="7"/>
        <v>0</v>
      </c>
      <c r="X32" s="26">
        <f t="shared" si="7"/>
        <v>0</v>
      </c>
      <c r="Y32" s="26">
        <f t="shared" si="7"/>
        <v>0</v>
      </c>
      <c r="Z32" s="26">
        <f t="shared" si="7"/>
        <v>0</v>
      </c>
      <c r="AA32" s="26">
        <f t="shared" si="7"/>
        <v>0</v>
      </c>
      <c r="AB32" s="26">
        <f t="shared" si="7"/>
        <v>0</v>
      </c>
      <c r="AC32" s="26">
        <f t="shared" si="7"/>
        <v>0</v>
      </c>
      <c r="AD32" s="26">
        <f t="shared" si="7"/>
        <v>0</v>
      </c>
      <c r="AE32" s="26">
        <f t="shared" si="7"/>
        <v>0</v>
      </c>
      <c r="AF32" s="26">
        <f t="shared" si="7"/>
        <v>0</v>
      </c>
      <c r="AG32" s="26">
        <f t="shared" si="7"/>
        <v>0</v>
      </c>
      <c r="AH32" s="26">
        <f t="shared" si="7"/>
        <v>0</v>
      </c>
      <c r="AI32" s="26">
        <f t="shared" si="7"/>
        <v>0</v>
      </c>
      <c r="AJ32" s="26">
        <f t="shared" si="7"/>
        <v>0</v>
      </c>
      <c r="AK32" s="26">
        <f t="shared" si="7"/>
        <v>0</v>
      </c>
    </row>
    <row r="33" spans="1:38" outlineLevel="1">
      <c r="C33" s="3" t="str">
        <f t="shared" si="3"/>
        <v>&lt;&lt; add project &gt;&gt;</v>
      </c>
      <c r="E33" s="3" t="s">
        <v>949</v>
      </c>
      <c r="R33" s="26">
        <f t="shared" ref="R33:AK33" si="8">IF(R23=0,0,($H23*R23)/$L23)</f>
        <v>0</v>
      </c>
      <c r="S33" s="26">
        <f t="shared" si="8"/>
        <v>0</v>
      </c>
      <c r="T33" s="26">
        <f t="shared" si="8"/>
        <v>0</v>
      </c>
      <c r="U33" s="26">
        <f t="shared" si="8"/>
        <v>0</v>
      </c>
      <c r="V33" s="26">
        <f t="shared" si="8"/>
        <v>0</v>
      </c>
      <c r="W33" s="26">
        <f t="shared" si="8"/>
        <v>0</v>
      </c>
      <c r="X33" s="26">
        <f t="shared" si="8"/>
        <v>0</v>
      </c>
      <c r="Y33" s="26">
        <f t="shared" si="8"/>
        <v>0</v>
      </c>
      <c r="Z33" s="26">
        <f t="shared" si="8"/>
        <v>0</v>
      </c>
      <c r="AA33" s="26">
        <f t="shared" si="8"/>
        <v>0</v>
      </c>
      <c r="AB33" s="26">
        <f t="shared" si="8"/>
        <v>0</v>
      </c>
      <c r="AC33" s="26">
        <f t="shared" si="8"/>
        <v>0</v>
      </c>
      <c r="AD33" s="26">
        <f t="shared" si="8"/>
        <v>0</v>
      </c>
      <c r="AE33" s="26">
        <f t="shared" si="8"/>
        <v>0</v>
      </c>
      <c r="AF33" s="26">
        <f t="shared" si="8"/>
        <v>0</v>
      </c>
      <c r="AG33" s="26">
        <f t="shared" si="8"/>
        <v>0</v>
      </c>
      <c r="AH33" s="26">
        <f t="shared" si="8"/>
        <v>0</v>
      </c>
      <c r="AI33" s="26">
        <f t="shared" si="8"/>
        <v>0</v>
      </c>
      <c r="AJ33" s="26">
        <f t="shared" si="8"/>
        <v>0</v>
      </c>
      <c r="AK33" s="26">
        <f t="shared" si="8"/>
        <v>0</v>
      </c>
    </row>
    <row r="34" spans="1:38" outlineLevel="1">
      <c r="C34" s="3" t="str">
        <f t="shared" si="3"/>
        <v>&lt;&lt; add project &gt;&gt;</v>
      </c>
      <c r="E34" s="3" t="s">
        <v>949</v>
      </c>
      <c r="R34" s="26">
        <f t="shared" ref="R34:AK34" si="9">IF(R24=0,0,($H24*R24)/$L24)</f>
        <v>0</v>
      </c>
      <c r="S34" s="26">
        <f t="shared" si="9"/>
        <v>0</v>
      </c>
      <c r="T34" s="26">
        <f t="shared" si="9"/>
        <v>0</v>
      </c>
      <c r="U34" s="26">
        <f t="shared" si="9"/>
        <v>0</v>
      </c>
      <c r="V34" s="26">
        <f t="shared" si="9"/>
        <v>0</v>
      </c>
      <c r="W34" s="26">
        <f t="shared" si="9"/>
        <v>0</v>
      </c>
      <c r="X34" s="26">
        <f t="shared" si="9"/>
        <v>0</v>
      </c>
      <c r="Y34" s="26">
        <f t="shared" si="9"/>
        <v>0</v>
      </c>
      <c r="Z34" s="26">
        <f t="shared" si="9"/>
        <v>0</v>
      </c>
      <c r="AA34" s="26">
        <f t="shared" si="9"/>
        <v>0</v>
      </c>
      <c r="AB34" s="26">
        <f t="shared" si="9"/>
        <v>0</v>
      </c>
      <c r="AC34" s="26">
        <f t="shared" si="9"/>
        <v>0</v>
      </c>
      <c r="AD34" s="26">
        <f t="shared" si="9"/>
        <v>0</v>
      </c>
      <c r="AE34" s="26">
        <f t="shared" si="9"/>
        <v>0</v>
      </c>
      <c r="AF34" s="26">
        <f t="shared" si="9"/>
        <v>0</v>
      </c>
      <c r="AG34" s="26">
        <f t="shared" si="9"/>
        <v>0</v>
      </c>
      <c r="AH34" s="26">
        <f t="shared" si="9"/>
        <v>0</v>
      </c>
      <c r="AI34" s="26">
        <f t="shared" si="9"/>
        <v>0</v>
      </c>
      <c r="AJ34" s="26">
        <f t="shared" si="9"/>
        <v>0</v>
      </c>
      <c r="AK34" s="26">
        <f t="shared" si="9"/>
        <v>0</v>
      </c>
    </row>
    <row r="35" spans="1:38" outlineLevel="1">
      <c r="C35" s="3" t="str">
        <f t="shared" si="3"/>
        <v>&lt;&lt; add project &gt;&gt;</v>
      </c>
      <c r="E35" s="3" t="s">
        <v>949</v>
      </c>
      <c r="R35" s="26">
        <f t="shared" ref="R35:AK35" si="10">IF(R25=0,0,($H25*R25)/$L25)</f>
        <v>0</v>
      </c>
      <c r="S35" s="26">
        <f t="shared" si="10"/>
        <v>0</v>
      </c>
      <c r="T35" s="26">
        <f t="shared" si="10"/>
        <v>0</v>
      </c>
      <c r="U35" s="26">
        <f t="shared" si="10"/>
        <v>0</v>
      </c>
      <c r="V35" s="26">
        <f t="shared" si="10"/>
        <v>0</v>
      </c>
      <c r="W35" s="26">
        <f t="shared" si="10"/>
        <v>0</v>
      </c>
      <c r="X35" s="26">
        <f t="shared" si="10"/>
        <v>0</v>
      </c>
      <c r="Y35" s="26">
        <f t="shared" si="10"/>
        <v>0</v>
      </c>
      <c r="Z35" s="26">
        <f t="shared" si="10"/>
        <v>0</v>
      </c>
      <c r="AA35" s="26">
        <f t="shared" si="10"/>
        <v>0</v>
      </c>
      <c r="AB35" s="26">
        <f t="shared" si="10"/>
        <v>0</v>
      </c>
      <c r="AC35" s="26">
        <f t="shared" si="10"/>
        <v>0</v>
      </c>
      <c r="AD35" s="26">
        <f t="shared" si="10"/>
        <v>0</v>
      </c>
      <c r="AE35" s="26">
        <f t="shared" si="10"/>
        <v>0</v>
      </c>
      <c r="AF35" s="26">
        <f t="shared" si="10"/>
        <v>0</v>
      </c>
      <c r="AG35" s="26">
        <f t="shared" si="10"/>
        <v>0</v>
      </c>
      <c r="AH35" s="26">
        <f t="shared" si="10"/>
        <v>0</v>
      </c>
      <c r="AI35" s="26">
        <f t="shared" si="10"/>
        <v>0</v>
      </c>
      <c r="AJ35" s="26">
        <f t="shared" si="10"/>
        <v>0</v>
      </c>
      <c r="AK35" s="26">
        <f t="shared" si="10"/>
        <v>0</v>
      </c>
    </row>
    <row r="36" spans="1:38"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</row>
    <row r="37" spans="1:38">
      <c r="C37" s="17" t="s">
        <v>946</v>
      </c>
      <c r="E37" s="17" t="s">
        <v>949</v>
      </c>
      <c r="R37" s="27">
        <f>SUM(R29:R35)+R12</f>
        <v>0</v>
      </c>
      <c r="S37" s="27">
        <f t="shared" ref="S37:AK37" si="11">SUM(S29:S35)+S12</f>
        <v>0</v>
      </c>
      <c r="T37" s="27">
        <f t="shared" si="11"/>
        <v>0</v>
      </c>
      <c r="U37" s="27">
        <f t="shared" si="11"/>
        <v>0</v>
      </c>
      <c r="V37" s="27">
        <f t="shared" si="11"/>
        <v>0</v>
      </c>
      <c r="W37" s="27">
        <f t="shared" si="11"/>
        <v>19.321000000000002</v>
      </c>
      <c r="X37" s="27">
        <f t="shared" si="11"/>
        <v>21.77820220588233</v>
      </c>
      <c r="Y37" s="27">
        <f t="shared" si="11"/>
        <v>285.3860294117647</v>
      </c>
      <c r="Z37" s="27">
        <f t="shared" si="11"/>
        <v>285.3860294117647</v>
      </c>
      <c r="AA37" s="27">
        <f t="shared" si="11"/>
        <v>285.3860294117647</v>
      </c>
      <c r="AB37" s="27">
        <f t="shared" si="11"/>
        <v>285.3860294117647</v>
      </c>
      <c r="AC37" s="27">
        <f t="shared" si="11"/>
        <v>285.3860294117647</v>
      </c>
      <c r="AD37" s="27">
        <f t="shared" si="11"/>
        <v>285.3860294117647</v>
      </c>
      <c r="AE37" s="27">
        <f t="shared" si="11"/>
        <v>206.80147058823528</v>
      </c>
      <c r="AF37" s="27">
        <f t="shared" si="11"/>
        <v>189.56801470588209</v>
      </c>
      <c r="AG37" s="27">
        <f t="shared" si="11"/>
        <v>0</v>
      </c>
      <c r="AH37" s="27">
        <f t="shared" si="11"/>
        <v>0</v>
      </c>
      <c r="AI37" s="27">
        <f t="shared" si="11"/>
        <v>0</v>
      </c>
      <c r="AJ37" s="27">
        <f t="shared" si="11"/>
        <v>0</v>
      </c>
      <c r="AK37" s="27">
        <f t="shared" si="11"/>
        <v>0</v>
      </c>
    </row>
    <row r="38" spans="1:38"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</row>
    <row r="39" spans="1:38" s="7" customFormat="1" ht="13.5" thickBot="1">
      <c r="A39" s="3"/>
      <c r="B39" s="6" t="s">
        <v>947</v>
      </c>
      <c r="C39" s="6"/>
      <c r="Q39" s="22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3"/>
    </row>
    <row r="40" spans="1:38" outlineLevel="1">
      <c r="C40" s="3" t="str">
        <f t="shared" ref="C40:C46" si="12">C19</f>
        <v>New Regulator ICT Infrastructure Costs</v>
      </c>
      <c r="E40" s="3" t="s">
        <v>949</v>
      </c>
      <c r="Q40" s="144"/>
      <c r="R40" s="26">
        <f t="shared" ref="R40:AK40" si="13">IF(R$4&lt;$J19,0,IF(R$4=$J19,($H19*R19*(S19/R19))-R29,Q40-R29))</f>
        <v>0</v>
      </c>
      <c r="S40" s="26">
        <f t="shared" si="13"/>
        <v>0</v>
      </c>
      <c r="T40" s="26">
        <f t="shared" si="13"/>
        <v>0</v>
      </c>
      <c r="U40" s="26">
        <f t="shared" si="13"/>
        <v>0</v>
      </c>
      <c r="V40" s="26">
        <f t="shared" si="13"/>
        <v>0</v>
      </c>
      <c r="W40" s="26">
        <f t="shared" si="13"/>
        <v>0</v>
      </c>
      <c r="X40" s="26">
        <f t="shared" si="13"/>
        <v>0</v>
      </c>
      <c r="Y40" s="26">
        <f t="shared" si="13"/>
        <v>392.92279411764707</v>
      </c>
      <c r="Z40" s="26">
        <f t="shared" si="13"/>
        <v>314.33823529411768</v>
      </c>
      <c r="AA40" s="26">
        <f t="shared" si="13"/>
        <v>235.75367647058829</v>
      </c>
      <c r="AB40" s="26">
        <f t="shared" si="13"/>
        <v>157.1691176470589</v>
      </c>
      <c r="AC40" s="26">
        <f t="shared" si="13"/>
        <v>78.584558823529491</v>
      </c>
      <c r="AD40" s="26">
        <f t="shared" si="13"/>
        <v>8.5265128291212022E-14</v>
      </c>
      <c r="AE40" s="26">
        <f t="shared" si="13"/>
        <v>8.5265128291212022E-14</v>
      </c>
      <c r="AF40" s="26">
        <f t="shared" si="13"/>
        <v>8.5265128291212022E-14</v>
      </c>
      <c r="AG40" s="26">
        <f t="shared" si="13"/>
        <v>8.5265128291212022E-14</v>
      </c>
      <c r="AH40" s="26">
        <f t="shared" si="13"/>
        <v>8.5265128291212022E-14</v>
      </c>
      <c r="AI40" s="26">
        <f t="shared" si="13"/>
        <v>8.5265128291212022E-14</v>
      </c>
      <c r="AJ40" s="26">
        <f t="shared" si="13"/>
        <v>8.5265128291212022E-14</v>
      </c>
      <c r="AK40" s="26">
        <f t="shared" si="13"/>
        <v>8.5265128291212022E-14</v>
      </c>
    </row>
    <row r="41" spans="1:38" outlineLevel="1">
      <c r="C41" s="3" t="str">
        <f t="shared" si="12"/>
        <v>New Digital Online Regulatory System</v>
      </c>
      <c r="E41" s="3" t="s">
        <v>949</v>
      </c>
      <c r="Q41" s="144"/>
      <c r="R41" s="26">
        <f t="shared" ref="R41:W41" si="14">IF(R$4&lt;$J20,0,IF(R$4=$J20,($H20*R20*(S20/R20))-R30,Q41-R30))</f>
        <v>0</v>
      </c>
      <c r="S41" s="26">
        <f t="shared" si="14"/>
        <v>0</v>
      </c>
      <c r="T41" s="26">
        <f t="shared" si="14"/>
        <v>0</v>
      </c>
      <c r="U41" s="26">
        <f t="shared" si="14"/>
        <v>0</v>
      </c>
      <c r="V41" s="26">
        <f t="shared" si="14"/>
        <v>0</v>
      </c>
      <c r="W41" s="26">
        <f t="shared" si="14"/>
        <v>0</v>
      </c>
      <c r="X41" s="26">
        <f>IF(X$4&lt;$J20,0,IF(X$4=$J20,($H20*X20*(Y20/X20))-X30,W41-X30))</f>
        <v>1637.1783088235293</v>
      </c>
      <c r="Y41" s="26">
        <f t="shared" ref="Y41:AK41" si="15">IF(Y$4&lt;$J20,0,IF(Y$4=$J20,($H20*Y20*(Z20/Y20))-Y30,X41-Y30))</f>
        <v>1430.3768382352939</v>
      </c>
      <c r="Z41" s="26">
        <f t="shared" si="15"/>
        <v>1223.5753676470586</v>
      </c>
      <c r="AA41" s="26">
        <f t="shared" si="15"/>
        <v>1016.7738970588233</v>
      </c>
      <c r="AB41" s="26">
        <f t="shared" si="15"/>
        <v>809.97242647058806</v>
      </c>
      <c r="AC41" s="26">
        <f t="shared" si="15"/>
        <v>603.17095588235281</v>
      </c>
      <c r="AD41" s="26">
        <f t="shared" si="15"/>
        <v>396.36948529411757</v>
      </c>
      <c r="AE41" s="26">
        <f t="shared" si="15"/>
        <v>189.56801470588229</v>
      </c>
      <c r="AF41" s="26">
        <f t="shared" si="15"/>
        <v>1.9895196601282805E-13</v>
      </c>
      <c r="AG41" s="26">
        <f t="shared" si="15"/>
        <v>1.9895196601282805E-13</v>
      </c>
      <c r="AH41" s="26">
        <f t="shared" si="15"/>
        <v>1.9895196601282805E-13</v>
      </c>
      <c r="AI41" s="26">
        <f t="shared" si="15"/>
        <v>1.9895196601282805E-13</v>
      </c>
      <c r="AJ41" s="26">
        <f t="shared" si="15"/>
        <v>1.9895196601282805E-13</v>
      </c>
      <c r="AK41" s="26">
        <f t="shared" si="15"/>
        <v>1.9895196601282805E-13</v>
      </c>
    </row>
    <row r="42" spans="1:38" outlineLevel="1">
      <c r="C42" s="3" t="str">
        <f t="shared" si="12"/>
        <v>&lt;&lt; add project &gt;&gt;</v>
      </c>
      <c r="E42" s="3" t="s">
        <v>949</v>
      </c>
      <c r="Q42" s="144"/>
      <c r="R42" s="26">
        <f t="shared" ref="R42:AK42" si="16">IF(R$4&lt;$J21,0,IF(R$4=$J21,($H21*R21*(S21/R21))-R31,Q42-R31))</f>
        <v>0</v>
      </c>
      <c r="S42" s="26">
        <f t="shared" si="16"/>
        <v>0</v>
      </c>
      <c r="T42" s="26">
        <f t="shared" si="16"/>
        <v>0</v>
      </c>
      <c r="U42" s="26">
        <f t="shared" si="16"/>
        <v>0</v>
      </c>
      <c r="V42" s="26">
        <f t="shared" si="16"/>
        <v>0</v>
      </c>
      <c r="W42" s="26">
        <f t="shared" si="16"/>
        <v>0</v>
      </c>
      <c r="X42" s="26">
        <f t="shared" si="16"/>
        <v>0</v>
      </c>
      <c r="Y42" s="26">
        <f t="shared" si="16"/>
        <v>0</v>
      </c>
      <c r="Z42" s="26">
        <f t="shared" si="16"/>
        <v>0</v>
      </c>
      <c r="AA42" s="26">
        <f t="shared" si="16"/>
        <v>0</v>
      </c>
      <c r="AB42" s="26">
        <f t="shared" si="16"/>
        <v>0</v>
      </c>
      <c r="AC42" s="26">
        <f t="shared" si="16"/>
        <v>0</v>
      </c>
      <c r="AD42" s="26">
        <f t="shared" si="16"/>
        <v>0</v>
      </c>
      <c r="AE42" s="26">
        <f t="shared" si="16"/>
        <v>0</v>
      </c>
      <c r="AF42" s="26">
        <f t="shared" si="16"/>
        <v>0</v>
      </c>
      <c r="AG42" s="26">
        <f t="shared" si="16"/>
        <v>0</v>
      </c>
      <c r="AH42" s="26">
        <f t="shared" si="16"/>
        <v>0</v>
      </c>
      <c r="AI42" s="26">
        <f t="shared" si="16"/>
        <v>0</v>
      </c>
      <c r="AJ42" s="26">
        <f t="shared" si="16"/>
        <v>0</v>
      </c>
      <c r="AK42" s="26">
        <f t="shared" si="16"/>
        <v>0</v>
      </c>
    </row>
    <row r="43" spans="1:38" outlineLevel="1">
      <c r="C43" s="3" t="str">
        <f t="shared" si="12"/>
        <v>&lt;&lt; add project &gt;&gt;</v>
      </c>
      <c r="E43" s="3" t="s">
        <v>949</v>
      </c>
      <c r="Q43" s="144"/>
      <c r="R43" s="26">
        <f t="shared" ref="R43:AK43" si="17">IF(R$4&lt;$J22,0,IF(R$4=$J22,($H22*R22*(S22/R22))-R32,Q43-R32))</f>
        <v>0</v>
      </c>
      <c r="S43" s="26">
        <f t="shared" si="17"/>
        <v>0</v>
      </c>
      <c r="T43" s="26">
        <f t="shared" si="17"/>
        <v>0</v>
      </c>
      <c r="U43" s="26">
        <f t="shared" si="17"/>
        <v>0</v>
      </c>
      <c r="V43" s="26">
        <f t="shared" si="17"/>
        <v>0</v>
      </c>
      <c r="W43" s="26">
        <f t="shared" si="17"/>
        <v>0</v>
      </c>
      <c r="X43" s="26">
        <f t="shared" si="17"/>
        <v>0</v>
      </c>
      <c r="Y43" s="26">
        <f t="shared" si="17"/>
        <v>0</v>
      </c>
      <c r="Z43" s="26">
        <f t="shared" si="17"/>
        <v>0</v>
      </c>
      <c r="AA43" s="26">
        <f t="shared" si="17"/>
        <v>0</v>
      </c>
      <c r="AB43" s="26">
        <f t="shared" si="17"/>
        <v>0</v>
      </c>
      <c r="AC43" s="26">
        <f t="shared" si="17"/>
        <v>0</v>
      </c>
      <c r="AD43" s="26">
        <f t="shared" si="17"/>
        <v>0</v>
      </c>
      <c r="AE43" s="26">
        <f t="shared" si="17"/>
        <v>0</v>
      </c>
      <c r="AF43" s="26">
        <f t="shared" si="17"/>
        <v>0</v>
      </c>
      <c r="AG43" s="26">
        <f t="shared" si="17"/>
        <v>0</v>
      </c>
      <c r="AH43" s="26">
        <f t="shared" si="17"/>
        <v>0</v>
      </c>
      <c r="AI43" s="26">
        <f t="shared" si="17"/>
        <v>0</v>
      </c>
      <c r="AJ43" s="26">
        <f t="shared" si="17"/>
        <v>0</v>
      </c>
      <c r="AK43" s="26">
        <f t="shared" si="17"/>
        <v>0</v>
      </c>
    </row>
    <row r="44" spans="1:38" outlineLevel="1">
      <c r="C44" s="3" t="str">
        <f t="shared" si="12"/>
        <v>&lt;&lt; add project &gt;&gt;</v>
      </c>
      <c r="E44" s="3" t="s">
        <v>949</v>
      </c>
      <c r="Q44" s="144"/>
      <c r="R44" s="26">
        <f t="shared" ref="R44:AK44" si="18">IF(R$4&lt;$J23,0,IF(R$4=$J23,($H23*R23*(S23/R23))-R33,Q44-R33))</f>
        <v>0</v>
      </c>
      <c r="S44" s="26">
        <f t="shared" si="18"/>
        <v>0</v>
      </c>
      <c r="T44" s="26">
        <f t="shared" si="18"/>
        <v>0</v>
      </c>
      <c r="U44" s="26">
        <f t="shared" si="18"/>
        <v>0</v>
      </c>
      <c r="V44" s="26">
        <f t="shared" si="18"/>
        <v>0</v>
      </c>
      <c r="W44" s="26">
        <f t="shared" si="18"/>
        <v>0</v>
      </c>
      <c r="X44" s="26">
        <f t="shared" si="18"/>
        <v>0</v>
      </c>
      <c r="Y44" s="26">
        <f t="shared" si="18"/>
        <v>0</v>
      </c>
      <c r="Z44" s="26">
        <f t="shared" si="18"/>
        <v>0</v>
      </c>
      <c r="AA44" s="26">
        <f t="shared" si="18"/>
        <v>0</v>
      </c>
      <c r="AB44" s="26">
        <f t="shared" si="18"/>
        <v>0</v>
      </c>
      <c r="AC44" s="26">
        <f t="shared" si="18"/>
        <v>0</v>
      </c>
      <c r="AD44" s="26">
        <f t="shared" si="18"/>
        <v>0</v>
      </c>
      <c r="AE44" s="26">
        <f t="shared" si="18"/>
        <v>0</v>
      </c>
      <c r="AF44" s="26">
        <f t="shared" si="18"/>
        <v>0</v>
      </c>
      <c r="AG44" s="26">
        <f t="shared" si="18"/>
        <v>0</v>
      </c>
      <c r="AH44" s="26">
        <f t="shared" si="18"/>
        <v>0</v>
      </c>
      <c r="AI44" s="26">
        <f t="shared" si="18"/>
        <v>0</v>
      </c>
      <c r="AJ44" s="26">
        <f t="shared" si="18"/>
        <v>0</v>
      </c>
      <c r="AK44" s="26">
        <f t="shared" si="18"/>
        <v>0</v>
      </c>
    </row>
    <row r="45" spans="1:38" outlineLevel="1">
      <c r="C45" s="3" t="str">
        <f t="shared" si="12"/>
        <v>&lt;&lt; add project &gt;&gt;</v>
      </c>
      <c r="E45" s="3" t="s">
        <v>949</v>
      </c>
      <c r="Q45" s="144"/>
      <c r="R45" s="26">
        <f t="shared" ref="R45:AK45" si="19">IF(R$4&lt;$J24,0,IF(R$4=$J24,($H24*R24*(S24/R24))-R34,Q45-R34))</f>
        <v>0</v>
      </c>
      <c r="S45" s="26">
        <f t="shared" si="19"/>
        <v>0</v>
      </c>
      <c r="T45" s="26">
        <f t="shared" si="19"/>
        <v>0</v>
      </c>
      <c r="U45" s="26">
        <f t="shared" si="19"/>
        <v>0</v>
      </c>
      <c r="V45" s="26">
        <f t="shared" si="19"/>
        <v>0</v>
      </c>
      <c r="W45" s="26">
        <f t="shared" si="19"/>
        <v>0</v>
      </c>
      <c r="X45" s="26">
        <f t="shared" si="19"/>
        <v>0</v>
      </c>
      <c r="Y45" s="26">
        <f t="shared" si="19"/>
        <v>0</v>
      </c>
      <c r="Z45" s="26">
        <f t="shared" si="19"/>
        <v>0</v>
      </c>
      <c r="AA45" s="26">
        <f t="shared" si="19"/>
        <v>0</v>
      </c>
      <c r="AB45" s="26">
        <f t="shared" si="19"/>
        <v>0</v>
      </c>
      <c r="AC45" s="26">
        <f t="shared" si="19"/>
        <v>0</v>
      </c>
      <c r="AD45" s="26">
        <f t="shared" si="19"/>
        <v>0</v>
      </c>
      <c r="AE45" s="26">
        <f t="shared" si="19"/>
        <v>0</v>
      </c>
      <c r="AF45" s="26">
        <f t="shared" si="19"/>
        <v>0</v>
      </c>
      <c r="AG45" s="26">
        <f t="shared" si="19"/>
        <v>0</v>
      </c>
      <c r="AH45" s="26">
        <f t="shared" si="19"/>
        <v>0</v>
      </c>
      <c r="AI45" s="26">
        <f t="shared" si="19"/>
        <v>0</v>
      </c>
      <c r="AJ45" s="26">
        <f t="shared" si="19"/>
        <v>0</v>
      </c>
      <c r="AK45" s="26">
        <f t="shared" si="19"/>
        <v>0</v>
      </c>
    </row>
    <row r="46" spans="1:38" outlineLevel="1">
      <c r="C46" s="3" t="str">
        <f t="shared" si="12"/>
        <v>&lt;&lt; add project &gt;&gt;</v>
      </c>
      <c r="E46" s="3" t="s">
        <v>949</v>
      </c>
      <c r="Q46" s="144"/>
      <c r="R46" s="26">
        <f t="shared" ref="R46:AK46" si="20">IF(R$4&lt;$J25,0,IF(R$4=$J25,($H25*R25*(S25/R25))-R35,Q46-R35))</f>
        <v>0</v>
      </c>
      <c r="S46" s="26">
        <f t="shared" si="20"/>
        <v>0</v>
      </c>
      <c r="T46" s="26">
        <f t="shared" si="20"/>
        <v>0</v>
      </c>
      <c r="U46" s="26">
        <f t="shared" si="20"/>
        <v>0</v>
      </c>
      <c r="V46" s="26">
        <f t="shared" si="20"/>
        <v>0</v>
      </c>
      <c r="W46" s="26">
        <f t="shared" si="20"/>
        <v>0</v>
      </c>
      <c r="X46" s="26">
        <f t="shared" si="20"/>
        <v>0</v>
      </c>
      <c r="Y46" s="26">
        <f t="shared" si="20"/>
        <v>0</v>
      </c>
      <c r="Z46" s="26">
        <f t="shared" si="20"/>
        <v>0</v>
      </c>
      <c r="AA46" s="26">
        <f t="shared" si="20"/>
        <v>0</v>
      </c>
      <c r="AB46" s="26">
        <f t="shared" si="20"/>
        <v>0</v>
      </c>
      <c r="AC46" s="26">
        <f t="shared" si="20"/>
        <v>0</v>
      </c>
      <c r="AD46" s="26">
        <f t="shared" si="20"/>
        <v>0</v>
      </c>
      <c r="AE46" s="26">
        <f t="shared" si="20"/>
        <v>0</v>
      </c>
      <c r="AF46" s="26">
        <f t="shared" si="20"/>
        <v>0</v>
      </c>
      <c r="AG46" s="26">
        <f t="shared" si="20"/>
        <v>0</v>
      </c>
      <c r="AH46" s="26">
        <f t="shared" si="20"/>
        <v>0</v>
      </c>
      <c r="AI46" s="26">
        <f t="shared" si="20"/>
        <v>0</v>
      </c>
      <c r="AJ46" s="26">
        <f t="shared" si="20"/>
        <v>0</v>
      </c>
      <c r="AK46" s="26">
        <f t="shared" si="20"/>
        <v>0</v>
      </c>
    </row>
    <row r="47" spans="1:38" ht="8.5" customHeight="1"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</row>
    <row r="48" spans="1:38">
      <c r="C48" s="17" t="s">
        <v>948</v>
      </c>
      <c r="D48" s="17"/>
      <c r="E48" s="17" t="s">
        <v>949</v>
      </c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27">
        <f>SUM(R40:R46)</f>
        <v>0</v>
      </c>
      <c r="S48" s="27">
        <f t="shared" ref="S48:AK48" si="21">SUM(S40:S46)</f>
        <v>0</v>
      </c>
      <c r="T48" s="27">
        <f t="shared" si="21"/>
        <v>0</v>
      </c>
      <c r="U48" s="27">
        <f t="shared" si="21"/>
        <v>0</v>
      </c>
      <c r="V48" s="27">
        <f t="shared" si="21"/>
        <v>0</v>
      </c>
      <c r="W48" s="27">
        <f t="shared" si="21"/>
        <v>0</v>
      </c>
      <c r="X48" s="27">
        <f t="shared" si="21"/>
        <v>1637.1783088235293</v>
      </c>
      <c r="Y48" s="27">
        <f t="shared" si="21"/>
        <v>1823.299632352941</v>
      </c>
      <c r="Z48" s="27">
        <f t="shared" si="21"/>
        <v>1537.9136029411761</v>
      </c>
      <c r="AA48" s="27">
        <f t="shared" si="21"/>
        <v>1252.5275735294117</v>
      </c>
      <c r="AB48" s="27">
        <f t="shared" si="21"/>
        <v>967.14154411764696</v>
      </c>
      <c r="AC48" s="27">
        <f t="shared" si="21"/>
        <v>681.75551470588232</v>
      </c>
      <c r="AD48" s="27">
        <f t="shared" si="21"/>
        <v>396.36948529411768</v>
      </c>
      <c r="AE48" s="27">
        <f t="shared" si="21"/>
        <v>189.56801470588238</v>
      </c>
      <c r="AF48" s="27">
        <f t="shared" si="21"/>
        <v>2.8421709430404007E-13</v>
      </c>
      <c r="AG48" s="27">
        <f t="shared" si="21"/>
        <v>2.8421709430404007E-13</v>
      </c>
      <c r="AH48" s="27">
        <f t="shared" si="21"/>
        <v>2.8421709430404007E-13</v>
      </c>
      <c r="AI48" s="27">
        <f t="shared" si="21"/>
        <v>2.8421709430404007E-13</v>
      </c>
      <c r="AJ48" s="27">
        <f t="shared" si="21"/>
        <v>2.8421709430404007E-13</v>
      </c>
      <c r="AK48" s="27">
        <f t="shared" si="21"/>
        <v>2.8421709430404007E-13</v>
      </c>
    </row>
    <row r="49" spans="1:38" ht="8.5" customHeight="1"/>
    <row r="50" spans="1:38">
      <c r="B50" s="152" t="s">
        <v>150</v>
      </c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</row>
    <row r="52" spans="1:38" s="7" customFormat="1" ht="13.5" thickBot="1">
      <c r="A52" s="3"/>
      <c r="B52" s="6" t="s">
        <v>31</v>
      </c>
      <c r="C52" s="6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3"/>
    </row>
    <row r="53" spans="1:38" outlineLevel="1">
      <c r="C53" s="3" t="str">
        <f t="shared" ref="C53:C59" si="22">C29</f>
        <v>New Regulator ICT Infrastructure Costs</v>
      </c>
      <c r="E53" s="3" t="s">
        <v>949</v>
      </c>
      <c r="R53" s="26">
        <f t="shared" ref="R53:AK53" si="23">R29*$N19</f>
        <v>0</v>
      </c>
      <c r="S53" s="26">
        <f t="shared" si="23"/>
        <v>0</v>
      </c>
      <c r="T53" s="26">
        <f t="shared" si="23"/>
        <v>0</v>
      </c>
      <c r="U53" s="26">
        <f t="shared" si="23"/>
        <v>0</v>
      </c>
      <c r="V53" s="26">
        <f t="shared" si="23"/>
        <v>0</v>
      </c>
      <c r="W53" s="26">
        <f t="shared" si="23"/>
        <v>0</v>
      </c>
      <c r="X53" s="26">
        <f t="shared" si="23"/>
        <v>0</v>
      </c>
      <c r="Y53" s="26">
        <f t="shared" si="23"/>
        <v>57.393217118308002</v>
      </c>
      <c r="Z53" s="26">
        <f t="shared" si="23"/>
        <v>57.393217118308002</v>
      </c>
      <c r="AA53" s="26">
        <f t="shared" si="23"/>
        <v>57.393217118308002</v>
      </c>
      <c r="AB53" s="26">
        <f t="shared" si="23"/>
        <v>57.393217118308002</v>
      </c>
      <c r="AC53" s="26">
        <f t="shared" si="23"/>
        <v>57.393217118308002</v>
      </c>
      <c r="AD53" s="26">
        <f t="shared" si="23"/>
        <v>57.393217118308002</v>
      </c>
      <c r="AE53" s="26">
        <f t="shared" si="23"/>
        <v>0</v>
      </c>
      <c r="AF53" s="26">
        <f t="shared" si="23"/>
        <v>0</v>
      </c>
      <c r="AG53" s="26">
        <f t="shared" si="23"/>
        <v>0</v>
      </c>
      <c r="AH53" s="26">
        <f t="shared" si="23"/>
        <v>0</v>
      </c>
      <c r="AI53" s="26">
        <f t="shared" si="23"/>
        <v>0</v>
      </c>
      <c r="AJ53" s="26">
        <f t="shared" si="23"/>
        <v>0</v>
      </c>
      <c r="AK53" s="26">
        <f t="shared" si="23"/>
        <v>0</v>
      </c>
    </row>
    <row r="54" spans="1:38" outlineLevel="1">
      <c r="C54" s="3" t="str">
        <f t="shared" si="22"/>
        <v>New Digital Online Regulatory System</v>
      </c>
      <c r="E54" s="3" t="s">
        <v>949</v>
      </c>
      <c r="R54" s="26">
        <f t="shared" ref="R54:AK54" si="24">R30*$N20</f>
        <v>0</v>
      </c>
      <c r="S54" s="26">
        <f t="shared" si="24"/>
        <v>0</v>
      </c>
      <c r="T54" s="26">
        <f t="shared" si="24"/>
        <v>0</v>
      </c>
      <c r="U54" s="26">
        <f t="shared" si="24"/>
        <v>0</v>
      </c>
      <c r="V54" s="26">
        <f t="shared" si="24"/>
        <v>0</v>
      </c>
      <c r="W54" s="26">
        <f t="shared" si="24"/>
        <v>0</v>
      </c>
      <c r="X54" s="26">
        <f t="shared" si="24"/>
        <v>12.586231824190335</v>
      </c>
      <c r="Y54" s="26">
        <f t="shared" si="24"/>
        <v>151.03478189028422</v>
      </c>
      <c r="Z54" s="26">
        <f t="shared" si="24"/>
        <v>151.03478189028422</v>
      </c>
      <c r="AA54" s="26">
        <f t="shared" si="24"/>
        <v>151.03478189028422</v>
      </c>
      <c r="AB54" s="26">
        <f t="shared" si="24"/>
        <v>151.03478189028422</v>
      </c>
      <c r="AC54" s="26">
        <f t="shared" si="24"/>
        <v>151.03478189028422</v>
      </c>
      <c r="AD54" s="26">
        <f t="shared" si="24"/>
        <v>151.03478189028422</v>
      </c>
      <c r="AE54" s="26">
        <f t="shared" si="24"/>
        <v>151.03478189028422</v>
      </c>
      <c r="AF54" s="26">
        <f t="shared" si="24"/>
        <v>138.44855006609367</v>
      </c>
      <c r="AG54" s="26">
        <f t="shared" si="24"/>
        <v>0</v>
      </c>
      <c r="AH54" s="26">
        <f t="shared" si="24"/>
        <v>0</v>
      </c>
      <c r="AI54" s="26">
        <f t="shared" si="24"/>
        <v>0</v>
      </c>
      <c r="AJ54" s="26">
        <f t="shared" si="24"/>
        <v>0</v>
      </c>
      <c r="AK54" s="26">
        <f t="shared" si="24"/>
        <v>0</v>
      </c>
    </row>
    <row r="55" spans="1:38" outlineLevel="1">
      <c r="C55" s="3" t="str">
        <f t="shared" si="22"/>
        <v>&lt;&lt; add project &gt;&gt;</v>
      </c>
      <c r="E55" s="3" t="s">
        <v>949</v>
      </c>
      <c r="R55" s="26">
        <f t="shared" ref="R55:AK55" si="25">R31*$N21</f>
        <v>0</v>
      </c>
      <c r="S55" s="26">
        <f t="shared" si="25"/>
        <v>0</v>
      </c>
      <c r="T55" s="26">
        <f t="shared" si="25"/>
        <v>0</v>
      </c>
      <c r="U55" s="26">
        <f t="shared" si="25"/>
        <v>0</v>
      </c>
      <c r="V55" s="26">
        <f t="shared" si="25"/>
        <v>0</v>
      </c>
      <c r="W55" s="26">
        <f t="shared" si="25"/>
        <v>0</v>
      </c>
      <c r="X55" s="26">
        <f t="shared" si="25"/>
        <v>0</v>
      </c>
      <c r="Y55" s="26">
        <f t="shared" si="25"/>
        <v>0</v>
      </c>
      <c r="Z55" s="26">
        <f t="shared" si="25"/>
        <v>0</v>
      </c>
      <c r="AA55" s="26">
        <f t="shared" si="25"/>
        <v>0</v>
      </c>
      <c r="AB55" s="26">
        <f t="shared" si="25"/>
        <v>0</v>
      </c>
      <c r="AC55" s="26">
        <f t="shared" si="25"/>
        <v>0</v>
      </c>
      <c r="AD55" s="26">
        <f t="shared" si="25"/>
        <v>0</v>
      </c>
      <c r="AE55" s="26">
        <f t="shared" si="25"/>
        <v>0</v>
      </c>
      <c r="AF55" s="26">
        <f t="shared" si="25"/>
        <v>0</v>
      </c>
      <c r="AG55" s="26">
        <f t="shared" si="25"/>
        <v>0</v>
      </c>
      <c r="AH55" s="26">
        <f t="shared" si="25"/>
        <v>0</v>
      </c>
      <c r="AI55" s="26">
        <f t="shared" si="25"/>
        <v>0</v>
      </c>
      <c r="AJ55" s="26">
        <f t="shared" si="25"/>
        <v>0</v>
      </c>
      <c r="AK55" s="26">
        <f t="shared" si="25"/>
        <v>0</v>
      </c>
    </row>
    <row r="56" spans="1:38" outlineLevel="1">
      <c r="C56" s="3" t="str">
        <f t="shared" si="22"/>
        <v>&lt;&lt; add project &gt;&gt;</v>
      </c>
      <c r="E56" s="3" t="s">
        <v>949</v>
      </c>
      <c r="R56" s="26">
        <f t="shared" ref="R56:AK56" si="26">R32*$N22</f>
        <v>0</v>
      </c>
      <c r="S56" s="26">
        <f t="shared" si="26"/>
        <v>0</v>
      </c>
      <c r="T56" s="26">
        <f t="shared" si="26"/>
        <v>0</v>
      </c>
      <c r="U56" s="26">
        <f t="shared" si="26"/>
        <v>0</v>
      </c>
      <c r="V56" s="26">
        <f t="shared" si="26"/>
        <v>0</v>
      </c>
      <c r="W56" s="26">
        <f t="shared" si="26"/>
        <v>0</v>
      </c>
      <c r="X56" s="26">
        <f t="shared" si="26"/>
        <v>0</v>
      </c>
      <c r="Y56" s="26">
        <f t="shared" si="26"/>
        <v>0</v>
      </c>
      <c r="Z56" s="26">
        <f t="shared" si="26"/>
        <v>0</v>
      </c>
      <c r="AA56" s="26">
        <f t="shared" si="26"/>
        <v>0</v>
      </c>
      <c r="AB56" s="26">
        <f t="shared" si="26"/>
        <v>0</v>
      </c>
      <c r="AC56" s="26">
        <f t="shared" si="26"/>
        <v>0</v>
      </c>
      <c r="AD56" s="26">
        <f t="shared" si="26"/>
        <v>0</v>
      </c>
      <c r="AE56" s="26">
        <f t="shared" si="26"/>
        <v>0</v>
      </c>
      <c r="AF56" s="26">
        <f t="shared" si="26"/>
        <v>0</v>
      </c>
      <c r="AG56" s="26">
        <f t="shared" si="26"/>
        <v>0</v>
      </c>
      <c r="AH56" s="26">
        <f t="shared" si="26"/>
        <v>0</v>
      </c>
      <c r="AI56" s="26">
        <f t="shared" si="26"/>
        <v>0</v>
      </c>
      <c r="AJ56" s="26">
        <f t="shared" si="26"/>
        <v>0</v>
      </c>
      <c r="AK56" s="26">
        <f t="shared" si="26"/>
        <v>0</v>
      </c>
    </row>
    <row r="57" spans="1:38" outlineLevel="1">
      <c r="C57" s="3" t="str">
        <f t="shared" si="22"/>
        <v>&lt;&lt; add project &gt;&gt;</v>
      </c>
      <c r="E57" s="3" t="s">
        <v>949</v>
      </c>
      <c r="R57" s="26">
        <f t="shared" ref="R57:AK57" si="27">R33*$N23</f>
        <v>0</v>
      </c>
      <c r="S57" s="26">
        <f t="shared" si="27"/>
        <v>0</v>
      </c>
      <c r="T57" s="26">
        <f t="shared" si="27"/>
        <v>0</v>
      </c>
      <c r="U57" s="26">
        <f t="shared" si="27"/>
        <v>0</v>
      </c>
      <c r="V57" s="26">
        <f t="shared" si="27"/>
        <v>0</v>
      </c>
      <c r="W57" s="26">
        <f t="shared" si="27"/>
        <v>0</v>
      </c>
      <c r="X57" s="26">
        <f t="shared" si="27"/>
        <v>0</v>
      </c>
      <c r="Y57" s="26">
        <f t="shared" si="27"/>
        <v>0</v>
      </c>
      <c r="Z57" s="26">
        <f t="shared" si="27"/>
        <v>0</v>
      </c>
      <c r="AA57" s="26">
        <f t="shared" si="27"/>
        <v>0</v>
      </c>
      <c r="AB57" s="26">
        <f t="shared" si="27"/>
        <v>0</v>
      </c>
      <c r="AC57" s="26">
        <f t="shared" si="27"/>
        <v>0</v>
      </c>
      <c r="AD57" s="26">
        <f t="shared" si="27"/>
        <v>0</v>
      </c>
      <c r="AE57" s="26">
        <f t="shared" si="27"/>
        <v>0</v>
      </c>
      <c r="AF57" s="26">
        <f t="shared" si="27"/>
        <v>0</v>
      </c>
      <c r="AG57" s="26">
        <f t="shared" si="27"/>
        <v>0</v>
      </c>
      <c r="AH57" s="26">
        <f t="shared" si="27"/>
        <v>0</v>
      </c>
      <c r="AI57" s="26">
        <f t="shared" si="27"/>
        <v>0</v>
      </c>
      <c r="AJ57" s="26">
        <f t="shared" si="27"/>
        <v>0</v>
      </c>
      <c r="AK57" s="26">
        <f t="shared" si="27"/>
        <v>0</v>
      </c>
    </row>
    <row r="58" spans="1:38" outlineLevel="1">
      <c r="C58" s="3" t="str">
        <f t="shared" si="22"/>
        <v>&lt;&lt; add project &gt;&gt;</v>
      </c>
      <c r="E58" s="3" t="s">
        <v>949</v>
      </c>
      <c r="R58" s="26">
        <f t="shared" ref="R58:AK58" si="28">R34*$N24</f>
        <v>0</v>
      </c>
      <c r="S58" s="26">
        <f t="shared" si="28"/>
        <v>0</v>
      </c>
      <c r="T58" s="26">
        <f t="shared" si="28"/>
        <v>0</v>
      </c>
      <c r="U58" s="26">
        <f t="shared" si="28"/>
        <v>0</v>
      </c>
      <c r="V58" s="26">
        <f t="shared" si="28"/>
        <v>0</v>
      </c>
      <c r="W58" s="26">
        <f t="shared" si="28"/>
        <v>0</v>
      </c>
      <c r="X58" s="26">
        <f t="shared" si="28"/>
        <v>0</v>
      </c>
      <c r="Y58" s="26">
        <f t="shared" si="28"/>
        <v>0</v>
      </c>
      <c r="Z58" s="26">
        <f t="shared" si="28"/>
        <v>0</v>
      </c>
      <c r="AA58" s="26">
        <f t="shared" si="28"/>
        <v>0</v>
      </c>
      <c r="AB58" s="26">
        <f t="shared" si="28"/>
        <v>0</v>
      </c>
      <c r="AC58" s="26">
        <f t="shared" si="28"/>
        <v>0</v>
      </c>
      <c r="AD58" s="26">
        <f t="shared" si="28"/>
        <v>0</v>
      </c>
      <c r="AE58" s="26">
        <f t="shared" si="28"/>
        <v>0</v>
      </c>
      <c r="AF58" s="26">
        <f t="shared" si="28"/>
        <v>0</v>
      </c>
      <c r="AG58" s="26">
        <f t="shared" si="28"/>
        <v>0</v>
      </c>
      <c r="AH58" s="26">
        <f t="shared" si="28"/>
        <v>0</v>
      </c>
      <c r="AI58" s="26">
        <f t="shared" si="28"/>
        <v>0</v>
      </c>
      <c r="AJ58" s="26">
        <f t="shared" si="28"/>
        <v>0</v>
      </c>
      <c r="AK58" s="26">
        <f t="shared" si="28"/>
        <v>0</v>
      </c>
    </row>
    <row r="59" spans="1:38" outlineLevel="1">
      <c r="C59" s="3" t="str">
        <f t="shared" si="22"/>
        <v>&lt;&lt; add project &gt;&gt;</v>
      </c>
      <c r="E59" s="3" t="s">
        <v>949</v>
      </c>
      <c r="R59" s="26">
        <f t="shared" ref="R59:AK59" si="29">R35*$N25</f>
        <v>0</v>
      </c>
      <c r="S59" s="26">
        <f t="shared" si="29"/>
        <v>0</v>
      </c>
      <c r="T59" s="26">
        <f t="shared" si="29"/>
        <v>0</v>
      </c>
      <c r="U59" s="26">
        <f t="shared" si="29"/>
        <v>0</v>
      </c>
      <c r="V59" s="26">
        <f t="shared" si="29"/>
        <v>0</v>
      </c>
      <c r="W59" s="26">
        <f t="shared" si="29"/>
        <v>0</v>
      </c>
      <c r="X59" s="26">
        <f t="shared" si="29"/>
        <v>0</v>
      </c>
      <c r="Y59" s="26">
        <f t="shared" si="29"/>
        <v>0</v>
      </c>
      <c r="Z59" s="26">
        <f t="shared" si="29"/>
        <v>0</v>
      </c>
      <c r="AA59" s="26">
        <f t="shared" si="29"/>
        <v>0</v>
      </c>
      <c r="AB59" s="26">
        <f t="shared" si="29"/>
        <v>0</v>
      </c>
      <c r="AC59" s="26">
        <f t="shared" si="29"/>
        <v>0</v>
      </c>
      <c r="AD59" s="26">
        <f t="shared" si="29"/>
        <v>0</v>
      </c>
      <c r="AE59" s="26">
        <f t="shared" si="29"/>
        <v>0</v>
      </c>
      <c r="AF59" s="26">
        <f t="shared" si="29"/>
        <v>0</v>
      </c>
      <c r="AG59" s="26">
        <f t="shared" si="29"/>
        <v>0</v>
      </c>
      <c r="AH59" s="26">
        <f t="shared" si="29"/>
        <v>0</v>
      </c>
      <c r="AI59" s="26">
        <f t="shared" si="29"/>
        <v>0</v>
      </c>
      <c r="AJ59" s="26">
        <f t="shared" si="29"/>
        <v>0</v>
      </c>
      <c r="AK59" s="26">
        <f t="shared" si="29"/>
        <v>0</v>
      </c>
    </row>
    <row r="60" spans="1:38" ht="9" customHeight="1"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1:38">
      <c r="C61" s="17" t="s">
        <v>950</v>
      </c>
      <c r="E61" s="17" t="s">
        <v>949</v>
      </c>
      <c r="R61" s="27">
        <f>SUM(R53:R59)</f>
        <v>0</v>
      </c>
      <c r="S61" s="27">
        <f t="shared" ref="S61:AK61" si="30">SUM(S53:S59)</f>
        <v>0</v>
      </c>
      <c r="T61" s="27">
        <f t="shared" si="30"/>
        <v>0</v>
      </c>
      <c r="U61" s="27">
        <f t="shared" si="30"/>
        <v>0</v>
      </c>
      <c r="V61" s="27">
        <f t="shared" si="30"/>
        <v>0</v>
      </c>
      <c r="W61" s="27">
        <f t="shared" si="30"/>
        <v>0</v>
      </c>
      <c r="X61" s="27">
        <f t="shared" si="30"/>
        <v>12.586231824190335</v>
      </c>
      <c r="Y61" s="27">
        <f t="shared" si="30"/>
        <v>208.42799900859222</v>
      </c>
      <c r="Z61" s="27">
        <f t="shared" si="30"/>
        <v>208.42799900859222</v>
      </c>
      <c r="AA61" s="27">
        <f t="shared" si="30"/>
        <v>208.42799900859222</v>
      </c>
      <c r="AB61" s="27">
        <f t="shared" si="30"/>
        <v>208.42799900859222</v>
      </c>
      <c r="AC61" s="27">
        <f t="shared" si="30"/>
        <v>208.42799900859222</v>
      </c>
      <c r="AD61" s="27">
        <f t="shared" si="30"/>
        <v>208.42799900859222</v>
      </c>
      <c r="AE61" s="27">
        <f t="shared" si="30"/>
        <v>151.03478189028422</v>
      </c>
      <c r="AF61" s="27">
        <f t="shared" si="30"/>
        <v>138.44855006609367</v>
      </c>
      <c r="AG61" s="27">
        <f t="shared" si="30"/>
        <v>0</v>
      </c>
      <c r="AH61" s="27">
        <f t="shared" si="30"/>
        <v>0</v>
      </c>
      <c r="AI61" s="27">
        <f t="shared" si="30"/>
        <v>0</v>
      </c>
      <c r="AJ61" s="27">
        <f t="shared" si="30"/>
        <v>0</v>
      </c>
      <c r="AK61" s="27">
        <f t="shared" si="30"/>
        <v>0</v>
      </c>
    </row>
    <row r="62" spans="1:38" ht="11.5" customHeight="1">
      <c r="C62" s="17" t="s">
        <v>951</v>
      </c>
      <c r="E62" s="17" t="s">
        <v>949</v>
      </c>
      <c r="R62" s="27">
        <f>R$12*$N$11</f>
        <v>0</v>
      </c>
      <c r="S62" s="27">
        <f t="shared" ref="S62:AK62" si="31">S$12*$N$11</f>
        <v>0</v>
      </c>
      <c r="T62" s="27">
        <f t="shared" si="31"/>
        <v>0</v>
      </c>
      <c r="U62" s="27">
        <f t="shared" si="31"/>
        <v>0</v>
      </c>
      <c r="V62" s="27">
        <f t="shared" si="31"/>
        <v>0</v>
      </c>
      <c r="W62" s="27">
        <f t="shared" si="31"/>
        <v>14.110842696629216</v>
      </c>
      <c r="X62" s="27">
        <f t="shared" si="31"/>
        <v>3.3191967531394595</v>
      </c>
      <c r="Y62" s="27">
        <f t="shared" si="31"/>
        <v>0</v>
      </c>
      <c r="Z62" s="27">
        <f t="shared" si="31"/>
        <v>0</v>
      </c>
      <c r="AA62" s="27">
        <f t="shared" si="31"/>
        <v>0</v>
      </c>
      <c r="AB62" s="27">
        <f t="shared" si="31"/>
        <v>0</v>
      </c>
      <c r="AC62" s="27">
        <f t="shared" si="31"/>
        <v>0</v>
      </c>
      <c r="AD62" s="27">
        <f t="shared" si="31"/>
        <v>0</v>
      </c>
      <c r="AE62" s="27">
        <f t="shared" si="31"/>
        <v>0</v>
      </c>
      <c r="AF62" s="27">
        <f t="shared" si="31"/>
        <v>0</v>
      </c>
      <c r="AG62" s="27">
        <f t="shared" si="31"/>
        <v>0</v>
      </c>
      <c r="AH62" s="27">
        <f t="shared" si="31"/>
        <v>0</v>
      </c>
      <c r="AI62" s="27">
        <f t="shared" si="31"/>
        <v>0</v>
      </c>
      <c r="AJ62" s="27">
        <f t="shared" si="31"/>
        <v>0</v>
      </c>
      <c r="AK62" s="27">
        <f t="shared" si="31"/>
        <v>0</v>
      </c>
    </row>
    <row r="63" spans="1:38" ht="11.5" customHeight="1">
      <c r="C63" s="17" t="s">
        <v>12</v>
      </c>
      <c r="E63" s="17" t="s">
        <v>949</v>
      </c>
      <c r="R63" s="27">
        <f>SUM(R61:R62)</f>
        <v>0</v>
      </c>
      <c r="S63" s="27">
        <f t="shared" ref="S63:AK63" si="32">SUM(S61:S62)</f>
        <v>0</v>
      </c>
      <c r="T63" s="27">
        <f t="shared" si="32"/>
        <v>0</v>
      </c>
      <c r="U63" s="27">
        <f t="shared" si="32"/>
        <v>0</v>
      </c>
      <c r="V63" s="27">
        <f t="shared" si="32"/>
        <v>0</v>
      </c>
      <c r="W63" s="27">
        <f t="shared" si="32"/>
        <v>14.110842696629216</v>
      </c>
      <c r="X63" s="27">
        <f t="shared" si="32"/>
        <v>15.905428577329795</v>
      </c>
      <c r="Y63" s="27">
        <f t="shared" si="32"/>
        <v>208.42799900859222</v>
      </c>
      <c r="Z63" s="27">
        <f t="shared" si="32"/>
        <v>208.42799900859222</v>
      </c>
      <c r="AA63" s="27">
        <f t="shared" si="32"/>
        <v>208.42799900859222</v>
      </c>
      <c r="AB63" s="27">
        <f t="shared" si="32"/>
        <v>208.42799900859222</v>
      </c>
      <c r="AC63" s="27">
        <f t="shared" si="32"/>
        <v>208.42799900859222</v>
      </c>
      <c r="AD63" s="27">
        <f t="shared" si="32"/>
        <v>208.42799900859222</v>
      </c>
      <c r="AE63" s="27">
        <f t="shared" si="32"/>
        <v>151.03478189028422</v>
      </c>
      <c r="AF63" s="27">
        <f t="shared" si="32"/>
        <v>138.44855006609367</v>
      </c>
      <c r="AG63" s="27">
        <f t="shared" si="32"/>
        <v>0</v>
      </c>
      <c r="AH63" s="27">
        <f t="shared" si="32"/>
        <v>0</v>
      </c>
      <c r="AI63" s="27">
        <f t="shared" si="32"/>
        <v>0</v>
      </c>
      <c r="AJ63" s="27">
        <f t="shared" si="32"/>
        <v>0</v>
      </c>
      <c r="AK63" s="27">
        <f t="shared" si="32"/>
        <v>0</v>
      </c>
    </row>
    <row r="64" spans="1:38" ht="11.5" customHeight="1"/>
    <row r="65" spans="1:38" ht="11.5" customHeight="1" thickBot="1">
      <c r="B65" s="6" t="s">
        <v>947</v>
      </c>
      <c r="C65" s="6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</row>
    <row r="66" spans="1:38" ht="11.5" customHeight="1" outlineLevel="1">
      <c r="C66" s="3" t="str">
        <f t="shared" ref="C66:C72" si="33">C53</f>
        <v>New Regulator ICT Infrastructure Costs</v>
      </c>
      <c r="E66" s="3" t="s">
        <v>949</v>
      </c>
      <c r="R66" s="26">
        <f t="shared" ref="R66:AK66" si="34">R40*$N19</f>
        <v>0</v>
      </c>
      <c r="S66" s="26">
        <f t="shared" si="34"/>
        <v>0</v>
      </c>
      <c r="T66" s="26">
        <f t="shared" si="34"/>
        <v>0</v>
      </c>
      <c r="U66" s="26">
        <f t="shared" si="34"/>
        <v>0</v>
      </c>
      <c r="V66" s="26">
        <f t="shared" si="34"/>
        <v>0</v>
      </c>
      <c r="W66" s="26">
        <f t="shared" si="34"/>
        <v>0</v>
      </c>
      <c r="X66" s="26">
        <f t="shared" si="34"/>
        <v>0</v>
      </c>
      <c r="Y66" s="26">
        <f t="shared" si="34"/>
        <v>286.96608559154004</v>
      </c>
      <c r="Z66" s="26">
        <f t="shared" si="34"/>
        <v>229.57286847323206</v>
      </c>
      <c r="AA66" s="26">
        <f t="shared" si="34"/>
        <v>172.17965135492406</v>
      </c>
      <c r="AB66" s="26">
        <f t="shared" si="34"/>
        <v>114.78643423661607</v>
      </c>
      <c r="AC66" s="26">
        <f t="shared" si="34"/>
        <v>57.393217118308065</v>
      </c>
      <c r="AD66" s="26">
        <f t="shared" si="34"/>
        <v>6.2272284707064967E-14</v>
      </c>
      <c r="AE66" s="26">
        <f t="shared" si="34"/>
        <v>6.2272284707064967E-14</v>
      </c>
      <c r="AF66" s="26">
        <f t="shared" si="34"/>
        <v>6.2272284707064967E-14</v>
      </c>
      <c r="AG66" s="26">
        <f t="shared" si="34"/>
        <v>6.2272284707064967E-14</v>
      </c>
      <c r="AH66" s="26">
        <f t="shared" si="34"/>
        <v>6.2272284707064967E-14</v>
      </c>
      <c r="AI66" s="26">
        <f t="shared" si="34"/>
        <v>6.2272284707064967E-14</v>
      </c>
      <c r="AJ66" s="26">
        <f t="shared" si="34"/>
        <v>6.2272284707064967E-14</v>
      </c>
      <c r="AK66" s="26">
        <f t="shared" si="34"/>
        <v>6.2272284707064967E-14</v>
      </c>
    </row>
    <row r="67" spans="1:38" ht="11.5" customHeight="1" outlineLevel="1">
      <c r="C67" s="3" t="str">
        <f t="shared" si="33"/>
        <v>New Digital Online Regulatory System</v>
      </c>
      <c r="E67" s="3" t="s">
        <v>949</v>
      </c>
      <c r="R67" s="26">
        <f t="shared" ref="R67:AK67" si="35">R41*$N20</f>
        <v>0</v>
      </c>
      <c r="S67" s="26">
        <f t="shared" si="35"/>
        <v>0</v>
      </c>
      <c r="T67" s="26">
        <f t="shared" si="35"/>
        <v>0</v>
      </c>
      <c r="U67" s="26">
        <f t="shared" si="35"/>
        <v>0</v>
      </c>
      <c r="V67" s="26">
        <f t="shared" si="35"/>
        <v>0</v>
      </c>
      <c r="W67" s="26">
        <f t="shared" si="35"/>
        <v>0</v>
      </c>
      <c r="X67" s="26">
        <f t="shared" si="35"/>
        <v>1195.6920232980833</v>
      </c>
      <c r="Y67" s="26">
        <f t="shared" si="35"/>
        <v>1044.6572414077991</v>
      </c>
      <c r="Z67" s="26">
        <f t="shared" si="35"/>
        <v>893.62245951751481</v>
      </c>
      <c r="AA67" s="26">
        <f t="shared" si="35"/>
        <v>742.58767762723062</v>
      </c>
      <c r="AB67" s="26">
        <f t="shared" si="35"/>
        <v>591.55289573694643</v>
      </c>
      <c r="AC67" s="26">
        <f t="shared" si="35"/>
        <v>440.51811384666223</v>
      </c>
      <c r="AD67" s="26">
        <f t="shared" si="35"/>
        <v>289.48333195637804</v>
      </c>
      <c r="AE67" s="26">
        <f t="shared" si="35"/>
        <v>138.44855006609384</v>
      </c>
      <c r="AF67" s="26">
        <f t="shared" si="35"/>
        <v>1.4530199764981826E-13</v>
      </c>
      <c r="AG67" s="26">
        <f t="shared" si="35"/>
        <v>1.4530199764981826E-13</v>
      </c>
      <c r="AH67" s="26">
        <f t="shared" si="35"/>
        <v>1.4530199764981826E-13</v>
      </c>
      <c r="AI67" s="26">
        <f t="shared" si="35"/>
        <v>1.4530199764981826E-13</v>
      </c>
      <c r="AJ67" s="26">
        <f t="shared" si="35"/>
        <v>1.4530199764981826E-13</v>
      </c>
      <c r="AK67" s="26">
        <f t="shared" si="35"/>
        <v>1.4530199764981826E-13</v>
      </c>
    </row>
    <row r="68" spans="1:38" ht="11.5" customHeight="1" outlineLevel="1">
      <c r="C68" s="3" t="str">
        <f t="shared" si="33"/>
        <v>&lt;&lt; add project &gt;&gt;</v>
      </c>
      <c r="E68" s="3" t="s">
        <v>949</v>
      </c>
      <c r="R68" s="26">
        <f t="shared" ref="R68:AK68" si="36">R42*$N21</f>
        <v>0</v>
      </c>
      <c r="S68" s="26">
        <f t="shared" si="36"/>
        <v>0</v>
      </c>
      <c r="T68" s="26">
        <f t="shared" si="36"/>
        <v>0</v>
      </c>
      <c r="U68" s="26">
        <f t="shared" si="36"/>
        <v>0</v>
      </c>
      <c r="V68" s="26">
        <f t="shared" si="36"/>
        <v>0</v>
      </c>
      <c r="W68" s="26">
        <f t="shared" si="36"/>
        <v>0</v>
      </c>
      <c r="X68" s="26">
        <f t="shared" si="36"/>
        <v>0</v>
      </c>
      <c r="Y68" s="26">
        <f t="shared" si="36"/>
        <v>0</v>
      </c>
      <c r="Z68" s="26">
        <f t="shared" si="36"/>
        <v>0</v>
      </c>
      <c r="AA68" s="26">
        <f t="shared" si="36"/>
        <v>0</v>
      </c>
      <c r="AB68" s="26">
        <f t="shared" si="36"/>
        <v>0</v>
      </c>
      <c r="AC68" s="26">
        <f t="shared" si="36"/>
        <v>0</v>
      </c>
      <c r="AD68" s="26">
        <f t="shared" si="36"/>
        <v>0</v>
      </c>
      <c r="AE68" s="26">
        <f t="shared" si="36"/>
        <v>0</v>
      </c>
      <c r="AF68" s="26">
        <f t="shared" si="36"/>
        <v>0</v>
      </c>
      <c r="AG68" s="26">
        <f t="shared" si="36"/>
        <v>0</v>
      </c>
      <c r="AH68" s="26">
        <f t="shared" si="36"/>
        <v>0</v>
      </c>
      <c r="AI68" s="26">
        <f t="shared" si="36"/>
        <v>0</v>
      </c>
      <c r="AJ68" s="26">
        <f t="shared" si="36"/>
        <v>0</v>
      </c>
      <c r="AK68" s="26">
        <f t="shared" si="36"/>
        <v>0</v>
      </c>
    </row>
    <row r="69" spans="1:38" ht="11.5" customHeight="1" outlineLevel="1">
      <c r="C69" s="3" t="str">
        <f t="shared" si="33"/>
        <v>&lt;&lt; add project &gt;&gt;</v>
      </c>
      <c r="E69" s="3" t="s">
        <v>949</v>
      </c>
      <c r="R69" s="26">
        <f t="shared" ref="R69:AK69" si="37">R43*$N22</f>
        <v>0</v>
      </c>
      <c r="S69" s="26">
        <f t="shared" si="37"/>
        <v>0</v>
      </c>
      <c r="T69" s="26">
        <f t="shared" si="37"/>
        <v>0</v>
      </c>
      <c r="U69" s="26">
        <f t="shared" si="37"/>
        <v>0</v>
      </c>
      <c r="V69" s="26">
        <f t="shared" si="37"/>
        <v>0</v>
      </c>
      <c r="W69" s="26">
        <f t="shared" si="37"/>
        <v>0</v>
      </c>
      <c r="X69" s="26">
        <f t="shared" si="37"/>
        <v>0</v>
      </c>
      <c r="Y69" s="26">
        <f t="shared" si="37"/>
        <v>0</v>
      </c>
      <c r="Z69" s="26">
        <f t="shared" si="37"/>
        <v>0</v>
      </c>
      <c r="AA69" s="26">
        <f t="shared" si="37"/>
        <v>0</v>
      </c>
      <c r="AB69" s="26">
        <f t="shared" si="37"/>
        <v>0</v>
      </c>
      <c r="AC69" s="26">
        <f t="shared" si="37"/>
        <v>0</v>
      </c>
      <c r="AD69" s="26">
        <f t="shared" si="37"/>
        <v>0</v>
      </c>
      <c r="AE69" s="26">
        <f t="shared" si="37"/>
        <v>0</v>
      </c>
      <c r="AF69" s="26">
        <f t="shared" si="37"/>
        <v>0</v>
      </c>
      <c r="AG69" s="26">
        <f t="shared" si="37"/>
        <v>0</v>
      </c>
      <c r="AH69" s="26">
        <f t="shared" si="37"/>
        <v>0</v>
      </c>
      <c r="AI69" s="26">
        <f t="shared" si="37"/>
        <v>0</v>
      </c>
      <c r="AJ69" s="26">
        <f t="shared" si="37"/>
        <v>0</v>
      </c>
      <c r="AK69" s="26">
        <f t="shared" si="37"/>
        <v>0</v>
      </c>
    </row>
    <row r="70" spans="1:38" ht="11.5" customHeight="1" outlineLevel="1">
      <c r="C70" s="3" t="str">
        <f t="shared" si="33"/>
        <v>&lt;&lt; add project &gt;&gt;</v>
      </c>
      <c r="E70" s="3" t="s">
        <v>949</v>
      </c>
      <c r="R70" s="26">
        <f t="shared" ref="R70:AK70" si="38">R44*$N23</f>
        <v>0</v>
      </c>
      <c r="S70" s="26">
        <f t="shared" si="38"/>
        <v>0</v>
      </c>
      <c r="T70" s="26">
        <f t="shared" si="38"/>
        <v>0</v>
      </c>
      <c r="U70" s="26">
        <f t="shared" si="38"/>
        <v>0</v>
      </c>
      <c r="V70" s="26">
        <f t="shared" si="38"/>
        <v>0</v>
      </c>
      <c r="W70" s="26">
        <f t="shared" si="38"/>
        <v>0</v>
      </c>
      <c r="X70" s="26">
        <f t="shared" si="38"/>
        <v>0</v>
      </c>
      <c r="Y70" s="26">
        <f t="shared" si="38"/>
        <v>0</v>
      </c>
      <c r="Z70" s="26">
        <f t="shared" si="38"/>
        <v>0</v>
      </c>
      <c r="AA70" s="26">
        <f t="shared" si="38"/>
        <v>0</v>
      </c>
      <c r="AB70" s="26">
        <f t="shared" si="38"/>
        <v>0</v>
      </c>
      <c r="AC70" s="26">
        <f t="shared" si="38"/>
        <v>0</v>
      </c>
      <c r="AD70" s="26">
        <f t="shared" si="38"/>
        <v>0</v>
      </c>
      <c r="AE70" s="26">
        <f t="shared" si="38"/>
        <v>0</v>
      </c>
      <c r="AF70" s="26">
        <f t="shared" si="38"/>
        <v>0</v>
      </c>
      <c r="AG70" s="26">
        <f t="shared" si="38"/>
        <v>0</v>
      </c>
      <c r="AH70" s="26">
        <f t="shared" si="38"/>
        <v>0</v>
      </c>
      <c r="AI70" s="26">
        <f t="shared" si="38"/>
        <v>0</v>
      </c>
      <c r="AJ70" s="26">
        <f t="shared" si="38"/>
        <v>0</v>
      </c>
      <c r="AK70" s="26">
        <f t="shared" si="38"/>
        <v>0</v>
      </c>
    </row>
    <row r="71" spans="1:38" ht="11.5" customHeight="1" outlineLevel="1">
      <c r="C71" s="3" t="str">
        <f t="shared" si="33"/>
        <v>&lt;&lt; add project &gt;&gt;</v>
      </c>
      <c r="E71" s="3" t="s">
        <v>949</v>
      </c>
      <c r="R71" s="26">
        <f t="shared" ref="R71:AK71" si="39">R45*$N24</f>
        <v>0</v>
      </c>
      <c r="S71" s="26">
        <f t="shared" si="39"/>
        <v>0</v>
      </c>
      <c r="T71" s="26">
        <f t="shared" si="39"/>
        <v>0</v>
      </c>
      <c r="U71" s="26">
        <f t="shared" si="39"/>
        <v>0</v>
      </c>
      <c r="V71" s="26">
        <f t="shared" si="39"/>
        <v>0</v>
      </c>
      <c r="W71" s="26">
        <f t="shared" si="39"/>
        <v>0</v>
      </c>
      <c r="X71" s="26">
        <f t="shared" si="39"/>
        <v>0</v>
      </c>
      <c r="Y71" s="26">
        <f t="shared" si="39"/>
        <v>0</v>
      </c>
      <c r="Z71" s="26">
        <f t="shared" si="39"/>
        <v>0</v>
      </c>
      <c r="AA71" s="26">
        <f t="shared" si="39"/>
        <v>0</v>
      </c>
      <c r="AB71" s="26">
        <f t="shared" si="39"/>
        <v>0</v>
      </c>
      <c r="AC71" s="26">
        <f t="shared" si="39"/>
        <v>0</v>
      </c>
      <c r="AD71" s="26">
        <f t="shared" si="39"/>
        <v>0</v>
      </c>
      <c r="AE71" s="26">
        <f t="shared" si="39"/>
        <v>0</v>
      </c>
      <c r="AF71" s="26">
        <f t="shared" si="39"/>
        <v>0</v>
      </c>
      <c r="AG71" s="26">
        <f t="shared" si="39"/>
        <v>0</v>
      </c>
      <c r="AH71" s="26">
        <f t="shared" si="39"/>
        <v>0</v>
      </c>
      <c r="AI71" s="26">
        <f t="shared" si="39"/>
        <v>0</v>
      </c>
      <c r="AJ71" s="26">
        <f t="shared" si="39"/>
        <v>0</v>
      </c>
      <c r="AK71" s="26">
        <f t="shared" si="39"/>
        <v>0</v>
      </c>
    </row>
    <row r="72" spans="1:38" ht="11.5" customHeight="1" outlineLevel="1">
      <c r="C72" s="3" t="str">
        <f t="shared" si="33"/>
        <v>&lt;&lt; add project &gt;&gt;</v>
      </c>
      <c r="E72" s="3" t="s">
        <v>949</v>
      </c>
      <c r="R72" s="26">
        <f t="shared" ref="R72:AK72" si="40">R46*$N25</f>
        <v>0</v>
      </c>
      <c r="S72" s="26">
        <f t="shared" si="40"/>
        <v>0</v>
      </c>
      <c r="T72" s="26">
        <f t="shared" si="40"/>
        <v>0</v>
      </c>
      <c r="U72" s="26">
        <f t="shared" si="40"/>
        <v>0</v>
      </c>
      <c r="V72" s="26">
        <f t="shared" si="40"/>
        <v>0</v>
      </c>
      <c r="W72" s="26">
        <f t="shared" si="40"/>
        <v>0</v>
      </c>
      <c r="X72" s="26">
        <f t="shared" si="40"/>
        <v>0</v>
      </c>
      <c r="Y72" s="26">
        <f t="shared" si="40"/>
        <v>0</v>
      </c>
      <c r="Z72" s="26">
        <f t="shared" si="40"/>
        <v>0</v>
      </c>
      <c r="AA72" s="26">
        <f t="shared" si="40"/>
        <v>0</v>
      </c>
      <c r="AB72" s="26">
        <f t="shared" si="40"/>
        <v>0</v>
      </c>
      <c r="AC72" s="26">
        <f t="shared" si="40"/>
        <v>0</v>
      </c>
      <c r="AD72" s="26">
        <f t="shared" si="40"/>
        <v>0</v>
      </c>
      <c r="AE72" s="26">
        <f t="shared" si="40"/>
        <v>0</v>
      </c>
      <c r="AF72" s="26">
        <f t="shared" si="40"/>
        <v>0</v>
      </c>
      <c r="AG72" s="26">
        <f t="shared" si="40"/>
        <v>0</v>
      </c>
      <c r="AH72" s="26">
        <f t="shared" si="40"/>
        <v>0</v>
      </c>
      <c r="AI72" s="26">
        <f t="shared" si="40"/>
        <v>0</v>
      </c>
      <c r="AJ72" s="26">
        <f t="shared" si="40"/>
        <v>0</v>
      </c>
      <c r="AK72" s="26">
        <f t="shared" si="40"/>
        <v>0</v>
      </c>
    </row>
    <row r="73" spans="1:38" ht="11.5" customHeight="1"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8" ht="11.5" customHeight="1">
      <c r="C74" s="17" t="s">
        <v>950</v>
      </c>
      <c r="E74" s="17" t="s">
        <v>949</v>
      </c>
      <c r="R74" s="27">
        <f>SUM(R66:R72)</f>
        <v>0</v>
      </c>
      <c r="S74" s="27">
        <f t="shared" ref="S74:AK74" si="41">SUM(S66:S72)</f>
        <v>0</v>
      </c>
      <c r="T74" s="27">
        <f t="shared" si="41"/>
        <v>0</v>
      </c>
      <c r="U74" s="27">
        <f t="shared" si="41"/>
        <v>0</v>
      </c>
      <c r="V74" s="27">
        <f t="shared" si="41"/>
        <v>0</v>
      </c>
      <c r="W74" s="27">
        <f t="shared" si="41"/>
        <v>0</v>
      </c>
      <c r="X74" s="27">
        <f t="shared" si="41"/>
        <v>1195.6920232980833</v>
      </c>
      <c r="Y74" s="27">
        <f t="shared" si="41"/>
        <v>1331.623326999339</v>
      </c>
      <c r="Z74" s="27">
        <f t="shared" si="41"/>
        <v>1123.1953279907468</v>
      </c>
      <c r="AA74" s="27">
        <f t="shared" si="41"/>
        <v>914.76732898215471</v>
      </c>
      <c r="AB74" s="27">
        <f t="shared" si="41"/>
        <v>706.33932997356249</v>
      </c>
      <c r="AC74" s="27">
        <f t="shared" si="41"/>
        <v>497.91133096497032</v>
      </c>
      <c r="AD74" s="27">
        <f t="shared" si="41"/>
        <v>289.48333195637809</v>
      </c>
      <c r="AE74" s="27">
        <f t="shared" si="41"/>
        <v>138.4485500660939</v>
      </c>
      <c r="AF74" s="27">
        <f t="shared" si="41"/>
        <v>2.0757428235688322E-13</v>
      </c>
      <c r="AG74" s="27">
        <f t="shared" si="41"/>
        <v>2.0757428235688322E-13</v>
      </c>
      <c r="AH74" s="27">
        <f t="shared" si="41"/>
        <v>2.0757428235688322E-13</v>
      </c>
      <c r="AI74" s="27">
        <f t="shared" si="41"/>
        <v>2.0757428235688322E-13</v>
      </c>
      <c r="AJ74" s="27">
        <f t="shared" si="41"/>
        <v>2.0757428235688322E-13</v>
      </c>
      <c r="AK74" s="27">
        <f t="shared" si="41"/>
        <v>2.0757428235688322E-13</v>
      </c>
    </row>
    <row r="75" spans="1:38" ht="11.5" customHeight="1">
      <c r="C75" s="17" t="s">
        <v>951</v>
      </c>
      <c r="E75" s="17" t="s">
        <v>949</v>
      </c>
      <c r="R75" s="147">
        <f>R$11*$N11</f>
        <v>0</v>
      </c>
      <c r="S75" s="147">
        <f t="shared" ref="S75:AK75" si="42">S$11*$N11</f>
        <v>0</v>
      </c>
      <c r="T75" s="147">
        <f t="shared" si="42"/>
        <v>0</v>
      </c>
      <c r="U75" s="147">
        <f t="shared" si="42"/>
        <v>0</v>
      </c>
      <c r="V75" s="147">
        <f t="shared" si="42"/>
        <v>0</v>
      </c>
      <c r="W75" s="147">
        <f t="shared" si="42"/>
        <v>0</v>
      </c>
      <c r="X75" s="147">
        <f t="shared" si="42"/>
        <v>0</v>
      </c>
      <c r="Y75" s="147">
        <f t="shared" si="42"/>
        <v>0</v>
      </c>
      <c r="Z75" s="147">
        <f t="shared" si="42"/>
        <v>0</v>
      </c>
      <c r="AA75" s="147">
        <f t="shared" si="42"/>
        <v>0</v>
      </c>
      <c r="AB75" s="147">
        <f t="shared" si="42"/>
        <v>0</v>
      </c>
      <c r="AC75" s="147">
        <f t="shared" si="42"/>
        <v>0</v>
      </c>
      <c r="AD75" s="147">
        <f t="shared" si="42"/>
        <v>0</v>
      </c>
      <c r="AE75" s="147">
        <f t="shared" si="42"/>
        <v>0</v>
      </c>
      <c r="AF75" s="147">
        <f t="shared" si="42"/>
        <v>0</v>
      </c>
      <c r="AG75" s="147">
        <f t="shared" si="42"/>
        <v>0</v>
      </c>
      <c r="AH75" s="147">
        <f t="shared" si="42"/>
        <v>0</v>
      </c>
      <c r="AI75" s="147">
        <f t="shared" si="42"/>
        <v>0</v>
      </c>
      <c r="AJ75" s="147">
        <f t="shared" si="42"/>
        <v>0</v>
      </c>
      <c r="AK75" s="147">
        <f t="shared" si="42"/>
        <v>0</v>
      </c>
    </row>
    <row r="76" spans="1:38" ht="11.5" customHeight="1">
      <c r="C76" s="17" t="s">
        <v>12</v>
      </c>
      <c r="E76" s="17" t="s">
        <v>949</v>
      </c>
      <c r="R76" s="147">
        <f>SUM(R74:R75)</f>
        <v>0</v>
      </c>
      <c r="S76" s="147">
        <f t="shared" ref="S76:AK76" si="43">SUM(S74:S75)</f>
        <v>0</v>
      </c>
      <c r="T76" s="147">
        <f t="shared" si="43"/>
        <v>0</v>
      </c>
      <c r="U76" s="147">
        <f t="shared" si="43"/>
        <v>0</v>
      </c>
      <c r="V76" s="147">
        <f t="shared" si="43"/>
        <v>0</v>
      </c>
      <c r="W76" s="147">
        <f t="shared" si="43"/>
        <v>0</v>
      </c>
      <c r="X76" s="147">
        <f t="shared" si="43"/>
        <v>1195.6920232980833</v>
      </c>
      <c r="Y76" s="147">
        <f t="shared" si="43"/>
        <v>1331.623326999339</v>
      </c>
      <c r="Z76" s="147">
        <f t="shared" si="43"/>
        <v>1123.1953279907468</v>
      </c>
      <c r="AA76" s="147">
        <f t="shared" si="43"/>
        <v>914.76732898215471</v>
      </c>
      <c r="AB76" s="147">
        <f t="shared" si="43"/>
        <v>706.33932997356249</v>
      </c>
      <c r="AC76" s="147">
        <f t="shared" si="43"/>
        <v>497.91133096497032</v>
      </c>
      <c r="AD76" s="147">
        <f t="shared" si="43"/>
        <v>289.48333195637809</v>
      </c>
      <c r="AE76" s="147">
        <f t="shared" si="43"/>
        <v>138.4485500660939</v>
      </c>
      <c r="AF76" s="147">
        <f t="shared" si="43"/>
        <v>2.0757428235688322E-13</v>
      </c>
      <c r="AG76" s="147">
        <f t="shared" si="43"/>
        <v>2.0757428235688322E-13</v>
      </c>
      <c r="AH76" s="147">
        <f t="shared" si="43"/>
        <v>2.0757428235688322E-13</v>
      </c>
      <c r="AI76" s="147">
        <f t="shared" si="43"/>
        <v>2.0757428235688322E-13</v>
      </c>
      <c r="AJ76" s="147">
        <f t="shared" si="43"/>
        <v>2.0757428235688322E-13</v>
      </c>
      <c r="AK76" s="147">
        <f t="shared" si="43"/>
        <v>2.0757428235688322E-13</v>
      </c>
    </row>
    <row r="77" spans="1:38" ht="11.5" customHeight="1"/>
    <row r="78" spans="1:38">
      <c r="B78" s="152" t="s">
        <v>24</v>
      </c>
      <c r="C78" s="152"/>
      <c r="D78" s="152"/>
      <c r="E78" s="152"/>
      <c r="F78" s="152"/>
      <c r="G78" s="152"/>
      <c r="H78" s="152"/>
      <c r="I78" s="152"/>
      <c r="J78" s="152"/>
      <c r="K78" s="152"/>
      <c r="L78" s="152"/>
      <c r="M78" s="152"/>
      <c r="N78" s="152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52"/>
      <c r="AB78" s="152"/>
      <c r="AC78" s="152"/>
      <c r="AD78" s="152"/>
      <c r="AE78" s="152"/>
      <c r="AF78" s="152"/>
      <c r="AG78" s="152"/>
      <c r="AH78" s="152"/>
      <c r="AI78" s="152"/>
      <c r="AJ78" s="152"/>
      <c r="AK78" s="152"/>
    </row>
    <row r="80" spans="1:38" s="7" customFormat="1" ht="13.5" thickBot="1">
      <c r="A80" s="3"/>
      <c r="B80" s="6" t="s">
        <v>31</v>
      </c>
      <c r="C80" s="6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3"/>
    </row>
    <row r="81" spans="2:37" outlineLevel="1">
      <c r="C81" s="3" t="str">
        <f t="shared" ref="C81:C87" si="44">C53</f>
        <v>New Regulator ICT Infrastructure Costs</v>
      </c>
      <c r="E81" s="3" t="s">
        <v>949</v>
      </c>
      <c r="R81" s="26">
        <f t="shared" ref="R81:AK81" si="45">R29*$P19</f>
        <v>0</v>
      </c>
      <c r="S81" s="26">
        <f t="shared" si="45"/>
        <v>0</v>
      </c>
      <c r="T81" s="26">
        <f t="shared" si="45"/>
        <v>0</v>
      </c>
      <c r="U81" s="26">
        <f t="shared" si="45"/>
        <v>0</v>
      </c>
      <c r="V81" s="26">
        <f t="shared" si="45"/>
        <v>0</v>
      </c>
      <c r="W81" s="26">
        <f t="shared" si="45"/>
        <v>0</v>
      </c>
      <c r="X81" s="26">
        <f t="shared" si="45"/>
        <v>0</v>
      </c>
      <c r="Y81" s="26">
        <f t="shared" si="45"/>
        <v>11.4786434236616</v>
      </c>
      <c r="Z81" s="26">
        <f t="shared" si="45"/>
        <v>11.4786434236616</v>
      </c>
      <c r="AA81" s="26">
        <f t="shared" si="45"/>
        <v>11.4786434236616</v>
      </c>
      <c r="AB81" s="26">
        <f t="shared" si="45"/>
        <v>11.4786434236616</v>
      </c>
      <c r="AC81" s="26">
        <f t="shared" si="45"/>
        <v>11.4786434236616</v>
      </c>
      <c r="AD81" s="26">
        <f t="shared" si="45"/>
        <v>11.4786434236616</v>
      </c>
      <c r="AE81" s="26">
        <f t="shared" si="45"/>
        <v>0</v>
      </c>
      <c r="AF81" s="26">
        <f t="shared" si="45"/>
        <v>0</v>
      </c>
      <c r="AG81" s="26">
        <f t="shared" si="45"/>
        <v>0</v>
      </c>
      <c r="AH81" s="26">
        <f t="shared" si="45"/>
        <v>0</v>
      </c>
      <c r="AI81" s="26">
        <f t="shared" si="45"/>
        <v>0</v>
      </c>
      <c r="AJ81" s="26">
        <f t="shared" si="45"/>
        <v>0</v>
      </c>
      <c r="AK81" s="26">
        <f t="shared" si="45"/>
        <v>0</v>
      </c>
    </row>
    <row r="82" spans="2:37" outlineLevel="1">
      <c r="C82" s="3" t="str">
        <f t="shared" si="44"/>
        <v>New Digital Online Regulatory System</v>
      </c>
      <c r="E82" s="3" t="s">
        <v>949</v>
      </c>
      <c r="R82" s="26">
        <f t="shared" ref="R82:AK82" si="46">R30*$P20</f>
        <v>0</v>
      </c>
      <c r="S82" s="26">
        <f t="shared" si="46"/>
        <v>0</v>
      </c>
      <c r="T82" s="26">
        <f t="shared" si="46"/>
        <v>0</v>
      </c>
      <c r="U82" s="26">
        <f t="shared" si="46"/>
        <v>0</v>
      </c>
      <c r="V82" s="26">
        <f t="shared" si="46"/>
        <v>0</v>
      </c>
      <c r="W82" s="26">
        <f t="shared" si="46"/>
        <v>0</v>
      </c>
      <c r="X82" s="26">
        <f t="shared" si="46"/>
        <v>2.517246364838067</v>
      </c>
      <c r="Y82" s="26">
        <f t="shared" si="46"/>
        <v>30.206956378056844</v>
      </c>
      <c r="Z82" s="26">
        <f t="shared" si="46"/>
        <v>30.206956378056844</v>
      </c>
      <c r="AA82" s="26">
        <f t="shared" si="46"/>
        <v>30.206956378056844</v>
      </c>
      <c r="AB82" s="26">
        <f t="shared" si="46"/>
        <v>30.206956378056844</v>
      </c>
      <c r="AC82" s="26">
        <f t="shared" si="46"/>
        <v>30.206956378056844</v>
      </c>
      <c r="AD82" s="26">
        <f t="shared" si="46"/>
        <v>30.206956378056844</v>
      </c>
      <c r="AE82" s="26">
        <f t="shared" si="46"/>
        <v>30.206956378056844</v>
      </c>
      <c r="AF82" s="26">
        <f t="shared" si="46"/>
        <v>27.689710013218736</v>
      </c>
      <c r="AG82" s="26">
        <f t="shared" si="46"/>
        <v>0</v>
      </c>
      <c r="AH82" s="26">
        <f t="shared" si="46"/>
        <v>0</v>
      </c>
      <c r="AI82" s="26">
        <f t="shared" si="46"/>
        <v>0</v>
      </c>
      <c r="AJ82" s="26">
        <f t="shared" si="46"/>
        <v>0</v>
      </c>
      <c r="AK82" s="26">
        <f t="shared" si="46"/>
        <v>0</v>
      </c>
    </row>
    <row r="83" spans="2:37" outlineLevel="1">
      <c r="C83" s="3" t="str">
        <f t="shared" si="44"/>
        <v>&lt;&lt; add project &gt;&gt;</v>
      </c>
      <c r="E83" s="3" t="s">
        <v>949</v>
      </c>
      <c r="R83" s="26">
        <f t="shared" ref="R83:AK83" si="47">R31*$P21</f>
        <v>0</v>
      </c>
      <c r="S83" s="26">
        <f t="shared" si="47"/>
        <v>0</v>
      </c>
      <c r="T83" s="26">
        <f t="shared" si="47"/>
        <v>0</v>
      </c>
      <c r="U83" s="26">
        <f t="shared" si="47"/>
        <v>0</v>
      </c>
      <c r="V83" s="26">
        <f t="shared" si="47"/>
        <v>0</v>
      </c>
      <c r="W83" s="26">
        <f t="shared" si="47"/>
        <v>0</v>
      </c>
      <c r="X83" s="26">
        <f t="shared" si="47"/>
        <v>0</v>
      </c>
      <c r="Y83" s="26">
        <f t="shared" si="47"/>
        <v>0</v>
      </c>
      <c r="Z83" s="26">
        <f t="shared" si="47"/>
        <v>0</v>
      </c>
      <c r="AA83" s="26">
        <f t="shared" si="47"/>
        <v>0</v>
      </c>
      <c r="AB83" s="26">
        <f t="shared" si="47"/>
        <v>0</v>
      </c>
      <c r="AC83" s="26">
        <f t="shared" si="47"/>
        <v>0</v>
      </c>
      <c r="AD83" s="26">
        <f t="shared" si="47"/>
        <v>0</v>
      </c>
      <c r="AE83" s="26">
        <f t="shared" si="47"/>
        <v>0</v>
      </c>
      <c r="AF83" s="26">
        <f t="shared" si="47"/>
        <v>0</v>
      </c>
      <c r="AG83" s="26">
        <f t="shared" si="47"/>
        <v>0</v>
      </c>
      <c r="AH83" s="26">
        <f t="shared" si="47"/>
        <v>0</v>
      </c>
      <c r="AI83" s="26">
        <f t="shared" si="47"/>
        <v>0</v>
      </c>
      <c r="AJ83" s="26">
        <f t="shared" si="47"/>
        <v>0</v>
      </c>
      <c r="AK83" s="26">
        <f t="shared" si="47"/>
        <v>0</v>
      </c>
    </row>
    <row r="84" spans="2:37" outlineLevel="1">
      <c r="C84" s="3" t="str">
        <f t="shared" si="44"/>
        <v>&lt;&lt; add project &gt;&gt;</v>
      </c>
      <c r="E84" s="3" t="s">
        <v>949</v>
      </c>
      <c r="R84" s="26">
        <f t="shared" ref="R84:AK84" si="48">R32*$P22</f>
        <v>0</v>
      </c>
      <c r="S84" s="26">
        <f t="shared" si="48"/>
        <v>0</v>
      </c>
      <c r="T84" s="26">
        <f t="shared" si="48"/>
        <v>0</v>
      </c>
      <c r="U84" s="26">
        <f t="shared" si="48"/>
        <v>0</v>
      </c>
      <c r="V84" s="26">
        <f t="shared" si="48"/>
        <v>0</v>
      </c>
      <c r="W84" s="26">
        <f t="shared" si="48"/>
        <v>0</v>
      </c>
      <c r="X84" s="26">
        <f t="shared" si="48"/>
        <v>0</v>
      </c>
      <c r="Y84" s="26">
        <f t="shared" si="48"/>
        <v>0</v>
      </c>
      <c r="Z84" s="26">
        <f t="shared" si="48"/>
        <v>0</v>
      </c>
      <c r="AA84" s="26">
        <f t="shared" si="48"/>
        <v>0</v>
      </c>
      <c r="AB84" s="26">
        <f t="shared" si="48"/>
        <v>0</v>
      </c>
      <c r="AC84" s="26">
        <f t="shared" si="48"/>
        <v>0</v>
      </c>
      <c r="AD84" s="26">
        <f t="shared" si="48"/>
        <v>0</v>
      </c>
      <c r="AE84" s="26">
        <f t="shared" si="48"/>
        <v>0</v>
      </c>
      <c r="AF84" s="26">
        <f t="shared" si="48"/>
        <v>0</v>
      </c>
      <c r="AG84" s="26">
        <f t="shared" si="48"/>
        <v>0</v>
      </c>
      <c r="AH84" s="26">
        <f t="shared" si="48"/>
        <v>0</v>
      </c>
      <c r="AI84" s="26">
        <f t="shared" si="48"/>
        <v>0</v>
      </c>
      <c r="AJ84" s="26">
        <f t="shared" si="48"/>
        <v>0</v>
      </c>
      <c r="AK84" s="26">
        <f t="shared" si="48"/>
        <v>0</v>
      </c>
    </row>
    <row r="85" spans="2:37" outlineLevel="1">
      <c r="C85" s="3" t="str">
        <f t="shared" si="44"/>
        <v>&lt;&lt; add project &gt;&gt;</v>
      </c>
      <c r="E85" s="3" t="s">
        <v>949</v>
      </c>
      <c r="R85" s="26">
        <f t="shared" ref="R85:AK85" si="49">R33*$P23</f>
        <v>0</v>
      </c>
      <c r="S85" s="26">
        <f t="shared" si="49"/>
        <v>0</v>
      </c>
      <c r="T85" s="26">
        <f t="shared" si="49"/>
        <v>0</v>
      </c>
      <c r="U85" s="26">
        <f t="shared" si="49"/>
        <v>0</v>
      </c>
      <c r="V85" s="26">
        <f t="shared" si="49"/>
        <v>0</v>
      </c>
      <c r="W85" s="26">
        <f t="shared" si="49"/>
        <v>0</v>
      </c>
      <c r="X85" s="26">
        <f t="shared" si="49"/>
        <v>0</v>
      </c>
      <c r="Y85" s="26">
        <f t="shared" si="49"/>
        <v>0</v>
      </c>
      <c r="Z85" s="26">
        <f t="shared" si="49"/>
        <v>0</v>
      </c>
      <c r="AA85" s="26">
        <f t="shared" si="49"/>
        <v>0</v>
      </c>
      <c r="AB85" s="26">
        <f t="shared" si="49"/>
        <v>0</v>
      </c>
      <c r="AC85" s="26">
        <f t="shared" si="49"/>
        <v>0</v>
      </c>
      <c r="AD85" s="26">
        <f t="shared" si="49"/>
        <v>0</v>
      </c>
      <c r="AE85" s="26">
        <f t="shared" si="49"/>
        <v>0</v>
      </c>
      <c r="AF85" s="26">
        <f t="shared" si="49"/>
        <v>0</v>
      </c>
      <c r="AG85" s="26">
        <f t="shared" si="49"/>
        <v>0</v>
      </c>
      <c r="AH85" s="26">
        <f t="shared" si="49"/>
        <v>0</v>
      </c>
      <c r="AI85" s="26">
        <f t="shared" si="49"/>
        <v>0</v>
      </c>
      <c r="AJ85" s="26">
        <f t="shared" si="49"/>
        <v>0</v>
      </c>
      <c r="AK85" s="26">
        <f t="shared" si="49"/>
        <v>0</v>
      </c>
    </row>
    <row r="86" spans="2:37" outlineLevel="1">
      <c r="C86" s="3" t="str">
        <f t="shared" si="44"/>
        <v>&lt;&lt; add project &gt;&gt;</v>
      </c>
      <c r="E86" s="3" t="s">
        <v>949</v>
      </c>
      <c r="R86" s="26">
        <f t="shared" ref="R86:AK86" si="50">R34*$P24</f>
        <v>0</v>
      </c>
      <c r="S86" s="26">
        <f t="shared" si="50"/>
        <v>0</v>
      </c>
      <c r="T86" s="26">
        <f t="shared" si="50"/>
        <v>0</v>
      </c>
      <c r="U86" s="26">
        <f t="shared" si="50"/>
        <v>0</v>
      </c>
      <c r="V86" s="26">
        <f t="shared" si="50"/>
        <v>0</v>
      </c>
      <c r="W86" s="26">
        <f t="shared" si="50"/>
        <v>0</v>
      </c>
      <c r="X86" s="26">
        <f t="shared" si="50"/>
        <v>0</v>
      </c>
      <c r="Y86" s="26">
        <f t="shared" si="50"/>
        <v>0</v>
      </c>
      <c r="Z86" s="26">
        <f t="shared" si="50"/>
        <v>0</v>
      </c>
      <c r="AA86" s="26">
        <f t="shared" si="50"/>
        <v>0</v>
      </c>
      <c r="AB86" s="26">
        <f t="shared" si="50"/>
        <v>0</v>
      </c>
      <c r="AC86" s="26">
        <f t="shared" si="50"/>
        <v>0</v>
      </c>
      <c r="AD86" s="26">
        <f t="shared" si="50"/>
        <v>0</v>
      </c>
      <c r="AE86" s="26">
        <f t="shared" si="50"/>
        <v>0</v>
      </c>
      <c r="AF86" s="26">
        <f t="shared" si="50"/>
        <v>0</v>
      </c>
      <c r="AG86" s="26">
        <f t="shared" si="50"/>
        <v>0</v>
      </c>
      <c r="AH86" s="26">
        <f t="shared" si="50"/>
        <v>0</v>
      </c>
      <c r="AI86" s="26">
        <f t="shared" si="50"/>
        <v>0</v>
      </c>
      <c r="AJ86" s="26">
        <f t="shared" si="50"/>
        <v>0</v>
      </c>
      <c r="AK86" s="26">
        <f t="shared" si="50"/>
        <v>0</v>
      </c>
    </row>
    <row r="87" spans="2:37" outlineLevel="1">
      <c r="C87" s="3" t="str">
        <f t="shared" si="44"/>
        <v>&lt;&lt; add project &gt;&gt;</v>
      </c>
      <c r="E87" s="3" t="s">
        <v>949</v>
      </c>
      <c r="R87" s="26">
        <f t="shared" ref="R87:AK87" si="51">R35*$P25</f>
        <v>0</v>
      </c>
      <c r="S87" s="26">
        <f t="shared" si="51"/>
        <v>0</v>
      </c>
      <c r="T87" s="26">
        <f t="shared" si="51"/>
        <v>0</v>
      </c>
      <c r="U87" s="26">
        <f t="shared" si="51"/>
        <v>0</v>
      </c>
      <c r="V87" s="26">
        <f t="shared" si="51"/>
        <v>0</v>
      </c>
      <c r="W87" s="26">
        <f t="shared" si="51"/>
        <v>0</v>
      </c>
      <c r="X87" s="26">
        <f t="shared" si="51"/>
        <v>0</v>
      </c>
      <c r="Y87" s="26">
        <f t="shared" si="51"/>
        <v>0</v>
      </c>
      <c r="Z87" s="26">
        <f t="shared" si="51"/>
        <v>0</v>
      </c>
      <c r="AA87" s="26">
        <f t="shared" si="51"/>
        <v>0</v>
      </c>
      <c r="AB87" s="26">
        <f t="shared" si="51"/>
        <v>0</v>
      </c>
      <c r="AC87" s="26">
        <f t="shared" si="51"/>
        <v>0</v>
      </c>
      <c r="AD87" s="26">
        <f t="shared" si="51"/>
        <v>0</v>
      </c>
      <c r="AE87" s="26">
        <f t="shared" si="51"/>
        <v>0</v>
      </c>
      <c r="AF87" s="26">
        <f t="shared" si="51"/>
        <v>0</v>
      </c>
      <c r="AG87" s="26">
        <f t="shared" si="51"/>
        <v>0</v>
      </c>
      <c r="AH87" s="26">
        <f t="shared" si="51"/>
        <v>0</v>
      </c>
      <c r="AI87" s="26">
        <f t="shared" si="51"/>
        <v>0</v>
      </c>
      <c r="AJ87" s="26">
        <f t="shared" si="51"/>
        <v>0</v>
      </c>
      <c r="AK87" s="26">
        <f t="shared" si="51"/>
        <v>0</v>
      </c>
    </row>
    <row r="88" spans="2:37" ht="8.5" customHeight="1"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2:37">
      <c r="C89" s="17" t="s">
        <v>950</v>
      </c>
      <c r="E89" s="17" t="s">
        <v>949</v>
      </c>
      <c r="R89" s="26">
        <f>SUM(R81:R87)</f>
        <v>0</v>
      </c>
      <c r="S89" s="26">
        <f t="shared" ref="S89:AK89" si="52">SUM(S81:S87)</f>
        <v>0</v>
      </c>
      <c r="T89" s="26">
        <f t="shared" si="52"/>
        <v>0</v>
      </c>
      <c r="U89" s="26">
        <f t="shared" si="52"/>
        <v>0</v>
      </c>
      <c r="V89" s="26">
        <f t="shared" si="52"/>
        <v>0</v>
      </c>
      <c r="W89" s="26">
        <f t="shared" si="52"/>
        <v>0</v>
      </c>
      <c r="X89" s="26">
        <f t="shared" si="52"/>
        <v>2.517246364838067</v>
      </c>
      <c r="Y89" s="26">
        <f t="shared" si="52"/>
        <v>41.685599801718446</v>
      </c>
      <c r="Z89" s="26">
        <f t="shared" si="52"/>
        <v>41.685599801718446</v>
      </c>
      <c r="AA89" s="26">
        <f t="shared" si="52"/>
        <v>41.685599801718446</v>
      </c>
      <c r="AB89" s="26">
        <f t="shared" si="52"/>
        <v>41.685599801718446</v>
      </c>
      <c r="AC89" s="26">
        <f t="shared" si="52"/>
        <v>41.685599801718446</v>
      </c>
      <c r="AD89" s="26">
        <f t="shared" si="52"/>
        <v>41.685599801718446</v>
      </c>
      <c r="AE89" s="26">
        <f t="shared" si="52"/>
        <v>30.206956378056844</v>
      </c>
      <c r="AF89" s="26">
        <f t="shared" si="52"/>
        <v>27.689710013218736</v>
      </c>
      <c r="AG89" s="26">
        <f t="shared" si="52"/>
        <v>0</v>
      </c>
      <c r="AH89" s="26">
        <f t="shared" si="52"/>
        <v>0</v>
      </c>
      <c r="AI89" s="26">
        <f t="shared" si="52"/>
        <v>0</v>
      </c>
      <c r="AJ89" s="26">
        <f t="shared" si="52"/>
        <v>0</v>
      </c>
      <c r="AK89" s="26">
        <f t="shared" si="52"/>
        <v>0</v>
      </c>
    </row>
    <row r="90" spans="2:37">
      <c r="C90" s="17" t="s">
        <v>951</v>
      </c>
      <c r="E90" s="17" t="s">
        <v>949</v>
      </c>
      <c r="R90" s="23">
        <f>R$12*$P$11</f>
        <v>0</v>
      </c>
      <c r="S90" s="23">
        <f t="shared" ref="S90:AK90" si="53">S$12*$P$11</f>
        <v>0</v>
      </c>
      <c r="T90" s="23">
        <f t="shared" si="53"/>
        <v>0</v>
      </c>
      <c r="U90" s="23">
        <f t="shared" si="53"/>
        <v>0</v>
      </c>
      <c r="V90" s="23">
        <f t="shared" si="53"/>
        <v>0</v>
      </c>
      <c r="W90" s="23">
        <f t="shared" si="53"/>
        <v>2.8221685393258436</v>
      </c>
      <c r="X90" s="23">
        <f t="shared" si="53"/>
        <v>0.6638393506278919</v>
      </c>
      <c r="Y90" s="23">
        <f t="shared" si="53"/>
        <v>0</v>
      </c>
      <c r="Z90" s="23">
        <f t="shared" si="53"/>
        <v>0</v>
      </c>
      <c r="AA90" s="23">
        <f t="shared" si="53"/>
        <v>0</v>
      </c>
      <c r="AB90" s="23">
        <f t="shared" si="53"/>
        <v>0</v>
      </c>
      <c r="AC90" s="23">
        <f t="shared" si="53"/>
        <v>0</v>
      </c>
      <c r="AD90" s="23">
        <f t="shared" si="53"/>
        <v>0</v>
      </c>
      <c r="AE90" s="23">
        <f t="shared" si="53"/>
        <v>0</v>
      </c>
      <c r="AF90" s="23">
        <f t="shared" si="53"/>
        <v>0</v>
      </c>
      <c r="AG90" s="23">
        <f t="shared" si="53"/>
        <v>0</v>
      </c>
      <c r="AH90" s="23">
        <f t="shared" si="53"/>
        <v>0</v>
      </c>
      <c r="AI90" s="23">
        <f t="shared" si="53"/>
        <v>0</v>
      </c>
      <c r="AJ90" s="23">
        <f t="shared" si="53"/>
        <v>0</v>
      </c>
      <c r="AK90" s="23">
        <f t="shared" si="53"/>
        <v>0</v>
      </c>
    </row>
    <row r="91" spans="2:37">
      <c r="C91" s="17" t="s">
        <v>12</v>
      </c>
      <c r="E91" s="17" t="s">
        <v>949</v>
      </c>
      <c r="R91" s="147">
        <f>SUM(R89:R90)</f>
        <v>0</v>
      </c>
      <c r="S91" s="147">
        <f t="shared" ref="S91:AK91" si="54">SUM(S89:S90)</f>
        <v>0</v>
      </c>
      <c r="T91" s="147">
        <f t="shared" si="54"/>
        <v>0</v>
      </c>
      <c r="U91" s="147">
        <f t="shared" si="54"/>
        <v>0</v>
      </c>
      <c r="V91" s="147">
        <f t="shared" si="54"/>
        <v>0</v>
      </c>
      <c r="W91" s="147">
        <f t="shared" si="54"/>
        <v>2.8221685393258436</v>
      </c>
      <c r="X91" s="147">
        <f t="shared" si="54"/>
        <v>3.1810857154659589</v>
      </c>
      <c r="Y91" s="147">
        <f t="shared" si="54"/>
        <v>41.685599801718446</v>
      </c>
      <c r="Z91" s="147">
        <f t="shared" si="54"/>
        <v>41.685599801718446</v>
      </c>
      <c r="AA91" s="147">
        <f t="shared" si="54"/>
        <v>41.685599801718446</v>
      </c>
      <c r="AB91" s="147">
        <f t="shared" si="54"/>
        <v>41.685599801718446</v>
      </c>
      <c r="AC91" s="147">
        <f t="shared" si="54"/>
        <v>41.685599801718446</v>
      </c>
      <c r="AD91" s="147">
        <f t="shared" si="54"/>
        <v>41.685599801718446</v>
      </c>
      <c r="AE91" s="147">
        <f t="shared" si="54"/>
        <v>30.206956378056844</v>
      </c>
      <c r="AF91" s="147">
        <f t="shared" si="54"/>
        <v>27.689710013218736</v>
      </c>
      <c r="AG91" s="147">
        <f t="shared" si="54"/>
        <v>0</v>
      </c>
      <c r="AH91" s="147">
        <f t="shared" si="54"/>
        <v>0</v>
      </c>
      <c r="AI91" s="147">
        <f t="shared" si="54"/>
        <v>0</v>
      </c>
      <c r="AJ91" s="147">
        <f t="shared" si="54"/>
        <v>0</v>
      </c>
      <c r="AK91" s="147">
        <f t="shared" si="54"/>
        <v>0</v>
      </c>
    </row>
    <row r="93" spans="2:37" ht="13.5" thickBot="1">
      <c r="B93" s="6" t="s">
        <v>947</v>
      </c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</row>
    <row r="94" spans="2:37" outlineLevel="1">
      <c r="C94" s="3" t="str">
        <f t="shared" ref="C94:C100" si="55">C66</f>
        <v>New Regulator ICT Infrastructure Costs</v>
      </c>
      <c r="E94" s="3" t="s">
        <v>949</v>
      </c>
      <c r="R94" s="26">
        <f t="shared" ref="R94:AK94" si="56">R40*$P19</f>
        <v>0</v>
      </c>
      <c r="S94" s="26">
        <f t="shared" si="56"/>
        <v>0</v>
      </c>
      <c r="T94" s="26">
        <f t="shared" si="56"/>
        <v>0</v>
      </c>
      <c r="U94" s="26">
        <f t="shared" si="56"/>
        <v>0</v>
      </c>
      <c r="V94" s="26">
        <f t="shared" si="56"/>
        <v>0</v>
      </c>
      <c r="W94" s="26">
        <f t="shared" si="56"/>
        <v>0</v>
      </c>
      <c r="X94" s="26">
        <f t="shared" si="56"/>
        <v>0</v>
      </c>
      <c r="Y94" s="26">
        <f t="shared" si="56"/>
        <v>57.393217118308009</v>
      </c>
      <c r="Z94" s="26">
        <f t="shared" si="56"/>
        <v>45.914573694646407</v>
      </c>
      <c r="AA94" s="26">
        <f t="shared" si="56"/>
        <v>34.435930270984812</v>
      </c>
      <c r="AB94" s="26">
        <f t="shared" si="56"/>
        <v>22.957286847323214</v>
      </c>
      <c r="AC94" s="26">
        <f t="shared" si="56"/>
        <v>11.478643423661612</v>
      </c>
      <c r="AD94" s="26">
        <f t="shared" si="56"/>
        <v>1.2454456941412994E-14</v>
      </c>
      <c r="AE94" s="26">
        <f t="shared" si="56"/>
        <v>1.2454456941412994E-14</v>
      </c>
      <c r="AF94" s="26">
        <f t="shared" si="56"/>
        <v>1.2454456941412994E-14</v>
      </c>
      <c r="AG94" s="26">
        <f t="shared" si="56"/>
        <v>1.2454456941412994E-14</v>
      </c>
      <c r="AH94" s="26">
        <f t="shared" si="56"/>
        <v>1.2454456941412994E-14</v>
      </c>
      <c r="AI94" s="26">
        <f t="shared" si="56"/>
        <v>1.2454456941412994E-14</v>
      </c>
      <c r="AJ94" s="26">
        <f t="shared" si="56"/>
        <v>1.2454456941412994E-14</v>
      </c>
      <c r="AK94" s="26">
        <f t="shared" si="56"/>
        <v>1.2454456941412994E-14</v>
      </c>
    </row>
    <row r="95" spans="2:37" outlineLevel="1">
      <c r="C95" s="3" t="str">
        <f t="shared" si="55"/>
        <v>New Digital Online Regulatory System</v>
      </c>
      <c r="E95" s="3" t="s">
        <v>949</v>
      </c>
      <c r="R95" s="26">
        <f t="shared" ref="R95:AK95" si="57">R41*$P20</f>
        <v>0</v>
      </c>
      <c r="S95" s="26">
        <f t="shared" si="57"/>
        <v>0</v>
      </c>
      <c r="T95" s="26">
        <f t="shared" si="57"/>
        <v>0</v>
      </c>
      <c r="U95" s="26">
        <f t="shared" si="57"/>
        <v>0</v>
      </c>
      <c r="V95" s="26">
        <f t="shared" si="57"/>
        <v>0</v>
      </c>
      <c r="W95" s="26">
        <f t="shared" si="57"/>
        <v>0</v>
      </c>
      <c r="X95" s="26">
        <f t="shared" si="57"/>
        <v>239.13840465961667</v>
      </c>
      <c r="Y95" s="26">
        <f t="shared" si="57"/>
        <v>208.93144828155982</v>
      </c>
      <c r="Z95" s="26">
        <f t="shared" si="57"/>
        <v>178.72449190350295</v>
      </c>
      <c r="AA95" s="26">
        <f t="shared" si="57"/>
        <v>148.51753552544614</v>
      </c>
      <c r="AB95" s="26">
        <f t="shared" si="57"/>
        <v>118.31057914738929</v>
      </c>
      <c r="AC95" s="26">
        <f t="shared" si="57"/>
        <v>88.103622769332446</v>
      </c>
      <c r="AD95" s="26">
        <f t="shared" si="57"/>
        <v>57.896666391275609</v>
      </c>
      <c r="AE95" s="26">
        <f t="shared" si="57"/>
        <v>27.689710013218765</v>
      </c>
      <c r="AF95" s="26">
        <f t="shared" si="57"/>
        <v>2.906039952996365E-14</v>
      </c>
      <c r="AG95" s="26">
        <f t="shared" si="57"/>
        <v>2.906039952996365E-14</v>
      </c>
      <c r="AH95" s="26">
        <f t="shared" si="57"/>
        <v>2.906039952996365E-14</v>
      </c>
      <c r="AI95" s="26">
        <f t="shared" si="57"/>
        <v>2.906039952996365E-14</v>
      </c>
      <c r="AJ95" s="26">
        <f t="shared" si="57"/>
        <v>2.906039952996365E-14</v>
      </c>
      <c r="AK95" s="26">
        <f t="shared" si="57"/>
        <v>2.906039952996365E-14</v>
      </c>
    </row>
    <row r="96" spans="2:37" outlineLevel="1">
      <c r="C96" s="3" t="str">
        <f t="shared" si="55"/>
        <v>&lt;&lt; add project &gt;&gt;</v>
      </c>
      <c r="E96" s="3" t="s">
        <v>949</v>
      </c>
      <c r="R96" s="26">
        <f t="shared" ref="R96:AK96" si="58">R42*$P21</f>
        <v>0</v>
      </c>
      <c r="S96" s="26">
        <f t="shared" si="58"/>
        <v>0</v>
      </c>
      <c r="T96" s="26">
        <f t="shared" si="58"/>
        <v>0</v>
      </c>
      <c r="U96" s="26">
        <f t="shared" si="58"/>
        <v>0</v>
      </c>
      <c r="V96" s="26">
        <f t="shared" si="58"/>
        <v>0</v>
      </c>
      <c r="W96" s="26">
        <f t="shared" si="58"/>
        <v>0</v>
      </c>
      <c r="X96" s="26">
        <f t="shared" si="58"/>
        <v>0</v>
      </c>
      <c r="Y96" s="26">
        <f t="shared" si="58"/>
        <v>0</v>
      </c>
      <c r="Z96" s="26">
        <f t="shared" si="58"/>
        <v>0</v>
      </c>
      <c r="AA96" s="26">
        <f t="shared" si="58"/>
        <v>0</v>
      </c>
      <c r="AB96" s="26">
        <f t="shared" si="58"/>
        <v>0</v>
      </c>
      <c r="AC96" s="26">
        <f t="shared" si="58"/>
        <v>0</v>
      </c>
      <c r="AD96" s="26">
        <f t="shared" si="58"/>
        <v>0</v>
      </c>
      <c r="AE96" s="26">
        <f t="shared" si="58"/>
        <v>0</v>
      </c>
      <c r="AF96" s="26">
        <f t="shared" si="58"/>
        <v>0</v>
      </c>
      <c r="AG96" s="26">
        <f t="shared" si="58"/>
        <v>0</v>
      </c>
      <c r="AH96" s="26">
        <f t="shared" si="58"/>
        <v>0</v>
      </c>
      <c r="AI96" s="26">
        <f t="shared" si="58"/>
        <v>0</v>
      </c>
      <c r="AJ96" s="26">
        <f t="shared" si="58"/>
        <v>0</v>
      </c>
      <c r="AK96" s="26">
        <f t="shared" si="58"/>
        <v>0</v>
      </c>
    </row>
    <row r="97" spans="2:37" outlineLevel="1">
      <c r="C97" s="3" t="str">
        <f t="shared" si="55"/>
        <v>&lt;&lt; add project &gt;&gt;</v>
      </c>
      <c r="E97" s="3" t="s">
        <v>949</v>
      </c>
      <c r="R97" s="26">
        <f t="shared" ref="R97:AK97" si="59">R43*$P22</f>
        <v>0</v>
      </c>
      <c r="S97" s="26">
        <f t="shared" si="59"/>
        <v>0</v>
      </c>
      <c r="T97" s="26">
        <f t="shared" si="59"/>
        <v>0</v>
      </c>
      <c r="U97" s="26">
        <f t="shared" si="59"/>
        <v>0</v>
      </c>
      <c r="V97" s="26">
        <f t="shared" si="59"/>
        <v>0</v>
      </c>
      <c r="W97" s="26">
        <f t="shared" si="59"/>
        <v>0</v>
      </c>
      <c r="X97" s="26">
        <f t="shared" si="59"/>
        <v>0</v>
      </c>
      <c r="Y97" s="26">
        <f t="shared" si="59"/>
        <v>0</v>
      </c>
      <c r="Z97" s="26">
        <f t="shared" si="59"/>
        <v>0</v>
      </c>
      <c r="AA97" s="26">
        <f t="shared" si="59"/>
        <v>0</v>
      </c>
      <c r="AB97" s="26">
        <f t="shared" si="59"/>
        <v>0</v>
      </c>
      <c r="AC97" s="26">
        <f t="shared" si="59"/>
        <v>0</v>
      </c>
      <c r="AD97" s="26">
        <f t="shared" si="59"/>
        <v>0</v>
      </c>
      <c r="AE97" s="26">
        <f t="shared" si="59"/>
        <v>0</v>
      </c>
      <c r="AF97" s="26">
        <f t="shared" si="59"/>
        <v>0</v>
      </c>
      <c r="AG97" s="26">
        <f t="shared" si="59"/>
        <v>0</v>
      </c>
      <c r="AH97" s="26">
        <f t="shared" si="59"/>
        <v>0</v>
      </c>
      <c r="AI97" s="26">
        <f t="shared" si="59"/>
        <v>0</v>
      </c>
      <c r="AJ97" s="26">
        <f t="shared" si="59"/>
        <v>0</v>
      </c>
      <c r="AK97" s="26">
        <f t="shared" si="59"/>
        <v>0</v>
      </c>
    </row>
    <row r="98" spans="2:37" outlineLevel="1">
      <c r="C98" s="3" t="str">
        <f t="shared" si="55"/>
        <v>&lt;&lt; add project &gt;&gt;</v>
      </c>
      <c r="E98" s="3" t="s">
        <v>949</v>
      </c>
      <c r="R98" s="26">
        <f t="shared" ref="R98:AK98" si="60">R44*$P23</f>
        <v>0</v>
      </c>
      <c r="S98" s="26">
        <f t="shared" si="60"/>
        <v>0</v>
      </c>
      <c r="T98" s="26">
        <f t="shared" si="60"/>
        <v>0</v>
      </c>
      <c r="U98" s="26">
        <f t="shared" si="60"/>
        <v>0</v>
      </c>
      <c r="V98" s="26">
        <f t="shared" si="60"/>
        <v>0</v>
      </c>
      <c r="W98" s="26">
        <f t="shared" si="60"/>
        <v>0</v>
      </c>
      <c r="X98" s="26">
        <f t="shared" si="60"/>
        <v>0</v>
      </c>
      <c r="Y98" s="26">
        <f t="shared" si="60"/>
        <v>0</v>
      </c>
      <c r="Z98" s="26">
        <f t="shared" si="60"/>
        <v>0</v>
      </c>
      <c r="AA98" s="26">
        <f t="shared" si="60"/>
        <v>0</v>
      </c>
      <c r="AB98" s="26">
        <f t="shared" si="60"/>
        <v>0</v>
      </c>
      <c r="AC98" s="26">
        <f t="shared" si="60"/>
        <v>0</v>
      </c>
      <c r="AD98" s="26">
        <f t="shared" si="60"/>
        <v>0</v>
      </c>
      <c r="AE98" s="26">
        <f t="shared" si="60"/>
        <v>0</v>
      </c>
      <c r="AF98" s="26">
        <f t="shared" si="60"/>
        <v>0</v>
      </c>
      <c r="AG98" s="26">
        <f t="shared" si="60"/>
        <v>0</v>
      </c>
      <c r="AH98" s="26">
        <f t="shared" si="60"/>
        <v>0</v>
      </c>
      <c r="AI98" s="26">
        <f t="shared" si="60"/>
        <v>0</v>
      </c>
      <c r="AJ98" s="26">
        <f t="shared" si="60"/>
        <v>0</v>
      </c>
      <c r="AK98" s="26">
        <f t="shared" si="60"/>
        <v>0</v>
      </c>
    </row>
    <row r="99" spans="2:37" outlineLevel="1">
      <c r="C99" s="3" t="str">
        <f t="shared" si="55"/>
        <v>&lt;&lt; add project &gt;&gt;</v>
      </c>
      <c r="E99" s="3" t="s">
        <v>949</v>
      </c>
      <c r="R99" s="26">
        <f t="shared" ref="R99:AK99" si="61">R45*$P24</f>
        <v>0</v>
      </c>
      <c r="S99" s="26">
        <f t="shared" si="61"/>
        <v>0</v>
      </c>
      <c r="T99" s="26">
        <f t="shared" si="61"/>
        <v>0</v>
      </c>
      <c r="U99" s="26">
        <f t="shared" si="61"/>
        <v>0</v>
      </c>
      <c r="V99" s="26">
        <f t="shared" si="61"/>
        <v>0</v>
      </c>
      <c r="W99" s="26">
        <f t="shared" si="61"/>
        <v>0</v>
      </c>
      <c r="X99" s="26">
        <f t="shared" si="61"/>
        <v>0</v>
      </c>
      <c r="Y99" s="26">
        <f t="shared" si="61"/>
        <v>0</v>
      </c>
      <c r="Z99" s="26">
        <f t="shared" si="61"/>
        <v>0</v>
      </c>
      <c r="AA99" s="26">
        <f t="shared" si="61"/>
        <v>0</v>
      </c>
      <c r="AB99" s="26">
        <f t="shared" si="61"/>
        <v>0</v>
      </c>
      <c r="AC99" s="26">
        <f t="shared" si="61"/>
        <v>0</v>
      </c>
      <c r="AD99" s="26">
        <f t="shared" si="61"/>
        <v>0</v>
      </c>
      <c r="AE99" s="26">
        <f t="shared" si="61"/>
        <v>0</v>
      </c>
      <c r="AF99" s="26">
        <f t="shared" si="61"/>
        <v>0</v>
      </c>
      <c r="AG99" s="26">
        <f t="shared" si="61"/>
        <v>0</v>
      </c>
      <c r="AH99" s="26">
        <f t="shared" si="61"/>
        <v>0</v>
      </c>
      <c r="AI99" s="26">
        <f t="shared" si="61"/>
        <v>0</v>
      </c>
      <c r="AJ99" s="26">
        <f t="shared" si="61"/>
        <v>0</v>
      </c>
      <c r="AK99" s="26">
        <f t="shared" si="61"/>
        <v>0</v>
      </c>
    </row>
    <row r="100" spans="2:37" outlineLevel="1">
      <c r="C100" s="3" t="str">
        <f t="shared" si="55"/>
        <v>&lt;&lt; add project &gt;&gt;</v>
      </c>
      <c r="E100" s="3" t="s">
        <v>949</v>
      </c>
      <c r="R100" s="26">
        <f t="shared" ref="R100:AK100" si="62">R46*$P25</f>
        <v>0</v>
      </c>
      <c r="S100" s="26">
        <f t="shared" si="62"/>
        <v>0</v>
      </c>
      <c r="T100" s="26">
        <f t="shared" si="62"/>
        <v>0</v>
      </c>
      <c r="U100" s="26">
        <f t="shared" si="62"/>
        <v>0</v>
      </c>
      <c r="V100" s="26">
        <f t="shared" si="62"/>
        <v>0</v>
      </c>
      <c r="W100" s="26">
        <f t="shared" si="62"/>
        <v>0</v>
      </c>
      <c r="X100" s="26">
        <f t="shared" si="62"/>
        <v>0</v>
      </c>
      <c r="Y100" s="26">
        <f t="shared" si="62"/>
        <v>0</v>
      </c>
      <c r="Z100" s="26">
        <f t="shared" si="62"/>
        <v>0</v>
      </c>
      <c r="AA100" s="26">
        <f t="shared" si="62"/>
        <v>0</v>
      </c>
      <c r="AB100" s="26">
        <f t="shared" si="62"/>
        <v>0</v>
      </c>
      <c r="AC100" s="26">
        <f t="shared" si="62"/>
        <v>0</v>
      </c>
      <c r="AD100" s="26">
        <f t="shared" si="62"/>
        <v>0</v>
      </c>
      <c r="AE100" s="26">
        <f t="shared" si="62"/>
        <v>0</v>
      </c>
      <c r="AF100" s="26">
        <f t="shared" si="62"/>
        <v>0</v>
      </c>
      <c r="AG100" s="26">
        <f t="shared" si="62"/>
        <v>0</v>
      </c>
      <c r="AH100" s="26">
        <f t="shared" si="62"/>
        <v>0</v>
      </c>
      <c r="AI100" s="26">
        <f t="shared" si="62"/>
        <v>0</v>
      </c>
      <c r="AJ100" s="26">
        <f t="shared" si="62"/>
        <v>0</v>
      </c>
      <c r="AK100" s="26">
        <f t="shared" si="62"/>
        <v>0</v>
      </c>
    </row>
    <row r="101" spans="2:37"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2:37">
      <c r="C102" s="17" t="s">
        <v>950</v>
      </c>
      <c r="E102" s="17" t="s">
        <v>949</v>
      </c>
      <c r="R102" s="26">
        <f>SUM(R94:R100)</f>
        <v>0</v>
      </c>
      <c r="S102" s="26">
        <f t="shared" ref="S102:AK102" si="63">SUM(S94:S100)</f>
        <v>0</v>
      </c>
      <c r="T102" s="26">
        <f t="shared" si="63"/>
        <v>0</v>
      </c>
      <c r="U102" s="26">
        <f t="shared" si="63"/>
        <v>0</v>
      </c>
      <c r="V102" s="26">
        <f t="shared" si="63"/>
        <v>0</v>
      </c>
      <c r="W102" s="26">
        <f t="shared" si="63"/>
        <v>0</v>
      </c>
      <c r="X102" s="26">
        <f t="shared" si="63"/>
        <v>239.13840465961667</v>
      </c>
      <c r="Y102" s="26">
        <f t="shared" si="63"/>
        <v>266.32466539986785</v>
      </c>
      <c r="Z102" s="26">
        <f t="shared" si="63"/>
        <v>224.63906559814936</v>
      </c>
      <c r="AA102" s="26">
        <f t="shared" si="63"/>
        <v>182.95346579643095</v>
      </c>
      <c r="AB102" s="26">
        <f t="shared" si="63"/>
        <v>141.26786599471251</v>
      </c>
      <c r="AC102" s="26">
        <f t="shared" si="63"/>
        <v>99.582266192994055</v>
      </c>
      <c r="AD102" s="26">
        <f t="shared" si="63"/>
        <v>57.896666391275623</v>
      </c>
      <c r="AE102" s="26">
        <f t="shared" si="63"/>
        <v>27.689710013218779</v>
      </c>
      <c r="AF102" s="26">
        <f t="shared" si="63"/>
        <v>4.151485647137664E-14</v>
      </c>
      <c r="AG102" s="26">
        <f t="shared" si="63"/>
        <v>4.151485647137664E-14</v>
      </c>
      <c r="AH102" s="26">
        <f t="shared" si="63"/>
        <v>4.151485647137664E-14</v>
      </c>
      <c r="AI102" s="26">
        <f t="shared" si="63"/>
        <v>4.151485647137664E-14</v>
      </c>
      <c r="AJ102" s="26">
        <f t="shared" si="63"/>
        <v>4.151485647137664E-14</v>
      </c>
      <c r="AK102" s="26">
        <f t="shared" si="63"/>
        <v>4.151485647137664E-14</v>
      </c>
    </row>
    <row r="103" spans="2:37">
      <c r="C103" s="17" t="s">
        <v>951</v>
      </c>
      <c r="E103" s="17" t="s">
        <v>949</v>
      </c>
      <c r="R103" s="23">
        <f>R$11*$P$11</f>
        <v>0</v>
      </c>
      <c r="S103" s="23">
        <f t="shared" ref="S103:AK103" si="64">S$11*$P$11</f>
        <v>0</v>
      </c>
      <c r="T103" s="23">
        <f t="shared" si="64"/>
        <v>0</v>
      </c>
      <c r="U103" s="23">
        <f t="shared" si="64"/>
        <v>0</v>
      </c>
      <c r="V103" s="23">
        <f t="shared" si="64"/>
        <v>0</v>
      </c>
      <c r="W103" s="23">
        <f t="shared" si="64"/>
        <v>0</v>
      </c>
      <c r="X103" s="23">
        <f t="shared" si="64"/>
        <v>0</v>
      </c>
      <c r="Y103" s="23">
        <f t="shared" si="64"/>
        <v>0</v>
      </c>
      <c r="Z103" s="23">
        <f t="shared" si="64"/>
        <v>0</v>
      </c>
      <c r="AA103" s="23">
        <f t="shared" si="64"/>
        <v>0</v>
      </c>
      <c r="AB103" s="23">
        <f t="shared" si="64"/>
        <v>0</v>
      </c>
      <c r="AC103" s="23">
        <f t="shared" si="64"/>
        <v>0</v>
      </c>
      <c r="AD103" s="23">
        <f t="shared" si="64"/>
        <v>0</v>
      </c>
      <c r="AE103" s="23">
        <f t="shared" si="64"/>
        <v>0</v>
      </c>
      <c r="AF103" s="23">
        <f t="shared" si="64"/>
        <v>0</v>
      </c>
      <c r="AG103" s="23">
        <f t="shared" si="64"/>
        <v>0</v>
      </c>
      <c r="AH103" s="23">
        <f t="shared" si="64"/>
        <v>0</v>
      </c>
      <c r="AI103" s="23">
        <f t="shared" si="64"/>
        <v>0</v>
      </c>
      <c r="AJ103" s="23">
        <f t="shared" si="64"/>
        <v>0</v>
      </c>
      <c r="AK103" s="23">
        <f t="shared" si="64"/>
        <v>0</v>
      </c>
    </row>
    <row r="104" spans="2:37">
      <c r="C104" s="17" t="s">
        <v>12</v>
      </c>
      <c r="E104" s="17" t="s">
        <v>949</v>
      </c>
      <c r="R104" s="147">
        <f t="shared" ref="R104:AK104" si="65">SUM(R102:R103)</f>
        <v>0</v>
      </c>
      <c r="S104" s="147">
        <f t="shared" si="65"/>
        <v>0</v>
      </c>
      <c r="T104" s="147">
        <f t="shared" si="65"/>
        <v>0</v>
      </c>
      <c r="U104" s="147">
        <f t="shared" si="65"/>
        <v>0</v>
      </c>
      <c r="V104" s="147">
        <f t="shared" si="65"/>
        <v>0</v>
      </c>
      <c r="W104" s="147">
        <f t="shared" si="65"/>
        <v>0</v>
      </c>
      <c r="X104" s="147">
        <f t="shared" si="65"/>
        <v>239.13840465961667</v>
      </c>
      <c r="Y104" s="147">
        <f t="shared" si="65"/>
        <v>266.32466539986785</v>
      </c>
      <c r="Z104" s="147">
        <f t="shared" si="65"/>
        <v>224.63906559814936</v>
      </c>
      <c r="AA104" s="147">
        <f t="shared" si="65"/>
        <v>182.95346579643095</v>
      </c>
      <c r="AB104" s="147">
        <f t="shared" si="65"/>
        <v>141.26786599471251</v>
      </c>
      <c r="AC104" s="147">
        <f t="shared" si="65"/>
        <v>99.582266192994055</v>
      </c>
      <c r="AD104" s="147">
        <f t="shared" si="65"/>
        <v>57.896666391275623</v>
      </c>
      <c r="AE104" s="147">
        <f t="shared" si="65"/>
        <v>27.689710013218779</v>
      </c>
      <c r="AF104" s="147">
        <f t="shared" si="65"/>
        <v>4.151485647137664E-14</v>
      </c>
      <c r="AG104" s="147">
        <f t="shared" si="65"/>
        <v>4.151485647137664E-14</v>
      </c>
      <c r="AH104" s="147">
        <f t="shared" si="65"/>
        <v>4.151485647137664E-14</v>
      </c>
      <c r="AI104" s="147">
        <f t="shared" si="65"/>
        <v>4.151485647137664E-14</v>
      </c>
      <c r="AJ104" s="147">
        <f t="shared" si="65"/>
        <v>4.151485647137664E-14</v>
      </c>
      <c r="AK104" s="147">
        <f t="shared" si="65"/>
        <v>4.151485647137664E-14</v>
      </c>
    </row>
    <row r="106" spans="2:37">
      <c r="B106" s="5" t="s">
        <v>60</v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</sheetData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8655-8143-4DAB-BB59-09FD70106DB8}">
  <sheetPr>
    <tabColor theme="7" tint="0.59999389629810485"/>
  </sheetPr>
  <dimension ref="A1:AF125"/>
  <sheetViews>
    <sheetView showGridLines="0" zoomScale="80" zoomScaleNormal="80" workbookViewId="0">
      <pane ySplit="6" topLeftCell="A73" activePane="bottomLeft" state="frozen"/>
      <selection activeCell="C2" sqref="C2"/>
      <selection pane="bottomLeft" activeCell="C85" sqref="C85"/>
    </sheetView>
  </sheetViews>
  <sheetFormatPr defaultColWidth="0" defaultRowHeight="13" outlineLevelCol="1"/>
  <cols>
    <col min="1" max="1" width="1.453125" style="3" customWidth="1"/>
    <col min="2" max="2" width="3.26953125" style="3" customWidth="1"/>
    <col min="3" max="3" width="20.81640625" style="3" bestFit="1" customWidth="1"/>
    <col min="4" max="5" width="8.81640625" style="3" customWidth="1"/>
    <col min="6" max="6" width="4.453125" style="3" customWidth="1"/>
    <col min="7" max="7" width="12.54296875" style="3" customWidth="1"/>
    <col min="8" max="8" width="11.7265625" style="3" customWidth="1" outlineLevel="1"/>
    <col min="9" max="9" width="11.54296875" style="3" bestFit="1" customWidth="1" outlineLevel="1"/>
    <col min="10" max="10" width="13.453125" style="3" customWidth="1" outlineLevel="1"/>
    <col min="11" max="11" width="13.453125" style="3" customWidth="1"/>
    <col min="12" max="31" width="11.54296875" style="3" bestFit="1" customWidth="1"/>
    <col min="32" max="32" width="3.26953125" style="3" customWidth="1"/>
    <col min="33" max="16384" width="0" style="3" hidden="1"/>
  </cols>
  <sheetData>
    <row r="1" spans="2:31" ht="9" customHeight="1"/>
    <row r="2" spans="2:31">
      <c r="B2" s="4"/>
      <c r="C2" s="4"/>
      <c r="D2" s="4"/>
      <c r="E2" s="4"/>
      <c r="F2" s="4"/>
      <c r="G2" s="4"/>
      <c r="H2" s="4"/>
      <c r="I2" s="4"/>
      <c r="J2" s="4"/>
      <c r="K2" s="5" t="str">
        <f>'Misc. Items'!H2</f>
        <v>Period Start</v>
      </c>
      <c r="L2" s="10">
        <f>'Misc. Items'!I2</f>
        <v>42005</v>
      </c>
      <c r="M2" s="10">
        <f>'Misc. Items'!J2</f>
        <v>42370</v>
      </c>
      <c r="N2" s="10">
        <f>'Misc. Items'!K2</f>
        <v>42736</v>
      </c>
      <c r="O2" s="10">
        <f>'Misc. Items'!L2</f>
        <v>43101</v>
      </c>
      <c r="P2" s="10">
        <f>'Misc. Items'!M2</f>
        <v>43466</v>
      </c>
      <c r="Q2" s="10">
        <f>'Misc. Items'!N2</f>
        <v>43831</v>
      </c>
      <c r="R2" s="10">
        <f>'Misc. Items'!O2</f>
        <v>44197</v>
      </c>
      <c r="S2" s="10">
        <f>'Misc. Items'!P2</f>
        <v>44562</v>
      </c>
      <c r="T2" s="10">
        <f>'Misc. Items'!Q2</f>
        <v>44927</v>
      </c>
      <c r="U2" s="10">
        <f>'Misc. Items'!R2</f>
        <v>45292</v>
      </c>
      <c r="V2" s="10">
        <f>'Misc. Items'!S2</f>
        <v>45658</v>
      </c>
      <c r="W2" s="10">
        <f>'Misc. Items'!T2</f>
        <v>46023</v>
      </c>
      <c r="X2" s="10">
        <f>'Misc. Items'!U2</f>
        <v>46388</v>
      </c>
      <c r="Y2" s="10">
        <f>'Misc. Items'!V2</f>
        <v>46753</v>
      </c>
      <c r="Z2" s="10">
        <f>'Misc. Items'!W2</f>
        <v>47119</v>
      </c>
      <c r="AA2" s="10">
        <f>'Misc. Items'!X2</f>
        <v>47484</v>
      </c>
      <c r="AB2" s="10">
        <f>'Misc. Items'!Y2</f>
        <v>47849</v>
      </c>
      <c r="AC2" s="10">
        <f>'Misc. Items'!Z2</f>
        <v>48214</v>
      </c>
      <c r="AD2" s="10">
        <f>'Misc. Items'!AA2</f>
        <v>48580</v>
      </c>
      <c r="AE2" s="10">
        <f>'Misc. Items'!AB2</f>
        <v>48945</v>
      </c>
    </row>
    <row r="3" spans="2:31">
      <c r="B3" s="4"/>
      <c r="C3" s="215" t="s">
        <v>121</v>
      </c>
      <c r="D3" s="4"/>
      <c r="E3" s="4"/>
      <c r="F3" s="4"/>
      <c r="G3" s="4"/>
      <c r="H3" s="4"/>
      <c r="I3" s="4"/>
      <c r="J3" s="4"/>
      <c r="K3" s="5" t="str">
        <f>'Misc. Items'!H3</f>
        <v>Period End</v>
      </c>
      <c r="L3" s="10">
        <f>'Misc. Items'!I3</f>
        <v>42369</v>
      </c>
      <c r="M3" s="10">
        <f>'Misc. Items'!J3</f>
        <v>42735</v>
      </c>
      <c r="N3" s="10">
        <f>'Misc. Items'!K3</f>
        <v>43100</v>
      </c>
      <c r="O3" s="10">
        <f>'Misc. Items'!L3</f>
        <v>43465</v>
      </c>
      <c r="P3" s="10">
        <f>'Misc. Items'!M3</f>
        <v>43830</v>
      </c>
      <c r="Q3" s="10">
        <f>'Misc. Items'!N3</f>
        <v>44196</v>
      </c>
      <c r="R3" s="10">
        <f>'Misc. Items'!O3</f>
        <v>44561</v>
      </c>
      <c r="S3" s="10">
        <f>'Misc. Items'!P3</f>
        <v>44926</v>
      </c>
      <c r="T3" s="10">
        <f>'Misc. Items'!Q3</f>
        <v>45291</v>
      </c>
      <c r="U3" s="10">
        <f>'Misc. Items'!R3</f>
        <v>45657</v>
      </c>
      <c r="V3" s="10">
        <f>'Misc. Items'!S3</f>
        <v>46022</v>
      </c>
      <c r="W3" s="10">
        <f>'Misc. Items'!T3</f>
        <v>46387</v>
      </c>
      <c r="X3" s="10">
        <f>'Misc. Items'!U3</f>
        <v>46752</v>
      </c>
      <c r="Y3" s="10">
        <f>'Misc. Items'!V3</f>
        <v>47118</v>
      </c>
      <c r="Z3" s="10">
        <f>'Misc. Items'!W3</f>
        <v>47483</v>
      </c>
      <c r="AA3" s="10">
        <f>'Misc. Items'!X3</f>
        <v>47848</v>
      </c>
      <c r="AB3" s="10">
        <f>'Misc. Items'!Y3</f>
        <v>48213</v>
      </c>
      <c r="AC3" s="10">
        <f>'Misc. Items'!Z3</f>
        <v>48579</v>
      </c>
      <c r="AD3" s="10">
        <f>'Misc. Items'!AA3</f>
        <v>48944</v>
      </c>
      <c r="AE3" s="10">
        <f>'Misc. Items'!AB3</f>
        <v>49309</v>
      </c>
    </row>
    <row r="4" spans="2:31">
      <c r="B4" s="4"/>
      <c r="C4" s="1540" t="s">
        <v>123</v>
      </c>
      <c r="D4" s="4"/>
      <c r="E4" s="4"/>
      <c r="F4" s="4"/>
      <c r="G4" s="4"/>
      <c r="H4" s="4"/>
      <c r="I4" s="4"/>
      <c r="J4" s="4"/>
      <c r="K4" s="5" t="s">
        <v>124</v>
      </c>
      <c r="L4" s="11">
        <f>'Misc. Items'!I4</f>
        <v>2015</v>
      </c>
      <c r="M4" s="11">
        <f>'Misc. Items'!J4</f>
        <v>2016</v>
      </c>
      <c r="N4" s="11">
        <f>'Misc. Items'!K4</f>
        <v>2017</v>
      </c>
      <c r="O4" s="11">
        <f>'Misc. Items'!L4</f>
        <v>2018</v>
      </c>
      <c r="P4" s="11">
        <f>'Misc. Items'!M4</f>
        <v>2019</v>
      </c>
      <c r="Q4" s="11">
        <f>'Misc. Items'!N4</f>
        <v>2020</v>
      </c>
      <c r="R4" s="11">
        <f>'Misc. Items'!O4</f>
        <v>2021</v>
      </c>
      <c r="S4" s="11">
        <f>'Misc. Items'!P4</f>
        <v>2022</v>
      </c>
      <c r="T4" s="11">
        <f>'Misc. Items'!Q4</f>
        <v>2023</v>
      </c>
      <c r="U4" s="11">
        <f>'Misc. Items'!R4</f>
        <v>2024</v>
      </c>
      <c r="V4" s="11">
        <f>'Misc. Items'!S4</f>
        <v>2025</v>
      </c>
      <c r="W4" s="11">
        <f>'Misc. Items'!T4</f>
        <v>2026</v>
      </c>
      <c r="X4" s="11">
        <f>'Misc. Items'!U4</f>
        <v>2027</v>
      </c>
      <c r="Y4" s="11">
        <f>'Misc. Items'!V4</f>
        <v>2028</v>
      </c>
      <c r="Z4" s="11">
        <f>'Misc. Items'!W4</f>
        <v>2029</v>
      </c>
      <c r="AA4" s="11">
        <f>'Misc. Items'!X4</f>
        <v>2030</v>
      </c>
      <c r="AB4" s="11">
        <f>'Misc. Items'!Y4</f>
        <v>2031</v>
      </c>
      <c r="AC4" s="11">
        <f>'Misc. Items'!Z4</f>
        <v>2032</v>
      </c>
      <c r="AD4" s="11">
        <f>'Misc. Items'!AA4</f>
        <v>2033</v>
      </c>
      <c r="AE4" s="11">
        <f>'Misc. Items'!AB4</f>
        <v>2034</v>
      </c>
    </row>
    <row r="5" spans="2:31">
      <c r="B5" s="4"/>
      <c r="C5" s="5" t="s">
        <v>164</v>
      </c>
      <c r="D5" s="4"/>
      <c r="E5" s="4"/>
      <c r="F5" s="4"/>
      <c r="G5" s="4"/>
      <c r="H5" s="4"/>
      <c r="I5" s="4"/>
      <c r="J5" s="4"/>
      <c r="K5" s="5" t="str">
        <f>'Misc. Items'!H5</f>
        <v>Period Counter</v>
      </c>
      <c r="L5" s="11">
        <f>'Misc. Items'!I5</f>
        <v>1</v>
      </c>
      <c r="M5" s="11">
        <f>'Misc. Items'!J5</f>
        <v>2</v>
      </c>
      <c r="N5" s="11">
        <f>'Misc. Items'!K5</f>
        <v>3</v>
      </c>
      <c r="O5" s="11">
        <f>'Misc. Items'!L5</f>
        <v>4</v>
      </c>
      <c r="P5" s="11">
        <f>'Misc. Items'!M5</f>
        <v>5</v>
      </c>
      <c r="Q5" s="11">
        <f>'Misc. Items'!N5</f>
        <v>6</v>
      </c>
      <c r="R5" s="11">
        <f>'Misc. Items'!O5</f>
        <v>7</v>
      </c>
      <c r="S5" s="11">
        <f>'Misc. Items'!P5</f>
        <v>8</v>
      </c>
      <c r="T5" s="11">
        <f>'Misc. Items'!Q5</f>
        <v>9</v>
      </c>
      <c r="U5" s="11">
        <f>'Misc. Items'!R5</f>
        <v>10</v>
      </c>
      <c r="V5" s="11">
        <f>'Misc. Items'!S5</f>
        <v>11</v>
      </c>
      <c r="W5" s="11">
        <f>'Misc. Items'!T5</f>
        <v>12</v>
      </c>
      <c r="X5" s="11">
        <f>'Misc. Items'!U5</f>
        <v>13</v>
      </c>
      <c r="Y5" s="11">
        <f>'Misc. Items'!V5</f>
        <v>14</v>
      </c>
      <c r="Z5" s="11">
        <f>'Misc. Items'!W5</f>
        <v>15</v>
      </c>
      <c r="AA5" s="11">
        <f>'Misc. Items'!X5</f>
        <v>16</v>
      </c>
      <c r="AB5" s="11">
        <f>'Misc. Items'!Y5</f>
        <v>17</v>
      </c>
      <c r="AC5" s="11">
        <f>'Misc. Items'!Z5</f>
        <v>18</v>
      </c>
      <c r="AD5" s="11">
        <f>'Misc. Items'!AA5</f>
        <v>19</v>
      </c>
      <c r="AE5" s="11">
        <f>'Misc. Items'!AB5</f>
        <v>20</v>
      </c>
    </row>
    <row r="6" spans="2:31">
      <c r="B6" s="4"/>
      <c r="C6" s="5" t="s">
        <v>9</v>
      </c>
      <c r="D6" s="4"/>
      <c r="E6" s="5" t="s">
        <v>10</v>
      </c>
      <c r="F6" s="5"/>
      <c r="G6" s="5" t="s">
        <v>953</v>
      </c>
      <c r="H6" s="5" t="s">
        <v>176</v>
      </c>
      <c r="I6" s="5" t="s">
        <v>963</v>
      </c>
      <c r="J6" s="5" t="s">
        <v>177</v>
      </c>
      <c r="K6" s="5" t="str">
        <f>'Misc. Items'!H6</f>
        <v>RP#</v>
      </c>
      <c r="L6" s="11" t="str">
        <f>'Misc. Items'!I6</f>
        <v>RP2</v>
      </c>
      <c r="M6" s="11" t="str">
        <f>'Misc. Items'!J6</f>
        <v>RP2</v>
      </c>
      <c r="N6" s="11" t="str">
        <f>'Misc. Items'!K6</f>
        <v>RP2</v>
      </c>
      <c r="O6" s="11" t="str">
        <f>'Misc. Items'!L6</f>
        <v>RP2</v>
      </c>
      <c r="P6" s="11" t="str">
        <f>'Misc. Items'!M6</f>
        <v>RP2</v>
      </c>
      <c r="Q6" s="11" t="str">
        <f>'Misc. Items'!N6</f>
        <v>RP3</v>
      </c>
      <c r="R6" s="11" t="str">
        <f>'Misc. Items'!O6</f>
        <v>RP3</v>
      </c>
      <c r="S6" s="11" t="str">
        <f>'Misc. Items'!P6</f>
        <v>RP3</v>
      </c>
      <c r="T6" s="11" t="str">
        <f>'Misc. Items'!Q6</f>
        <v>RP3</v>
      </c>
      <c r="U6" s="11" t="str">
        <f>'Misc. Items'!R6</f>
        <v>RP3</v>
      </c>
      <c r="V6" s="11" t="str">
        <f>'Misc. Items'!S6</f>
        <v>RP4</v>
      </c>
      <c r="W6" s="11" t="str">
        <f>'Misc. Items'!T6</f>
        <v>RP4</v>
      </c>
      <c r="X6" s="11" t="str">
        <f>'Misc. Items'!U6</f>
        <v>RP4</v>
      </c>
      <c r="Y6" s="11" t="str">
        <f>'Misc. Items'!V6</f>
        <v>RP4</v>
      </c>
      <c r="Z6" s="11" t="str">
        <f>'Misc. Items'!W6</f>
        <v>RP4</v>
      </c>
      <c r="AA6" s="11" t="str">
        <f>'Misc. Items'!X6</f>
        <v>RP5</v>
      </c>
      <c r="AB6" s="11" t="str">
        <f>'Misc. Items'!Y6</f>
        <v>RP5</v>
      </c>
      <c r="AC6" s="11" t="str">
        <f>'Misc. Items'!Z6</f>
        <v>RP5</v>
      </c>
      <c r="AD6" s="11" t="str">
        <f>'Misc. Items'!AA6</f>
        <v>RP5</v>
      </c>
      <c r="AE6" s="11" t="str">
        <f>'Misc. Items'!AB6</f>
        <v>RP5</v>
      </c>
    </row>
    <row r="7" spans="2:31"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2:31">
      <c r="B8" s="5" t="s">
        <v>795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10" spans="2:31">
      <c r="B10" s="20" t="s">
        <v>796</v>
      </c>
      <c r="C10" s="19"/>
      <c r="D10" s="19"/>
      <c r="E10" s="19"/>
      <c r="F10" s="19"/>
      <c r="G10" s="19"/>
      <c r="H10" s="19"/>
      <c r="I10" s="19"/>
      <c r="J10" s="19"/>
      <c r="K10" s="19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2" spans="2:31" ht="13.5" thickBot="1">
      <c r="C12" s="6" t="s">
        <v>797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>
      <c r="C13" s="3" t="s">
        <v>798</v>
      </c>
      <c r="E13" s="3" t="s">
        <v>64</v>
      </c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pans="2:31">
      <c r="C14" s="3" t="s">
        <v>796</v>
      </c>
      <c r="E14" s="3" t="s">
        <v>29</v>
      </c>
      <c r="L14" s="38"/>
      <c r="M14" s="38"/>
      <c r="N14" s="38"/>
      <c r="O14" s="38"/>
      <c r="P14" s="38"/>
      <c r="Q14" s="149">
        <v>1857.3579999999999</v>
      </c>
      <c r="R14" s="149">
        <v>3001.1590000000001</v>
      </c>
      <c r="S14" s="149"/>
      <c r="T14" s="149"/>
      <c r="U14" s="149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pans="2:31">
      <c r="C15" s="3" t="s">
        <v>799</v>
      </c>
      <c r="E15" s="3" t="s">
        <v>29</v>
      </c>
      <c r="L15" s="38"/>
      <c r="M15" s="38"/>
      <c r="N15" s="38"/>
      <c r="O15" s="38"/>
      <c r="P15" s="38"/>
      <c r="Q15" s="149">
        <v>309.56</v>
      </c>
      <c r="R15" s="149">
        <v>500.19299999999998</v>
      </c>
      <c r="S15" s="149">
        <v>582.62937581461699</v>
      </c>
      <c r="T15" s="149">
        <v>662.75853191533497</v>
      </c>
      <c r="U15" s="149">
        <v>658.74315507710003</v>
      </c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8" spans="3:31" ht="13.5" thickBot="1">
      <c r="C18" s="6" t="s">
        <v>954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3:31">
      <c r="C19" s="3" t="s">
        <v>969</v>
      </c>
      <c r="E19" s="3" t="s">
        <v>64</v>
      </c>
      <c r="L19" s="173">
        <v>0</v>
      </c>
      <c r="M19" s="173">
        <v>0</v>
      </c>
      <c r="N19" s="173">
        <v>0</v>
      </c>
      <c r="O19" s="173">
        <v>0</v>
      </c>
      <c r="P19" s="173">
        <v>0</v>
      </c>
      <c r="Q19" s="173">
        <v>0</v>
      </c>
      <c r="R19" s="173">
        <v>0</v>
      </c>
      <c r="S19" s="173">
        <v>2</v>
      </c>
      <c r="T19" s="173">
        <v>2</v>
      </c>
      <c r="U19" s="173">
        <v>2</v>
      </c>
      <c r="V19" s="173">
        <v>0</v>
      </c>
      <c r="W19" s="173">
        <v>0</v>
      </c>
      <c r="X19" s="173">
        <v>0</v>
      </c>
      <c r="Y19" s="173">
        <v>0</v>
      </c>
      <c r="Z19" s="173">
        <v>0</v>
      </c>
      <c r="AA19" s="173">
        <v>0</v>
      </c>
      <c r="AB19" s="173">
        <v>0</v>
      </c>
      <c r="AC19" s="173">
        <v>0</v>
      </c>
      <c r="AD19" s="173">
        <v>0</v>
      </c>
      <c r="AE19" s="173">
        <v>0</v>
      </c>
    </row>
    <row r="20" spans="3:31">
      <c r="C20" s="3" t="s">
        <v>970</v>
      </c>
      <c r="E20" s="3" t="s">
        <v>64</v>
      </c>
      <c r="L20" s="173">
        <v>0</v>
      </c>
      <c r="M20" s="173">
        <v>0</v>
      </c>
      <c r="N20" s="173">
        <v>0</v>
      </c>
      <c r="O20" s="173">
        <v>0</v>
      </c>
      <c r="P20" s="173">
        <v>0</v>
      </c>
      <c r="Q20" s="173">
        <v>0</v>
      </c>
      <c r="R20" s="173">
        <v>0</v>
      </c>
      <c r="S20" s="173">
        <v>4</v>
      </c>
      <c r="T20" s="173">
        <v>4</v>
      </c>
      <c r="U20" s="173">
        <v>4</v>
      </c>
      <c r="V20" s="173">
        <v>0</v>
      </c>
      <c r="W20" s="173">
        <v>0</v>
      </c>
      <c r="X20" s="173">
        <v>0</v>
      </c>
      <c r="Y20" s="173">
        <v>0</v>
      </c>
      <c r="Z20" s="173">
        <v>0</v>
      </c>
      <c r="AA20" s="173">
        <v>0</v>
      </c>
      <c r="AB20" s="173">
        <v>0</v>
      </c>
      <c r="AC20" s="173">
        <v>0</v>
      </c>
      <c r="AD20" s="173">
        <v>0</v>
      </c>
      <c r="AE20" s="173">
        <v>0</v>
      </c>
    </row>
    <row r="21" spans="3:31">
      <c r="C21" s="3" t="s">
        <v>971</v>
      </c>
      <c r="E21" s="3" t="s">
        <v>64</v>
      </c>
      <c r="L21" s="173">
        <v>0</v>
      </c>
      <c r="M21" s="173">
        <v>0</v>
      </c>
      <c r="N21" s="173">
        <v>0</v>
      </c>
      <c r="O21" s="173">
        <v>0</v>
      </c>
      <c r="P21" s="173">
        <v>0</v>
      </c>
      <c r="Q21" s="173">
        <v>0</v>
      </c>
      <c r="R21" s="173">
        <v>0</v>
      </c>
      <c r="S21" s="173">
        <v>6</v>
      </c>
      <c r="T21" s="173">
        <v>6</v>
      </c>
      <c r="U21" s="173">
        <v>6</v>
      </c>
      <c r="V21" s="173">
        <v>0</v>
      </c>
      <c r="W21" s="173">
        <v>0</v>
      </c>
      <c r="X21" s="173">
        <v>0</v>
      </c>
      <c r="Y21" s="173">
        <v>0</v>
      </c>
      <c r="Z21" s="173">
        <v>0</v>
      </c>
      <c r="AA21" s="173">
        <v>0</v>
      </c>
      <c r="AB21" s="173">
        <v>0</v>
      </c>
      <c r="AC21" s="173">
        <v>0</v>
      </c>
      <c r="AD21" s="173">
        <v>0</v>
      </c>
      <c r="AE21" s="173">
        <v>0</v>
      </c>
    </row>
    <row r="22" spans="3:31">
      <c r="C22" s="3" t="s">
        <v>972</v>
      </c>
      <c r="E22" s="3" t="s">
        <v>64</v>
      </c>
      <c r="L22" s="173">
        <v>0</v>
      </c>
      <c r="M22" s="173">
        <v>0</v>
      </c>
      <c r="N22" s="173">
        <v>0</v>
      </c>
      <c r="O22" s="173">
        <v>0</v>
      </c>
      <c r="P22" s="173">
        <v>0</v>
      </c>
      <c r="Q22" s="173">
        <v>0</v>
      </c>
      <c r="R22" s="173">
        <v>0</v>
      </c>
      <c r="S22" s="173">
        <v>5</v>
      </c>
      <c r="T22" s="173">
        <v>5</v>
      </c>
      <c r="U22" s="173">
        <v>5</v>
      </c>
      <c r="V22" s="173">
        <v>0</v>
      </c>
      <c r="W22" s="173">
        <v>0</v>
      </c>
      <c r="X22" s="173">
        <v>0</v>
      </c>
      <c r="Y22" s="173">
        <v>0</v>
      </c>
      <c r="Z22" s="173">
        <v>0</v>
      </c>
      <c r="AA22" s="173">
        <v>0</v>
      </c>
      <c r="AB22" s="173">
        <v>0</v>
      </c>
      <c r="AC22" s="173">
        <v>0</v>
      </c>
      <c r="AD22" s="173">
        <v>0</v>
      </c>
      <c r="AE22" s="173">
        <v>0</v>
      </c>
    </row>
    <row r="23" spans="3:31">
      <c r="C23" s="3" t="s">
        <v>973</v>
      </c>
      <c r="E23" s="3" t="s">
        <v>64</v>
      </c>
      <c r="L23" s="173">
        <v>0</v>
      </c>
      <c r="M23" s="173">
        <v>0</v>
      </c>
      <c r="N23" s="173">
        <v>0</v>
      </c>
      <c r="O23" s="173">
        <v>0</v>
      </c>
      <c r="P23" s="173">
        <v>0</v>
      </c>
      <c r="Q23" s="173">
        <v>0</v>
      </c>
      <c r="R23" s="173">
        <v>0</v>
      </c>
      <c r="S23" s="173">
        <v>4</v>
      </c>
      <c r="T23" s="173">
        <v>4</v>
      </c>
      <c r="U23" s="173">
        <v>4</v>
      </c>
      <c r="V23" s="173">
        <v>0</v>
      </c>
      <c r="W23" s="173">
        <v>0</v>
      </c>
      <c r="X23" s="173">
        <v>0</v>
      </c>
      <c r="Y23" s="173">
        <v>0</v>
      </c>
      <c r="Z23" s="173">
        <v>0</v>
      </c>
      <c r="AA23" s="173">
        <v>0</v>
      </c>
      <c r="AB23" s="173">
        <v>0</v>
      </c>
      <c r="AC23" s="173">
        <v>0</v>
      </c>
      <c r="AD23" s="173">
        <v>0</v>
      </c>
      <c r="AE23" s="173">
        <v>0</v>
      </c>
    </row>
    <row r="24" spans="3:31">
      <c r="C24" s="3" t="s">
        <v>974</v>
      </c>
      <c r="E24" s="3" t="s">
        <v>64</v>
      </c>
      <c r="L24" s="173">
        <v>0</v>
      </c>
      <c r="M24" s="173">
        <v>0</v>
      </c>
      <c r="N24" s="173">
        <v>0</v>
      </c>
      <c r="O24" s="173">
        <v>0</v>
      </c>
      <c r="P24" s="173">
        <v>0</v>
      </c>
      <c r="Q24" s="173">
        <v>0</v>
      </c>
      <c r="R24" s="173">
        <v>0</v>
      </c>
      <c r="S24" s="173">
        <v>1.5</v>
      </c>
      <c r="T24" s="173">
        <v>1.5</v>
      </c>
      <c r="U24" s="173">
        <v>1.5</v>
      </c>
      <c r="V24" s="173">
        <v>0</v>
      </c>
      <c r="W24" s="173">
        <v>0</v>
      </c>
      <c r="X24" s="173">
        <v>0</v>
      </c>
      <c r="Y24" s="173">
        <v>0</v>
      </c>
      <c r="Z24" s="173">
        <v>0</v>
      </c>
      <c r="AA24" s="173">
        <v>0</v>
      </c>
      <c r="AB24" s="173">
        <v>0</v>
      </c>
      <c r="AC24" s="173">
        <v>0</v>
      </c>
      <c r="AD24" s="173">
        <v>0</v>
      </c>
      <c r="AE24" s="173">
        <v>0</v>
      </c>
    </row>
    <row r="25" spans="3:31">
      <c r="C25" s="3" t="s">
        <v>975</v>
      </c>
      <c r="E25" s="3" t="s">
        <v>64</v>
      </c>
      <c r="L25" s="173">
        <v>0</v>
      </c>
      <c r="M25" s="173">
        <v>0</v>
      </c>
      <c r="N25" s="173">
        <v>0</v>
      </c>
      <c r="O25" s="173">
        <v>0</v>
      </c>
      <c r="P25" s="173">
        <v>0</v>
      </c>
      <c r="Q25" s="173">
        <v>0</v>
      </c>
      <c r="R25" s="173">
        <v>0</v>
      </c>
      <c r="S25" s="173">
        <v>4.1360294117647056</v>
      </c>
      <c r="T25" s="173">
        <v>4.1360294117647056</v>
      </c>
      <c r="U25" s="173">
        <v>4.1360294117647056</v>
      </c>
      <c r="V25" s="173">
        <v>0</v>
      </c>
      <c r="W25" s="173">
        <v>0</v>
      </c>
      <c r="X25" s="173">
        <v>0</v>
      </c>
      <c r="Y25" s="173">
        <v>0</v>
      </c>
      <c r="Z25" s="173">
        <v>0</v>
      </c>
      <c r="AA25" s="173">
        <v>0</v>
      </c>
      <c r="AB25" s="173">
        <v>0</v>
      </c>
      <c r="AC25" s="173">
        <v>0</v>
      </c>
      <c r="AD25" s="173">
        <v>0</v>
      </c>
      <c r="AE25" s="173">
        <v>0</v>
      </c>
    </row>
    <row r="26" spans="3:31">
      <c r="C26" s="3" t="s">
        <v>807</v>
      </c>
      <c r="E26" s="3" t="s">
        <v>64</v>
      </c>
      <c r="L26" s="173">
        <v>0</v>
      </c>
      <c r="M26" s="173">
        <v>0</v>
      </c>
      <c r="N26" s="173">
        <v>0</v>
      </c>
      <c r="O26" s="173">
        <v>0</v>
      </c>
      <c r="P26" s="173">
        <v>0</v>
      </c>
      <c r="Q26" s="173">
        <v>0</v>
      </c>
      <c r="R26" s="173">
        <v>0</v>
      </c>
      <c r="S26" s="173">
        <v>0</v>
      </c>
      <c r="T26" s="173">
        <v>0</v>
      </c>
      <c r="U26" s="173">
        <v>0</v>
      </c>
      <c r="V26" s="173">
        <v>0</v>
      </c>
      <c r="W26" s="173">
        <v>0</v>
      </c>
      <c r="X26" s="173">
        <v>0</v>
      </c>
      <c r="Y26" s="173">
        <v>0</v>
      </c>
      <c r="Z26" s="173">
        <v>0</v>
      </c>
      <c r="AA26" s="173">
        <v>0</v>
      </c>
      <c r="AB26" s="173">
        <v>0</v>
      </c>
      <c r="AC26" s="173">
        <v>0</v>
      </c>
      <c r="AD26" s="173">
        <v>0</v>
      </c>
      <c r="AE26" s="173">
        <v>0</v>
      </c>
    </row>
    <row r="27" spans="3:31">
      <c r="C27" s="3" t="s">
        <v>807</v>
      </c>
      <c r="E27" s="3" t="s">
        <v>64</v>
      </c>
      <c r="L27" s="173">
        <v>0</v>
      </c>
      <c r="M27" s="173">
        <v>0</v>
      </c>
      <c r="N27" s="173">
        <v>0</v>
      </c>
      <c r="O27" s="173">
        <v>0</v>
      </c>
      <c r="P27" s="173">
        <v>0</v>
      </c>
      <c r="Q27" s="173">
        <v>0</v>
      </c>
      <c r="R27" s="173">
        <v>0</v>
      </c>
      <c r="S27" s="173">
        <v>0</v>
      </c>
      <c r="T27" s="173">
        <v>0</v>
      </c>
      <c r="U27" s="173">
        <v>0</v>
      </c>
      <c r="V27" s="173">
        <v>0</v>
      </c>
      <c r="W27" s="173">
        <v>0</v>
      </c>
      <c r="X27" s="173">
        <v>0</v>
      </c>
      <c r="Y27" s="173">
        <v>0</v>
      </c>
      <c r="Z27" s="173">
        <v>0</v>
      </c>
      <c r="AA27" s="173">
        <v>0</v>
      </c>
      <c r="AB27" s="173">
        <v>0</v>
      </c>
      <c r="AC27" s="173">
        <v>0</v>
      </c>
      <c r="AD27" s="173">
        <v>0</v>
      </c>
      <c r="AE27" s="173">
        <v>0</v>
      </c>
    </row>
    <row r="28" spans="3:31">
      <c r="C28" s="3" t="s">
        <v>807</v>
      </c>
      <c r="E28" s="3" t="s">
        <v>64</v>
      </c>
      <c r="L28" s="173">
        <v>0</v>
      </c>
      <c r="M28" s="173">
        <v>0</v>
      </c>
      <c r="N28" s="173">
        <v>0</v>
      </c>
      <c r="O28" s="173">
        <v>0</v>
      </c>
      <c r="P28" s="173">
        <v>0</v>
      </c>
      <c r="Q28" s="173">
        <v>0</v>
      </c>
      <c r="R28" s="173">
        <v>0</v>
      </c>
      <c r="S28" s="173">
        <v>0</v>
      </c>
      <c r="T28" s="173">
        <v>0</v>
      </c>
      <c r="U28" s="173">
        <v>0</v>
      </c>
      <c r="V28" s="173">
        <v>0</v>
      </c>
      <c r="W28" s="173">
        <v>0</v>
      </c>
      <c r="X28" s="173">
        <v>0</v>
      </c>
      <c r="Y28" s="173">
        <v>0</v>
      </c>
      <c r="Z28" s="173">
        <v>0</v>
      </c>
      <c r="AA28" s="173">
        <v>0</v>
      </c>
      <c r="AB28" s="173">
        <v>0</v>
      </c>
      <c r="AC28" s="173">
        <v>0</v>
      </c>
      <c r="AD28" s="173">
        <v>0</v>
      </c>
      <c r="AE28" s="173">
        <v>0</v>
      </c>
    </row>
    <row r="29" spans="3:31">
      <c r="C29" s="3" t="s">
        <v>807</v>
      </c>
      <c r="E29" s="3" t="s">
        <v>64</v>
      </c>
      <c r="L29" s="173">
        <v>0</v>
      </c>
      <c r="M29" s="173">
        <v>0</v>
      </c>
      <c r="N29" s="173">
        <v>0</v>
      </c>
      <c r="O29" s="173">
        <v>0</v>
      </c>
      <c r="P29" s="173">
        <v>0</v>
      </c>
      <c r="Q29" s="173">
        <v>0</v>
      </c>
      <c r="R29" s="173">
        <v>0</v>
      </c>
      <c r="S29" s="173">
        <v>0</v>
      </c>
      <c r="T29" s="173">
        <v>0</v>
      </c>
      <c r="U29" s="173">
        <v>0</v>
      </c>
      <c r="V29" s="173">
        <v>0</v>
      </c>
      <c r="W29" s="173">
        <v>0</v>
      </c>
      <c r="X29" s="173">
        <v>0</v>
      </c>
      <c r="Y29" s="173">
        <v>0</v>
      </c>
      <c r="Z29" s="173">
        <v>0</v>
      </c>
      <c r="AA29" s="173">
        <v>0</v>
      </c>
      <c r="AB29" s="173">
        <v>0</v>
      </c>
      <c r="AC29" s="173">
        <v>0</v>
      </c>
      <c r="AD29" s="173">
        <v>0</v>
      </c>
      <c r="AE29" s="173">
        <v>0</v>
      </c>
    </row>
    <row r="30" spans="3:31">
      <c r="C30" s="14"/>
      <c r="D30" s="14"/>
      <c r="E30" s="14"/>
      <c r="F30" s="14"/>
      <c r="G30" s="14"/>
      <c r="H30" s="14"/>
      <c r="I30" s="14"/>
      <c r="J30" s="14"/>
      <c r="K30" s="14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</row>
    <row r="31" spans="3:31">
      <c r="C31" s="17" t="s">
        <v>976</v>
      </c>
      <c r="E31" s="3" t="s">
        <v>64</v>
      </c>
      <c r="L31" s="27">
        <f t="shared" ref="L31:AE31" si="0">SUM(L19:L29)*(L$13="")+L$13</f>
        <v>0</v>
      </c>
      <c r="M31" s="27">
        <f t="shared" si="0"/>
        <v>0</v>
      </c>
      <c r="N31" s="27">
        <f t="shared" si="0"/>
        <v>0</v>
      </c>
      <c r="O31" s="27">
        <f t="shared" si="0"/>
        <v>0</v>
      </c>
      <c r="P31" s="27">
        <f t="shared" si="0"/>
        <v>0</v>
      </c>
      <c r="Q31" s="27">
        <f t="shared" si="0"/>
        <v>0</v>
      </c>
      <c r="R31" s="27">
        <f t="shared" si="0"/>
        <v>0</v>
      </c>
      <c r="S31" s="27">
        <f t="shared" si="0"/>
        <v>26.636029411764707</v>
      </c>
      <c r="T31" s="27">
        <f t="shared" si="0"/>
        <v>26.636029411764707</v>
      </c>
      <c r="U31" s="27">
        <f t="shared" si="0"/>
        <v>26.636029411764707</v>
      </c>
      <c r="V31" s="27">
        <f t="shared" si="0"/>
        <v>0</v>
      </c>
      <c r="W31" s="27">
        <f t="shared" si="0"/>
        <v>0</v>
      </c>
      <c r="X31" s="27">
        <f t="shared" si="0"/>
        <v>0</v>
      </c>
      <c r="Y31" s="27">
        <f t="shared" si="0"/>
        <v>0</v>
      </c>
      <c r="Z31" s="27">
        <f t="shared" si="0"/>
        <v>0</v>
      </c>
      <c r="AA31" s="27">
        <f t="shared" si="0"/>
        <v>0</v>
      </c>
      <c r="AB31" s="27">
        <f t="shared" si="0"/>
        <v>0</v>
      </c>
      <c r="AC31" s="27">
        <f t="shared" si="0"/>
        <v>0</v>
      </c>
      <c r="AD31" s="27">
        <f t="shared" si="0"/>
        <v>0</v>
      </c>
      <c r="AE31" s="27">
        <f t="shared" si="0"/>
        <v>0</v>
      </c>
    </row>
    <row r="33" spans="1:32" s="7" customFormat="1" ht="13.5" thickBot="1">
      <c r="A33" s="3"/>
      <c r="B33" s="3"/>
      <c r="C33" s="6" t="s">
        <v>796</v>
      </c>
      <c r="H33" s="18"/>
      <c r="J33" s="18"/>
      <c r="K33" s="22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3"/>
    </row>
    <row r="34" spans="1:32">
      <c r="C34" s="3" t="str">
        <f>C19</f>
        <v>SAR</v>
      </c>
      <c r="E34" s="3" t="s">
        <v>29</v>
      </c>
      <c r="H34" s="1552">
        <v>0.73033707865168551</v>
      </c>
      <c r="I34" s="1176">
        <f>1-H34-J34</f>
        <v>0.12359550561797739</v>
      </c>
      <c r="J34" s="1552">
        <v>0.1460674157303371</v>
      </c>
      <c r="K34" s="156"/>
      <c r="L34" s="173">
        <v>0</v>
      </c>
      <c r="M34" s="173">
        <v>0</v>
      </c>
      <c r="N34" s="173">
        <v>0</v>
      </c>
      <c r="O34" s="173">
        <v>0</v>
      </c>
      <c r="P34" s="173">
        <v>0</v>
      </c>
      <c r="Q34" s="173">
        <v>0</v>
      </c>
      <c r="R34" s="173">
        <v>0</v>
      </c>
      <c r="S34" s="173">
        <v>188.51451499999999</v>
      </c>
      <c r="T34" s="173">
        <v>377.02902999999998</v>
      </c>
      <c r="U34" s="173">
        <v>377.02902999999998</v>
      </c>
      <c r="V34" s="173">
        <v>0</v>
      </c>
      <c r="W34" s="173">
        <v>0</v>
      </c>
      <c r="X34" s="173">
        <v>0</v>
      </c>
      <c r="Y34" s="173">
        <v>0</v>
      </c>
      <c r="Z34" s="173">
        <v>0</v>
      </c>
      <c r="AA34" s="173">
        <v>0</v>
      </c>
      <c r="AB34" s="173">
        <v>0</v>
      </c>
      <c r="AC34" s="173">
        <v>0</v>
      </c>
      <c r="AD34" s="173">
        <v>0</v>
      </c>
      <c r="AE34" s="173">
        <v>0</v>
      </c>
    </row>
    <row r="35" spans="1:32">
      <c r="C35" s="3" t="str">
        <f t="shared" ref="C35:C43" si="1">C20</f>
        <v>CNS/ATM</v>
      </c>
      <c r="E35" s="3" t="s">
        <v>29</v>
      </c>
      <c r="H35" s="1552">
        <v>0.73033707865168551</v>
      </c>
      <c r="I35" s="1176">
        <f t="shared" ref="I35:I43" si="2">1-H35-J35</f>
        <v>0.12359550561797739</v>
      </c>
      <c r="J35" s="1552">
        <v>0.1460674157303371</v>
      </c>
      <c r="K35" s="156"/>
      <c r="L35" s="173">
        <v>0</v>
      </c>
      <c r="M35" s="173">
        <v>0</v>
      </c>
      <c r="N35" s="173">
        <v>0</v>
      </c>
      <c r="O35" s="173">
        <v>0</v>
      </c>
      <c r="P35" s="173">
        <v>0</v>
      </c>
      <c r="Q35" s="173">
        <v>0</v>
      </c>
      <c r="R35" s="173">
        <v>0</v>
      </c>
      <c r="S35" s="173">
        <v>545.98012871890319</v>
      </c>
      <c r="T35" s="173">
        <v>630.61784829187104</v>
      </c>
      <c r="U35" s="173">
        <v>633.60984429187101</v>
      </c>
      <c r="V35" s="173">
        <v>0</v>
      </c>
      <c r="W35" s="173">
        <v>0</v>
      </c>
      <c r="X35" s="173">
        <v>0</v>
      </c>
      <c r="Y35" s="173">
        <v>0</v>
      </c>
      <c r="Z35" s="173">
        <v>0</v>
      </c>
      <c r="AA35" s="173">
        <v>0</v>
      </c>
      <c r="AB35" s="173">
        <v>0</v>
      </c>
      <c r="AC35" s="173">
        <v>0</v>
      </c>
      <c r="AD35" s="173">
        <v>0</v>
      </c>
      <c r="AE35" s="173">
        <v>0</v>
      </c>
    </row>
    <row r="36" spans="1:32">
      <c r="C36" s="3" t="str">
        <f t="shared" si="1"/>
        <v>ATS</v>
      </c>
      <c r="E36" s="3" t="s">
        <v>29</v>
      </c>
      <c r="H36" s="1552">
        <v>0.73033707865168551</v>
      </c>
      <c r="I36" s="1176">
        <f t="shared" si="2"/>
        <v>0.12359550561797739</v>
      </c>
      <c r="J36" s="1552">
        <v>0.1460674157303371</v>
      </c>
      <c r="K36" s="156"/>
      <c r="L36" s="173">
        <v>0</v>
      </c>
      <c r="M36" s="173">
        <v>0</v>
      </c>
      <c r="N36" s="173">
        <v>0</v>
      </c>
      <c r="O36" s="173">
        <v>0</v>
      </c>
      <c r="P36" s="173">
        <v>0</v>
      </c>
      <c r="Q36" s="173">
        <v>0</v>
      </c>
      <c r="R36" s="173">
        <v>0</v>
      </c>
      <c r="S36" s="173">
        <v>837.72725289222421</v>
      </c>
      <c r="T36" s="173">
        <v>925.07680396519208</v>
      </c>
      <c r="U36" s="173">
        <v>930.09965746519197</v>
      </c>
      <c r="V36" s="173">
        <v>0</v>
      </c>
      <c r="W36" s="173">
        <v>0</v>
      </c>
      <c r="X36" s="173">
        <v>0</v>
      </c>
      <c r="Y36" s="173">
        <v>0</v>
      </c>
      <c r="Z36" s="173">
        <v>0</v>
      </c>
      <c r="AA36" s="173">
        <v>0</v>
      </c>
      <c r="AB36" s="173">
        <v>0</v>
      </c>
      <c r="AC36" s="173">
        <v>0</v>
      </c>
      <c r="AD36" s="173">
        <v>0</v>
      </c>
      <c r="AE36" s="173">
        <v>0</v>
      </c>
    </row>
    <row r="37" spans="1:32">
      <c r="C37" s="3" t="str">
        <f t="shared" si="1"/>
        <v>PANS-OPS</v>
      </c>
      <c r="E37" s="3" t="s">
        <v>29</v>
      </c>
      <c r="H37" s="1552">
        <v>0.73033707865168551</v>
      </c>
      <c r="I37" s="1176">
        <f t="shared" si="2"/>
        <v>0.12359550561797739</v>
      </c>
      <c r="J37" s="1552">
        <v>0.1460674157303371</v>
      </c>
      <c r="K37" s="156"/>
      <c r="L37" s="173">
        <v>0</v>
      </c>
      <c r="M37" s="173">
        <v>0</v>
      </c>
      <c r="N37" s="173">
        <v>0</v>
      </c>
      <c r="O37" s="173">
        <v>0</v>
      </c>
      <c r="P37" s="173">
        <v>0</v>
      </c>
      <c r="Q37" s="173">
        <v>0</v>
      </c>
      <c r="R37" s="173">
        <v>0</v>
      </c>
      <c r="S37" s="173">
        <v>585.84723940296772</v>
      </c>
      <c r="T37" s="173">
        <v>680.70627147593564</v>
      </c>
      <c r="U37" s="173">
        <v>699.19980947593558</v>
      </c>
      <c r="V37" s="173">
        <v>0</v>
      </c>
      <c r="W37" s="173">
        <v>0</v>
      </c>
      <c r="X37" s="173">
        <v>0</v>
      </c>
      <c r="Y37" s="173">
        <v>0</v>
      </c>
      <c r="Z37" s="173">
        <v>0</v>
      </c>
      <c r="AA37" s="173">
        <v>0</v>
      </c>
      <c r="AB37" s="173">
        <v>0</v>
      </c>
      <c r="AC37" s="173">
        <v>0</v>
      </c>
      <c r="AD37" s="173">
        <v>0</v>
      </c>
      <c r="AE37" s="173">
        <v>0</v>
      </c>
    </row>
    <row r="38" spans="1:32">
      <c r="C38" s="3" t="str">
        <f t="shared" si="1"/>
        <v>ANSD Management&amp; Support</v>
      </c>
      <c r="E38" s="3" t="s">
        <v>29</v>
      </c>
      <c r="H38" s="1552">
        <v>0.73033707865168551</v>
      </c>
      <c r="I38" s="1176">
        <f t="shared" si="2"/>
        <v>0.12359550561797739</v>
      </c>
      <c r="J38" s="1552">
        <v>0.1460674157303371</v>
      </c>
      <c r="K38" s="156"/>
      <c r="L38" s="173">
        <v>0</v>
      </c>
      <c r="M38" s="173">
        <v>0</v>
      </c>
      <c r="N38" s="173">
        <v>0</v>
      </c>
      <c r="O38" s="173">
        <v>0</v>
      </c>
      <c r="P38" s="173">
        <v>0</v>
      </c>
      <c r="Q38" s="173">
        <v>0</v>
      </c>
      <c r="R38" s="173">
        <v>0</v>
      </c>
      <c r="S38" s="173">
        <v>447.24830460000004</v>
      </c>
      <c r="T38" s="173">
        <v>447.24830460000004</v>
      </c>
      <c r="U38" s="173">
        <v>447.24830460000004</v>
      </c>
      <c r="V38" s="173">
        <v>0</v>
      </c>
      <c r="W38" s="173">
        <v>0</v>
      </c>
      <c r="X38" s="173">
        <v>0</v>
      </c>
      <c r="Y38" s="173">
        <v>0</v>
      </c>
      <c r="Z38" s="173">
        <v>0</v>
      </c>
      <c r="AA38" s="173">
        <v>0</v>
      </c>
      <c r="AB38" s="173">
        <v>0</v>
      </c>
      <c r="AC38" s="173">
        <v>0</v>
      </c>
      <c r="AD38" s="173">
        <v>0</v>
      </c>
      <c r="AE38" s="173">
        <v>0</v>
      </c>
    </row>
    <row r="39" spans="1:32">
      <c r="C39" s="3" t="str">
        <f t="shared" si="1"/>
        <v>Economics</v>
      </c>
      <c r="E39" s="3" t="s">
        <v>29</v>
      </c>
      <c r="H39" s="1552">
        <v>0.73033707865168551</v>
      </c>
      <c r="I39" s="1176">
        <f t="shared" si="2"/>
        <v>0.12359550561797739</v>
      </c>
      <c r="J39" s="1552">
        <v>0.1460674157303371</v>
      </c>
      <c r="K39" s="156"/>
      <c r="L39" s="173">
        <v>0</v>
      </c>
      <c r="M39" s="173">
        <v>0</v>
      </c>
      <c r="N39" s="173">
        <v>0</v>
      </c>
      <c r="O39" s="173">
        <v>0</v>
      </c>
      <c r="P39" s="173">
        <v>0</v>
      </c>
      <c r="Q39" s="173">
        <v>0</v>
      </c>
      <c r="R39" s="173">
        <v>0</v>
      </c>
      <c r="S39" s="173">
        <v>199.78710000000001</v>
      </c>
      <c r="T39" s="173">
        <v>204.64619999999999</v>
      </c>
      <c r="U39" s="173">
        <v>149.34179999999998</v>
      </c>
      <c r="V39" s="173">
        <v>0</v>
      </c>
      <c r="W39" s="173">
        <v>0</v>
      </c>
      <c r="X39" s="173">
        <v>0</v>
      </c>
      <c r="Y39" s="173">
        <v>0</v>
      </c>
      <c r="Z39" s="173">
        <v>0</v>
      </c>
      <c r="AA39" s="173">
        <v>0</v>
      </c>
      <c r="AB39" s="173">
        <v>0</v>
      </c>
      <c r="AC39" s="173">
        <v>0</v>
      </c>
      <c r="AD39" s="173">
        <v>0</v>
      </c>
      <c r="AE39" s="173">
        <v>0</v>
      </c>
    </row>
    <row r="40" spans="1:32">
      <c r="C40" s="3" t="str">
        <f t="shared" si="1"/>
        <v>Corporate Services &amp;Central</v>
      </c>
      <c r="E40" s="3" t="s">
        <v>29</v>
      </c>
      <c r="H40" s="1552">
        <v>0.73033707865168551</v>
      </c>
      <c r="I40" s="1176">
        <f t="shared" si="2"/>
        <v>0.12359550561797739</v>
      </c>
      <c r="J40" s="1552">
        <v>0.1460674157303371</v>
      </c>
      <c r="K40" s="156"/>
      <c r="L40" s="173">
        <v>0</v>
      </c>
      <c r="M40" s="173">
        <v>0</v>
      </c>
      <c r="N40" s="173">
        <v>0</v>
      </c>
      <c r="O40" s="173">
        <v>0</v>
      </c>
      <c r="P40" s="173">
        <v>0</v>
      </c>
      <c r="Q40" s="173">
        <v>0</v>
      </c>
      <c r="R40" s="173">
        <v>0</v>
      </c>
      <c r="S40" s="173">
        <v>560.1407656916698</v>
      </c>
      <c r="T40" s="173">
        <v>567.60741674865517</v>
      </c>
      <c r="U40" s="173">
        <v>577.05999283321398</v>
      </c>
      <c r="V40" s="173">
        <v>0</v>
      </c>
      <c r="W40" s="173">
        <v>0</v>
      </c>
      <c r="X40" s="173">
        <v>0</v>
      </c>
      <c r="Y40" s="173">
        <v>0</v>
      </c>
      <c r="Z40" s="173">
        <v>0</v>
      </c>
      <c r="AA40" s="173">
        <v>0</v>
      </c>
      <c r="AB40" s="173">
        <v>0</v>
      </c>
      <c r="AC40" s="173">
        <v>0</v>
      </c>
      <c r="AD40" s="173">
        <v>0</v>
      </c>
      <c r="AE40" s="173">
        <v>0</v>
      </c>
    </row>
    <row r="41" spans="1:32">
      <c r="C41" s="3" t="str">
        <f t="shared" si="1"/>
        <v>&lt;&lt; add staff category &gt;&gt;</v>
      </c>
      <c r="E41" s="3" t="s">
        <v>29</v>
      </c>
      <c r="H41" s="1552">
        <v>0.73033707865168551</v>
      </c>
      <c r="I41" s="1176">
        <f t="shared" si="2"/>
        <v>0.12359550561797739</v>
      </c>
      <c r="J41" s="1552">
        <v>0.1460674157303371</v>
      </c>
      <c r="K41" s="156"/>
      <c r="L41" s="173">
        <v>0</v>
      </c>
      <c r="M41" s="173">
        <v>0</v>
      </c>
      <c r="N41" s="173">
        <v>0</v>
      </c>
      <c r="O41" s="173">
        <v>0</v>
      </c>
      <c r="P41" s="173">
        <v>0</v>
      </c>
      <c r="Q41" s="173">
        <v>0</v>
      </c>
      <c r="R41" s="173">
        <v>0</v>
      </c>
      <c r="S41" s="173">
        <v>0</v>
      </c>
      <c r="T41" s="173">
        <v>0</v>
      </c>
      <c r="U41" s="173">
        <v>0</v>
      </c>
      <c r="V41" s="173">
        <v>0</v>
      </c>
      <c r="W41" s="173">
        <v>0</v>
      </c>
      <c r="X41" s="173">
        <v>0</v>
      </c>
      <c r="Y41" s="173">
        <v>0</v>
      </c>
      <c r="Z41" s="173">
        <v>0</v>
      </c>
      <c r="AA41" s="173">
        <v>0</v>
      </c>
      <c r="AB41" s="173">
        <v>0</v>
      </c>
      <c r="AC41" s="173">
        <v>0</v>
      </c>
      <c r="AD41" s="173">
        <v>0</v>
      </c>
      <c r="AE41" s="173">
        <v>0</v>
      </c>
    </row>
    <row r="42" spans="1:32">
      <c r="C42" s="3" t="str">
        <f t="shared" si="1"/>
        <v>&lt;&lt; add staff category &gt;&gt;</v>
      </c>
      <c r="E42" s="3" t="s">
        <v>29</v>
      </c>
      <c r="H42" s="1552">
        <v>0.73033707865168551</v>
      </c>
      <c r="I42" s="1176">
        <f t="shared" si="2"/>
        <v>0.12359550561797739</v>
      </c>
      <c r="J42" s="1552">
        <v>0.1460674157303371</v>
      </c>
      <c r="K42" s="156"/>
      <c r="L42" s="173">
        <v>0</v>
      </c>
      <c r="M42" s="173">
        <v>0</v>
      </c>
      <c r="N42" s="173">
        <v>0</v>
      </c>
      <c r="O42" s="173">
        <v>0</v>
      </c>
      <c r="P42" s="173">
        <v>0</v>
      </c>
      <c r="Q42" s="173">
        <v>0</v>
      </c>
      <c r="R42" s="173">
        <v>0</v>
      </c>
      <c r="S42" s="173">
        <v>0</v>
      </c>
      <c r="T42" s="173">
        <v>0</v>
      </c>
      <c r="U42" s="173">
        <v>0</v>
      </c>
      <c r="V42" s="173">
        <v>0</v>
      </c>
      <c r="W42" s="173">
        <v>0</v>
      </c>
      <c r="X42" s="173">
        <v>0</v>
      </c>
      <c r="Y42" s="173">
        <v>0</v>
      </c>
      <c r="Z42" s="173">
        <v>0</v>
      </c>
      <c r="AA42" s="173">
        <v>0</v>
      </c>
      <c r="AB42" s="173">
        <v>0</v>
      </c>
      <c r="AC42" s="173">
        <v>0</v>
      </c>
      <c r="AD42" s="173">
        <v>0</v>
      </c>
      <c r="AE42" s="173">
        <v>0</v>
      </c>
    </row>
    <row r="43" spans="1:32">
      <c r="C43" s="3" t="str">
        <f t="shared" si="1"/>
        <v>&lt;&lt; add staff category &gt;&gt;</v>
      </c>
      <c r="E43" s="3" t="s">
        <v>29</v>
      </c>
      <c r="H43" s="1552">
        <v>0.73033707865168551</v>
      </c>
      <c r="I43" s="1176">
        <f t="shared" si="2"/>
        <v>0.12359550561797739</v>
      </c>
      <c r="J43" s="1552">
        <v>0.1460674157303371</v>
      </c>
      <c r="K43" s="156"/>
      <c r="L43" s="173">
        <v>0</v>
      </c>
      <c r="M43" s="173">
        <v>0</v>
      </c>
      <c r="N43" s="173">
        <v>0</v>
      </c>
      <c r="O43" s="173">
        <v>0</v>
      </c>
      <c r="P43" s="173">
        <v>0</v>
      </c>
      <c r="Q43" s="173">
        <v>0</v>
      </c>
      <c r="R43" s="173">
        <v>0</v>
      </c>
      <c r="S43" s="173">
        <v>0</v>
      </c>
      <c r="T43" s="173">
        <v>0</v>
      </c>
      <c r="U43" s="173">
        <v>0</v>
      </c>
      <c r="V43" s="173">
        <v>0</v>
      </c>
      <c r="W43" s="173">
        <v>0</v>
      </c>
      <c r="X43" s="173">
        <v>0</v>
      </c>
      <c r="Y43" s="173">
        <v>0</v>
      </c>
      <c r="Z43" s="173">
        <v>0</v>
      </c>
      <c r="AA43" s="173">
        <v>0</v>
      </c>
      <c r="AB43" s="173">
        <v>0</v>
      </c>
      <c r="AC43" s="173">
        <v>0</v>
      </c>
      <c r="AD43" s="173">
        <v>0</v>
      </c>
      <c r="AE43" s="173">
        <v>0</v>
      </c>
    </row>
    <row r="44" spans="1:32" ht="10.9" customHeight="1">
      <c r="C44" s="14"/>
      <c r="D44" s="14"/>
      <c r="E44" s="14"/>
      <c r="F44" s="14"/>
      <c r="G44" s="14"/>
      <c r="H44" s="14"/>
      <c r="I44" s="14"/>
      <c r="J44" s="14"/>
      <c r="K44" s="14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</row>
    <row r="45" spans="1:32">
      <c r="C45" s="17" t="s">
        <v>809</v>
      </c>
      <c r="E45" s="3" t="s">
        <v>29</v>
      </c>
      <c r="L45" s="27">
        <f t="shared" ref="L45:AE45" si="3">SUM(L34:L43)*(L$14="")+L$14</f>
        <v>0</v>
      </c>
      <c r="M45" s="27">
        <f t="shared" si="3"/>
        <v>0</v>
      </c>
      <c r="N45" s="27">
        <f t="shared" si="3"/>
        <v>0</v>
      </c>
      <c r="O45" s="27">
        <f t="shared" si="3"/>
        <v>0</v>
      </c>
      <c r="P45" s="27">
        <f t="shared" si="3"/>
        <v>0</v>
      </c>
      <c r="Q45" s="27">
        <f t="shared" si="3"/>
        <v>1857.3579999999999</v>
      </c>
      <c r="R45" s="27">
        <f t="shared" si="3"/>
        <v>3001.1590000000001</v>
      </c>
      <c r="S45" s="27">
        <f t="shared" si="3"/>
        <v>3365.2453063057651</v>
      </c>
      <c r="T45" s="27">
        <f t="shared" si="3"/>
        <v>3832.9318750816547</v>
      </c>
      <c r="U45" s="27">
        <f t="shared" si="3"/>
        <v>3813.5884386662128</v>
      </c>
      <c r="V45" s="27">
        <f t="shared" si="3"/>
        <v>0</v>
      </c>
      <c r="W45" s="27">
        <f t="shared" si="3"/>
        <v>0</v>
      </c>
      <c r="X45" s="27">
        <f t="shared" si="3"/>
        <v>0</v>
      </c>
      <c r="Y45" s="27">
        <f t="shared" si="3"/>
        <v>0</v>
      </c>
      <c r="Z45" s="27">
        <f t="shared" si="3"/>
        <v>0</v>
      </c>
      <c r="AA45" s="27">
        <f t="shared" si="3"/>
        <v>0</v>
      </c>
      <c r="AB45" s="27">
        <f t="shared" si="3"/>
        <v>0</v>
      </c>
      <c r="AC45" s="27">
        <f t="shared" si="3"/>
        <v>0</v>
      </c>
      <c r="AD45" s="27">
        <f t="shared" si="3"/>
        <v>0</v>
      </c>
      <c r="AE45" s="27">
        <f t="shared" si="3"/>
        <v>0</v>
      </c>
    </row>
    <row r="46" spans="1:32">
      <c r="C46" s="39" t="s">
        <v>810</v>
      </c>
      <c r="E46" s="3" t="s">
        <v>29</v>
      </c>
      <c r="F46" s="39"/>
      <c r="G46" s="39"/>
      <c r="H46" s="39"/>
      <c r="I46" s="39"/>
      <c r="J46" s="39"/>
      <c r="L46" s="150">
        <f t="shared" ref="L46:AE46" si="4">L15</f>
        <v>0</v>
      </c>
      <c r="M46" s="150">
        <f t="shared" si="4"/>
        <v>0</v>
      </c>
      <c r="N46" s="150">
        <f t="shared" si="4"/>
        <v>0</v>
      </c>
      <c r="O46" s="150">
        <f t="shared" si="4"/>
        <v>0</v>
      </c>
      <c r="P46" s="150">
        <f t="shared" si="4"/>
        <v>0</v>
      </c>
      <c r="Q46" s="150">
        <f t="shared" si="4"/>
        <v>309.56</v>
      </c>
      <c r="R46" s="150">
        <f t="shared" si="4"/>
        <v>500.19299999999998</v>
      </c>
      <c r="S46" s="150">
        <f t="shared" si="4"/>
        <v>582.62937581461699</v>
      </c>
      <c r="T46" s="150">
        <f t="shared" si="4"/>
        <v>662.75853191533497</v>
      </c>
      <c r="U46" s="150">
        <f t="shared" si="4"/>
        <v>658.74315507710003</v>
      </c>
      <c r="V46" s="150">
        <f t="shared" si="4"/>
        <v>0</v>
      </c>
      <c r="W46" s="150">
        <f t="shared" si="4"/>
        <v>0</v>
      </c>
      <c r="X46" s="150">
        <f t="shared" si="4"/>
        <v>0</v>
      </c>
      <c r="Y46" s="150">
        <f t="shared" si="4"/>
        <v>0</v>
      </c>
      <c r="Z46" s="150">
        <f t="shared" si="4"/>
        <v>0</v>
      </c>
      <c r="AA46" s="150">
        <f t="shared" si="4"/>
        <v>0</v>
      </c>
      <c r="AB46" s="150">
        <f t="shared" si="4"/>
        <v>0</v>
      </c>
      <c r="AC46" s="150">
        <f t="shared" si="4"/>
        <v>0</v>
      </c>
      <c r="AD46" s="150">
        <f t="shared" si="4"/>
        <v>0</v>
      </c>
      <c r="AE46" s="150">
        <f t="shared" si="4"/>
        <v>0</v>
      </c>
    </row>
    <row r="47" spans="1:32" ht="10.9" customHeight="1">
      <c r="C47" s="14"/>
      <c r="D47" s="14"/>
      <c r="E47" s="14"/>
      <c r="F47" s="14"/>
      <c r="G47" s="14"/>
      <c r="H47" s="14"/>
      <c r="I47" s="14"/>
      <c r="J47" s="14"/>
      <c r="K47" s="14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</row>
    <row r="48" spans="1:32" customFormat="1" ht="10.9" customHeight="1">
      <c r="A48" s="151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</row>
    <row r="49" spans="1:32" s="7" customFormat="1" ht="13.5" thickBot="1">
      <c r="A49" s="3"/>
      <c r="B49" s="152" t="s">
        <v>150</v>
      </c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3"/>
    </row>
    <row r="51" spans="1:32" ht="13.5" thickBot="1">
      <c r="C51" s="6" t="s">
        <v>797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</row>
    <row r="52" spans="1:32">
      <c r="C52" s="3" t="s">
        <v>796</v>
      </c>
      <c r="E52" s="3" t="s">
        <v>29</v>
      </c>
      <c r="L52" s="149"/>
      <c r="M52" s="149"/>
      <c r="N52" s="149"/>
      <c r="O52" s="149"/>
      <c r="P52" s="149"/>
      <c r="Q52" s="149">
        <v>1356.4974157303373</v>
      </c>
      <c r="R52" s="149">
        <v>2191.8576966292139</v>
      </c>
      <c r="S52" s="149"/>
      <c r="T52" s="149"/>
      <c r="U52" s="149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pans="1:32">
      <c r="C53" s="3" t="s">
        <v>799</v>
      </c>
      <c r="E53" s="3" t="s">
        <v>29</v>
      </c>
      <c r="J53" s="148"/>
      <c r="K53" s="148"/>
      <c r="L53" s="149"/>
      <c r="M53" s="149"/>
      <c r="N53" s="149"/>
      <c r="O53" s="149"/>
      <c r="P53" s="149"/>
      <c r="Q53" s="149">
        <v>226.08314606741578</v>
      </c>
      <c r="R53" s="149">
        <v>365.30949438202254</v>
      </c>
      <c r="S53" s="149"/>
      <c r="T53" s="149"/>
      <c r="U53" s="149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pans="1:32" ht="10.9" customHeight="1">
      <c r="J54" s="148"/>
      <c r="K54" s="148"/>
    </row>
    <row r="55" spans="1:32" ht="13.5" thickBot="1">
      <c r="C55" s="6" t="s">
        <v>815</v>
      </c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</row>
    <row r="56" spans="1:32">
      <c r="C56" s="3" t="s">
        <v>796</v>
      </c>
      <c r="E56" s="3" t="s">
        <v>29</v>
      </c>
      <c r="L56" s="27">
        <f>(SUMPRODUCT(L34:L43,$H$34:$H$43)*(L52="")+L52)</f>
        <v>0</v>
      </c>
      <c r="M56" s="27">
        <f t="shared" ref="M56:AE56" si="5">(SUMPRODUCT(M34:M43,$H$34:$H$43)*(M52="")+M52)</f>
        <v>0</v>
      </c>
      <c r="N56" s="27">
        <f t="shared" si="5"/>
        <v>0</v>
      </c>
      <c r="O56" s="27">
        <f t="shared" si="5"/>
        <v>0</v>
      </c>
      <c r="P56" s="27">
        <f t="shared" si="5"/>
        <v>0</v>
      </c>
      <c r="Q56" s="27">
        <f t="shared" si="5"/>
        <v>1356.4974157303373</v>
      </c>
      <c r="R56" s="27">
        <f t="shared" si="5"/>
        <v>2191.8576966292139</v>
      </c>
      <c r="S56" s="27">
        <f t="shared" si="5"/>
        <v>2457.7634259536489</v>
      </c>
      <c r="T56" s="27">
        <f t="shared" si="5"/>
        <v>2799.3322683180622</v>
      </c>
      <c r="U56" s="27">
        <f>(SUMPRODUCT(U34:U43,$H$34:$H$43)*(U52="")+U52)</f>
        <v>2785.2050394753246</v>
      </c>
      <c r="V56" s="27">
        <f t="shared" si="5"/>
        <v>0</v>
      </c>
      <c r="W56" s="27">
        <f t="shared" si="5"/>
        <v>0</v>
      </c>
      <c r="X56" s="27">
        <f t="shared" si="5"/>
        <v>0</v>
      </c>
      <c r="Y56" s="27">
        <f t="shared" si="5"/>
        <v>0</v>
      </c>
      <c r="Z56" s="27">
        <f t="shared" si="5"/>
        <v>0</v>
      </c>
      <c r="AA56" s="27">
        <f t="shared" si="5"/>
        <v>0</v>
      </c>
      <c r="AB56" s="27">
        <f t="shared" si="5"/>
        <v>0</v>
      </c>
      <c r="AC56" s="27">
        <f t="shared" si="5"/>
        <v>0</v>
      </c>
      <c r="AD56" s="27">
        <f t="shared" si="5"/>
        <v>0</v>
      </c>
      <c r="AE56" s="27">
        <f t="shared" si="5"/>
        <v>0</v>
      </c>
    </row>
    <row r="57" spans="1:32">
      <c r="C57" s="3" t="s">
        <v>799</v>
      </c>
      <c r="E57" s="3" t="s">
        <v>29</v>
      </c>
      <c r="L57" s="150">
        <f t="shared" ref="L57:AE57" si="6">IF(SUM(L34:L43)=0,0,L46*SUMPRODUCT(L34:L43,$H$34:$H$43)/SUM(L34:L43))*(L53="")+L53</f>
        <v>0</v>
      </c>
      <c r="M57" s="150">
        <f t="shared" si="6"/>
        <v>0</v>
      </c>
      <c r="N57" s="150">
        <f t="shared" si="6"/>
        <v>0</v>
      </c>
      <c r="O57" s="150">
        <f t="shared" si="6"/>
        <v>0</v>
      </c>
      <c r="P57" s="150">
        <f t="shared" si="6"/>
        <v>0</v>
      </c>
      <c r="Q57" s="150">
        <f t="shared" si="6"/>
        <v>226.08314606741578</v>
      </c>
      <c r="R57" s="150">
        <f t="shared" si="6"/>
        <v>365.30949438202254</v>
      </c>
      <c r="S57" s="150">
        <f t="shared" si="6"/>
        <v>425.51583626910235</v>
      </c>
      <c r="T57" s="150">
        <f t="shared" si="6"/>
        <v>484.03713005052549</v>
      </c>
      <c r="U57" s="150">
        <f t="shared" si="6"/>
        <v>481.10455146080352</v>
      </c>
      <c r="V57" s="150">
        <f t="shared" si="6"/>
        <v>0</v>
      </c>
      <c r="W57" s="150">
        <f t="shared" si="6"/>
        <v>0</v>
      </c>
      <c r="X57" s="150">
        <f t="shared" si="6"/>
        <v>0</v>
      </c>
      <c r="Y57" s="150">
        <f t="shared" si="6"/>
        <v>0</v>
      </c>
      <c r="Z57" s="150">
        <f t="shared" si="6"/>
        <v>0</v>
      </c>
      <c r="AA57" s="150">
        <f t="shared" si="6"/>
        <v>0</v>
      </c>
      <c r="AB57" s="150">
        <f t="shared" si="6"/>
        <v>0</v>
      </c>
      <c r="AC57" s="150">
        <f t="shared" si="6"/>
        <v>0</v>
      </c>
      <c r="AD57" s="150">
        <f t="shared" si="6"/>
        <v>0</v>
      </c>
      <c r="AE57" s="150">
        <f t="shared" si="6"/>
        <v>0</v>
      </c>
    </row>
    <row r="58" spans="1:32">
      <c r="C58" s="17"/>
      <c r="D58" s="17"/>
      <c r="E58" s="17"/>
      <c r="F58" s="17"/>
      <c r="G58" s="17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32">
      <c r="B59" s="152" t="s">
        <v>24</v>
      </c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</row>
    <row r="61" spans="1:32" ht="13.5" thickBot="1">
      <c r="C61" s="6" t="s">
        <v>797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</row>
    <row r="62" spans="1:32">
      <c r="C62" s="3" t="s">
        <v>796</v>
      </c>
      <c r="E62" s="3" t="s">
        <v>29</v>
      </c>
      <c r="L62" s="149"/>
      <c r="M62" s="149"/>
      <c r="N62" s="149"/>
      <c r="O62" s="149"/>
      <c r="P62" s="149"/>
      <c r="Q62" s="149">
        <v>278.6037</v>
      </c>
      <c r="R62" s="149">
        <v>450.17385000000002</v>
      </c>
      <c r="S62" s="149"/>
      <c r="T62" s="149"/>
      <c r="U62" s="149"/>
      <c r="V62" s="38"/>
      <c r="W62" s="38"/>
      <c r="X62" s="38"/>
      <c r="Y62" s="38"/>
      <c r="Z62" s="38"/>
      <c r="AA62" s="38"/>
      <c r="AB62" s="38"/>
      <c r="AC62" s="38"/>
      <c r="AD62" s="38"/>
      <c r="AE62" s="38"/>
    </row>
    <row r="63" spans="1:32">
      <c r="C63" s="3" t="s">
        <v>799</v>
      </c>
      <c r="E63" s="3" t="s">
        <v>29</v>
      </c>
      <c r="L63" s="38"/>
      <c r="M63" s="38"/>
      <c r="N63" s="38"/>
      <c r="O63" s="38"/>
      <c r="P63" s="38"/>
      <c r="Q63" s="149">
        <v>46.433999999999997</v>
      </c>
      <c r="R63" s="149">
        <v>75.028949999999995</v>
      </c>
      <c r="S63" s="149"/>
      <c r="T63" s="149"/>
      <c r="U63" s="149"/>
      <c r="V63" s="38"/>
      <c r="W63" s="38"/>
      <c r="X63" s="38"/>
      <c r="Y63" s="38"/>
      <c r="Z63" s="38"/>
      <c r="AA63" s="38"/>
      <c r="AB63" s="38"/>
      <c r="AC63" s="38"/>
      <c r="AD63" s="38"/>
      <c r="AE63" s="38"/>
    </row>
    <row r="65" spans="1:32" ht="13.5" thickBot="1">
      <c r="C65" s="6" t="s">
        <v>815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</row>
    <row r="66" spans="1:32">
      <c r="C66" s="3" t="s">
        <v>796</v>
      </c>
      <c r="E66" s="3" t="s">
        <v>29</v>
      </c>
      <c r="L66" s="27">
        <f t="shared" ref="L66:T66" si="7">(SUMPRODUCT(L34:L43,$J$34:$J$43)*(L62="")+L62)</f>
        <v>0</v>
      </c>
      <c r="M66" s="27">
        <f t="shared" si="7"/>
        <v>0</v>
      </c>
      <c r="N66" s="27">
        <f t="shared" si="7"/>
        <v>0</v>
      </c>
      <c r="O66" s="27">
        <f t="shared" si="7"/>
        <v>0</v>
      </c>
      <c r="P66" s="27">
        <f t="shared" si="7"/>
        <v>0</v>
      </c>
      <c r="Q66" s="27">
        <f t="shared" si="7"/>
        <v>278.6037</v>
      </c>
      <c r="R66" s="27">
        <f t="shared" si="7"/>
        <v>450.17385000000002</v>
      </c>
      <c r="S66" s="27">
        <f t="shared" si="7"/>
        <v>491.55268519072979</v>
      </c>
      <c r="T66" s="27">
        <f t="shared" si="7"/>
        <v>559.86645366361256</v>
      </c>
      <c r="U66" s="27">
        <f>(SUMPRODUCT(U34:U43,$J$34:$J$43)*(U62="")+U62)</f>
        <v>557.04100789506492</v>
      </c>
      <c r="V66" s="27">
        <f t="shared" ref="V66:AE66" si="8">(SUMPRODUCT(V34:V43,$J$34:$J$43)*(V62="")+V62)</f>
        <v>0</v>
      </c>
      <c r="W66" s="27">
        <f t="shared" si="8"/>
        <v>0</v>
      </c>
      <c r="X66" s="27">
        <f t="shared" si="8"/>
        <v>0</v>
      </c>
      <c r="Y66" s="27">
        <f t="shared" si="8"/>
        <v>0</v>
      </c>
      <c r="Z66" s="27">
        <f t="shared" si="8"/>
        <v>0</v>
      </c>
      <c r="AA66" s="27">
        <f t="shared" si="8"/>
        <v>0</v>
      </c>
      <c r="AB66" s="27">
        <f t="shared" si="8"/>
        <v>0</v>
      </c>
      <c r="AC66" s="27">
        <f t="shared" si="8"/>
        <v>0</v>
      </c>
      <c r="AD66" s="27">
        <f t="shared" si="8"/>
        <v>0</v>
      </c>
      <c r="AE66" s="27">
        <f t="shared" si="8"/>
        <v>0</v>
      </c>
    </row>
    <row r="67" spans="1:32">
      <c r="C67" s="3" t="s">
        <v>799</v>
      </c>
      <c r="E67" s="3" t="s">
        <v>29</v>
      </c>
      <c r="L67" s="150">
        <f t="shared" ref="L67:T67" si="9">IF(SUM(L34:L43)=0,0,L46*SUMPRODUCT(L34:L43,$J$34:$J$43)/SUM(L34:L43))*(L63="")+L63</f>
        <v>0</v>
      </c>
      <c r="M67" s="150">
        <f t="shared" si="9"/>
        <v>0</v>
      </c>
      <c r="N67" s="150">
        <f t="shared" si="9"/>
        <v>0</v>
      </c>
      <c r="O67" s="150">
        <f t="shared" si="9"/>
        <v>0</v>
      </c>
      <c r="P67" s="150">
        <f t="shared" si="9"/>
        <v>0</v>
      </c>
      <c r="Q67" s="150">
        <f t="shared" si="9"/>
        <v>46.433999999999997</v>
      </c>
      <c r="R67" s="150">
        <f t="shared" si="9"/>
        <v>75.028949999999995</v>
      </c>
      <c r="S67" s="150">
        <f t="shared" si="9"/>
        <v>85.103167253820473</v>
      </c>
      <c r="T67" s="150">
        <f t="shared" si="9"/>
        <v>96.807426010105118</v>
      </c>
      <c r="U67" s="150">
        <f>IF(SUM(U34:U43)=0,0,U46*SUMPRODUCT(U34:U43,$J$34:$J$43)/SUM(U34:U43))*(U63="")+U63</f>
        <v>96.220910292160696</v>
      </c>
      <c r="V67" s="150">
        <f t="shared" ref="V67:AE67" si="10">IF(SUM(V34:V43)=0,0,V46*SUMPRODUCT(V34:V43,$J$34:$J$43)/SUM(V34:V43))*(V63="")+V63</f>
        <v>0</v>
      </c>
      <c r="W67" s="150">
        <f t="shared" si="10"/>
        <v>0</v>
      </c>
      <c r="X67" s="150">
        <f t="shared" si="10"/>
        <v>0</v>
      </c>
      <c r="Y67" s="150">
        <f t="shared" si="10"/>
        <v>0</v>
      </c>
      <c r="Z67" s="150">
        <f t="shared" si="10"/>
        <v>0</v>
      </c>
      <c r="AA67" s="150">
        <f t="shared" si="10"/>
        <v>0</v>
      </c>
      <c r="AB67" s="150">
        <f t="shared" si="10"/>
        <v>0</v>
      </c>
      <c r="AC67" s="150">
        <f t="shared" si="10"/>
        <v>0</v>
      </c>
      <c r="AD67" s="150">
        <f t="shared" si="10"/>
        <v>0</v>
      </c>
      <c r="AE67" s="150">
        <f t="shared" si="10"/>
        <v>0</v>
      </c>
    </row>
    <row r="68" spans="1:32">
      <c r="B68" s="20" t="s">
        <v>817</v>
      </c>
      <c r="C68" s="19"/>
      <c r="D68" s="19"/>
      <c r="E68" s="19"/>
      <c r="F68" s="19"/>
      <c r="G68" s="19"/>
      <c r="H68" s="19"/>
      <c r="I68" s="19"/>
      <c r="J68" s="19"/>
      <c r="K68" s="19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</row>
    <row r="70" spans="1:32" ht="13.5" thickBot="1">
      <c r="C70" s="6" t="s">
        <v>797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</row>
    <row r="71" spans="1:32">
      <c r="C71" s="3" t="s">
        <v>818</v>
      </c>
      <c r="E71" s="3" t="s">
        <v>29</v>
      </c>
      <c r="L71" s="149"/>
      <c r="M71" s="149"/>
      <c r="N71" s="149"/>
      <c r="O71" s="149"/>
      <c r="P71" s="149"/>
      <c r="Q71" s="149"/>
      <c r="R71" s="149"/>
      <c r="S71" s="149"/>
      <c r="T71" s="149"/>
      <c r="U71" s="149"/>
      <c r="V71" s="149"/>
      <c r="W71" s="149"/>
      <c r="X71" s="149"/>
      <c r="Y71" s="149"/>
      <c r="Z71" s="149"/>
      <c r="AA71" s="149"/>
      <c r="AB71" s="149"/>
      <c r="AC71" s="149"/>
      <c r="AD71" s="149"/>
      <c r="AE71" s="149"/>
    </row>
    <row r="73" spans="1:32" s="7" customFormat="1" ht="13.5" thickBot="1">
      <c r="A73" s="3"/>
      <c r="B73" s="3"/>
      <c r="C73" s="6" t="s">
        <v>817</v>
      </c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3"/>
    </row>
    <row r="74" spans="1:32">
      <c r="C74" s="3" t="s">
        <v>819</v>
      </c>
      <c r="E74" s="3" t="s">
        <v>29</v>
      </c>
      <c r="H74" s="1552">
        <v>0.73033707865168551</v>
      </c>
      <c r="I74" s="1176">
        <f t="shared" ref="I74:I84" si="11">1-H74-J74</f>
        <v>0.12359550561797739</v>
      </c>
      <c r="J74" s="1552">
        <v>0.1460674157303371</v>
      </c>
      <c r="L74" s="176">
        <v>0</v>
      </c>
      <c r="M74" s="176">
        <v>0</v>
      </c>
      <c r="N74" s="176">
        <v>0</v>
      </c>
      <c r="O74" s="176">
        <v>0</v>
      </c>
      <c r="P74" s="176">
        <v>0</v>
      </c>
      <c r="Q74" s="173">
        <v>33.847999999999999</v>
      </c>
      <c r="R74" s="173">
        <v>145</v>
      </c>
      <c r="S74" s="173">
        <v>178.10147657600001</v>
      </c>
      <c r="T74" s="173">
        <v>181.56698610751999</v>
      </c>
      <c r="U74" s="173">
        <v>185.10024582967043</v>
      </c>
      <c r="V74" s="176">
        <v>0</v>
      </c>
      <c r="W74" s="176">
        <v>0</v>
      </c>
      <c r="X74" s="176">
        <v>0</v>
      </c>
      <c r="Y74" s="176">
        <v>0</v>
      </c>
      <c r="Z74" s="176">
        <v>0</v>
      </c>
      <c r="AA74" s="176">
        <v>0</v>
      </c>
      <c r="AB74" s="176">
        <f t="shared" ref="AB74:AB92" si="12">V74/1000</f>
        <v>0</v>
      </c>
      <c r="AC74" s="176">
        <v>0</v>
      </c>
      <c r="AD74" s="176">
        <v>0</v>
      </c>
      <c r="AE74" s="176">
        <v>0</v>
      </c>
    </row>
    <row r="75" spans="1:32">
      <c r="C75" s="3" t="s">
        <v>977</v>
      </c>
      <c r="E75" s="3" t="s">
        <v>29</v>
      </c>
      <c r="H75" s="1552">
        <v>0.73033707865168551</v>
      </c>
      <c r="I75" s="1176">
        <f t="shared" si="11"/>
        <v>0.12359550561797739</v>
      </c>
      <c r="J75" s="1552">
        <v>0.1460674157303371</v>
      </c>
      <c r="L75" s="176">
        <v>0</v>
      </c>
      <c r="M75" s="176">
        <v>0</v>
      </c>
      <c r="N75" s="176">
        <v>0</v>
      </c>
      <c r="O75" s="176">
        <v>0</v>
      </c>
      <c r="P75" s="176">
        <v>0</v>
      </c>
      <c r="Q75" s="173">
        <v>18.010000000000002</v>
      </c>
      <c r="R75" s="173">
        <v>52</v>
      </c>
      <c r="S75" s="173">
        <v>34.616424544000004</v>
      </c>
      <c r="T75" s="173">
        <v>35.308753034879999</v>
      </c>
      <c r="U75" s="173">
        <v>36.014928095577602</v>
      </c>
      <c r="V75" s="176">
        <v>0</v>
      </c>
      <c r="W75" s="176">
        <v>0</v>
      </c>
      <c r="X75" s="176">
        <v>0</v>
      </c>
      <c r="Y75" s="176">
        <v>0</v>
      </c>
      <c r="Z75" s="176">
        <v>0</v>
      </c>
      <c r="AA75" s="176">
        <v>0</v>
      </c>
      <c r="AB75" s="176">
        <f t="shared" si="12"/>
        <v>0</v>
      </c>
      <c r="AC75" s="176">
        <v>0</v>
      </c>
      <c r="AD75" s="176">
        <v>0</v>
      </c>
      <c r="AE75" s="176">
        <v>0</v>
      </c>
    </row>
    <row r="76" spans="1:32">
      <c r="C76" s="3" t="s">
        <v>823</v>
      </c>
      <c r="E76" s="3" t="s">
        <v>29</v>
      </c>
      <c r="H76" s="1552">
        <v>0.73033707865168551</v>
      </c>
      <c r="I76" s="1176">
        <f t="shared" si="11"/>
        <v>0.12359550561797739</v>
      </c>
      <c r="J76" s="1552">
        <v>0.1460674157303371</v>
      </c>
      <c r="L76" s="176">
        <v>0</v>
      </c>
      <c r="M76" s="176">
        <v>0</v>
      </c>
      <c r="N76" s="176">
        <v>0</v>
      </c>
      <c r="O76" s="176">
        <v>0</v>
      </c>
      <c r="P76" s="176">
        <v>0</v>
      </c>
      <c r="Q76" s="173">
        <v>9.65</v>
      </c>
      <c r="R76" s="173">
        <v>11.5</v>
      </c>
      <c r="S76" s="173">
        <v>10.619113128</v>
      </c>
      <c r="T76" s="173">
        <v>10.831495390560001</v>
      </c>
      <c r="U76" s="173">
        <v>11.048125298371202</v>
      </c>
      <c r="V76" s="176">
        <v>0</v>
      </c>
      <c r="W76" s="176">
        <v>0</v>
      </c>
      <c r="X76" s="176">
        <v>0</v>
      </c>
      <c r="Y76" s="176">
        <v>0</v>
      </c>
      <c r="Z76" s="176">
        <v>0</v>
      </c>
      <c r="AA76" s="176">
        <v>0</v>
      </c>
      <c r="AB76" s="176">
        <f t="shared" si="12"/>
        <v>0</v>
      </c>
      <c r="AC76" s="176">
        <v>0</v>
      </c>
      <c r="AD76" s="176">
        <v>0</v>
      </c>
      <c r="AE76" s="176">
        <v>0</v>
      </c>
    </row>
    <row r="77" spans="1:32">
      <c r="C77" s="3" t="s">
        <v>978</v>
      </c>
      <c r="E77" s="3" t="s">
        <v>29</v>
      </c>
      <c r="H77" s="1552">
        <v>0.73033707865168551</v>
      </c>
      <c r="I77" s="1176">
        <f t="shared" si="11"/>
        <v>0.12359550561797739</v>
      </c>
      <c r="J77" s="1552">
        <v>0.1460674157303371</v>
      </c>
      <c r="L77" s="176">
        <v>0</v>
      </c>
      <c r="M77" s="176">
        <v>0</v>
      </c>
      <c r="N77" s="176">
        <v>0</v>
      </c>
      <c r="O77" s="176">
        <v>0</v>
      </c>
      <c r="P77" s="176">
        <v>0</v>
      </c>
      <c r="Q77" s="173">
        <v>30.684999999999999</v>
      </c>
      <c r="R77" s="173">
        <v>34</v>
      </c>
      <c r="S77" s="173">
        <v>42.709395911999998</v>
      </c>
      <c r="T77" s="173">
        <v>43.563583830239999</v>
      </c>
      <c r="U77" s="173">
        <v>44.434855506844805</v>
      </c>
      <c r="V77" s="176">
        <v>0</v>
      </c>
      <c r="W77" s="176">
        <v>0</v>
      </c>
      <c r="X77" s="176">
        <v>0</v>
      </c>
      <c r="Y77" s="176">
        <v>0</v>
      </c>
      <c r="Z77" s="176">
        <v>0</v>
      </c>
      <c r="AA77" s="176">
        <v>0</v>
      </c>
      <c r="AB77" s="176">
        <f t="shared" si="12"/>
        <v>0</v>
      </c>
      <c r="AC77" s="176">
        <v>0</v>
      </c>
      <c r="AD77" s="176">
        <v>0</v>
      </c>
      <c r="AE77" s="176">
        <v>0</v>
      </c>
    </row>
    <row r="78" spans="1:32">
      <c r="C78" s="3" t="s">
        <v>979</v>
      </c>
      <c r="E78" s="3" t="s">
        <v>29</v>
      </c>
      <c r="H78" s="1552">
        <v>0.73033707865168551</v>
      </c>
      <c r="I78" s="1176">
        <f t="shared" si="11"/>
        <v>0.12359550561797739</v>
      </c>
      <c r="J78" s="1552">
        <v>0.1460674157303371</v>
      </c>
      <c r="L78" s="176">
        <v>0</v>
      </c>
      <c r="M78" s="176">
        <v>0</v>
      </c>
      <c r="N78" s="176">
        <v>0</v>
      </c>
      <c r="O78" s="176">
        <v>0</v>
      </c>
      <c r="P78" s="176">
        <v>0</v>
      </c>
      <c r="Q78" s="173">
        <v>515.37099999999998</v>
      </c>
      <c r="R78" s="173">
        <v>860.65899999999999</v>
      </c>
      <c r="S78" s="173">
        <v>782.35127959199997</v>
      </c>
      <c r="T78" s="173">
        <v>797.9983051838401</v>
      </c>
      <c r="U78" s="173">
        <v>813.95827128751694</v>
      </c>
      <c r="V78" s="176">
        <v>0</v>
      </c>
      <c r="W78" s="176">
        <v>0</v>
      </c>
      <c r="X78" s="176">
        <v>0</v>
      </c>
      <c r="Y78" s="176">
        <v>0</v>
      </c>
      <c r="Z78" s="176">
        <v>0</v>
      </c>
      <c r="AA78" s="176">
        <v>0</v>
      </c>
      <c r="AB78" s="176">
        <f t="shared" si="12"/>
        <v>0</v>
      </c>
      <c r="AC78" s="176">
        <v>0</v>
      </c>
      <c r="AD78" s="176">
        <v>0</v>
      </c>
      <c r="AE78" s="176">
        <v>0</v>
      </c>
    </row>
    <row r="79" spans="1:32">
      <c r="C79" s="3" t="s">
        <v>801</v>
      </c>
      <c r="E79" s="3" t="s">
        <v>29</v>
      </c>
      <c r="H79" s="1552">
        <v>0.73033707865168551</v>
      </c>
      <c r="I79" s="1176">
        <f t="shared" si="11"/>
        <v>0.12359550561797739</v>
      </c>
      <c r="J79" s="1552">
        <v>0.1460674157303371</v>
      </c>
      <c r="L79" s="176">
        <v>0</v>
      </c>
      <c r="M79" s="176">
        <v>0</v>
      </c>
      <c r="N79" s="176">
        <v>0</v>
      </c>
      <c r="O79" s="176">
        <v>0</v>
      </c>
      <c r="P79" s="176">
        <v>0</v>
      </c>
      <c r="Q79" s="173">
        <v>183.69200000000001</v>
      </c>
      <c r="R79" s="173">
        <v>225.16399999999999</v>
      </c>
      <c r="S79" s="173">
        <v>160.39622410332962</v>
      </c>
      <c r="T79" s="173">
        <v>163.60414858539625</v>
      </c>
      <c r="U79" s="173">
        <v>166.87623155710415</v>
      </c>
      <c r="V79" s="176">
        <v>0</v>
      </c>
      <c r="W79" s="176">
        <v>0</v>
      </c>
      <c r="X79" s="176">
        <v>0</v>
      </c>
      <c r="Y79" s="176">
        <v>0</v>
      </c>
      <c r="Z79" s="176">
        <v>0</v>
      </c>
      <c r="AA79" s="176">
        <v>0</v>
      </c>
      <c r="AB79" s="176">
        <v>0</v>
      </c>
      <c r="AC79" s="176">
        <v>0</v>
      </c>
      <c r="AD79" s="176">
        <v>0</v>
      </c>
      <c r="AE79" s="176">
        <v>0</v>
      </c>
    </row>
    <row r="80" spans="1:32">
      <c r="C80" s="3" t="s">
        <v>980</v>
      </c>
      <c r="E80" s="3" t="s">
        <v>29</v>
      </c>
      <c r="H80" s="1552">
        <v>0.73033707865168551</v>
      </c>
      <c r="I80" s="1176">
        <f t="shared" si="11"/>
        <v>0.12359550561797739</v>
      </c>
      <c r="J80" s="1552">
        <v>0.1460674157303371</v>
      </c>
      <c r="L80" s="176">
        <v>0</v>
      </c>
      <c r="M80" s="176">
        <v>0</v>
      </c>
      <c r="N80" s="176">
        <v>0</v>
      </c>
      <c r="O80" s="176">
        <v>0</v>
      </c>
      <c r="P80" s="176">
        <v>0</v>
      </c>
      <c r="Q80" s="173">
        <v>143.11500000000001</v>
      </c>
      <c r="R80" s="173">
        <v>241.191</v>
      </c>
      <c r="S80" s="173">
        <v>217.27886029411766</v>
      </c>
      <c r="T80" s="173">
        <v>179.32251838235291</v>
      </c>
      <c r="U80" s="173">
        <v>178.49531250000001</v>
      </c>
      <c r="V80" s="176">
        <v>0</v>
      </c>
      <c r="W80" s="176">
        <v>0</v>
      </c>
      <c r="X80" s="176">
        <v>0</v>
      </c>
      <c r="Y80" s="176">
        <v>0</v>
      </c>
      <c r="Z80" s="176">
        <v>0</v>
      </c>
      <c r="AA80" s="176">
        <v>0</v>
      </c>
      <c r="AB80" s="176">
        <v>0</v>
      </c>
      <c r="AC80" s="176">
        <v>0</v>
      </c>
      <c r="AD80" s="176">
        <v>0</v>
      </c>
      <c r="AE80" s="176">
        <v>0</v>
      </c>
    </row>
    <row r="81" spans="2:31">
      <c r="C81" s="3" t="s">
        <v>981</v>
      </c>
      <c r="E81" s="3" t="s">
        <v>29</v>
      </c>
      <c r="H81" s="1552">
        <v>0.73033707865168551</v>
      </c>
      <c r="I81" s="1176">
        <f t="shared" si="11"/>
        <v>0.12359550561797739</v>
      </c>
      <c r="J81" s="1552">
        <v>0.1460674157303371</v>
      </c>
      <c r="L81" s="176">
        <v>0</v>
      </c>
      <c r="M81" s="176">
        <v>0</v>
      </c>
      <c r="N81" s="176">
        <v>0</v>
      </c>
      <c r="O81" s="176">
        <v>0</v>
      </c>
      <c r="P81" s="176">
        <v>0</v>
      </c>
      <c r="Q81" s="173">
        <v>0</v>
      </c>
      <c r="R81" s="173">
        <v>671</v>
      </c>
      <c r="S81" s="173">
        <v>104.55</v>
      </c>
      <c r="T81" s="173">
        <v>104.55</v>
      </c>
      <c r="U81" s="173">
        <v>250</v>
      </c>
      <c r="V81" s="176">
        <v>0</v>
      </c>
      <c r="W81" s="176">
        <v>0</v>
      </c>
      <c r="X81" s="176">
        <v>0</v>
      </c>
      <c r="Y81" s="176">
        <v>0</v>
      </c>
      <c r="Z81" s="176">
        <v>0</v>
      </c>
      <c r="AA81" s="176">
        <v>0</v>
      </c>
      <c r="AB81" s="176">
        <v>0</v>
      </c>
      <c r="AC81" s="176">
        <v>0</v>
      </c>
      <c r="AD81" s="176">
        <v>0</v>
      </c>
      <c r="AE81" s="176">
        <v>0</v>
      </c>
    </row>
    <row r="82" spans="2:31">
      <c r="C82" s="3" t="s">
        <v>982</v>
      </c>
      <c r="E82" s="3" t="s">
        <v>29</v>
      </c>
      <c r="H82" s="1552">
        <v>0.73033707865168551</v>
      </c>
      <c r="I82" s="1176">
        <f t="shared" si="11"/>
        <v>0.12359550561797739</v>
      </c>
      <c r="J82" s="1552">
        <v>0.1460674157303371</v>
      </c>
      <c r="L82" s="176">
        <v>0</v>
      </c>
      <c r="M82" s="176">
        <v>0</v>
      </c>
      <c r="N82" s="176">
        <v>0</v>
      </c>
      <c r="O82" s="176">
        <v>0</v>
      </c>
      <c r="P82" s="176">
        <v>0</v>
      </c>
      <c r="Q82" s="173">
        <v>0</v>
      </c>
      <c r="R82" s="173">
        <v>0</v>
      </c>
      <c r="S82" s="173">
        <v>286.37867647058823</v>
      </c>
      <c r="T82" s="173">
        <v>302.41876904999998</v>
      </c>
      <c r="U82" s="173">
        <v>325.74441386795189</v>
      </c>
      <c r="V82" s="176">
        <v>0</v>
      </c>
      <c r="W82" s="176">
        <v>0</v>
      </c>
      <c r="X82" s="176">
        <v>0</v>
      </c>
      <c r="Y82" s="176">
        <v>0</v>
      </c>
      <c r="Z82" s="176">
        <v>0</v>
      </c>
      <c r="AA82" s="176">
        <v>0</v>
      </c>
      <c r="AB82" s="176">
        <v>0</v>
      </c>
      <c r="AC82" s="176">
        <v>0</v>
      </c>
      <c r="AD82" s="176">
        <v>0</v>
      </c>
      <c r="AE82" s="176">
        <v>0</v>
      </c>
    </row>
    <row r="83" spans="2:31">
      <c r="C83" s="3" t="s">
        <v>983</v>
      </c>
      <c r="E83" s="3" t="s">
        <v>29</v>
      </c>
      <c r="H83" s="1552">
        <v>1</v>
      </c>
      <c r="I83" s="1176">
        <f t="shared" si="11"/>
        <v>0</v>
      </c>
      <c r="J83" s="1552">
        <v>0</v>
      </c>
      <c r="L83" s="176">
        <v>0</v>
      </c>
      <c r="M83" s="176">
        <v>0</v>
      </c>
      <c r="N83" s="176">
        <v>0</v>
      </c>
      <c r="O83" s="176">
        <v>0</v>
      </c>
      <c r="P83" s="176">
        <v>0</v>
      </c>
      <c r="Q83" s="173">
        <v>7694.6545700000006</v>
      </c>
      <c r="R83" s="173">
        <v>8087.6067999999996</v>
      </c>
      <c r="S83" s="173">
        <v>8100.38</v>
      </c>
      <c r="T83" s="173">
        <v>8146.5780000000004</v>
      </c>
      <c r="U83" s="173">
        <v>8254.75</v>
      </c>
      <c r="V83" s="176">
        <v>0</v>
      </c>
      <c r="W83" s="176">
        <v>0</v>
      </c>
      <c r="X83" s="176">
        <v>0</v>
      </c>
      <c r="Y83" s="176">
        <v>0</v>
      </c>
      <c r="Z83" s="176">
        <v>0</v>
      </c>
      <c r="AA83" s="176">
        <v>0</v>
      </c>
      <c r="AB83" s="176">
        <f t="shared" si="12"/>
        <v>0</v>
      </c>
      <c r="AC83" s="176">
        <v>0</v>
      </c>
      <c r="AD83" s="176">
        <v>0</v>
      </c>
      <c r="AE83" s="176">
        <v>0</v>
      </c>
    </row>
    <row r="84" spans="2:31">
      <c r="C84" s="3" t="s">
        <v>1265</v>
      </c>
      <c r="E84" s="3" t="s">
        <v>29</v>
      </c>
      <c r="H84" s="1552">
        <v>1</v>
      </c>
      <c r="I84" s="1176">
        <f t="shared" si="11"/>
        <v>0</v>
      </c>
      <c r="J84" s="1552">
        <v>0</v>
      </c>
      <c r="L84" s="176">
        <v>0</v>
      </c>
      <c r="M84" s="176">
        <v>0</v>
      </c>
      <c r="N84" s="176">
        <v>0</v>
      </c>
      <c r="O84" s="176">
        <v>0</v>
      </c>
      <c r="P84" s="176">
        <v>0</v>
      </c>
      <c r="Q84" s="173">
        <v>2747.3029999999999</v>
      </c>
      <c r="R84" s="173">
        <v>2800</v>
      </c>
      <c r="S84" s="173">
        <v>2759</v>
      </c>
      <c r="T84" s="173">
        <v>2848</v>
      </c>
      <c r="U84" s="173">
        <v>2937</v>
      </c>
      <c r="V84" s="176">
        <v>0</v>
      </c>
      <c r="W84" s="176">
        <v>0</v>
      </c>
      <c r="X84" s="176">
        <v>0</v>
      </c>
      <c r="Y84" s="176">
        <v>0</v>
      </c>
      <c r="Z84" s="176">
        <v>0</v>
      </c>
      <c r="AA84" s="176">
        <v>0</v>
      </c>
      <c r="AB84" s="176">
        <f t="shared" si="12"/>
        <v>0</v>
      </c>
      <c r="AC84" s="176">
        <v>0</v>
      </c>
      <c r="AD84" s="176">
        <v>0</v>
      </c>
      <c r="AE84" s="176">
        <v>0</v>
      </c>
    </row>
    <row r="85" spans="2:31">
      <c r="C85" s="3" t="s">
        <v>862</v>
      </c>
      <c r="E85" s="3" t="s">
        <v>29</v>
      </c>
      <c r="H85" s="1177"/>
      <c r="I85" s="1178"/>
      <c r="J85" s="1177"/>
      <c r="L85" s="176">
        <v>0</v>
      </c>
      <c r="M85" s="176">
        <v>0</v>
      </c>
      <c r="N85" s="176">
        <v>0</v>
      </c>
      <c r="O85" s="176">
        <v>0</v>
      </c>
      <c r="P85" s="176">
        <v>0</v>
      </c>
      <c r="Q85" s="176">
        <v>0</v>
      </c>
      <c r="R85" s="176">
        <v>0</v>
      </c>
      <c r="S85" s="176">
        <v>0</v>
      </c>
      <c r="T85" s="176">
        <v>0</v>
      </c>
      <c r="U85" s="176">
        <v>0</v>
      </c>
      <c r="V85" s="176">
        <v>0</v>
      </c>
      <c r="W85" s="176">
        <v>0</v>
      </c>
      <c r="X85" s="176">
        <v>0</v>
      </c>
      <c r="Y85" s="176">
        <v>0</v>
      </c>
      <c r="Z85" s="176">
        <v>0</v>
      </c>
      <c r="AA85" s="176">
        <v>0</v>
      </c>
      <c r="AB85" s="176">
        <f t="shared" si="12"/>
        <v>0</v>
      </c>
      <c r="AC85" s="176">
        <v>0</v>
      </c>
      <c r="AD85" s="176">
        <v>0</v>
      </c>
      <c r="AE85" s="176">
        <v>0</v>
      </c>
    </row>
    <row r="86" spans="2:31">
      <c r="C86" s="3" t="s">
        <v>862</v>
      </c>
      <c r="E86" s="3" t="s">
        <v>29</v>
      </c>
      <c r="H86" s="1177"/>
      <c r="I86" s="1178"/>
      <c r="J86" s="1177"/>
      <c r="L86" s="176">
        <v>0</v>
      </c>
      <c r="M86" s="176">
        <v>0</v>
      </c>
      <c r="N86" s="176">
        <v>0</v>
      </c>
      <c r="O86" s="176">
        <v>0</v>
      </c>
      <c r="P86" s="176">
        <v>0</v>
      </c>
      <c r="Q86" s="176">
        <v>0</v>
      </c>
      <c r="R86" s="176">
        <v>0</v>
      </c>
      <c r="S86" s="176">
        <v>0</v>
      </c>
      <c r="T86" s="176">
        <v>0</v>
      </c>
      <c r="U86" s="176">
        <v>0</v>
      </c>
      <c r="V86" s="176">
        <v>0</v>
      </c>
      <c r="W86" s="176">
        <v>0</v>
      </c>
      <c r="X86" s="176">
        <v>0</v>
      </c>
      <c r="Y86" s="176">
        <v>0</v>
      </c>
      <c r="Z86" s="176">
        <v>0</v>
      </c>
      <c r="AA86" s="176">
        <v>0</v>
      </c>
      <c r="AB86" s="176">
        <f t="shared" si="12"/>
        <v>0</v>
      </c>
      <c r="AC86" s="176">
        <v>0</v>
      </c>
      <c r="AD86" s="176">
        <v>0</v>
      </c>
      <c r="AE86" s="176">
        <v>0</v>
      </c>
    </row>
    <row r="87" spans="2:31">
      <c r="C87" s="3" t="s">
        <v>862</v>
      </c>
      <c r="E87" s="3" t="s">
        <v>29</v>
      </c>
      <c r="H87" s="1177"/>
      <c r="I87" s="1178"/>
      <c r="J87" s="1177"/>
      <c r="L87" s="176">
        <v>0</v>
      </c>
      <c r="M87" s="176">
        <v>0</v>
      </c>
      <c r="N87" s="176">
        <v>0</v>
      </c>
      <c r="O87" s="176">
        <v>0</v>
      </c>
      <c r="P87" s="176">
        <v>0</v>
      </c>
      <c r="Q87" s="176">
        <v>0</v>
      </c>
      <c r="R87" s="176">
        <v>0</v>
      </c>
      <c r="S87" s="176">
        <v>0</v>
      </c>
      <c r="T87" s="176">
        <v>0</v>
      </c>
      <c r="U87" s="176">
        <v>0</v>
      </c>
      <c r="V87" s="176">
        <v>0</v>
      </c>
      <c r="W87" s="176">
        <v>0</v>
      </c>
      <c r="X87" s="176">
        <v>0</v>
      </c>
      <c r="Y87" s="176">
        <v>0</v>
      </c>
      <c r="Z87" s="176">
        <v>0</v>
      </c>
      <c r="AA87" s="176">
        <v>0</v>
      </c>
      <c r="AB87" s="176">
        <f t="shared" si="12"/>
        <v>0</v>
      </c>
      <c r="AC87" s="176">
        <v>0</v>
      </c>
      <c r="AD87" s="176">
        <v>0</v>
      </c>
      <c r="AE87" s="176">
        <v>0</v>
      </c>
    </row>
    <row r="88" spans="2:31">
      <c r="C88" s="3" t="s">
        <v>862</v>
      </c>
      <c r="E88" s="3" t="s">
        <v>29</v>
      </c>
      <c r="H88" s="1177"/>
      <c r="I88" s="1178"/>
      <c r="J88" s="1177"/>
      <c r="L88" s="176">
        <v>0</v>
      </c>
      <c r="M88" s="176">
        <v>0</v>
      </c>
      <c r="N88" s="176">
        <v>0</v>
      </c>
      <c r="O88" s="176">
        <v>0</v>
      </c>
      <c r="P88" s="176">
        <v>0</v>
      </c>
      <c r="Q88" s="176">
        <v>0</v>
      </c>
      <c r="R88" s="176">
        <v>0</v>
      </c>
      <c r="S88" s="176">
        <v>0</v>
      </c>
      <c r="T88" s="176">
        <v>0</v>
      </c>
      <c r="U88" s="176">
        <v>0</v>
      </c>
      <c r="V88" s="176">
        <v>0</v>
      </c>
      <c r="W88" s="176">
        <v>0</v>
      </c>
      <c r="X88" s="176">
        <v>0</v>
      </c>
      <c r="Y88" s="176">
        <v>0</v>
      </c>
      <c r="Z88" s="176">
        <v>0</v>
      </c>
      <c r="AA88" s="176">
        <v>0</v>
      </c>
      <c r="AB88" s="176">
        <f t="shared" si="12"/>
        <v>0</v>
      </c>
      <c r="AC88" s="176">
        <v>0</v>
      </c>
      <c r="AD88" s="176">
        <v>0</v>
      </c>
      <c r="AE88" s="176">
        <v>0</v>
      </c>
    </row>
    <row r="89" spans="2:31">
      <c r="C89" s="3" t="s">
        <v>862</v>
      </c>
      <c r="E89" s="3" t="s">
        <v>29</v>
      </c>
      <c r="H89" s="1177"/>
      <c r="I89" s="1178"/>
      <c r="J89" s="1177"/>
      <c r="L89" s="176">
        <v>0</v>
      </c>
      <c r="M89" s="176">
        <v>0</v>
      </c>
      <c r="N89" s="176">
        <v>0</v>
      </c>
      <c r="O89" s="176">
        <v>0</v>
      </c>
      <c r="P89" s="176">
        <v>0</v>
      </c>
      <c r="Q89" s="176">
        <v>0</v>
      </c>
      <c r="R89" s="176">
        <v>0</v>
      </c>
      <c r="S89" s="176">
        <v>0</v>
      </c>
      <c r="T89" s="176">
        <v>0</v>
      </c>
      <c r="U89" s="176">
        <v>0</v>
      </c>
      <c r="V89" s="176">
        <v>0</v>
      </c>
      <c r="W89" s="176">
        <v>0</v>
      </c>
      <c r="X89" s="176">
        <v>0</v>
      </c>
      <c r="Y89" s="176">
        <v>0</v>
      </c>
      <c r="Z89" s="176">
        <v>0</v>
      </c>
      <c r="AA89" s="176">
        <v>0</v>
      </c>
      <c r="AB89" s="176">
        <f t="shared" si="12"/>
        <v>0</v>
      </c>
      <c r="AC89" s="176">
        <v>0</v>
      </c>
      <c r="AD89" s="176">
        <v>0</v>
      </c>
      <c r="AE89" s="176">
        <v>0</v>
      </c>
    </row>
    <row r="90" spans="2:31">
      <c r="C90" s="3" t="s">
        <v>862</v>
      </c>
      <c r="E90" s="3" t="s">
        <v>29</v>
      </c>
      <c r="H90" s="1177"/>
      <c r="I90" s="1178"/>
      <c r="J90" s="1177"/>
      <c r="L90" s="176">
        <v>0</v>
      </c>
      <c r="M90" s="176">
        <v>0</v>
      </c>
      <c r="N90" s="176">
        <v>0</v>
      </c>
      <c r="O90" s="176">
        <v>0</v>
      </c>
      <c r="P90" s="176">
        <v>0</v>
      </c>
      <c r="Q90" s="176">
        <v>0</v>
      </c>
      <c r="R90" s="176">
        <v>0</v>
      </c>
      <c r="S90" s="176">
        <v>0</v>
      </c>
      <c r="T90" s="176">
        <v>0</v>
      </c>
      <c r="U90" s="176">
        <v>0</v>
      </c>
      <c r="V90" s="176">
        <v>0</v>
      </c>
      <c r="W90" s="176">
        <v>0</v>
      </c>
      <c r="X90" s="176">
        <v>0</v>
      </c>
      <c r="Y90" s="176">
        <v>0</v>
      </c>
      <c r="Z90" s="176">
        <v>0</v>
      </c>
      <c r="AA90" s="176">
        <v>0</v>
      </c>
      <c r="AB90" s="176">
        <f t="shared" si="12"/>
        <v>0</v>
      </c>
      <c r="AC90" s="176">
        <v>0</v>
      </c>
      <c r="AD90" s="176">
        <v>0</v>
      </c>
      <c r="AE90" s="176">
        <v>0</v>
      </c>
    </row>
    <row r="91" spans="2:31">
      <c r="C91" s="3" t="s">
        <v>862</v>
      </c>
      <c r="E91" s="3" t="s">
        <v>29</v>
      </c>
      <c r="H91" s="1177"/>
      <c r="I91" s="1178"/>
      <c r="J91" s="1177"/>
      <c r="L91" s="176">
        <v>0</v>
      </c>
      <c r="M91" s="176">
        <v>0</v>
      </c>
      <c r="N91" s="176">
        <v>0</v>
      </c>
      <c r="O91" s="176">
        <v>0</v>
      </c>
      <c r="P91" s="176">
        <v>0</v>
      </c>
      <c r="Q91" s="176">
        <v>0</v>
      </c>
      <c r="R91" s="176">
        <v>0</v>
      </c>
      <c r="S91" s="176">
        <v>0</v>
      </c>
      <c r="T91" s="176">
        <v>0</v>
      </c>
      <c r="U91" s="176">
        <v>0</v>
      </c>
      <c r="V91" s="176">
        <v>0</v>
      </c>
      <c r="W91" s="176">
        <v>0</v>
      </c>
      <c r="X91" s="176">
        <v>0</v>
      </c>
      <c r="Y91" s="176">
        <v>0</v>
      </c>
      <c r="Z91" s="176">
        <v>0</v>
      </c>
      <c r="AA91" s="176">
        <v>0</v>
      </c>
      <c r="AB91" s="176">
        <f t="shared" si="12"/>
        <v>0</v>
      </c>
      <c r="AC91" s="176">
        <v>0</v>
      </c>
      <c r="AD91" s="176">
        <v>0</v>
      </c>
      <c r="AE91" s="176">
        <v>0</v>
      </c>
    </row>
    <row r="92" spans="2:31">
      <c r="C92" s="3" t="s">
        <v>862</v>
      </c>
      <c r="E92" s="3" t="s">
        <v>29</v>
      </c>
      <c r="H92" s="1177"/>
      <c r="I92" s="1178"/>
      <c r="J92" s="1177"/>
      <c r="L92" s="176">
        <v>0</v>
      </c>
      <c r="M92" s="176">
        <v>0</v>
      </c>
      <c r="N92" s="176">
        <v>0</v>
      </c>
      <c r="O92" s="176">
        <v>0</v>
      </c>
      <c r="P92" s="176">
        <v>0</v>
      </c>
      <c r="Q92" s="176">
        <v>0</v>
      </c>
      <c r="R92" s="176">
        <v>0</v>
      </c>
      <c r="S92" s="176">
        <v>0</v>
      </c>
      <c r="T92" s="176">
        <v>0</v>
      </c>
      <c r="U92" s="176">
        <v>0</v>
      </c>
      <c r="V92" s="176">
        <v>0</v>
      </c>
      <c r="W92" s="176">
        <v>0</v>
      </c>
      <c r="X92" s="176">
        <v>0</v>
      </c>
      <c r="Y92" s="176">
        <v>0</v>
      </c>
      <c r="Z92" s="176">
        <v>0</v>
      </c>
      <c r="AA92" s="176">
        <v>0</v>
      </c>
      <c r="AB92" s="176">
        <f t="shared" si="12"/>
        <v>0</v>
      </c>
      <c r="AC92" s="176">
        <v>0</v>
      </c>
      <c r="AD92" s="176">
        <v>0</v>
      </c>
      <c r="AE92" s="176">
        <v>0</v>
      </c>
    </row>
    <row r="93" spans="2:31" ht="10.9" customHeight="1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</row>
    <row r="94" spans="2:31">
      <c r="C94" s="17" t="s">
        <v>850</v>
      </c>
      <c r="D94" s="17"/>
      <c r="E94" s="17" t="s">
        <v>29</v>
      </c>
      <c r="F94" s="17"/>
      <c r="G94" s="17"/>
      <c r="H94" s="17"/>
      <c r="I94" s="17"/>
      <c r="J94" s="17"/>
      <c r="K94" s="156"/>
      <c r="L94" s="26">
        <f t="shared" ref="L94:AE94" si="13">SUM(L74:L92)*(L$71="")+L$71</f>
        <v>0</v>
      </c>
      <c r="M94" s="26">
        <f t="shared" si="13"/>
        <v>0</v>
      </c>
      <c r="N94" s="26">
        <f t="shared" si="13"/>
        <v>0</v>
      </c>
      <c r="O94" s="26">
        <f t="shared" si="13"/>
        <v>0</v>
      </c>
      <c r="P94" s="26">
        <f t="shared" si="13"/>
        <v>0</v>
      </c>
      <c r="Q94" s="27">
        <f t="shared" si="13"/>
        <v>11376.32857</v>
      </c>
      <c r="R94" s="27">
        <f t="shared" si="13"/>
        <v>13128.120800000001</v>
      </c>
      <c r="S94" s="27">
        <f t="shared" si="13"/>
        <v>12676.381450620036</v>
      </c>
      <c r="T94" s="27">
        <f t="shared" si="13"/>
        <v>12813.742559564789</v>
      </c>
      <c r="U94" s="27">
        <f t="shared" si="13"/>
        <v>13203.422383943038</v>
      </c>
      <c r="V94" s="26">
        <f t="shared" si="13"/>
        <v>0</v>
      </c>
      <c r="W94" s="26">
        <f t="shared" si="13"/>
        <v>0</v>
      </c>
      <c r="X94" s="26">
        <f t="shared" si="13"/>
        <v>0</v>
      </c>
      <c r="Y94" s="26">
        <f t="shared" si="13"/>
        <v>0</v>
      </c>
      <c r="Z94" s="26">
        <f t="shared" si="13"/>
        <v>0</v>
      </c>
      <c r="AA94" s="26">
        <f t="shared" si="13"/>
        <v>0</v>
      </c>
      <c r="AB94" s="26">
        <f t="shared" si="13"/>
        <v>0</v>
      </c>
      <c r="AC94" s="26">
        <f t="shared" si="13"/>
        <v>0</v>
      </c>
      <c r="AD94" s="26">
        <f t="shared" si="13"/>
        <v>0</v>
      </c>
      <c r="AE94" s="26">
        <f t="shared" si="13"/>
        <v>0</v>
      </c>
    </row>
    <row r="95" spans="2:31"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2:31">
      <c r="B96" s="152" t="s">
        <v>150</v>
      </c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</row>
    <row r="98" spans="2:31" ht="13.5" thickBot="1">
      <c r="C98" s="6" t="s">
        <v>797</v>
      </c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</row>
    <row r="99" spans="2:31">
      <c r="C99" s="3" t="s">
        <v>853</v>
      </c>
      <c r="E99" s="3" t="s">
        <v>29</v>
      </c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38"/>
      <c r="X99" s="38"/>
      <c r="Y99" s="38"/>
      <c r="Z99" s="38"/>
      <c r="AA99" s="38"/>
      <c r="AB99" s="38"/>
      <c r="AC99" s="38"/>
      <c r="AD99" s="38"/>
      <c r="AE99" s="38"/>
    </row>
    <row r="100" spans="2:31">
      <c r="J100" s="148"/>
      <c r="K100" s="148"/>
    </row>
    <row r="101" spans="2:31" ht="13.5" thickBot="1">
      <c r="C101" s="6" t="s">
        <v>815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</row>
    <row r="102" spans="2:31">
      <c r="C102" s="3" t="s">
        <v>853</v>
      </c>
      <c r="E102" s="3" t="s">
        <v>29</v>
      </c>
      <c r="L102" s="27">
        <f t="shared" ref="L102:AE102" si="14">((SUMPRODUCT(L74:L92,$H$74:$H$92)*(L99="")+L99))</f>
        <v>0</v>
      </c>
      <c r="M102" s="27">
        <f t="shared" si="14"/>
        <v>0</v>
      </c>
      <c r="N102" s="27">
        <f t="shared" si="14"/>
        <v>0</v>
      </c>
      <c r="O102" s="27">
        <f t="shared" si="14"/>
        <v>0</v>
      </c>
      <c r="P102" s="27">
        <f t="shared" si="14"/>
        <v>0</v>
      </c>
      <c r="Q102" s="27">
        <f t="shared" si="14"/>
        <v>11124.363356516855</v>
      </c>
      <c r="R102" s="27">
        <f t="shared" si="14"/>
        <v>12523.937249438202</v>
      </c>
      <c r="S102" s="27">
        <f t="shared" si="14"/>
        <v>12186.403531351712</v>
      </c>
      <c r="T102" s="27">
        <f t="shared" si="14"/>
        <v>12323.18133001923</v>
      </c>
      <c r="U102" s="27">
        <f t="shared" si="14"/>
        <v>12660.94893209323</v>
      </c>
      <c r="V102" s="27">
        <f t="shared" si="14"/>
        <v>0</v>
      </c>
      <c r="W102" s="27">
        <f t="shared" si="14"/>
        <v>0</v>
      </c>
      <c r="X102" s="27">
        <f t="shared" si="14"/>
        <v>0</v>
      </c>
      <c r="Y102" s="27">
        <f t="shared" si="14"/>
        <v>0</v>
      </c>
      <c r="Z102" s="27">
        <f t="shared" si="14"/>
        <v>0</v>
      </c>
      <c r="AA102" s="27">
        <f t="shared" si="14"/>
        <v>0</v>
      </c>
      <c r="AB102" s="27">
        <f t="shared" si="14"/>
        <v>0</v>
      </c>
      <c r="AC102" s="27">
        <f t="shared" si="14"/>
        <v>0</v>
      </c>
      <c r="AD102" s="27">
        <f t="shared" si="14"/>
        <v>0</v>
      </c>
      <c r="AE102" s="27">
        <f t="shared" si="14"/>
        <v>0</v>
      </c>
    </row>
    <row r="103" spans="2:31">
      <c r="C103" s="17"/>
      <c r="D103" s="17"/>
      <c r="E103" s="17"/>
      <c r="F103" s="17"/>
      <c r="G103" s="17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2:31">
      <c r="B104" s="152" t="s">
        <v>24</v>
      </c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6" spans="2:31" ht="13.5" thickBot="1">
      <c r="C106" s="6" t="s">
        <v>797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</row>
    <row r="107" spans="2:31">
      <c r="C107" s="3" t="s">
        <v>853</v>
      </c>
      <c r="E107" s="3" t="s">
        <v>29</v>
      </c>
      <c r="L107" s="149"/>
      <c r="M107" s="149"/>
      <c r="N107" s="149"/>
      <c r="O107" s="149"/>
      <c r="P107" s="149"/>
      <c r="Q107" s="149"/>
      <c r="R107" s="149"/>
      <c r="S107" s="149"/>
      <c r="T107" s="149"/>
      <c r="U107" s="149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9" spans="2:31" ht="13.5" thickBot="1">
      <c r="C109" s="6" t="s">
        <v>815</v>
      </c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</row>
    <row r="110" spans="2:31">
      <c r="C110" s="3" t="s">
        <v>853</v>
      </c>
      <c r="E110" s="3" t="s">
        <v>29</v>
      </c>
      <c r="L110" s="27">
        <f t="shared" ref="L110:AE110" si="15">((SUMPRODUCT(L74:L92,$J$74:$J$92)*(L107="")+L107))</f>
        <v>0</v>
      </c>
      <c r="M110" s="27">
        <f t="shared" si="15"/>
        <v>0</v>
      </c>
      <c r="N110" s="27">
        <f t="shared" si="15"/>
        <v>0</v>
      </c>
      <c r="O110" s="27">
        <f t="shared" si="15"/>
        <v>0</v>
      </c>
      <c r="P110" s="27">
        <f t="shared" si="15"/>
        <v>0</v>
      </c>
      <c r="Q110" s="27">
        <f t="shared" si="15"/>
        <v>136.48115730337082</v>
      </c>
      <c r="R110" s="27">
        <f t="shared" si="15"/>
        <v>327.26608988764053</v>
      </c>
      <c r="S110" s="27">
        <f t="shared" si="15"/>
        <v>265.40470627034233</v>
      </c>
      <c r="T110" s="27">
        <f t="shared" si="15"/>
        <v>265.72066600384568</v>
      </c>
      <c r="U110" s="27">
        <f t="shared" si="15"/>
        <v>293.83978641864587</v>
      </c>
      <c r="V110" s="27">
        <f t="shared" si="15"/>
        <v>0</v>
      </c>
      <c r="W110" s="27">
        <f t="shared" si="15"/>
        <v>0</v>
      </c>
      <c r="X110" s="27">
        <f t="shared" si="15"/>
        <v>0</v>
      </c>
      <c r="Y110" s="27">
        <f t="shared" si="15"/>
        <v>0</v>
      </c>
      <c r="Z110" s="27">
        <f t="shared" si="15"/>
        <v>0</v>
      </c>
      <c r="AA110" s="27">
        <f t="shared" si="15"/>
        <v>0</v>
      </c>
      <c r="AB110" s="27">
        <f t="shared" si="15"/>
        <v>0</v>
      </c>
      <c r="AC110" s="27">
        <f t="shared" si="15"/>
        <v>0</v>
      </c>
      <c r="AD110" s="27">
        <f t="shared" si="15"/>
        <v>0</v>
      </c>
      <c r="AE110" s="27">
        <f t="shared" si="15"/>
        <v>0</v>
      </c>
    </row>
    <row r="111" spans="2:31">
      <c r="H111" s="148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2:31">
      <c r="B112" s="5" t="s">
        <v>60</v>
      </c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4" spans="12:18">
      <c r="Q114" s="148"/>
      <c r="R114" s="148"/>
    </row>
    <row r="115" spans="12:18">
      <c r="Q115" s="148"/>
      <c r="R115" s="148"/>
    </row>
    <row r="116" spans="12:18">
      <c r="L116" s="148"/>
      <c r="M116" s="148"/>
      <c r="N116" s="148"/>
      <c r="O116" s="148"/>
      <c r="P116" s="148"/>
      <c r="Q116" s="148"/>
      <c r="R116" s="148"/>
    </row>
    <row r="118" spans="12:18">
      <c r="L118" s="148"/>
      <c r="M118" s="148"/>
      <c r="N118" s="148"/>
      <c r="O118" s="148"/>
      <c r="P118" s="148"/>
    </row>
    <row r="124" spans="12:18">
      <c r="L124" s="193"/>
      <c r="M124" s="193"/>
      <c r="N124" s="193"/>
      <c r="O124" s="193"/>
      <c r="P124" s="193"/>
    </row>
    <row r="125" spans="12:18">
      <c r="L125" s="193"/>
      <c r="M125" s="193"/>
      <c r="N125" s="193"/>
      <c r="O125" s="193"/>
      <c r="P125" s="193"/>
    </row>
  </sheetData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1666A-C013-4F75-B27D-0F5C7F17170F}">
  <sheetPr>
    <tabColor theme="7"/>
    <pageSetUpPr fitToPage="1"/>
  </sheetPr>
  <dimension ref="A1:T120"/>
  <sheetViews>
    <sheetView showGridLines="0" zoomScaleNormal="100" workbookViewId="0">
      <selection activeCell="J38" sqref="J38"/>
    </sheetView>
  </sheetViews>
  <sheetFormatPr defaultColWidth="12.54296875" defaultRowHeight="12"/>
  <cols>
    <col min="1" max="1" width="30.81640625" style="40" customWidth="1"/>
    <col min="2" max="2" width="0.453125" style="40" customWidth="1"/>
    <col min="3" max="6" width="8.1796875" style="40" customWidth="1"/>
    <col min="7" max="7" width="8.1796875" style="262" customWidth="1"/>
    <col min="8" max="9" width="9" style="250" customWidth="1"/>
    <col min="10" max="13" width="9" style="41" customWidth="1"/>
    <col min="14" max="14" width="0.7265625" style="41" customWidth="1"/>
    <col min="15" max="16384" width="12.54296875" style="120"/>
  </cols>
  <sheetData>
    <row r="1" spans="1:20" ht="12" customHeight="1">
      <c r="A1" s="121" t="s">
        <v>863</v>
      </c>
      <c r="B1" s="121"/>
      <c r="C1" s="121"/>
      <c r="D1" s="121"/>
      <c r="E1" s="121"/>
      <c r="F1" s="121"/>
      <c r="G1" s="121"/>
      <c r="I1" s="251"/>
      <c r="J1" s="121"/>
      <c r="K1" s="121"/>
      <c r="L1" s="121"/>
      <c r="M1" s="121"/>
      <c r="N1" s="121"/>
    </row>
    <row r="2" spans="1:20" ht="12" customHeight="1">
      <c r="A2" s="1213" t="s">
        <v>864</v>
      </c>
      <c r="B2" s="43"/>
      <c r="C2" s="43"/>
      <c r="D2" s="43"/>
      <c r="E2" s="43"/>
      <c r="F2" s="43"/>
      <c r="G2" s="86"/>
    </row>
    <row r="3" spans="1:20" ht="12" customHeight="1">
      <c r="A3" s="476" t="s">
        <v>164</v>
      </c>
      <c r="B3" s="252"/>
      <c r="C3" s="252"/>
      <c r="D3" s="252"/>
      <c r="E3" s="252"/>
      <c r="F3" s="252"/>
      <c r="G3" s="253"/>
      <c r="H3" s="85"/>
      <c r="I3" s="85"/>
      <c r="J3" s="44"/>
      <c r="K3" s="44"/>
      <c r="L3" s="44"/>
      <c r="M3" s="44"/>
      <c r="N3" s="44"/>
    </row>
    <row r="4" spans="1:20" ht="12" customHeight="1">
      <c r="A4" s="398" t="s">
        <v>865</v>
      </c>
      <c r="B4" s="252"/>
      <c r="C4" s="252"/>
      <c r="D4" s="252"/>
      <c r="E4" s="252"/>
      <c r="F4" s="252"/>
      <c r="G4" s="253"/>
      <c r="H4" s="85"/>
      <c r="I4" s="85"/>
      <c r="J4" s="44"/>
      <c r="K4" s="44"/>
      <c r="L4" s="44"/>
      <c r="M4" s="44"/>
      <c r="N4" s="44"/>
    </row>
    <row r="5" spans="1:20" ht="12" customHeight="1">
      <c r="A5" s="399" t="s">
        <v>105</v>
      </c>
      <c r="B5" s="252"/>
      <c r="C5" s="252"/>
      <c r="D5" s="252"/>
      <c r="E5" s="252"/>
      <c r="F5" s="252"/>
      <c r="G5" s="253"/>
      <c r="H5" s="85"/>
      <c r="I5" s="85"/>
      <c r="J5" s="44"/>
      <c r="K5" s="44"/>
      <c r="L5" s="44"/>
      <c r="M5" s="44"/>
      <c r="N5" s="44"/>
    </row>
    <row r="6" spans="1:20" ht="12" customHeight="1">
      <c r="A6" s="43"/>
      <c r="B6" s="43"/>
      <c r="C6" s="43"/>
      <c r="D6" s="43"/>
      <c r="E6" s="43"/>
      <c r="F6" s="43"/>
      <c r="G6" s="86"/>
      <c r="N6" s="44"/>
    </row>
    <row r="7" spans="1:20" s="254" customFormat="1" ht="12" customHeight="1">
      <c r="C7" s="1673" t="s">
        <v>866</v>
      </c>
      <c r="D7" s="1674"/>
      <c r="E7" s="1674"/>
      <c r="F7" s="1674"/>
      <c r="G7" s="1675"/>
      <c r="H7" s="1671" t="s">
        <v>867</v>
      </c>
      <c r="I7" s="1672"/>
      <c r="J7" s="1672"/>
      <c r="K7" s="1672"/>
      <c r="L7" s="1672"/>
      <c r="M7" s="1672"/>
      <c r="N7" s="44"/>
      <c r="O7" s="1676" t="s">
        <v>868</v>
      </c>
      <c r="P7" s="1677"/>
      <c r="Q7" s="1677"/>
      <c r="R7" s="1677"/>
      <c r="S7" s="1677"/>
      <c r="T7" s="1677"/>
    </row>
    <row r="8" spans="1:20" ht="12" customHeight="1">
      <c r="A8" s="120"/>
      <c r="B8" s="120"/>
      <c r="C8" s="120"/>
      <c r="D8" s="120"/>
      <c r="E8" s="120"/>
      <c r="F8" s="120"/>
      <c r="G8" s="255"/>
      <c r="H8" s="256"/>
      <c r="I8" s="256"/>
      <c r="J8" s="257"/>
      <c r="K8" s="257"/>
      <c r="L8" s="257"/>
      <c r="M8" s="257"/>
      <c r="N8" s="44"/>
    </row>
    <row r="9" spans="1:20" s="261" customFormat="1" ht="12" customHeight="1">
      <c r="A9" s="1547" t="s">
        <v>869</v>
      </c>
      <c r="B9" s="43"/>
      <c r="C9" s="117">
        <v>2015</v>
      </c>
      <c r="D9" s="117">
        <v>2016</v>
      </c>
      <c r="E9" s="117">
        <v>2017</v>
      </c>
      <c r="F9" s="117">
        <v>2018</v>
      </c>
      <c r="G9" s="116">
        <v>2019</v>
      </c>
      <c r="H9" s="258">
        <v>2020</v>
      </c>
      <c r="I9" s="258">
        <v>2021</v>
      </c>
      <c r="J9" s="117" t="s">
        <v>16</v>
      </c>
      <c r="K9" s="117">
        <v>2022</v>
      </c>
      <c r="L9" s="117">
        <v>2023</v>
      </c>
      <c r="M9" s="116">
        <v>2024</v>
      </c>
      <c r="N9" s="44"/>
      <c r="O9" s="259">
        <v>2020</v>
      </c>
      <c r="P9" s="260">
        <v>2021</v>
      </c>
      <c r="Q9" s="117" t="s">
        <v>870</v>
      </c>
      <c r="R9" s="117">
        <v>2022</v>
      </c>
      <c r="S9" s="117">
        <v>2023</v>
      </c>
      <c r="T9" s="116">
        <v>2024</v>
      </c>
    </row>
    <row r="10" spans="1:20" ht="12" customHeight="1">
      <c r="A10" s="43"/>
      <c r="B10" s="43"/>
      <c r="C10" s="43"/>
      <c r="D10" s="43"/>
      <c r="E10" s="43"/>
      <c r="F10" s="43"/>
      <c r="G10" s="86"/>
      <c r="H10" s="262"/>
      <c r="I10" s="262"/>
      <c r="J10" s="40"/>
      <c r="K10" s="40"/>
      <c r="N10" s="44"/>
      <c r="O10" s="262"/>
      <c r="P10" s="40"/>
      <c r="Q10" s="40"/>
      <c r="R10" s="40"/>
      <c r="S10" s="40"/>
      <c r="T10" s="40"/>
    </row>
    <row r="11" spans="1:20" ht="15.65" customHeight="1">
      <c r="A11" s="62" t="s">
        <v>871</v>
      </c>
      <c r="B11" s="62"/>
      <c r="C11" s="62"/>
      <c r="D11" s="62"/>
      <c r="E11" s="62"/>
      <c r="F11" s="62"/>
      <c r="G11" s="62"/>
      <c r="H11" s="263"/>
      <c r="I11" s="263"/>
      <c r="J11" s="61"/>
      <c r="K11" s="61"/>
      <c r="L11" s="61"/>
      <c r="M11" s="75"/>
      <c r="N11" s="44"/>
      <c r="O11" s="263"/>
      <c r="P11" s="61"/>
      <c r="Q11" s="61"/>
      <c r="R11" s="1214"/>
      <c r="S11" s="1214"/>
      <c r="T11" s="1214"/>
    </row>
    <row r="12" spans="1:20" ht="12" customHeight="1">
      <c r="A12" s="1215" t="s">
        <v>872</v>
      </c>
      <c r="B12" s="1215"/>
      <c r="C12" s="1216">
        <v>1456</v>
      </c>
      <c r="D12" s="1216">
        <v>1407</v>
      </c>
      <c r="E12" s="1216">
        <v>1720</v>
      </c>
      <c r="F12" s="1216">
        <v>1623</v>
      </c>
      <c r="G12" s="1217">
        <v>1742</v>
      </c>
      <c r="H12" s="1220">
        <f>'Supervision Opex'!Q56</f>
        <v>1356.4974157303373</v>
      </c>
      <c r="I12" s="1319">
        <f>'Supervision Opex'!R56</f>
        <v>2191.8576966292139</v>
      </c>
      <c r="J12" s="1216">
        <f t="shared" ref="J12:J14" si="0">H12+I12</f>
        <v>3548.3551123595512</v>
      </c>
      <c r="K12" s="1219">
        <f>'Supervision Opex'!S56</f>
        <v>2457.7634259536489</v>
      </c>
      <c r="L12" s="1219">
        <f>'Supervision Opex'!T56</f>
        <v>2799.3322683180622</v>
      </c>
      <c r="M12" s="1283">
        <f>'Supervision Opex'!U56</f>
        <v>2785.2050394753246</v>
      </c>
      <c r="N12" s="44"/>
      <c r="O12" s="1220">
        <f>H12</f>
        <v>1356.4974157303373</v>
      </c>
      <c r="P12" s="1221"/>
      <c r="Q12" s="1221"/>
      <c r="R12" s="1222"/>
      <c r="S12" s="1221"/>
      <c r="T12" s="1223"/>
    </row>
    <row r="13" spans="1:20" ht="12" customHeight="1">
      <c r="A13" s="74" t="s">
        <v>873</v>
      </c>
      <c r="B13" s="74"/>
      <c r="C13" s="125"/>
      <c r="D13" s="125"/>
      <c r="E13" s="125"/>
      <c r="F13" s="137"/>
      <c r="G13" s="264"/>
      <c r="H13" s="979">
        <f>'Supervision Opex'!Q57</f>
        <v>226.08314606741578</v>
      </c>
      <c r="I13" s="265">
        <f>'Supervision Opex'!R57</f>
        <v>365.30949438202254</v>
      </c>
      <c r="J13" s="114">
        <f t="shared" si="0"/>
        <v>591.39264044943832</v>
      </c>
      <c r="K13" s="266">
        <f>'Supervision Opex'!S57</f>
        <v>425.51583626910235</v>
      </c>
      <c r="L13" s="266">
        <f>'Supervision Opex'!T57</f>
        <v>484.03713005052549</v>
      </c>
      <c r="M13" s="267">
        <f>'Supervision Opex'!U57</f>
        <v>481.10455146080352</v>
      </c>
      <c r="N13" s="44"/>
      <c r="O13" s="979">
        <f t="shared" ref="O13:O19" si="1">H13</f>
        <v>226.08314606741578</v>
      </c>
      <c r="P13" s="134"/>
      <c r="Q13" s="134"/>
      <c r="R13" s="135"/>
      <c r="S13" s="134"/>
      <c r="T13" s="133"/>
    </row>
    <row r="14" spans="1:20" ht="12" customHeight="1">
      <c r="A14" s="74" t="s">
        <v>874</v>
      </c>
      <c r="B14" s="74"/>
      <c r="C14" s="114">
        <v>9214</v>
      </c>
      <c r="D14" s="114">
        <v>9614</v>
      </c>
      <c r="E14" s="114">
        <v>9977</v>
      </c>
      <c r="F14" s="114">
        <v>10868</v>
      </c>
      <c r="G14" s="269">
        <v>10751</v>
      </c>
      <c r="H14" s="979">
        <f>'Supervision Opex'!Q102</f>
        <v>11124.363356516855</v>
      </c>
      <c r="I14" s="265">
        <f>'Supervision Opex'!R102</f>
        <v>12523.937249438202</v>
      </c>
      <c r="J14" s="114">
        <f t="shared" si="0"/>
        <v>23648.300605955057</v>
      </c>
      <c r="K14" s="266">
        <f>'Supervision Opex'!S102</f>
        <v>12186.403531351712</v>
      </c>
      <c r="L14" s="266">
        <f>'Supervision Opex'!T102</f>
        <v>12323.18133001923</v>
      </c>
      <c r="M14" s="267">
        <f>'Supervision Opex'!U102</f>
        <v>12660.94893209323</v>
      </c>
      <c r="N14" s="44"/>
      <c r="O14" s="979">
        <f t="shared" si="1"/>
        <v>11124.363356516855</v>
      </c>
      <c r="P14" s="142"/>
      <c r="Q14" s="142"/>
      <c r="R14" s="143"/>
      <c r="S14" s="142"/>
      <c r="T14" s="141"/>
    </row>
    <row r="15" spans="1:20" ht="12" customHeight="1">
      <c r="A15" s="74" t="s">
        <v>875</v>
      </c>
      <c r="B15" s="74"/>
      <c r="C15" s="114"/>
      <c r="D15" s="114"/>
      <c r="E15" s="114"/>
      <c r="F15" s="114">
        <v>91</v>
      </c>
      <c r="G15" s="269">
        <v>86</v>
      </c>
      <c r="H15" s="979">
        <f>'Supervision Capex '!W63</f>
        <v>14.110842696629216</v>
      </c>
      <c r="I15" s="265">
        <f>'Supervision Capex '!X63</f>
        <v>15.905428577329795</v>
      </c>
      <c r="J15" s="114">
        <f>H15+I15</f>
        <v>30.016271273959013</v>
      </c>
      <c r="K15" s="266">
        <f>'Supervision Capex '!Y63</f>
        <v>208.42799900859222</v>
      </c>
      <c r="L15" s="266">
        <f>'Supervision Capex '!Z63</f>
        <v>208.42799900859222</v>
      </c>
      <c r="M15" s="267">
        <f>'Supervision Capex '!AA63</f>
        <v>208.42799900859222</v>
      </c>
      <c r="N15" s="44"/>
      <c r="O15" s="979">
        <f t="shared" si="1"/>
        <v>14.110842696629216</v>
      </c>
      <c r="P15" s="142"/>
      <c r="Q15" s="142"/>
      <c r="R15" s="143"/>
      <c r="S15" s="142"/>
      <c r="T15" s="141"/>
    </row>
    <row r="16" spans="1:20" ht="12" customHeight="1">
      <c r="A16" s="74" t="s">
        <v>876</v>
      </c>
      <c r="B16" s="74"/>
      <c r="C16" s="114"/>
      <c r="D16" s="114"/>
      <c r="E16" s="114"/>
      <c r="F16" s="114"/>
      <c r="G16" s="269"/>
      <c r="H16" s="979"/>
      <c r="I16" s="265"/>
      <c r="J16" s="114"/>
      <c r="K16" s="266"/>
      <c r="L16" s="266"/>
      <c r="M16" s="267"/>
      <c r="N16" s="44"/>
      <c r="O16" s="979"/>
      <c r="P16" s="142"/>
      <c r="Q16" s="142"/>
      <c r="R16" s="143"/>
      <c r="S16" s="114"/>
      <c r="T16" s="113"/>
    </row>
    <row r="17" spans="1:20" ht="12" customHeight="1">
      <c r="A17" s="74" t="s">
        <v>877</v>
      </c>
      <c r="B17" s="74"/>
      <c r="C17" s="114"/>
      <c r="D17" s="114"/>
      <c r="E17" s="114"/>
      <c r="F17" s="114"/>
      <c r="G17" s="113"/>
      <c r="H17" s="979"/>
      <c r="I17" s="265"/>
      <c r="J17" s="114"/>
      <c r="K17" s="266"/>
      <c r="L17" s="266"/>
      <c r="M17" s="267"/>
      <c r="N17" s="44"/>
      <c r="O17" s="979"/>
      <c r="P17" s="142"/>
      <c r="Q17" s="142"/>
      <c r="R17" s="143"/>
      <c r="S17" s="142"/>
      <c r="T17" s="141"/>
    </row>
    <row r="18" spans="1:20" ht="12" customHeight="1">
      <c r="A18" s="111" t="s">
        <v>878</v>
      </c>
      <c r="B18" s="73"/>
      <c r="C18" s="81">
        <f>SUM(C12:C17)</f>
        <v>10670</v>
      </c>
      <c r="D18" s="81">
        <f>SUM(D12:D17)</f>
        <v>11021</v>
      </c>
      <c r="E18" s="81">
        <f>SUM(E12:E17)</f>
        <v>11697</v>
      </c>
      <c r="F18" s="81">
        <f>F12+SUM(F14:F17)</f>
        <v>12582</v>
      </c>
      <c r="G18" s="270">
        <f t="shared" ref="G18:M18" si="2">G12+SUM(G14:G17)</f>
        <v>12579</v>
      </c>
      <c r="H18" s="920">
        <f t="shared" si="2"/>
        <v>12494.971614943821</v>
      </c>
      <c r="I18" s="271">
        <f t="shared" si="2"/>
        <v>14731.700374644744</v>
      </c>
      <c r="J18" s="81">
        <f>J12+SUM(J14:J17)</f>
        <v>27226.671989588565</v>
      </c>
      <c r="K18" s="272">
        <f t="shared" si="2"/>
        <v>14852.594956313955</v>
      </c>
      <c r="L18" s="272">
        <f t="shared" si="2"/>
        <v>15330.941597345885</v>
      </c>
      <c r="M18" s="270">
        <f t="shared" si="2"/>
        <v>15654.581970577146</v>
      </c>
      <c r="N18" s="44"/>
      <c r="O18" s="920">
        <f t="shared" si="1"/>
        <v>12494.971614943821</v>
      </c>
      <c r="P18" s="81"/>
      <c r="Q18" s="81"/>
      <c r="R18" s="81"/>
      <c r="S18" s="81"/>
      <c r="T18" s="80"/>
    </row>
    <row r="19" spans="1:20" ht="12" customHeight="1">
      <c r="A19" s="109" t="s">
        <v>879</v>
      </c>
      <c r="B19" s="68"/>
      <c r="C19" s="71"/>
      <c r="D19" s="71">
        <f t="shared" ref="D19:I19" si="3">+D18/C18-1</f>
        <v>3.2895970009372055E-2</v>
      </c>
      <c r="E19" s="71">
        <f t="shared" si="3"/>
        <v>6.1337446692677711E-2</v>
      </c>
      <c r="F19" s="71">
        <f t="shared" si="3"/>
        <v>7.5660425750192273E-2</v>
      </c>
      <c r="G19" s="273">
        <f t="shared" si="3"/>
        <v>-2.384358607534498E-4</v>
      </c>
      <c r="H19" s="921">
        <f t="shared" si="3"/>
        <v>-6.6800528703536699E-3</v>
      </c>
      <c r="I19" s="274">
        <f t="shared" si="3"/>
        <v>0.17901031139805279</v>
      </c>
      <c r="J19" s="275"/>
      <c r="K19" s="276">
        <f>+K18/I18-1</f>
        <v>8.2064241462096454E-3</v>
      </c>
      <c r="L19" s="276">
        <f>+L18/K18-1</f>
        <v>3.2206267149874845E-2</v>
      </c>
      <c r="M19" s="273">
        <f>+M18/L18-1</f>
        <v>2.1110273702124704E-2</v>
      </c>
      <c r="N19" s="44"/>
      <c r="O19" s="921">
        <f t="shared" si="1"/>
        <v>-6.6800528703536699E-3</v>
      </c>
      <c r="P19" s="71"/>
      <c r="Q19" s="71"/>
      <c r="R19" s="71"/>
      <c r="S19" s="71"/>
      <c r="T19" s="70"/>
    </row>
    <row r="20" spans="1:20" ht="12" customHeight="1">
      <c r="A20" s="68"/>
      <c r="B20" s="68"/>
      <c r="C20" s="68"/>
      <c r="D20" s="68"/>
      <c r="E20" s="68"/>
      <c r="F20" s="68"/>
      <c r="G20" s="277"/>
      <c r="H20" s="922"/>
      <c r="I20" s="922"/>
      <c r="J20" s="67"/>
      <c r="K20" s="278"/>
      <c r="L20" s="278"/>
      <c r="M20" s="278"/>
      <c r="N20" s="44"/>
      <c r="O20" s="922"/>
      <c r="P20" s="67"/>
      <c r="Q20" s="67"/>
      <c r="R20" s="67"/>
      <c r="S20" s="67"/>
      <c r="T20" s="67"/>
    </row>
    <row r="21" spans="1:20" ht="15.65" customHeight="1">
      <c r="A21" s="62" t="s">
        <v>880</v>
      </c>
      <c r="B21" s="62"/>
      <c r="C21" s="62"/>
      <c r="D21" s="62"/>
      <c r="E21" s="62"/>
      <c r="F21" s="62"/>
      <c r="G21" s="279"/>
      <c r="H21" s="923"/>
      <c r="I21" s="923"/>
      <c r="J21" s="61"/>
      <c r="K21" s="280"/>
      <c r="L21" s="280"/>
      <c r="M21" s="281"/>
      <c r="N21" s="44"/>
      <c r="O21" s="923"/>
      <c r="P21" s="61"/>
      <c r="Q21" s="61"/>
      <c r="R21" s="1214"/>
      <c r="S21" s="1214"/>
      <c r="T21" s="1214"/>
    </row>
    <row r="22" spans="1:20" ht="12" customHeight="1">
      <c r="A22" s="1224" t="s">
        <v>881</v>
      </c>
      <c r="B22" s="74"/>
      <c r="C22" s="1252"/>
      <c r="D22" s="1252"/>
      <c r="E22" s="1252"/>
      <c r="F22" s="1320"/>
      <c r="G22" s="1292"/>
      <c r="H22" s="1321"/>
      <c r="I22" s="1322"/>
      <c r="J22" s="1304"/>
      <c r="K22" s="1323"/>
      <c r="L22" s="1323"/>
      <c r="M22" s="1324"/>
      <c r="N22" s="44"/>
      <c r="O22" s="1321"/>
      <c r="P22" s="1232"/>
      <c r="Q22" s="1232"/>
      <c r="R22" s="1233"/>
      <c r="S22" s="1232"/>
      <c r="T22" s="1234"/>
    </row>
    <row r="23" spans="1:20" ht="12" customHeight="1">
      <c r="A23" s="57" t="s">
        <v>882</v>
      </c>
      <c r="B23" s="74"/>
      <c r="C23" s="125"/>
      <c r="D23" s="125"/>
      <c r="E23" s="125"/>
      <c r="F23" s="282"/>
      <c r="G23" s="127"/>
      <c r="H23" s="924"/>
      <c r="I23" s="283"/>
      <c r="J23" s="137"/>
      <c r="K23" s="284"/>
      <c r="L23" s="284"/>
      <c r="M23" s="285"/>
      <c r="N23" s="44"/>
      <c r="O23" s="924"/>
      <c r="P23" s="134"/>
      <c r="Q23" s="134"/>
      <c r="R23" s="135"/>
      <c r="S23" s="134"/>
      <c r="T23" s="133"/>
    </row>
    <row r="24" spans="1:20" ht="12" customHeight="1">
      <c r="A24" s="57" t="s">
        <v>883</v>
      </c>
      <c r="B24" s="74"/>
      <c r="C24" s="125"/>
      <c r="D24" s="125"/>
      <c r="E24" s="125"/>
      <c r="F24" s="282"/>
      <c r="G24" s="127"/>
      <c r="H24" s="924"/>
      <c r="I24" s="283"/>
      <c r="J24" s="137"/>
      <c r="K24" s="284"/>
      <c r="L24" s="284"/>
      <c r="M24" s="285"/>
      <c r="N24" s="44"/>
      <c r="O24" s="924"/>
      <c r="P24" s="134"/>
      <c r="Q24" s="134"/>
      <c r="R24" s="135"/>
      <c r="S24" s="134"/>
      <c r="T24" s="133"/>
    </row>
    <row r="25" spans="1:20" ht="12" customHeight="1">
      <c r="A25" s="57" t="s">
        <v>884</v>
      </c>
      <c r="B25" s="74"/>
      <c r="C25" s="125"/>
      <c r="D25" s="125"/>
      <c r="E25" s="125"/>
      <c r="F25" s="282"/>
      <c r="G25" s="127"/>
      <c r="H25" s="924"/>
      <c r="I25" s="283"/>
      <c r="J25" s="137"/>
      <c r="K25" s="284"/>
      <c r="L25" s="284"/>
      <c r="M25" s="285"/>
      <c r="N25" s="44"/>
      <c r="O25" s="924"/>
      <c r="P25" s="134"/>
      <c r="Q25" s="134"/>
      <c r="R25" s="135"/>
      <c r="S25" s="134"/>
      <c r="T25" s="133"/>
    </row>
    <row r="26" spans="1:20" ht="12" customHeight="1">
      <c r="A26" s="57" t="s">
        <v>885</v>
      </c>
      <c r="B26" s="74"/>
      <c r="C26" s="65"/>
      <c r="D26" s="65"/>
      <c r="E26" s="65"/>
      <c r="F26" s="287"/>
      <c r="G26" s="288"/>
      <c r="H26" s="925"/>
      <c r="I26" s="289"/>
      <c r="J26" s="65"/>
      <c r="K26" s="290"/>
      <c r="L26" s="290"/>
      <c r="M26" s="291"/>
      <c r="N26" s="44"/>
      <c r="O26" s="927"/>
      <c r="P26" s="134"/>
      <c r="Q26" s="134"/>
      <c r="R26" s="135"/>
      <c r="S26" s="134"/>
      <c r="T26" s="133"/>
    </row>
    <row r="27" spans="1:20" ht="12" customHeight="1">
      <c r="A27" s="57" t="s">
        <v>886</v>
      </c>
      <c r="B27" s="74"/>
      <c r="C27" s="125"/>
      <c r="D27" s="125"/>
      <c r="E27" s="125"/>
      <c r="F27" s="282"/>
      <c r="G27" s="127"/>
      <c r="H27" s="924"/>
      <c r="I27" s="283"/>
      <c r="J27" s="137"/>
      <c r="K27" s="284"/>
      <c r="L27" s="284"/>
      <c r="M27" s="285"/>
      <c r="N27" s="44"/>
      <c r="O27" s="924"/>
      <c r="P27" s="134"/>
      <c r="Q27" s="134"/>
      <c r="R27" s="135"/>
      <c r="S27" s="134"/>
      <c r="T27" s="133"/>
    </row>
    <row r="28" spans="1:20" ht="12" customHeight="1">
      <c r="A28" s="57" t="s">
        <v>887</v>
      </c>
      <c r="B28" s="74"/>
      <c r="C28" s="125"/>
      <c r="D28" s="125"/>
      <c r="E28" s="125"/>
      <c r="F28" s="282"/>
      <c r="G28" s="127"/>
      <c r="H28" s="924"/>
      <c r="I28" s="283"/>
      <c r="J28" s="137"/>
      <c r="K28" s="284"/>
      <c r="L28" s="284"/>
      <c r="M28" s="285"/>
      <c r="N28" s="44"/>
      <c r="O28" s="924"/>
      <c r="P28" s="134"/>
      <c r="Q28" s="134"/>
      <c r="R28" s="135"/>
      <c r="S28" s="134"/>
      <c r="T28" s="133"/>
    </row>
    <row r="29" spans="1:20" ht="12" customHeight="1">
      <c r="A29" s="57" t="s">
        <v>888</v>
      </c>
      <c r="B29" s="74"/>
      <c r="C29" s="65">
        <v>1550</v>
      </c>
      <c r="D29" s="65">
        <v>1726</v>
      </c>
      <c r="E29" s="65">
        <v>1612</v>
      </c>
      <c r="F29" s="292">
        <v>1678</v>
      </c>
      <c r="G29" s="269">
        <v>1652</v>
      </c>
      <c r="H29" s="1180">
        <f>H18-H30</f>
        <v>4800.3170449438203</v>
      </c>
      <c r="I29" s="1181">
        <f>I12+I15-I26+I14-I30</f>
        <v>6644.0935746447467</v>
      </c>
      <c r="J29" s="1182">
        <f>H29+I29</f>
        <v>11444.410619588567</v>
      </c>
      <c r="K29" s="1181">
        <f>K12+K15-K26-K30+K14</f>
        <v>6543.0619903522884</v>
      </c>
      <c r="L29" s="1181">
        <f>L12+L15-L26+L14-L30</f>
        <v>6963.49595702847</v>
      </c>
      <c r="M29" s="1181">
        <f>M12+M15-M26+M14-M30</f>
        <v>7161.9287469657211</v>
      </c>
      <c r="N29" s="44"/>
      <c r="O29" s="293">
        <f t="shared" ref="O29:O32" si="4">H29</f>
        <v>4800.3170449438203</v>
      </c>
      <c r="P29" s="134"/>
      <c r="Q29" s="134"/>
      <c r="R29" s="135"/>
      <c r="S29" s="134"/>
      <c r="T29" s="133"/>
    </row>
    <row r="30" spans="1:20" ht="12" customHeight="1">
      <c r="A30" s="57" t="s">
        <v>889</v>
      </c>
      <c r="B30" s="74"/>
      <c r="C30" s="65">
        <v>9120</v>
      </c>
      <c r="D30" s="65">
        <v>9295</v>
      </c>
      <c r="E30" s="65">
        <v>10085</v>
      </c>
      <c r="F30" s="292">
        <v>10904</v>
      </c>
      <c r="G30" s="269">
        <v>10927</v>
      </c>
      <c r="H30" s="1180">
        <f>SUMPRODUCT('Supervision Opex'!Q$82:Q$83,'Supervision Opex'!$H$82:$H$83)</f>
        <v>7694.6545700000006</v>
      </c>
      <c r="I30" s="1181">
        <f>SUMPRODUCT('Supervision Opex'!R$82:R$83,'Supervision Opex'!$H$82:$H$83)</f>
        <v>8087.6067999999996</v>
      </c>
      <c r="J30" s="1182">
        <f>H30+I30</f>
        <v>15782.26137</v>
      </c>
      <c r="K30" s="1183">
        <f>SUMPRODUCT('Supervision Opex'!S$82:S$83,'Supervision Opex'!$H$82:$H$83)</f>
        <v>8309.5329659616655</v>
      </c>
      <c r="L30" s="1183">
        <f>SUMPRODUCT('Supervision Opex'!T$82:T$83,'Supervision Opex'!$H$82:$H$83)</f>
        <v>8367.4456403174154</v>
      </c>
      <c r="M30" s="1183">
        <f>SUMPRODUCT('Supervision Opex'!U$82:U$83,'Supervision Opex'!$H$82:$H$83)</f>
        <v>8492.6532236114253</v>
      </c>
      <c r="N30" s="44"/>
      <c r="O30" s="293">
        <f t="shared" si="4"/>
        <v>7694.6545700000006</v>
      </c>
      <c r="P30" s="134"/>
      <c r="Q30" s="134"/>
      <c r="R30" s="135"/>
      <c r="S30" s="134"/>
      <c r="T30" s="133"/>
    </row>
    <row r="31" spans="1:20" s="295" customFormat="1" ht="12" customHeight="1">
      <c r="A31" s="112" t="s">
        <v>890</v>
      </c>
      <c r="B31" s="111"/>
      <c r="C31" s="81">
        <f>SUM(C22:C30)</f>
        <v>10670</v>
      </c>
      <c r="D31" s="81">
        <f>SUM(D22:D30)</f>
        <v>11021</v>
      </c>
      <c r="E31" s="81">
        <f>SUM(E22:E30)</f>
        <v>11697</v>
      </c>
      <c r="F31" s="294">
        <f>SUM(F22:F30)</f>
        <v>12582</v>
      </c>
      <c r="G31" s="270">
        <f t="shared" ref="G31:M31" si="5">SUM(G22:G30)</f>
        <v>12579</v>
      </c>
      <c r="H31" s="920">
        <f t="shared" si="5"/>
        <v>12494.971614943821</v>
      </c>
      <c r="I31" s="271">
        <f t="shared" si="5"/>
        <v>14731.700374644746</v>
      </c>
      <c r="J31" s="81">
        <f t="shared" si="5"/>
        <v>27226.671989588569</v>
      </c>
      <c r="K31" s="272">
        <f t="shared" si="5"/>
        <v>14852.594956313955</v>
      </c>
      <c r="L31" s="272">
        <f t="shared" si="5"/>
        <v>15330.941597345885</v>
      </c>
      <c r="M31" s="270">
        <f t="shared" si="5"/>
        <v>15654.581970577146</v>
      </c>
      <c r="N31" s="44"/>
      <c r="O31" s="920">
        <f t="shared" si="4"/>
        <v>12494.971614943821</v>
      </c>
      <c r="P31" s="134"/>
      <c r="Q31" s="134"/>
      <c r="R31" s="135"/>
      <c r="S31" s="134"/>
      <c r="T31" s="133"/>
    </row>
    <row r="32" spans="1:20" ht="12" customHeight="1">
      <c r="A32" s="109" t="s">
        <v>879</v>
      </c>
      <c r="B32" s="68"/>
      <c r="C32" s="71"/>
      <c r="D32" s="71">
        <f t="shared" ref="D32:I32" si="6">+D31/C31-1</f>
        <v>3.2895970009372055E-2</v>
      </c>
      <c r="E32" s="71">
        <f t="shared" si="6"/>
        <v>6.1337446692677711E-2</v>
      </c>
      <c r="F32" s="296">
        <f t="shared" si="6"/>
        <v>7.5660425750192273E-2</v>
      </c>
      <c r="G32" s="273">
        <f t="shared" si="6"/>
        <v>-2.384358607534498E-4</v>
      </c>
      <c r="H32" s="921">
        <f t="shared" si="6"/>
        <v>-6.6800528703536699E-3</v>
      </c>
      <c r="I32" s="274">
        <f t="shared" si="6"/>
        <v>0.17901031139805301</v>
      </c>
      <c r="J32" s="275"/>
      <c r="K32" s="276">
        <f>+K31/I31-1</f>
        <v>8.2064241462094234E-3</v>
      </c>
      <c r="L32" s="276">
        <f>+L31/K31-1</f>
        <v>3.2206267149874845E-2</v>
      </c>
      <c r="M32" s="273">
        <f>+M31/L31-1</f>
        <v>2.1110273702124704E-2</v>
      </c>
      <c r="N32" s="44"/>
      <c r="O32" s="921">
        <f t="shared" si="4"/>
        <v>-6.6800528703536699E-3</v>
      </c>
      <c r="P32" s="71"/>
      <c r="Q32" s="71"/>
      <c r="R32" s="71"/>
      <c r="S32" s="71"/>
      <c r="T32" s="70"/>
    </row>
    <row r="33" spans="1:20" ht="12" customHeight="1">
      <c r="A33" s="68"/>
      <c r="B33" s="69"/>
      <c r="C33" s="69"/>
      <c r="D33" s="69"/>
      <c r="E33" s="69"/>
      <c r="F33" s="69"/>
      <c r="G33" s="297"/>
      <c r="H33" s="926"/>
      <c r="I33" s="926"/>
      <c r="J33" s="69"/>
      <c r="K33" s="297"/>
      <c r="L33" s="297"/>
      <c r="M33" s="297"/>
      <c r="N33" s="44"/>
      <c r="O33" s="926"/>
      <c r="P33" s="69"/>
      <c r="Q33" s="69"/>
      <c r="R33" s="67"/>
      <c r="S33" s="67"/>
      <c r="T33" s="67"/>
    </row>
    <row r="34" spans="1:20" ht="15.65" customHeight="1">
      <c r="A34" s="62" t="s">
        <v>891</v>
      </c>
      <c r="B34" s="62"/>
      <c r="C34" s="62"/>
      <c r="D34" s="62"/>
      <c r="E34" s="62"/>
      <c r="F34" s="62"/>
      <c r="G34" s="279"/>
      <c r="H34" s="923"/>
      <c r="I34" s="923"/>
      <c r="J34" s="61"/>
      <c r="K34" s="280"/>
      <c r="L34" s="280"/>
      <c r="M34" s="281"/>
      <c r="N34" s="44"/>
      <c r="O34" s="923"/>
      <c r="P34" s="61"/>
      <c r="Q34" s="61"/>
      <c r="R34" s="61"/>
      <c r="S34" s="61"/>
      <c r="T34" s="61"/>
    </row>
    <row r="35" spans="1:20" ht="12" customHeight="1">
      <c r="A35" s="62" t="s">
        <v>892</v>
      </c>
      <c r="B35" s="62"/>
      <c r="C35" s="62"/>
      <c r="D35" s="62"/>
      <c r="E35" s="62"/>
      <c r="F35" s="62"/>
      <c r="G35" s="279"/>
      <c r="H35" s="923"/>
      <c r="I35" s="923"/>
      <c r="J35" s="61"/>
      <c r="K35" s="280"/>
      <c r="L35" s="280"/>
      <c r="M35" s="280"/>
      <c r="N35" s="44"/>
      <c r="O35" s="923"/>
      <c r="P35" s="61"/>
      <c r="Q35" s="61"/>
      <c r="R35" s="61"/>
      <c r="S35" s="61"/>
      <c r="T35" s="61"/>
    </row>
    <row r="36" spans="1:20" s="257" customFormat="1" ht="12" customHeight="1">
      <c r="A36" s="1235" t="s">
        <v>893</v>
      </c>
      <c r="B36" s="59"/>
      <c r="C36" s="1236"/>
      <c r="D36" s="1236"/>
      <c r="E36" s="1236"/>
      <c r="F36" s="1236"/>
      <c r="G36" s="1236"/>
      <c r="H36" s="1237"/>
      <c r="I36" s="1293"/>
      <c r="J36" s="1252"/>
      <c r="K36" s="1255"/>
      <c r="L36" s="1255"/>
      <c r="M36" s="1294"/>
      <c r="N36" s="44"/>
      <c r="O36" s="1231"/>
      <c r="P36" s="1232"/>
      <c r="Q36" s="1232"/>
      <c r="R36" s="1233"/>
      <c r="S36" s="1232"/>
      <c r="T36" s="1234"/>
    </row>
    <row r="37" spans="1:20" s="257" customFormat="1" ht="12" customHeight="1">
      <c r="A37" s="298" t="s">
        <v>894</v>
      </c>
      <c r="B37" s="59"/>
      <c r="C37" s="65"/>
      <c r="D37" s="65"/>
      <c r="E37" s="65"/>
      <c r="F37" s="65"/>
      <c r="G37" s="299"/>
      <c r="H37" s="980"/>
      <c r="I37" s="300"/>
      <c r="J37" s="125"/>
      <c r="K37" s="290"/>
      <c r="L37" s="290"/>
      <c r="M37" s="291"/>
      <c r="N37" s="44"/>
      <c r="O37" s="925"/>
      <c r="P37" s="134"/>
      <c r="Q37" s="134"/>
      <c r="R37" s="135"/>
      <c r="S37" s="134"/>
      <c r="T37" s="133"/>
    </row>
    <row r="38" spans="1:20" s="257" customFormat="1" ht="12" customHeight="1">
      <c r="A38" s="298" t="s">
        <v>895</v>
      </c>
      <c r="B38" s="59"/>
      <c r="C38" s="65"/>
      <c r="D38" s="65"/>
      <c r="E38" s="65"/>
      <c r="F38" s="65"/>
      <c r="G38" s="299"/>
      <c r="H38" s="980"/>
      <c r="I38" s="300"/>
      <c r="J38" s="125"/>
      <c r="K38" s="290"/>
      <c r="L38" s="290"/>
      <c r="M38" s="291"/>
      <c r="N38" s="44"/>
      <c r="O38" s="925"/>
      <c r="P38" s="134"/>
      <c r="Q38" s="134"/>
      <c r="R38" s="135"/>
      <c r="S38" s="134"/>
      <c r="T38" s="133"/>
    </row>
    <row r="39" spans="1:20" s="257" customFormat="1" ht="12" customHeight="1">
      <c r="A39" s="301" t="s">
        <v>896</v>
      </c>
      <c r="B39" s="59"/>
      <c r="C39" s="96"/>
      <c r="D39" s="96"/>
      <c r="E39" s="96"/>
      <c r="F39" s="96"/>
      <c r="G39" s="302"/>
      <c r="H39" s="928"/>
      <c r="I39" s="303"/>
      <c r="J39" s="304"/>
      <c r="K39" s="302"/>
      <c r="L39" s="302"/>
      <c r="M39" s="305"/>
      <c r="N39" s="44"/>
      <c r="O39" s="928"/>
      <c r="P39" s="96"/>
      <c r="Q39" s="96"/>
      <c r="R39" s="96"/>
      <c r="S39" s="96"/>
      <c r="T39" s="98"/>
    </row>
    <row r="40" spans="1:20" ht="12" customHeight="1">
      <c r="A40" s="62" t="s">
        <v>897</v>
      </c>
      <c r="B40" s="62"/>
      <c r="C40" s="62"/>
      <c r="D40" s="62"/>
      <c r="E40" s="62"/>
      <c r="F40" s="62"/>
      <c r="G40" s="279"/>
      <c r="H40" s="929"/>
      <c r="I40" s="929"/>
      <c r="J40" s="60"/>
      <c r="K40" s="306"/>
      <c r="L40" s="306"/>
      <c r="M40" s="306"/>
      <c r="N40" s="44"/>
      <c r="O40" s="929"/>
      <c r="P40" s="60"/>
      <c r="Q40" s="60"/>
      <c r="R40" s="1238"/>
      <c r="S40" s="1238"/>
      <c r="T40" s="1238"/>
    </row>
    <row r="41" spans="1:20" s="257" customFormat="1" ht="12" customHeight="1">
      <c r="A41" s="1239" t="s">
        <v>898</v>
      </c>
      <c r="B41" s="59"/>
      <c r="C41" s="1240"/>
      <c r="D41" s="1240"/>
      <c r="E41" s="1325"/>
      <c r="F41" s="1325"/>
      <c r="G41" s="1241"/>
      <c r="H41" s="1246"/>
      <c r="I41" s="1309"/>
      <c r="J41" s="1252"/>
      <c r="K41" s="1241"/>
      <c r="L41" s="1241"/>
      <c r="M41" s="1310"/>
      <c r="N41" s="44"/>
      <c r="O41" s="1246"/>
      <c r="P41" s="1240"/>
      <c r="Q41" s="1240"/>
      <c r="R41" s="1247"/>
      <c r="S41" s="1248"/>
      <c r="T41" s="1249"/>
    </row>
    <row r="42" spans="1:20" s="257" customFormat="1" ht="12" customHeight="1">
      <c r="A42" s="64" t="s">
        <v>899</v>
      </c>
      <c r="B42" s="59"/>
      <c r="C42" s="307"/>
      <c r="D42" s="307"/>
      <c r="E42" s="308"/>
      <c r="F42" s="308"/>
      <c r="G42" s="309"/>
      <c r="H42" s="930"/>
      <c r="I42" s="895"/>
      <c r="J42" s="125"/>
      <c r="K42" s="310"/>
      <c r="L42" s="310"/>
      <c r="M42" s="311"/>
      <c r="N42" s="44"/>
      <c r="O42" s="930"/>
      <c r="P42" s="314"/>
      <c r="Q42" s="314"/>
      <c r="R42" s="423"/>
      <c r="S42" s="312"/>
      <c r="T42" s="313"/>
    </row>
    <row r="43" spans="1:20" s="257" customFormat="1" ht="12" customHeight="1">
      <c r="A43" s="64" t="s">
        <v>900</v>
      </c>
      <c r="B43" s="59"/>
      <c r="C43" s="307"/>
      <c r="D43" s="307"/>
      <c r="E43" s="308"/>
      <c r="F43" s="308"/>
      <c r="G43" s="307"/>
      <c r="H43" s="930"/>
      <c r="I43" s="895"/>
      <c r="J43" s="125"/>
      <c r="K43" s="310"/>
      <c r="L43" s="310"/>
      <c r="M43" s="311"/>
      <c r="N43" s="44"/>
      <c r="O43" s="930"/>
      <c r="P43" s="314"/>
      <c r="Q43" s="314"/>
      <c r="R43" s="423"/>
      <c r="S43" s="312"/>
      <c r="T43" s="313"/>
    </row>
    <row r="44" spans="1:20" s="257" customFormat="1" ht="12" customHeight="1">
      <c r="A44" s="63" t="s">
        <v>901</v>
      </c>
      <c r="B44" s="59"/>
      <c r="C44" s="315"/>
      <c r="D44" s="315"/>
      <c r="E44" s="316"/>
      <c r="F44" s="316"/>
      <c r="G44" s="315"/>
      <c r="H44" s="931"/>
      <c r="I44" s="317"/>
      <c r="J44" s="304"/>
      <c r="K44" s="318"/>
      <c r="L44" s="318"/>
      <c r="M44" s="319"/>
      <c r="N44" s="44"/>
      <c r="O44" s="931"/>
      <c r="P44" s="425"/>
      <c r="Q44" s="425"/>
      <c r="R44" s="426"/>
      <c r="S44" s="320"/>
      <c r="T44" s="1250"/>
    </row>
    <row r="45" spans="1:20" s="257" customFormat="1" ht="5.5" customHeight="1">
      <c r="A45" s="61"/>
      <c r="B45" s="44"/>
      <c r="C45" s="44"/>
      <c r="D45" s="44"/>
      <c r="E45" s="44"/>
      <c r="F45" s="44"/>
      <c r="G45" s="321"/>
      <c r="H45" s="932"/>
      <c r="I45" s="932"/>
      <c r="J45" s="322"/>
      <c r="K45" s="323"/>
      <c r="L45" s="323"/>
      <c r="M45" s="323"/>
      <c r="N45" s="44"/>
      <c r="O45" s="932"/>
      <c r="P45" s="322"/>
      <c r="Q45" s="322"/>
      <c r="R45" s="503"/>
      <c r="S45" s="325"/>
      <c r="T45" s="325"/>
    </row>
    <row r="46" spans="1:20" s="328" customFormat="1" ht="12" customHeight="1">
      <c r="A46" s="55" t="s">
        <v>902</v>
      </c>
      <c r="B46" s="44"/>
      <c r="C46" s="44"/>
      <c r="D46" s="44"/>
      <c r="E46" s="44"/>
      <c r="F46" s="44"/>
      <c r="G46" s="321"/>
      <c r="H46" s="933"/>
      <c r="I46" s="933"/>
      <c r="J46" s="47"/>
      <c r="K46" s="326"/>
      <c r="L46" s="326"/>
      <c r="M46" s="326"/>
      <c r="N46" s="44"/>
      <c r="O46" s="933"/>
      <c r="P46" s="47"/>
      <c r="Q46" s="47"/>
      <c r="R46" s="108"/>
      <c r="S46" s="108"/>
      <c r="T46" s="108"/>
    </row>
    <row r="47" spans="1:20" s="327" customFormat="1" ht="12" customHeight="1">
      <c r="A47" s="1548" t="s">
        <v>903</v>
      </c>
      <c r="B47" s="104"/>
      <c r="C47" s="132"/>
      <c r="D47" s="132"/>
      <c r="E47" s="132"/>
      <c r="F47" s="132"/>
      <c r="G47" s="329"/>
      <c r="H47" s="1326"/>
      <c r="I47" s="330"/>
      <c r="J47" s="132"/>
      <c r="K47" s="329"/>
      <c r="L47" s="329"/>
      <c r="M47" s="331"/>
      <c r="N47" s="44"/>
      <c r="O47" s="1326"/>
      <c r="P47" s="504"/>
      <c r="Q47" s="131"/>
      <c r="R47" s="130"/>
      <c r="S47" s="107"/>
      <c r="T47" s="106"/>
    </row>
    <row r="48" spans="1:20" s="257" customFormat="1" ht="5.5" customHeight="1">
      <c r="A48" s="61"/>
      <c r="B48" s="44"/>
      <c r="C48" s="44"/>
      <c r="D48" s="44"/>
      <c r="E48" s="44"/>
      <c r="F48" s="44"/>
      <c r="G48" s="321"/>
      <c r="H48" s="932"/>
      <c r="I48" s="932"/>
      <c r="J48" s="322"/>
      <c r="K48" s="323"/>
      <c r="L48" s="323"/>
      <c r="M48" s="323"/>
      <c r="N48" s="44"/>
      <c r="O48" s="932"/>
      <c r="P48" s="322"/>
      <c r="Q48" s="322"/>
      <c r="R48" s="324"/>
      <c r="S48" s="325"/>
      <c r="T48" s="325"/>
    </row>
    <row r="49" spans="1:20" s="334" customFormat="1" ht="12" customHeight="1">
      <c r="A49" s="58" t="s">
        <v>904</v>
      </c>
      <c r="B49" s="43"/>
      <c r="C49" s="43"/>
      <c r="D49" s="43"/>
      <c r="E49" s="43"/>
      <c r="F49" s="43"/>
      <c r="G49" s="332"/>
      <c r="H49" s="934"/>
      <c r="I49" s="934"/>
      <c r="J49" s="66"/>
      <c r="K49" s="333"/>
      <c r="L49" s="333"/>
      <c r="M49" s="333"/>
      <c r="N49" s="44"/>
      <c r="O49" s="934"/>
      <c r="P49" s="66"/>
      <c r="Q49" s="66"/>
      <c r="R49" s="105"/>
      <c r="S49" s="105"/>
      <c r="T49" s="105"/>
    </row>
    <row r="50" spans="1:20" s="257" customFormat="1" ht="12" customHeight="1">
      <c r="A50" s="1235" t="s">
        <v>905</v>
      </c>
      <c r="B50" s="59"/>
      <c r="C50" s="1252"/>
      <c r="D50" s="1252"/>
      <c r="E50" s="1252"/>
      <c r="F50" s="1252"/>
      <c r="G50" s="1323"/>
      <c r="H50" s="1327"/>
      <c r="I50" s="1328"/>
      <c r="J50" s="1329"/>
      <c r="K50" s="1329"/>
      <c r="L50" s="1329"/>
      <c r="M50" s="1330"/>
      <c r="N50" s="44"/>
      <c r="O50" s="1327"/>
      <c r="P50" s="1256"/>
      <c r="Q50" s="1256"/>
      <c r="R50" s="1257"/>
      <c r="S50" s="1258"/>
      <c r="T50" s="1259"/>
    </row>
    <row r="51" spans="1:20" s="257" customFormat="1" ht="12" customHeight="1">
      <c r="A51" s="298" t="s">
        <v>906</v>
      </c>
      <c r="B51" s="59"/>
      <c r="C51" s="125"/>
      <c r="D51" s="125"/>
      <c r="E51" s="125"/>
      <c r="F51" s="125"/>
      <c r="G51" s="284"/>
      <c r="H51" s="935"/>
      <c r="I51" s="335"/>
      <c r="J51" s="336"/>
      <c r="K51" s="336"/>
      <c r="L51" s="336"/>
      <c r="M51" s="337"/>
      <c r="N51" s="44"/>
      <c r="O51" s="935"/>
      <c r="P51" s="129"/>
      <c r="Q51" s="129"/>
      <c r="R51" s="128"/>
      <c r="S51" s="84"/>
      <c r="T51" s="103"/>
    </row>
    <row r="52" spans="1:20" s="257" customFormat="1" ht="12" customHeight="1">
      <c r="A52" s="63" t="s">
        <v>907</v>
      </c>
      <c r="B52" s="59"/>
      <c r="C52" s="338"/>
      <c r="D52" s="338"/>
      <c r="E52" s="338"/>
      <c r="F52" s="338"/>
      <c r="G52" s="339"/>
      <c r="H52" s="936"/>
      <c r="I52" s="340"/>
      <c r="J52" s="341"/>
      <c r="K52" s="341"/>
      <c r="L52" s="341"/>
      <c r="M52" s="342"/>
      <c r="N52" s="44"/>
      <c r="O52" s="936"/>
      <c r="P52" s="514"/>
      <c r="Q52" s="514"/>
      <c r="R52" s="515"/>
      <c r="S52" s="320"/>
      <c r="T52" s="1250"/>
    </row>
    <row r="53" spans="1:20" s="257" customFormat="1" ht="5.5" customHeight="1">
      <c r="A53" s="61"/>
      <c r="B53" s="44"/>
      <c r="C53" s="44"/>
      <c r="D53" s="44"/>
      <c r="E53" s="44"/>
      <c r="F53" s="44"/>
      <c r="G53" s="321"/>
      <c r="H53" s="932"/>
      <c r="I53" s="932"/>
      <c r="J53" s="322"/>
      <c r="K53" s="323"/>
      <c r="L53" s="323"/>
      <c r="M53" s="323"/>
      <c r="N53" s="44"/>
      <c r="O53" s="932"/>
      <c r="P53" s="322"/>
      <c r="Q53" s="322"/>
      <c r="R53" s="324"/>
      <c r="S53" s="325"/>
      <c r="T53" s="325"/>
    </row>
    <row r="54" spans="1:20" s="334" customFormat="1" ht="12" customHeight="1">
      <c r="A54" s="58" t="s">
        <v>908</v>
      </c>
      <c r="B54" s="43"/>
      <c r="C54" s="43"/>
      <c r="D54" s="43"/>
      <c r="E54" s="43"/>
      <c r="F54" s="43"/>
      <c r="G54" s="332"/>
      <c r="H54" s="934"/>
      <c r="I54" s="934"/>
      <c r="J54" s="66"/>
      <c r="K54" s="333"/>
      <c r="L54" s="333"/>
      <c r="M54" s="333"/>
      <c r="N54" s="44"/>
      <c r="O54" s="934"/>
      <c r="P54" s="66"/>
      <c r="Q54" s="66"/>
      <c r="R54" s="105"/>
      <c r="S54" s="105"/>
      <c r="T54" s="105"/>
    </row>
    <row r="55" spans="1:20" s="343" customFormat="1" ht="12" customHeight="1">
      <c r="A55" s="1260" t="s">
        <v>909</v>
      </c>
      <c r="B55" s="104"/>
      <c r="C55" s="1331">
        <v>6583</v>
      </c>
      <c r="D55" s="1331">
        <v>6568.7731199999998</v>
      </c>
      <c r="E55" s="1331">
        <v>6425</v>
      </c>
      <c r="F55" s="1331">
        <v>6874.9542700000002</v>
      </c>
      <c r="G55" s="1225">
        <v>7432</v>
      </c>
      <c r="H55" s="1332">
        <f>'Supervision Opex'!Q82*'Supervision Opex'!$H82</f>
        <v>0</v>
      </c>
      <c r="I55" s="1333">
        <f>'Supervision Opex'!R82*'Supervision Opex'!$H82</f>
        <v>0</v>
      </c>
      <c r="J55" s="1329"/>
      <c r="K55" s="1334">
        <f>'Supervision Opex'!S82*'Supervision Opex'!$H82</f>
        <v>209.15296596166559</v>
      </c>
      <c r="L55" s="1334">
        <f>'Supervision Opex'!T82*'Supervision Opex'!$H82</f>
        <v>220.86764031741575</v>
      </c>
      <c r="M55" s="1335">
        <f>'Supervision Opex'!U82*'Supervision Opex'!$H82</f>
        <v>237.90322361142557</v>
      </c>
      <c r="N55" s="44"/>
      <c r="O55" s="1336">
        <f>H55</f>
        <v>0</v>
      </c>
      <c r="P55" s="1256"/>
      <c r="Q55" s="1256"/>
      <c r="R55" s="1257"/>
      <c r="S55" s="1258"/>
      <c r="T55" s="1259"/>
    </row>
    <row r="56" spans="1:20" s="257" customFormat="1" ht="12" customHeight="1">
      <c r="A56" s="298" t="s">
        <v>910</v>
      </c>
      <c r="B56" s="59"/>
      <c r="C56" s="65"/>
      <c r="D56" s="65"/>
      <c r="E56" s="65"/>
      <c r="F56" s="65"/>
      <c r="G56" s="299"/>
      <c r="H56" s="927"/>
      <c r="I56" s="344"/>
      <c r="J56" s="336"/>
      <c r="K56" s="299"/>
      <c r="L56" s="299"/>
      <c r="M56" s="345"/>
      <c r="N56" s="44"/>
      <c r="O56" s="927"/>
      <c r="P56" s="129"/>
      <c r="Q56" s="129"/>
      <c r="R56" s="128"/>
      <c r="S56" s="84"/>
      <c r="T56" s="103"/>
    </row>
    <row r="57" spans="1:20" s="257" customFormat="1" ht="12" customHeight="1">
      <c r="A57" s="63" t="s">
        <v>911</v>
      </c>
      <c r="B57" s="59"/>
      <c r="C57" s="346">
        <f t="shared" ref="C57:M57" si="7">IF(C56=0,C55,C55*C56)</f>
        <v>6583</v>
      </c>
      <c r="D57" s="346">
        <f t="shared" si="7"/>
        <v>6568.7731199999998</v>
      </c>
      <c r="E57" s="346">
        <f t="shared" si="7"/>
        <v>6425</v>
      </c>
      <c r="F57" s="346">
        <f t="shared" si="7"/>
        <v>6874.9542700000002</v>
      </c>
      <c r="G57" s="347">
        <f t="shared" si="7"/>
        <v>7432</v>
      </c>
      <c r="H57" s="937">
        <f t="shared" si="7"/>
        <v>0</v>
      </c>
      <c r="I57" s="348">
        <f t="shared" si="7"/>
        <v>0</v>
      </c>
      <c r="J57" s="346">
        <f>H57+I57</f>
        <v>0</v>
      </c>
      <c r="K57" s="347">
        <f t="shared" si="7"/>
        <v>209.15296596166559</v>
      </c>
      <c r="L57" s="347">
        <f t="shared" si="7"/>
        <v>220.86764031741575</v>
      </c>
      <c r="M57" s="349">
        <f t="shared" si="7"/>
        <v>237.90322361142557</v>
      </c>
      <c r="N57" s="44"/>
      <c r="O57" s="937">
        <f>H57</f>
        <v>0</v>
      </c>
      <c r="P57" s="514"/>
      <c r="Q57" s="514"/>
      <c r="R57" s="515"/>
      <c r="S57" s="320"/>
      <c r="T57" s="1250"/>
    </row>
    <row r="58" spans="1:20" ht="12" customHeight="1">
      <c r="A58" s="102"/>
      <c r="B58" s="101"/>
      <c r="C58" s="101"/>
      <c r="D58" s="101"/>
      <c r="E58" s="101"/>
      <c r="F58" s="101"/>
      <c r="G58" s="350"/>
      <c r="H58" s="938"/>
      <c r="I58" s="938"/>
      <c r="J58" s="122"/>
      <c r="K58" s="351"/>
      <c r="L58" s="351"/>
      <c r="M58" s="351"/>
      <c r="N58" s="44"/>
      <c r="O58" s="938"/>
      <c r="P58" s="122"/>
      <c r="Q58" s="122"/>
      <c r="R58" s="100"/>
      <c r="S58" s="100"/>
      <c r="T58" s="100"/>
    </row>
    <row r="59" spans="1:20" ht="15.65" customHeight="1">
      <c r="A59" s="62" t="s">
        <v>912</v>
      </c>
      <c r="B59" s="62"/>
      <c r="C59" s="62"/>
      <c r="D59" s="62"/>
      <c r="E59" s="62"/>
      <c r="F59" s="62"/>
      <c r="G59" s="279"/>
      <c r="H59" s="923"/>
      <c r="I59" s="923"/>
      <c r="J59" s="61"/>
      <c r="K59" s="280"/>
      <c r="L59" s="280"/>
      <c r="M59" s="281"/>
      <c r="N59" s="44"/>
      <c r="O59" s="923"/>
      <c r="P59" s="61"/>
      <c r="Q59" s="61"/>
      <c r="R59" s="1214"/>
      <c r="S59" s="1214"/>
      <c r="T59" s="1214"/>
    </row>
    <row r="60" spans="1:20" ht="12" customHeight="1">
      <c r="A60" s="1270" t="s">
        <v>913</v>
      </c>
      <c r="B60" s="59"/>
      <c r="C60" s="1236"/>
      <c r="D60" s="1236"/>
      <c r="E60" s="1236"/>
      <c r="F60" s="1232"/>
      <c r="G60" s="1337"/>
      <c r="H60" s="1338"/>
      <c r="I60" s="1339"/>
      <c r="J60" s="1236">
        <f>H60+I60</f>
        <v>0</v>
      </c>
      <c r="K60" s="1337"/>
      <c r="L60" s="1337"/>
      <c r="M60" s="1340"/>
      <c r="N60" s="44"/>
      <c r="O60" s="1338"/>
      <c r="P60" s="1232"/>
      <c r="Q60" s="1232"/>
      <c r="R60" s="1271"/>
      <c r="S60" s="1272"/>
      <c r="T60" s="1273"/>
    </row>
    <row r="61" spans="1:20" s="295" customFormat="1" ht="12" customHeight="1">
      <c r="A61" s="352" t="s">
        <v>914</v>
      </c>
      <c r="B61" s="99"/>
      <c r="C61" s="96">
        <f t="shared" ref="C61:M61" si="8">C18-C60</f>
        <v>10670</v>
      </c>
      <c r="D61" s="96">
        <f t="shared" si="8"/>
        <v>11021</v>
      </c>
      <c r="E61" s="96">
        <f t="shared" si="8"/>
        <v>11697</v>
      </c>
      <c r="F61" s="96">
        <f t="shared" si="8"/>
        <v>12582</v>
      </c>
      <c r="G61" s="302">
        <f t="shared" si="8"/>
        <v>12579</v>
      </c>
      <c r="H61" s="928">
        <f t="shared" si="8"/>
        <v>12494.971614943821</v>
      </c>
      <c r="I61" s="303">
        <f t="shared" si="8"/>
        <v>14731.700374644744</v>
      </c>
      <c r="J61" s="96">
        <f t="shared" si="8"/>
        <v>27226.671989588565</v>
      </c>
      <c r="K61" s="302">
        <f t="shared" si="8"/>
        <v>14852.594956313955</v>
      </c>
      <c r="L61" s="302">
        <f t="shared" si="8"/>
        <v>15330.941597345885</v>
      </c>
      <c r="M61" s="305">
        <f t="shared" si="8"/>
        <v>15654.581970577146</v>
      </c>
      <c r="N61" s="44"/>
      <c r="O61" s="928">
        <f>H61</f>
        <v>12494.971614943821</v>
      </c>
      <c r="P61" s="96"/>
      <c r="Q61" s="96"/>
      <c r="R61" s="95"/>
      <c r="S61" s="94"/>
      <c r="T61" s="1274"/>
    </row>
    <row r="62" spans="1:20" s="356" customFormat="1" ht="12" customHeight="1">
      <c r="A62" s="61"/>
      <c r="B62" s="44"/>
      <c r="C62" s="44"/>
      <c r="D62" s="44"/>
      <c r="E62" s="44"/>
      <c r="F62" s="44"/>
      <c r="G62" s="321"/>
      <c r="H62" s="939"/>
      <c r="I62" s="939"/>
      <c r="J62" s="353"/>
      <c r="K62" s="354"/>
      <c r="L62" s="354"/>
      <c r="M62" s="354"/>
      <c r="N62" s="44"/>
      <c r="O62" s="939"/>
      <c r="P62" s="353"/>
      <c r="Q62" s="353"/>
      <c r="R62" s="355"/>
      <c r="S62" s="355"/>
      <c r="T62" s="355"/>
    </row>
    <row r="63" spans="1:20" ht="15.65" customHeight="1">
      <c r="A63" s="62" t="s">
        <v>915</v>
      </c>
      <c r="B63" s="62"/>
      <c r="C63" s="62"/>
      <c r="D63" s="62"/>
      <c r="E63" s="62"/>
      <c r="F63" s="62"/>
      <c r="G63" s="279"/>
      <c r="H63" s="923"/>
      <c r="I63" s="923"/>
      <c r="J63" s="61"/>
      <c r="K63" s="280"/>
      <c r="L63" s="280"/>
      <c r="M63" s="281"/>
      <c r="N63" s="44"/>
      <c r="O63" s="923"/>
      <c r="P63" s="61"/>
      <c r="Q63" s="61"/>
      <c r="R63" s="1214"/>
      <c r="S63" s="1214"/>
      <c r="T63" s="1214"/>
    </row>
    <row r="64" spans="1:20" s="357" customFormat="1" ht="12" customHeight="1">
      <c r="A64" s="1235" t="s">
        <v>916</v>
      </c>
      <c r="B64" s="44"/>
      <c r="C64" s="1279"/>
      <c r="D64" s="1279"/>
      <c r="E64" s="1279"/>
      <c r="F64" s="1279"/>
      <c r="G64" s="1341"/>
      <c r="H64" s="1342"/>
      <c r="I64" s="1343"/>
      <c r="J64" s="1279"/>
      <c r="K64" s="1341"/>
      <c r="L64" s="1341"/>
      <c r="M64" s="1344"/>
      <c r="N64" s="44"/>
      <c r="O64" s="1342"/>
      <c r="P64" s="1278"/>
      <c r="Q64" s="1278"/>
      <c r="R64" s="1280"/>
      <c r="S64" s="1280"/>
      <c r="T64" s="1276"/>
    </row>
    <row r="65" spans="1:20" s="356" customFormat="1" ht="12" customHeight="1">
      <c r="A65" s="298" t="s">
        <v>917</v>
      </c>
      <c r="B65" s="44"/>
      <c r="C65" s="359"/>
      <c r="D65" s="359"/>
      <c r="E65" s="359"/>
      <c r="F65" s="359"/>
      <c r="G65" s="360"/>
      <c r="H65" s="940"/>
      <c r="I65" s="361"/>
      <c r="J65" s="359"/>
      <c r="K65" s="360"/>
      <c r="L65" s="360"/>
      <c r="M65" s="362"/>
      <c r="N65" s="44"/>
      <c r="O65" s="940"/>
      <c r="P65" s="452"/>
      <c r="Q65" s="452"/>
      <c r="R65" s="451"/>
      <c r="S65" s="451"/>
      <c r="T65" s="453"/>
    </row>
    <row r="66" spans="1:20" s="356" customFormat="1" ht="12" customHeight="1">
      <c r="A66" s="363" t="s">
        <v>918</v>
      </c>
      <c r="B66" s="82"/>
      <c r="C66" s="81">
        <f t="shared" ref="C66:M66" si="9">C61</f>
        <v>10670</v>
      </c>
      <c r="D66" s="81">
        <f t="shared" si="9"/>
        <v>11021</v>
      </c>
      <c r="E66" s="81">
        <f t="shared" si="9"/>
        <v>11697</v>
      </c>
      <c r="F66" s="81">
        <f t="shared" si="9"/>
        <v>12582</v>
      </c>
      <c r="G66" s="272">
        <f t="shared" si="9"/>
        <v>12579</v>
      </c>
      <c r="H66" s="920">
        <f t="shared" si="9"/>
        <v>12494.971614943821</v>
      </c>
      <c r="I66" s="271">
        <f t="shared" si="9"/>
        <v>14731.700374644744</v>
      </c>
      <c r="J66" s="81">
        <f>H66+I66</f>
        <v>27226.671989588565</v>
      </c>
      <c r="K66" s="272">
        <f t="shared" si="9"/>
        <v>14852.594956313955</v>
      </c>
      <c r="L66" s="272">
        <f t="shared" si="9"/>
        <v>15330.941597345885</v>
      </c>
      <c r="M66" s="270">
        <f t="shared" si="9"/>
        <v>15654.581970577146</v>
      </c>
      <c r="N66" s="44"/>
      <c r="O66" s="920">
        <f t="shared" ref="O66:O71" si="10">H66</f>
        <v>12494.971614943821</v>
      </c>
      <c r="P66" s="271"/>
      <c r="Q66" s="271"/>
      <c r="R66" s="272"/>
      <c r="S66" s="272"/>
      <c r="T66" s="270"/>
    </row>
    <row r="67" spans="1:20" s="356" customFormat="1" ht="12" customHeight="1">
      <c r="A67" s="52" t="s">
        <v>879</v>
      </c>
      <c r="B67" s="44"/>
      <c r="C67" s="364"/>
      <c r="D67" s="364">
        <f t="shared" ref="D67:I67" si="11">D66/C66-1</f>
        <v>3.2895970009372055E-2</v>
      </c>
      <c r="E67" s="364">
        <f t="shared" si="11"/>
        <v>6.1337446692677711E-2</v>
      </c>
      <c r="F67" s="364">
        <f t="shared" si="11"/>
        <v>7.5660425750192273E-2</v>
      </c>
      <c r="G67" s="365">
        <f t="shared" si="11"/>
        <v>-2.384358607534498E-4</v>
      </c>
      <c r="H67" s="941">
        <f t="shared" si="11"/>
        <v>-6.6800528703536699E-3</v>
      </c>
      <c r="I67" s="366">
        <f t="shared" si="11"/>
        <v>0.17901031139805279</v>
      </c>
      <c r="J67" s="367"/>
      <c r="K67" s="365">
        <f>K66/I66-1</f>
        <v>8.2064241462096454E-3</v>
      </c>
      <c r="L67" s="365">
        <f>L66/K66-1</f>
        <v>3.2206267149874845E-2</v>
      </c>
      <c r="M67" s="368">
        <f>M66/L66-1</f>
        <v>2.1110273702124704E-2</v>
      </c>
      <c r="N67" s="44"/>
      <c r="O67" s="941">
        <f t="shared" si="10"/>
        <v>-6.6800528703536699E-3</v>
      </c>
      <c r="P67" s="366"/>
      <c r="Q67" s="366"/>
      <c r="R67" s="365"/>
      <c r="S67" s="365"/>
      <c r="T67" s="368"/>
    </row>
    <row r="68" spans="1:20" s="356" customFormat="1" ht="12" customHeight="1">
      <c r="A68" s="369" t="s">
        <v>919</v>
      </c>
      <c r="B68" s="370"/>
      <c r="C68" s="53">
        <f>'Misc. Items'!I36</f>
        <v>4182.45</v>
      </c>
      <c r="D68" s="53">
        <f>'Misc. Items'!J36</f>
        <v>4467.5950000000003</v>
      </c>
      <c r="E68" s="53">
        <f>'Misc. Items'!K36</f>
        <v>4465.2529999999997</v>
      </c>
      <c r="F68" s="53">
        <f>'Misc. Items'!L36</f>
        <v>4549.8827233000011</v>
      </c>
      <c r="G68" s="374">
        <f>'Misc. Items'!M36</f>
        <v>4640.8595650000007</v>
      </c>
      <c r="H68" s="942">
        <f>'Misc. Items'!N36</f>
        <v>1988.2902946000002</v>
      </c>
      <c r="I68" s="373">
        <f>'Misc. Items'!O36</f>
        <v>2072</v>
      </c>
      <c r="J68" s="53">
        <f>H68+I68</f>
        <v>4060.2902946000004</v>
      </c>
      <c r="K68" s="372">
        <f>'Misc. Items'!P36</f>
        <v>3202</v>
      </c>
      <c r="L68" s="372">
        <f>'Misc. Items'!Q36</f>
        <v>4039</v>
      </c>
      <c r="M68" s="374">
        <f>'Misc. Items'!R36</f>
        <v>4726</v>
      </c>
      <c r="N68" s="44"/>
      <c r="O68" s="942">
        <f t="shared" si="10"/>
        <v>1988.2902946000002</v>
      </c>
      <c r="P68" s="894">
        <f>I68</f>
        <v>2072</v>
      </c>
      <c r="Q68" s="373"/>
      <c r="R68" s="372"/>
      <c r="S68" s="372"/>
      <c r="T68" s="374"/>
    </row>
    <row r="69" spans="1:20" s="356" customFormat="1" ht="12" customHeight="1">
      <c r="A69" s="52" t="s">
        <v>879</v>
      </c>
      <c r="B69" s="370"/>
      <c r="C69" s="364"/>
      <c r="D69" s="364">
        <f t="shared" ref="D69:I69" si="12">D68/C68-1</f>
        <v>6.8176547239058527E-2</v>
      </c>
      <c r="E69" s="364">
        <f t="shared" si="12"/>
        <v>-5.2421940663838207E-4</v>
      </c>
      <c r="F69" s="364">
        <f t="shared" si="12"/>
        <v>1.8952951445304844E-2</v>
      </c>
      <c r="G69" s="365">
        <f t="shared" si="12"/>
        <v>1.9995425647809872E-2</v>
      </c>
      <c r="H69" s="941">
        <f t="shared" si="12"/>
        <v>-0.57156852803840441</v>
      </c>
      <c r="I69" s="366">
        <f t="shared" si="12"/>
        <v>4.2101349902148089E-2</v>
      </c>
      <c r="J69" s="367"/>
      <c r="K69" s="365">
        <f>K68/I68-1</f>
        <v>0.54536679536679533</v>
      </c>
      <c r="L69" s="365">
        <f>L68/K68-1</f>
        <v>0.26139912554653333</v>
      </c>
      <c r="M69" s="368">
        <f>M68/L68-1</f>
        <v>0.17009160683337465</v>
      </c>
      <c r="N69" s="44"/>
      <c r="O69" s="941">
        <f t="shared" si="10"/>
        <v>-0.57156852803840441</v>
      </c>
      <c r="P69" s="366"/>
      <c r="Q69" s="366"/>
      <c r="R69" s="365"/>
      <c r="S69" s="365"/>
      <c r="T69" s="368"/>
    </row>
    <row r="70" spans="1:20" s="356" customFormat="1" ht="12" customHeight="1">
      <c r="A70" s="369" t="s">
        <v>920</v>
      </c>
      <c r="B70" s="370"/>
      <c r="C70" s="51">
        <f t="shared" ref="C70:M70" si="13">C66/C68</f>
        <v>2.5511362957118435</v>
      </c>
      <c r="D70" s="51">
        <f t="shared" si="13"/>
        <v>2.4668753546371143</v>
      </c>
      <c r="E70" s="51">
        <f t="shared" si="13"/>
        <v>2.6195604146058469</v>
      </c>
      <c r="F70" s="51">
        <f t="shared" si="13"/>
        <v>2.7653460023414307</v>
      </c>
      <c r="G70" s="376">
        <f t="shared" si="13"/>
        <v>2.7104892582544671</v>
      </c>
      <c r="H70" s="943">
        <f t="shared" si="13"/>
        <v>6.2842793373175576</v>
      </c>
      <c r="I70" s="377">
        <f t="shared" si="13"/>
        <v>7.1098940032069233</v>
      </c>
      <c r="J70" s="51">
        <f>J66/J68</f>
        <v>6.705597386915608</v>
      </c>
      <c r="K70" s="376">
        <f t="shared" si="13"/>
        <v>4.6385368383241579</v>
      </c>
      <c r="L70" s="376">
        <f t="shared" si="13"/>
        <v>3.7957270604966293</v>
      </c>
      <c r="M70" s="378">
        <f t="shared" si="13"/>
        <v>3.3124379963134039</v>
      </c>
      <c r="N70" s="44"/>
      <c r="O70" s="943">
        <f t="shared" si="10"/>
        <v>6.2842793373175576</v>
      </c>
      <c r="P70" s="377"/>
      <c r="Q70" s="377"/>
      <c r="R70" s="376"/>
      <c r="S70" s="376"/>
      <c r="T70" s="378"/>
    </row>
    <row r="71" spans="1:20" ht="12" customHeight="1">
      <c r="A71" s="49" t="s">
        <v>879</v>
      </c>
      <c r="B71" s="370"/>
      <c r="C71" s="379"/>
      <c r="D71" s="379">
        <f t="shared" ref="D71:I71" si="14">D70/C70-1</f>
        <v>-3.302878847216506E-2</v>
      </c>
      <c r="E71" s="379">
        <f t="shared" si="14"/>
        <v>6.1894112194085027E-2</v>
      </c>
      <c r="F71" s="379">
        <f t="shared" si="14"/>
        <v>5.5652691544248789E-2</v>
      </c>
      <c r="G71" s="380">
        <f t="shared" si="14"/>
        <v>-1.9837208089156344E-2</v>
      </c>
      <c r="H71" s="944">
        <f t="shared" si="14"/>
        <v>1.3185036864394668</v>
      </c>
      <c r="I71" s="381">
        <f t="shared" si="14"/>
        <v>0.13137777962648278</v>
      </c>
      <c r="J71" s="382"/>
      <c r="K71" s="380">
        <f>K70/I70-1</f>
        <v>-0.34759409405654396</v>
      </c>
      <c r="L71" s="380">
        <f>L70/K70-1</f>
        <v>-0.18169733413867306</v>
      </c>
      <c r="M71" s="383">
        <f>M70/L70-1</f>
        <v>-0.12732450370654214</v>
      </c>
      <c r="N71" s="44"/>
      <c r="O71" s="944">
        <f t="shared" si="10"/>
        <v>1.3185036864394668</v>
      </c>
      <c r="P71" s="381"/>
      <c r="Q71" s="381"/>
      <c r="R71" s="380"/>
      <c r="S71" s="380"/>
      <c r="T71" s="383"/>
    </row>
    <row r="72" spans="1:20" s="327" customFormat="1" ht="12" customHeight="1">
      <c r="A72" s="48"/>
      <c r="B72" s="370"/>
      <c r="C72" s="370"/>
      <c r="D72" s="370"/>
      <c r="E72" s="370"/>
      <c r="F72" s="370"/>
      <c r="G72" s="370"/>
      <c r="H72" s="384"/>
      <c r="I72" s="384"/>
      <c r="J72" s="93"/>
      <c r="K72" s="93"/>
      <c r="L72" s="93"/>
      <c r="M72" s="93"/>
      <c r="N72" s="44"/>
    </row>
    <row r="73" spans="1:20" s="327" customFormat="1" ht="12" customHeight="1">
      <c r="A73" s="256" t="s">
        <v>921</v>
      </c>
      <c r="B73" s="257"/>
      <c r="C73" s="257"/>
      <c r="D73" s="257"/>
      <c r="E73" s="257"/>
      <c r="F73" s="257"/>
      <c r="G73" s="257"/>
      <c r="H73" s="256"/>
      <c r="I73" s="256"/>
      <c r="J73" s="257"/>
      <c r="K73" s="257"/>
      <c r="L73" s="257"/>
      <c r="M73" s="257"/>
      <c r="N73" s="44"/>
    </row>
    <row r="74" spans="1:20" s="334" customFormat="1" ht="12" customHeight="1">
      <c r="A74" s="385" t="s">
        <v>922</v>
      </c>
      <c r="B74" s="46"/>
      <c r="C74" s="46"/>
      <c r="D74" s="46"/>
      <c r="E74" s="46"/>
      <c r="F74" s="46"/>
      <c r="G74" s="46"/>
      <c r="H74" s="89"/>
      <c r="I74" s="89"/>
      <c r="J74" s="88"/>
      <c r="K74" s="92"/>
      <c r="L74" s="91"/>
      <c r="M74" s="90"/>
      <c r="N74" s="44"/>
    </row>
    <row r="75" spans="1:20" s="334" customFormat="1" ht="12" customHeight="1">
      <c r="A75" s="385" t="s">
        <v>923</v>
      </c>
      <c r="B75" s="77"/>
      <c r="C75" s="77"/>
      <c r="D75" s="77"/>
      <c r="E75" s="77"/>
      <c r="F75" s="77"/>
      <c r="G75" s="77"/>
      <c r="H75" s="89"/>
      <c r="I75" s="89"/>
      <c r="J75" s="89"/>
      <c r="K75" s="89"/>
      <c r="L75" s="386"/>
      <c r="M75" s="88"/>
      <c r="N75" s="44"/>
    </row>
    <row r="76" spans="1:20" ht="12" customHeight="1">
      <c r="A76" s="385" t="s">
        <v>924</v>
      </c>
      <c r="B76" s="45"/>
      <c r="C76" s="45"/>
      <c r="D76" s="45"/>
      <c r="E76" s="45"/>
      <c r="F76" s="45"/>
      <c r="G76" s="45"/>
      <c r="H76" s="387"/>
      <c r="I76" s="387"/>
      <c r="J76" s="388"/>
      <c r="K76" s="388"/>
      <c r="L76" s="389"/>
      <c r="M76" s="87"/>
      <c r="N76" s="44"/>
    </row>
    <row r="77" spans="1:20" s="334" customFormat="1" ht="12" customHeight="1">
      <c r="A77" s="390"/>
      <c r="B77" s="343"/>
      <c r="C77" s="343"/>
      <c r="D77" s="343"/>
      <c r="E77" s="343"/>
      <c r="F77" s="343"/>
      <c r="G77" s="343"/>
      <c r="H77" s="391"/>
      <c r="I77" s="391"/>
      <c r="J77" s="392"/>
      <c r="K77" s="392"/>
      <c r="L77" s="393"/>
      <c r="M77" s="87"/>
      <c r="N77" s="44"/>
    </row>
    <row r="78" spans="1:20" ht="12" customHeight="1">
      <c r="A78" s="86"/>
      <c r="B78" s="86"/>
      <c r="C78" s="86"/>
      <c r="D78" s="86"/>
      <c r="E78" s="86"/>
      <c r="F78" s="86"/>
      <c r="G78" s="86"/>
      <c r="H78" s="85"/>
      <c r="I78" s="85"/>
      <c r="J78" s="85"/>
      <c r="K78" s="85"/>
      <c r="L78" s="85"/>
      <c r="M78" s="388"/>
      <c r="N78" s="44"/>
    </row>
    <row r="79" spans="1:20" ht="12" customHeight="1">
      <c r="A79" s="43"/>
      <c r="B79" s="43"/>
      <c r="C79" s="43"/>
      <c r="D79" s="43"/>
      <c r="E79" s="43"/>
      <c r="F79" s="43"/>
      <c r="G79" s="43"/>
      <c r="H79" s="85"/>
      <c r="I79" s="85"/>
      <c r="J79" s="44"/>
      <c r="K79" s="44"/>
      <c r="L79" s="44"/>
      <c r="M79" s="44"/>
      <c r="N79" s="44"/>
    </row>
    <row r="80" spans="1:20" s="334" customFormat="1" ht="12" customHeight="1">
      <c r="A80" s="390"/>
      <c r="B80" s="343"/>
      <c r="C80" s="343"/>
      <c r="D80" s="394"/>
      <c r="E80" s="394"/>
      <c r="F80" s="394"/>
      <c r="G80" s="394"/>
      <c r="H80" s="394"/>
      <c r="I80" s="394"/>
      <c r="J80" s="40"/>
      <c r="K80" s="394"/>
      <c r="L80" s="394"/>
      <c r="M80" s="394"/>
      <c r="N80" s="44"/>
    </row>
    <row r="81" spans="1:14" ht="12" customHeight="1">
      <c r="A81" s="86"/>
      <c r="B81" s="86"/>
      <c r="C81" s="86"/>
      <c r="D81" s="86"/>
      <c r="E81" s="86"/>
      <c r="F81" s="395"/>
      <c r="G81" s="86"/>
      <c r="H81" s="86"/>
      <c r="I81" s="86"/>
      <c r="K81" s="86"/>
      <c r="L81" s="86"/>
      <c r="M81" s="86"/>
      <c r="N81" s="44"/>
    </row>
    <row r="82" spans="1:14" ht="12" customHeight="1">
      <c r="A82" s="43"/>
      <c r="B82" s="43"/>
      <c r="C82" s="43"/>
      <c r="D82" s="43"/>
      <c r="E82" s="43"/>
      <c r="F82" s="43"/>
      <c r="G82" s="43"/>
      <c r="H82" s="86"/>
      <c r="I82" s="86"/>
      <c r="K82" s="43"/>
      <c r="L82" s="43"/>
      <c r="M82" s="43"/>
      <c r="N82" s="44"/>
    </row>
    <row r="83" spans="1:14">
      <c r="C83" s="396"/>
      <c r="D83" s="396"/>
      <c r="E83" s="396"/>
      <c r="F83" s="396"/>
      <c r="G83" s="396"/>
      <c r="H83" s="397"/>
      <c r="I83" s="397"/>
      <c r="J83" s="120"/>
      <c r="K83" s="396"/>
      <c r="L83" s="396"/>
      <c r="M83" s="396"/>
      <c r="N83" s="44"/>
    </row>
    <row r="84" spans="1:14">
      <c r="G84" s="40"/>
      <c r="N84" s="44"/>
    </row>
    <row r="85" spans="1:14">
      <c r="G85" s="40"/>
      <c r="M85" s="120"/>
      <c r="N85" s="44"/>
    </row>
    <row r="86" spans="1:14">
      <c r="G86" s="40"/>
    </row>
    <row r="87" spans="1:14">
      <c r="G87" s="40"/>
    </row>
    <row r="88" spans="1:14">
      <c r="G88" s="40"/>
    </row>
    <row r="89" spans="1:14">
      <c r="G89" s="40"/>
    </row>
    <row r="90" spans="1:14">
      <c r="G90" s="40"/>
    </row>
    <row r="91" spans="1:14">
      <c r="G91" s="40"/>
    </row>
    <row r="92" spans="1:14">
      <c r="G92" s="40"/>
    </row>
    <row r="93" spans="1:14">
      <c r="G93" s="40"/>
    </row>
    <row r="94" spans="1:14">
      <c r="G94" s="40"/>
    </row>
    <row r="95" spans="1:14">
      <c r="G95" s="40"/>
    </row>
    <row r="96" spans="1:14">
      <c r="G96" s="40"/>
    </row>
    <row r="97" spans="7:7">
      <c r="G97" s="40"/>
    </row>
    <row r="98" spans="7:7">
      <c r="G98" s="40"/>
    </row>
    <row r="117" spans="1:14" ht="12" customHeight="1">
      <c r="A117" s="42"/>
      <c r="B117" s="120"/>
      <c r="C117" s="120"/>
      <c r="D117" s="120"/>
      <c r="E117" s="120"/>
      <c r="F117" s="120"/>
      <c r="G117" s="255"/>
      <c r="H117" s="255"/>
      <c r="I117" s="255"/>
      <c r="J117" s="120"/>
      <c r="K117" s="120"/>
      <c r="L117" s="120"/>
    </row>
    <row r="120" spans="1:14">
      <c r="M120" s="120"/>
      <c r="N120" s="120"/>
    </row>
  </sheetData>
  <mergeCells count="3">
    <mergeCell ref="H7:M7"/>
    <mergeCell ref="C7:G7"/>
    <mergeCell ref="O7:T7"/>
  </mergeCells>
  <pageMargins left="0.7" right="0.7" top="0.75" bottom="0.75" header="0.3" footer="0.3"/>
  <pageSetup paperSize="9" scale="6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36C65-F5C7-4066-8991-6F2507646CF6}">
  <sheetPr>
    <tabColor theme="7"/>
    <pageSetUpPr fitToPage="1"/>
  </sheetPr>
  <dimension ref="A1:T120"/>
  <sheetViews>
    <sheetView showGridLines="0" tabSelected="1" zoomScaleNormal="100" workbookViewId="0">
      <selection activeCell="I41" sqref="I41"/>
    </sheetView>
  </sheetViews>
  <sheetFormatPr defaultColWidth="12.54296875" defaultRowHeight="12"/>
  <cols>
    <col min="1" max="1" width="30.81640625" style="40" customWidth="1"/>
    <col min="2" max="2" width="0.54296875" style="40" customWidth="1"/>
    <col min="3" max="7" width="8.54296875" style="40" customWidth="1"/>
    <col min="8" max="9" width="8.54296875" style="250" customWidth="1"/>
    <col min="10" max="13" width="8.54296875" style="41" customWidth="1"/>
    <col min="14" max="14" width="0.54296875" style="41" customWidth="1"/>
    <col min="15" max="16384" width="12.54296875" style="120"/>
  </cols>
  <sheetData>
    <row r="1" spans="1:20" ht="12" customHeight="1">
      <c r="A1" s="121" t="s">
        <v>863</v>
      </c>
      <c r="B1" s="121"/>
      <c r="C1" s="121"/>
      <c r="D1" s="121"/>
      <c r="E1" s="121"/>
      <c r="F1" s="121"/>
      <c r="G1" s="121"/>
      <c r="I1" s="251"/>
      <c r="J1" s="121"/>
      <c r="K1" s="121"/>
      <c r="L1" s="121"/>
      <c r="M1" s="121"/>
      <c r="N1" s="121"/>
    </row>
    <row r="2" spans="1:20" ht="12" customHeight="1">
      <c r="A2" s="1213" t="s">
        <v>864</v>
      </c>
      <c r="B2" s="43"/>
      <c r="C2" s="43"/>
      <c r="D2" s="43"/>
      <c r="E2" s="43"/>
      <c r="F2" s="43"/>
      <c r="G2" s="43"/>
    </row>
    <row r="3" spans="1:20" ht="12" customHeight="1">
      <c r="A3" s="476" t="s">
        <v>164</v>
      </c>
      <c r="B3" s="252"/>
      <c r="C3" s="252"/>
      <c r="D3" s="252"/>
      <c r="E3" s="252"/>
      <c r="F3" s="252"/>
      <c r="G3" s="252"/>
      <c r="H3" s="85"/>
      <c r="I3" s="85"/>
      <c r="J3" s="44"/>
      <c r="K3" s="44"/>
      <c r="L3" s="44"/>
      <c r="M3" s="44"/>
      <c r="N3" s="44"/>
    </row>
    <row r="4" spans="1:20" ht="12" customHeight="1">
      <c r="A4" s="398" t="s">
        <v>865</v>
      </c>
      <c r="B4" s="252"/>
      <c r="C4" s="252"/>
      <c r="D4" s="252"/>
      <c r="E4" s="252"/>
      <c r="F4" s="252"/>
      <c r="G4" s="252"/>
      <c r="H4" s="85"/>
      <c r="I4" s="85"/>
      <c r="J4" s="44"/>
      <c r="K4" s="44"/>
      <c r="L4" s="44"/>
      <c r="M4" s="44"/>
      <c r="N4" s="44"/>
    </row>
    <row r="5" spans="1:20" ht="12" customHeight="1">
      <c r="A5" s="399" t="s">
        <v>105</v>
      </c>
      <c r="B5" s="252"/>
      <c r="C5" s="252"/>
      <c r="D5" s="252"/>
      <c r="E5" s="252"/>
      <c r="F5" s="252"/>
      <c r="G5" s="252"/>
      <c r="H5" s="85"/>
      <c r="I5" s="85"/>
      <c r="J5" s="44"/>
      <c r="K5" s="44"/>
      <c r="L5" s="44"/>
      <c r="M5" s="44"/>
      <c r="N5" s="44"/>
    </row>
    <row r="6" spans="1:20" ht="12" customHeight="1">
      <c r="A6" s="43"/>
      <c r="B6" s="43"/>
      <c r="C6" s="43"/>
      <c r="D6" s="43"/>
      <c r="E6" s="43"/>
      <c r="F6" s="43"/>
      <c r="G6" s="43"/>
      <c r="N6" s="44"/>
    </row>
    <row r="7" spans="1:20" s="254" customFormat="1" ht="12" customHeight="1">
      <c r="C7" s="1673" t="s">
        <v>866</v>
      </c>
      <c r="D7" s="1674"/>
      <c r="E7" s="1674"/>
      <c r="F7" s="1674"/>
      <c r="G7" s="1675"/>
      <c r="H7" s="1671" t="s">
        <v>867</v>
      </c>
      <c r="I7" s="1672"/>
      <c r="J7" s="1672"/>
      <c r="K7" s="1672"/>
      <c r="L7" s="1672"/>
      <c r="M7" s="1678"/>
      <c r="N7" s="44"/>
      <c r="O7" s="1676" t="s">
        <v>868</v>
      </c>
      <c r="P7" s="1677"/>
      <c r="Q7" s="1677"/>
      <c r="R7" s="1677"/>
      <c r="S7" s="1677"/>
      <c r="T7" s="1677"/>
    </row>
    <row r="8" spans="1:20" ht="12" customHeight="1">
      <c r="A8" s="120"/>
      <c r="B8" s="120"/>
      <c r="C8" s="120"/>
      <c r="D8" s="120"/>
      <c r="E8" s="120"/>
      <c r="F8" s="120"/>
      <c r="G8" s="120"/>
      <c r="H8" s="256"/>
      <c r="I8" s="256"/>
      <c r="J8" s="257"/>
      <c r="K8" s="257"/>
      <c r="L8" s="257"/>
      <c r="M8" s="257"/>
      <c r="N8" s="44"/>
    </row>
    <row r="9" spans="1:20" s="261" customFormat="1" ht="12" customHeight="1">
      <c r="A9" s="1547" t="s">
        <v>869</v>
      </c>
      <c r="B9" s="43"/>
      <c r="C9" s="118">
        <v>2015</v>
      </c>
      <c r="D9" s="117">
        <v>2016</v>
      </c>
      <c r="E9" s="117">
        <v>2017</v>
      </c>
      <c r="F9" s="117">
        <v>2018</v>
      </c>
      <c r="G9" s="116">
        <v>2019</v>
      </c>
      <c r="H9" s="258">
        <v>2020</v>
      </c>
      <c r="I9" s="258">
        <v>2021</v>
      </c>
      <c r="J9" s="117" t="s">
        <v>16</v>
      </c>
      <c r="K9" s="117">
        <v>2022</v>
      </c>
      <c r="L9" s="117">
        <v>2023</v>
      </c>
      <c r="M9" s="116">
        <v>2024</v>
      </c>
      <c r="N9" s="44"/>
      <c r="O9" s="259">
        <v>2020</v>
      </c>
      <c r="P9" s="260">
        <v>2021</v>
      </c>
      <c r="Q9" s="117" t="s">
        <v>870</v>
      </c>
      <c r="R9" s="117">
        <v>2022</v>
      </c>
      <c r="S9" s="117">
        <v>2023</v>
      </c>
      <c r="T9" s="116">
        <v>2024</v>
      </c>
    </row>
    <row r="10" spans="1:20" ht="12" customHeight="1">
      <c r="A10" s="43"/>
      <c r="B10" s="43"/>
      <c r="C10" s="43"/>
      <c r="D10" s="43"/>
      <c r="E10" s="43"/>
      <c r="F10" s="43"/>
      <c r="G10" s="43"/>
      <c r="H10" s="262"/>
      <c r="I10" s="262"/>
      <c r="J10" s="40"/>
      <c r="K10" s="40"/>
      <c r="N10" s="44"/>
      <c r="O10" s="262"/>
      <c r="P10" s="40"/>
      <c r="Q10" s="40"/>
      <c r="R10" s="40"/>
      <c r="S10" s="40"/>
      <c r="T10" s="40"/>
    </row>
    <row r="11" spans="1:20" ht="15.65" customHeight="1">
      <c r="A11" s="62" t="s">
        <v>871</v>
      </c>
      <c r="B11" s="455"/>
      <c r="C11" s="62"/>
      <c r="D11" s="62"/>
      <c r="E11" s="62"/>
      <c r="F11" s="62"/>
      <c r="G11" s="62"/>
      <c r="H11" s="263"/>
      <c r="I11" s="263"/>
      <c r="J11" s="61"/>
      <c r="K11" s="61"/>
      <c r="L11" s="61"/>
      <c r="M11" s="75"/>
      <c r="N11" s="44"/>
      <c r="O11" s="263"/>
      <c r="P11" s="61"/>
      <c r="Q11" s="61"/>
      <c r="R11" s="1214"/>
      <c r="S11" s="1214"/>
      <c r="T11" s="1214"/>
    </row>
    <row r="12" spans="1:20" ht="12" customHeight="1">
      <c r="A12" s="1215" t="s">
        <v>872</v>
      </c>
      <c r="B12" s="74"/>
      <c r="C12" s="1281">
        <v>263</v>
      </c>
      <c r="D12" s="1216">
        <v>254</v>
      </c>
      <c r="E12" s="1216">
        <v>311</v>
      </c>
      <c r="F12" s="1216">
        <v>293</v>
      </c>
      <c r="G12" s="1217">
        <v>314</v>
      </c>
      <c r="H12" s="1220">
        <f>'Supervision Opex'!Q66</f>
        <v>278.6037</v>
      </c>
      <c r="I12" s="1319">
        <f>'Supervision Opex'!R66</f>
        <v>450.17385000000002</v>
      </c>
      <c r="J12" s="1216">
        <f t="shared" ref="J12:J15" si="0">H12+I12</f>
        <v>728.77755000000002</v>
      </c>
      <c r="K12" s="1219">
        <f>'Supervision Opex'!S66</f>
        <v>491.55268519072979</v>
      </c>
      <c r="L12" s="1219">
        <f>'Supervision Opex'!T66</f>
        <v>559.86645366361256</v>
      </c>
      <c r="M12" s="1283">
        <f>'Supervision Opex'!U66</f>
        <v>557.04100789506492</v>
      </c>
      <c r="N12" s="44"/>
      <c r="O12" s="1220">
        <f>H12</f>
        <v>278.6037</v>
      </c>
      <c r="P12" s="1221"/>
      <c r="Q12" s="1221"/>
      <c r="R12" s="1222"/>
      <c r="S12" s="1221"/>
      <c r="T12" s="1223"/>
    </row>
    <row r="13" spans="1:20" ht="12" customHeight="1">
      <c r="A13" s="74" t="s">
        <v>873</v>
      </c>
      <c r="B13" s="74"/>
      <c r="C13" s="126"/>
      <c r="D13" s="125"/>
      <c r="E13" s="125"/>
      <c r="F13" s="125"/>
      <c r="G13" s="127"/>
      <c r="H13" s="979">
        <f>'Supervision Opex'!Q67</f>
        <v>46.433999999999997</v>
      </c>
      <c r="I13" s="265">
        <f>'Supervision Opex'!R67</f>
        <v>75.028949999999995</v>
      </c>
      <c r="J13" s="114">
        <f t="shared" si="0"/>
        <v>121.46294999999999</v>
      </c>
      <c r="K13" s="266">
        <f>'Supervision Opex'!S67</f>
        <v>85.103167253820473</v>
      </c>
      <c r="L13" s="266">
        <f>'Supervision Opex'!T67</f>
        <v>96.807426010105118</v>
      </c>
      <c r="M13" s="267">
        <f>'Supervision Opex'!U67</f>
        <v>96.220910292160696</v>
      </c>
      <c r="N13" s="44"/>
      <c r="O13" s="979">
        <f t="shared" ref="O13:O19" si="1">H13</f>
        <v>46.433999999999997</v>
      </c>
      <c r="P13" s="134"/>
      <c r="Q13" s="134"/>
      <c r="R13" s="135"/>
      <c r="S13" s="134"/>
      <c r="T13" s="133"/>
    </row>
    <row r="14" spans="1:20" ht="12" customHeight="1">
      <c r="A14" s="74" t="s">
        <v>874</v>
      </c>
      <c r="B14" s="74"/>
      <c r="C14" s="268">
        <v>415</v>
      </c>
      <c r="D14" s="114">
        <v>392</v>
      </c>
      <c r="E14" s="114">
        <v>415</v>
      </c>
      <c r="F14" s="114">
        <v>534</v>
      </c>
      <c r="G14" s="269">
        <v>460</v>
      </c>
      <c r="H14" s="979">
        <f>'Supervision Opex'!Q110</f>
        <v>136.48115730337082</v>
      </c>
      <c r="I14" s="265">
        <f>'Supervision Opex'!R110</f>
        <v>327.26608988764053</v>
      </c>
      <c r="J14" s="114">
        <f t="shared" si="0"/>
        <v>463.74724719101135</v>
      </c>
      <c r="K14" s="266">
        <f>'Supervision Opex'!S110</f>
        <v>265.40470627034233</v>
      </c>
      <c r="L14" s="266">
        <f>'Supervision Opex'!T110</f>
        <v>265.72066600384568</v>
      </c>
      <c r="M14" s="267">
        <f>'Supervision Opex'!U110</f>
        <v>293.83978641864587</v>
      </c>
      <c r="N14" s="44"/>
      <c r="O14" s="979">
        <f t="shared" si="1"/>
        <v>136.48115730337082</v>
      </c>
      <c r="P14" s="142"/>
      <c r="Q14" s="142"/>
      <c r="R14" s="143"/>
      <c r="S14" s="142"/>
      <c r="T14" s="141"/>
    </row>
    <row r="15" spans="1:20" ht="12" customHeight="1">
      <c r="A15" s="74" t="s">
        <v>875</v>
      </c>
      <c r="B15" s="74"/>
      <c r="C15" s="268"/>
      <c r="D15" s="114"/>
      <c r="E15" s="114"/>
      <c r="F15" s="114">
        <v>16</v>
      </c>
      <c r="G15" s="269">
        <v>16</v>
      </c>
      <c r="H15" s="979">
        <f>'Supervision Capex '!W91</f>
        <v>2.8221685393258436</v>
      </c>
      <c r="I15" s="265">
        <f>'Supervision Capex '!X91</f>
        <v>3.1810857154659589</v>
      </c>
      <c r="J15" s="114">
        <f t="shared" si="0"/>
        <v>6.003254254791802</v>
      </c>
      <c r="K15" s="266">
        <f>'Supervision Capex '!Y91</f>
        <v>41.685599801718446</v>
      </c>
      <c r="L15" s="266">
        <f>'Supervision Capex '!Z91</f>
        <v>41.685599801718446</v>
      </c>
      <c r="M15" s="267">
        <f>'Supervision Capex '!AA91</f>
        <v>41.685599801718446</v>
      </c>
      <c r="N15" s="44"/>
      <c r="O15" s="979">
        <f t="shared" si="1"/>
        <v>2.8221685393258436</v>
      </c>
      <c r="P15" s="142"/>
      <c r="Q15" s="142"/>
      <c r="R15" s="143"/>
      <c r="S15" s="142"/>
      <c r="T15" s="141"/>
    </row>
    <row r="16" spans="1:20" ht="12" customHeight="1">
      <c r="A16" s="74" t="s">
        <v>876</v>
      </c>
      <c r="B16" s="74"/>
      <c r="C16" s="268"/>
      <c r="D16" s="114"/>
      <c r="E16" s="114"/>
      <c r="F16" s="114"/>
      <c r="G16" s="269"/>
      <c r="H16" s="979"/>
      <c r="I16" s="265"/>
      <c r="J16" s="114"/>
      <c r="K16" s="266"/>
      <c r="L16" s="266"/>
      <c r="M16" s="267"/>
      <c r="N16" s="44"/>
      <c r="O16" s="979"/>
      <c r="P16" s="142"/>
      <c r="Q16" s="142"/>
      <c r="R16" s="143"/>
      <c r="S16" s="114"/>
      <c r="T16" s="113"/>
    </row>
    <row r="17" spans="1:20" ht="12" customHeight="1">
      <c r="A17" s="74" t="s">
        <v>877</v>
      </c>
      <c r="B17" s="74"/>
      <c r="C17" s="268"/>
      <c r="D17" s="114"/>
      <c r="E17" s="114"/>
      <c r="F17" s="114"/>
      <c r="G17" s="113"/>
      <c r="H17" s="979"/>
      <c r="I17" s="265"/>
      <c r="J17" s="114"/>
      <c r="K17" s="266"/>
      <c r="L17" s="266"/>
      <c r="M17" s="267"/>
      <c r="N17" s="44"/>
      <c r="O17" s="979"/>
      <c r="P17" s="142"/>
      <c r="Q17" s="142"/>
      <c r="R17" s="143"/>
      <c r="S17" s="142"/>
      <c r="T17" s="141"/>
    </row>
    <row r="18" spans="1:20" ht="12" customHeight="1">
      <c r="A18" s="111" t="s">
        <v>878</v>
      </c>
      <c r="B18" s="73"/>
      <c r="C18" s="79">
        <f>SUM(C12:C17)</f>
        <v>678</v>
      </c>
      <c r="D18" s="81">
        <f>SUM(D12:D17)</f>
        <v>646</v>
      </c>
      <c r="E18" s="81">
        <f>SUM(E12:E17)</f>
        <v>726</v>
      </c>
      <c r="F18" s="81">
        <f>F12+SUM(F14:F17)</f>
        <v>843</v>
      </c>
      <c r="G18" s="80">
        <f t="shared" ref="G18:M18" si="2">G12+SUM(G14:G17)</f>
        <v>790</v>
      </c>
      <c r="H18" s="920">
        <f t="shared" si="2"/>
        <v>417.90702584269667</v>
      </c>
      <c r="I18" s="271">
        <f t="shared" si="2"/>
        <v>780.62102560310655</v>
      </c>
      <c r="J18" s="81">
        <f>J12+SUM(J14:J17)</f>
        <v>1198.5280514458032</v>
      </c>
      <c r="K18" s="272">
        <f t="shared" si="2"/>
        <v>798.64299126279059</v>
      </c>
      <c r="L18" s="272">
        <f t="shared" si="2"/>
        <v>867.27271946917676</v>
      </c>
      <c r="M18" s="270">
        <f t="shared" si="2"/>
        <v>892.56639411542926</v>
      </c>
      <c r="N18" s="44"/>
      <c r="O18" s="920">
        <f t="shared" si="1"/>
        <v>417.90702584269667</v>
      </c>
      <c r="P18" s="81"/>
      <c r="Q18" s="81"/>
      <c r="R18" s="81"/>
      <c r="S18" s="81"/>
      <c r="T18" s="80"/>
    </row>
    <row r="19" spans="1:20" ht="12" customHeight="1">
      <c r="A19" s="109" t="s">
        <v>879</v>
      </c>
      <c r="B19" s="68"/>
      <c r="C19" s="72"/>
      <c r="D19" s="71">
        <f t="shared" ref="D19:I19" si="3">+D18/C18-1</f>
        <v>-4.71976401179941E-2</v>
      </c>
      <c r="E19" s="71">
        <f t="shared" si="3"/>
        <v>0.12383900928792579</v>
      </c>
      <c r="F19" s="71">
        <f t="shared" si="3"/>
        <v>0.16115702479338845</v>
      </c>
      <c r="G19" s="70">
        <f t="shared" si="3"/>
        <v>-6.2870699881376058E-2</v>
      </c>
      <c r="H19" s="921">
        <f t="shared" si="3"/>
        <v>-0.47100376475608019</v>
      </c>
      <c r="I19" s="274">
        <f t="shared" si="3"/>
        <v>0.86792989189164316</v>
      </c>
      <c r="J19" s="275"/>
      <c r="K19" s="276">
        <f>+K18/I18-1</f>
        <v>2.3086702854000496E-2</v>
      </c>
      <c r="L19" s="276">
        <f>+L18/K18-1</f>
        <v>8.5932924920396392E-2</v>
      </c>
      <c r="M19" s="273">
        <f>+M18/L18-1</f>
        <v>2.9164614634406671E-2</v>
      </c>
      <c r="N19" s="44"/>
      <c r="O19" s="921">
        <f t="shared" si="1"/>
        <v>-0.47100376475608019</v>
      </c>
      <c r="P19" s="71"/>
      <c r="Q19" s="71"/>
      <c r="R19" s="71"/>
      <c r="S19" s="71"/>
      <c r="T19" s="70"/>
    </row>
    <row r="20" spans="1:20" ht="12" customHeight="1">
      <c r="A20" s="68"/>
      <c r="B20" s="68"/>
      <c r="C20" s="68"/>
      <c r="D20" s="68"/>
      <c r="E20" s="68"/>
      <c r="F20" s="68"/>
      <c r="G20" s="68"/>
      <c r="H20" s="922"/>
      <c r="I20" s="922"/>
      <c r="J20" s="67"/>
      <c r="K20" s="278"/>
      <c r="L20" s="278"/>
      <c r="M20" s="278"/>
      <c r="N20" s="44"/>
      <c r="O20" s="922"/>
      <c r="P20" s="67"/>
      <c r="Q20" s="67"/>
      <c r="R20" s="67"/>
      <c r="S20" s="67"/>
      <c r="T20" s="67"/>
    </row>
    <row r="21" spans="1:20" ht="15.65" customHeight="1">
      <c r="A21" s="62" t="s">
        <v>880</v>
      </c>
      <c r="B21" s="62"/>
      <c r="C21" s="62"/>
      <c r="D21" s="62"/>
      <c r="E21" s="62"/>
      <c r="F21" s="62"/>
      <c r="G21" s="62"/>
      <c r="H21" s="923"/>
      <c r="I21" s="923"/>
      <c r="J21" s="61"/>
      <c r="K21" s="280"/>
      <c r="L21" s="280"/>
      <c r="M21" s="281"/>
      <c r="N21" s="44"/>
      <c r="O21" s="923"/>
      <c r="P21" s="61"/>
      <c r="Q21" s="61"/>
      <c r="R21" s="1214"/>
      <c r="S21" s="1214"/>
      <c r="T21" s="1214"/>
    </row>
    <row r="22" spans="1:20" ht="12" customHeight="1">
      <c r="A22" s="1224" t="s">
        <v>881</v>
      </c>
      <c r="B22" s="74"/>
      <c r="C22" s="1291"/>
      <c r="D22" s="1252"/>
      <c r="E22" s="1252"/>
      <c r="F22" s="1252"/>
      <c r="G22" s="1292"/>
      <c r="H22" s="1321"/>
      <c r="I22" s="1322"/>
      <c r="J22" s="1304"/>
      <c r="K22" s="1323"/>
      <c r="L22" s="1323"/>
      <c r="M22" s="1324"/>
      <c r="N22" s="44"/>
      <c r="O22" s="1321"/>
      <c r="P22" s="1232"/>
      <c r="Q22" s="1232"/>
      <c r="R22" s="1233"/>
      <c r="S22" s="1232"/>
      <c r="T22" s="1234"/>
    </row>
    <row r="23" spans="1:20" ht="12" customHeight="1">
      <c r="A23" s="57" t="s">
        <v>882</v>
      </c>
      <c r="B23" s="74"/>
      <c r="C23" s="126"/>
      <c r="D23" s="125"/>
      <c r="E23" s="125"/>
      <c r="F23" s="125"/>
      <c r="G23" s="127"/>
      <c r="H23" s="924"/>
      <c r="I23" s="283"/>
      <c r="J23" s="137"/>
      <c r="K23" s="284"/>
      <c r="L23" s="284"/>
      <c r="M23" s="285"/>
      <c r="N23" s="44"/>
      <c r="O23" s="924"/>
      <c r="P23" s="134"/>
      <c r="Q23" s="134"/>
      <c r="R23" s="135"/>
      <c r="S23" s="134"/>
      <c r="T23" s="133"/>
    </row>
    <row r="24" spans="1:20" ht="12" customHeight="1">
      <c r="A24" s="57" t="s">
        <v>883</v>
      </c>
      <c r="B24" s="74"/>
      <c r="C24" s="126"/>
      <c r="D24" s="125"/>
      <c r="E24" s="125"/>
      <c r="F24" s="125"/>
      <c r="G24" s="127"/>
      <c r="H24" s="924"/>
      <c r="I24" s="283"/>
      <c r="J24" s="137"/>
      <c r="K24" s="284"/>
      <c r="L24" s="284"/>
      <c r="M24" s="285"/>
      <c r="N24" s="44"/>
      <c r="O24" s="924"/>
      <c r="P24" s="134"/>
      <c r="Q24" s="134"/>
      <c r="R24" s="135"/>
      <c r="S24" s="134"/>
      <c r="T24" s="133"/>
    </row>
    <row r="25" spans="1:20" ht="12" customHeight="1">
      <c r="A25" s="57" t="s">
        <v>884</v>
      </c>
      <c r="B25" s="74"/>
      <c r="C25" s="126"/>
      <c r="D25" s="125"/>
      <c r="E25" s="125"/>
      <c r="F25" s="125"/>
      <c r="G25" s="127"/>
      <c r="H25" s="924"/>
      <c r="I25" s="283"/>
      <c r="J25" s="137"/>
      <c r="K25" s="284"/>
      <c r="L25" s="284"/>
      <c r="M25" s="285"/>
      <c r="N25" s="44"/>
      <c r="O25" s="924"/>
      <c r="P25" s="134"/>
      <c r="Q25" s="134"/>
      <c r="R25" s="135"/>
      <c r="S25" s="134"/>
      <c r="T25" s="133"/>
    </row>
    <row r="26" spans="1:20" ht="12" customHeight="1">
      <c r="A26" s="57" t="s">
        <v>885</v>
      </c>
      <c r="B26" s="74"/>
      <c r="C26" s="478"/>
      <c r="D26" s="479"/>
      <c r="E26" s="479"/>
      <c r="F26" s="479"/>
      <c r="G26" s="480"/>
      <c r="H26" s="925">
        <v>0</v>
      </c>
      <c r="I26" s="289">
        <v>0</v>
      </c>
      <c r="J26" s="65">
        <f>H26+I26</f>
        <v>0</v>
      </c>
      <c r="K26" s="404">
        <v>0</v>
      </c>
      <c r="L26" s="404">
        <v>0</v>
      </c>
      <c r="M26" s="405">
        <v>0</v>
      </c>
      <c r="N26" s="44"/>
      <c r="O26" s="927"/>
      <c r="P26" s="134"/>
      <c r="Q26" s="134"/>
      <c r="R26" s="135"/>
      <c r="S26" s="134"/>
      <c r="T26" s="133"/>
    </row>
    <row r="27" spans="1:20" ht="12" customHeight="1">
      <c r="A27" s="57" t="s">
        <v>886</v>
      </c>
      <c r="B27" s="74"/>
      <c r="C27" s="126"/>
      <c r="D27" s="125"/>
      <c r="E27" s="125"/>
      <c r="F27" s="125"/>
      <c r="G27" s="127"/>
      <c r="H27" s="924"/>
      <c r="I27" s="283"/>
      <c r="J27" s="137"/>
      <c r="K27" s="284"/>
      <c r="L27" s="284"/>
      <c r="M27" s="285"/>
      <c r="N27" s="44"/>
      <c r="O27" s="924"/>
      <c r="P27" s="134"/>
      <c r="Q27" s="134"/>
      <c r="R27" s="135"/>
      <c r="S27" s="134"/>
      <c r="T27" s="133"/>
    </row>
    <row r="28" spans="1:20" ht="12" customHeight="1">
      <c r="A28" s="57" t="s">
        <v>887</v>
      </c>
      <c r="B28" s="74"/>
      <c r="C28" s="126"/>
      <c r="D28" s="125"/>
      <c r="E28" s="125"/>
      <c r="F28" s="125"/>
      <c r="G28" s="127"/>
      <c r="H28" s="924"/>
      <c r="I28" s="283"/>
      <c r="J28" s="137"/>
      <c r="K28" s="284"/>
      <c r="L28" s="284"/>
      <c r="M28" s="285"/>
      <c r="N28" s="44"/>
      <c r="O28" s="924"/>
      <c r="P28" s="134"/>
      <c r="Q28" s="134"/>
      <c r="R28" s="135"/>
      <c r="S28" s="134"/>
      <c r="T28" s="133"/>
    </row>
    <row r="29" spans="1:20" ht="12" customHeight="1">
      <c r="A29" s="57" t="s">
        <v>888</v>
      </c>
      <c r="B29" s="74"/>
      <c r="C29" s="286">
        <v>310</v>
      </c>
      <c r="D29" s="65">
        <v>345</v>
      </c>
      <c r="E29" s="65">
        <v>322</v>
      </c>
      <c r="F29" s="65">
        <v>335</v>
      </c>
      <c r="G29" s="269">
        <v>330</v>
      </c>
      <c r="H29" s="1184">
        <f>H18</f>
        <v>417.90702584269667</v>
      </c>
      <c r="I29" s="1185">
        <f>I18</f>
        <v>780.62102560310655</v>
      </c>
      <c r="J29" s="1182">
        <f>H29+I29</f>
        <v>1198.5280514458032</v>
      </c>
      <c r="K29" s="1183">
        <f t="shared" ref="K29:M29" si="4">K18</f>
        <v>798.64299126279059</v>
      </c>
      <c r="L29" s="1183">
        <f t="shared" si="4"/>
        <v>867.27271946917676</v>
      </c>
      <c r="M29" s="1186">
        <f t="shared" si="4"/>
        <v>892.56639411542926</v>
      </c>
      <c r="N29" s="44"/>
      <c r="O29" s="980">
        <f>H29</f>
        <v>417.90702584269667</v>
      </c>
      <c r="P29" s="134"/>
      <c r="Q29" s="134"/>
      <c r="R29" s="135"/>
      <c r="S29" s="134"/>
      <c r="T29" s="133"/>
    </row>
    <row r="30" spans="1:20" ht="12" customHeight="1">
      <c r="A30" s="57" t="s">
        <v>889</v>
      </c>
      <c r="B30" s="74"/>
      <c r="C30" s="286">
        <v>368</v>
      </c>
      <c r="D30" s="65">
        <v>301</v>
      </c>
      <c r="E30" s="65">
        <v>404</v>
      </c>
      <c r="F30" s="65">
        <v>508</v>
      </c>
      <c r="G30" s="269">
        <v>460</v>
      </c>
      <c r="H30" s="1184"/>
      <c r="I30" s="1185"/>
      <c r="J30" s="1182"/>
      <c r="K30" s="1183"/>
      <c r="L30" s="1183"/>
      <c r="M30" s="1186"/>
      <c r="N30" s="44"/>
      <c r="O30" s="980">
        <f t="shared" ref="O30:O32" si="5">H30</f>
        <v>0</v>
      </c>
      <c r="P30" s="134"/>
      <c r="Q30" s="134"/>
      <c r="R30" s="135"/>
      <c r="S30" s="134"/>
      <c r="T30" s="133"/>
    </row>
    <row r="31" spans="1:20" s="295" customFormat="1" ht="12" customHeight="1">
      <c r="A31" s="112" t="s">
        <v>890</v>
      </c>
      <c r="B31" s="111"/>
      <c r="C31" s="79">
        <f>SUM(C22:C30)</f>
        <v>678</v>
      </c>
      <c r="D31" s="81">
        <f>SUM(D22:D30)</f>
        <v>646</v>
      </c>
      <c r="E31" s="81">
        <f>SUM(E22:E30)</f>
        <v>726</v>
      </c>
      <c r="F31" s="81">
        <f>SUM(F22:F30)</f>
        <v>843</v>
      </c>
      <c r="G31" s="80">
        <f t="shared" ref="G31:M31" si="6">SUM(G22:G30)</f>
        <v>790</v>
      </c>
      <c r="H31" s="920">
        <f t="shared" si="6"/>
        <v>417.90702584269667</v>
      </c>
      <c r="I31" s="271">
        <f t="shared" si="6"/>
        <v>780.62102560310655</v>
      </c>
      <c r="J31" s="81">
        <f t="shared" si="6"/>
        <v>1198.5280514458032</v>
      </c>
      <c r="K31" s="272">
        <f t="shared" si="6"/>
        <v>798.64299126279059</v>
      </c>
      <c r="L31" s="272">
        <f t="shared" si="6"/>
        <v>867.27271946917676</v>
      </c>
      <c r="M31" s="270">
        <f t="shared" si="6"/>
        <v>892.56639411542926</v>
      </c>
      <c r="N31" s="44"/>
      <c r="O31" s="920">
        <f t="shared" si="5"/>
        <v>417.90702584269667</v>
      </c>
      <c r="P31" s="134"/>
      <c r="Q31" s="134"/>
      <c r="R31" s="135"/>
      <c r="S31" s="134"/>
      <c r="T31" s="133"/>
    </row>
    <row r="32" spans="1:20" ht="12" customHeight="1">
      <c r="A32" s="109" t="s">
        <v>879</v>
      </c>
      <c r="B32" s="68"/>
      <c r="C32" s="72"/>
      <c r="D32" s="71">
        <f t="shared" ref="D32:I32" si="7">+D31/C31-1</f>
        <v>-4.71976401179941E-2</v>
      </c>
      <c r="E32" s="71">
        <f t="shared" si="7"/>
        <v>0.12383900928792579</v>
      </c>
      <c r="F32" s="71">
        <f t="shared" si="7"/>
        <v>0.16115702479338845</v>
      </c>
      <c r="G32" s="70">
        <f t="shared" si="7"/>
        <v>-6.2870699881376058E-2</v>
      </c>
      <c r="H32" s="921">
        <f t="shared" si="7"/>
        <v>-0.47100376475608019</v>
      </c>
      <c r="I32" s="274">
        <f t="shared" si="7"/>
        <v>0.86792989189164316</v>
      </c>
      <c r="J32" s="275"/>
      <c r="K32" s="276">
        <f>+K31/I31-1</f>
        <v>2.3086702854000496E-2</v>
      </c>
      <c r="L32" s="276">
        <f>+L31/K31-1</f>
        <v>8.5932924920396392E-2</v>
      </c>
      <c r="M32" s="273">
        <f>+M31/L31-1</f>
        <v>2.9164614634406671E-2</v>
      </c>
      <c r="N32" s="44"/>
      <c r="O32" s="921">
        <f t="shared" si="5"/>
        <v>-0.47100376475608019</v>
      </c>
      <c r="P32" s="71"/>
      <c r="Q32" s="71"/>
      <c r="R32" s="71"/>
      <c r="S32" s="71"/>
      <c r="T32" s="70"/>
    </row>
    <row r="33" spans="1:20" ht="12" customHeight="1">
      <c r="A33" s="68"/>
      <c r="B33" s="69"/>
      <c r="C33" s="69"/>
      <c r="D33" s="69"/>
      <c r="E33" s="69"/>
      <c r="F33" s="69"/>
      <c r="G33" s="69"/>
      <c r="H33" s="926"/>
      <c r="I33" s="926"/>
      <c r="J33" s="69"/>
      <c r="K33" s="297"/>
      <c r="L33" s="297"/>
      <c r="M33" s="297"/>
      <c r="N33" s="44"/>
      <c r="O33" s="926"/>
      <c r="P33" s="69"/>
      <c r="Q33" s="69"/>
      <c r="R33" s="67"/>
      <c r="S33" s="67"/>
      <c r="T33" s="67"/>
    </row>
    <row r="34" spans="1:20" ht="15.65" customHeight="1">
      <c r="A34" s="62" t="s">
        <v>891</v>
      </c>
      <c r="B34" s="62"/>
      <c r="C34" s="62"/>
      <c r="D34" s="62"/>
      <c r="E34" s="62"/>
      <c r="F34" s="62"/>
      <c r="G34" s="62"/>
      <c r="H34" s="923"/>
      <c r="I34" s="923"/>
      <c r="J34" s="61"/>
      <c r="K34" s="280"/>
      <c r="L34" s="280"/>
      <c r="M34" s="281"/>
      <c r="N34" s="44"/>
      <c r="O34" s="923"/>
      <c r="P34" s="61"/>
      <c r="Q34" s="61"/>
      <c r="R34" s="61"/>
      <c r="S34" s="61"/>
      <c r="T34" s="61"/>
    </row>
    <row r="35" spans="1:20" ht="12" customHeight="1">
      <c r="A35" s="62" t="s">
        <v>892</v>
      </c>
      <c r="B35" s="62"/>
      <c r="C35" s="62"/>
      <c r="D35" s="62"/>
      <c r="E35" s="62"/>
      <c r="F35" s="62"/>
      <c r="G35" s="62"/>
      <c r="H35" s="923"/>
      <c r="I35" s="923"/>
      <c r="J35" s="61"/>
      <c r="K35" s="280"/>
      <c r="L35" s="280"/>
      <c r="M35" s="280"/>
      <c r="N35" s="44"/>
      <c r="O35" s="923"/>
      <c r="P35" s="61"/>
      <c r="Q35" s="61"/>
      <c r="R35" s="61"/>
      <c r="S35" s="61"/>
      <c r="T35" s="61"/>
    </row>
    <row r="36" spans="1:20" s="257" customFormat="1" ht="12" customHeight="1">
      <c r="A36" s="1235" t="s">
        <v>893</v>
      </c>
      <c r="B36" s="456"/>
      <c r="C36" s="1288"/>
      <c r="D36" s="1236"/>
      <c r="E36" s="1236"/>
      <c r="F36" s="1236"/>
      <c r="G36" s="1225"/>
      <c r="H36" s="1237"/>
      <c r="I36" s="1293"/>
      <c r="J36" s="1252"/>
      <c r="K36" s="1255"/>
      <c r="L36" s="1255"/>
      <c r="M36" s="1294"/>
      <c r="N36" s="44"/>
      <c r="O36" s="1231"/>
      <c r="P36" s="1232"/>
      <c r="Q36" s="1232"/>
      <c r="R36" s="1233"/>
      <c r="S36" s="1232"/>
      <c r="T36" s="1234"/>
    </row>
    <row r="37" spans="1:20" s="257" customFormat="1" ht="12" customHeight="1">
      <c r="A37" s="298" t="s">
        <v>894</v>
      </c>
      <c r="B37" s="456"/>
      <c r="C37" s="286"/>
      <c r="D37" s="65"/>
      <c r="E37" s="65"/>
      <c r="F37" s="65"/>
      <c r="G37" s="269"/>
      <c r="H37" s="980"/>
      <c r="I37" s="300"/>
      <c r="J37" s="125"/>
      <c r="K37" s="290"/>
      <c r="L37" s="290"/>
      <c r="M37" s="291"/>
      <c r="N37" s="44"/>
      <c r="O37" s="925"/>
      <c r="P37" s="134"/>
      <c r="Q37" s="134"/>
      <c r="R37" s="135"/>
      <c r="S37" s="134"/>
      <c r="T37" s="133"/>
    </row>
    <row r="38" spans="1:20" s="257" customFormat="1" ht="12" customHeight="1">
      <c r="A38" s="298" t="s">
        <v>895</v>
      </c>
      <c r="B38" s="456"/>
      <c r="C38" s="286"/>
      <c r="D38" s="65"/>
      <c r="E38" s="65"/>
      <c r="F38" s="65"/>
      <c r="G38" s="269"/>
      <c r="H38" s="980"/>
      <c r="I38" s="300"/>
      <c r="J38" s="125"/>
      <c r="K38" s="290"/>
      <c r="L38" s="290"/>
      <c r="M38" s="291"/>
      <c r="N38" s="44"/>
      <c r="O38" s="925"/>
      <c r="P38" s="134"/>
      <c r="Q38" s="134"/>
      <c r="R38" s="135"/>
      <c r="S38" s="134"/>
      <c r="T38" s="133"/>
    </row>
    <row r="39" spans="1:20" s="257" customFormat="1" ht="12" customHeight="1">
      <c r="A39" s="301" t="s">
        <v>896</v>
      </c>
      <c r="B39" s="456"/>
      <c r="C39" s="97"/>
      <c r="D39" s="96"/>
      <c r="E39" s="96"/>
      <c r="F39" s="96"/>
      <c r="G39" s="98"/>
      <c r="H39" s="928"/>
      <c r="I39" s="303"/>
      <c r="J39" s="304"/>
      <c r="K39" s="302"/>
      <c r="L39" s="302"/>
      <c r="M39" s="305"/>
      <c r="N39" s="44"/>
      <c r="O39" s="928"/>
      <c r="P39" s="96"/>
      <c r="Q39" s="96"/>
      <c r="R39" s="96"/>
      <c r="S39" s="96"/>
      <c r="T39" s="98"/>
    </row>
    <row r="40" spans="1:20" ht="12" customHeight="1">
      <c r="A40" s="62" t="s">
        <v>897</v>
      </c>
      <c r="B40" s="62"/>
      <c r="C40" s="62"/>
      <c r="D40" s="62"/>
      <c r="E40" s="62"/>
      <c r="F40" s="62"/>
      <c r="G40" s="62"/>
      <c r="H40" s="929"/>
      <c r="I40" s="929"/>
      <c r="J40" s="60"/>
      <c r="K40" s="306"/>
      <c r="L40" s="306"/>
      <c r="M40" s="306"/>
      <c r="N40" s="44"/>
      <c r="O40" s="929"/>
      <c r="P40" s="60"/>
      <c r="Q40" s="60"/>
      <c r="R40" s="1238"/>
      <c r="S40" s="1238"/>
      <c r="T40" s="1238"/>
    </row>
    <row r="41" spans="1:20" s="257" customFormat="1" ht="12" customHeight="1">
      <c r="A41" s="1239" t="s">
        <v>898</v>
      </c>
      <c r="B41" s="456"/>
      <c r="C41" s="1289" t="str">
        <f>IF(C39=0,"",C16/C39)</f>
        <v/>
      </c>
      <c r="D41" s="1240" t="str">
        <f>IF(D39=0,"",D16/D39)</f>
        <v/>
      </c>
      <c r="E41" s="1325" t="str">
        <f>IF(E39=0,"",E16/E39)</f>
        <v/>
      </c>
      <c r="F41" s="1325" t="str">
        <f>IF(F39=0,"",F16/F39)</f>
        <v/>
      </c>
      <c r="G41" s="1290" t="str">
        <f>IF(G39=0,"",G16/G39)</f>
        <v/>
      </c>
      <c r="H41" s="1246"/>
      <c r="I41" s="1309"/>
      <c r="J41" s="1252"/>
      <c r="K41" s="1241"/>
      <c r="L41" s="1241"/>
      <c r="M41" s="1310"/>
      <c r="N41" s="44"/>
      <c r="O41" s="1246"/>
      <c r="P41" s="1240"/>
      <c r="Q41" s="1240"/>
      <c r="R41" s="1247"/>
      <c r="S41" s="1248"/>
      <c r="T41" s="1249"/>
    </row>
    <row r="42" spans="1:20" s="257" customFormat="1" ht="12" customHeight="1">
      <c r="A42" s="64" t="s">
        <v>899</v>
      </c>
      <c r="B42" s="456"/>
      <c r="C42" s="422"/>
      <c r="D42" s="307"/>
      <c r="E42" s="308"/>
      <c r="F42" s="308"/>
      <c r="G42" s="457"/>
      <c r="H42" s="930"/>
      <c r="I42" s="895"/>
      <c r="J42" s="125"/>
      <c r="K42" s="310"/>
      <c r="L42" s="310"/>
      <c r="M42" s="311"/>
      <c r="N42" s="44"/>
      <c r="O42" s="930"/>
      <c r="P42" s="314"/>
      <c r="Q42" s="314"/>
      <c r="R42" s="423"/>
      <c r="S42" s="312"/>
      <c r="T42" s="313"/>
    </row>
    <row r="43" spans="1:20" s="257" customFormat="1" ht="12" customHeight="1">
      <c r="A43" s="64" t="s">
        <v>900</v>
      </c>
      <c r="B43" s="456"/>
      <c r="C43" s="422"/>
      <c r="D43" s="307"/>
      <c r="E43" s="308"/>
      <c r="F43" s="308"/>
      <c r="G43" s="457"/>
      <c r="H43" s="930"/>
      <c r="I43" s="895"/>
      <c r="J43" s="125"/>
      <c r="K43" s="310"/>
      <c r="L43" s="310"/>
      <c r="M43" s="311"/>
      <c r="N43" s="44"/>
      <c r="O43" s="930"/>
      <c r="P43" s="314"/>
      <c r="Q43" s="314"/>
      <c r="R43" s="423"/>
      <c r="S43" s="312"/>
      <c r="T43" s="313"/>
    </row>
    <row r="44" spans="1:20" s="257" customFormat="1" ht="12" customHeight="1">
      <c r="A44" s="63" t="s">
        <v>901</v>
      </c>
      <c r="B44" s="456"/>
      <c r="C44" s="424"/>
      <c r="D44" s="315"/>
      <c r="E44" s="316"/>
      <c r="F44" s="316"/>
      <c r="G44" s="458"/>
      <c r="H44" s="931"/>
      <c r="I44" s="317"/>
      <c r="J44" s="304"/>
      <c r="K44" s="318"/>
      <c r="L44" s="318"/>
      <c r="M44" s="319"/>
      <c r="N44" s="44"/>
      <c r="O44" s="931"/>
      <c r="P44" s="425"/>
      <c r="Q44" s="425"/>
      <c r="R44" s="426"/>
      <c r="S44" s="320"/>
      <c r="T44" s="1250"/>
    </row>
    <row r="45" spans="1:20" s="257" customFormat="1" ht="5.5" customHeight="1">
      <c r="A45" s="61"/>
      <c r="B45" s="44"/>
      <c r="C45" s="44"/>
      <c r="D45" s="44"/>
      <c r="E45" s="44"/>
      <c r="F45" s="44"/>
      <c r="G45" s="44"/>
      <c r="H45" s="932"/>
      <c r="I45" s="932"/>
      <c r="J45" s="322"/>
      <c r="K45" s="323"/>
      <c r="L45" s="323"/>
      <c r="M45" s="323"/>
      <c r="N45" s="44"/>
      <c r="O45" s="932"/>
      <c r="P45" s="322"/>
      <c r="Q45" s="322"/>
      <c r="R45" s="503"/>
      <c r="S45" s="325"/>
      <c r="T45" s="325"/>
    </row>
    <row r="46" spans="1:20" s="328" customFormat="1" ht="12" customHeight="1">
      <c r="A46" s="55" t="s">
        <v>902</v>
      </c>
      <c r="B46" s="44"/>
      <c r="C46" s="44"/>
      <c r="D46" s="44"/>
      <c r="E46" s="44"/>
      <c r="F46" s="44"/>
      <c r="G46" s="44"/>
      <c r="H46" s="933"/>
      <c r="I46" s="933"/>
      <c r="J46" s="47"/>
      <c r="K46" s="326"/>
      <c r="L46" s="326"/>
      <c r="M46" s="326"/>
      <c r="N46" s="44"/>
      <c r="O46" s="933"/>
      <c r="P46" s="47"/>
      <c r="Q46" s="47"/>
      <c r="R46" s="108"/>
      <c r="S46" s="108"/>
      <c r="T46" s="108"/>
    </row>
    <row r="47" spans="1:20" s="327" customFormat="1" ht="12" customHeight="1">
      <c r="A47" s="1548" t="s">
        <v>903</v>
      </c>
      <c r="B47" s="459"/>
      <c r="C47" s="460"/>
      <c r="D47" s="461"/>
      <c r="E47" s="461"/>
      <c r="F47" s="461"/>
      <c r="G47" s="462"/>
      <c r="H47" s="1251"/>
      <c r="I47" s="481"/>
      <c r="J47" s="433"/>
      <c r="K47" s="482"/>
      <c r="L47" s="482"/>
      <c r="M47" s="483"/>
      <c r="N47" s="83"/>
      <c r="O47" s="1251"/>
      <c r="P47" s="504"/>
      <c r="Q47" s="131"/>
      <c r="R47" s="130"/>
      <c r="S47" s="107"/>
      <c r="T47" s="106"/>
    </row>
    <row r="48" spans="1:20" s="257" customFormat="1" ht="5.5" customHeight="1">
      <c r="A48" s="61"/>
      <c r="B48" s="44"/>
      <c r="C48" s="44"/>
      <c r="D48" s="44"/>
      <c r="E48" s="44"/>
      <c r="F48" s="44"/>
      <c r="G48" s="44"/>
      <c r="H48" s="932"/>
      <c r="I48" s="932"/>
      <c r="J48" s="322"/>
      <c r="K48" s="323"/>
      <c r="L48" s="323"/>
      <c r="M48" s="323"/>
      <c r="N48" s="44"/>
      <c r="O48" s="932"/>
      <c r="P48" s="322"/>
      <c r="Q48" s="322"/>
      <c r="R48" s="324"/>
      <c r="S48" s="325"/>
      <c r="T48" s="325"/>
    </row>
    <row r="49" spans="1:20" s="334" customFormat="1" ht="12" customHeight="1">
      <c r="A49" s="58" t="s">
        <v>904</v>
      </c>
      <c r="B49" s="43"/>
      <c r="C49" s="43"/>
      <c r="D49" s="43"/>
      <c r="E49" s="43"/>
      <c r="F49" s="43"/>
      <c r="G49" s="43"/>
      <c r="H49" s="934"/>
      <c r="I49" s="934"/>
      <c r="J49" s="66"/>
      <c r="K49" s="333"/>
      <c r="L49" s="333"/>
      <c r="M49" s="333"/>
      <c r="N49" s="44"/>
      <c r="O49" s="934"/>
      <c r="P49" s="66"/>
      <c r="Q49" s="66"/>
      <c r="R49" s="105"/>
      <c r="S49" s="105"/>
      <c r="T49" s="105"/>
    </row>
    <row r="50" spans="1:20" s="257" customFormat="1" ht="12" customHeight="1">
      <c r="A50" s="1235" t="s">
        <v>905</v>
      </c>
      <c r="B50" s="456"/>
      <c r="C50" s="1291"/>
      <c r="D50" s="1252"/>
      <c r="E50" s="1252"/>
      <c r="F50" s="1252"/>
      <c r="G50" s="1292"/>
      <c r="H50" s="1327"/>
      <c r="I50" s="1328"/>
      <c r="J50" s="1329"/>
      <c r="K50" s="1329"/>
      <c r="L50" s="1329"/>
      <c r="M50" s="1330"/>
      <c r="N50" s="44"/>
      <c r="O50" s="1327"/>
      <c r="P50" s="1256"/>
      <c r="Q50" s="1256"/>
      <c r="R50" s="1257"/>
      <c r="S50" s="1258"/>
      <c r="T50" s="1259"/>
    </row>
    <row r="51" spans="1:20" s="257" customFormat="1" ht="12" customHeight="1">
      <c r="A51" s="298" t="s">
        <v>906</v>
      </c>
      <c r="B51" s="456"/>
      <c r="C51" s="126"/>
      <c r="D51" s="125"/>
      <c r="E51" s="125"/>
      <c r="F51" s="125"/>
      <c r="G51" s="127"/>
      <c r="H51" s="935"/>
      <c r="I51" s="335"/>
      <c r="J51" s="336"/>
      <c r="K51" s="336"/>
      <c r="L51" s="336"/>
      <c r="M51" s="337"/>
      <c r="N51" s="44"/>
      <c r="O51" s="935"/>
      <c r="P51" s="129"/>
      <c r="Q51" s="129"/>
      <c r="R51" s="128"/>
      <c r="S51" s="84"/>
      <c r="T51" s="103"/>
    </row>
    <row r="52" spans="1:20" s="257" customFormat="1" ht="12" customHeight="1">
      <c r="A52" s="63" t="s">
        <v>907</v>
      </c>
      <c r="B52" s="456"/>
      <c r="C52" s="442"/>
      <c r="D52" s="338"/>
      <c r="E52" s="338"/>
      <c r="F52" s="338"/>
      <c r="G52" s="467"/>
      <c r="H52" s="936"/>
      <c r="I52" s="340"/>
      <c r="J52" s="341"/>
      <c r="K52" s="341"/>
      <c r="L52" s="341"/>
      <c r="M52" s="342"/>
      <c r="N52" s="44"/>
      <c r="O52" s="936"/>
      <c r="P52" s="514"/>
      <c r="Q52" s="514"/>
      <c r="R52" s="515"/>
      <c r="S52" s="320"/>
      <c r="T52" s="1250"/>
    </row>
    <row r="53" spans="1:20" s="257" customFormat="1" ht="5.5" customHeight="1">
      <c r="A53" s="61"/>
      <c r="B53" s="44"/>
      <c r="C53" s="44"/>
      <c r="D53" s="44"/>
      <c r="E53" s="44"/>
      <c r="F53" s="44"/>
      <c r="G53" s="44"/>
      <c r="H53" s="932"/>
      <c r="I53" s="932"/>
      <c r="J53" s="322"/>
      <c r="K53" s="323"/>
      <c r="L53" s="323"/>
      <c r="M53" s="323"/>
      <c r="N53" s="44"/>
      <c r="O53" s="932"/>
      <c r="P53" s="322"/>
      <c r="Q53" s="322"/>
      <c r="R53" s="324"/>
      <c r="S53" s="325"/>
      <c r="T53" s="325"/>
    </row>
    <row r="54" spans="1:20" s="334" customFormat="1" ht="12" customHeight="1">
      <c r="A54" s="58" t="s">
        <v>908</v>
      </c>
      <c r="B54" s="43"/>
      <c r="C54" s="43"/>
      <c r="D54" s="43"/>
      <c r="E54" s="43"/>
      <c r="F54" s="43"/>
      <c r="G54" s="43"/>
      <c r="H54" s="934"/>
      <c r="I54" s="934"/>
      <c r="J54" s="66"/>
      <c r="K54" s="333"/>
      <c r="L54" s="333"/>
      <c r="M54" s="333"/>
      <c r="N54" s="44"/>
      <c r="O54" s="934"/>
      <c r="P54" s="66"/>
      <c r="Q54" s="66"/>
      <c r="R54" s="105"/>
      <c r="S54" s="105"/>
      <c r="T54" s="105"/>
    </row>
    <row r="55" spans="1:20" s="343" customFormat="1" ht="12" customHeight="1">
      <c r="A55" s="1260" t="s">
        <v>909</v>
      </c>
      <c r="B55" s="459"/>
      <c r="C55" s="1345"/>
      <c r="D55" s="1346"/>
      <c r="E55" s="1346"/>
      <c r="F55" s="1346"/>
      <c r="G55" s="1292"/>
      <c r="H55" s="1347"/>
      <c r="I55" s="1348"/>
      <c r="J55" s="1346"/>
      <c r="K55" s="1349"/>
      <c r="L55" s="1349"/>
      <c r="M55" s="1350"/>
      <c r="N55" s="44"/>
      <c r="O55" s="1347"/>
      <c r="P55" s="1256"/>
      <c r="Q55" s="1256"/>
      <c r="R55" s="1257"/>
      <c r="S55" s="1258"/>
      <c r="T55" s="1259"/>
    </row>
    <row r="56" spans="1:20" s="257" customFormat="1" ht="12" customHeight="1">
      <c r="A56" s="298" t="s">
        <v>910</v>
      </c>
      <c r="B56" s="456"/>
      <c r="C56" s="126"/>
      <c r="D56" s="125"/>
      <c r="E56" s="125"/>
      <c r="F56" s="125"/>
      <c r="G56" s="127"/>
      <c r="H56" s="924"/>
      <c r="I56" s="283"/>
      <c r="J56" s="125"/>
      <c r="K56" s="284"/>
      <c r="L56" s="284"/>
      <c r="M56" s="285"/>
      <c r="N56" s="44"/>
      <c r="O56" s="924"/>
      <c r="P56" s="129"/>
      <c r="Q56" s="129"/>
      <c r="R56" s="128"/>
      <c r="S56" s="84"/>
      <c r="T56" s="103"/>
    </row>
    <row r="57" spans="1:20" s="257" customFormat="1" ht="12" customHeight="1">
      <c r="A57" s="63" t="s">
        <v>911</v>
      </c>
      <c r="B57" s="456"/>
      <c r="C57" s="484"/>
      <c r="D57" s="485"/>
      <c r="E57" s="485"/>
      <c r="F57" s="485"/>
      <c r="G57" s="486"/>
      <c r="H57" s="978"/>
      <c r="I57" s="487"/>
      <c r="J57" s="485"/>
      <c r="K57" s="488"/>
      <c r="L57" s="488"/>
      <c r="M57" s="489"/>
      <c r="N57" s="44"/>
      <c r="O57" s="978"/>
      <c r="P57" s="514"/>
      <c r="Q57" s="514"/>
      <c r="R57" s="515"/>
      <c r="S57" s="320"/>
      <c r="T57" s="1250"/>
    </row>
    <row r="58" spans="1:20" ht="12" customHeight="1">
      <c r="A58" s="102"/>
      <c r="B58" s="101"/>
      <c r="C58" s="101"/>
      <c r="D58" s="101"/>
      <c r="E58" s="101"/>
      <c r="F58" s="101"/>
      <c r="G58" s="101"/>
      <c r="H58" s="938"/>
      <c r="I58" s="938"/>
      <c r="J58" s="122"/>
      <c r="K58" s="351"/>
      <c r="L58" s="351"/>
      <c r="M58" s="351"/>
      <c r="N58" s="44"/>
      <c r="O58" s="938"/>
      <c r="P58" s="122"/>
      <c r="Q58" s="122"/>
      <c r="R58" s="100"/>
      <c r="S58" s="100"/>
      <c r="T58" s="100"/>
    </row>
    <row r="59" spans="1:20" ht="15.65" customHeight="1">
      <c r="A59" s="62" t="s">
        <v>912</v>
      </c>
      <c r="B59" s="62"/>
      <c r="C59" s="62"/>
      <c r="D59" s="62"/>
      <c r="E59" s="62"/>
      <c r="F59" s="62"/>
      <c r="G59" s="62"/>
      <c r="H59" s="923"/>
      <c r="I59" s="923"/>
      <c r="J59" s="61"/>
      <c r="K59" s="280"/>
      <c r="L59" s="280"/>
      <c r="M59" s="281"/>
      <c r="N59" s="44"/>
      <c r="O59" s="923"/>
      <c r="P59" s="61"/>
      <c r="Q59" s="61"/>
      <c r="R59" s="1214"/>
      <c r="S59" s="1214"/>
      <c r="T59" s="1214"/>
    </row>
    <row r="60" spans="1:20" ht="12" customHeight="1">
      <c r="A60" s="1270" t="s">
        <v>913</v>
      </c>
      <c r="B60" s="456"/>
      <c r="C60" s="1288"/>
      <c r="D60" s="1236"/>
      <c r="E60" s="1236"/>
      <c r="F60" s="1236"/>
      <c r="G60" s="1225"/>
      <c r="H60" s="1231">
        <v>0</v>
      </c>
      <c r="I60" s="1297">
        <v>0</v>
      </c>
      <c r="J60" s="1236">
        <f>H60+I60</f>
        <v>0</v>
      </c>
      <c r="K60" s="1298">
        <v>0</v>
      </c>
      <c r="L60" s="1298">
        <v>0</v>
      </c>
      <c r="M60" s="1299">
        <v>0</v>
      </c>
      <c r="N60" s="44"/>
      <c r="O60" s="1231">
        <f>H60</f>
        <v>0</v>
      </c>
      <c r="P60" s="1232"/>
      <c r="Q60" s="1232"/>
      <c r="R60" s="1271"/>
      <c r="S60" s="1272"/>
      <c r="T60" s="1273"/>
    </row>
    <row r="61" spans="1:20" s="295" customFormat="1" ht="12" customHeight="1">
      <c r="A61" s="352" t="s">
        <v>914</v>
      </c>
      <c r="B61" s="468"/>
      <c r="C61" s="97">
        <f t="shared" ref="C61:M61" si="8">C18-C60</f>
        <v>678</v>
      </c>
      <c r="D61" s="96">
        <f t="shared" si="8"/>
        <v>646</v>
      </c>
      <c r="E61" s="96">
        <f t="shared" si="8"/>
        <v>726</v>
      </c>
      <c r="F61" s="96">
        <f t="shared" si="8"/>
        <v>843</v>
      </c>
      <c r="G61" s="98">
        <f t="shared" si="8"/>
        <v>790</v>
      </c>
      <c r="H61" s="928">
        <f t="shared" si="8"/>
        <v>417.90702584269667</v>
      </c>
      <c r="I61" s="303">
        <f t="shared" si="8"/>
        <v>780.62102560310655</v>
      </c>
      <c r="J61" s="96">
        <f t="shared" si="8"/>
        <v>1198.5280514458032</v>
      </c>
      <c r="K61" s="302">
        <f t="shared" si="8"/>
        <v>798.64299126279059</v>
      </c>
      <c r="L61" s="302">
        <f t="shared" si="8"/>
        <v>867.27271946917676</v>
      </c>
      <c r="M61" s="305">
        <f t="shared" si="8"/>
        <v>892.56639411542926</v>
      </c>
      <c r="N61" s="44"/>
      <c r="O61" s="928">
        <f t="shared" ref="O61" si="9">H61</f>
        <v>417.90702584269667</v>
      </c>
      <c r="P61" s="96"/>
      <c r="Q61" s="96"/>
      <c r="R61" s="95"/>
      <c r="S61" s="94"/>
      <c r="T61" s="1274"/>
    </row>
    <row r="62" spans="1:20" s="356" customFormat="1" ht="12" customHeight="1">
      <c r="A62" s="61"/>
      <c r="B62" s="44"/>
      <c r="C62" s="44"/>
      <c r="D62" s="44"/>
      <c r="E62" s="44"/>
      <c r="F62" s="44"/>
      <c r="G62" s="44"/>
      <c r="H62" s="939"/>
      <c r="I62" s="939"/>
      <c r="J62" s="353"/>
      <c r="K62" s="354"/>
      <c r="L62" s="354"/>
      <c r="M62" s="354"/>
      <c r="N62" s="44"/>
      <c r="O62" s="939"/>
      <c r="P62" s="353"/>
      <c r="Q62" s="353"/>
      <c r="R62" s="355"/>
      <c r="S62" s="355"/>
      <c r="T62" s="355"/>
    </row>
    <row r="63" spans="1:20" ht="15.65" customHeight="1">
      <c r="A63" s="62" t="s">
        <v>915</v>
      </c>
      <c r="B63" s="62"/>
      <c r="C63" s="62"/>
      <c r="D63" s="62"/>
      <c r="E63" s="62"/>
      <c r="F63" s="62"/>
      <c r="G63" s="62"/>
      <c r="H63" s="923"/>
      <c r="I63" s="923"/>
      <c r="J63" s="61"/>
      <c r="K63" s="280"/>
      <c r="L63" s="280"/>
      <c r="M63" s="281"/>
      <c r="N63" s="44"/>
      <c r="O63" s="923"/>
      <c r="P63" s="61"/>
      <c r="Q63" s="61"/>
      <c r="R63" s="1214"/>
      <c r="S63" s="1214"/>
      <c r="T63" s="1214"/>
    </row>
    <row r="64" spans="1:20" s="357" customFormat="1" ht="12" customHeight="1">
      <c r="A64" s="1235" t="s">
        <v>916</v>
      </c>
      <c r="B64" s="44"/>
      <c r="C64" s="1351"/>
      <c r="D64" s="1279"/>
      <c r="E64" s="1279"/>
      <c r="F64" s="1279"/>
      <c r="G64" s="1352"/>
      <c r="H64" s="1342"/>
      <c r="I64" s="1343"/>
      <c r="J64" s="1279"/>
      <c r="K64" s="1341"/>
      <c r="L64" s="1341"/>
      <c r="M64" s="1344"/>
      <c r="N64" s="44"/>
      <c r="O64" s="1342"/>
      <c r="P64" s="1278"/>
      <c r="Q64" s="1278"/>
      <c r="R64" s="1280"/>
      <c r="S64" s="1280"/>
      <c r="T64" s="1276"/>
    </row>
    <row r="65" spans="1:20" s="356" customFormat="1" ht="12" customHeight="1">
      <c r="A65" s="298" t="s">
        <v>917</v>
      </c>
      <c r="B65" s="44"/>
      <c r="C65" s="358"/>
      <c r="D65" s="359"/>
      <c r="E65" s="359"/>
      <c r="F65" s="359"/>
      <c r="G65" s="490"/>
      <c r="H65" s="940"/>
      <c r="I65" s="361"/>
      <c r="J65" s="359"/>
      <c r="K65" s="360"/>
      <c r="L65" s="360"/>
      <c r="M65" s="362"/>
      <c r="N65" s="44"/>
      <c r="O65" s="940"/>
      <c r="P65" s="452"/>
      <c r="Q65" s="452"/>
      <c r="R65" s="451"/>
      <c r="S65" s="451"/>
      <c r="T65" s="453"/>
    </row>
    <row r="66" spans="1:20" s="356" customFormat="1" ht="12" customHeight="1">
      <c r="A66" s="363" t="s">
        <v>918</v>
      </c>
      <c r="B66" s="82"/>
      <c r="C66" s="79">
        <f t="shared" ref="C66:M66" si="10">C61</f>
        <v>678</v>
      </c>
      <c r="D66" s="81">
        <f t="shared" si="10"/>
        <v>646</v>
      </c>
      <c r="E66" s="81">
        <f t="shared" si="10"/>
        <v>726</v>
      </c>
      <c r="F66" s="81">
        <f t="shared" si="10"/>
        <v>843</v>
      </c>
      <c r="G66" s="80">
        <f t="shared" si="10"/>
        <v>790</v>
      </c>
      <c r="H66" s="920">
        <f t="shared" si="10"/>
        <v>417.90702584269667</v>
      </c>
      <c r="I66" s="271">
        <f t="shared" si="10"/>
        <v>780.62102560310655</v>
      </c>
      <c r="J66" s="81">
        <f>H66+I66</f>
        <v>1198.5280514458032</v>
      </c>
      <c r="K66" s="272">
        <f t="shared" si="10"/>
        <v>798.64299126279059</v>
      </c>
      <c r="L66" s="272">
        <f t="shared" si="10"/>
        <v>867.27271946917676</v>
      </c>
      <c r="M66" s="270">
        <f t="shared" si="10"/>
        <v>892.56639411542926</v>
      </c>
      <c r="N66" s="44"/>
      <c r="O66" s="920">
        <f>H66</f>
        <v>417.90702584269667</v>
      </c>
      <c r="P66" s="271"/>
      <c r="Q66" s="271"/>
      <c r="R66" s="272"/>
      <c r="S66" s="272"/>
      <c r="T66" s="270"/>
    </row>
    <row r="67" spans="1:20" s="356" customFormat="1" ht="12" customHeight="1">
      <c r="A67" s="52" t="s">
        <v>879</v>
      </c>
      <c r="B67" s="44"/>
      <c r="C67" s="470"/>
      <c r="D67" s="364">
        <f t="shared" ref="D67:I67" si="11">D66/C66-1</f>
        <v>-4.71976401179941E-2</v>
      </c>
      <c r="E67" s="364">
        <f t="shared" si="11"/>
        <v>0.12383900928792579</v>
      </c>
      <c r="F67" s="364">
        <f t="shared" si="11"/>
        <v>0.16115702479338845</v>
      </c>
      <c r="G67" s="471">
        <f t="shared" si="11"/>
        <v>-6.2870699881376058E-2</v>
      </c>
      <c r="H67" s="941">
        <f t="shared" si="11"/>
        <v>-0.47100376475608019</v>
      </c>
      <c r="I67" s="366">
        <f t="shared" si="11"/>
        <v>0.86792989189164316</v>
      </c>
      <c r="J67" s="367"/>
      <c r="K67" s="365">
        <f>K66/I66-1</f>
        <v>2.3086702854000496E-2</v>
      </c>
      <c r="L67" s="365">
        <f>L66/K66-1</f>
        <v>8.5932924920396392E-2</v>
      </c>
      <c r="M67" s="368">
        <f>M66/L66-1</f>
        <v>2.9164614634406671E-2</v>
      </c>
      <c r="N67" s="44"/>
      <c r="O67" s="941">
        <f t="shared" ref="O67:O71" si="12">H67</f>
        <v>-0.47100376475608019</v>
      </c>
      <c r="P67" s="366"/>
      <c r="Q67" s="366"/>
      <c r="R67" s="365"/>
      <c r="S67" s="365"/>
      <c r="T67" s="368"/>
    </row>
    <row r="68" spans="1:20" s="356" customFormat="1" ht="12" customHeight="1">
      <c r="A68" s="369" t="s">
        <v>919</v>
      </c>
      <c r="B68" s="370"/>
      <c r="C68" s="371">
        <f>'Misc. Items'!I37</f>
        <v>149.863</v>
      </c>
      <c r="D68" s="53">
        <f>'Misc. Items'!J37</f>
        <v>163.30528635600001</v>
      </c>
      <c r="E68" s="53">
        <f>'Misc. Items'!K37</f>
        <v>171.66498065517399</v>
      </c>
      <c r="F68" s="53">
        <f>'Misc. Items'!L37</f>
        <v>182.71100000000001</v>
      </c>
      <c r="G68" s="54">
        <f>'Misc. Items'!M37</f>
        <v>187.70944677700001</v>
      </c>
      <c r="H68" s="942">
        <f>'Misc. Items'!N37</f>
        <v>70.511440283846895</v>
      </c>
      <c r="I68" s="373">
        <f>'Misc. Items'!O37</f>
        <v>77</v>
      </c>
      <c r="J68" s="53">
        <f>H68+I68</f>
        <v>147.51144028384689</v>
      </c>
      <c r="K68" s="372">
        <f>'Misc. Items'!P37</f>
        <v>136</v>
      </c>
      <c r="L68" s="372">
        <f>'Misc. Items'!Q37</f>
        <v>163</v>
      </c>
      <c r="M68" s="374">
        <f>'Misc. Items'!R37</f>
        <v>188</v>
      </c>
      <c r="N68" s="44"/>
      <c r="O68" s="942">
        <f t="shared" si="12"/>
        <v>70.511440283846895</v>
      </c>
      <c r="P68" s="894">
        <f>I68</f>
        <v>77</v>
      </c>
      <c r="Q68" s="373"/>
      <c r="R68" s="372"/>
      <c r="S68" s="372"/>
      <c r="T68" s="374"/>
    </row>
    <row r="69" spans="1:20" s="356" customFormat="1" ht="12" customHeight="1">
      <c r="A69" s="52" t="s">
        <v>879</v>
      </c>
      <c r="B69" s="370"/>
      <c r="C69" s="470"/>
      <c r="D69" s="364">
        <f t="shared" ref="D69:I69" si="13">D68/C68-1</f>
        <v>8.9697165784750066E-2</v>
      </c>
      <c r="E69" s="364">
        <f t="shared" si="13"/>
        <v>5.1190592084999098E-2</v>
      </c>
      <c r="F69" s="364">
        <f t="shared" si="13"/>
        <v>6.4346375729446681E-2</v>
      </c>
      <c r="G69" s="471">
        <f t="shared" si="13"/>
        <v>2.7357120135076629E-2</v>
      </c>
      <c r="H69" s="941">
        <f t="shared" si="13"/>
        <v>-0.62435859518772685</v>
      </c>
      <c r="I69" s="366">
        <f t="shared" si="13"/>
        <v>9.2021375397143057E-2</v>
      </c>
      <c r="J69" s="367"/>
      <c r="K69" s="365">
        <f>K68/I68-1</f>
        <v>0.76623376623376616</v>
      </c>
      <c r="L69" s="365">
        <f>L68/K68-1</f>
        <v>0.19852941176470584</v>
      </c>
      <c r="M69" s="368">
        <f>M68/L68-1</f>
        <v>0.15337423312883436</v>
      </c>
      <c r="N69" s="44"/>
      <c r="O69" s="941">
        <f t="shared" si="12"/>
        <v>-0.62435859518772685</v>
      </c>
      <c r="P69" s="366"/>
      <c r="Q69" s="366"/>
      <c r="R69" s="365"/>
      <c r="S69" s="365"/>
      <c r="T69" s="368"/>
    </row>
    <row r="70" spans="1:20" s="356" customFormat="1" ht="12" customHeight="1">
      <c r="A70" s="369" t="s">
        <v>920</v>
      </c>
      <c r="B70" s="370"/>
      <c r="C70" s="375">
        <f t="shared" ref="C70:M70" si="14">C66/C68</f>
        <v>4.5241320405970784</v>
      </c>
      <c r="D70" s="51">
        <f t="shared" si="14"/>
        <v>3.9557813125029022</v>
      </c>
      <c r="E70" s="51">
        <f t="shared" si="14"/>
        <v>4.2291677500510545</v>
      </c>
      <c r="F70" s="51">
        <f t="shared" si="14"/>
        <v>4.6138437204109222</v>
      </c>
      <c r="G70" s="50">
        <f t="shared" si="14"/>
        <v>4.2086320830646571</v>
      </c>
      <c r="H70" s="943">
        <f t="shared" si="14"/>
        <v>5.9267974694658569</v>
      </c>
      <c r="I70" s="377">
        <f t="shared" si="14"/>
        <v>10.137935397442941</v>
      </c>
      <c r="J70" s="51">
        <f>J66/J68</f>
        <v>8.1249837242423482</v>
      </c>
      <c r="K70" s="376">
        <f t="shared" si="14"/>
        <v>5.872374935755813</v>
      </c>
      <c r="L70" s="376">
        <f t="shared" si="14"/>
        <v>5.3206915304857469</v>
      </c>
      <c r="M70" s="378">
        <f t="shared" si="14"/>
        <v>4.7476935857203681</v>
      </c>
      <c r="N70" s="44"/>
      <c r="O70" s="943">
        <f t="shared" si="12"/>
        <v>5.9267974694658569</v>
      </c>
      <c r="P70" s="377"/>
      <c r="Q70" s="377"/>
      <c r="R70" s="376"/>
      <c r="S70" s="376"/>
      <c r="T70" s="378"/>
    </row>
    <row r="71" spans="1:20" ht="12" customHeight="1">
      <c r="A71" s="49" t="s">
        <v>879</v>
      </c>
      <c r="B71" s="370"/>
      <c r="C71" s="472"/>
      <c r="D71" s="379">
        <f t="shared" ref="D71:I71" si="15">D70/C70-1</f>
        <v>-0.12562646779406716</v>
      </c>
      <c r="E71" s="379">
        <f t="shared" si="15"/>
        <v>6.9110604442179202E-2</v>
      </c>
      <c r="F71" s="379">
        <f t="shared" si="15"/>
        <v>9.0957841612034462E-2</v>
      </c>
      <c r="G71" s="473">
        <f t="shared" si="15"/>
        <v>-8.7825176122388382E-2</v>
      </c>
      <c r="H71" s="944">
        <f t="shared" si="15"/>
        <v>0.40824794196551872</v>
      </c>
      <c r="I71" s="381">
        <f t="shared" si="15"/>
        <v>0.71052502631857384</v>
      </c>
      <c r="J71" s="382"/>
      <c r="K71" s="380">
        <f>K70/I70-1</f>
        <v>-0.42075238147236738</v>
      </c>
      <c r="L71" s="380">
        <f>L70/K70-1</f>
        <v>-9.3945535035742878E-2</v>
      </c>
      <c r="M71" s="383">
        <f>M70/L70-1</f>
        <v>-0.10769238199250908</v>
      </c>
      <c r="N71" s="44"/>
      <c r="O71" s="944">
        <f t="shared" si="12"/>
        <v>0.40824794196551872</v>
      </c>
      <c r="P71" s="381"/>
      <c r="Q71" s="381"/>
      <c r="R71" s="380"/>
      <c r="S71" s="380"/>
      <c r="T71" s="383"/>
    </row>
    <row r="72" spans="1:20" s="327" customFormat="1" ht="12" customHeight="1">
      <c r="A72" s="48"/>
      <c r="B72" s="370"/>
      <c r="C72" s="370"/>
      <c r="D72" s="370"/>
      <c r="E72" s="370"/>
      <c r="F72" s="370"/>
      <c r="G72" s="370"/>
      <c r="H72" s="384"/>
      <c r="I72" s="384"/>
      <c r="J72" s="93"/>
      <c r="K72" s="93"/>
      <c r="L72" s="93"/>
      <c r="M72" s="93"/>
      <c r="N72" s="44"/>
    </row>
    <row r="73" spans="1:20" s="327" customFormat="1" ht="12" customHeight="1">
      <c r="A73" s="256" t="s">
        <v>921</v>
      </c>
      <c r="B73" s="257"/>
      <c r="C73" s="257"/>
      <c r="D73" s="257"/>
      <c r="E73" s="257"/>
      <c r="F73" s="257"/>
      <c r="G73" s="257"/>
      <c r="H73" s="256"/>
      <c r="I73" s="256"/>
      <c r="J73" s="257"/>
      <c r="K73" s="257"/>
      <c r="L73" s="257"/>
      <c r="M73" s="257"/>
      <c r="N73" s="44"/>
    </row>
    <row r="74" spans="1:20" s="334" customFormat="1" ht="12" customHeight="1">
      <c r="A74" s="385" t="s">
        <v>922</v>
      </c>
      <c r="B74" s="46"/>
      <c r="C74" s="46"/>
      <c r="D74" s="46"/>
      <c r="E74" s="46"/>
      <c r="F74" s="46"/>
      <c r="G74" s="46"/>
      <c r="H74" s="89"/>
      <c r="I74" s="89"/>
      <c r="J74" s="88"/>
      <c r="K74" s="92"/>
      <c r="L74" s="91"/>
      <c r="M74" s="90"/>
      <c r="N74" s="44"/>
    </row>
    <row r="75" spans="1:20" s="334" customFormat="1" ht="12" customHeight="1">
      <c r="A75" s="385" t="s">
        <v>923</v>
      </c>
      <c r="B75" s="77"/>
      <c r="C75" s="77"/>
      <c r="D75" s="77"/>
      <c r="E75" s="77"/>
      <c r="F75" s="77"/>
      <c r="G75" s="77"/>
      <c r="H75" s="89"/>
      <c r="I75" s="89"/>
      <c r="J75" s="89"/>
      <c r="K75" s="89"/>
      <c r="L75" s="386"/>
      <c r="M75" s="88"/>
      <c r="N75" s="44"/>
    </row>
    <row r="76" spans="1:20" ht="12" customHeight="1">
      <c r="A76" s="385" t="s">
        <v>924</v>
      </c>
      <c r="B76" s="45"/>
      <c r="C76" s="45"/>
      <c r="D76" s="45"/>
      <c r="E76" s="45"/>
      <c r="F76" s="45"/>
      <c r="G76" s="45"/>
      <c r="H76" s="387"/>
      <c r="I76" s="387"/>
      <c r="J76" s="388"/>
      <c r="K76" s="388"/>
      <c r="L76" s="389"/>
      <c r="M76" s="87"/>
      <c r="N76" s="44"/>
    </row>
    <row r="77" spans="1:20" s="334" customFormat="1" ht="12" customHeight="1">
      <c r="A77" s="385"/>
      <c r="B77" s="257"/>
      <c r="C77" s="257"/>
      <c r="D77" s="257"/>
      <c r="E77" s="257"/>
      <c r="F77" s="257"/>
      <c r="G77" s="257"/>
      <c r="H77" s="391"/>
      <c r="I77" s="391"/>
      <c r="J77" s="392"/>
      <c r="K77" s="392"/>
      <c r="L77" s="393"/>
      <c r="M77" s="87"/>
      <c r="N77" s="44"/>
    </row>
    <row r="78" spans="1:20" ht="12" customHeight="1">
      <c r="A78" s="86"/>
      <c r="B78" s="86"/>
      <c r="C78" s="43"/>
      <c r="D78" s="43"/>
      <c r="E78" s="43"/>
      <c r="F78" s="43"/>
      <c r="G78" s="43"/>
      <c r="H78" s="85"/>
      <c r="I78" s="85"/>
      <c r="J78" s="85"/>
      <c r="K78" s="85"/>
      <c r="L78" s="85"/>
      <c r="M78" s="388"/>
      <c r="N78" s="44"/>
    </row>
    <row r="79" spans="1:20" ht="12" customHeight="1">
      <c r="A79" s="43"/>
      <c r="B79" s="43"/>
      <c r="C79" s="43"/>
      <c r="D79" s="43"/>
      <c r="E79" s="43"/>
      <c r="F79" s="43"/>
      <c r="G79" s="43"/>
      <c r="H79" s="85"/>
      <c r="I79" s="85"/>
      <c r="J79" s="44"/>
      <c r="K79" s="44"/>
      <c r="L79" s="44"/>
      <c r="M79" s="44"/>
      <c r="N79" s="44"/>
    </row>
    <row r="80" spans="1:20" s="334" customFormat="1" ht="12" customHeight="1">
      <c r="A80" s="385"/>
      <c r="B80" s="257"/>
      <c r="C80" s="257"/>
      <c r="D80" s="474"/>
      <c r="E80" s="474"/>
      <c r="F80" s="474"/>
      <c r="G80" s="474"/>
      <c r="H80" s="394"/>
      <c r="I80" s="394"/>
      <c r="J80" s="40"/>
      <c r="K80" s="394"/>
      <c r="L80" s="394"/>
      <c r="M80" s="394"/>
      <c r="N80" s="44"/>
    </row>
    <row r="81" spans="1:14" ht="12" customHeight="1">
      <c r="A81" s="86"/>
      <c r="B81" s="86"/>
      <c r="C81" s="43"/>
      <c r="D81" s="43"/>
      <c r="E81" s="43"/>
      <c r="F81" s="475"/>
      <c r="G81" s="43"/>
      <c r="H81" s="86"/>
      <c r="I81" s="86"/>
      <c r="K81" s="86"/>
      <c r="L81" s="86"/>
      <c r="M81" s="86"/>
      <c r="N81" s="44"/>
    </row>
    <row r="82" spans="1:14" ht="12" customHeight="1">
      <c r="A82" s="43"/>
      <c r="B82" s="43"/>
      <c r="C82" s="43"/>
      <c r="D82" s="43"/>
      <c r="E82" s="43"/>
      <c r="F82" s="43"/>
      <c r="G82" s="43"/>
      <c r="H82" s="86"/>
      <c r="I82" s="86"/>
      <c r="K82" s="43"/>
      <c r="L82" s="43"/>
      <c r="M82" s="43"/>
      <c r="N82" s="44"/>
    </row>
    <row r="83" spans="1:14">
      <c r="C83" s="396"/>
      <c r="D83" s="396"/>
      <c r="E83" s="396"/>
      <c r="F83" s="396"/>
      <c r="G83" s="396"/>
      <c r="H83" s="397"/>
      <c r="I83" s="397"/>
      <c r="J83" s="120"/>
      <c r="K83" s="396"/>
      <c r="L83" s="396"/>
      <c r="M83" s="396"/>
      <c r="N83" s="44"/>
    </row>
    <row r="84" spans="1:14">
      <c r="N84" s="44"/>
    </row>
    <row r="85" spans="1:14">
      <c r="M85" s="120"/>
      <c r="N85" s="44"/>
    </row>
    <row r="117" spans="1:14" ht="12" customHeight="1">
      <c r="A117" s="42"/>
      <c r="B117" s="120"/>
      <c r="C117" s="120"/>
      <c r="D117" s="120"/>
      <c r="E117" s="120"/>
      <c r="F117" s="120"/>
      <c r="G117" s="120"/>
      <c r="H117" s="255"/>
      <c r="I117" s="255"/>
      <c r="J117" s="120"/>
      <c r="K117" s="120"/>
      <c r="L117" s="120"/>
    </row>
    <row r="120" spans="1:14">
      <c r="M120" s="120"/>
      <c r="N120" s="120"/>
    </row>
  </sheetData>
  <mergeCells count="3">
    <mergeCell ref="C7:G7"/>
    <mergeCell ref="H7:M7"/>
    <mergeCell ref="O7:T7"/>
  </mergeCells>
  <pageMargins left="0.7" right="0.7" top="0.75" bottom="0.75" header="0.3" footer="0.3"/>
  <pageSetup paperSize="9" scale="4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1B8C-EE5F-43D2-AE7E-4C8F05E1C1F0}">
  <sheetPr>
    <tabColor theme="1"/>
  </sheetPr>
  <dimension ref="B7"/>
  <sheetViews>
    <sheetView workbookViewId="0">
      <selection activeCell="B7" sqref="B7"/>
    </sheetView>
  </sheetViews>
  <sheetFormatPr defaultColWidth="8.81640625" defaultRowHeight="14.5"/>
  <cols>
    <col min="1" max="16384" width="8.81640625" style="1"/>
  </cols>
  <sheetData>
    <row r="7" spans="2:2" ht="26">
      <c r="B7" s="2" t="s">
        <v>984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80348-4C17-484A-A74E-9A7AB4071B2E}">
  <sheetPr>
    <tabColor theme="1"/>
    <pageSetUpPr fitToPage="1"/>
  </sheetPr>
  <dimension ref="A1:S122"/>
  <sheetViews>
    <sheetView zoomScaleNormal="100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P17" sqref="P17"/>
    </sheetView>
  </sheetViews>
  <sheetFormatPr defaultColWidth="12.54296875" defaultRowHeight="12"/>
  <cols>
    <col min="1" max="1" width="30.81640625" style="40" customWidth="1"/>
    <col min="2" max="2" width="0.453125" style="40" customWidth="1"/>
    <col min="3" max="6" width="8" style="40" customWidth="1"/>
    <col min="7" max="7" width="8.81640625" style="262" customWidth="1"/>
    <col min="8" max="9" width="8" style="250" customWidth="1"/>
    <col min="10" max="10" width="8.453125" style="41" bestFit="1" customWidth="1"/>
    <col min="11" max="13" width="8" style="41" customWidth="1"/>
    <col min="14" max="14" width="1.453125" style="41" customWidth="1"/>
    <col min="15" max="15" width="12.54296875" style="120"/>
    <col min="16" max="16" width="13" style="120" customWidth="1"/>
    <col min="17" max="16384" width="12.54296875" style="120"/>
  </cols>
  <sheetData>
    <row r="1" spans="1:19" ht="12" customHeight="1">
      <c r="A1" s="121" t="s">
        <v>863</v>
      </c>
      <c r="B1" s="121"/>
      <c r="C1" s="121"/>
      <c r="D1" s="121"/>
      <c r="E1" s="121"/>
      <c r="F1" s="121"/>
      <c r="G1" s="121"/>
      <c r="I1" s="251"/>
      <c r="J1" s="121"/>
      <c r="K1" s="121"/>
      <c r="L1" s="121"/>
      <c r="M1" s="121"/>
      <c r="N1" s="121"/>
    </row>
    <row r="2" spans="1:19" ht="12" customHeight="1">
      <c r="A2" s="43"/>
      <c r="B2" s="43"/>
      <c r="C2" s="43"/>
      <c r="D2" s="43"/>
      <c r="E2" s="43"/>
      <c r="F2" s="43"/>
      <c r="G2" s="86"/>
    </row>
    <row r="3" spans="1:19" ht="12" customHeight="1">
      <c r="A3" s="1213" t="s">
        <v>985</v>
      </c>
      <c r="B3" s="252"/>
      <c r="C3" s="252"/>
      <c r="D3" s="252"/>
      <c r="E3" s="252"/>
      <c r="F3" s="252"/>
      <c r="G3" s="253"/>
      <c r="H3" s="85"/>
      <c r="I3" s="85"/>
      <c r="J3" s="44"/>
      <c r="K3" s="44"/>
      <c r="L3" s="44"/>
      <c r="M3" s="44"/>
      <c r="N3" s="44"/>
    </row>
    <row r="4" spans="1:19" ht="12" customHeight="1">
      <c r="A4" s="56" t="s">
        <v>986</v>
      </c>
      <c r="B4" s="252"/>
      <c r="C4" s="252"/>
      <c r="D4" s="252"/>
      <c r="E4" s="252"/>
      <c r="F4" s="252"/>
      <c r="G4" s="253"/>
      <c r="H4" s="85"/>
      <c r="I4" s="85"/>
      <c r="J4" s="44"/>
      <c r="K4" s="44"/>
      <c r="L4" s="44"/>
      <c r="M4" s="44"/>
      <c r="N4" s="44"/>
    </row>
    <row r="5" spans="1:19" ht="12" customHeight="1">
      <c r="A5" s="76" t="s">
        <v>987</v>
      </c>
      <c r="B5" s="252"/>
      <c r="C5" s="252"/>
      <c r="D5" s="252"/>
      <c r="E5" s="252"/>
      <c r="F5" s="44"/>
      <c r="G5" s="85"/>
      <c r="H5" s="85"/>
      <c r="I5" s="85"/>
      <c r="J5" s="44"/>
      <c r="K5" s="44"/>
      <c r="L5" s="44"/>
      <c r="M5" s="44"/>
      <c r="N5" s="44"/>
    </row>
    <row r="6" spans="1:19" ht="12" customHeight="1">
      <c r="A6" s="43"/>
      <c r="B6" s="43"/>
      <c r="C6" s="43"/>
      <c r="D6" s="43"/>
      <c r="E6" s="43"/>
      <c r="F6" s="43"/>
      <c r="G6" s="86"/>
    </row>
    <row r="7" spans="1:19" s="254" customFormat="1" ht="12" customHeight="1">
      <c r="C7" s="1673" t="s">
        <v>866</v>
      </c>
      <c r="D7" s="1674"/>
      <c r="E7" s="1674"/>
      <c r="F7" s="1674"/>
      <c r="G7" s="1675"/>
      <c r="H7" s="1671" t="s">
        <v>867</v>
      </c>
      <c r="I7" s="1672"/>
      <c r="J7" s="1672"/>
      <c r="K7" s="1672"/>
      <c r="L7" s="1672"/>
      <c r="M7" s="1678"/>
      <c r="N7" s="400"/>
    </row>
    <row r="8" spans="1:19" ht="12" customHeight="1">
      <c r="A8" s="120"/>
      <c r="B8" s="120"/>
      <c r="C8" s="120"/>
      <c r="D8" s="120"/>
      <c r="E8" s="120"/>
      <c r="F8" s="120"/>
      <c r="G8" s="255"/>
      <c r="H8" s="256"/>
      <c r="I8" s="256"/>
      <c r="J8" s="257"/>
      <c r="K8" s="257"/>
      <c r="L8" s="257"/>
      <c r="M8" s="257"/>
      <c r="N8" s="257"/>
    </row>
    <row r="9" spans="1:19" s="261" customFormat="1" ht="12" customHeight="1">
      <c r="A9" s="1547" t="s">
        <v>869</v>
      </c>
      <c r="B9" s="43"/>
      <c r="C9" s="117">
        <v>2015</v>
      </c>
      <c r="D9" s="117">
        <v>2016</v>
      </c>
      <c r="E9" s="117">
        <v>2017</v>
      </c>
      <c r="F9" s="117">
        <v>2018</v>
      </c>
      <c r="G9" s="116">
        <v>2019</v>
      </c>
      <c r="H9" s="258">
        <v>2020</v>
      </c>
      <c r="I9" s="258">
        <v>2021</v>
      </c>
      <c r="J9" s="117" t="s">
        <v>870</v>
      </c>
      <c r="K9" s="117">
        <v>2022</v>
      </c>
      <c r="L9" s="117">
        <v>2023</v>
      </c>
      <c r="M9" s="116">
        <v>2024</v>
      </c>
      <c r="N9" s="119"/>
    </row>
    <row r="10" spans="1:19" ht="12" customHeight="1">
      <c r="A10" s="43"/>
      <c r="B10" s="43"/>
      <c r="C10" s="43"/>
      <c r="D10" s="43"/>
      <c r="E10" s="43"/>
      <c r="F10" s="43"/>
      <c r="G10" s="86"/>
      <c r="H10" s="262"/>
      <c r="I10" s="262"/>
      <c r="J10" s="40"/>
      <c r="K10" s="40"/>
    </row>
    <row r="11" spans="1:19" ht="15.65" customHeight="1">
      <c r="A11" s="62" t="s">
        <v>871</v>
      </c>
      <c r="B11" s="62"/>
      <c r="C11" s="62"/>
      <c r="D11" s="62"/>
      <c r="E11" s="62"/>
      <c r="F11" s="62"/>
      <c r="G11" s="401"/>
      <c r="H11" s="263"/>
      <c r="I11" s="263"/>
      <c r="J11" s="61"/>
      <c r="K11" s="61"/>
      <c r="L11" s="61"/>
      <c r="M11" s="75"/>
      <c r="N11" s="75"/>
    </row>
    <row r="12" spans="1:19" ht="12" customHeight="1">
      <c r="A12" s="1215" t="s">
        <v>872</v>
      </c>
      <c r="B12" s="1224"/>
      <c r="C12" s="1216">
        <f>'ANSP ERT'!C12+'MET ERT'!C12+'Supervision ERT'!C12</f>
        <v>60004</v>
      </c>
      <c r="D12" s="1216">
        <f>'ANSP ERT'!D12+'MET ERT'!D12+'Supervision ERT'!D12</f>
        <v>60772</v>
      </c>
      <c r="E12" s="1216">
        <f>'ANSP ERT'!E12+'MET ERT'!E12+'Supervision ERT'!E12</f>
        <v>63213</v>
      </c>
      <c r="F12" s="1216">
        <f>'ANSP ERT'!F12+'MET ERT'!F12+'Supervision ERT'!F12</f>
        <v>64821</v>
      </c>
      <c r="G12" s="1353">
        <f>'ANSP ERT'!G12+'MET ERT'!G12+'Supervision ERT'!G12</f>
        <v>64308</v>
      </c>
      <c r="H12" s="1354">
        <f>'ANSP ERT'!H12+'MET ERT'!H12+'Supervision ERT'!H12</f>
        <v>58498.029760628757</v>
      </c>
      <c r="I12" s="1355">
        <f>'ANSP ERT'!I12+'MET ERT'!I12+'Supervision ERT'!I12</f>
        <v>55748.667197191258</v>
      </c>
      <c r="J12" s="1356">
        <f>'ANSP ERT'!J12+'MET ERT'!J12+'Supervision ERT'!J12</f>
        <v>114246.69695782001</v>
      </c>
      <c r="K12" s="1356">
        <f>'ANSP ERT'!K12+'MET ERT'!K12+'Supervision ERT'!K12</f>
        <v>66873.943661548066</v>
      </c>
      <c r="L12" s="1356">
        <f>'ANSP ERT'!L12+'MET ERT'!L12+'Supervision ERT'!L12</f>
        <v>69607.246892088748</v>
      </c>
      <c r="M12" s="1353">
        <f>'ANSP ERT'!M12+'MET ERT'!M12+'Supervision ERT'!M12</f>
        <v>71716.346653787739</v>
      </c>
      <c r="N12" s="115"/>
      <c r="P12" s="613"/>
      <c r="Q12" s="613"/>
      <c r="R12" s="613"/>
      <c r="S12" s="613"/>
    </row>
    <row r="13" spans="1:19" ht="12" customHeight="1">
      <c r="A13" s="74" t="s">
        <v>873</v>
      </c>
      <c r="B13" s="74"/>
      <c r="C13" s="125"/>
      <c r="D13" s="125"/>
      <c r="E13" s="125"/>
      <c r="F13" s="125"/>
      <c r="G13" s="285"/>
      <c r="H13" s="614">
        <f>'ANSP ERT'!H13+'MET ERT'!H13+'Supervision ERT'!H13</f>
        <v>11880.834292067413</v>
      </c>
      <c r="I13" s="615">
        <f>'ANSP ERT'!I13+'MET ERT'!I13+'Supervision ERT'!I13</f>
        <v>12184.857938550022</v>
      </c>
      <c r="J13" s="616">
        <f>'ANSP ERT'!J13+'MET ERT'!J13+'Supervision ERT'!J13</f>
        <v>24065.692230617431</v>
      </c>
      <c r="K13" s="616">
        <f>'ANSP ERT'!K13+'MET ERT'!K13+'Supervision ERT'!K13</f>
        <v>13462.038885537122</v>
      </c>
      <c r="L13" s="616">
        <f>'ANSP ERT'!L13+'MET ERT'!L13+'Supervision ERT'!L13</f>
        <v>13533.898068426299</v>
      </c>
      <c r="M13" s="617">
        <f>'ANSP ERT'!M13+'MET ERT'!M13+'Supervision ERT'!M13</f>
        <v>13302.751503889027</v>
      </c>
      <c r="N13" s="115"/>
      <c r="P13" s="613"/>
      <c r="Q13" s="613"/>
      <c r="R13" s="613"/>
      <c r="S13" s="613"/>
    </row>
    <row r="14" spans="1:19" ht="12" customHeight="1">
      <c r="A14" s="74" t="s">
        <v>874</v>
      </c>
      <c r="B14" s="74"/>
      <c r="C14" s="114">
        <f>'ANSP ERT'!C14+'MET ERT'!C14+'Supervision ERT'!C14</f>
        <v>31445</v>
      </c>
      <c r="D14" s="114">
        <f>'ANSP ERT'!D14+'MET ERT'!D14+'Supervision ERT'!D14</f>
        <v>33090</v>
      </c>
      <c r="E14" s="114">
        <f>'ANSP ERT'!E14+'MET ERT'!E14+'Supervision ERT'!E14</f>
        <v>35848</v>
      </c>
      <c r="F14" s="114">
        <f>'ANSP ERT'!F14+'MET ERT'!F14+'Supervision ERT'!F14</f>
        <v>37549</v>
      </c>
      <c r="G14" s="617">
        <f>'ANSP ERT'!G14+'MET ERT'!G14+'Supervision ERT'!G14</f>
        <v>41765</v>
      </c>
      <c r="H14" s="614">
        <f>'ANSP ERT'!H14+'MET ERT'!H14+'Supervision ERT'!H14</f>
        <v>35592.68106995838</v>
      </c>
      <c r="I14" s="615">
        <f>'ANSP ERT'!I14+'MET ERT'!I14+'Supervision ERT'!I14</f>
        <v>39094.378826653257</v>
      </c>
      <c r="J14" s="616">
        <f>'ANSP ERT'!J14+'MET ERT'!J14+'Supervision ERT'!J14</f>
        <v>74687.059896611638</v>
      </c>
      <c r="K14" s="616">
        <f>'ANSP ERT'!K14+'MET ERT'!K14+'Supervision ERT'!K14</f>
        <v>41742.569227460801</v>
      </c>
      <c r="L14" s="616">
        <f>'ANSP ERT'!L14+'MET ERT'!L14+'Supervision ERT'!L14</f>
        <v>43677.708583158303</v>
      </c>
      <c r="M14" s="617">
        <f>'ANSP ERT'!M14+'MET ERT'!M14+'Supervision ERT'!M14</f>
        <v>45265.882161383255</v>
      </c>
      <c r="N14" s="115"/>
      <c r="P14" s="613"/>
      <c r="Q14" s="613"/>
      <c r="R14" s="613"/>
      <c r="S14" s="613"/>
    </row>
    <row r="15" spans="1:19" ht="12" customHeight="1">
      <c r="A15" s="74" t="s">
        <v>875</v>
      </c>
      <c r="B15" s="74"/>
      <c r="C15" s="114">
        <f>'ANSP ERT'!C15+'MET ERT'!C15+'Supervision ERT'!C15</f>
        <v>8693</v>
      </c>
      <c r="D15" s="114">
        <f>'ANSP ERT'!D15+'MET ERT'!D15+'Supervision ERT'!D15</f>
        <v>8713</v>
      </c>
      <c r="E15" s="114">
        <f>'ANSP ERT'!E15+'MET ERT'!E15+'Supervision ERT'!E15</f>
        <v>9106</v>
      </c>
      <c r="F15" s="114">
        <f>'ANSP ERT'!F15+'MET ERT'!F15+'Supervision ERT'!F15</f>
        <v>9917</v>
      </c>
      <c r="G15" s="617">
        <f>'ANSP ERT'!G15+'MET ERT'!G15+'Supervision ERT'!G15</f>
        <v>7733</v>
      </c>
      <c r="H15" s="614">
        <f>'ANSP ERT'!H15+'MET ERT'!H15+'Supervision ERT'!H15</f>
        <v>6784.2056170609067</v>
      </c>
      <c r="I15" s="615">
        <f>'ANSP ERT'!I15+'MET ERT'!I15+'Supervision ERT'!I15</f>
        <v>8045.2947361581028</v>
      </c>
      <c r="J15" s="616">
        <f>'ANSP ERT'!J15+'MET ERT'!J15+'Supervision ERT'!J15</f>
        <v>14829.500353219008</v>
      </c>
      <c r="K15" s="616">
        <f>'ANSP ERT'!K15+'MET ERT'!K15+'Supervision ERT'!K15</f>
        <v>9240.9564647329607</v>
      </c>
      <c r="L15" s="616">
        <f>'ANSP ERT'!L15+'MET ERT'!L15+'Supervision ERT'!L15</f>
        <v>9850.8478313520354</v>
      </c>
      <c r="M15" s="617">
        <f>'ANSP ERT'!M15+'MET ERT'!M15+'Supervision ERT'!M15</f>
        <v>8691.8379101112496</v>
      </c>
      <c r="N15" s="115"/>
      <c r="P15" s="613"/>
      <c r="Q15" s="613"/>
      <c r="R15" s="613"/>
      <c r="S15" s="613"/>
    </row>
    <row r="16" spans="1:19" ht="12" customHeight="1">
      <c r="A16" s="74" t="s">
        <v>876</v>
      </c>
      <c r="B16" s="74"/>
      <c r="C16" s="114">
        <f>'ANSP ERT'!C16+'MET ERT'!C16+'Supervision ERT'!C16</f>
        <v>6642.7659999999996</v>
      </c>
      <c r="D16" s="114">
        <f>'ANSP ERT'!D16+'MET ERT'!D16+'Supervision ERT'!D16</f>
        <v>6095.6379280000001</v>
      </c>
      <c r="E16" s="114">
        <f>'ANSP ERT'!E16+'MET ERT'!E16+'Supervision ERT'!E16</f>
        <v>5744</v>
      </c>
      <c r="F16" s="114">
        <f>'ANSP ERT'!F16+'MET ERT'!F16+'Supervision ERT'!F16</f>
        <v>5607</v>
      </c>
      <c r="G16" s="617">
        <f>'ANSP ERT'!G16+'MET ERT'!G16+'Supervision ERT'!G16</f>
        <v>4377</v>
      </c>
      <c r="H16" s="614">
        <f>'ANSP ERT'!H16+'MET ERT'!H16+'Supervision ERT'!H16</f>
        <v>1143.2921116156531</v>
      </c>
      <c r="I16" s="615">
        <f>'ANSP ERT'!I16+'MET ERT'!I16+'Supervision ERT'!I16</f>
        <v>2463.7570797213893</v>
      </c>
      <c r="J16" s="616">
        <f>'ANSP ERT'!J16+'MET ERT'!J16+'Supervision ERT'!J16</f>
        <v>3607.0491913370424</v>
      </c>
      <c r="K16" s="616">
        <f>'ANSP ERT'!K16+'MET ERT'!K16+'Supervision ERT'!K16</f>
        <v>3071.3319322360785</v>
      </c>
      <c r="L16" s="616">
        <f>'ANSP ERT'!L16+'MET ERT'!L16+'Supervision ERT'!L16</f>
        <v>3573.9292471576978</v>
      </c>
      <c r="M16" s="617">
        <f>'ANSP ERT'!M16+'MET ERT'!M16+'Supervision ERT'!M16</f>
        <v>3506.788533175773</v>
      </c>
      <c r="N16" s="115"/>
      <c r="P16" s="613"/>
      <c r="Q16" s="613"/>
      <c r="R16" s="613"/>
      <c r="S16" s="613"/>
    </row>
    <row r="17" spans="1:19" ht="12" customHeight="1">
      <c r="A17" s="74" t="s">
        <v>877</v>
      </c>
      <c r="B17" s="74"/>
      <c r="C17" s="114">
        <f>'ANSP ERT'!C17+'MET ERT'!C17+'Supervision ERT'!C17</f>
        <v>0</v>
      </c>
      <c r="D17" s="114">
        <f>'ANSP ERT'!D17+'MET ERT'!D17+'Supervision ERT'!D17</f>
        <v>0</v>
      </c>
      <c r="E17" s="114">
        <f>'ANSP ERT'!E17+'MET ERT'!E17+'Supervision ERT'!E17</f>
        <v>0</v>
      </c>
      <c r="F17" s="114">
        <f>'ANSP ERT'!F17+'MET ERT'!F17+'Supervision ERT'!F17</f>
        <v>0</v>
      </c>
      <c r="G17" s="617">
        <f>'ANSP ERT'!G17+'MET ERT'!G17+'Supervision ERT'!G17</f>
        <v>0</v>
      </c>
      <c r="H17" s="614">
        <f>'ANSP ERT'!H17+'MET ERT'!H17+'Supervision ERT'!H17</f>
        <v>1210.8</v>
      </c>
      <c r="I17" s="615">
        <f>'ANSP ERT'!I17+'MET ERT'!I17+'Supervision ERT'!I17</f>
        <v>2219.7494289199999</v>
      </c>
      <c r="J17" s="616">
        <f>'ANSP ERT'!J17+'MET ERT'!J17+'Supervision ERT'!J17</f>
        <v>3430.5494289199996</v>
      </c>
      <c r="K17" s="616">
        <f>'ANSP ERT'!K17+'MET ERT'!K17+'Supervision ERT'!K17</f>
        <v>1025.9021144908797</v>
      </c>
      <c r="L17" s="616">
        <f>'ANSP ERT'!L17+'MET ERT'!L17+'Supervision ERT'!L17</f>
        <v>1046.4201567806974</v>
      </c>
      <c r="M17" s="617">
        <f>'ANSP ERT'!M17+'MET ERT'!M17+'Supervision ERT'!M17</f>
        <v>1067.3485599163114</v>
      </c>
      <c r="N17" s="115"/>
      <c r="P17" s="613"/>
      <c r="Q17" s="613"/>
      <c r="R17" s="613"/>
      <c r="S17" s="613"/>
    </row>
    <row r="18" spans="1:19" ht="12" customHeight="1">
      <c r="A18" s="111" t="s">
        <v>878</v>
      </c>
      <c r="B18" s="73"/>
      <c r="C18" s="81">
        <f>'ANSP ERT'!C18+'MET ERT'!C18+'Supervision ERT'!C18</f>
        <v>106784.766</v>
      </c>
      <c r="D18" s="81">
        <f>'ANSP ERT'!D18+'MET ERT'!D18+'Supervision ERT'!D18</f>
        <v>108670.637928</v>
      </c>
      <c r="E18" s="81">
        <f>'ANSP ERT'!E18+'MET ERT'!E18+'Supervision ERT'!E18</f>
        <v>113911</v>
      </c>
      <c r="F18" s="81">
        <f>'ANSP ERT'!F18+'MET ERT'!F18+'Supervision ERT'!F18</f>
        <v>117894</v>
      </c>
      <c r="G18" s="270">
        <f>'ANSP ERT'!G18+'MET ERT'!G18+'Supervision ERT'!G18</f>
        <v>118183</v>
      </c>
      <c r="H18" s="920">
        <f>'ANSP ERT'!H18+'MET ERT'!H18+'Supervision ERT'!H18</f>
        <v>103229.00855926369</v>
      </c>
      <c r="I18" s="271">
        <f>'ANSP ERT'!I18+'MET ERT'!I18+'Supervision ERT'!I18</f>
        <v>107571.84726864401</v>
      </c>
      <c r="J18" s="272">
        <f>'ANSP ERT'!J18+'MET ERT'!J18+'Supervision ERT'!J18</f>
        <v>210800.85582790768</v>
      </c>
      <c r="K18" s="272">
        <f>'ANSP ERT'!K18+'MET ERT'!K18+'Supervision ERT'!K18</f>
        <v>121954.70340046877</v>
      </c>
      <c r="L18" s="272">
        <f>'ANSP ERT'!L18+'MET ERT'!L18+'Supervision ERT'!L18</f>
        <v>127756.15271053748</v>
      </c>
      <c r="M18" s="270">
        <f>'ANSP ERT'!M18+'MET ERT'!M18+'Supervision ERT'!M18</f>
        <v>130248.20381837431</v>
      </c>
      <c r="N18" s="115"/>
      <c r="P18" s="613"/>
      <c r="Q18" s="613"/>
      <c r="R18" s="613"/>
      <c r="S18" s="613"/>
    </row>
    <row r="19" spans="1:19" ht="12" customHeight="1">
      <c r="A19" s="109" t="s">
        <v>879</v>
      </c>
      <c r="B19" s="68"/>
      <c r="C19" s="71"/>
      <c r="D19" s="71">
        <f t="shared" ref="D19:I19" si="0">D18/C18-1</f>
        <v>1.7660495955012845E-2</v>
      </c>
      <c r="E19" s="71">
        <f t="shared" si="0"/>
        <v>4.8222428541111695E-2</v>
      </c>
      <c r="F19" s="71">
        <f t="shared" si="0"/>
        <v>3.4965894426350452E-2</v>
      </c>
      <c r="G19" s="273">
        <f t="shared" si="0"/>
        <v>2.4513546066806668E-3</v>
      </c>
      <c r="H19" s="921">
        <f t="shared" si="0"/>
        <v>-0.12653250840422325</v>
      </c>
      <c r="I19" s="274">
        <f t="shared" si="0"/>
        <v>4.2069944969849171E-2</v>
      </c>
      <c r="J19" s="275"/>
      <c r="K19" s="276">
        <f>K18/I18-1</f>
        <v>0.13370464946935257</v>
      </c>
      <c r="L19" s="276">
        <f>L18/K18-1</f>
        <v>4.7570525353320736E-2</v>
      </c>
      <c r="M19" s="273">
        <f>M18/L18-1</f>
        <v>1.9506309911219599E-2</v>
      </c>
      <c r="N19" s="115"/>
    </row>
    <row r="20" spans="1:19" ht="12" customHeight="1">
      <c r="A20" s="68"/>
      <c r="B20" s="68"/>
      <c r="C20" s="68"/>
      <c r="D20" s="68"/>
      <c r="E20" s="68"/>
      <c r="F20" s="68"/>
      <c r="G20" s="277"/>
      <c r="H20" s="619"/>
      <c r="I20" s="619"/>
      <c r="J20" s="67"/>
      <c r="K20" s="277"/>
      <c r="L20" s="277"/>
      <c r="M20" s="277"/>
      <c r="N20" s="115"/>
    </row>
    <row r="21" spans="1:19" ht="15.65" customHeight="1">
      <c r="A21" s="62" t="s">
        <v>880</v>
      </c>
      <c r="B21" s="62"/>
      <c r="C21" s="62"/>
      <c r="D21" s="62"/>
      <c r="E21" s="62"/>
      <c r="F21" s="62"/>
      <c r="G21" s="279"/>
      <c r="H21" s="923"/>
      <c r="I21" s="923"/>
      <c r="J21" s="61"/>
      <c r="K21" s="280"/>
      <c r="L21" s="280"/>
      <c r="M21" s="281"/>
      <c r="N21" s="115"/>
    </row>
    <row r="22" spans="1:19" ht="12" customHeight="1">
      <c r="A22" s="1224" t="s">
        <v>881</v>
      </c>
      <c r="B22" s="57"/>
      <c r="C22" s="1357"/>
      <c r="D22" s="1357"/>
      <c r="E22" s="1357"/>
      <c r="F22" s="1357"/>
      <c r="G22" s="1358"/>
      <c r="H22" s="1359"/>
      <c r="I22" s="1360"/>
      <c r="J22" s="1361"/>
      <c r="K22" s="1361"/>
      <c r="L22" s="1361"/>
      <c r="M22" s="1362"/>
      <c r="N22" s="115"/>
      <c r="P22" s="613"/>
      <c r="Q22" s="613"/>
      <c r="R22" s="613"/>
      <c r="S22" s="613"/>
    </row>
    <row r="23" spans="1:19" ht="12" customHeight="1">
      <c r="A23" s="57" t="s">
        <v>882</v>
      </c>
      <c r="B23" s="74"/>
      <c r="C23" s="526"/>
      <c r="D23" s="526"/>
      <c r="E23" s="526"/>
      <c r="F23" s="526"/>
      <c r="G23" s="676"/>
      <c r="H23" s="677"/>
      <c r="I23" s="678"/>
      <c r="J23" s="679"/>
      <c r="K23" s="679"/>
      <c r="L23" s="679"/>
      <c r="M23" s="680"/>
      <c r="N23" s="115"/>
      <c r="P23" s="613"/>
      <c r="Q23" s="613"/>
      <c r="R23" s="613"/>
      <c r="S23" s="613"/>
    </row>
    <row r="24" spans="1:19" ht="12" customHeight="1">
      <c r="A24" s="57" t="s">
        <v>883</v>
      </c>
      <c r="B24" s="74"/>
      <c r="C24" s="526"/>
      <c r="D24" s="526"/>
      <c r="E24" s="526"/>
      <c r="F24" s="526"/>
      <c r="G24" s="676"/>
      <c r="H24" s="677"/>
      <c r="I24" s="678"/>
      <c r="J24" s="679"/>
      <c r="K24" s="679"/>
      <c r="L24" s="679"/>
      <c r="M24" s="680"/>
      <c r="N24" s="115"/>
      <c r="P24" s="613"/>
      <c r="Q24" s="613"/>
      <c r="R24" s="613"/>
      <c r="S24" s="613"/>
    </row>
    <row r="25" spans="1:19" ht="12" customHeight="1">
      <c r="A25" s="57" t="s">
        <v>884</v>
      </c>
      <c r="B25" s="74"/>
      <c r="C25" s="526"/>
      <c r="D25" s="526"/>
      <c r="E25" s="526"/>
      <c r="F25" s="526"/>
      <c r="G25" s="676"/>
      <c r="H25" s="677"/>
      <c r="I25" s="678"/>
      <c r="J25" s="679"/>
      <c r="K25" s="679"/>
      <c r="L25" s="679"/>
      <c r="M25" s="680"/>
      <c r="N25" s="115"/>
      <c r="P25" s="613"/>
      <c r="Q25" s="613"/>
      <c r="R25" s="613"/>
      <c r="S25" s="613"/>
    </row>
    <row r="26" spans="1:19" ht="12" customHeight="1">
      <c r="A26" s="57" t="s">
        <v>885</v>
      </c>
      <c r="B26" s="74"/>
      <c r="C26" s="526"/>
      <c r="D26" s="526"/>
      <c r="E26" s="526"/>
      <c r="F26" s="526"/>
      <c r="G26" s="676"/>
      <c r="H26" s="677"/>
      <c r="I26" s="678"/>
      <c r="J26" s="679"/>
      <c r="K26" s="679"/>
      <c r="L26" s="679"/>
      <c r="M26" s="680"/>
      <c r="N26" s="115"/>
      <c r="P26" s="613"/>
      <c r="Q26" s="613"/>
      <c r="R26" s="613"/>
      <c r="S26" s="613"/>
    </row>
    <row r="27" spans="1:19" ht="12" customHeight="1">
      <c r="A27" s="57" t="s">
        <v>886</v>
      </c>
      <c r="B27" s="74"/>
      <c r="C27" s="526"/>
      <c r="D27" s="526"/>
      <c r="E27" s="526"/>
      <c r="F27" s="526"/>
      <c r="G27" s="676"/>
      <c r="H27" s="677"/>
      <c r="I27" s="678"/>
      <c r="J27" s="679"/>
      <c r="K27" s="679"/>
      <c r="L27" s="679"/>
      <c r="M27" s="680"/>
      <c r="N27" s="115"/>
      <c r="P27" s="613"/>
      <c r="Q27" s="613"/>
      <c r="R27" s="613"/>
      <c r="S27" s="613"/>
    </row>
    <row r="28" spans="1:19" ht="12" customHeight="1">
      <c r="A28" s="57" t="s">
        <v>887</v>
      </c>
      <c r="B28" s="74"/>
      <c r="C28" s="526"/>
      <c r="D28" s="526"/>
      <c r="E28" s="526"/>
      <c r="F28" s="526"/>
      <c r="G28" s="676"/>
      <c r="H28" s="677"/>
      <c r="I28" s="678"/>
      <c r="J28" s="679"/>
      <c r="K28" s="679"/>
      <c r="L28" s="679"/>
      <c r="M28" s="680"/>
      <c r="N28" s="115"/>
      <c r="P28" s="613"/>
      <c r="Q28" s="613"/>
      <c r="R28" s="613"/>
      <c r="S28" s="613"/>
    </row>
    <row r="29" spans="1:19" ht="12" customHeight="1">
      <c r="A29" s="57" t="s">
        <v>888</v>
      </c>
      <c r="B29" s="74"/>
      <c r="C29" s="526"/>
      <c r="D29" s="526"/>
      <c r="E29" s="526"/>
      <c r="F29" s="526"/>
      <c r="G29" s="676"/>
      <c r="H29" s="677"/>
      <c r="I29" s="678"/>
      <c r="J29" s="679"/>
      <c r="K29" s="679"/>
      <c r="L29" s="679"/>
      <c r="M29" s="680"/>
      <c r="N29" s="115"/>
      <c r="P29" s="613"/>
      <c r="Q29" s="613"/>
      <c r="R29" s="613"/>
      <c r="S29" s="613"/>
    </row>
    <row r="30" spans="1:19" ht="12" customHeight="1">
      <c r="A30" s="57" t="s">
        <v>889</v>
      </c>
      <c r="B30" s="74"/>
      <c r="C30" s="526"/>
      <c r="D30" s="526"/>
      <c r="E30" s="526"/>
      <c r="F30" s="526"/>
      <c r="G30" s="676"/>
      <c r="H30" s="677"/>
      <c r="I30" s="678"/>
      <c r="J30" s="679"/>
      <c r="K30" s="679"/>
      <c r="L30" s="679"/>
      <c r="M30" s="680"/>
      <c r="N30" s="115"/>
      <c r="P30" s="613"/>
      <c r="Q30" s="613"/>
      <c r="R30" s="613"/>
      <c r="S30" s="613"/>
    </row>
    <row r="31" spans="1:19" s="295" customFormat="1" ht="12" customHeight="1">
      <c r="A31" s="112" t="s">
        <v>890</v>
      </c>
      <c r="B31" s="111"/>
      <c r="C31" s="110"/>
      <c r="D31" s="110"/>
      <c r="E31" s="110"/>
      <c r="F31" s="110"/>
      <c r="G31" s="499"/>
      <c r="H31" s="920"/>
      <c r="I31" s="271"/>
      <c r="J31" s="272"/>
      <c r="K31" s="272"/>
      <c r="L31" s="272"/>
      <c r="M31" s="270"/>
      <c r="N31" s="115"/>
      <c r="P31" s="613"/>
      <c r="Q31" s="613"/>
      <c r="R31" s="613"/>
      <c r="S31" s="613"/>
    </row>
    <row r="32" spans="1:19" ht="12" customHeight="1">
      <c r="A32" s="109" t="s">
        <v>879</v>
      </c>
      <c r="B32" s="620"/>
      <c r="C32" s="71"/>
      <c r="D32" s="71"/>
      <c r="E32" s="71"/>
      <c r="F32" s="71"/>
      <c r="G32" s="273"/>
      <c r="H32" s="921"/>
      <c r="I32" s="274"/>
      <c r="J32" s="275"/>
      <c r="K32" s="276"/>
      <c r="L32" s="276"/>
      <c r="M32" s="273"/>
      <c r="N32" s="115"/>
    </row>
    <row r="33" spans="1:19" ht="12" customHeight="1">
      <c r="A33" s="68"/>
      <c r="B33" s="69"/>
      <c r="C33" s="69"/>
      <c r="D33" s="69"/>
      <c r="E33" s="69"/>
      <c r="F33" s="69"/>
      <c r="G33" s="297"/>
      <c r="H33" s="926"/>
      <c r="I33" s="926"/>
      <c r="J33" s="69"/>
      <c r="K33" s="297"/>
      <c r="L33" s="297"/>
      <c r="M33" s="297"/>
      <c r="N33" s="115"/>
    </row>
    <row r="34" spans="1:19" ht="15.65" customHeight="1">
      <c r="A34" s="62" t="s">
        <v>891</v>
      </c>
      <c r="B34" s="62"/>
      <c r="C34" s="62"/>
      <c r="D34" s="62"/>
      <c r="E34" s="62"/>
      <c r="F34" s="62"/>
      <c r="G34" s="279"/>
      <c r="H34" s="923"/>
      <c r="I34" s="923"/>
      <c r="J34" s="61"/>
      <c r="K34" s="280"/>
      <c r="L34" s="280"/>
      <c r="M34" s="281"/>
      <c r="N34" s="115"/>
    </row>
    <row r="35" spans="1:19" ht="12" customHeight="1">
      <c r="A35" s="62" t="s">
        <v>892</v>
      </c>
      <c r="B35" s="62"/>
      <c r="C35" s="62"/>
      <c r="D35" s="62"/>
      <c r="E35" s="62"/>
      <c r="F35" s="62"/>
      <c r="G35" s="279"/>
      <c r="H35" s="923"/>
      <c r="I35" s="923"/>
      <c r="J35" s="61"/>
      <c r="K35" s="280"/>
      <c r="L35" s="280"/>
      <c r="M35" s="280"/>
      <c r="N35" s="115"/>
    </row>
    <row r="36" spans="1:19" s="257" customFormat="1" ht="12" customHeight="1">
      <c r="A36" s="1235" t="s">
        <v>893</v>
      </c>
      <c r="B36" s="59"/>
      <c r="C36" s="1236">
        <f>'ANSP ERT'!C36+'MET ERT'!C36+'Supervision ERT'!C36</f>
        <v>62140</v>
      </c>
      <c r="D36" s="1236">
        <f>'ANSP ERT'!D36+'MET ERT'!D36+'Supervision ERT'!D36</f>
        <v>56388.88</v>
      </c>
      <c r="E36" s="1236">
        <f>'ANSP ERT'!E36+'MET ERT'!E36+'Supervision ERT'!E36</f>
        <v>52029</v>
      </c>
      <c r="F36" s="1236">
        <f>'ANSP ERT'!F36+'MET ERT'!F36+'Supervision ERT'!F36</f>
        <v>49270.650263620388</v>
      </c>
      <c r="G36" s="1337">
        <f>'ANSP ERT'!G36+'MET ERT'!G36+'Supervision ERT'!G36</f>
        <v>38462</v>
      </c>
      <c r="H36" s="1338">
        <f>'ANSP ERT'!H36+'MET ERT'!H36+'Supervision ERT'!H36</f>
        <v>21962.503685848798</v>
      </c>
      <c r="I36" s="1339">
        <f>'ANSP ERT'!I36+'MET ERT'!I36+'Supervision ERT'!I36</f>
        <v>31661.666373059204</v>
      </c>
      <c r="J36" s="1363"/>
      <c r="K36" s="1337">
        <f>'ANSP ERT'!K36+'MET ERT'!K36+'Supervision ERT'!K36</f>
        <v>38576.283519847253</v>
      </c>
      <c r="L36" s="1337">
        <f>'ANSP ERT'!L36+'MET ERT'!L36+'Supervision ERT'!L36</f>
        <v>47551.656354088213</v>
      </c>
      <c r="M36" s="1340">
        <f>'ANSP ERT'!M36+'MET ERT'!M36+'Supervision ERT'!M36</f>
        <v>49884.767458301198</v>
      </c>
      <c r="N36" s="115"/>
      <c r="O36" s="120"/>
      <c r="P36" s="613"/>
      <c r="Q36" s="613"/>
      <c r="R36" s="613"/>
      <c r="S36" s="613"/>
    </row>
    <row r="37" spans="1:19" s="257" customFormat="1" ht="12" customHeight="1">
      <c r="A37" s="298" t="s">
        <v>894</v>
      </c>
      <c r="B37" s="59"/>
      <c r="C37" s="65">
        <f>'ANSP ERT'!C37+'MET ERT'!C37+'Supervision ERT'!C37</f>
        <v>0</v>
      </c>
      <c r="D37" s="65">
        <f>'ANSP ERT'!D37+'MET ERT'!D37+'Supervision ERT'!D37</f>
        <v>0</v>
      </c>
      <c r="E37" s="65">
        <f>'ANSP ERT'!E37+'MET ERT'!E37+'Supervision ERT'!E37</f>
        <v>0</v>
      </c>
      <c r="F37" s="65">
        <f>'ANSP ERT'!F37+'MET ERT'!F37+'Supervision ERT'!F37</f>
        <v>0</v>
      </c>
      <c r="G37" s="299">
        <f>'ANSP ERT'!G37+'MET ERT'!G37+'Supervision ERT'!G37</f>
        <v>0</v>
      </c>
      <c r="H37" s="927">
        <f>'ANSP ERT'!H37+'MET ERT'!H37+'Supervision ERT'!H37</f>
        <v>0</v>
      </c>
      <c r="I37" s="344">
        <f>'ANSP ERT'!I37+'MET ERT'!I37+'Supervision ERT'!I37</f>
        <v>0</v>
      </c>
      <c r="J37" s="621"/>
      <c r="K37" s="299">
        <f>'ANSP ERT'!K37+'MET ERT'!K37+'Supervision ERT'!K37</f>
        <v>0</v>
      </c>
      <c r="L37" s="299">
        <f>'ANSP ERT'!L37+'MET ERT'!L37+'Supervision ERT'!L37</f>
        <v>0</v>
      </c>
      <c r="M37" s="345">
        <f>'ANSP ERT'!M37+'MET ERT'!M37+'Supervision ERT'!M37</f>
        <v>0</v>
      </c>
      <c r="N37" s="115"/>
      <c r="O37" s="120"/>
      <c r="P37" s="613"/>
      <c r="Q37" s="613"/>
      <c r="R37" s="613"/>
      <c r="S37" s="613"/>
    </row>
    <row r="38" spans="1:19" s="257" customFormat="1" ht="12" customHeight="1">
      <c r="A38" s="298" t="s">
        <v>895</v>
      </c>
      <c r="B38" s="59"/>
      <c r="C38" s="65">
        <f>'ANSP ERT'!C38+'MET ERT'!C38+'Supervision ERT'!C38</f>
        <v>0</v>
      </c>
      <c r="D38" s="65">
        <f>'ANSP ERT'!D38+'MET ERT'!D38+'Supervision ERT'!D38</f>
        <v>0</v>
      </c>
      <c r="E38" s="65">
        <f>'ANSP ERT'!E38+'MET ERT'!E38+'Supervision ERT'!E38</f>
        <v>0</v>
      </c>
      <c r="F38" s="65">
        <f>'ANSP ERT'!F38+'MET ERT'!F38+'Supervision ERT'!F38</f>
        <v>0</v>
      </c>
      <c r="G38" s="299">
        <f>'ANSP ERT'!G38+'MET ERT'!G38+'Supervision ERT'!G38</f>
        <v>0</v>
      </c>
      <c r="H38" s="927">
        <f>'ANSP ERT'!H38+'MET ERT'!H38+'Supervision ERT'!H38</f>
        <v>0</v>
      </c>
      <c r="I38" s="344">
        <f>'ANSP ERT'!I38+'MET ERT'!I38+'Supervision ERT'!I38</f>
        <v>0</v>
      </c>
      <c r="J38" s="621"/>
      <c r="K38" s="299">
        <f>'ANSP ERT'!K38+'MET ERT'!K38+'Supervision ERT'!K38</f>
        <v>0</v>
      </c>
      <c r="L38" s="299">
        <f>'ANSP ERT'!L38+'MET ERT'!L38+'Supervision ERT'!L38</f>
        <v>0</v>
      </c>
      <c r="M38" s="345">
        <f>'ANSP ERT'!M38+'MET ERT'!M38+'Supervision ERT'!M38</f>
        <v>0</v>
      </c>
      <c r="N38" s="115"/>
      <c r="O38" s="120"/>
      <c r="P38" s="613"/>
      <c r="Q38" s="613"/>
      <c r="R38" s="613"/>
      <c r="S38" s="613"/>
    </row>
    <row r="39" spans="1:19" s="257" customFormat="1" ht="12" customHeight="1">
      <c r="A39" s="301" t="s">
        <v>896</v>
      </c>
      <c r="B39" s="59"/>
      <c r="C39" s="346">
        <f>'ANSP ERT'!C39+'MET ERT'!C39+'Supervision ERT'!C39</f>
        <v>62140</v>
      </c>
      <c r="D39" s="346">
        <f>'ANSP ERT'!D39+'MET ERT'!D39+'Supervision ERT'!D39</f>
        <v>56388.88</v>
      </c>
      <c r="E39" s="346">
        <f>'ANSP ERT'!E39+'MET ERT'!E39+'Supervision ERT'!E39</f>
        <v>52029</v>
      </c>
      <c r="F39" s="346">
        <f>'ANSP ERT'!F39+'MET ERT'!F39+'Supervision ERT'!F39</f>
        <v>49270.650263620388</v>
      </c>
      <c r="G39" s="347">
        <f>'ANSP ERT'!G39+'MET ERT'!G39+'Supervision ERT'!G39</f>
        <v>38462</v>
      </c>
      <c r="H39" s="937">
        <f>'ANSP ERT'!H39+'MET ERT'!H39+'Supervision ERT'!H39</f>
        <v>21962.503685848798</v>
      </c>
      <c r="I39" s="348">
        <f>'ANSP ERT'!I39+'MET ERT'!I39+'Supervision ERT'!I39</f>
        <v>31661.666373059204</v>
      </c>
      <c r="J39" s="622"/>
      <c r="K39" s="347">
        <f>'ANSP ERT'!K39+'MET ERT'!K39+'Supervision ERT'!K39</f>
        <v>38576.283519847253</v>
      </c>
      <c r="L39" s="347">
        <f>'ANSP ERT'!L39+'MET ERT'!L39+'Supervision ERT'!L39</f>
        <v>47551.656354088213</v>
      </c>
      <c r="M39" s="349">
        <f>'ANSP ERT'!M39+'MET ERT'!M39+'Supervision ERT'!M39</f>
        <v>49884.767458301198</v>
      </c>
      <c r="N39" s="115"/>
      <c r="O39" s="120"/>
      <c r="P39" s="613"/>
      <c r="Q39" s="613"/>
      <c r="R39" s="613"/>
      <c r="S39" s="613"/>
    </row>
    <row r="40" spans="1:19" ht="12" customHeight="1">
      <c r="A40" s="62" t="s">
        <v>897</v>
      </c>
      <c r="B40" s="62"/>
      <c r="C40" s="62"/>
      <c r="D40" s="62"/>
      <c r="E40" s="62"/>
      <c r="F40" s="62"/>
      <c r="G40" s="279"/>
      <c r="H40" s="929"/>
      <c r="I40" s="929"/>
      <c r="J40" s="60"/>
      <c r="K40" s="306"/>
      <c r="L40" s="306"/>
      <c r="M40" s="306"/>
      <c r="N40" s="115"/>
      <c r="P40" s="613"/>
      <c r="Q40" s="613"/>
      <c r="R40" s="613"/>
      <c r="S40" s="613"/>
    </row>
    <row r="41" spans="1:19" s="257" customFormat="1" ht="12" customHeight="1">
      <c r="A41" s="1239" t="s">
        <v>898</v>
      </c>
      <c r="B41" s="59"/>
      <c r="C41" s="1364"/>
      <c r="D41" s="1364"/>
      <c r="E41" s="1364"/>
      <c r="F41" s="1364"/>
      <c r="G41" s="1365"/>
      <c r="H41" s="1366"/>
      <c r="I41" s="1367"/>
      <c r="J41" s="1363"/>
      <c r="K41" s="1365"/>
      <c r="L41" s="1365"/>
      <c r="M41" s="1368"/>
      <c r="N41" s="115"/>
      <c r="O41" s="120"/>
    </row>
    <row r="42" spans="1:19" s="257" customFormat="1" ht="12" customHeight="1">
      <c r="A42" s="64" t="s">
        <v>899</v>
      </c>
      <c r="B42" s="59"/>
      <c r="C42" s="623"/>
      <c r="D42" s="623"/>
      <c r="E42" s="623"/>
      <c r="F42" s="623"/>
      <c r="G42" s="624"/>
      <c r="H42" s="625"/>
      <c r="I42" s="626"/>
      <c r="J42" s="621"/>
      <c r="K42" s="624"/>
      <c r="L42" s="624"/>
      <c r="M42" s="627"/>
      <c r="N42" s="115"/>
      <c r="O42" s="120"/>
    </row>
    <row r="43" spans="1:19" s="257" customFormat="1" ht="12" customHeight="1">
      <c r="A43" s="64" t="s">
        <v>900</v>
      </c>
      <c r="B43" s="59"/>
      <c r="C43" s="623"/>
      <c r="D43" s="623"/>
      <c r="E43" s="623"/>
      <c r="F43" s="623"/>
      <c r="G43" s="624"/>
      <c r="H43" s="625"/>
      <c r="I43" s="626"/>
      <c r="J43" s="621"/>
      <c r="K43" s="624"/>
      <c r="L43" s="624"/>
      <c r="M43" s="627"/>
      <c r="N43" s="115"/>
      <c r="O43" s="120"/>
    </row>
    <row r="44" spans="1:19" s="257" customFormat="1" ht="12" customHeight="1">
      <c r="A44" s="63" t="s">
        <v>901</v>
      </c>
      <c r="B44" s="59"/>
      <c r="C44" s="438"/>
      <c r="D44" s="438"/>
      <c r="E44" s="438"/>
      <c r="F44" s="438"/>
      <c r="G44" s="339"/>
      <c r="H44" s="629"/>
      <c r="I44" s="630"/>
      <c r="J44" s="622"/>
      <c r="K44" s="339"/>
      <c r="L44" s="339"/>
      <c r="M44" s="631"/>
      <c r="N44" s="115"/>
      <c r="O44" s="120"/>
    </row>
    <row r="45" spans="1:19" s="257" customFormat="1" ht="5.5" customHeight="1">
      <c r="A45" s="61"/>
      <c r="B45" s="44"/>
      <c r="C45" s="44"/>
      <c r="D45" s="44"/>
      <c r="E45" s="44"/>
      <c r="F45" s="44"/>
      <c r="G45" s="321"/>
      <c r="H45" s="932"/>
      <c r="I45" s="932"/>
      <c r="J45" s="322"/>
      <c r="K45" s="323"/>
      <c r="L45" s="323"/>
      <c r="M45" s="323"/>
      <c r="N45" s="115"/>
      <c r="O45" s="120"/>
    </row>
    <row r="46" spans="1:19" s="328" customFormat="1" ht="12" customHeight="1">
      <c r="A46" s="55" t="s">
        <v>902</v>
      </c>
      <c r="B46" s="44"/>
      <c r="C46" s="44"/>
      <c r="D46" s="44"/>
      <c r="E46" s="44"/>
      <c r="F46" s="44"/>
      <c r="G46" s="321"/>
      <c r="H46" s="933"/>
      <c r="I46" s="933"/>
      <c r="J46" s="47"/>
      <c r="K46" s="326"/>
      <c r="L46" s="326"/>
      <c r="M46" s="326"/>
      <c r="N46" s="115"/>
      <c r="O46" s="327"/>
    </row>
    <row r="47" spans="1:19" s="327" customFormat="1" ht="12" customHeight="1">
      <c r="A47" s="1548" t="s">
        <v>903</v>
      </c>
      <c r="B47" s="104"/>
      <c r="C47" s="433">
        <f>'MET ERT'!C47+'ANSP ERT'!C47+'Supervision ERT'!C47</f>
        <v>0</v>
      </c>
      <c r="D47" s="433">
        <f>'MET ERT'!D47+'ANSP ERT'!D47+'Supervision ERT'!D47</f>
        <v>0</v>
      </c>
      <c r="E47" s="433">
        <f>'MET ERT'!E47+'ANSP ERT'!E47+'Supervision ERT'!E47</f>
        <v>0</v>
      </c>
      <c r="F47" s="433">
        <f>'MET ERT'!F47+'ANSP ERT'!F47+'Supervision ERT'!F47</f>
        <v>0</v>
      </c>
      <c r="G47" s="632">
        <f>'MET ERT'!G47+'ANSP ERT'!G47+'Supervision ERT'!G47</f>
        <v>0</v>
      </c>
      <c r="H47" s="1369">
        <f>'MET ERT'!H47+'ANSP ERT'!H47+'Supervision ERT'!H47</f>
        <v>0</v>
      </c>
      <c r="I47" s="633">
        <f>'MET ERT'!I47+'ANSP ERT'!I47+'Supervision ERT'!I47</f>
        <v>0</v>
      </c>
      <c r="J47" s="632">
        <f>'MET ERT'!J47+'ANSP ERT'!J47+'Supervision ERT'!J47</f>
        <v>0</v>
      </c>
      <c r="K47" s="632">
        <f>'MET ERT'!K47+'ANSP ERT'!K47+'Supervision ERT'!K47</f>
        <v>0</v>
      </c>
      <c r="L47" s="632">
        <f>'MET ERT'!L47+'ANSP ERT'!L47+'Supervision ERT'!L47</f>
        <v>0</v>
      </c>
      <c r="M47" s="634">
        <f>'MET ERT'!M47+'ANSP ERT'!M47+'Supervision ERT'!M47</f>
        <v>0</v>
      </c>
      <c r="N47" s="115"/>
      <c r="P47" s="613"/>
      <c r="Q47" s="613"/>
      <c r="R47" s="613"/>
      <c r="S47" s="613"/>
    </row>
    <row r="48" spans="1:19" s="257" customFormat="1" ht="5.5" customHeight="1">
      <c r="A48" s="61"/>
      <c r="B48" s="44"/>
      <c r="C48" s="83"/>
      <c r="D48" s="83"/>
      <c r="E48" s="83"/>
      <c r="F48" s="83"/>
      <c r="G48" s="635"/>
      <c r="H48" s="636"/>
      <c r="I48" s="636"/>
      <c r="J48" s="322"/>
      <c r="K48" s="637"/>
      <c r="L48" s="637"/>
      <c r="M48" s="637"/>
      <c r="N48" s="115"/>
      <c r="O48" s="120"/>
    </row>
    <row r="49" spans="1:19" s="334" customFormat="1" ht="12" customHeight="1">
      <c r="A49" s="58" t="s">
        <v>904</v>
      </c>
      <c r="B49" s="43"/>
      <c r="C49" s="638"/>
      <c r="D49" s="638"/>
      <c r="E49" s="638"/>
      <c r="F49" s="638"/>
      <c r="G49" s="639"/>
      <c r="H49" s="640"/>
      <c r="I49" s="640"/>
      <c r="J49" s="66"/>
      <c r="K49" s="639"/>
      <c r="L49" s="639"/>
      <c r="M49" s="639"/>
      <c r="N49" s="115"/>
    </row>
    <row r="50" spans="1:19" s="257" customFormat="1" ht="12" customHeight="1">
      <c r="A50" s="1235" t="s">
        <v>905</v>
      </c>
      <c r="B50" s="59"/>
      <c r="C50" s="1252"/>
      <c r="D50" s="1252"/>
      <c r="E50" s="1252"/>
      <c r="F50" s="1252"/>
      <c r="G50" s="1324"/>
      <c r="H50" s="1370">
        <f>'ANSP ERT'!H50+'MET ERT'!H50+'Supervision ERT'!H50</f>
        <v>6770.0947743642773</v>
      </c>
      <c r="I50" s="1339">
        <f>'ANSP ERT'!I50+'MET ERT'!I50+'Supervision ERT'!I50</f>
        <v>8029.3893075807728</v>
      </c>
      <c r="J50" s="1337">
        <f>'ANSP ERT'!J50+'MET ERT'!J50+'Supervision ERT'!J50</f>
        <v>14799.484081945049</v>
      </c>
      <c r="K50" s="1337">
        <f>'ANSP ERT'!K50+'MET ERT'!K50+'Supervision ERT'!K50</f>
        <v>9032.5284657243683</v>
      </c>
      <c r="L50" s="1337">
        <f>'ANSP ERT'!L50+'MET ERT'!L50+'Supervision ERT'!L50</f>
        <v>9642.419832343443</v>
      </c>
      <c r="M50" s="1340">
        <f>'ANSP ERT'!M50+'MET ERT'!M50+'Supervision ERT'!M50</f>
        <v>8483.4099111026571</v>
      </c>
      <c r="N50" s="115"/>
      <c r="O50" s="120"/>
      <c r="P50" s="613"/>
      <c r="Q50" s="613"/>
      <c r="R50" s="613"/>
      <c r="S50" s="613"/>
    </row>
    <row r="51" spans="1:19" s="257" customFormat="1" ht="12" customHeight="1">
      <c r="A51" s="298" t="s">
        <v>906</v>
      </c>
      <c r="B51" s="59"/>
      <c r="C51" s="125"/>
      <c r="D51" s="125"/>
      <c r="E51" s="125"/>
      <c r="F51" s="125"/>
      <c r="G51" s="285"/>
      <c r="H51" s="641">
        <f>'ANSP ERT'!H51+'MET ERT'!H51+'Supervision ERT'!H51</f>
        <v>1143.2921116156531</v>
      </c>
      <c r="I51" s="344">
        <f>'ANSP ERT'!I51+'MET ERT'!I51+'Supervision ERT'!I51</f>
        <v>2463.7570797213893</v>
      </c>
      <c r="J51" s="299">
        <f>'ANSP ERT'!J51+'MET ERT'!J51+'Supervision ERT'!J51</f>
        <v>3607.0491913370424</v>
      </c>
      <c r="K51" s="299">
        <f>'ANSP ERT'!K51+'MET ERT'!K51+'Supervision ERT'!K51</f>
        <v>3071.3319322360785</v>
      </c>
      <c r="L51" s="299">
        <f>'ANSP ERT'!L51+'MET ERT'!L51+'Supervision ERT'!L51</f>
        <v>3573.9292471576978</v>
      </c>
      <c r="M51" s="345">
        <f>'ANSP ERT'!M51+'MET ERT'!M51+'Supervision ERT'!M51</f>
        <v>3506.788533175773</v>
      </c>
      <c r="N51" s="115"/>
      <c r="O51" s="120"/>
      <c r="P51" s="613"/>
      <c r="Q51" s="613"/>
      <c r="R51" s="613"/>
      <c r="S51" s="613"/>
    </row>
    <row r="52" spans="1:19" s="257" customFormat="1" ht="12" customHeight="1">
      <c r="A52" s="63" t="s">
        <v>907</v>
      </c>
      <c r="B52" s="59"/>
      <c r="C52" s="485"/>
      <c r="D52" s="485"/>
      <c r="E52" s="485"/>
      <c r="F52" s="485"/>
      <c r="G52" s="489"/>
      <c r="H52" s="642">
        <f>'ANSP ERT'!H52+'MET ERT'!H52+'Supervision ERT'!H52</f>
        <v>0</v>
      </c>
      <c r="I52" s="348">
        <f>'ANSP ERT'!I52+'MET ERT'!I52+'Supervision ERT'!I52</f>
        <v>0</v>
      </c>
      <c r="J52" s="347">
        <f>'ANSP ERT'!J52+'MET ERT'!J52+'Supervision ERT'!J52</f>
        <v>0</v>
      </c>
      <c r="K52" s="347">
        <f>'ANSP ERT'!K52+'MET ERT'!K52+'Supervision ERT'!K52</f>
        <v>0</v>
      </c>
      <c r="L52" s="347">
        <f>'ANSP ERT'!L52+'MET ERT'!L52+'Supervision ERT'!L52</f>
        <v>0</v>
      </c>
      <c r="M52" s="349">
        <f>'ANSP ERT'!M52+'MET ERT'!M52+'Supervision ERT'!M52</f>
        <v>0</v>
      </c>
      <c r="N52" s="115"/>
      <c r="O52" s="120"/>
      <c r="P52" s="613"/>
      <c r="Q52" s="613"/>
      <c r="R52" s="613"/>
      <c r="S52" s="613"/>
    </row>
    <row r="53" spans="1:19" s="257" customFormat="1" ht="5.5" customHeight="1">
      <c r="A53" s="61"/>
      <c r="B53" s="44"/>
      <c r="C53" s="44"/>
      <c r="D53" s="44"/>
      <c r="E53" s="44"/>
      <c r="F53" s="44"/>
      <c r="G53" s="321"/>
      <c r="H53" s="932"/>
      <c r="I53" s="932"/>
      <c r="J53" s="322"/>
      <c r="K53" s="323"/>
      <c r="L53" s="323"/>
      <c r="M53" s="323"/>
      <c r="N53" s="115"/>
      <c r="O53" s="120"/>
    </row>
    <row r="54" spans="1:19" s="334" customFormat="1" ht="12" customHeight="1">
      <c r="A54" s="58" t="s">
        <v>908</v>
      </c>
      <c r="B54" s="43"/>
      <c r="C54" s="43"/>
      <c r="D54" s="43"/>
      <c r="E54" s="43"/>
      <c r="F54" s="43"/>
      <c r="G54" s="332"/>
      <c r="H54" s="934"/>
      <c r="I54" s="934"/>
      <c r="J54" s="66"/>
      <c r="K54" s="333"/>
      <c r="L54" s="333"/>
      <c r="M54" s="333"/>
      <c r="N54" s="115"/>
    </row>
    <row r="55" spans="1:19" s="343" customFormat="1" ht="12" customHeight="1">
      <c r="A55" s="1260" t="s">
        <v>909</v>
      </c>
      <c r="B55" s="104"/>
      <c r="C55" s="1331">
        <f>'ANSP ERT'!C55+'MET ERT'!C55+'Supervision ERT'!C55</f>
        <v>6583</v>
      </c>
      <c r="D55" s="1331">
        <f>'ANSP ERT'!D55+'MET ERT'!D55+'Supervision ERT'!D55</f>
        <v>6568.7731199999998</v>
      </c>
      <c r="E55" s="1331">
        <f>'ANSP ERT'!E55+'MET ERT'!E55+'Supervision ERT'!E55</f>
        <v>6425</v>
      </c>
      <c r="F55" s="1331">
        <f>'ANSP ERT'!F55+'MET ERT'!F55+'Supervision ERT'!F55</f>
        <v>6874.9542700000002</v>
      </c>
      <c r="G55" s="1371">
        <f>'ANSP ERT'!G55+'MET ERT'!G55+'Supervision ERT'!G55</f>
        <v>7432</v>
      </c>
      <c r="H55" s="1372">
        <f>'ANSP ERT'!H55+'MET ERT'!H55+'Supervision ERT'!H55</f>
        <v>0</v>
      </c>
      <c r="I55" s="1373">
        <f>'ANSP ERT'!I55+'MET ERT'!I55+'Supervision ERT'!I55</f>
        <v>0</v>
      </c>
      <c r="J55" s="1346">
        <f>'ANSP ERT'!J55+'MET ERT'!J55+'Supervision ERT'!J55</f>
        <v>0</v>
      </c>
      <c r="K55" s="1374">
        <f>'ANSP ERT'!K55+'MET ERT'!K55+'Supervision ERT'!K55</f>
        <v>209.15296596166559</v>
      </c>
      <c r="L55" s="1374">
        <f>'ANSP ERT'!L55+'MET ERT'!L55+'Supervision ERT'!L55</f>
        <v>220.86764031741575</v>
      </c>
      <c r="M55" s="1371">
        <f>'ANSP ERT'!M55+'MET ERT'!M55+'Supervision ERT'!M55</f>
        <v>237.90322361142557</v>
      </c>
      <c r="N55" s="115"/>
      <c r="P55" s="613"/>
      <c r="Q55" s="613"/>
      <c r="R55" s="613"/>
      <c r="S55" s="613"/>
    </row>
    <row r="56" spans="1:19" s="257" customFormat="1" ht="12" customHeight="1">
      <c r="A56" s="298" t="s">
        <v>910</v>
      </c>
      <c r="B56" s="59"/>
      <c r="C56" s="65">
        <f>'ANSP ERT'!C56+'MET ERT'!C56+'Supervision ERT'!C56</f>
        <v>0</v>
      </c>
      <c r="D56" s="65">
        <f>'ANSP ERT'!D56+'MET ERT'!D56+'Supervision ERT'!D56</f>
        <v>0</v>
      </c>
      <c r="E56" s="65">
        <f>'ANSP ERT'!E56+'MET ERT'!E56+'Supervision ERT'!E56</f>
        <v>0</v>
      </c>
      <c r="F56" s="65">
        <f>'ANSP ERT'!F56+'MET ERT'!F56+'Supervision ERT'!F56</f>
        <v>0</v>
      </c>
      <c r="G56" s="345">
        <f>'ANSP ERT'!G56+'MET ERT'!G56+'Supervision ERT'!G56</f>
        <v>0</v>
      </c>
      <c r="H56" s="927">
        <f>'ANSP ERT'!H56+'MET ERT'!H56+'Supervision ERT'!H56</f>
        <v>0</v>
      </c>
      <c r="I56" s="344">
        <f>'ANSP ERT'!I56+'MET ERT'!I56+'Supervision ERT'!I56</f>
        <v>0</v>
      </c>
      <c r="J56" s="125">
        <f>'ANSP ERT'!J56+'MET ERT'!J56+'Supervision ERT'!J56</f>
        <v>0</v>
      </c>
      <c r="K56" s="299">
        <f>'ANSP ERT'!K56+'MET ERT'!K56+'Supervision ERT'!K56</f>
        <v>0</v>
      </c>
      <c r="L56" s="299">
        <f>'ANSP ERT'!L56+'MET ERT'!L56+'Supervision ERT'!L56</f>
        <v>0</v>
      </c>
      <c r="M56" s="345">
        <f>'ANSP ERT'!M56+'MET ERT'!M56+'Supervision ERT'!M56</f>
        <v>0</v>
      </c>
      <c r="N56" s="115"/>
      <c r="O56" s="120"/>
      <c r="P56" s="613"/>
      <c r="Q56" s="613"/>
      <c r="R56" s="613"/>
      <c r="S56" s="613"/>
    </row>
    <row r="57" spans="1:19" s="257" customFormat="1" ht="12" customHeight="1">
      <c r="A57" s="63" t="s">
        <v>911</v>
      </c>
      <c r="B57" s="59"/>
      <c r="C57" s="346">
        <f>'ANSP ERT'!C57+'MET ERT'!C57+'Supervision ERT'!C57</f>
        <v>6583</v>
      </c>
      <c r="D57" s="346">
        <f>'ANSP ERT'!D57+'MET ERT'!D57+'Supervision ERT'!D57</f>
        <v>6568.7731199999998</v>
      </c>
      <c r="E57" s="346">
        <f>'ANSP ERT'!E57+'MET ERT'!E57+'Supervision ERT'!E57</f>
        <v>6425</v>
      </c>
      <c r="F57" s="346">
        <f>'ANSP ERT'!F57+'MET ERT'!F57+'Supervision ERT'!F57</f>
        <v>6874.9542700000002</v>
      </c>
      <c r="G57" s="347">
        <f>'ANSP ERT'!G57+'MET ERT'!G57+'Supervision ERT'!G57</f>
        <v>7432</v>
      </c>
      <c r="H57" s="937">
        <f>'ANSP ERT'!H57+'MET ERT'!H57+'Supervision ERT'!H57</f>
        <v>0</v>
      </c>
      <c r="I57" s="348">
        <f>'ANSP ERT'!I57+'MET ERT'!I57+'Supervision ERT'!I57</f>
        <v>0</v>
      </c>
      <c r="J57" s="488">
        <f>'ANSP ERT'!J57+'MET ERT'!J57+'Supervision ERT'!J57</f>
        <v>0</v>
      </c>
      <c r="K57" s="347">
        <f>'ANSP ERT'!K57+'MET ERT'!K57+'Supervision ERT'!K57</f>
        <v>209.15296596166559</v>
      </c>
      <c r="L57" s="347">
        <f>'ANSP ERT'!L57+'MET ERT'!L57+'Supervision ERT'!L57</f>
        <v>220.86764031741575</v>
      </c>
      <c r="M57" s="349">
        <f>'ANSP ERT'!M57+'MET ERT'!M57+'Supervision ERT'!M57</f>
        <v>237.90322361142557</v>
      </c>
      <c r="N57" s="115"/>
      <c r="O57" s="120"/>
      <c r="P57" s="613"/>
      <c r="Q57" s="613"/>
      <c r="R57" s="613"/>
      <c r="S57" s="613"/>
    </row>
    <row r="58" spans="1:19" ht="12" customHeight="1">
      <c r="A58" s="102"/>
      <c r="B58" s="101"/>
      <c r="C58" s="643"/>
      <c r="D58" s="643"/>
      <c r="E58" s="643"/>
      <c r="F58" s="643"/>
      <c r="G58" s="644"/>
      <c r="H58" s="645"/>
      <c r="I58" s="645"/>
      <c r="J58" s="122"/>
      <c r="K58" s="646"/>
      <c r="L58" s="646"/>
      <c r="M58" s="646"/>
      <c r="N58" s="115"/>
    </row>
    <row r="59" spans="1:19" ht="15.65" customHeight="1">
      <c r="A59" s="62" t="s">
        <v>912</v>
      </c>
      <c r="B59" s="62"/>
      <c r="C59" s="647"/>
      <c r="D59" s="647"/>
      <c r="E59" s="647"/>
      <c r="F59" s="647"/>
      <c r="G59" s="648"/>
      <c r="H59" s="649"/>
      <c r="I59" s="649"/>
      <c r="J59" s="61"/>
      <c r="K59" s="281"/>
      <c r="L59" s="281"/>
      <c r="M59" s="281"/>
      <c r="N59" s="115"/>
    </row>
    <row r="60" spans="1:19" ht="12" customHeight="1">
      <c r="A60" s="1270" t="s">
        <v>913</v>
      </c>
      <c r="B60" s="59"/>
      <c r="C60" s="1236">
        <f>'ANSP ERT'!C60+'MET ERT'!C60+'Supervision ERT'!C60</f>
        <v>127</v>
      </c>
      <c r="D60" s="1236">
        <f>'ANSP ERT'!D60+'MET ERT'!D60+'Supervision ERT'!D60</f>
        <v>127</v>
      </c>
      <c r="E60" s="1236">
        <f>'ANSP ERT'!E60+'MET ERT'!E60+'Supervision ERT'!E60</f>
        <v>127</v>
      </c>
      <c r="F60" s="1236">
        <f>'ANSP ERT'!F60+'MET ERT'!F60+'Supervision ERT'!F60</f>
        <v>127</v>
      </c>
      <c r="G60" s="1337">
        <f>'ANSP ERT'!G60+'MET ERT'!G60+'Supervision ERT'!G60</f>
        <v>127</v>
      </c>
      <c r="H60" s="1338">
        <f>'ANSP ERT'!H60+'MET ERT'!H60+'Supervision ERT'!H60</f>
        <v>127</v>
      </c>
      <c r="I60" s="1339">
        <f>'ANSP ERT'!I60+'MET ERT'!I60+'Supervision ERT'!I60</f>
        <v>127</v>
      </c>
      <c r="J60" s="1337">
        <f>'ANSP ERT'!J60+'MET ERT'!J60+'Supervision ERT'!J60</f>
        <v>254</v>
      </c>
      <c r="K60" s="1337">
        <f>'ANSP ERT'!K60+'MET ERT'!K60+'Supervision ERT'!K60</f>
        <v>127</v>
      </c>
      <c r="L60" s="1337">
        <f>'ANSP ERT'!L60+'MET ERT'!L60+'Supervision ERT'!L60</f>
        <v>127</v>
      </c>
      <c r="M60" s="1340">
        <f>'ANSP ERT'!M60+'MET ERT'!M60+'Supervision ERT'!M60</f>
        <v>127</v>
      </c>
      <c r="N60" s="115"/>
      <c r="P60" s="613"/>
      <c r="Q60" s="613"/>
      <c r="R60" s="613"/>
      <c r="S60" s="613"/>
    </row>
    <row r="61" spans="1:19" s="295" customFormat="1" ht="12" customHeight="1">
      <c r="A61" s="352" t="s">
        <v>914</v>
      </c>
      <c r="B61" s="99"/>
      <c r="C61" s="96">
        <f>'ANSP ERT'!C61+'MET ERT'!C61+'Supervision ERT'!C61</f>
        <v>106657.766</v>
      </c>
      <c r="D61" s="96">
        <f>'ANSP ERT'!D61+'MET ERT'!D61+'Supervision ERT'!D61</f>
        <v>108543.637928</v>
      </c>
      <c r="E61" s="96">
        <f>'ANSP ERT'!E61+'MET ERT'!E61+'Supervision ERT'!E61</f>
        <v>113784</v>
      </c>
      <c r="F61" s="96">
        <f>'ANSP ERT'!F61+'MET ERT'!F61+'Supervision ERT'!F61</f>
        <v>117767</v>
      </c>
      <c r="G61" s="302">
        <f>'ANSP ERT'!G61+'MET ERT'!G61+'Supervision ERT'!G61</f>
        <v>118056</v>
      </c>
      <c r="H61" s="928">
        <f>'ANSP ERT'!H61+'MET ERT'!H61+'Supervision ERT'!H61</f>
        <v>103102.00855926369</v>
      </c>
      <c r="I61" s="303">
        <f>'ANSP ERT'!I61+'MET ERT'!I61+'Supervision ERT'!I61</f>
        <v>107444.84726864401</v>
      </c>
      <c r="J61" s="302">
        <f>'ANSP ERT'!J61+'MET ERT'!J61+'Supervision ERT'!J61</f>
        <v>210546.85582790768</v>
      </c>
      <c r="K61" s="302">
        <f>'ANSP ERT'!K61+'MET ERT'!K61+'Supervision ERT'!K61</f>
        <v>121827.70340046877</v>
      </c>
      <c r="L61" s="302">
        <f>'ANSP ERT'!L61+'MET ERT'!L61+'Supervision ERT'!L61</f>
        <v>127629.15271053748</v>
      </c>
      <c r="M61" s="305">
        <f>'ANSP ERT'!M61+'MET ERT'!M61+'Supervision ERT'!M61</f>
        <v>130121.20381837431</v>
      </c>
      <c r="N61" s="115"/>
      <c r="P61" s="1668"/>
      <c r="Q61" s="613"/>
      <c r="R61" s="613"/>
      <c r="S61" s="613"/>
    </row>
    <row r="62" spans="1:19" s="356" customFormat="1" ht="12" customHeight="1">
      <c r="A62" s="61"/>
      <c r="B62" s="44"/>
      <c r="C62" s="44"/>
      <c r="D62" s="44"/>
      <c r="E62" s="44"/>
      <c r="F62" s="44"/>
      <c r="G62" s="321"/>
      <c r="H62" s="650"/>
      <c r="I62" s="650"/>
      <c r="J62" s="353"/>
      <c r="K62" s="321"/>
      <c r="L62" s="321"/>
      <c r="M62" s="321"/>
      <c r="N62" s="115"/>
      <c r="O62" s="120"/>
    </row>
    <row r="63" spans="1:19" ht="15.65" customHeight="1">
      <c r="A63" s="62" t="s">
        <v>915</v>
      </c>
      <c r="B63" s="62"/>
      <c r="C63" s="62"/>
      <c r="D63" s="62"/>
      <c r="E63" s="62"/>
      <c r="F63" s="62"/>
      <c r="G63" s="279"/>
      <c r="H63" s="923"/>
      <c r="I63" s="923"/>
      <c r="J63" s="61"/>
      <c r="K63" s="280"/>
      <c r="L63" s="280"/>
      <c r="M63" s="281"/>
      <c r="N63" s="115"/>
    </row>
    <row r="64" spans="1:19" s="357" customFormat="1" ht="12" customHeight="1">
      <c r="A64" s="1235" t="s">
        <v>916</v>
      </c>
      <c r="B64" s="44"/>
      <c r="C64" s="1275">
        <f>'Misc. Items'!I26</f>
        <v>0</v>
      </c>
      <c r="D64" s="1275">
        <f>'Misc. Items'!J26</f>
        <v>-2E-3</v>
      </c>
      <c r="E64" s="1275">
        <f>'Misc. Items'!K26</f>
        <v>3.0000000000000001E-3</v>
      </c>
      <c r="F64" s="1275">
        <f>'Misc. Items'!L26</f>
        <v>7.0000000000000001E-3</v>
      </c>
      <c r="G64" s="1301">
        <f>'Misc. Items'!M26</f>
        <v>8.9999999999999993E-3</v>
      </c>
      <c r="H64" s="1375">
        <f>'Misc. Items'!N26</f>
        <v>0</v>
      </c>
      <c r="I64" s="1376">
        <f>'Misc. Items'!O26</f>
        <v>1.6E-2</v>
      </c>
      <c r="J64" s="1279"/>
      <c r="K64" s="1377">
        <f>'Misc. Items'!P26</f>
        <v>1.9E-2</v>
      </c>
      <c r="L64" s="1377">
        <f>'Misc. Items'!Q26</f>
        <v>0.02</v>
      </c>
      <c r="M64" s="1378">
        <f>'Misc. Items'!R26</f>
        <v>0.02</v>
      </c>
      <c r="N64" s="115"/>
      <c r="O64" s="120"/>
      <c r="P64" s="613"/>
      <c r="Q64" s="613"/>
      <c r="R64" s="613"/>
      <c r="S64" s="613"/>
    </row>
    <row r="65" spans="1:19" s="356" customFormat="1" ht="12" customHeight="1">
      <c r="A65" s="298" t="s">
        <v>917</v>
      </c>
      <c r="B65" s="44"/>
      <c r="C65" s="450">
        <f>D65/(1+D64)</f>
        <v>99.900698705486761</v>
      </c>
      <c r="D65" s="450">
        <f>E65/(1+E64)</f>
        <v>99.700897308075781</v>
      </c>
      <c r="E65" s="450">
        <v>100</v>
      </c>
      <c r="F65" s="450">
        <f>E65*(1+F64)</f>
        <v>100.69999999999999</v>
      </c>
      <c r="G65" s="469">
        <f>F65*(1+G64)</f>
        <v>101.60629999999998</v>
      </c>
      <c r="H65" s="955">
        <f>G65*(1+H64)</f>
        <v>101.60629999999998</v>
      </c>
      <c r="I65" s="452">
        <f>H65*(1+I64)</f>
        <v>103.23200079999998</v>
      </c>
      <c r="J65" s="359"/>
      <c r="K65" s="451">
        <f>I65*(1+K64)</f>
        <v>105.19340881519997</v>
      </c>
      <c r="L65" s="451">
        <f>K65*(1+L64)</f>
        <v>107.29727699150398</v>
      </c>
      <c r="M65" s="453">
        <f>L65*(1+M64)</f>
        <v>109.44322253133406</v>
      </c>
      <c r="N65" s="115"/>
      <c r="O65" s="120"/>
      <c r="P65" s="613"/>
      <c r="Q65" s="613"/>
      <c r="R65" s="613"/>
      <c r="S65" s="613"/>
    </row>
    <row r="66" spans="1:19" s="356" customFormat="1" ht="12" customHeight="1">
      <c r="A66" s="363" t="s">
        <v>918</v>
      </c>
      <c r="B66" s="82"/>
      <c r="C66" s="81">
        <f>'ANSP ERT'!C66+'MET ERT'!C66+'Supervision ERT'!C66</f>
        <v>106738.98361692262</v>
      </c>
      <c r="D66" s="81">
        <f>'ANSP ERT'!D66+'MET ERT'!D66+'Supervision ERT'!D66</f>
        <v>108792.52659399799</v>
      </c>
      <c r="E66" s="618">
        <f>'ANSP ERT'!E66+'MET ERT'!E66+'Supervision ERT'!E66</f>
        <v>113784</v>
      </c>
      <c r="F66" s="81">
        <f>'ANSP ERT'!F66+'MET ERT'!F66+'Supervision ERT'!F66</f>
        <v>117143.10327706058</v>
      </c>
      <c r="G66" s="80">
        <f>'ANSP ERT'!G66+'MET ERT'!G66+'Supervision ERT'!G66</f>
        <v>116578.59600142908</v>
      </c>
      <c r="H66" s="651">
        <f>'ANSP ERT'!H66+'MET ERT'!H66+'Supervision ERT'!H66</f>
        <v>101794.69975962519</v>
      </c>
      <c r="I66" s="652">
        <f>'ANSP ERT'!I66+'MET ERT'!I66+'Supervision ERT'!I66</f>
        <v>104870.69288478706</v>
      </c>
      <c r="J66" s="653">
        <f>'ANSP ERT'!J66+'MET ERT'!J66+'Supervision ERT'!J66</f>
        <v>206665.39264441223</v>
      </c>
      <c r="K66" s="653">
        <f>'ANSP ERT'!K66+'MET ERT'!K66+'Supervision ERT'!K66</f>
        <v>117143.90066547332</v>
      </c>
      <c r="L66" s="653">
        <f>'ANSP ERT'!L66+'MET ERT'!L66+'Supervision ERT'!L66</f>
        <v>120890.60526211462</v>
      </c>
      <c r="M66" s="654">
        <f>'ANSP ERT'!M66+'MET ERT'!M66+'Supervision ERT'!M66</f>
        <v>121279.10608009201</v>
      </c>
      <c r="N66" s="115"/>
      <c r="O66" s="120"/>
      <c r="P66" s="613"/>
      <c r="Q66" s="613"/>
      <c r="R66" s="613"/>
      <c r="S66" s="613"/>
    </row>
    <row r="67" spans="1:19" s="356" customFormat="1" ht="12" customHeight="1">
      <c r="A67" s="52" t="s">
        <v>879</v>
      </c>
      <c r="B67" s="44"/>
      <c r="C67" s="364"/>
      <c r="D67" s="364">
        <f t="shared" ref="D67:I67" si="1">D66/C66-1</f>
        <v>1.9238921971052036E-2</v>
      </c>
      <c r="E67" s="655">
        <f t="shared" si="1"/>
        <v>4.5880664437821572E-2</v>
      </c>
      <c r="F67" s="655">
        <f t="shared" si="1"/>
        <v>2.9521754175108716E-2</v>
      </c>
      <c r="G67" s="471">
        <f t="shared" si="1"/>
        <v>-4.8189544227487113E-3</v>
      </c>
      <c r="H67" s="656">
        <f t="shared" si="1"/>
        <v>-0.12681484207978155</v>
      </c>
      <c r="I67" s="657">
        <f t="shared" si="1"/>
        <v>3.0217615773959094E-2</v>
      </c>
      <c r="J67" s="367"/>
      <c r="K67" s="658">
        <f>K66/I66-1</f>
        <v>0.11703181740364621</v>
      </c>
      <c r="L67" s="658">
        <f>L66/K66-1</f>
        <v>3.1983778714529176E-2</v>
      </c>
      <c r="M67" s="659">
        <f>M66/L66-1</f>
        <v>3.2136559920024066E-3</v>
      </c>
      <c r="N67" s="115"/>
      <c r="O67" s="120"/>
      <c r="P67" s="613"/>
      <c r="Q67" s="613"/>
      <c r="R67" s="613"/>
      <c r="S67" s="613"/>
    </row>
    <row r="68" spans="1:19" s="356" customFormat="1" ht="12" customHeight="1">
      <c r="A68" s="369" t="s">
        <v>919</v>
      </c>
      <c r="B68" s="370"/>
      <c r="C68" s="53">
        <f>'Misc. Items'!I36</f>
        <v>4182.45</v>
      </c>
      <c r="D68" s="53">
        <f>'Misc. Items'!J36</f>
        <v>4467.5950000000003</v>
      </c>
      <c r="E68" s="660">
        <f>'Misc. Items'!K36</f>
        <v>4465.2529999999997</v>
      </c>
      <c r="F68" s="660">
        <f>'Misc. Items'!L36</f>
        <v>4549.8827233000011</v>
      </c>
      <c r="G68" s="661">
        <f>'Misc. Items'!M36</f>
        <v>4640.8595650000007</v>
      </c>
      <c r="H68" s="662">
        <f>'Misc. Items'!N36</f>
        <v>1988.2902946000002</v>
      </c>
      <c r="I68" s="663">
        <f>'Misc. Items'!O36</f>
        <v>2072</v>
      </c>
      <c r="J68" s="53">
        <f>H68+I68</f>
        <v>4060.2902946000004</v>
      </c>
      <c r="K68" s="664">
        <f>'Misc. Items'!P36</f>
        <v>3202</v>
      </c>
      <c r="L68" s="664">
        <f>'Misc. Items'!Q36</f>
        <v>4039</v>
      </c>
      <c r="M68" s="665">
        <f>'Misc. Items'!R36</f>
        <v>4726</v>
      </c>
      <c r="N68" s="115"/>
      <c r="O68" s="666"/>
      <c r="P68" s="613"/>
      <c r="Q68" s="613"/>
      <c r="R68" s="613"/>
      <c r="S68" s="613"/>
    </row>
    <row r="69" spans="1:19" s="356" customFormat="1" ht="12" customHeight="1">
      <c r="A69" s="52" t="s">
        <v>879</v>
      </c>
      <c r="B69" s="370"/>
      <c r="C69" s="364"/>
      <c r="D69" s="364">
        <f t="shared" ref="D69:I69" si="2">D68/C68-1</f>
        <v>6.8176547239058527E-2</v>
      </c>
      <c r="E69" s="655">
        <f t="shared" si="2"/>
        <v>-5.2421940663838207E-4</v>
      </c>
      <c r="F69" s="655">
        <f t="shared" si="2"/>
        <v>1.8952951445304844E-2</v>
      </c>
      <c r="G69" s="368">
        <f t="shared" si="2"/>
        <v>1.9995425647809872E-2</v>
      </c>
      <c r="H69" s="656">
        <f t="shared" si="2"/>
        <v>-0.57156852803840441</v>
      </c>
      <c r="I69" s="657">
        <f t="shared" si="2"/>
        <v>4.2101349902148089E-2</v>
      </c>
      <c r="J69" s="367"/>
      <c r="K69" s="658">
        <f>K68/I68-1</f>
        <v>0.54536679536679533</v>
      </c>
      <c r="L69" s="658">
        <f>L68/K68-1</f>
        <v>0.26139912554653333</v>
      </c>
      <c r="M69" s="659">
        <f>M68/L68-1</f>
        <v>0.17009160683337465</v>
      </c>
      <c r="N69" s="115"/>
      <c r="O69" s="120"/>
      <c r="P69" s="613"/>
      <c r="Q69" s="613"/>
      <c r="R69" s="613"/>
      <c r="S69" s="613"/>
    </row>
    <row r="70" spans="1:19" s="356" customFormat="1" ht="12" customHeight="1">
      <c r="A70" s="369" t="s">
        <v>920</v>
      </c>
      <c r="B70" s="370"/>
      <c r="C70" s="51">
        <f t="shared" ref="C70:M70" si="3">C66/C68</f>
        <v>25.520683718137125</v>
      </c>
      <c r="D70" s="51">
        <f t="shared" si="3"/>
        <v>24.351474695892975</v>
      </c>
      <c r="E70" s="78">
        <f t="shared" si="3"/>
        <v>25.482094743567725</v>
      </c>
      <c r="F70" s="78">
        <f t="shared" si="3"/>
        <v>25.746400599991166</v>
      </c>
      <c r="G70" s="378">
        <f t="shared" si="3"/>
        <v>25.120043898899805</v>
      </c>
      <c r="H70" s="667">
        <f t="shared" si="3"/>
        <v>51.197101366983247</v>
      </c>
      <c r="I70" s="668">
        <f t="shared" si="3"/>
        <v>50.613268766789119</v>
      </c>
      <c r="J70" s="51">
        <f t="shared" si="3"/>
        <v>50.899166721962644</v>
      </c>
      <c r="K70" s="669">
        <f t="shared" si="3"/>
        <v>36.584603580722465</v>
      </c>
      <c r="L70" s="669">
        <f t="shared" si="3"/>
        <v>29.930825764326471</v>
      </c>
      <c r="M70" s="670">
        <f t="shared" si="3"/>
        <v>25.662104545089296</v>
      </c>
      <c r="N70" s="115"/>
      <c r="O70" s="120"/>
      <c r="P70" s="613"/>
      <c r="Q70" s="613"/>
      <c r="R70" s="613"/>
      <c r="S70" s="613"/>
    </row>
    <row r="71" spans="1:19" ht="12" customHeight="1">
      <c r="A71" s="49" t="s">
        <v>879</v>
      </c>
      <c r="B71" s="370"/>
      <c r="C71" s="379"/>
      <c r="D71" s="379">
        <f t="shared" ref="D71:I71" si="4">D70/C70-1</f>
        <v>-4.5814173129429592E-2</v>
      </c>
      <c r="E71" s="320">
        <f t="shared" si="4"/>
        <v>4.642922294416274E-2</v>
      </c>
      <c r="F71" s="320">
        <f t="shared" si="4"/>
        <v>1.0372218574776326E-2</v>
      </c>
      <c r="G71" s="383">
        <f t="shared" si="4"/>
        <v>-2.4327932701069477E-2</v>
      </c>
      <c r="H71" s="671">
        <f t="shared" si="4"/>
        <v>1.0380976073543229</v>
      </c>
      <c r="I71" s="672">
        <f t="shared" si="4"/>
        <v>-1.1403626076585627E-2</v>
      </c>
      <c r="J71" s="382"/>
      <c r="K71" s="673">
        <f>K70/I70-1</f>
        <v>-0.27717366469070726</v>
      </c>
      <c r="L71" s="673">
        <f>L70/K70-1</f>
        <v>-0.18187371640407968</v>
      </c>
      <c r="M71" s="674">
        <f>M70/L70-1</f>
        <v>-0.14261956061115155</v>
      </c>
      <c r="N71" s="115"/>
      <c r="P71" s="613"/>
      <c r="Q71" s="613"/>
      <c r="R71" s="613"/>
      <c r="S71" s="613"/>
    </row>
    <row r="72" spans="1:19" s="327" customFormat="1" ht="12" customHeight="1">
      <c r="A72" s="48"/>
      <c r="B72" s="370"/>
      <c r="C72" s="370"/>
      <c r="D72" s="370"/>
      <c r="E72" s="370"/>
      <c r="F72" s="370"/>
      <c r="G72" s="675"/>
      <c r="H72" s="384"/>
      <c r="I72" s="384"/>
      <c r="J72" s="93"/>
      <c r="K72" s="93"/>
      <c r="L72" s="93"/>
      <c r="M72" s="93"/>
      <c r="N72" s="115"/>
    </row>
    <row r="73" spans="1:19" s="327" customFormat="1" ht="12" customHeight="1">
      <c r="A73" s="256" t="s">
        <v>921</v>
      </c>
      <c r="B73" s="257"/>
      <c r="C73" s="257"/>
      <c r="D73" s="257"/>
      <c r="E73" s="257"/>
      <c r="F73" s="257"/>
      <c r="G73" s="257"/>
      <c r="H73" s="256"/>
      <c r="I73" s="256"/>
      <c r="J73" s="257"/>
      <c r="K73" s="257"/>
      <c r="L73" s="257"/>
      <c r="M73" s="257"/>
      <c r="N73" s="115"/>
    </row>
    <row r="74" spans="1:19" s="334" customFormat="1" ht="12" customHeight="1">
      <c r="A74" s="385" t="s">
        <v>922</v>
      </c>
      <c r="B74" s="46"/>
      <c r="C74" s="46"/>
      <c r="D74" s="46"/>
      <c r="E74" s="46"/>
      <c r="F74" s="46"/>
      <c r="G74" s="46"/>
      <c r="H74" s="89"/>
      <c r="I74" s="89"/>
      <c r="J74" s="88"/>
      <c r="K74" s="92"/>
      <c r="L74" s="91"/>
      <c r="M74" s="90"/>
      <c r="N74" s="115"/>
    </row>
    <row r="75" spans="1:19" s="334" customFormat="1" ht="12" customHeight="1">
      <c r="A75" s="385" t="s">
        <v>923</v>
      </c>
      <c r="B75" s="77"/>
      <c r="C75" s="77"/>
      <c r="D75" s="77"/>
      <c r="E75" s="77"/>
      <c r="F75" s="77"/>
      <c r="G75" s="77"/>
      <c r="H75" s="89"/>
      <c r="I75" s="89"/>
      <c r="J75" s="89"/>
      <c r="K75" s="89"/>
      <c r="L75" s="386"/>
      <c r="M75" s="88"/>
      <c r="N75" s="115"/>
    </row>
    <row r="76" spans="1:19" ht="12" customHeight="1">
      <c r="A76" s="385" t="s">
        <v>924</v>
      </c>
      <c r="B76" s="45"/>
      <c r="C76" s="45"/>
      <c r="D76" s="45"/>
      <c r="E76" s="45"/>
      <c r="F76" s="45"/>
      <c r="G76" s="45"/>
      <c r="H76" s="387"/>
      <c r="I76" s="387"/>
      <c r="J76" s="388"/>
      <c r="K76" s="388"/>
      <c r="L76" s="389"/>
      <c r="M76" s="87"/>
      <c r="N76" s="115"/>
    </row>
    <row r="77" spans="1:19" s="334" customFormat="1" ht="12" customHeight="1">
      <c r="A77" s="390"/>
      <c r="B77" s="343"/>
      <c r="C77" s="343"/>
      <c r="D77" s="343"/>
      <c r="E77" s="343"/>
      <c r="F77" s="343"/>
      <c r="G77" s="343"/>
      <c r="H77" s="391"/>
      <c r="I77" s="391"/>
      <c r="J77" s="392"/>
      <c r="K77" s="392"/>
      <c r="L77" s="393"/>
      <c r="M77" s="87"/>
      <c r="N77" s="115"/>
    </row>
    <row r="78" spans="1:19" ht="12" customHeight="1">
      <c r="A78" s="86"/>
      <c r="B78" s="86"/>
      <c r="C78" s="86"/>
      <c r="D78" s="86"/>
      <c r="E78" s="86"/>
      <c r="F78" s="86"/>
      <c r="G78" s="86"/>
      <c r="H78" s="85"/>
      <c r="I78" s="85"/>
      <c r="J78" s="85"/>
      <c r="K78" s="85"/>
      <c r="L78" s="85"/>
      <c r="M78" s="388"/>
      <c r="N78" s="115"/>
    </row>
    <row r="79" spans="1:19" ht="12" customHeight="1">
      <c r="A79" s="43"/>
      <c r="B79" s="43"/>
      <c r="C79" s="43"/>
      <c r="D79" s="43"/>
      <c r="E79" s="43"/>
      <c r="F79" s="43"/>
      <c r="G79" s="43"/>
      <c r="H79" s="85"/>
      <c r="I79" s="85"/>
      <c r="J79" s="44"/>
      <c r="K79" s="44"/>
      <c r="L79" s="44"/>
      <c r="M79" s="44"/>
      <c r="N79" s="115"/>
    </row>
    <row r="80" spans="1:19" s="334" customFormat="1" ht="12" customHeight="1">
      <c r="A80" s="390"/>
      <c r="B80" s="343"/>
      <c r="C80" s="343"/>
      <c r="D80" s="394"/>
      <c r="E80" s="394"/>
      <c r="F80" s="394"/>
      <c r="G80" s="394"/>
      <c r="H80" s="394"/>
      <c r="I80" s="394"/>
      <c r="J80" s="40"/>
      <c r="K80" s="394"/>
      <c r="L80" s="394"/>
      <c r="M80" s="394"/>
      <c r="N80" s="115"/>
    </row>
    <row r="81" spans="1:14" ht="12" customHeight="1">
      <c r="A81" s="86"/>
      <c r="B81" s="86"/>
      <c r="C81" s="86"/>
      <c r="D81" s="86"/>
      <c r="E81" s="86"/>
      <c r="F81" s="395"/>
      <c r="G81" s="86"/>
      <c r="H81" s="86"/>
      <c r="I81" s="86"/>
      <c r="K81" s="86"/>
      <c r="L81" s="86"/>
      <c r="M81" s="86"/>
      <c r="N81" s="516"/>
    </row>
    <row r="82" spans="1:14" ht="12" customHeight="1">
      <c r="A82" s="43"/>
      <c r="B82" s="43"/>
      <c r="C82" s="43"/>
      <c r="D82" s="43"/>
      <c r="E82" s="43"/>
      <c r="F82" s="43"/>
      <c r="G82" s="43"/>
      <c r="H82" s="86"/>
      <c r="I82" s="86"/>
      <c r="K82" s="43"/>
      <c r="L82" s="43"/>
      <c r="M82" s="43"/>
      <c r="N82" s="392"/>
    </row>
    <row r="83" spans="1:14">
      <c r="C83" s="396"/>
      <c r="D83" s="396"/>
      <c r="E83" s="396"/>
      <c r="F83" s="396"/>
      <c r="G83" s="396"/>
      <c r="H83" s="397"/>
      <c r="I83" s="397"/>
      <c r="J83" s="120"/>
      <c r="K83" s="396"/>
      <c r="L83" s="396"/>
      <c r="M83" s="396"/>
      <c r="N83" s="40"/>
    </row>
    <row r="84" spans="1:14">
      <c r="M84" s="44"/>
      <c r="N84" s="44"/>
    </row>
    <row r="86" spans="1:14" ht="12" customHeight="1">
      <c r="A86" s="120"/>
      <c r="B86" s="120"/>
      <c r="C86" s="120"/>
      <c r="D86" s="120"/>
      <c r="E86" s="120"/>
      <c r="F86" s="120"/>
      <c r="G86" s="255"/>
      <c r="H86" s="255"/>
      <c r="I86" s="255"/>
      <c r="K86" s="120"/>
      <c r="L86" s="120"/>
    </row>
    <row r="88" spans="1:14">
      <c r="M88" s="120"/>
      <c r="N88" s="120"/>
    </row>
    <row r="117" spans="1:14">
      <c r="J117" s="120"/>
    </row>
    <row r="120" spans="1:14" ht="12" customHeight="1">
      <c r="A120" s="42"/>
      <c r="B120" s="120"/>
      <c r="C120" s="120"/>
      <c r="D120" s="120"/>
      <c r="E120" s="120"/>
      <c r="F120" s="120"/>
      <c r="G120" s="255"/>
      <c r="H120" s="255"/>
      <c r="I120" s="255"/>
      <c r="K120" s="120"/>
      <c r="L120" s="120"/>
    </row>
    <row r="122" spans="1:14">
      <c r="M122" s="120"/>
      <c r="N122" s="120"/>
    </row>
  </sheetData>
  <mergeCells count="2">
    <mergeCell ref="H7:M7"/>
    <mergeCell ref="C7:G7"/>
  </mergeCells>
  <pageMargins left="0.7" right="0.7" top="0.75" bottom="0.75" header="0.3" footer="0.3"/>
  <pageSetup paperSize="9"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ECCAC-EC58-4B38-BA2B-DA5822396775}">
  <sheetPr>
    <tabColor theme="1"/>
    <pageSetUpPr fitToPage="1"/>
  </sheetPr>
  <dimension ref="A1:S122"/>
  <sheetViews>
    <sheetView showGridLines="0" topLeftCell="A40" zoomScaleNormal="100" workbookViewId="0">
      <selection activeCell="J68" sqref="J68"/>
    </sheetView>
  </sheetViews>
  <sheetFormatPr defaultColWidth="12.54296875" defaultRowHeight="12"/>
  <cols>
    <col min="1" max="1" width="30.81640625" style="40" customWidth="1"/>
    <col min="2" max="2" width="0.54296875" style="40" customWidth="1"/>
    <col min="3" max="7" width="8.54296875" style="40" customWidth="1"/>
    <col min="8" max="9" width="8.54296875" style="250" customWidth="1"/>
    <col min="10" max="13" width="8.54296875" style="41" customWidth="1"/>
    <col min="14" max="14" width="0.54296875" style="41" customWidth="1"/>
    <col min="15" max="16384" width="12.54296875" style="120"/>
  </cols>
  <sheetData>
    <row r="1" spans="1:19" ht="12" customHeight="1">
      <c r="A1" s="121" t="s">
        <v>863</v>
      </c>
      <c r="B1" s="121"/>
      <c r="C1" s="121"/>
      <c r="D1" s="121"/>
      <c r="E1" s="121"/>
      <c r="F1" s="121"/>
      <c r="G1" s="121"/>
      <c r="I1" s="251"/>
      <c r="J1" s="121"/>
      <c r="K1" s="121"/>
      <c r="L1" s="121"/>
      <c r="M1" s="121"/>
      <c r="N1" s="121"/>
    </row>
    <row r="2" spans="1:19" ht="12" customHeight="1">
      <c r="A2" s="43"/>
      <c r="B2" s="43"/>
      <c r="C2" s="43"/>
      <c r="D2" s="43"/>
      <c r="E2" s="43"/>
      <c r="F2" s="43"/>
      <c r="G2" s="43"/>
    </row>
    <row r="3" spans="1:19" ht="12" customHeight="1">
      <c r="A3" s="1213" t="s">
        <v>988</v>
      </c>
      <c r="B3" s="252"/>
      <c r="C3" s="252"/>
      <c r="D3" s="252"/>
      <c r="E3" s="252"/>
      <c r="F3" s="252"/>
      <c r="G3" s="252"/>
      <c r="H3" s="85"/>
      <c r="I3" s="85"/>
      <c r="J3" s="44"/>
      <c r="K3" s="44"/>
      <c r="L3" s="44"/>
      <c r="M3" s="44"/>
      <c r="N3" s="44"/>
    </row>
    <row r="4" spans="1:19" ht="12" customHeight="1">
      <c r="A4" s="56" t="s">
        <v>986</v>
      </c>
      <c r="B4" s="252"/>
      <c r="C4" s="252"/>
      <c r="D4" s="252"/>
      <c r="E4" s="252"/>
      <c r="F4" s="252"/>
      <c r="G4" s="252"/>
      <c r="H4" s="85"/>
      <c r="I4" s="85"/>
      <c r="J4" s="44"/>
      <c r="K4" s="44"/>
      <c r="L4" s="44"/>
      <c r="M4" s="44"/>
      <c r="N4" s="44"/>
    </row>
    <row r="5" spans="1:19" ht="12" customHeight="1">
      <c r="A5" s="76" t="s">
        <v>987</v>
      </c>
      <c r="B5" s="252"/>
      <c r="C5" s="252"/>
      <c r="D5" s="252"/>
      <c r="E5" s="252"/>
      <c r="F5" s="44"/>
      <c r="G5" s="44"/>
      <c r="H5" s="85"/>
      <c r="I5" s="85"/>
      <c r="J5" s="44"/>
      <c r="K5" s="44"/>
      <c r="L5" s="44"/>
      <c r="M5" s="44"/>
      <c r="N5" s="44"/>
    </row>
    <row r="6" spans="1:19" ht="12" customHeight="1">
      <c r="A6" s="43"/>
      <c r="B6" s="43"/>
      <c r="C6" s="43"/>
      <c r="D6" s="43"/>
      <c r="E6" s="43"/>
      <c r="F6" s="43"/>
      <c r="G6" s="43"/>
    </row>
    <row r="7" spans="1:19" s="254" customFormat="1" ht="12" customHeight="1">
      <c r="C7" s="1673" t="s">
        <v>866</v>
      </c>
      <c r="D7" s="1674"/>
      <c r="E7" s="1674"/>
      <c r="F7" s="1674"/>
      <c r="G7" s="1675"/>
      <c r="H7" s="1671" t="s">
        <v>867</v>
      </c>
      <c r="I7" s="1672"/>
      <c r="J7" s="1672"/>
      <c r="K7" s="1672"/>
      <c r="L7" s="1672"/>
      <c r="M7" s="1678"/>
      <c r="N7" s="454"/>
    </row>
    <row r="8" spans="1:19" ht="12" customHeight="1">
      <c r="A8" s="120"/>
      <c r="B8" s="120"/>
      <c r="C8" s="120"/>
      <c r="D8" s="120"/>
      <c r="E8" s="120"/>
      <c r="F8" s="120"/>
      <c r="G8" s="120"/>
      <c r="H8" s="256"/>
      <c r="I8" s="256"/>
      <c r="J8" s="257"/>
      <c r="K8" s="257"/>
      <c r="L8" s="257"/>
      <c r="M8" s="257"/>
      <c r="N8" s="257"/>
    </row>
    <row r="9" spans="1:19" s="261" customFormat="1" ht="12" customHeight="1">
      <c r="A9" s="1547" t="s">
        <v>869</v>
      </c>
      <c r="B9" s="43"/>
      <c r="C9" s="118">
        <v>2015</v>
      </c>
      <c r="D9" s="117">
        <v>2016</v>
      </c>
      <c r="E9" s="117">
        <v>2017</v>
      </c>
      <c r="F9" s="117">
        <v>2018</v>
      </c>
      <c r="G9" s="116">
        <v>2019</v>
      </c>
      <c r="H9" s="258">
        <v>2020</v>
      </c>
      <c r="I9" s="258">
        <v>2021</v>
      </c>
      <c r="J9" s="117" t="s">
        <v>870</v>
      </c>
      <c r="K9" s="117">
        <v>2022</v>
      </c>
      <c r="L9" s="117">
        <v>2023</v>
      </c>
      <c r="M9" s="116">
        <v>2024</v>
      </c>
      <c r="N9" s="119"/>
    </row>
    <row r="10" spans="1:19" ht="12" customHeight="1">
      <c r="A10" s="43"/>
      <c r="B10" s="43"/>
      <c r="C10" s="43"/>
      <c r="D10" s="43"/>
      <c r="E10" s="43"/>
      <c r="F10" s="43"/>
      <c r="G10" s="43"/>
      <c r="H10" s="262"/>
      <c r="I10" s="262"/>
      <c r="J10" s="40"/>
      <c r="K10" s="40"/>
    </row>
    <row r="11" spans="1:19" ht="15.65" customHeight="1">
      <c r="A11" s="62" t="s">
        <v>871</v>
      </c>
      <c r="B11" s="455"/>
      <c r="C11" s="62"/>
      <c r="D11" s="62"/>
      <c r="E11" s="62"/>
      <c r="F11" s="62"/>
      <c r="G11" s="62"/>
      <c r="H11" s="263"/>
      <c r="I11" s="263"/>
      <c r="J11" s="61"/>
      <c r="K11" s="61"/>
      <c r="L11" s="61"/>
      <c r="M11" s="75"/>
      <c r="N11" s="75"/>
    </row>
    <row r="12" spans="1:19" ht="12" customHeight="1">
      <c r="A12" s="1215" t="s">
        <v>872</v>
      </c>
      <c r="B12" s="74"/>
      <c r="C12" s="1281">
        <f>'ANSP TRM'!C12+'MET TRM'!C12+'Supervision TRM'!C12</f>
        <v>10385</v>
      </c>
      <c r="D12" s="1216">
        <f>'ANSP TRM'!D12+'MET TRM'!D12+'Supervision TRM'!D12</f>
        <v>10697</v>
      </c>
      <c r="E12" s="1216">
        <f>'ANSP TRM'!E12+'MET TRM'!E12+'Supervision TRM'!E12</f>
        <v>11130</v>
      </c>
      <c r="F12" s="1216">
        <f>'ANSP TRM'!F12+'MET TRM'!F12+'Supervision TRM'!F12</f>
        <v>11362</v>
      </c>
      <c r="G12" s="1217">
        <f>'ANSP TRM'!G12+'MET TRM'!G12+'Supervision TRM'!G12</f>
        <v>11156</v>
      </c>
      <c r="H12" s="1354">
        <f>'ANSP TRM'!H12+'MET TRM'!H12+'Supervision TRM'!H12</f>
        <v>10237.522200276158</v>
      </c>
      <c r="I12" s="1355">
        <f>'ANSP TRM'!I12+'MET TRM'!I12+'Supervision TRM'!I12</f>
        <v>9090.611690047599</v>
      </c>
      <c r="J12" s="1356">
        <f>'ANSP TRM'!J12+'MET TRM'!J12+'Supervision TRM'!J12</f>
        <v>19328.133890323756</v>
      </c>
      <c r="K12" s="1356">
        <f>'ANSP TRM'!K12+'MET TRM'!K12+'Supervision TRM'!K12</f>
        <v>10899.734388146771</v>
      </c>
      <c r="L12" s="1356">
        <f>'ANSP TRM'!L12+'MET TRM'!L12+'Supervision TRM'!L12</f>
        <v>11748.688825810061</v>
      </c>
      <c r="M12" s="1353">
        <f>'ANSP TRM'!M12+'MET TRM'!M12+'Supervision TRM'!M12</f>
        <v>13046.916796461594</v>
      </c>
      <c r="N12" s="115"/>
      <c r="P12" s="613"/>
      <c r="Q12" s="613"/>
      <c r="R12" s="613"/>
      <c r="S12" s="613"/>
    </row>
    <row r="13" spans="1:19" ht="12" customHeight="1">
      <c r="A13" s="74" t="s">
        <v>873</v>
      </c>
      <c r="B13" s="74"/>
      <c r="C13" s="126"/>
      <c r="D13" s="125"/>
      <c r="E13" s="125"/>
      <c r="F13" s="125"/>
      <c r="G13" s="127"/>
      <c r="H13" s="614">
        <f>'ANSP TRM'!H13+'MET TRM'!H13+'Supervision TRM'!H13</f>
        <v>2028.9000469999994</v>
      </c>
      <c r="I13" s="615">
        <f>'ANSP TRM'!I13+'MET TRM'!I13+'Supervision TRM'!I13</f>
        <v>1888.9443721999996</v>
      </c>
      <c r="J13" s="616">
        <f>'ANSP TRM'!J13+'MET TRM'!J13+'Supervision TRM'!J13</f>
        <v>3917.8444191999997</v>
      </c>
      <c r="K13" s="616">
        <f>'ANSP TRM'!K13+'MET TRM'!K13+'Supervision TRM'!K13</f>
        <v>2101.636787941276</v>
      </c>
      <c r="L13" s="616">
        <f>'ANSP TRM'!L13+'MET TRM'!L13+'Supervision TRM'!L13</f>
        <v>2175.7836953877595</v>
      </c>
      <c r="M13" s="617">
        <f>'ANSP TRM'!M13+'MET TRM'!M13+'Supervision TRM'!M13</f>
        <v>2248.5152395914547</v>
      </c>
      <c r="N13" s="115"/>
      <c r="P13" s="613"/>
      <c r="Q13" s="613"/>
      <c r="R13" s="613"/>
      <c r="S13" s="613"/>
    </row>
    <row r="14" spans="1:19" ht="12" customHeight="1">
      <c r="A14" s="74" t="s">
        <v>874</v>
      </c>
      <c r="B14" s="74"/>
      <c r="C14" s="268">
        <f>'ANSP TRM'!C14+'MET TRM'!C14+'Supervision TRM'!C14</f>
        <v>5207</v>
      </c>
      <c r="D14" s="114">
        <f>'ANSP TRM'!D14+'MET TRM'!D14+'Supervision TRM'!D14</f>
        <v>5910</v>
      </c>
      <c r="E14" s="114">
        <f>'ANSP TRM'!E14+'MET TRM'!E14+'Supervision TRM'!E14</f>
        <v>6340</v>
      </c>
      <c r="F14" s="114">
        <f>'ANSP TRM'!F14+'MET TRM'!F14+'Supervision TRM'!F14</f>
        <v>6684</v>
      </c>
      <c r="G14" s="113">
        <f>'ANSP TRM'!G14+'MET TRM'!G14+'Supervision TRM'!G14</f>
        <v>9593</v>
      </c>
      <c r="H14" s="614">
        <f>'ANSP TRM'!H14+'MET TRM'!H14+'Supervision TRM'!H14</f>
        <v>5501.7778797278334</v>
      </c>
      <c r="I14" s="615">
        <f>'ANSP TRM'!I14+'MET TRM'!I14+'Supervision TRM'!I14</f>
        <v>6396.4939514210828</v>
      </c>
      <c r="J14" s="616">
        <f>'ANSP TRM'!J14+'MET TRM'!J14+'Supervision TRM'!J14</f>
        <v>11898.271831148915</v>
      </c>
      <c r="K14" s="616">
        <f>'ANSP TRM'!K14+'MET TRM'!K14+'Supervision TRM'!K14</f>
        <v>7043.0975875684762</v>
      </c>
      <c r="L14" s="616">
        <f>'ANSP TRM'!L14+'MET TRM'!L14+'Supervision TRM'!L14</f>
        <v>7472.3839242479298</v>
      </c>
      <c r="M14" s="617">
        <f>'ANSP TRM'!M14+'MET TRM'!M14+'Supervision TRM'!M14</f>
        <v>7767.5962087380176</v>
      </c>
      <c r="N14" s="115"/>
      <c r="P14" s="613"/>
      <c r="Q14" s="613"/>
      <c r="R14" s="613"/>
      <c r="S14" s="613"/>
    </row>
    <row r="15" spans="1:19" ht="12" customHeight="1">
      <c r="A15" s="74" t="s">
        <v>875</v>
      </c>
      <c r="B15" s="74"/>
      <c r="C15" s="268">
        <f>'ANSP TRM'!C15+'MET TRM'!C15+'Supervision TRM'!C15</f>
        <v>3820</v>
      </c>
      <c r="D15" s="114">
        <f>'ANSP TRM'!D15+'MET TRM'!D15+'Supervision TRM'!D15</f>
        <v>3850</v>
      </c>
      <c r="E15" s="114">
        <f>'ANSP TRM'!E15+'MET TRM'!E15+'Supervision TRM'!E15</f>
        <v>3896</v>
      </c>
      <c r="F15" s="114">
        <f>'ANSP TRM'!F15+'MET TRM'!F15+'Supervision TRM'!F15</f>
        <v>3889</v>
      </c>
      <c r="G15" s="113">
        <f>'ANSP TRM'!G15+'MET TRM'!G15+'Supervision TRM'!G15</f>
        <v>2976</v>
      </c>
      <c r="H15" s="614">
        <f>'ANSP TRM'!H15+'MET TRM'!H15+'Supervision TRM'!H15</f>
        <v>2549.7284037318473</v>
      </c>
      <c r="I15" s="615">
        <f>'ANSP TRM'!I15+'MET TRM'!I15+'Supervision TRM'!I15</f>
        <v>3562.2259067866744</v>
      </c>
      <c r="J15" s="616">
        <f>'ANSP TRM'!J15+'MET TRM'!J15+'Supervision TRM'!J15</f>
        <v>6111.9543105185212</v>
      </c>
      <c r="K15" s="616">
        <f>'ANSP TRM'!K15+'MET TRM'!K15+'Supervision TRM'!K15</f>
        <v>5142.0111684049725</v>
      </c>
      <c r="L15" s="616">
        <f>'ANSP TRM'!L15+'MET TRM'!L15+'Supervision TRM'!L15</f>
        <v>5793.428669450559</v>
      </c>
      <c r="M15" s="617">
        <f>'ANSP TRM'!M15+'MET TRM'!M15+'Supervision TRM'!M15</f>
        <v>5800.975708938613</v>
      </c>
      <c r="N15" s="115"/>
      <c r="P15" s="613"/>
      <c r="Q15" s="613"/>
      <c r="R15" s="613"/>
      <c r="S15" s="613"/>
    </row>
    <row r="16" spans="1:19" ht="12" customHeight="1">
      <c r="A16" s="74" t="s">
        <v>876</v>
      </c>
      <c r="B16" s="74"/>
      <c r="C16" s="268">
        <f>'ANSP TRM'!C16+'MET TRM'!C16+'Supervision TRM'!C16</f>
        <v>2920.5650000000001</v>
      </c>
      <c r="D16" s="114">
        <f>'ANSP TRM'!D16+'MET TRM'!D16+'Supervision TRM'!D16</f>
        <v>2750.7200400000002</v>
      </c>
      <c r="E16" s="114">
        <f>'ANSP TRM'!E16+'MET TRM'!E16+'Supervision TRM'!E16</f>
        <v>2514</v>
      </c>
      <c r="F16" s="114">
        <f>'ANSP TRM'!F16+'MET TRM'!F16+'Supervision TRM'!F16</f>
        <v>2310</v>
      </c>
      <c r="G16" s="113">
        <f>'ANSP TRM'!G16+'MET TRM'!G16+'Supervision TRM'!G16</f>
        <v>1884</v>
      </c>
      <c r="H16" s="614">
        <f>'ANSP TRM'!H16+'MET TRM'!H16+'Supervision TRM'!H16</f>
        <v>477.28382820656748</v>
      </c>
      <c r="I16" s="615">
        <f>'ANSP TRM'!I16+'MET TRM'!I16+'Supervision TRM'!I16</f>
        <v>876.07373331040242</v>
      </c>
      <c r="J16" s="616">
        <f>'ANSP TRM'!J16+'MET TRM'!J16+'Supervision TRM'!J16</f>
        <v>1353.3575615169698</v>
      </c>
      <c r="K16" s="616">
        <f>'ANSP TRM'!K16+'MET TRM'!K16+'Supervision TRM'!K16</f>
        <v>4180.8450804819668</v>
      </c>
      <c r="L16" s="616">
        <f>'ANSP TRM'!L16+'MET TRM'!L16+'Supervision TRM'!L16</f>
        <v>4761.669408517133</v>
      </c>
      <c r="M16" s="617">
        <f>'ANSP TRM'!M16+'MET TRM'!M16+'Supervision TRM'!M16</f>
        <v>4656.0092021449982</v>
      </c>
      <c r="N16" s="115"/>
      <c r="P16" s="613"/>
      <c r="Q16" s="613"/>
      <c r="R16" s="613"/>
      <c r="S16" s="613"/>
    </row>
    <row r="17" spans="1:19" ht="12" customHeight="1">
      <c r="A17" s="74" t="s">
        <v>877</v>
      </c>
      <c r="B17" s="74"/>
      <c r="C17" s="268">
        <f>'ANSP TRM'!C17+'MET TRM'!C17+'Supervision TRM'!C17</f>
        <v>0</v>
      </c>
      <c r="D17" s="114">
        <f>'ANSP TRM'!D17+'MET TRM'!D17+'Supervision TRM'!D17</f>
        <v>0</v>
      </c>
      <c r="E17" s="114">
        <f>'ANSP TRM'!E17+'MET TRM'!E17+'Supervision TRM'!E17</f>
        <v>0</v>
      </c>
      <c r="F17" s="114">
        <f>'ANSP TRM'!F17+'MET TRM'!F17+'Supervision TRM'!F17</f>
        <v>0</v>
      </c>
      <c r="G17" s="113">
        <f>'ANSP TRM'!G17+'MET TRM'!G17+'Supervision TRM'!G17</f>
        <v>0</v>
      </c>
      <c r="H17" s="614">
        <f>'ANSP TRM'!H17+'MET TRM'!H17+'Supervision TRM'!H17</f>
        <v>302.69999999999987</v>
      </c>
      <c r="I17" s="615">
        <f>'ANSP TRM'!I17+'MET TRM'!I17+'Supervision TRM'!I17</f>
        <v>314.66487536799991</v>
      </c>
      <c r="J17" s="616">
        <f>'ANSP TRM'!J17+'MET TRM'!J17+'Supervision TRM'!J17</f>
        <v>617.36487536799984</v>
      </c>
      <c r="K17" s="616">
        <f>'ANSP TRM'!K17+'MET TRM'!K17+'Supervision TRM'!K17</f>
        <v>256.47552862271982</v>
      </c>
      <c r="L17" s="616">
        <f>'ANSP TRM'!L17+'MET TRM'!L17+'Supervision TRM'!L17</f>
        <v>261.60503919517424</v>
      </c>
      <c r="M17" s="617">
        <f>'ANSP TRM'!M17+'MET TRM'!M17+'Supervision TRM'!M17</f>
        <v>266.83713997907773</v>
      </c>
      <c r="N17" s="115"/>
      <c r="P17" s="613"/>
      <c r="Q17" s="613"/>
      <c r="R17" s="613"/>
      <c r="S17" s="613"/>
    </row>
    <row r="18" spans="1:19" ht="12" customHeight="1">
      <c r="A18" s="111" t="s">
        <v>878</v>
      </c>
      <c r="B18" s="73"/>
      <c r="C18" s="79">
        <f>'ANSP TRM'!C18+'MET TRM'!C18+'Supervision TRM'!C18</f>
        <v>22332.565000000002</v>
      </c>
      <c r="D18" s="81">
        <f>'ANSP TRM'!D18+'MET TRM'!D18+'Supervision TRM'!D18</f>
        <v>23207.72004</v>
      </c>
      <c r="E18" s="81">
        <f>'ANSP TRM'!E18+'MET TRM'!E18+'Supervision TRM'!E18</f>
        <v>23880</v>
      </c>
      <c r="F18" s="81">
        <f>'ANSP TRM'!F18+'MET TRM'!F18+'Supervision TRM'!F18</f>
        <v>24245</v>
      </c>
      <c r="G18" s="80">
        <f>'ANSP TRM'!G18+'MET TRM'!G18+'Supervision TRM'!G18</f>
        <v>25609</v>
      </c>
      <c r="H18" s="920">
        <f>'ANSP TRM'!H18+'MET TRM'!H18+'Supervision TRM'!H18</f>
        <v>19069.012311942406</v>
      </c>
      <c r="I18" s="271">
        <f>'ANSP TRM'!I18+'MET TRM'!I18+'Supervision TRM'!I18</f>
        <v>20240.070156933762</v>
      </c>
      <c r="J18" s="272">
        <f>'ANSP TRM'!J18+'MET TRM'!J18+'Supervision TRM'!J18</f>
        <v>39309.082468876171</v>
      </c>
      <c r="K18" s="272">
        <f>'ANSP TRM'!K18+'MET TRM'!K18+'Supervision TRM'!K18</f>
        <v>27522.163753224904</v>
      </c>
      <c r="L18" s="272">
        <f>'ANSP TRM'!L18+'MET TRM'!L18+'Supervision TRM'!L18</f>
        <v>30037.775867220855</v>
      </c>
      <c r="M18" s="270">
        <f>'ANSP TRM'!M18+'MET TRM'!M18+'Supervision TRM'!M18</f>
        <v>31538.335056262302</v>
      </c>
      <c r="N18" s="115"/>
      <c r="P18" s="613"/>
      <c r="Q18" s="613"/>
      <c r="R18" s="613"/>
      <c r="S18" s="613"/>
    </row>
    <row r="19" spans="1:19" ht="12" customHeight="1">
      <c r="A19" s="109" t="s">
        <v>879</v>
      </c>
      <c r="B19" s="68"/>
      <c r="C19" s="72"/>
      <c r="D19" s="71">
        <f t="shared" ref="D19:I19" si="0">D18/C18-1</f>
        <v>3.9187394730520131E-2</v>
      </c>
      <c r="E19" s="71">
        <f t="shared" si="0"/>
        <v>2.8967945099358294E-2</v>
      </c>
      <c r="F19" s="71">
        <f t="shared" si="0"/>
        <v>1.5284757118928072E-2</v>
      </c>
      <c r="G19" s="70">
        <f t="shared" si="0"/>
        <v>5.625902247886172E-2</v>
      </c>
      <c r="H19" s="921">
        <f t="shared" si="0"/>
        <v>-0.25537848756521508</v>
      </c>
      <c r="I19" s="274">
        <f t="shared" si="0"/>
        <v>6.1411562687908816E-2</v>
      </c>
      <c r="J19" s="275"/>
      <c r="K19" s="276">
        <f>K18/I18-1</f>
        <v>0.35978598590956334</v>
      </c>
      <c r="L19" s="276">
        <f>L18/K18-1</f>
        <v>9.1403137360563935E-2</v>
      </c>
      <c r="M19" s="273">
        <f>M18/L18-1</f>
        <v>4.9955735593558259E-2</v>
      </c>
      <c r="N19" s="115"/>
    </row>
    <row r="20" spans="1:19" ht="12" customHeight="1">
      <c r="A20" s="68"/>
      <c r="B20" s="68"/>
      <c r="C20" s="68"/>
      <c r="D20" s="68"/>
      <c r="E20" s="68"/>
      <c r="F20" s="68"/>
      <c r="G20" s="68"/>
      <c r="H20" s="619"/>
      <c r="I20" s="619"/>
      <c r="J20" s="67"/>
      <c r="K20" s="277"/>
      <c r="L20" s="277"/>
      <c r="M20" s="277"/>
      <c r="N20" s="115"/>
    </row>
    <row r="21" spans="1:19" ht="15.65" customHeight="1">
      <c r="A21" s="62" t="s">
        <v>880</v>
      </c>
      <c r="B21" s="62"/>
      <c r="C21" s="62"/>
      <c r="D21" s="62"/>
      <c r="E21" s="62"/>
      <c r="F21" s="62"/>
      <c r="G21" s="62"/>
      <c r="H21" s="923"/>
      <c r="I21" s="923"/>
      <c r="J21" s="61"/>
      <c r="K21" s="280"/>
      <c r="L21" s="280"/>
      <c r="M21" s="281"/>
      <c r="N21" s="115"/>
    </row>
    <row r="22" spans="1:19" ht="12" customHeight="1">
      <c r="A22" s="1224" t="s">
        <v>881</v>
      </c>
      <c r="B22" s="74"/>
      <c r="C22" s="1281"/>
      <c r="D22" s="1216"/>
      <c r="E22" s="1216"/>
      <c r="F22" s="1216"/>
      <c r="G22" s="1217"/>
      <c r="H22" s="1338"/>
      <c r="I22" s="1339"/>
      <c r="J22" s="1337"/>
      <c r="K22" s="1337"/>
      <c r="L22" s="1337"/>
      <c r="M22" s="1340"/>
      <c r="N22" s="115"/>
      <c r="P22" s="613"/>
      <c r="Q22" s="613"/>
      <c r="R22" s="613"/>
      <c r="S22" s="613"/>
    </row>
    <row r="23" spans="1:19" ht="12" customHeight="1">
      <c r="A23" s="57" t="s">
        <v>882</v>
      </c>
      <c r="B23" s="74"/>
      <c r="C23" s="268"/>
      <c r="D23" s="114"/>
      <c r="E23" s="114"/>
      <c r="F23" s="114"/>
      <c r="G23" s="113"/>
      <c r="H23" s="927"/>
      <c r="I23" s="344"/>
      <c r="J23" s="299"/>
      <c r="K23" s="299"/>
      <c r="L23" s="299"/>
      <c r="M23" s="345"/>
      <c r="N23" s="115"/>
      <c r="P23" s="613"/>
      <c r="Q23" s="613"/>
      <c r="R23" s="613"/>
      <c r="S23" s="613"/>
    </row>
    <row r="24" spans="1:19" ht="12" customHeight="1">
      <c r="A24" s="57" t="s">
        <v>883</v>
      </c>
      <c r="B24" s="74"/>
      <c r="C24" s="268"/>
      <c r="D24" s="114"/>
      <c r="E24" s="114"/>
      <c r="F24" s="114"/>
      <c r="G24" s="113"/>
      <c r="H24" s="927"/>
      <c r="I24" s="344"/>
      <c r="J24" s="299"/>
      <c r="K24" s="299"/>
      <c r="L24" s="299"/>
      <c r="M24" s="345"/>
      <c r="N24" s="115"/>
      <c r="P24" s="613"/>
      <c r="Q24" s="613"/>
      <c r="R24" s="613"/>
      <c r="S24" s="613"/>
    </row>
    <row r="25" spans="1:19" ht="12" customHeight="1">
      <c r="A25" s="57" t="s">
        <v>884</v>
      </c>
      <c r="B25" s="74"/>
      <c r="C25" s="268"/>
      <c r="D25" s="114"/>
      <c r="E25" s="114"/>
      <c r="F25" s="114"/>
      <c r="G25" s="113"/>
      <c r="H25" s="927"/>
      <c r="I25" s="344"/>
      <c r="J25" s="299"/>
      <c r="K25" s="299"/>
      <c r="L25" s="299"/>
      <c r="M25" s="345"/>
      <c r="N25" s="115"/>
      <c r="P25" s="613"/>
      <c r="Q25" s="613"/>
      <c r="R25" s="613"/>
      <c r="S25" s="613"/>
    </row>
    <row r="26" spans="1:19" ht="12" customHeight="1">
      <c r="A26" s="57" t="s">
        <v>885</v>
      </c>
      <c r="B26" s="74"/>
      <c r="C26" s="268"/>
      <c r="D26" s="114"/>
      <c r="E26" s="114"/>
      <c r="F26" s="114"/>
      <c r="G26" s="113"/>
      <c r="H26" s="927"/>
      <c r="I26" s="344"/>
      <c r="J26" s="299"/>
      <c r="K26" s="299"/>
      <c r="L26" s="299"/>
      <c r="M26" s="345"/>
      <c r="N26" s="115"/>
      <c r="P26" s="613"/>
      <c r="Q26" s="613"/>
      <c r="R26" s="613"/>
      <c r="S26" s="613"/>
    </row>
    <row r="27" spans="1:19" ht="12" customHeight="1">
      <c r="A27" s="57" t="s">
        <v>886</v>
      </c>
      <c r="B27" s="74"/>
      <c r="C27" s="268"/>
      <c r="D27" s="114"/>
      <c r="E27" s="114"/>
      <c r="F27" s="114"/>
      <c r="G27" s="113"/>
      <c r="H27" s="927"/>
      <c r="I27" s="344"/>
      <c r="J27" s="299"/>
      <c r="K27" s="299"/>
      <c r="L27" s="299"/>
      <c r="M27" s="345"/>
      <c r="N27" s="115"/>
      <c r="P27" s="613"/>
      <c r="Q27" s="613"/>
      <c r="R27" s="613"/>
      <c r="S27" s="613"/>
    </row>
    <row r="28" spans="1:19" ht="12" customHeight="1">
      <c r="A28" s="57" t="s">
        <v>887</v>
      </c>
      <c r="B28" s="74"/>
      <c r="C28" s="268"/>
      <c r="D28" s="114"/>
      <c r="E28" s="114"/>
      <c r="F28" s="114"/>
      <c r="G28" s="113"/>
      <c r="H28" s="927"/>
      <c r="I28" s="344"/>
      <c r="J28" s="299"/>
      <c r="K28" s="299"/>
      <c r="L28" s="299"/>
      <c r="M28" s="345"/>
      <c r="N28" s="115"/>
      <c r="P28" s="613"/>
      <c r="Q28" s="613"/>
      <c r="R28" s="613"/>
      <c r="S28" s="613"/>
    </row>
    <row r="29" spans="1:19" ht="12" customHeight="1">
      <c r="A29" s="57" t="s">
        <v>888</v>
      </c>
      <c r="B29" s="74"/>
      <c r="C29" s="268"/>
      <c r="D29" s="114"/>
      <c r="E29" s="114"/>
      <c r="F29" s="114"/>
      <c r="G29" s="113"/>
      <c r="H29" s="927"/>
      <c r="I29" s="344"/>
      <c r="J29" s="299"/>
      <c r="K29" s="299"/>
      <c r="L29" s="299"/>
      <c r="M29" s="345"/>
      <c r="N29" s="115"/>
      <c r="P29" s="613"/>
      <c r="Q29" s="613"/>
      <c r="R29" s="613"/>
      <c r="S29" s="613"/>
    </row>
    <row r="30" spans="1:19" ht="12" customHeight="1">
      <c r="A30" s="57" t="s">
        <v>889</v>
      </c>
      <c r="B30" s="74"/>
      <c r="C30" s="268"/>
      <c r="D30" s="114"/>
      <c r="E30" s="114"/>
      <c r="F30" s="114"/>
      <c r="G30" s="113"/>
      <c r="H30" s="927"/>
      <c r="I30" s="344"/>
      <c r="J30" s="299"/>
      <c r="K30" s="299"/>
      <c r="L30" s="299"/>
      <c r="M30" s="345"/>
      <c r="N30" s="115"/>
      <c r="P30" s="613"/>
      <c r="Q30" s="613"/>
      <c r="R30" s="613"/>
      <c r="S30" s="613"/>
    </row>
    <row r="31" spans="1:19" s="295" customFormat="1" ht="12" customHeight="1">
      <c r="A31" s="112" t="s">
        <v>890</v>
      </c>
      <c r="B31" s="111"/>
      <c r="C31" s="498"/>
      <c r="D31" s="110"/>
      <c r="E31" s="110"/>
      <c r="F31" s="110"/>
      <c r="G31" s="520"/>
      <c r="H31" s="920"/>
      <c r="I31" s="271"/>
      <c r="J31" s="272"/>
      <c r="K31" s="272"/>
      <c r="L31" s="272"/>
      <c r="M31" s="270"/>
      <c r="N31" s="115"/>
      <c r="P31" s="613"/>
      <c r="Q31" s="613"/>
      <c r="R31" s="613"/>
      <c r="S31" s="613"/>
    </row>
    <row r="32" spans="1:19" ht="12" customHeight="1">
      <c r="A32" s="109" t="s">
        <v>879</v>
      </c>
      <c r="B32" s="418"/>
      <c r="C32" s="72"/>
      <c r="D32" s="71"/>
      <c r="E32" s="71"/>
      <c r="F32" s="71"/>
      <c r="G32" s="70"/>
      <c r="H32" s="921"/>
      <c r="I32" s="274"/>
      <c r="J32" s="275"/>
      <c r="K32" s="276"/>
      <c r="L32" s="276"/>
      <c r="M32" s="273"/>
      <c r="N32" s="115"/>
    </row>
    <row r="33" spans="1:19" ht="12" customHeight="1">
      <c r="A33" s="68"/>
      <c r="B33" s="69"/>
      <c r="C33" s="69"/>
      <c r="D33" s="69"/>
      <c r="E33" s="69"/>
      <c r="F33" s="69"/>
      <c r="G33" s="69"/>
      <c r="H33" s="926"/>
      <c r="I33" s="926"/>
      <c r="J33" s="69"/>
      <c r="K33" s="297"/>
      <c r="L33" s="297"/>
      <c r="M33" s="297"/>
      <c r="N33" s="115"/>
    </row>
    <row r="34" spans="1:19" ht="15.65" customHeight="1">
      <c r="A34" s="62" t="s">
        <v>891</v>
      </c>
      <c r="B34" s="62"/>
      <c r="C34" s="62"/>
      <c r="D34" s="62"/>
      <c r="E34" s="62"/>
      <c r="F34" s="62"/>
      <c r="G34" s="62"/>
      <c r="H34" s="923"/>
      <c r="I34" s="923"/>
      <c r="J34" s="61"/>
      <c r="K34" s="280"/>
      <c r="L34" s="280"/>
      <c r="M34" s="281"/>
      <c r="N34" s="115"/>
    </row>
    <row r="35" spans="1:19" ht="12" customHeight="1">
      <c r="A35" s="62" t="s">
        <v>892</v>
      </c>
      <c r="B35" s="62"/>
      <c r="C35" s="62"/>
      <c r="D35" s="62"/>
      <c r="E35" s="62"/>
      <c r="F35" s="62"/>
      <c r="G35" s="62"/>
      <c r="H35" s="923"/>
      <c r="I35" s="923"/>
      <c r="J35" s="61"/>
      <c r="K35" s="280"/>
      <c r="L35" s="280"/>
      <c r="M35" s="280"/>
      <c r="N35" s="115"/>
    </row>
    <row r="36" spans="1:19" s="257" customFormat="1" ht="12" customHeight="1">
      <c r="A36" s="1235" t="s">
        <v>893</v>
      </c>
      <c r="B36" s="456"/>
      <c r="C36" s="1281">
        <f>'ANSP TRM'!C36+'MET TRM'!C36+'Supervision TRM'!C36</f>
        <v>27295</v>
      </c>
      <c r="D36" s="1236">
        <f>'ANSP TRM'!D36+'MET TRM'!D36+'Supervision TRM'!D36</f>
        <v>25469.63</v>
      </c>
      <c r="E36" s="1236">
        <f>'ANSP TRM'!E36+'MET TRM'!E36+'Supervision TRM'!E36</f>
        <v>22772</v>
      </c>
      <c r="F36" s="1236">
        <f>'ANSP TRM'!F36+'MET TRM'!F36+'Supervision TRM'!F36</f>
        <v>20263</v>
      </c>
      <c r="G36" s="1225">
        <f>'ANSP TRM'!G36+'MET TRM'!G36+'Supervision TRM'!G36</f>
        <v>16526</v>
      </c>
      <c r="H36" s="1338">
        <f>'ANSP TRM'!H36+'MET TRM'!H36+'Supervision TRM'!H36</f>
        <v>11721.878378537907</v>
      </c>
      <c r="I36" s="1339">
        <f>'ANSP TRM'!I36+'MET TRM'!I36+'Supervision TRM'!I36</f>
        <v>10621.255694055189</v>
      </c>
      <c r="J36" s="1363"/>
      <c r="K36" s="1337">
        <f>'ANSP TRM'!K36+'MET TRM'!K36+'Supervision TRM'!K36</f>
        <v>60432.702326436862</v>
      </c>
      <c r="L36" s="1337">
        <f>'ANSP TRM'!L36+'MET TRM'!L36+'Supervision TRM'!L36</f>
        <v>67777.573311023953</v>
      </c>
      <c r="M36" s="1340">
        <f>'ANSP TRM'!M36+'MET TRM'!M36+'Supervision TRM'!M36</f>
        <v>65003.107397367043</v>
      </c>
      <c r="N36" s="115"/>
      <c r="O36" s="120"/>
      <c r="P36" s="613"/>
      <c r="Q36" s="613"/>
      <c r="R36" s="613"/>
      <c r="S36" s="613"/>
    </row>
    <row r="37" spans="1:19" s="257" customFormat="1" ht="12" customHeight="1">
      <c r="A37" s="298" t="s">
        <v>894</v>
      </c>
      <c r="B37" s="456"/>
      <c r="C37" s="286">
        <f>'ANSP TRM'!C37+'MET TRM'!C37+'Supervision TRM'!C37</f>
        <v>0</v>
      </c>
      <c r="D37" s="65">
        <f>'ANSP TRM'!D37+'MET TRM'!D37+'Supervision TRM'!D37</f>
        <v>0</v>
      </c>
      <c r="E37" s="65">
        <f>'ANSP TRM'!E37+'MET TRM'!E37+'Supervision TRM'!E37</f>
        <v>0</v>
      </c>
      <c r="F37" s="65">
        <f>'ANSP TRM'!F37+'MET TRM'!F37+'Supervision TRM'!F37</f>
        <v>0</v>
      </c>
      <c r="G37" s="269">
        <f>'ANSP TRM'!G37+'MET TRM'!G37+'Supervision TRM'!G37</f>
        <v>0</v>
      </c>
      <c r="H37" s="927">
        <f>'ANSP TRM'!H37+'MET TRM'!H37+'Supervision TRM'!H37</f>
        <v>0</v>
      </c>
      <c r="I37" s="344">
        <f>'ANSP TRM'!I37+'MET TRM'!I37+'Supervision TRM'!I37</f>
        <v>0</v>
      </c>
      <c r="J37" s="621"/>
      <c r="K37" s="299">
        <f>'ANSP TRM'!K37+'MET TRM'!K37+'Supervision TRM'!K37</f>
        <v>0</v>
      </c>
      <c r="L37" s="299">
        <f>'ANSP TRM'!L37+'MET TRM'!L37+'Supervision TRM'!L37</f>
        <v>0</v>
      </c>
      <c r="M37" s="345">
        <f>'ANSP TRM'!M37+'MET TRM'!M37+'Supervision TRM'!M37</f>
        <v>0</v>
      </c>
      <c r="N37" s="115"/>
      <c r="O37" s="120"/>
      <c r="P37" s="613"/>
      <c r="Q37" s="613"/>
      <c r="R37" s="613"/>
      <c r="S37" s="613"/>
    </row>
    <row r="38" spans="1:19" s="257" customFormat="1" ht="12" customHeight="1">
      <c r="A38" s="298" t="s">
        <v>895</v>
      </c>
      <c r="B38" s="456"/>
      <c r="C38" s="286">
        <f>'ANSP TRM'!C38+'MET TRM'!C38+'Supervision TRM'!C38</f>
        <v>0</v>
      </c>
      <c r="D38" s="65">
        <f>'ANSP TRM'!D38+'MET TRM'!D38+'Supervision TRM'!D38</f>
        <v>0</v>
      </c>
      <c r="E38" s="65">
        <f>'ANSP TRM'!E38+'MET TRM'!E38+'Supervision TRM'!E38</f>
        <v>0</v>
      </c>
      <c r="F38" s="65">
        <f>'ANSP TRM'!F38+'MET TRM'!F38+'Supervision TRM'!F38</f>
        <v>0</v>
      </c>
      <c r="G38" s="269">
        <f>'ANSP TRM'!G38+'MET TRM'!G38+'Supervision TRM'!G38</f>
        <v>0</v>
      </c>
      <c r="H38" s="927">
        <f>'ANSP TRM'!H38+'MET TRM'!H38+'Supervision TRM'!H38</f>
        <v>0</v>
      </c>
      <c r="I38" s="344">
        <f>'ANSP TRM'!I38+'MET TRM'!I38+'Supervision TRM'!I38</f>
        <v>0</v>
      </c>
      <c r="J38" s="621"/>
      <c r="K38" s="299">
        <f>'ANSP TRM'!K38+'MET TRM'!K38+'Supervision TRM'!K38</f>
        <v>0</v>
      </c>
      <c r="L38" s="299">
        <f>'ANSP TRM'!L38+'MET TRM'!L38+'Supervision TRM'!L38</f>
        <v>0</v>
      </c>
      <c r="M38" s="345">
        <f>'ANSP TRM'!M38+'MET TRM'!M38+'Supervision TRM'!M38</f>
        <v>0</v>
      </c>
      <c r="N38" s="115"/>
      <c r="O38" s="120"/>
      <c r="P38" s="613"/>
      <c r="Q38" s="613"/>
      <c r="R38" s="613"/>
      <c r="S38" s="613"/>
    </row>
    <row r="39" spans="1:19" s="257" customFormat="1" ht="12" customHeight="1">
      <c r="A39" s="301" t="s">
        <v>896</v>
      </c>
      <c r="B39" s="456"/>
      <c r="C39" s="97">
        <f>'ANSP TRM'!C39+'MET TRM'!C39+'Supervision TRM'!C39</f>
        <v>27295</v>
      </c>
      <c r="D39" s="96">
        <f>'ANSP TRM'!D39+'MET TRM'!D39+'Supervision TRM'!D39</f>
        <v>25469.63</v>
      </c>
      <c r="E39" s="96">
        <f>'ANSP TRM'!E39+'MET TRM'!E39+'Supervision TRM'!E39</f>
        <v>22772</v>
      </c>
      <c r="F39" s="96">
        <f>'ANSP TRM'!F39+'MET TRM'!F39+'Supervision TRM'!F39</f>
        <v>20263</v>
      </c>
      <c r="G39" s="98">
        <f>'ANSP TRM'!G39+'MET TRM'!G39+'Supervision TRM'!G39</f>
        <v>16526</v>
      </c>
      <c r="H39" s="928">
        <f>'ANSP TRM'!H39+'MET TRM'!H39+'Supervision TRM'!H39</f>
        <v>11721.878378537907</v>
      </c>
      <c r="I39" s="303">
        <f>'ANSP TRM'!I39+'MET TRM'!I39+'Supervision TRM'!I39</f>
        <v>10621.255694055189</v>
      </c>
      <c r="J39" s="622"/>
      <c r="K39" s="302">
        <f>'ANSP TRM'!K39+'MET TRM'!K39+'Supervision TRM'!K39</f>
        <v>60432.702326436862</v>
      </c>
      <c r="L39" s="302">
        <f>'ANSP TRM'!L39+'MET TRM'!L39+'Supervision TRM'!L39</f>
        <v>67777.573311023953</v>
      </c>
      <c r="M39" s="305">
        <f>'ANSP TRM'!M39+'MET TRM'!M39+'Supervision TRM'!M39</f>
        <v>65003.107397367043</v>
      </c>
      <c r="N39" s="115"/>
      <c r="O39" s="120"/>
      <c r="P39" s="613"/>
      <c r="Q39" s="613"/>
      <c r="R39" s="613"/>
      <c r="S39" s="613"/>
    </row>
    <row r="40" spans="1:19" ht="12" customHeight="1">
      <c r="A40" s="62" t="s">
        <v>897</v>
      </c>
      <c r="B40" s="62"/>
      <c r="C40" s="62"/>
      <c r="D40" s="62"/>
      <c r="E40" s="62"/>
      <c r="F40" s="62"/>
      <c r="G40" s="62"/>
      <c r="H40" s="929"/>
      <c r="I40" s="929"/>
      <c r="J40" s="60"/>
      <c r="K40" s="306"/>
      <c r="L40" s="306"/>
      <c r="M40" s="306"/>
      <c r="N40" s="115"/>
      <c r="P40" s="613"/>
      <c r="Q40" s="613"/>
      <c r="R40" s="613"/>
      <c r="S40" s="613"/>
    </row>
    <row r="41" spans="1:19" s="257" customFormat="1" ht="12" customHeight="1">
      <c r="A41" s="1239" t="s">
        <v>898</v>
      </c>
      <c r="B41" s="456"/>
      <c r="C41" s="1379"/>
      <c r="D41" s="1364"/>
      <c r="E41" s="1364"/>
      <c r="F41" s="1364"/>
      <c r="G41" s="1380"/>
      <c r="H41" s="1366"/>
      <c r="I41" s="1367"/>
      <c r="J41" s="1363"/>
      <c r="K41" s="1365"/>
      <c r="L41" s="1365"/>
      <c r="M41" s="1368"/>
      <c r="N41" s="115"/>
      <c r="O41" s="120"/>
    </row>
    <row r="42" spans="1:19" s="257" customFormat="1" ht="12" customHeight="1">
      <c r="A42" s="64" t="s">
        <v>899</v>
      </c>
      <c r="B42" s="456"/>
      <c r="C42" s="681"/>
      <c r="D42" s="628"/>
      <c r="E42" s="628"/>
      <c r="F42" s="628"/>
      <c r="G42" s="682"/>
      <c r="H42" s="625"/>
      <c r="I42" s="626"/>
      <c r="J42" s="621"/>
      <c r="K42" s="624"/>
      <c r="L42" s="624"/>
      <c r="M42" s="627"/>
      <c r="N42" s="115"/>
      <c r="O42" s="120"/>
    </row>
    <row r="43" spans="1:19" s="257" customFormat="1" ht="12" customHeight="1">
      <c r="A43" s="64" t="s">
        <v>900</v>
      </c>
      <c r="B43" s="456"/>
      <c r="C43" s="681"/>
      <c r="D43" s="628"/>
      <c r="E43" s="628"/>
      <c r="F43" s="628"/>
      <c r="G43" s="682"/>
      <c r="H43" s="625"/>
      <c r="I43" s="626"/>
      <c r="J43" s="621"/>
      <c r="K43" s="624"/>
      <c r="L43" s="624"/>
      <c r="M43" s="627"/>
      <c r="N43" s="115"/>
      <c r="O43" s="120"/>
    </row>
    <row r="44" spans="1:19" s="257" customFormat="1" ht="12" customHeight="1">
      <c r="A44" s="63" t="s">
        <v>901</v>
      </c>
      <c r="B44" s="456"/>
      <c r="C44" s="442"/>
      <c r="D44" s="338"/>
      <c r="E44" s="338"/>
      <c r="F44" s="338"/>
      <c r="G44" s="467"/>
      <c r="H44" s="629"/>
      <c r="I44" s="630"/>
      <c r="J44" s="622"/>
      <c r="K44" s="339"/>
      <c r="L44" s="339"/>
      <c r="M44" s="631"/>
      <c r="N44" s="115"/>
      <c r="O44" s="120"/>
    </row>
    <row r="45" spans="1:19" s="257" customFormat="1" ht="5.5" customHeight="1">
      <c r="A45" s="61"/>
      <c r="B45" s="44"/>
      <c r="C45" s="44"/>
      <c r="D45" s="44"/>
      <c r="E45" s="44"/>
      <c r="F45" s="44"/>
      <c r="G45" s="44"/>
      <c r="H45" s="932"/>
      <c r="I45" s="932"/>
      <c r="J45" s="322"/>
      <c r="K45" s="323"/>
      <c r="L45" s="323"/>
      <c r="M45" s="323"/>
      <c r="N45" s="115"/>
      <c r="O45" s="120"/>
    </row>
    <row r="46" spans="1:19" s="328" customFormat="1" ht="12" customHeight="1">
      <c r="A46" s="55" t="s">
        <v>902</v>
      </c>
      <c r="B46" s="44"/>
      <c r="C46" s="44"/>
      <c r="D46" s="44"/>
      <c r="E46" s="44"/>
      <c r="F46" s="44"/>
      <c r="G46" s="44"/>
      <c r="H46" s="933"/>
      <c r="I46" s="933"/>
      <c r="J46" s="47"/>
      <c r="K46" s="326"/>
      <c r="L46" s="326"/>
      <c r="M46" s="326"/>
      <c r="N46" s="115"/>
      <c r="O46" s="327"/>
    </row>
    <row r="47" spans="1:19" s="327" customFormat="1" ht="12" customHeight="1">
      <c r="A47" s="1548" t="s">
        <v>903</v>
      </c>
      <c r="B47" s="459"/>
      <c r="C47" s="521">
        <f>'ANSP TRM'!C47+'MET TRM'!C47+'Supervision TRM'!C47</f>
        <v>0</v>
      </c>
      <c r="D47" s="433">
        <f>'ANSP TRM'!D47+'MET TRM'!D47+'Supervision TRM'!D47</f>
        <v>0</v>
      </c>
      <c r="E47" s="433">
        <f>'ANSP TRM'!E47+'MET TRM'!E47+'Supervision TRM'!E47</f>
        <v>0</v>
      </c>
      <c r="F47" s="433">
        <f>'ANSP TRM'!F47+'MET TRM'!F47+'Supervision TRM'!F47</f>
        <v>0</v>
      </c>
      <c r="G47" s="522">
        <f>'ANSP TRM'!G47+'MET TRM'!G47+'Supervision TRM'!G47</f>
        <v>0</v>
      </c>
      <c r="H47" s="1369">
        <f>'ANSP TRM'!H47+'MET TRM'!H47+'Supervision TRM'!H47</f>
        <v>0</v>
      </c>
      <c r="I47" s="633">
        <f>'ANSP TRM'!I47+'MET TRM'!I47+'Supervision TRM'!I47</f>
        <v>0</v>
      </c>
      <c r="J47" s="632">
        <f>'ANSP TRM'!J47+'MET TRM'!J47+'Supervision TRM'!J47</f>
        <v>0</v>
      </c>
      <c r="K47" s="632">
        <f>'ANSP TRM'!K47+'MET TRM'!K47+'Supervision TRM'!K47</f>
        <v>0</v>
      </c>
      <c r="L47" s="632">
        <f>'ANSP TRM'!L47+'MET TRM'!L47+'Supervision TRM'!L47</f>
        <v>0</v>
      </c>
      <c r="M47" s="634">
        <f>'ANSP TRM'!M47+'MET TRM'!M47+'Supervision TRM'!M47</f>
        <v>0</v>
      </c>
      <c r="N47" s="115"/>
      <c r="P47" s="613"/>
      <c r="Q47" s="613"/>
      <c r="R47" s="613"/>
      <c r="S47" s="613"/>
    </row>
    <row r="48" spans="1:19" s="257" customFormat="1" ht="5.5" customHeight="1">
      <c r="A48" s="61"/>
      <c r="B48" s="44"/>
      <c r="C48" s="83"/>
      <c r="D48" s="83"/>
      <c r="E48" s="83"/>
      <c r="F48" s="83"/>
      <c r="G48" s="83"/>
      <c r="H48" s="636"/>
      <c r="I48" s="636"/>
      <c r="J48" s="322"/>
      <c r="K48" s="637"/>
      <c r="L48" s="637"/>
      <c r="M48" s="637"/>
      <c r="N48" s="115"/>
      <c r="O48" s="120"/>
    </row>
    <row r="49" spans="1:19" s="334" customFormat="1" ht="12" customHeight="1">
      <c r="A49" s="58" t="s">
        <v>904</v>
      </c>
      <c r="B49" s="43"/>
      <c r="C49" s="638"/>
      <c r="D49" s="638"/>
      <c r="E49" s="638"/>
      <c r="F49" s="638"/>
      <c r="G49" s="638"/>
      <c r="H49" s="640"/>
      <c r="I49" s="640"/>
      <c r="J49" s="66"/>
      <c r="K49" s="639"/>
      <c r="L49" s="639"/>
      <c r="M49" s="639"/>
      <c r="N49" s="115"/>
    </row>
    <row r="50" spans="1:19" s="257" customFormat="1" ht="12" customHeight="1">
      <c r="A50" s="1235" t="s">
        <v>905</v>
      </c>
      <c r="B50" s="456"/>
      <c r="C50" s="1291"/>
      <c r="D50" s="1252"/>
      <c r="E50" s="1252"/>
      <c r="F50" s="1252"/>
      <c r="G50" s="1292"/>
      <c r="H50" s="1370">
        <f>'ANSP TRM'!H50+'MET TRM'!H50+'Supervision TRM'!H50</f>
        <v>2546.9062351925213</v>
      </c>
      <c r="I50" s="1339">
        <f>'ANSP TRM'!I50+'MET TRM'!I50+'Supervision TRM'!I50</f>
        <v>3559.0448210712084</v>
      </c>
      <c r="J50" s="1337">
        <f>'ANSP TRM'!J50+'MET TRM'!J50+'Supervision TRM'!J50</f>
        <v>6105.9510562637297</v>
      </c>
      <c r="K50" s="1337">
        <f>'ANSP TRM'!K50+'MET TRM'!K50+'Supervision TRM'!K50</f>
        <v>4929.9343028532548</v>
      </c>
      <c r="L50" s="1337">
        <f>'ANSP TRM'!L50+'MET TRM'!L50+'Supervision TRM'!L50</f>
        <v>5509.143003898841</v>
      </c>
      <c r="M50" s="1340">
        <f>'ANSP TRM'!M50+'MET TRM'!M50+'Supervision TRM'!M50</f>
        <v>5602.2481091368945</v>
      </c>
      <c r="N50" s="115"/>
      <c r="O50" s="120"/>
      <c r="P50" s="613"/>
      <c r="Q50" s="613"/>
      <c r="R50" s="613"/>
      <c r="S50" s="613"/>
    </row>
    <row r="51" spans="1:19" s="257" customFormat="1" ht="12" customHeight="1">
      <c r="A51" s="298" t="s">
        <v>906</v>
      </c>
      <c r="B51" s="456"/>
      <c r="C51" s="126"/>
      <c r="D51" s="125"/>
      <c r="E51" s="125"/>
      <c r="F51" s="125"/>
      <c r="G51" s="127"/>
      <c r="H51" s="641">
        <f>'ANSP TRM'!H51+'MET TRM'!H51+'Supervision TRM'!H51</f>
        <v>477.28382820656748</v>
      </c>
      <c r="I51" s="344">
        <f>'ANSP TRM'!I51+'MET TRM'!I51+'Supervision TRM'!I51</f>
        <v>876.07373331040242</v>
      </c>
      <c r="J51" s="299">
        <f>'ANSP TRM'!J51+'MET TRM'!J51+'Supervision TRM'!J51</f>
        <v>1353.3575615169698</v>
      </c>
      <c r="K51" s="299">
        <f>'ANSP TRM'!K51+'MET TRM'!K51+'Supervision TRM'!K51</f>
        <v>4180.8450804819668</v>
      </c>
      <c r="L51" s="299">
        <f>'ANSP TRM'!L51+'MET TRM'!L51+'Supervision TRM'!L51</f>
        <v>4761.669408517133</v>
      </c>
      <c r="M51" s="345">
        <f>'ANSP TRM'!M51+'MET TRM'!M51+'Supervision TRM'!M51</f>
        <v>4656.0092021449982</v>
      </c>
      <c r="N51" s="115"/>
      <c r="O51" s="120"/>
      <c r="P51" s="613"/>
      <c r="Q51" s="613"/>
      <c r="R51" s="613"/>
      <c r="S51" s="613"/>
    </row>
    <row r="52" spans="1:19" s="257" customFormat="1" ht="12" customHeight="1">
      <c r="A52" s="63" t="s">
        <v>907</v>
      </c>
      <c r="B52" s="456"/>
      <c r="C52" s="484"/>
      <c r="D52" s="485"/>
      <c r="E52" s="485"/>
      <c r="F52" s="485"/>
      <c r="G52" s="486"/>
      <c r="H52" s="642">
        <f>'ANSP TRM'!H52+'MET TRM'!H52+'Supervision TRM'!H52</f>
        <v>0</v>
      </c>
      <c r="I52" s="348">
        <f>'ANSP TRM'!I52+'MET TRM'!I52+'Supervision TRM'!I52</f>
        <v>0</v>
      </c>
      <c r="J52" s="347">
        <f>'ANSP TRM'!J52+'MET TRM'!J52+'Supervision TRM'!J52</f>
        <v>0</v>
      </c>
      <c r="K52" s="347">
        <f>'ANSP TRM'!K52+'MET TRM'!K52+'Supervision TRM'!K52</f>
        <v>0</v>
      </c>
      <c r="L52" s="347">
        <f>'ANSP TRM'!L52+'MET TRM'!L52+'Supervision TRM'!L52</f>
        <v>0</v>
      </c>
      <c r="M52" s="349">
        <f>'ANSP TRM'!M52+'MET TRM'!M52+'Supervision TRM'!M52</f>
        <v>0</v>
      </c>
      <c r="N52" s="115"/>
      <c r="O52" s="120"/>
      <c r="P52" s="613"/>
      <c r="Q52" s="613"/>
      <c r="R52" s="613"/>
      <c r="S52" s="613"/>
    </row>
    <row r="53" spans="1:19" s="257" customFormat="1" ht="5.5" customHeight="1">
      <c r="A53" s="61"/>
      <c r="B53" s="44"/>
      <c r="C53" s="44"/>
      <c r="D53" s="44"/>
      <c r="E53" s="44"/>
      <c r="F53" s="44"/>
      <c r="G53" s="44"/>
      <c r="H53" s="932"/>
      <c r="I53" s="932"/>
      <c r="J53" s="322"/>
      <c r="K53" s="323"/>
      <c r="L53" s="323"/>
      <c r="M53" s="323"/>
      <c r="N53" s="115"/>
      <c r="O53" s="120"/>
    </row>
    <row r="54" spans="1:19" s="334" customFormat="1" ht="12" customHeight="1">
      <c r="A54" s="58" t="s">
        <v>908</v>
      </c>
      <c r="B54" s="43"/>
      <c r="C54" s="43"/>
      <c r="D54" s="43"/>
      <c r="E54" s="43"/>
      <c r="F54" s="43"/>
      <c r="G54" s="43"/>
      <c r="H54" s="934"/>
      <c r="I54" s="934"/>
      <c r="J54" s="66"/>
      <c r="K54" s="333"/>
      <c r="L54" s="333"/>
      <c r="M54" s="333"/>
      <c r="N54" s="115"/>
    </row>
    <row r="55" spans="1:19" s="343" customFormat="1" ht="12" customHeight="1">
      <c r="A55" s="1260" t="s">
        <v>909</v>
      </c>
      <c r="B55" s="459"/>
      <c r="C55" s="1295"/>
      <c r="D55" s="1261"/>
      <c r="E55" s="1261"/>
      <c r="F55" s="1261"/>
      <c r="G55" s="1296"/>
      <c r="H55" s="1381"/>
      <c r="I55" s="1382"/>
      <c r="J55" s="1261"/>
      <c r="K55" s="1383"/>
      <c r="L55" s="1383"/>
      <c r="M55" s="1384"/>
      <c r="N55" s="115"/>
      <c r="P55" s="613"/>
      <c r="Q55" s="613"/>
      <c r="R55" s="613"/>
      <c r="S55" s="613"/>
    </row>
    <row r="56" spans="1:19" s="257" customFormat="1" ht="12" customHeight="1">
      <c r="A56" s="298" t="s">
        <v>910</v>
      </c>
      <c r="B56" s="456"/>
      <c r="C56" s="126"/>
      <c r="D56" s="125"/>
      <c r="E56" s="125"/>
      <c r="F56" s="125"/>
      <c r="G56" s="127"/>
      <c r="H56" s="924"/>
      <c r="I56" s="283"/>
      <c r="J56" s="125"/>
      <c r="K56" s="284"/>
      <c r="L56" s="284"/>
      <c r="M56" s="285"/>
      <c r="N56" s="115"/>
      <c r="O56" s="120"/>
      <c r="P56" s="613"/>
      <c r="Q56" s="613"/>
      <c r="R56" s="613"/>
      <c r="S56" s="613"/>
    </row>
    <row r="57" spans="1:19" s="257" customFormat="1" ht="12" customHeight="1">
      <c r="A57" s="63" t="s">
        <v>911</v>
      </c>
      <c r="B57" s="456"/>
      <c r="C57" s="484"/>
      <c r="D57" s="485"/>
      <c r="E57" s="485"/>
      <c r="F57" s="485"/>
      <c r="G57" s="486"/>
      <c r="H57" s="978"/>
      <c r="I57" s="487"/>
      <c r="J57" s="488"/>
      <c r="K57" s="488"/>
      <c r="L57" s="488"/>
      <c r="M57" s="489"/>
      <c r="N57" s="115"/>
      <c r="O57" s="120"/>
      <c r="P57" s="613"/>
      <c r="Q57" s="613"/>
      <c r="R57" s="613"/>
      <c r="S57" s="613"/>
    </row>
    <row r="58" spans="1:19" ht="12" customHeight="1">
      <c r="A58" s="102"/>
      <c r="B58" s="101"/>
      <c r="C58" s="643"/>
      <c r="D58" s="643"/>
      <c r="E58" s="643"/>
      <c r="F58" s="643"/>
      <c r="G58" s="643"/>
      <c r="H58" s="645"/>
      <c r="I58" s="645"/>
      <c r="J58" s="122"/>
      <c r="K58" s="646"/>
      <c r="L58" s="646"/>
      <c r="M58" s="646"/>
      <c r="N58" s="115"/>
    </row>
    <row r="59" spans="1:19" ht="15.65" customHeight="1">
      <c r="A59" s="62" t="s">
        <v>912</v>
      </c>
      <c r="B59" s="62"/>
      <c r="C59" s="647"/>
      <c r="D59" s="647"/>
      <c r="E59" s="647"/>
      <c r="F59" s="647"/>
      <c r="G59" s="647"/>
      <c r="H59" s="649"/>
      <c r="I59" s="649"/>
      <c r="J59" s="61"/>
      <c r="K59" s="281"/>
      <c r="L59" s="281"/>
      <c r="M59" s="281"/>
      <c r="N59" s="115"/>
    </row>
    <row r="60" spans="1:19" ht="12" customHeight="1">
      <c r="A60" s="1270" t="s">
        <v>913</v>
      </c>
      <c r="B60" s="456"/>
      <c r="C60" s="1288">
        <f>'ANSP TRM'!C60+'MET TRM'!C60+'Supervision TRM'!C60</f>
        <v>0</v>
      </c>
      <c r="D60" s="1236">
        <f>'ANSP TRM'!D60+'MET TRM'!D60+'Supervision TRM'!D60</f>
        <v>0</v>
      </c>
      <c r="E60" s="1236">
        <f>'ANSP TRM'!E60+'MET TRM'!E60+'Supervision TRM'!E60</f>
        <v>0</v>
      </c>
      <c r="F60" s="1236">
        <f>'ANSP TRM'!F60+'MET TRM'!F60+'Supervision TRM'!F60</f>
        <v>0</v>
      </c>
      <c r="G60" s="1225">
        <f>'ANSP TRM'!G60+'MET TRM'!G60+'Supervision TRM'!G60</f>
        <v>0</v>
      </c>
      <c r="H60" s="1338">
        <f>'ANSP TRM'!H60+'MET TRM'!H60+'Supervision TRM'!H60</f>
        <v>0</v>
      </c>
      <c r="I60" s="1339">
        <f>'ANSP TRM'!I60+'MET TRM'!I60+'Supervision TRM'!I60</f>
        <v>0</v>
      </c>
      <c r="J60" s="1337">
        <f>'ANSP TRM'!J60+'MET TRM'!J60+'Supervision TRM'!J60</f>
        <v>0</v>
      </c>
      <c r="K60" s="1337">
        <f>'ANSP TRM'!K60+'MET TRM'!K60+'Supervision TRM'!K60</f>
        <v>0</v>
      </c>
      <c r="L60" s="1337">
        <f>'ANSP TRM'!L60+'MET TRM'!L60+'Supervision TRM'!L60</f>
        <v>0</v>
      </c>
      <c r="M60" s="1340">
        <f>'ANSP TRM'!M60+'MET TRM'!M60+'Supervision TRM'!M60</f>
        <v>0</v>
      </c>
      <c r="N60" s="115"/>
      <c r="P60" s="613"/>
      <c r="Q60" s="613"/>
      <c r="R60" s="613"/>
      <c r="S60" s="613"/>
    </row>
    <row r="61" spans="1:19" s="295" customFormat="1" ht="12" customHeight="1">
      <c r="A61" s="352" t="s">
        <v>914</v>
      </c>
      <c r="B61" s="468"/>
      <c r="C61" s="97">
        <f>'ANSP TRM'!C61+'MET TRM'!C61+'Supervision TRM'!C61</f>
        <v>22332.565000000002</v>
      </c>
      <c r="D61" s="96">
        <f>'ANSP TRM'!D61+'MET TRM'!D61+'Supervision TRM'!D61</f>
        <v>23207.72004</v>
      </c>
      <c r="E61" s="96">
        <f>'ANSP TRM'!E61+'MET TRM'!E61+'Supervision TRM'!E61</f>
        <v>23880</v>
      </c>
      <c r="F61" s="96">
        <f>'ANSP TRM'!F61+'MET TRM'!F61+'Supervision TRM'!F61</f>
        <v>24245</v>
      </c>
      <c r="G61" s="98">
        <f>'ANSP TRM'!G61+'MET TRM'!G61+'Supervision TRM'!G61</f>
        <v>25609</v>
      </c>
      <c r="H61" s="928">
        <f>'ANSP TRM'!H61+'MET TRM'!H61+'Supervision TRM'!H61</f>
        <v>19069.012311942406</v>
      </c>
      <c r="I61" s="303">
        <f>'ANSP TRM'!I61+'MET TRM'!I61+'Supervision TRM'!I61</f>
        <v>20240.070156933762</v>
      </c>
      <c r="J61" s="302">
        <f>'ANSP TRM'!J61+'MET TRM'!J61+'Supervision TRM'!J61</f>
        <v>39309.082468876171</v>
      </c>
      <c r="K61" s="302">
        <f>'ANSP TRM'!K61+'MET TRM'!K61+'Supervision TRM'!K61</f>
        <v>27522.163753224904</v>
      </c>
      <c r="L61" s="302">
        <f>'ANSP TRM'!L61+'MET TRM'!L61+'Supervision TRM'!L61</f>
        <v>30037.775867220855</v>
      </c>
      <c r="M61" s="305">
        <f>'ANSP TRM'!M61+'MET TRM'!M61+'Supervision TRM'!M61</f>
        <v>31538.335056262302</v>
      </c>
      <c r="N61" s="115"/>
      <c r="P61" s="613"/>
      <c r="Q61" s="613"/>
      <c r="R61" s="613"/>
      <c r="S61" s="613"/>
    </row>
    <row r="62" spans="1:19" s="356" customFormat="1" ht="12" customHeight="1">
      <c r="A62" s="61"/>
      <c r="B62" s="44"/>
      <c r="C62" s="44"/>
      <c r="D62" s="44"/>
      <c r="E62" s="44"/>
      <c r="F62" s="44"/>
      <c r="G62" s="44"/>
      <c r="H62" s="650"/>
      <c r="I62" s="650"/>
      <c r="J62" s="353"/>
      <c r="K62" s="321"/>
      <c r="L62" s="321"/>
      <c r="M62" s="321"/>
      <c r="N62" s="115"/>
      <c r="O62" s="120"/>
    </row>
    <row r="63" spans="1:19" ht="15.65" customHeight="1">
      <c r="A63" s="62" t="s">
        <v>915</v>
      </c>
      <c r="B63" s="62"/>
      <c r="C63" s="62"/>
      <c r="D63" s="62"/>
      <c r="E63" s="62"/>
      <c r="F63" s="62"/>
      <c r="G63" s="62"/>
      <c r="H63" s="923"/>
      <c r="I63" s="923"/>
      <c r="J63" s="61"/>
      <c r="K63" s="280"/>
      <c r="L63" s="280"/>
      <c r="M63" s="281"/>
      <c r="N63" s="115"/>
    </row>
    <row r="64" spans="1:19" s="357" customFormat="1" ht="12" customHeight="1">
      <c r="A64" s="1235" t="s">
        <v>916</v>
      </c>
      <c r="B64" s="44"/>
      <c r="C64" s="1300">
        <f>'Misc. Items'!I26</f>
        <v>0</v>
      </c>
      <c r="D64" s="1275">
        <f>'Misc. Items'!J26</f>
        <v>-2E-3</v>
      </c>
      <c r="E64" s="1275">
        <f>'Misc. Items'!K26</f>
        <v>3.0000000000000001E-3</v>
      </c>
      <c r="F64" s="1275">
        <f>'Misc. Items'!L26</f>
        <v>7.0000000000000001E-3</v>
      </c>
      <c r="G64" s="1301">
        <f>'Misc. Items'!M26</f>
        <v>8.9999999999999993E-3</v>
      </c>
      <c r="H64" s="1375">
        <f>'Misc. Items'!N26</f>
        <v>0</v>
      </c>
      <c r="I64" s="1376">
        <f>'Misc. Items'!O26</f>
        <v>1.6E-2</v>
      </c>
      <c r="J64" s="1279"/>
      <c r="K64" s="1377">
        <f>'Misc. Items'!P26</f>
        <v>1.9E-2</v>
      </c>
      <c r="L64" s="1377">
        <f>'Misc. Items'!Q26</f>
        <v>0.02</v>
      </c>
      <c r="M64" s="1378">
        <f>'Misc. Items'!R26</f>
        <v>0.02</v>
      </c>
      <c r="N64" s="115"/>
      <c r="O64" s="120"/>
      <c r="P64" s="613"/>
      <c r="Q64" s="613"/>
      <c r="R64" s="613"/>
      <c r="S64" s="613"/>
    </row>
    <row r="65" spans="1:19" s="356" customFormat="1" ht="12" customHeight="1">
      <c r="A65" s="298" t="s">
        <v>917</v>
      </c>
      <c r="B65" s="44"/>
      <c r="C65" s="449">
        <f>D65/(1+D64)</f>
        <v>99.900698705486761</v>
      </c>
      <c r="D65" s="450">
        <f>E65/(1+E64)</f>
        <v>99.700897308075781</v>
      </c>
      <c r="E65" s="450">
        <v>100</v>
      </c>
      <c r="F65" s="450">
        <f>E65*(1+F64)</f>
        <v>100.69999999999999</v>
      </c>
      <c r="G65" s="469">
        <f>F65*(1+G64)</f>
        <v>101.60629999999998</v>
      </c>
      <c r="H65" s="955">
        <f>G65*(1+H64)</f>
        <v>101.60629999999998</v>
      </c>
      <c r="I65" s="452">
        <f>H65*(1+I64)</f>
        <v>103.23200079999998</v>
      </c>
      <c r="J65" s="359"/>
      <c r="K65" s="451">
        <f>I65*(1+K64)</f>
        <v>105.19340881519997</v>
      </c>
      <c r="L65" s="451">
        <f>K65*(1+L64)</f>
        <v>107.29727699150398</v>
      </c>
      <c r="M65" s="453">
        <f>L65*(1+M64)</f>
        <v>109.44322253133406</v>
      </c>
      <c r="N65" s="115"/>
      <c r="O65" s="120"/>
      <c r="P65" s="613"/>
      <c r="Q65" s="613"/>
      <c r="R65" s="613"/>
      <c r="S65" s="613"/>
    </row>
    <row r="66" spans="1:19" s="356" customFormat="1" ht="12" customHeight="1">
      <c r="A66" s="363" t="s">
        <v>918</v>
      </c>
      <c r="B66" s="82"/>
      <c r="C66" s="79">
        <f>'ANSP TRM'!C66+'MET TRM'!C66+'Supervision TRM'!C66</f>
        <v>22347.583592704261</v>
      </c>
      <c r="D66" s="81">
        <f>'ANSP TRM'!D66+'MET TRM'!D66+'Supervision TRM'!D66</f>
        <v>23255.74712124373</v>
      </c>
      <c r="E66" s="618">
        <f>'ANSP TRM'!E66+'MET TRM'!E66+'Supervision TRM'!E66</f>
        <v>23880</v>
      </c>
      <c r="F66" s="81">
        <f>'ANSP TRM'!F66+'MET TRM'!F66+'Supervision TRM'!F66</f>
        <v>24125.304865938429</v>
      </c>
      <c r="G66" s="80">
        <f>'ANSP TRM'!G66+'MET TRM'!G66+'Supervision TRM'!G66</f>
        <v>25293.214044798409</v>
      </c>
      <c r="H66" s="651">
        <f>'ANSP TRM'!H66+'MET TRM'!H66+'Supervision TRM'!H66</f>
        <v>18821.965485887096</v>
      </c>
      <c r="I66" s="652">
        <f>'ANSP TRM'!I66+'MET TRM'!I66+'Supervision TRM'!I66</f>
        <v>19769.686476797207</v>
      </c>
      <c r="J66" s="653">
        <f>'ANSP TRM'!J66+'MET TRM'!J66+'Supervision TRM'!J66</f>
        <v>38591.651962684307</v>
      </c>
      <c r="K66" s="653">
        <f>'ANSP TRM'!K66+'MET TRM'!K66+'Supervision TRM'!K66</f>
        <v>26661.033233220976</v>
      </c>
      <c r="L66" s="653">
        <f>'ANSP TRM'!L66+'MET TRM'!L66+'Supervision TRM'!L66</f>
        <v>28768.90901161229</v>
      </c>
      <c r="M66" s="654">
        <f>'ANSP TRM'!M66+'MET TRM'!M66+'Supervision TRM'!M66</f>
        <v>29792.764891432264</v>
      </c>
      <c r="N66" s="115"/>
      <c r="O66" s="120"/>
      <c r="P66" s="613"/>
      <c r="Q66" s="613"/>
      <c r="R66" s="613"/>
      <c r="S66" s="613"/>
    </row>
    <row r="67" spans="1:19" s="356" customFormat="1" ht="12" customHeight="1">
      <c r="A67" s="52" t="s">
        <v>879</v>
      </c>
      <c r="B67" s="44"/>
      <c r="C67" s="470"/>
      <c r="D67" s="364">
        <f t="shared" ref="D67:I67" si="1">D66/C66-1</f>
        <v>4.0638108579934107E-2</v>
      </c>
      <c r="E67" s="655">
        <f t="shared" si="1"/>
        <v>2.6842950927430165E-2</v>
      </c>
      <c r="F67" s="655">
        <f t="shared" si="1"/>
        <v>1.0272398071123456E-2</v>
      </c>
      <c r="G67" s="471">
        <f t="shared" si="1"/>
        <v>4.8410131409734269E-2</v>
      </c>
      <c r="H67" s="656">
        <f t="shared" si="1"/>
        <v>-0.25584919921405302</v>
      </c>
      <c r="I67" s="657">
        <f t="shared" si="1"/>
        <v>5.0351861054081848E-2</v>
      </c>
      <c r="J67" s="367"/>
      <c r="K67" s="658">
        <f>K66/I66-1</f>
        <v>0.34858148936817157</v>
      </c>
      <c r="L67" s="658">
        <f>L66/K66-1</f>
        <v>7.9062043843251884E-2</v>
      </c>
      <c r="M67" s="659">
        <f>M66/L66-1</f>
        <v>3.5588971392926494E-2</v>
      </c>
      <c r="N67" s="115"/>
      <c r="O67" s="120"/>
      <c r="P67" s="613"/>
      <c r="Q67" s="613"/>
      <c r="R67" s="613"/>
      <c r="S67" s="613"/>
    </row>
    <row r="68" spans="1:19" s="356" customFormat="1" ht="12" customHeight="1">
      <c r="A68" s="369" t="s">
        <v>919</v>
      </c>
      <c r="B68" s="370"/>
      <c r="C68" s="371">
        <f>'Misc. Items'!I37</f>
        <v>149.863</v>
      </c>
      <c r="D68" s="53">
        <f>'Misc. Items'!J37</f>
        <v>163.30528635600001</v>
      </c>
      <c r="E68" s="660">
        <f>'Misc. Items'!K37</f>
        <v>171.66498065517399</v>
      </c>
      <c r="F68" s="660">
        <f>'Misc. Items'!L37</f>
        <v>182.71100000000001</v>
      </c>
      <c r="G68" s="661">
        <f>'Misc. Items'!M37</f>
        <v>187.70944677700001</v>
      </c>
      <c r="H68" s="662">
        <f>'Misc. Items'!N37</f>
        <v>70.511440283846895</v>
      </c>
      <c r="I68" s="663">
        <f>'Misc. Items'!O37</f>
        <v>77</v>
      </c>
      <c r="J68" s="53">
        <f>H68+I68</f>
        <v>147.51144028384689</v>
      </c>
      <c r="K68" s="664">
        <f>'Misc. Items'!P37</f>
        <v>136</v>
      </c>
      <c r="L68" s="664">
        <f>'Misc. Items'!Q37</f>
        <v>163</v>
      </c>
      <c r="M68" s="665">
        <f>'Misc. Items'!R37</f>
        <v>188</v>
      </c>
      <c r="N68" s="115"/>
      <c r="O68" s="666"/>
      <c r="P68" s="613"/>
      <c r="Q68" s="613"/>
      <c r="R68" s="613"/>
      <c r="S68" s="613"/>
    </row>
    <row r="69" spans="1:19" s="356" customFormat="1" ht="12" customHeight="1">
      <c r="A69" s="52" t="s">
        <v>879</v>
      </c>
      <c r="B69" s="370"/>
      <c r="C69" s="470"/>
      <c r="D69" s="364">
        <f t="shared" ref="D69:I69" si="2">D68/C68-1</f>
        <v>8.9697165784750066E-2</v>
      </c>
      <c r="E69" s="655">
        <f t="shared" si="2"/>
        <v>5.1190592084999098E-2</v>
      </c>
      <c r="F69" s="655">
        <f t="shared" si="2"/>
        <v>6.4346375729446681E-2</v>
      </c>
      <c r="G69" s="471">
        <f t="shared" si="2"/>
        <v>2.7357120135076629E-2</v>
      </c>
      <c r="H69" s="656">
        <f t="shared" si="2"/>
        <v>-0.62435859518772685</v>
      </c>
      <c r="I69" s="657">
        <f t="shared" si="2"/>
        <v>9.2021375397143057E-2</v>
      </c>
      <c r="J69" s="367"/>
      <c r="K69" s="658">
        <f>K68/I68-1</f>
        <v>0.76623376623376616</v>
      </c>
      <c r="L69" s="658">
        <f>L68/K68-1</f>
        <v>0.19852941176470584</v>
      </c>
      <c r="M69" s="659">
        <f>M68/L68-1</f>
        <v>0.15337423312883436</v>
      </c>
      <c r="N69" s="115"/>
      <c r="O69" s="120"/>
      <c r="P69" s="613"/>
      <c r="Q69" s="613"/>
      <c r="R69" s="613"/>
      <c r="S69" s="613"/>
    </row>
    <row r="70" spans="1:19" s="356" customFormat="1" ht="12" customHeight="1">
      <c r="A70" s="369" t="s">
        <v>920</v>
      </c>
      <c r="B70" s="370"/>
      <c r="C70" s="375">
        <f t="shared" ref="C70:M70" si="3">C66/C68</f>
        <v>149.12008696412229</v>
      </c>
      <c r="D70" s="51">
        <f t="shared" si="3"/>
        <v>142.40657874691814</v>
      </c>
      <c r="E70" s="78">
        <f t="shared" si="3"/>
        <v>139.10816235705121</v>
      </c>
      <c r="F70" s="78">
        <f t="shared" si="3"/>
        <v>132.04079046110212</v>
      </c>
      <c r="G70" s="50">
        <f t="shared" si="3"/>
        <v>134.74662292754454</v>
      </c>
      <c r="H70" s="667">
        <f t="shared" si="3"/>
        <v>266.93491737111663</v>
      </c>
      <c r="I70" s="668">
        <f t="shared" si="3"/>
        <v>256.74917502334034</v>
      </c>
      <c r="J70" s="51">
        <f t="shared" si="3"/>
        <v>261.61802697082237</v>
      </c>
      <c r="K70" s="669">
        <f t="shared" si="3"/>
        <v>196.03700906780131</v>
      </c>
      <c r="L70" s="669">
        <f t="shared" si="3"/>
        <v>176.49637430436988</v>
      </c>
      <c r="M70" s="670">
        <f t="shared" si="3"/>
        <v>158.47215367783119</v>
      </c>
      <c r="N70" s="115"/>
      <c r="O70" s="120"/>
      <c r="P70" s="613"/>
      <c r="Q70" s="613"/>
      <c r="R70" s="613"/>
      <c r="S70" s="613"/>
    </row>
    <row r="71" spans="1:19" ht="12" customHeight="1">
      <c r="A71" s="49" t="s">
        <v>879</v>
      </c>
      <c r="B71" s="370"/>
      <c r="C71" s="472"/>
      <c r="D71" s="379">
        <f t="shared" ref="D71:I71" si="4">D70/C70-1</f>
        <v>-4.5020817475913799E-2</v>
      </c>
      <c r="E71" s="320">
        <f t="shared" si="4"/>
        <v>-2.3161966384494082E-2</v>
      </c>
      <c r="F71" s="320">
        <f t="shared" si="4"/>
        <v>-5.0804868500880285E-2</v>
      </c>
      <c r="G71" s="473">
        <f t="shared" si="4"/>
        <v>2.0492398273240564E-2</v>
      </c>
      <c r="H71" s="671">
        <f t="shared" si="4"/>
        <v>0.98101378403117301</v>
      </c>
      <c r="I71" s="672">
        <f t="shared" si="4"/>
        <v>-3.8158148990359186E-2</v>
      </c>
      <c r="J71" s="382"/>
      <c r="K71" s="673">
        <f>K70/I70-1</f>
        <v>-0.23646489204890286</v>
      </c>
      <c r="L71" s="673">
        <f>L70/K70-1</f>
        <v>-9.9678294707470805E-2</v>
      </c>
      <c r="M71" s="674">
        <f>M70/L70-1</f>
        <v>-0.10212232799443077</v>
      </c>
      <c r="N71" s="115"/>
      <c r="P71" s="613"/>
      <c r="Q71" s="613"/>
      <c r="R71" s="613"/>
      <c r="S71" s="613"/>
    </row>
    <row r="72" spans="1:19" s="327" customFormat="1" ht="12" customHeight="1">
      <c r="A72" s="48"/>
      <c r="B72" s="370"/>
      <c r="C72" s="370"/>
      <c r="D72" s="370"/>
      <c r="E72" s="370"/>
      <c r="F72" s="370"/>
      <c r="G72" s="370"/>
      <c r="H72" s="384"/>
      <c r="I72" s="384"/>
      <c r="J72" s="93"/>
      <c r="K72" s="93"/>
      <c r="L72" s="93"/>
      <c r="M72" s="93"/>
      <c r="N72" s="115"/>
    </row>
    <row r="73" spans="1:19" s="327" customFormat="1" ht="12" customHeight="1">
      <c r="A73" s="256" t="s">
        <v>921</v>
      </c>
      <c r="B73" s="257"/>
      <c r="C73" s="257"/>
      <c r="D73" s="257"/>
      <c r="E73" s="257"/>
      <c r="F73" s="257"/>
      <c r="G73" s="257"/>
      <c r="H73" s="256"/>
      <c r="I73" s="256"/>
      <c r="J73" s="257"/>
      <c r="K73" s="257"/>
      <c r="L73" s="257"/>
      <c r="M73" s="257"/>
      <c r="N73" s="115"/>
    </row>
    <row r="74" spans="1:19" s="334" customFormat="1" ht="12" customHeight="1">
      <c r="A74" s="385" t="s">
        <v>922</v>
      </c>
      <c r="B74" s="46"/>
      <c r="C74" s="46"/>
      <c r="D74" s="46"/>
      <c r="E74" s="46"/>
      <c r="F74" s="46"/>
      <c r="G74" s="46"/>
      <c r="H74" s="89"/>
      <c r="I74" s="89"/>
      <c r="J74" s="88"/>
      <c r="K74" s="92"/>
      <c r="L74" s="91"/>
      <c r="M74" s="90"/>
      <c r="N74" s="115"/>
    </row>
    <row r="75" spans="1:19" s="334" customFormat="1" ht="12" customHeight="1">
      <c r="A75" s="385" t="s">
        <v>923</v>
      </c>
      <c r="B75" s="77"/>
      <c r="C75" s="77"/>
      <c r="D75" s="77"/>
      <c r="E75" s="77"/>
      <c r="F75" s="77"/>
      <c r="G75" s="77"/>
      <c r="H75" s="89"/>
      <c r="I75" s="89"/>
      <c r="J75" s="89"/>
      <c r="K75" s="89"/>
      <c r="L75" s="386"/>
      <c r="M75" s="88"/>
      <c r="N75" s="115"/>
    </row>
    <row r="76" spans="1:19" ht="12" customHeight="1">
      <c r="A76" s="385" t="s">
        <v>924</v>
      </c>
      <c r="B76" s="45"/>
      <c r="C76" s="45"/>
      <c r="D76" s="45"/>
      <c r="E76" s="45"/>
      <c r="F76" s="45"/>
      <c r="G76" s="45"/>
      <c r="H76" s="387"/>
      <c r="I76" s="387"/>
      <c r="J76" s="388"/>
      <c r="K76" s="388"/>
      <c r="L76" s="389"/>
      <c r="M76" s="87"/>
      <c r="N76" s="115"/>
    </row>
    <row r="77" spans="1:19" s="334" customFormat="1" ht="12" customHeight="1">
      <c r="A77" s="385"/>
      <c r="B77" s="257"/>
      <c r="C77" s="257"/>
      <c r="D77" s="257"/>
      <c r="E77" s="257"/>
      <c r="F77" s="257"/>
      <c r="G77" s="257"/>
      <c r="H77" s="391"/>
      <c r="I77" s="391"/>
      <c r="J77" s="392"/>
      <c r="K77" s="392"/>
      <c r="L77" s="393"/>
      <c r="M77" s="87"/>
      <c r="N77" s="115"/>
    </row>
    <row r="78" spans="1:19" ht="12" customHeight="1">
      <c r="A78" s="86"/>
      <c r="B78" s="86"/>
      <c r="C78" s="43"/>
      <c r="D78" s="43"/>
      <c r="E78" s="43"/>
      <c r="F78" s="43"/>
      <c r="G78" s="43"/>
      <c r="H78" s="85"/>
      <c r="I78" s="85"/>
      <c r="J78" s="85"/>
      <c r="K78" s="85"/>
      <c r="L78" s="85"/>
      <c r="M78" s="388"/>
      <c r="N78" s="115"/>
    </row>
    <row r="79" spans="1:19" ht="12" customHeight="1">
      <c r="A79" s="43"/>
      <c r="B79" s="43"/>
      <c r="C79" s="43"/>
      <c r="D79" s="43"/>
      <c r="E79" s="43"/>
      <c r="F79" s="43"/>
      <c r="G79" s="43"/>
      <c r="H79" s="85"/>
      <c r="I79" s="85"/>
      <c r="J79" s="44"/>
      <c r="K79" s="44"/>
      <c r="L79" s="44"/>
      <c r="M79" s="44"/>
      <c r="N79" s="115"/>
    </row>
    <row r="80" spans="1:19" s="334" customFormat="1" ht="12" customHeight="1">
      <c r="A80" s="385"/>
      <c r="B80" s="257"/>
      <c r="C80" s="257"/>
      <c r="D80" s="257"/>
      <c r="E80" s="257"/>
      <c r="F80" s="257"/>
      <c r="G80" s="257"/>
      <c r="H80" s="394"/>
      <c r="I80" s="394"/>
      <c r="J80" s="40"/>
      <c r="K80" s="394"/>
      <c r="L80" s="394"/>
      <c r="M80" s="394"/>
      <c r="N80" s="115"/>
    </row>
    <row r="81" spans="1:14" ht="12" customHeight="1">
      <c r="A81" s="86"/>
      <c r="B81" s="86"/>
      <c r="C81" s="43"/>
      <c r="D81" s="43"/>
      <c r="E81" s="43"/>
      <c r="F81" s="475"/>
      <c r="G81" s="43"/>
      <c r="H81" s="86"/>
      <c r="I81" s="86"/>
      <c r="K81" s="86"/>
      <c r="L81" s="86"/>
      <c r="M81" s="86"/>
      <c r="N81" s="516"/>
    </row>
    <row r="82" spans="1:14" ht="12" customHeight="1">
      <c r="A82" s="43"/>
      <c r="B82" s="43"/>
      <c r="C82" s="43"/>
      <c r="D82" s="43"/>
      <c r="E82" s="43"/>
      <c r="F82" s="43"/>
      <c r="G82" s="43"/>
      <c r="H82" s="86"/>
      <c r="I82" s="86"/>
      <c r="K82" s="43"/>
      <c r="L82" s="43"/>
      <c r="M82" s="43"/>
      <c r="N82" s="392"/>
    </row>
    <row r="83" spans="1:14">
      <c r="C83" s="396"/>
      <c r="D83" s="396"/>
      <c r="E83" s="396"/>
      <c r="F83" s="396"/>
      <c r="G83" s="396"/>
      <c r="H83" s="397"/>
      <c r="I83" s="397"/>
      <c r="J83" s="120"/>
      <c r="K83" s="396"/>
      <c r="L83" s="396"/>
      <c r="M83" s="396"/>
      <c r="N83" s="40"/>
    </row>
    <row r="84" spans="1:14">
      <c r="M84" s="44"/>
      <c r="N84" s="44"/>
    </row>
    <row r="86" spans="1:14" ht="12" customHeight="1">
      <c r="A86" s="120"/>
      <c r="B86" s="120"/>
      <c r="C86" s="120"/>
      <c r="D86" s="120"/>
      <c r="E86" s="120"/>
      <c r="F86" s="120"/>
      <c r="G86" s="120"/>
      <c r="H86" s="255"/>
      <c r="I86" s="255"/>
      <c r="K86" s="120"/>
      <c r="L86" s="120"/>
    </row>
    <row r="88" spans="1:14">
      <c r="M88" s="120"/>
      <c r="N88" s="120"/>
    </row>
    <row r="117" spans="1:14">
      <c r="J117" s="120"/>
    </row>
    <row r="120" spans="1:14" ht="12" customHeight="1">
      <c r="A120" s="42"/>
      <c r="B120" s="120"/>
      <c r="C120" s="120"/>
      <c r="D120" s="120"/>
      <c r="E120" s="120"/>
      <c r="F120" s="120"/>
      <c r="G120" s="120"/>
      <c r="H120" s="255"/>
      <c r="I120" s="255"/>
      <c r="K120" s="120"/>
      <c r="L120" s="120"/>
    </row>
    <row r="122" spans="1:14">
      <c r="M122" s="120"/>
      <c r="N122" s="120"/>
    </row>
  </sheetData>
  <mergeCells count="2">
    <mergeCell ref="C7:G7"/>
    <mergeCell ref="H7:M7"/>
  </mergeCells>
  <pageMargins left="0.7" right="0.7" top="0.75" bottom="0.75" header="0.3" footer="0.3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7FFB5-947D-4D29-A26C-C3B3699FD41C}">
  <sheetPr>
    <tabColor theme="1"/>
    <pageSetUpPr fitToPage="1"/>
  </sheetPr>
  <dimension ref="B1:AI354"/>
  <sheetViews>
    <sheetView showGridLines="0" topLeftCell="G1" zoomScale="90" zoomScaleNormal="90" workbookViewId="0">
      <pane ySplit="2" topLeftCell="A333" activePane="bottomLeft" state="frozen"/>
      <selection pane="bottomLeft" activeCell="Z8" sqref="Z8"/>
    </sheetView>
  </sheetViews>
  <sheetFormatPr defaultColWidth="9.1796875" defaultRowHeight="13"/>
  <cols>
    <col min="1" max="1" width="5" style="1018" customWidth="1"/>
    <col min="2" max="2" width="11.1796875" style="1018" customWidth="1"/>
    <col min="3" max="3" width="9.1796875" style="1018" customWidth="1"/>
    <col min="4" max="4" width="11.26953125" style="1018" bestFit="1" customWidth="1"/>
    <col min="5" max="5" width="32.81640625" style="1018" bestFit="1" customWidth="1"/>
    <col min="6" max="11" width="9.1796875" style="1018" customWidth="1"/>
    <col min="12" max="14" width="10.26953125" style="1018" bestFit="1" customWidth="1"/>
    <col min="15" max="15" width="9.1796875" style="1018" customWidth="1"/>
    <col min="16" max="27" width="9.1796875" style="1018"/>
    <col min="28" max="28" width="7.7265625" style="1018" bestFit="1" customWidth="1"/>
    <col min="29" max="16384" width="9.1796875" style="1018"/>
  </cols>
  <sheetData>
    <row r="1" spans="2:27" ht="13.5" thickBot="1"/>
    <row r="2" spans="2:27" ht="17.5" thickBot="1">
      <c r="B2" s="1019" t="s">
        <v>61</v>
      </c>
      <c r="C2" s="1019"/>
      <c r="D2" s="1019"/>
      <c r="E2" s="1019" t="s">
        <v>9</v>
      </c>
      <c r="F2" s="1019" t="s">
        <v>10</v>
      </c>
      <c r="G2" s="1019"/>
      <c r="H2" s="1019"/>
      <c r="I2" s="1019"/>
      <c r="J2" s="1019">
        <v>2020</v>
      </c>
      <c r="K2" s="1019">
        <f t="shared" ref="K2:N2" si="0">J2+1</f>
        <v>2021</v>
      </c>
      <c r="L2" s="1019">
        <f t="shared" si="0"/>
        <v>2022</v>
      </c>
      <c r="M2" s="1019">
        <f t="shared" si="0"/>
        <v>2023</v>
      </c>
      <c r="N2" s="1019">
        <f t="shared" si="0"/>
        <v>2024</v>
      </c>
      <c r="O2" s="1019"/>
      <c r="P2" s="1019" t="s">
        <v>11</v>
      </c>
      <c r="Q2" s="1019"/>
      <c r="R2" s="1019"/>
      <c r="S2" s="1644" t="str">
        <f>'DUC &amp; UR'!$F$6</f>
        <v>Base</v>
      </c>
      <c r="T2" s="1645">
        <f>INDEX('Misc. Items'!$E$60:$E$62,MATCH(S2,'Misc. Items'!$C$60:$C$62,0))</f>
        <v>2</v>
      </c>
      <c r="U2" s="1019"/>
      <c r="V2" s="1019"/>
      <c r="W2" s="1019"/>
      <c r="X2" s="1019"/>
      <c r="AA2" s="1660"/>
    </row>
    <row r="3" spans="2:27">
      <c r="E3" s="1018" t="s">
        <v>15</v>
      </c>
      <c r="J3" s="1024" t="s">
        <v>16</v>
      </c>
      <c r="K3" s="1024" t="s">
        <v>16</v>
      </c>
      <c r="L3" s="1024">
        <v>2022</v>
      </c>
      <c r="M3" s="1024">
        <v>2023</v>
      </c>
      <c r="N3" s="1024">
        <v>2024</v>
      </c>
      <c r="O3" s="1024"/>
      <c r="P3" s="1024"/>
      <c r="Q3" s="1024"/>
      <c r="R3" s="1024"/>
      <c r="S3" s="1024"/>
      <c r="T3" s="1024"/>
      <c r="U3" s="1024"/>
      <c r="V3" s="1024"/>
    </row>
    <row r="4" spans="2:27">
      <c r="E4" s="1018" t="s">
        <v>17</v>
      </c>
      <c r="J4" s="1029" t="s">
        <v>18</v>
      </c>
      <c r="K4" s="1029" t="s">
        <v>19</v>
      </c>
      <c r="L4" s="1029" t="s">
        <v>19</v>
      </c>
      <c r="M4" s="1029" t="s">
        <v>19</v>
      </c>
      <c r="N4" s="1029" t="s">
        <v>19</v>
      </c>
    </row>
    <row r="5" spans="2:27">
      <c r="E5" s="1018" t="s">
        <v>20</v>
      </c>
      <c r="F5" s="1026">
        <f>'Misc. Items'!$F$26</f>
        <v>2017</v>
      </c>
      <c r="J5" s="1027">
        <f>'Misc. Items'!N27</f>
        <v>101.60629999999998</v>
      </c>
      <c r="K5" s="1027">
        <f>'Misc. Items'!O27</f>
        <v>103.23200079999998</v>
      </c>
      <c r="L5" s="1027">
        <f>'Misc. Items'!P27</f>
        <v>105.19340881519997</v>
      </c>
      <c r="M5" s="1027">
        <f>'Misc. Items'!Q27</f>
        <v>107.29727699150398</v>
      </c>
      <c r="N5" s="1027">
        <f>'Misc. Items'!R27</f>
        <v>109.44322253133406</v>
      </c>
    </row>
    <row r="6" spans="2:27" ht="15" thickBot="1">
      <c r="B6" s="1020" t="s">
        <v>21</v>
      </c>
      <c r="C6" s="1020"/>
      <c r="D6" s="1020"/>
      <c r="E6" s="1020"/>
      <c r="F6" s="1020"/>
      <c r="G6" s="1020"/>
      <c r="H6" s="1020"/>
      <c r="I6" s="1020"/>
      <c r="J6" s="1020"/>
      <c r="K6" s="1020"/>
      <c r="L6" s="1020"/>
      <c r="M6" s="1020"/>
      <c r="N6" s="1020"/>
      <c r="O6" s="1020"/>
      <c r="P6" s="1020"/>
      <c r="Q6" s="1020"/>
      <c r="R6" s="1020"/>
      <c r="S6" s="1020"/>
      <c r="T6" s="1020"/>
      <c r="U6" s="1020"/>
      <c r="V6" s="1020"/>
      <c r="W6" s="1020"/>
      <c r="X6" s="1020"/>
    </row>
    <row r="7" spans="2:27" ht="13.5" thickTop="1"/>
    <row r="8" spans="2:27">
      <c r="D8" s="1022" t="s">
        <v>22</v>
      </c>
    </row>
    <row r="9" spans="2:27">
      <c r="E9" s="1018" t="s">
        <v>23</v>
      </c>
      <c r="J9" s="210">
        <f>'Misc. Items'!N36</f>
        <v>1988.2902946000002</v>
      </c>
      <c r="K9" s="210">
        <f>'Misc. Items'!O36</f>
        <v>2072</v>
      </c>
      <c r="L9" s="210">
        <f>'Misc. Items'!P36</f>
        <v>3202</v>
      </c>
      <c r="M9" s="210">
        <f>'Misc. Items'!Q36</f>
        <v>4039</v>
      </c>
      <c r="N9" s="210">
        <f>'Misc. Items'!R36</f>
        <v>4726</v>
      </c>
    </row>
    <row r="10" spans="2:27">
      <c r="E10" s="1018" t="s">
        <v>24</v>
      </c>
      <c r="J10" s="210">
        <f>'Misc. Items'!N37</f>
        <v>70.511440283846895</v>
      </c>
      <c r="K10" s="210">
        <f>'Misc. Items'!O37</f>
        <v>77</v>
      </c>
      <c r="L10" s="210">
        <f>'Misc. Items'!P37</f>
        <v>136</v>
      </c>
      <c r="M10" s="210">
        <f>'Misc. Items'!Q37</f>
        <v>163</v>
      </c>
      <c r="N10" s="210">
        <f>'Misc. Items'!R37</f>
        <v>188</v>
      </c>
    </row>
    <row r="11" spans="2:27">
      <c r="J11" s="1028"/>
      <c r="K11" s="1028"/>
      <c r="L11" s="1028"/>
      <c r="M11" s="1028"/>
      <c r="N11" s="1028"/>
    </row>
    <row r="13" spans="2:27" ht="15" thickBot="1">
      <c r="B13" s="1020" t="s">
        <v>39</v>
      </c>
      <c r="C13" s="1020"/>
      <c r="D13" s="1020" t="s">
        <v>26</v>
      </c>
      <c r="E13" s="1020" t="s">
        <v>13</v>
      </c>
      <c r="F13" s="1536" t="s">
        <v>35</v>
      </c>
      <c r="G13" s="1020"/>
      <c r="H13" s="1020"/>
      <c r="I13" s="1020"/>
      <c r="J13" s="1020"/>
      <c r="K13" s="1020"/>
      <c r="L13" s="1020"/>
      <c r="M13" s="1020"/>
      <c r="N13" s="1020"/>
      <c r="O13" s="1020"/>
      <c r="P13" s="1020"/>
      <c r="Q13" s="1020"/>
      <c r="R13" s="1020"/>
      <c r="S13" s="1020"/>
      <c r="T13" s="1020"/>
      <c r="U13" s="1020"/>
      <c r="V13" s="1020"/>
      <c r="W13" s="1020"/>
      <c r="X13" s="1020"/>
    </row>
    <row r="14" spans="2:27" ht="13.5" thickTop="1">
      <c r="E14" s="1021"/>
    </row>
    <row r="15" spans="2:27">
      <c r="C15" s="1041" t="s">
        <v>62</v>
      </c>
      <c r="D15" s="1041"/>
      <c r="E15" s="1041"/>
      <c r="F15" s="1041"/>
      <c r="G15" s="1041"/>
      <c r="H15" s="1041"/>
      <c r="I15" s="1041"/>
      <c r="J15" s="1041"/>
      <c r="K15" s="1041"/>
      <c r="L15" s="1041"/>
      <c r="M15" s="1041"/>
      <c r="N15" s="1041"/>
      <c r="O15" s="1041"/>
      <c r="P15" s="1041"/>
      <c r="Q15" s="1041"/>
      <c r="R15" s="1041"/>
      <c r="S15" s="1041"/>
      <c r="T15" s="1041"/>
      <c r="U15" s="1041"/>
      <c r="V15" s="1041"/>
      <c r="W15" s="1041"/>
      <c r="X15" s="1041"/>
    </row>
    <row r="16" spans="2:27">
      <c r="C16" s="1060"/>
      <c r="D16" s="1030" t="s">
        <v>63</v>
      </c>
      <c r="E16" s="1030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031"/>
      <c r="Q16" s="1031"/>
      <c r="R16" s="1031"/>
      <c r="S16" s="1031"/>
      <c r="T16" s="1031"/>
      <c r="U16" s="1031"/>
      <c r="V16" s="1031"/>
      <c r="W16" s="1031"/>
      <c r="X16" s="1031"/>
    </row>
    <row r="17" spans="2:24" s="1059" customFormat="1">
      <c r="B17" s="1624"/>
      <c r="C17" s="1060"/>
      <c r="D17" s="1060"/>
      <c r="E17" s="1060" t="str">
        <f>'ANSP Opex'!C33</f>
        <v>ATCO</v>
      </c>
      <c r="F17" s="1061" t="s">
        <v>64</v>
      </c>
      <c r="G17" s="1060"/>
      <c r="H17" s="1060"/>
      <c r="I17" s="1060"/>
      <c r="J17" s="1033">
        <f>'ANSP Opex'!Q18</f>
        <v>301</v>
      </c>
      <c r="K17" s="1033">
        <f>'ANSP Opex'!R18</f>
        <v>291</v>
      </c>
      <c r="L17" s="1033">
        <f>'ANSP Opex'!S18</f>
        <v>300</v>
      </c>
      <c r="M17" s="1033">
        <f>'ANSP Opex'!T18</f>
        <v>311</v>
      </c>
      <c r="N17" s="1033">
        <f>'ANSP Opex'!U18</f>
        <v>328</v>
      </c>
      <c r="O17" s="1060"/>
      <c r="P17" s="1060"/>
      <c r="Q17" s="1060"/>
      <c r="R17" s="1060"/>
      <c r="S17" s="1060"/>
      <c r="T17" s="1060"/>
      <c r="U17" s="1060"/>
      <c r="V17" s="1060"/>
      <c r="W17" s="1060"/>
      <c r="X17" s="1060"/>
    </row>
    <row r="18" spans="2:24">
      <c r="C18" s="1060"/>
      <c r="D18" s="1031"/>
      <c r="E18" s="1031" t="str">
        <f>'ANSP Opex'!C34</f>
        <v>Corporate Services</v>
      </c>
      <c r="F18" s="14" t="s">
        <v>64</v>
      </c>
      <c r="G18" s="1031"/>
      <c r="H18" s="1031"/>
      <c r="I18" s="1031"/>
      <c r="J18" s="1033">
        <f>'ANSP Opex'!Q19</f>
        <v>66</v>
      </c>
      <c r="K18" s="1033">
        <f>'ANSP Opex'!R19</f>
        <v>65</v>
      </c>
      <c r="L18" s="1033">
        <f>'ANSP Opex'!S19</f>
        <v>57</v>
      </c>
      <c r="M18" s="1033">
        <f>'ANSP Opex'!T19</f>
        <v>57</v>
      </c>
      <c r="N18" s="1033">
        <f>'ANSP Opex'!U19</f>
        <v>57</v>
      </c>
      <c r="O18" s="1031"/>
      <c r="P18" s="1031"/>
      <c r="Q18" s="1031"/>
      <c r="R18" s="1031"/>
      <c r="S18" s="1031"/>
      <c r="T18" s="1031"/>
      <c r="U18" s="1031"/>
      <c r="V18" s="1031"/>
      <c r="W18" s="1031"/>
      <c r="X18" s="1031"/>
    </row>
    <row r="19" spans="2:24">
      <c r="C19" s="1060"/>
      <c r="D19" s="1031"/>
      <c r="E19" s="1031" t="str">
        <f>'ANSP Opex'!C35</f>
        <v>Data Assistant</v>
      </c>
      <c r="F19" s="14" t="s">
        <v>64</v>
      </c>
      <c r="G19" s="1031"/>
      <c r="H19" s="1031"/>
      <c r="I19" s="1031"/>
      <c r="J19" s="1033">
        <f>'ANSP Opex'!Q20</f>
        <v>39</v>
      </c>
      <c r="K19" s="1033">
        <f>'ANSP Opex'!R20</f>
        <v>38</v>
      </c>
      <c r="L19" s="1033">
        <f>'ANSP Opex'!S20</f>
        <v>38</v>
      </c>
      <c r="M19" s="1033">
        <f>'ANSP Opex'!T20</f>
        <v>38</v>
      </c>
      <c r="N19" s="1033">
        <f>'ANSP Opex'!U20</f>
        <v>38</v>
      </c>
      <c r="O19" s="1031"/>
      <c r="P19" s="1031"/>
      <c r="Q19" s="1031"/>
      <c r="R19" s="1031"/>
      <c r="S19" s="1031"/>
      <c r="T19" s="1031"/>
      <c r="U19" s="1031"/>
      <c r="V19" s="1031"/>
      <c r="W19" s="1031"/>
      <c r="X19" s="1031"/>
    </row>
    <row r="20" spans="2:24">
      <c r="C20" s="1060"/>
      <c r="D20" s="1031"/>
      <c r="E20" s="1031" t="str">
        <f>'ANSP Opex'!C36</f>
        <v>Engineer</v>
      </c>
      <c r="F20" s="14" t="s">
        <v>64</v>
      </c>
      <c r="G20" s="1031"/>
      <c r="H20" s="1031"/>
      <c r="I20" s="1031"/>
      <c r="J20" s="1033">
        <f>'ANSP Opex'!Q21</f>
        <v>73</v>
      </c>
      <c r="K20" s="1033">
        <f>'ANSP Opex'!R21</f>
        <v>84</v>
      </c>
      <c r="L20" s="1033">
        <f>'ANSP Opex'!S21</f>
        <v>90</v>
      </c>
      <c r="M20" s="1033">
        <f>'ANSP Opex'!T21</f>
        <v>93</v>
      </c>
      <c r="N20" s="1033">
        <f>'ANSP Opex'!U21</f>
        <v>94</v>
      </c>
      <c r="O20" s="1031"/>
      <c r="P20" s="1031"/>
      <c r="Q20" s="1031"/>
      <c r="R20" s="1031"/>
      <c r="S20" s="1031"/>
      <c r="T20" s="1031"/>
      <c r="U20" s="1031"/>
      <c r="V20" s="1031"/>
      <c r="W20" s="1031"/>
      <c r="X20" s="1031"/>
    </row>
    <row r="21" spans="2:24">
      <c r="C21" s="1060"/>
      <c r="D21" s="1031"/>
      <c r="E21" s="1031" t="str">
        <f>'ANSP Opex'!C37</f>
        <v>Op Mgt Supp</v>
      </c>
      <c r="F21" s="14" t="s">
        <v>64</v>
      </c>
      <c r="G21" s="1031"/>
      <c r="H21" s="1031"/>
      <c r="I21" s="1031"/>
      <c r="J21" s="1033">
        <f>'ANSP Opex'!Q22</f>
        <v>60</v>
      </c>
      <c r="K21" s="1033">
        <f>'ANSP Opex'!R22</f>
        <v>64</v>
      </c>
      <c r="L21" s="1033">
        <f>'ANSP Opex'!S22</f>
        <v>68</v>
      </c>
      <c r="M21" s="1033">
        <f>'ANSP Opex'!T22</f>
        <v>69</v>
      </c>
      <c r="N21" s="1033">
        <f>'ANSP Opex'!U22</f>
        <v>69</v>
      </c>
      <c r="O21" s="1031"/>
      <c r="P21" s="1031"/>
      <c r="Q21" s="1031"/>
      <c r="R21" s="1031"/>
      <c r="S21" s="1031"/>
      <c r="T21" s="1031"/>
      <c r="U21" s="1031"/>
      <c r="V21" s="1031"/>
      <c r="W21" s="1031"/>
      <c r="X21" s="1031"/>
    </row>
    <row r="22" spans="2:24">
      <c r="C22" s="1060"/>
      <c r="D22" s="1031"/>
      <c r="E22" s="1031"/>
      <c r="F22" s="1031"/>
      <c r="G22" s="1031"/>
      <c r="H22" s="1031"/>
      <c r="I22" s="1031"/>
      <c r="J22" s="1031"/>
      <c r="K22" s="1031"/>
      <c r="L22" s="1031"/>
      <c r="M22" s="1031"/>
      <c r="N22" s="1031"/>
      <c r="O22" s="1031"/>
      <c r="P22" s="1031"/>
      <c r="Q22" s="1031"/>
      <c r="R22" s="1031"/>
      <c r="S22" s="1031"/>
      <c r="T22" s="1031"/>
      <c r="U22" s="1031"/>
      <c r="V22" s="1031"/>
      <c r="W22" s="1031"/>
      <c r="X22" s="1031"/>
    </row>
    <row r="23" spans="2:24">
      <c r="C23" s="1060"/>
      <c r="D23" s="1030" t="s">
        <v>65</v>
      </c>
      <c r="E23" s="1031"/>
      <c r="F23" s="1031"/>
      <c r="G23" s="1031"/>
      <c r="H23" s="1031"/>
      <c r="I23" s="1031"/>
      <c r="J23" s="1031"/>
      <c r="K23" s="1031"/>
      <c r="L23" s="1031"/>
      <c r="M23" s="1031"/>
      <c r="N23" s="1031"/>
      <c r="O23" s="1031"/>
      <c r="P23" s="1031"/>
      <c r="Q23" s="1031"/>
      <c r="R23" s="1031"/>
      <c r="S23" s="1031"/>
      <c r="T23" s="1031"/>
      <c r="U23" s="1031"/>
      <c r="V23" s="1031"/>
      <c r="W23" s="1031"/>
      <c r="X23" s="1031"/>
    </row>
    <row r="24" spans="2:24">
      <c r="C24" s="1060"/>
      <c r="D24" s="1031"/>
      <c r="E24" s="1031" t="str">
        <f>'ANSP Opex'!C33</f>
        <v>ATCO</v>
      </c>
      <c r="F24" s="14" t="s">
        <v>66</v>
      </c>
      <c r="G24" s="1031"/>
      <c r="H24" s="1031"/>
      <c r="I24" s="1031"/>
      <c r="J24" s="1033">
        <f t="shared" ref="J24:N28" si="1">1000*J31/J17</f>
        <v>140987.38622456143</v>
      </c>
      <c r="K24" s="1033">
        <f t="shared" si="1"/>
        <v>133838.36629684144</v>
      </c>
      <c r="L24" s="1033">
        <f t="shared" si="1"/>
        <v>148502.24352670379</v>
      </c>
      <c r="M24" s="1033">
        <f t="shared" si="1"/>
        <v>151061.76623240934</v>
      </c>
      <c r="N24" s="1033">
        <f t="shared" si="1"/>
        <v>152226.76708328316</v>
      </c>
      <c r="O24" s="1031"/>
      <c r="P24" s="1031"/>
      <c r="Q24" s="1031"/>
      <c r="R24" s="1031"/>
      <c r="S24" s="1031"/>
      <c r="T24" s="1031"/>
      <c r="U24" s="1031"/>
      <c r="V24" s="1031"/>
      <c r="W24" s="1031"/>
      <c r="X24" s="1031"/>
    </row>
    <row r="25" spans="2:24">
      <c r="C25" s="1060"/>
      <c r="D25" s="1031"/>
      <c r="E25" s="1031" t="str">
        <f>'ANSP Opex'!C34</f>
        <v>Corporate Services</v>
      </c>
      <c r="F25" s="14" t="s">
        <v>66</v>
      </c>
      <c r="G25" s="1031"/>
      <c r="H25" s="1031"/>
      <c r="I25" s="1031"/>
      <c r="J25" s="1033">
        <f t="shared" si="1"/>
        <v>67551.208931984831</v>
      </c>
      <c r="K25" s="1033">
        <f t="shared" si="1"/>
        <v>65596.64674095888</v>
      </c>
      <c r="L25" s="1033">
        <f t="shared" si="1"/>
        <v>74210.6649319711</v>
      </c>
      <c r="M25" s="1033">
        <f t="shared" si="1"/>
        <v>77046.880392954525</v>
      </c>
      <c r="N25" s="1033">
        <f t="shared" si="1"/>
        <v>80123.037605013262</v>
      </c>
      <c r="O25" s="1031"/>
      <c r="P25" s="1031"/>
      <c r="Q25" s="1031"/>
      <c r="R25" s="1031"/>
      <c r="S25" s="1031"/>
      <c r="T25" s="1031"/>
      <c r="U25" s="1031"/>
      <c r="V25" s="1031"/>
      <c r="W25" s="1031"/>
      <c r="X25" s="1031"/>
    </row>
    <row r="26" spans="2:24">
      <c r="C26" s="1060"/>
      <c r="D26" s="1031"/>
      <c r="E26" s="1031" t="str">
        <f>'ANSP Opex'!C35</f>
        <v>Data Assistant</v>
      </c>
      <c r="F26" s="14" t="s">
        <v>66</v>
      </c>
      <c r="G26" s="1031"/>
      <c r="H26" s="1031"/>
      <c r="I26" s="1031"/>
      <c r="J26" s="1033">
        <f t="shared" si="1"/>
        <v>67914.250136641014</v>
      </c>
      <c r="K26" s="1033">
        <f t="shared" si="1"/>
        <v>66044.818650763991</v>
      </c>
      <c r="L26" s="1033">
        <f t="shared" si="1"/>
        <v>74593.974949706491</v>
      </c>
      <c r="M26" s="1033">
        <f t="shared" si="1"/>
        <v>77416.171266642137</v>
      </c>
      <c r="N26" s="1033">
        <f t="shared" si="1"/>
        <v>80485.870688552648</v>
      </c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</row>
    <row r="27" spans="2:24">
      <c r="C27" s="1060"/>
      <c r="D27" s="1031"/>
      <c r="E27" s="1031" t="str">
        <f>'ANSP Opex'!C36</f>
        <v>Engineer</v>
      </c>
      <c r="F27" s="14" t="s">
        <v>66</v>
      </c>
      <c r="G27" s="1031"/>
      <c r="H27" s="1031"/>
      <c r="I27" s="1031"/>
      <c r="J27" s="1033">
        <f t="shared" si="1"/>
        <v>120688.46421216436</v>
      </c>
      <c r="K27" s="1033">
        <f t="shared" si="1"/>
        <v>117232.38619611549</v>
      </c>
      <c r="L27" s="1033">
        <f t="shared" si="1"/>
        <v>132580.53617655035</v>
      </c>
      <c r="M27" s="1033">
        <f t="shared" si="1"/>
        <v>137636.77040703775</v>
      </c>
      <c r="N27" s="1033">
        <f t="shared" si="1"/>
        <v>143124.04826426372</v>
      </c>
      <c r="O27" s="1031"/>
      <c r="P27" s="1031"/>
      <c r="Q27" s="1031"/>
      <c r="R27" s="1031"/>
      <c r="S27" s="1031"/>
      <c r="T27" s="1031"/>
      <c r="U27" s="1031"/>
      <c r="V27" s="1031"/>
      <c r="W27" s="1031"/>
      <c r="X27" s="1031"/>
    </row>
    <row r="28" spans="2:24">
      <c r="C28" s="1060"/>
      <c r="D28" s="1031"/>
      <c r="E28" s="1031" t="str">
        <f>'ANSP Opex'!C37</f>
        <v>Op Mgt Supp</v>
      </c>
      <c r="F28" s="14" t="s">
        <v>66</v>
      </c>
      <c r="G28" s="1031"/>
      <c r="H28" s="1031"/>
      <c r="I28" s="1031"/>
      <c r="J28" s="1033">
        <f t="shared" si="1"/>
        <v>118428.91640333332</v>
      </c>
      <c r="K28" s="1033">
        <f t="shared" si="1"/>
        <v>114997.4325811766</v>
      </c>
      <c r="L28" s="1033">
        <f t="shared" si="1"/>
        <v>130104.8478022473</v>
      </c>
      <c r="M28" s="1033">
        <f t="shared" si="1"/>
        <v>136057.5345725767</v>
      </c>
      <c r="N28" s="1033">
        <f t="shared" si="1"/>
        <v>141490.79934771088</v>
      </c>
      <c r="O28" s="1031"/>
      <c r="P28" s="1031"/>
      <c r="Q28" s="1031"/>
      <c r="R28" s="1031"/>
      <c r="S28" s="1031"/>
      <c r="T28" s="1031"/>
      <c r="U28" s="1031"/>
      <c r="V28" s="1031"/>
      <c r="W28" s="1031"/>
      <c r="X28" s="1031"/>
    </row>
    <row r="29" spans="2:24">
      <c r="C29" s="1060"/>
      <c r="D29" s="1031"/>
      <c r="E29" s="1031"/>
      <c r="F29" s="1031"/>
      <c r="G29" s="1031"/>
      <c r="H29" s="1031"/>
      <c r="I29" s="1031"/>
      <c r="J29" s="1031"/>
      <c r="K29" s="1031"/>
      <c r="L29" s="1031"/>
      <c r="M29" s="1031"/>
      <c r="N29" s="1031"/>
      <c r="O29" s="1031"/>
      <c r="P29" s="1031"/>
      <c r="Q29" s="1031"/>
      <c r="R29" s="1031"/>
      <c r="S29" s="1031"/>
      <c r="T29" s="1031"/>
      <c r="U29" s="1031"/>
      <c r="V29" s="1031"/>
      <c r="W29" s="1031"/>
      <c r="X29" s="1031"/>
    </row>
    <row r="30" spans="2:24">
      <c r="C30" s="1060"/>
      <c r="D30" s="1030" t="s">
        <v>67</v>
      </c>
      <c r="E30" s="1031"/>
      <c r="F30" s="1031"/>
      <c r="G30" s="1031"/>
      <c r="H30" s="1031"/>
      <c r="I30" s="1031"/>
      <c r="J30" s="1031"/>
      <c r="K30" s="1031"/>
      <c r="L30" s="1031"/>
      <c r="M30" s="1031"/>
      <c r="N30" s="1031"/>
      <c r="O30" s="1031"/>
      <c r="P30" s="1031"/>
      <c r="Q30" s="1031"/>
      <c r="R30" s="1031"/>
      <c r="S30" s="1031"/>
      <c r="T30" s="1031"/>
      <c r="U30" s="1031"/>
      <c r="V30" s="1031"/>
      <c r="W30" s="1031"/>
      <c r="X30" s="1031"/>
    </row>
    <row r="31" spans="2:24">
      <c r="B31" s="1189"/>
      <c r="C31" s="1060"/>
      <c r="D31" s="1031"/>
      <c r="E31" s="1031" t="str">
        <f>'ANSP Opex'!C33</f>
        <v>ATCO</v>
      </c>
      <c r="F31" s="14" t="s">
        <v>29</v>
      </c>
      <c r="G31" s="1031"/>
      <c r="H31" s="1031"/>
      <c r="I31" s="1031"/>
      <c r="J31" s="1033">
        <f>'ANSP Opex'!Q33*J$5/100</f>
        <v>42437.20325359299</v>
      </c>
      <c r="K31" s="1033">
        <f>'ANSP Opex'!R33*K$5/100</f>
        <v>38946.964592380857</v>
      </c>
      <c r="L31" s="1033">
        <f>'ANSP Opex'!S33*L$5/100</f>
        <v>44550.67305801114</v>
      </c>
      <c r="M31" s="1033">
        <f>'ANSP Opex'!T33*M$5/100</f>
        <v>46980.209298279304</v>
      </c>
      <c r="N31" s="1033">
        <f>'ANSP Opex'!U33*N$5/100</f>
        <v>49930.379603316876</v>
      </c>
      <c r="O31" s="1031"/>
      <c r="P31" s="1031"/>
      <c r="Q31" s="1031"/>
      <c r="R31" s="1031"/>
      <c r="S31" s="1031"/>
      <c r="T31" s="1031"/>
      <c r="U31" s="1031"/>
      <c r="V31" s="1031"/>
      <c r="W31" s="1031"/>
      <c r="X31" s="1031"/>
    </row>
    <row r="32" spans="2:24">
      <c r="B32" s="1189"/>
      <c r="C32" s="1060"/>
      <c r="D32" s="1031"/>
      <c r="E32" s="1031" t="str">
        <f>'ANSP Opex'!C34</f>
        <v>Corporate Services</v>
      </c>
      <c r="F32" s="14" t="s">
        <v>29</v>
      </c>
      <c r="G32" s="1031"/>
      <c r="H32" s="1031"/>
      <c r="I32" s="1031"/>
      <c r="J32" s="1033">
        <f>'ANSP Opex'!Q34*J$5/100</f>
        <v>4458.3797895109992</v>
      </c>
      <c r="K32" s="1033">
        <f>'ANSP Opex'!R34*K$5/100</f>
        <v>4263.7820381623278</v>
      </c>
      <c r="L32" s="1033">
        <f>'ANSP Opex'!S34*L$5/100</f>
        <v>4230.0079011223534</v>
      </c>
      <c r="M32" s="1033">
        <f>'ANSP Opex'!T34*M$5/100</f>
        <v>4391.672182398408</v>
      </c>
      <c r="N32" s="1033">
        <f>'ANSP Opex'!U34*N$5/100</f>
        <v>4567.0131434857558</v>
      </c>
      <c r="O32" s="1031"/>
      <c r="P32" s="1031"/>
      <c r="Q32" s="1031"/>
      <c r="R32" s="1031"/>
      <c r="S32" s="1031"/>
      <c r="T32" s="1031"/>
      <c r="U32" s="1031"/>
      <c r="V32" s="1031"/>
      <c r="W32" s="1031"/>
      <c r="X32" s="1031"/>
    </row>
    <row r="33" spans="2:27">
      <c r="B33" s="1189"/>
      <c r="C33" s="1060"/>
      <c r="D33" s="1031"/>
      <c r="E33" s="1031" t="str">
        <f>'ANSP Opex'!C35</f>
        <v>Data Assistant</v>
      </c>
      <c r="F33" s="14" t="s">
        <v>29</v>
      </c>
      <c r="G33" s="1031"/>
      <c r="H33" s="1031"/>
      <c r="I33" s="1031"/>
      <c r="J33" s="1033">
        <f>'ANSP Opex'!Q35*J$5/100</f>
        <v>2648.6557553289995</v>
      </c>
      <c r="K33" s="1033">
        <f>'ANSP Opex'!R35*K$5/100</f>
        <v>2509.7031087290316</v>
      </c>
      <c r="L33" s="1033">
        <f>'ANSP Opex'!S35*L$5/100</f>
        <v>2834.5710480888465</v>
      </c>
      <c r="M33" s="1033">
        <f>'ANSP Opex'!T35*M$5/100</f>
        <v>2941.8145081324014</v>
      </c>
      <c r="N33" s="1033">
        <f>'ANSP Opex'!U35*N$5/100</f>
        <v>3058.4630861650007</v>
      </c>
      <c r="O33" s="1031"/>
      <c r="P33" s="1031"/>
      <c r="Q33" s="1031"/>
      <c r="R33" s="1031"/>
      <c r="S33" s="1031"/>
      <c r="T33" s="1031"/>
      <c r="U33" s="1031"/>
      <c r="V33" s="1031"/>
      <c r="W33" s="1031"/>
      <c r="X33" s="1031"/>
    </row>
    <row r="34" spans="2:27">
      <c r="B34" s="1189"/>
      <c r="C34" s="1060"/>
      <c r="D34" s="1031"/>
      <c r="E34" s="1031" t="str">
        <f>'ANSP Opex'!C36</f>
        <v>Engineer</v>
      </c>
      <c r="F34" s="14" t="s">
        <v>29</v>
      </c>
      <c r="G34" s="1031"/>
      <c r="H34" s="1031"/>
      <c r="I34" s="1031"/>
      <c r="J34" s="1033">
        <f>'ANSP Opex'!Q36*J$5/100</f>
        <v>8810.2578874879982</v>
      </c>
      <c r="K34" s="1033">
        <f>'ANSP Opex'!R36*K$5/100</f>
        <v>9847.5204404737015</v>
      </c>
      <c r="L34" s="1033">
        <f>'ANSP Opex'!S36*L$5/100</f>
        <v>11932.248255889532</v>
      </c>
      <c r="M34" s="1033">
        <f>'ANSP Opex'!T36*M$5/100</f>
        <v>12800.21964785451</v>
      </c>
      <c r="N34" s="1033">
        <f>'ANSP Opex'!U36*N$5/100</f>
        <v>13453.660536840791</v>
      </c>
      <c r="O34" s="1031"/>
      <c r="P34" s="1031"/>
      <c r="Q34" s="1031"/>
      <c r="R34" s="1031"/>
      <c r="S34" s="1031"/>
      <c r="T34" s="1031"/>
      <c r="U34" s="1031"/>
      <c r="V34" s="1031"/>
      <c r="W34" s="1031"/>
      <c r="X34" s="1031"/>
    </row>
    <row r="35" spans="2:27">
      <c r="B35" s="1189"/>
      <c r="C35" s="1060"/>
      <c r="D35" s="1031"/>
      <c r="E35" s="1031" t="str">
        <f>'ANSP Opex'!C37</f>
        <v>Op Mgt Supp</v>
      </c>
      <c r="F35" s="14" t="s">
        <v>29</v>
      </c>
      <c r="G35" s="1031"/>
      <c r="H35" s="1031"/>
      <c r="I35" s="1031"/>
      <c r="J35" s="1033">
        <f>'ANSP Opex'!Q37*J$5/100</f>
        <v>7105.7349841999985</v>
      </c>
      <c r="K35" s="1033">
        <f>'ANSP Opex'!R37*K$5/100</f>
        <v>7359.8356851953022</v>
      </c>
      <c r="L35" s="1033">
        <f>'ANSP Opex'!S37*L$5/100</f>
        <v>8847.1296505528171</v>
      </c>
      <c r="M35" s="1033">
        <f>'ANSP Opex'!T37*M$5/100</f>
        <v>9387.9698855077913</v>
      </c>
      <c r="N35" s="1033">
        <f>'ANSP Opex'!U37*N$5/100</f>
        <v>9762.8651549920505</v>
      </c>
      <c r="O35" s="1031"/>
      <c r="P35" s="1031"/>
      <c r="Q35" s="1031"/>
      <c r="R35" s="1031"/>
      <c r="S35" s="1031"/>
      <c r="T35" s="1031"/>
      <c r="U35" s="1031"/>
      <c r="V35" s="1031"/>
      <c r="W35" s="1031"/>
      <c r="X35" s="1031"/>
    </row>
    <row r="36" spans="2:27">
      <c r="B36" s="1189"/>
      <c r="C36" s="1060"/>
      <c r="D36" s="1031"/>
      <c r="E36" s="1031" t="str">
        <f>'ANSP Opex'!C38</f>
        <v>EWSS</v>
      </c>
      <c r="F36" s="14" t="s">
        <v>29</v>
      </c>
      <c r="G36" s="1031"/>
      <c r="H36" s="1031"/>
      <c r="I36" s="1031"/>
      <c r="J36" s="1033">
        <f>'ANSP Opex'!Q38*J$5/100</f>
        <v>-1379.1693700579997</v>
      </c>
      <c r="K36" s="1033">
        <f>'ANSP Opex'!R38*K$5/100</f>
        <v>-4138.7298893532316</v>
      </c>
      <c r="L36" s="1033">
        <f>'ANSP Opex'!S38*L$5/100</f>
        <v>0</v>
      </c>
      <c r="M36" s="1033">
        <f>'ANSP Opex'!T38*M$5/100</f>
        <v>0</v>
      </c>
      <c r="N36" s="1033">
        <f>'ANSP Opex'!U38*N$5/100</f>
        <v>0</v>
      </c>
      <c r="O36" s="1031"/>
      <c r="P36" s="1031"/>
      <c r="Q36" s="1031"/>
      <c r="R36" s="1031"/>
      <c r="S36" s="1031"/>
      <c r="T36" s="1031"/>
      <c r="U36" s="1031"/>
      <c r="V36" s="1031"/>
      <c r="W36" s="1031"/>
      <c r="X36" s="1031"/>
    </row>
    <row r="37" spans="2:27">
      <c r="B37" s="1189"/>
      <c r="C37" s="1060"/>
      <c r="D37" s="1031"/>
      <c r="E37" s="1031" t="str">
        <f>'ANSP Opex'!C39</f>
        <v>Overtime</v>
      </c>
      <c r="F37" s="14" t="s">
        <v>29</v>
      </c>
      <c r="G37" s="1031"/>
      <c r="H37" s="1031"/>
      <c r="I37" s="1031"/>
      <c r="J37" s="1033">
        <f>'ANSP Opex'!Q39*J$5/100</f>
        <v>671.61764299999982</v>
      </c>
      <c r="K37" s="1033">
        <f>'ANSP Opex'!R39*K$5/100</f>
        <v>991.5433676839998</v>
      </c>
      <c r="L37" s="1033">
        <f>'ANSP Opex'!S39*L$5/100</f>
        <v>1485.8568995146998</v>
      </c>
      <c r="M37" s="1033">
        <f>'ANSP Opex'!T39*M$5/100</f>
        <v>1725.3402140233841</v>
      </c>
      <c r="N37" s="1033">
        <f>'ANSP Opex'!U39*N$5/100</f>
        <v>1953.5615221843129</v>
      </c>
      <c r="O37" s="1031"/>
      <c r="P37" s="1031"/>
      <c r="Q37" s="1031"/>
      <c r="R37" s="1031"/>
      <c r="S37" s="1031"/>
      <c r="T37" s="1031"/>
      <c r="U37" s="1031"/>
      <c r="V37" s="1031"/>
      <c r="W37" s="1031"/>
      <c r="X37" s="1031"/>
    </row>
    <row r="38" spans="2:27">
      <c r="C38" s="1060"/>
      <c r="D38" s="1031"/>
      <c r="E38" s="1030"/>
      <c r="F38" s="14"/>
      <c r="G38" s="1031"/>
      <c r="H38" s="1031"/>
      <c r="I38" s="1031"/>
      <c r="J38" s="1043"/>
      <c r="K38" s="1043"/>
      <c r="L38" s="1043"/>
      <c r="M38" s="1043"/>
      <c r="N38" s="1043"/>
      <c r="O38" s="1043"/>
      <c r="P38" s="1031"/>
      <c r="Q38" s="1031"/>
      <c r="R38" s="1031"/>
      <c r="S38" s="1031"/>
      <c r="T38" s="1031"/>
      <c r="U38" s="1031"/>
      <c r="V38" s="1031"/>
      <c r="W38" s="1031"/>
      <c r="X38" s="1031"/>
    </row>
    <row r="39" spans="2:27">
      <c r="C39" s="1060"/>
      <c r="D39" s="1031"/>
      <c r="E39" s="1030" t="s">
        <v>12</v>
      </c>
      <c r="F39" s="1053" t="s">
        <v>29</v>
      </c>
      <c r="G39" s="1031"/>
      <c r="H39" s="1031"/>
      <c r="I39" s="1031"/>
      <c r="J39" s="1043">
        <f>SUM(J31:J37)</f>
        <v>64752.679943062976</v>
      </c>
      <c r="K39" s="1043">
        <f>SUM(K31:K37)</f>
        <v>59780.619343271981</v>
      </c>
      <c r="L39" s="1043">
        <f>SUM(L31:L37)</f>
        <v>73880.486813179392</v>
      </c>
      <c r="M39" s="1043">
        <f>SUM(M31:M37)</f>
        <v>78227.225736195789</v>
      </c>
      <c r="N39" s="1043">
        <f>SUM(N31:N37)</f>
        <v>82725.943046984787</v>
      </c>
      <c r="O39" s="1043"/>
      <c r="P39" s="1031"/>
      <c r="Q39" s="1031"/>
      <c r="R39" s="1031"/>
      <c r="S39" s="1031"/>
      <c r="T39" s="1031"/>
      <c r="U39" s="1031"/>
      <c r="V39" s="1031"/>
      <c r="W39" s="1031"/>
      <c r="X39" s="1031"/>
      <c r="Z39" s="1189"/>
      <c r="AA39" s="1655">
        <f>(SUMPRODUCT($J$5:$N$5,'ANSP Opex'!Q43:U43)/100)-SUM($J$39:$N$39)</f>
        <v>0</v>
      </c>
    </row>
    <row r="40" spans="2:27">
      <c r="C40" s="1060"/>
      <c r="D40" s="1031"/>
      <c r="E40" s="1031"/>
      <c r="F40" s="1031"/>
      <c r="G40" s="1031"/>
      <c r="H40" s="1031"/>
      <c r="I40" s="1031"/>
      <c r="J40" s="1031"/>
      <c r="K40" s="1031"/>
      <c r="L40" s="1031"/>
      <c r="M40" s="1031"/>
      <c r="N40" s="1031"/>
      <c r="O40" s="1031"/>
      <c r="P40" s="1031"/>
      <c r="Q40" s="1031"/>
      <c r="R40" s="1031"/>
      <c r="S40" s="1031"/>
      <c r="T40" s="1031"/>
      <c r="U40" s="1031"/>
      <c r="V40" s="1031"/>
      <c r="W40" s="1031"/>
      <c r="X40" s="1031"/>
    </row>
    <row r="41" spans="2:27">
      <c r="B41" s="1067"/>
      <c r="C41" s="1068"/>
      <c r="D41" s="1069"/>
      <c r="E41" s="1069"/>
      <c r="F41" s="3"/>
      <c r="G41" s="3"/>
      <c r="H41" s="3"/>
      <c r="I41" s="3"/>
      <c r="J41" s="148"/>
      <c r="K41" s="148"/>
      <c r="L41" s="148"/>
      <c r="M41" s="148"/>
      <c r="N41" s="148"/>
      <c r="O41" s="3"/>
      <c r="P41" s="1067"/>
      <c r="Q41" s="1067"/>
      <c r="R41" s="1067"/>
      <c r="S41" s="1067"/>
      <c r="T41" s="1067"/>
      <c r="U41" s="1067"/>
      <c r="V41" s="1067"/>
      <c r="W41" s="1067"/>
      <c r="X41" s="1067"/>
      <c r="Y41" s="1067"/>
    </row>
    <row r="42" spans="2:27">
      <c r="B42" s="1067"/>
      <c r="C42" s="1039" t="s">
        <v>68</v>
      </c>
      <c r="D42" s="1039"/>
      <c r="E42" s="1039"/>
      <c r="F42" s="1070"/>
      <c r="G42" s="1070"/>
      <c r="H42" s="1070"/>
      <c r="I42" s="1070"/>
      <c r="J42" s="1070"/>
      <c r="K42" s="1070"/>
      <c r="L42" s="1070"/>
      <c r="M42" s="1070"/>
      <c r="N42" s="1070"/>
      <c r="O42" s="1070"/>
      <c r="P42" s="1040"/>
      <c r="Q42" s="1040"/>
      <c r="R42" s="1040"/>
      <c r="S42" s="1040"/>
      <c r="T42" s="1040"/>
      <c r="U42" s="1040"/>
      <c r="V42" s="1040"/>
      <c r="W42" s="1040"/>
      <c r="X42" s="1040"/>
      <c r="Y42" s="1067"/>
    </row>
    <row r="43" spans="2:27">
      <c r="C43" s="1060"/>
      <c r="D43" s="1030" t="s">
        <v>63</v>
      </c>
      <c r="E43" s="1030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031"/>
      <c r="Q43" s="1031"/>
      <c r="R43" s="1031"/>
      <c r="S43" s="1031"/>
      <c r="T43" s="1031"/>
      <c r="U43" s="1031"/>
      <c r="V43" s="1031"/>
      <c r="W43" s="1031"/>
      <c r="X43" s="1031"/>
    </row>
    <row r="44" spans="2:27">
      <c r="C44" s="1060"/>
      <c r="D44" s="1060"/>
      <c r="E44" s="1060" t="str">
        <f>E17</f>
        <v>ATCO</v>
      </c>
      <c r="F44" s="1061" t="s">
        <v>64</v>
      </c>
      <c r="G44" s="1060"/>
      <c r="H44" s="1060"/>
      <c r="I44" s="1060"/>
      <c r="J44" s="1033">
        <f>CHOOSE($T$2,'ANSP Opex (CAR-10% SUs)'!Q18,'ANSP Opex (CAR)'!Q18,'ANSP Opex (CAR)'!Q18)</f>
        <v>301</v>
      </c>
      <c r="K44" s="1033">
        <f>CHOOSE($T$2,'ANSP Opex (CAR-10% SUs)'!R18,'ANSP Opex (CAR)'!R18,'ANSP Opex (CAR)'!R18)</f>
        <v>290</v>
      </c>
      <c r="L44" s="1033">
        <f>CHOOSE($T$2,'ANSP Opex (CAR-10% SUs)'!S18,'ANSP Opex (CAR)'!S18,'ANSP Opex (CAR)'!S18)</f>
        <v>290</v>
      </c>
      <c r="M44" s="1033">
        <f>CHOOSE($T$2,'ANSP Opex (CAR-10% SUs)'!T18,'ANSP Opex (CAR)'!T18,'ANSP Opex (CAR)'!T18)</f>
        <v>295</v>
      </c>
      <c r="N44" s="1033">
        <f>CHOOSE($T$2,'ANSP Opex (CAR-10% SUs)'!U18,'ANSP Opex (CAR)'!U18,'ANSP Opex (CAR)'!U18)</f>
        <v>325</v>
      </c>
      <c r="O44" s="1060"/>
      <c r="P44" s="1060"/>
      <c r="Q44" s="1060"/>
      <c r="R44" s="1060"/>
      <c r="S44" s="1060"/>
      <c r="T44" s="1060"/>
      <c r="U44" s="1060"/>
      <c r="V44" s="1060"/>
      <c r="W44" s="1060"/>
      <c r="X44" s="1060"/>
    </row>
    <row r="45" spans="2:27">
      <c r="C45" s="1060"/>
      <c r="D45" s="1031"/>
      <c r="E45" s="1060" t="str">
        <f>E18</f>
        <v>Corporate Services</v>
      </c>
      <c r="F45" s="14" t="s">
        <v>64</v>
      </c>
      <c r="G45" s="1031"/>
      <c r="H45" s="1031"/>
      <c r="I45" s="1031"/>
      <c r="J45" s="1033">
        <f>CHOOSE($T$2,'ANSP Opex (CAR-10% SUs)'!Q19,'ANSP Opex (CAR)'!Q19,'ANSP Opex (CAR)'!Q19)</f>
        <v>68</v>
      </c>
      <c r="K45" s="1033">
        <f>CHOOSE($T$2,'ANSP Opex (CAR-10% SUs)'!R19,'ANSP Opex (CAR)'!R19,'ANSP Opex (CAR)'!R19)</f>
        <v>68</v>
      </c>
      <c r="L45" s="1033">
        <f>CHOOSE($T$2,'ANSP Opex (CAR-10% SUs)'!S19,'ANSP Opex (CAR)'!S19,'ANSP Opex (CAR)'!S19)</f>
        <v>57</v>
      </c>
      <c r="M45" s="1033">
        <f>CHOOSE($T$2,'ANSP Opex (CAR-10% SUs)'!T19,'ANSP Opex (CAR)'!T19,'ANSP Opex (CAR)'!T19)</f>
        <v>57</v>
      </c>
      <c r="N45" s="1033">
        <f>CHOOSE($T$2,'ANSP Opex (CAR-10% SUs)'!U19,'ANSP Opex (CAR)'!U19,'ANSP Opex (CAR)'!U19)</f>
        <v>57</v>
      </c>
      <c r="O45" s="1031"/>
      <c r="P45" s="1031"/>
      <c r="Q45" s="1031"/>
      <c r="R45" s="1031"/>
      <c r="S45" s="1031"/>
      <c r="T45" s="1031"/>
      <c r="U45" s="1031"/>
      <c r="V45" s="1031"/>
      <c r="W45" s="1031"/>
      <c r="X45" s="1031"/>
    </row>
    <row r="46" spans="2:27">
      <c r="C46" s="1060"/>
      <c r="D46" s="1031"/>
      <c r="E46" s="1060" t="str">
        <f>E19</f>
        <v>Data Assistant</v>
      </c>
      <c r="F46" s="14" t="s">
        <v>64</v>
      </c>
      <c r="G46" s="1031"/>
      <c r="H46" s="1031"/>
      <c r="I46" s="1031"/>
      <c r="J46" s="1033">
        <f>CHOOSE($T$2,'ANSP Opex (CAR-10% SUs)'!Q20,'ANSP Opex (CAR)'!Q20,'ANSP Opex (CAR)'!Q20)</f>
        <v>39</v>
      </c>
      <c r="K46" s="1033">
        <f>CHOOSE($T$2,'ANSP Opex (CAR-10% SUs)'!R20,'ANSP Opex (CAR)'!R20,'ANSP Opex (CAR)'!R20)</f>
        <v>39</v>
      </c>
      <c r="L46" s="1033">
        <f>CHOOSE($T$2,'ANSP Opex (CAR-10% SUs)'!S20,'ANSP Opex (CAR)'!S20,'ANSP Opex (CAR)'!S20)</f>
        <v>38</v>
      </c>
      <c r="M46" s="1033">
        <f>CHOOSE($T$2,'ANSP Opex (CAR-10% SUs)'!T20,'ANSP Opex (CAR)'!T20,'ANSP Opex (CAR)'!T20)</f>
        <v>38</v>
      </c>
      <c r="N46" s="1033">
        <f>CHOOSE($T$2,'ANSP Opex (CAR-10% SUs)'!U20,'ANSP Opex (CAR)'!U20,'ANSP Opex (CAR)'!U20)</f>
        <v>38</v>
      </c>
      <c r="O46" s="1031"/>
      <c r="P46" s="1031"/>
      <c r="Q46" s="1031"/>
      <c r="R46" s="1031"/>
      <c r="S46" s="1031"/>
      <c r="T46" s="1031"/>
      <c r="U46" s="1031"/>
      <c r="V46" s="1031"/>
      <c r="W46" s="1031"/>
      <c r="X46" s="1031"/>
    </row>
    <row r="47" spans="2:27">
      <c r="C47" s="1060"/>
      <c r="D47" s="1031"/>
      <c r="E47" s="1060" t="str">
        <f>E20</f>
        <v>Engineer</v>
      </c>
      <c r="F47" s="14" t="s">
        <v>64</v>
      </c>
      <c r="G47" s="1031"/>
      <c r="H47" s="1031"/>
      <c r="I47" s="1031"/>
      <c r="J47" s="1033">
        <f>CHOOSE($T$2,'ANSP Opex (CAR-10% SUs)'!Q21,'ANSP Opex (CAR)'!Q21,'ANSP Opex (CAR)'!Q21)</f>
        <v>72</v>
      </c>
      <c r="K47" s="1033">
        <f>CHOOSE($T$2,'ANSP Opex (CAR-10% SUs)'!R21,'ANSP Opex (CAR)'!R21,'ANSP Opex (CAR)'!R21)</f>
        <v>72</v>
      </c>
      <c r="L47" s="1033">
        <f>CHOOSE($T$2,'ANSP Opex (CAR-10% SUs)'!S21,'ANSP Opex (CAR)'!S21,'ANSP Opex (CAR)'!S21)</f>
        <v>87</v>
      </c>
      <c r="M47" s="1033">
        <f>CHOOSE($T$2,'ANSP Opex (CAR-10% SUs)'!T21,'ANSP Opex (CAR)'!T21,'ANSP Opex (CAR)'!T21)</f>
        <v>90.5</v>
      </c>
      <c r="N47" s="1033">
        <f>CHOOSE($T$2,'ANSP Opex (CAR-10% SUs)'!U21,'ANSP Opex (CAR)'!U21,'ANSP Opex (CAR)'!U21)</f>
        <v>90.5</v>
      </c>
      <c r="O47" s="1031"/>
      <c r="P47" s="1031"/>
      <c r="Q47" s="1031"/>
      <c r="R47" s="1031"/>
      <c r="S47" s="1031"/>
      <c r="T47" s="1031"/>
      <c r="U47" s="1031"/>
      <c r="V47" s="1031"/>
      <c r="W47" s="1031"/>
      <c r="X47" s="1031"/>
    </row>
    <row r="48" spans="2:27">
      <c r="C48" s="1060"/>
      <c r="D48" s="1031"/>
      <c r="E48" s="1060" t="str">
        <f>E21</f>
        <v>Op Mgt Supp</v>
      </c>
      <c r="F48" s="14" t="s">
        <v>64</v>
      </c>
      <c r="G48" s="1031"/>
      <c r="H48" s="1031"/>
      <c r="I48" s="1031"/>
      <c r="J48" s="1033">
        <f>CHOOSE($T$2,'ANSP Opex (CAR-10% SUs)'!Q22,'ANSP Opex (CAR)'!Q22,'ANSP Opex (CAR)'!Q22)</f>
        <v>60</v>
      </c>
      <c r="K48" s="1033">
        <f>CHOOSE($T$2,'ANSP Opex (CAR-10% SUs)'!R22,'ANSP Opex (CAR)'!R22,'ANSP Opex (CAR)'!R22)</f>
        <v>60</v>
      </c>
      <c r="L48" s="1033">
        <f>CHOOSE($T$2,'ANSP Opex (CAR-10% SUs)'!S22,'ANSP Opex (CAR)'!S22,'ANSP Opex (CAR)'!S22)</f>
        <v>66.5</v>
      </c>
      <c r="M48" s="1033">
        <f>CHOOSE($T$2,'ANSP Opex (CAR-10% SUs)'!T22,'ANSP Opex (CAR)'!T22,'ANSP Opex (CAR)'!T22)</f>
        <v>66.5</v>
      </c>
      <c r="N48" s="1033">
        <f>CHOOSE($T$2,'ANSP Opex (CAR-10% SUs)'!U22,'ANSP Opex (CAR)'!U22,'ANSP Opex (CAR)'!U22)</f>
        <v>66.5</v>
      </c>
      <c r="O48" s="1031"/>
      <c r="P48" s="1031"/>
      <c r="Q48" s="1031"/>
      <c r="R48" s="1031"/>
      <c r="S48" s="1031"/>
      <c r="T48" s="1031"/>
      <c r="U48" s="1031"/>
      <c r="V48" s="1031"/>
      <c r="W48" s="1031"/>
      <c r="X48" s="1031"/>
    </row>
    <row r="49" spans="2:24">
      <c r="C49" s="1060"/>
      <c r="D49" s="1031"/>
      <c r="E49" s="1031"/>
      <c r="F49" s="1031"/>
      <c r="G49" s="1031"/>
      <c r="H49" s="1031"/>
      <c r="I49" s="1031"/>
      <c r="J49" s="1031"/>
      <c r="K49" s="1031"/>
      <c r="L49" s="1031"/>
      <c r="M49" s="1031"/>
      <c r="N49" s="1031"/>
      <c r="O49" s="1031"/>
      <c r="P49" s="1031"/>
      <c r="Q49" s="1031"/>
      <c r="R49" s="1031"/>
      <c r="S49" s="1031"/>
      <c r="T49" s="1031"/>
      <c r="U49" s="1031"/>
      <c r="V49" s="1031"/>
      <c r="W49" s="1031"/>
      <c r="X49" s="1031"/>
    </row>
    <row r="50" spans="2:24">
      <c r="C50" s="1060"/>
      <c r="D50" s="1030" t="s">
        <v>65</v>
      </c>
      <c r="E50" s="1031"/>
      <c r="F50" s="1031"/>
      <c r="G50" s="1031"/>
      <c r="H50" s="1031"/>
      <c r="I50" s="1031"/>
      <c r="J50" s="1031"/>
      <c r="K50" s="1031"/>
      <c r="L50" s="1031"/>
      <c r="M50" s="1031"/>
      <c r="N50" s="1031"/>
      <c r="O50" s="1031"/>
      <c r="P50" s="1031"/>
      <c r="Q50" s="1031"/>
      <c r="R50" s="1031"/>
      <c r="S50" s="1031"/>
      <c r="T50" s="1031"/>
      <c r="U50" s="1031"/>
      <c r="V50" s="1031"/>
      <c r="W50" s="1031"/>
      <c r="X50" s="1031"/>
    </row>
    <row r="51" spans="2:24">
      <c r="C51" s="1060"/>
      <c r="D51" s="1031"/>
      <c r="E51" s="1060" t="str">
        <f>E24</f>
        <v>ATCO</v>
      </c>
      <c r="F51" s="14" t="s">
        <v>66</v>
      </c>
      <c r="G51" s="1031"/>
      <c r="H51" s="1031"/>
      <c r="I51" s="1031"/>
      <c r="J51" s="1033">
        <f t="shared" ref="J51:N55" si="2">1000*J58/J44</f>
        <v>137118.89503877316</v>
      </c>
      <c r="K51" s="1033">
        <f t="shared" si="2"/>
        <v>132734.43046396694</v>
      </c>
      <c r="L51" s="1033">
        <f t="shared" si="2"/>
        <v>148794.43444244628</v>
      </c>
      <c r="M51" s="1033">
        <f t="shared" si="2"/>
        <v>151280.0456434286</v>
      </c>
      <c r="N51" s="1033">
        <f t="shared" si="2"/>
        <v>145325.09182107699</v>
      </c>
      <c r="O51" s="1031"/>
      <c r="P51" s="1031"/>
      <c r="Q51" s="1031"/>
      <c r="R51" s="1031"/>
      <c r="S51" s="1031"/>
      <c r="T51" s="1031"/>
      <c r="U51" s="1031"/>
      <c r="V51" s="1031"/>
      <c r="W51" s="1031"/>
      <c r="X51" s="1031"/>
    </row>
    <row r="52" spans="2:24">
      <c r="C52" s="1060"/>
      <c r="D52" s="1031"/>
      <c r="E52" s="1060" t="str">
        <f>E25</f>
        <v>Corporate Services</v>
      </c>
      <c r="F52" s="14" t="s">
        <v>66</v>
      </c>
      <c r="G52" s="1031"/>
      <c r="H52" s="1031"/>
      <c r="I52" s="1031"/>
      <c r="J52" s="1033">
        <f t="shared" si="2"/>
        <v>66449.416396971501</v>
      </c>
      <c r="K52" s="1033">
        <f t="shared" si="2"/>
        <v>68084.614573798215</v>
      </c>
      <c r="L52" s="1033">
        <f t="shared" si="2"/>
        <v>72788.628375300017</v>
      </c>
      <c r="M52" s="1033">
        <f t="shared" si="2"/>
        <v>74644.376522350911</v>
      </c>
      <c r="N52" s="1033">
        <f t="shared" si="2"/>
        <v>76273.741709752168</v>
      </c>
      <c r="O52" s="1031"/>
      <c r="P52" s="1031"/>
      <c r="Q52" s="1031"/>
      <c r="R52" s="1031"/>
      <c r="S52" s="1031"/>
      <c r="T52" s="1031"/>
      <c r="U52" s="1031"/>
      <c r="V52" s="1031"/>
      <c r="W52" s="1031"/>
      <c r="X52" s="1031"/>
    </row>
    <row r="53" spans="2:24">
      <c r="C53" s="1060"/>
      <c r="D53" s="1031"/>
      <c r="E53" s="1060" t="str">
        <f>E26</f>
        <v>Data Assistant</v>
      </c>
      <c r="F53" s="14" t="s">
        <v>66</v>
      </c>
      <c r="G53" s="1031"/>
      <c r="H53" s="1031"/>
      <c r="I53" s="1031"/>
      <c r="J53" s="1033">
        <f t="shared" si="2"/>
        <v>66860.758267592624</v>
      </c>
      <c r="K53" s="1033">
        <f t="shared" si="2"/>
        <v>68597.132569158945</v>
      </c>
      <c r="L53" s="1033">
        <f t="shared" si="2"/>
        <v>73275.8844848468</v>
      </c>
      <c r="M53" s="1033">
        <f t="shared" si="2"/>
        <v>75067.155521572684</v>
      </c>
      <c r="N53" s="1033">
        <f t="shared" si="2"/>
        <v>76588.915466773309</v>
      </c>
      <c r="O53" s="1031"/>
      <c r="P53" s="1031"/>
      <c r="Q53" s="1031"/>
      <c r="R53" s="1031"/>
      <c r="S53" s="1031"/>
      <c r="T53" s="1031"/>
      <c r="U53" s="1031"/>
      <c r="V53" s="1031"/>
      <c r="W53" s="1031"/>
      <c r="X53" s="1031"/>
    </row>
    <row r="54" spans="2:24">
      <c r="C54" s="1060"/>
      <c r="D54" s="1031"/>
      <c r="E54" s="1060" t="str">
        <f>E27</f>
        <v>Engineer</v>
      </c>
      <c r="F54" s="14" t="s">
        <v>66</v>
      </c>
      <c r="G54" s="1031"/>
      <c r="H54" s="1031"/>
      <c r="I54" s="1031"/>
      <c r="J54" s="1033">
        <f t="shared" si="2"/>
        <v>118740.37304534453</v>
      </c>
      <c r="K54" s="1033">
        <f t="shared" si="2"/>
        <v>121696.62456766113</v>
      </c>
      <c r="L54" s="1033">
        <f t="shared" si="2"/>
        <v>130081.89526972715</v>
      </c>
      <c r="M54" s="1033">
        <f t="shared" si="2"/>
        <v>133369.39502201922</v>
      </c>
      <c r="N54" s="1033">
        <f t="shared" si="2"/>
        <v>136236.66030117913</v>
      </c>
      <c r="O54" s="1031"/>
      <c r="P54" s="1031"/>
      <c r="Q54" s="1031"/>
      <c r="R54" s="1031"/>
      <c r="S54" s="1031"/>
      <c r="T54" s="1031"/>
      <c r="U54" s="1031"/>
      <c r="V54" s="1031"/>
      <c r="W54" s="1031"/>
      <c r="X54" s="1031"/>
    </row>
    <row r="55" spans="2:24">
      <c r="C55" s="1060"/>
      <c r="D55" s="1031"/>
      <c r="E55" s="1060" t="str">
        <f>E28</f>
        <v>Op Mgt Supp</v>
      </c>
      <c r="F55" s="14" t="s">
        <v>66</v>
      </c>
      <c r="G55" s="1031"/>
      <c r="H55" s="1031"/>
      <c r="I55" s="1031"/>
      <c r="J55" s="1033">
        <f t="shared" si="2"/>
        <v>116494.55959221696</v>
      </c>
      <c r="K55" s="1033">
        <f t="shared" si="2"/>
        <v>119356.71964466038</v>
      </c>
      <c r="L55" s="1033">
        <f t="shared" si="2"/>
        <v>127606.19578982153</v>
      </c>
      <c r="M55" s="1033">
        <f t="shared" si="2"/>
        <v>130863.36824107736</v>
      </c>
      <c r="N55" s="1033">
        <f t="shared" si="2"/>
        <v>133725.74999580902</v>
      </c>
      <c r="O55" s="1031"/>
      <c r="P55" s="1031"/>
      <c r="Q55" s="1031"/>
      <c r="R55" s="1031"/>
      <c r="S55" s="1031"/>
      <c r="T55" s="1031"/>
      <c r="U55" s="1031"/>
      <c r="V55" s="1031"/>
      <c r="W55" s="1031"/>
      <c r="X55" s="1031"/>
    </row>
    <row r="56" spans="2:24">
      <c r="C56" s="1060"/>
      <c r="D56" s="1031"/>
      <c r="E56" s="1031"/>
      <c r="F56" s="1031"/>
      <c r="G56" s="1031"/>
      <c r="H56" s="1031"/>
      <c r="I56" s="1031"/>
      <c r="J56" s="1031"/>
      <c r="K56" s="1031"/>
      <c r="L56" s="1031"/>
      <c r="M56" s="1031"/>
      <c r="N56" s="1031"/>
      <c r="O56" s="1031"/>
      <c r="P56" s="1031"/>
      <c r="Q56" s="1031"/>
      <c r="R56" s="1031"/>
      <c r="S56" s="1031"/>
      <c r="T56" s="1031"/>
      <c r="U56" s="1031"/>
      <c r="V56" s="1031"/>
      <c r="W56" s="1031"/>
      <c r="X56" s="1031"/>
    </row>
    <row r="57" spans="2:24">
      <c r="C57" s="1060"/>
      <c r="D57" s="1030" t="s">
        <v>67</v>
      </c>
      <c r="E57" s="1031"/>
      <c r="F57" s="1031"/>
      <c r="G57" s="1031"/>
      <c r="H57" s="1031"/>
      <c r="I57" s="1031"/>
      <c r="J57" s="1031"/>
      <c r="K57" s="1031"/>
      <c r="L57" s="1031"/>
      <c r="M57" s="1031"/>
      <c r="N57" s="1031"/>
      <c r="O57" s="1031"/>
      <c r="P57" s="1031"/>
      <c r="Q57" s="1031"/>
      <c r="R57" s="1031"/>
      <c r="S57" s="1031"/>
      <c r="T57" s="1031"/>
      <c r="U57" s="1031"/>
      <c r="V57" s="1031"/>
      <c r="W57" s="1031"/>
      <c r="X57" s="1031"/>
    </row>
    <row r="58" spans="2:24">
      <c r="B58" s="1189"/>
      <c r="C58" s="1060"/>
      <c r="D58" s="1031"/>
      <c r="E58" s="1060" t="str">
        <f>'ANSP Opex (CAR)'!C86</f>
        <v>ATCOs</v>
      </c>
      <c r="F58" s="14" t="s">
        <v>29</v>
      </c>
      <c r="G58" s="1031"/>
      <c r="H58" s="1031"/>
      <c r="I58" s="1031"/>
      <c r="J58" s="1033">
        <f>'ANSP Opex (CAR)'!Q34*J$5/100</f>
        <v>41272.787406670723</v>
      </c>
      <c r="K58" s="1033">
        <f>'ANSP Opex (CAR)'!R34*K$5/100</f>
        <v>38492.984834550407</v>
      </c>
      <c r="L58" s="1033">
        <f>'ANSP Opex (CAR)'!S34*L$5/100</f>
        <v>43150.385988309419</v>
      </c>
      <c r="M58" s="1033">
        <f>'ANSP Opex (CAR)'!T34*M$5/100</f>
        <v>44627.613464811438</v>
      </c>
      <c r="N58" s="1033">
        <f>'ANSP Opex (CAR)'!U34*N$5/100</f>
        <v>47230.654841850017</v>
      </c>
      <c r="O58" s="1031"/>
      <c r="P58" s="1031"/>
      <c r="Q58" s="1031"/>
      <c r="R58" s="1031"/>
      <c r="S58" s="1031"/>
      <c r="T58" s="1031"/>
      <c r="U58" s="1031"/>
      <c r="V58" s="1031"/>
      <c r="W58" s="1031"/>
      <c r="X58" s="1031"/>
    </row>
    <row r="59" spans="2:24">
      <c r="B59" s="1189"/>
      <c r="C59" s="1060"/>
      <c r="D59" s="1031"/>
      <c r="E59" s="1060" t="str">
        <f>'ANSP Opex (CAR)'!C87</f>
        <v>Corp Serv</v>
      </c>
      <c r="F59" s="14" t="s">
        <v>29</v>
      </c>
      <c r="G59" s="1031"/>
      <c r="H59" s="1031"/>
      <c r="I59" s="1031"/>
      <c r="J59" s="1033">
        <f>'ANSP Opex (CAR)'!Q35*J$5/100</f>
        <v>4518.5603149940625</v>
      </c>
      <c r="K59" s="1033">
        <f>'ANSP Opex (CAR)'!R35*K$5/100</f>
        <v>4629.7537910182782</v>
      </c>
      <c r="L59" s="1033">
        <f>'ANSP Opex (CAR)'!S35*L$5/100</f>
        <v>4148.9518173921006</v>
      </c>
      <c r="M59" s="1033">
        <f>'ANSP Opex (CAR)'!T35*M$5/100</f>
        <v>4254.7294617740017</v>
      </c>
      <c r="N59" s="1033">
        <f>'ANSP Opex (CAR)'!U35*N$5/100</f>
        <v>4347.6032774558735</v>
      </c>
      <c r="O59" s="1031"/>
      <c r="P59" s="1031"/>
      <c r="Q59" s="1031"/>
      <c r="R59" s="1031"/>
      <c r="S59" s="1031"/>
      <c r="T59" s="1031"/>
      <c r="U59" s="1031"/>
      <c r="V59" s="1031"/>
      <c r="W59" s="1031"/>
      <c r="X59" s="1031"/>
    </row>
    <row r="60" spans="2:24">
      <c r="B60" s="1189"/>
      <c r="C60" s="1060"/>
      <c r="D60" s="1031"/>
      <c r="E60" s="1060" t="str">
        <f>'ANSP Opex (CAR)'!C88</f>
        <v>Data Assistant</v>
      </c>
      <c r="F60" s="14" t="s">
        <v>29</v>
      </c>
      <c r="G60" s="1031"/>
      <c r="H60" s="1031"/>
      <c r="I60" s="1031"/>
      <c r="J60" s="1033">
        <f>'ANSP Opex (CAR)'!Q36*J$5/100</f>
        <v>2607.5695724361126</v>
      </c>
      <c r="K60" s="1033">
        <f>'ANSP Opex (CAR)'!R36*K$5/100</f>
        <v>2675.2881701971987</v>
      </c>
      <c r="L60" s="1033">
        <f>'ANSP Opex (CAR)'!S36*L$5/100</f>
        <v>2784.4836104241786</v>
      </c>
      <c r="M60" s="1033">
        <f>'ANSP Opex (CAR)'!T36*M$5/100</f>
        <v>2852.5519098197624</v>
      </c>
      <c r="N60" s="1033">
        <f>'ANSP Opex (CAR)'!U36*N$5/100</f>
        <v>2910.3787877373857</v>
      </c>
      <c r="O60" s="1031"/>
      <c r="P60" s="1031"/>
      <c r="Q60" s="1031"/>
      <c r="R60" s="1031"/>
      <c r="S60" s="1031"/>
      <c r="T60" s="1031"/>
      <c r="U60" s="1031"/>
      <c r="V60" s="1031"/>
      <c r="W60" s="1031"/>
      <c r="X60" s="1031"/>
    </row>
    <row r="61" spans="2:24">
      <c r="B61" s="1189"/>
      <c r="C61" s="1060"/>
      <c r="D61" s="1031"/>
      <c r="E61" s="1060" t="str">
        <f>'ANSP Opex (CAR)'!C89</f>
        <v>Engineer</v>
      </c>
      <c r="F61" s="14" t="s">
        <v>29</v>
      </c>
      <c r="G61" s="1031"/>
      <c r="H61" s="1031"/>
      <c r="I61" s="1031"/>
      <c r="J61" s="1033">
        <f>'ANSP Opex (CAR)'!Q37*J$5/100</f>
        <v>8549.3068592648051</v>
      </c>
      <c r="K61" s="1033">
        <f>'ANSP Opex (CAR)'!R37*K$5/100</f>
        <v>8762.1569688716008</v>
      </c>
      <c r="L61" s="1033">
        <f>'ANSP Opex (CAR)'!S37*L$5/100</f>
        <v>11317.124888466262</v>
      </c>
      <c r="M61" s="1033">
        <f>'ANSP Opex (CAR)'!T37*M$5/100</f>
        <v>12069.93024949274</v>
      </c>
      <c r="N61" s="1033">
        <f>'ANSP Opex (CAR)'!U37*N$5/100</f>
        <v>12329.417757256711</v>
      </c>
      <c r="O61" s="1031"/>
      <c r="P61" s="1031"/>
      <c r="Q61" s="1031"/>
      <c r="R61" s="1031"/>
      <c r="S61" s="1031"/>
      <c r="T61" s="1031"/>
      <c r="U61" s="1031"/>
      <c r="V61" s="1031"/>
      <c r="W61" s="1031"/>
      <c r="X61" s="1031"/>
    </row>
    <row r="62" spans="2:24">
      <c r="B62" s="1189"/>
      <c r="C62" s="1060"/>
      <c r="D62" s="1031"/>
      <c r="E62" s="1060" t="str">
        <f>'ANSP Opex (CAR)'!C90</f>
        <v>Op Mgt Supp</v>
      </c>
      <c r="F62" s="14" t="s">
        <v>29</v>
      </c>
      <c r="G62" s="1031"/>
      <c r="H62" s="1031"/>
      <c r="I62" s="1031"/>
      <c r="J62" s="1033">
        <f>'ANSP Opex (CAR)'!Q38*J$5/100</f>
        <v>6989.6735755330174</v>
      </c>
      <c r="K62" s="1033">
        <f>'ANSP Opex (CAR)'!R38*K$5/100</f>
        <v>7161.4031786796231</v>
      </c>
      <c r="L62" s="1033">
        <f>'ANSP Opex (CAR)'!S38*L$5/100</f>
        <v>8485.8120200231315</v>
      </c>
      <c r="M62" s="1033">
        <f>'ANSP Opex (CAR)'!T38*M$5/100</f>
        <v>8702.4139880316452</v>
      </c>
      <c r="N62" s="1033">
        <f>'ANSP Opex (CAR)'!U38*N$5/100</f>
        <v>8892.7623747213001</v>
      </c>
      <c r="O62" s="1031"/>
      <c r="P62" s="1031"/>
      <c r="Q62" s="1031"/>
      <c r="R62" s="1031"/>
      <c r="S62" s="1031"/>
      <c r="T62" s="1031"/>
      <c r="U62" s="1031"/>
      <c r="V62" s="1031"/>
      <c r="W62" s="1031"/>
      <c r="X62" s="1031"/>
    </row>
    <row r="63" spans="2:24">
      <c r="B63" s="1189"/>
      <c r="C63" s="1060"/>
      <c r="D63" s="1031"/>
      <c r="E63" s="1060" t="str">
        <f>'ANSP Opex (CAR)'!C91</f>
        <v>EWSS</v>
      </c>
      <c r="F63" s="14" t="s">
        <v>29</v>
      </c>
      <c r="G63" s="1031"/>
      <c r="H63" s="1031"/>
      <c r="I63" s="1031"/>
      <c r="J63" s="1033">
        <f>'ANSP Opex (CAR)'!Q39*J$5/100</f>
        <v>-1379.1698100132787</v>
      </c>
      <c r="K63" s="1033">
        <f>'ANSP Opex (CAR)'!R39*K$5/100</f>
        <v>-4138.7300772354729</v>
      </c>
      <c r="L63" s="1033">
        <f>'ANSP Opex (CAR)'!S39*L$5/100</f>
        <v>0</v>
      </c>
      <c r="M63" s="1033">
        <f>'ANSP Opex (CAR)'!T39*M$5/100</f>
        <v>0</v>
      </c>
      <c r="N63" s="1033">
        <f>'ANSP Opex (CAR)'!U39*N$5/100</f>
        <v>0</v>
      </c>
      <c r="O63" s="1031"/>
      <c r="P63" s="1031"/>
      <c r="Q63" s="1031"/>
      <c r="R63" s="1031"/>
      <c r="S63" s="1031"/>
      <c r="T63" s="1031"/>
      <c r="U63" s="1031"/>
      <c r="V63" s="1031"/>
      <c r="W63" s="1031"/>
      <c r="X63" s="1031"/>
    </row>
    <row r="64" spans="2:24">
      <c r="B64" s="1189"/>
      <c r="C64" s="1060"/>
      <c r="D64" s="1031"/>
      <c r="E64" s="1060" t="str">
        <f>'ANSP Opex (CAR)'!C92</f>
        <v>Overtime</v>
      </c>
      <c r="F64" s="14" t="s">
        <v>29</v>
      </c>
      <c r="G64" s="1031"/>
      <c r="H64" s="1031"/>
      <c r="I64" s="1031"/>
      <c r="J64" s="1033">
        <f>'ANSP Opex (CAR)'!Q40*J$5/100</f>
        <v>671.61766128913382</v>
      </c>
      <c r="K64" s="1033">
        <f>'ANSP Opex (CAR)'!R40*K$5/100</f>
        <v>682.36352528799978</v>
      </c>
      <c r="L64" s="1033">
        <f>'ANSP Opex (CAR)'!S40*L$5/100</f>
        <v>1000.8860137586909</v>
      </c>
      <c r="M64" s="1033">
        <f>'ANSP Opex (CAR)'!T40*M$5/100</f>
        <v>1474.04596980734</v>
      </c>
      <c r="N64" s="1033">
        <f>'ANSP Opex (CAR)'!U40*N$5/100</f>
        <v>1823.4563648285057</v>
      </c>
      <c r="O64" s="1031"/>
      <c r="P64" s="1031"/>
      <c r="Q64" s="1031"/>
      <c r="R64" s="1031"/>
      <c r="S64" s="1031"/>
      <c r="T64" s="1031"/>
      <c r="U64" s="1031"/>
      <c r="V64" s="1031"/>
      <c r="W64" s="1031"/>
      <c r="X64" s="1031"/>
    </row>
    <row r="65" spans="3:28">
      <c r="C65" s="1060"/>
      <c r="D65" s="1031"/>
      <c r="E65" s="1030"/>
      <c r="F65" s="14"/>
      <c r="G65" s="1031"/>
      <c r="H65" s="1031"/>
      <c r="I65" s="1031"/>
      <c r="J65" s="1043"/>
      <c r="K65" s="1043"/>
      <c r="L65" s="1043"/>
      <c r="M65" s="1043"/>
      <c r="N65" s="1043"/>
      <c r="O65" s="1043"/>
      <c r="P65" s="1031"/>
      <c r="Q65" s="1031"/>
      <c r="R65" s="1031"/>
      <c r="S65" s="1031"/>
      <c r="T65" s="1031"/>
      <c r="U65" s="1031"/>
      <c r="V65" s="1031"/>
      <c r="W65" s="1031"/>
      <c r="X65" s="1031"/>
    </row>
    <row r="66" spans="3:28">
      <c r="C66" s="1060"/>
      <c r="D66" s="1031"/>
      <c r="E66" s="1030" t="s">
        <v>12</v>
      </c>
      <c r="F66" s="1053" t="s">
        <v>29</v>
      </c>
      <c r="G66" s="1031"/>
      <c r="H66" s="1031"/>
      <c r="I66" s="1031"/>
      <c r="J66" s="1043">
        <f>SUM(J58:J64)</f>
        <v>63230.34558017458</v>
      </c>
      <c r="K66" s="1043">
        <f t="shared" ref="K66:N66" si="3">SUM(K58:K64)</f>
        <v>58265.220391369643</v>
      </c>
      <c r="L66" s="1043">
        <f t="shared" si="3"/>
        <v>70887.644338373779</v>
      </c>
      <c r="M66" s="1043">
        <f t="shared" si="3"/>
        <v>73981.285043736934</v>
      </c>
      <c r="N66" s="1043">
        <f t="shared" si="3"/>
        <v>77534.273403849802</v>
      </c>
      <c r="O66" s="1043"/>
      <c r="P66" s="1031"/>
      <c r="Q66" s="1031"/>
      <c r="R66" s="1031"/>
      <c r="S66" s="1031"/>
      <c r="T66" s="1031"/>
      <c r="U66" s="1031"/>
      <c r="V66" s="1031"/>
      <c r="W66" s="1031"/>
      <c r="X66" s="1031"/>
      <c r="Z66" s="1656"/>
      <c r="AA66" s="1655">
        <f>(SUMPRODUCT($J$5:$N$5,'ANSP Opex (CAR)'!Q45:U45)/100)-SUM(J66:N66)</f>
        <v>0</v>
      </c>
      <c r="AB66" s="1622"/>
    </row>
    <row r="67" spans="3:28">
      <c r="C67" s="1060"/>
      <c r="D67" s="1031"/>
      <c r="E67" s="1031"/>
      <c r="F67" s="1031"/>
      <c r="G67" s="1031"/>
      <c r="H67" s="1031"/>
      <c r="I67" s="1031"/>
      <c r="J67" s="1626"/>
      <c r="K67" s="1626"/>
      <c r="L67" s="1626"/>
      <c r="M67" s="1626"/>
      <c r="N67" s="1626"/>
      <c r="O67" s="1031"/>
      <c r="P67" s="1031"/>
      <c r="Q67" s="1031"/>
      <c r="R67" s="1031"/>
      <c r="S67" s="1031"/>
      <c r="T67" s="1031"/>
      <c r="U67" s="1031"/>
      <c r="V67" s="1031"/>
      <c r="W67" s="1031"/>
      <c r="X67" s="1031"/>
    </row>
    <row r="69" spans="3:28">
      <c r="C69" s="1039" t="s">
        <v>69</v>
      </c>
      <c r="D69" s="1039"/>
      <c r="E69" s="1039"/>
      <c r="F69" s="1070"/>
      <c r="G69" s="1070"/>
      <c r="H69" s="1070"/>
      <c r="I69" s="1070"/>
      <c r="J69" s="1070"/>
      <c r="K69" s="1070"/>
      <c r="L69" s="1070"/>
      <c r="M69" s="1070"/>
      <c r="N69" s="1070"/>
      <c r="O69" s="1070"/>
      <c r="P69" s="1040"/>
      <c r="Q69" s="1040"/>
      <c r="R69" s="1040"/>
      <c r="S69" s="1040"/>
      <c r="T69" s="1040"/>
      <c r="U69" s="1040"/>
      <c r="V69" s="1040"/>
      <c r="W69" s="1040"/>
      <c r="X69" s="1040"/>
    </row>
    <row r="70" spans="3:28">
      <c r="C70" s="1060"/>
      <c r="D70" s="1030"/>
      <c r="E70" s="1030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031"/>
      <c r="Q70" s="1031"/>
      <c r="R70" s="1031"/>
      <c r="S70" s="1031"/>
      <c r="T70" s="1031"/>
      <c r="U70" s="1031"/>
      <c r="V70" s="1031"/>
      <c r="W70" s="1031"/>
      <c r="X70" s="1031"/>
    </row>
    <row r="71" spans="3:28">
      <c r="C71" s="1060"/>
      <c r="D71" s="1030" t="s">
        <v>63</v>
      </c>
      <c r="E71" s="1030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031"/>
      <c r="Q71" s="1031"/>
      <c r="R71" s="1031"/>
      <c r="S71" s="1031"/>
      <c r="T71" s="1031"/>
      <c r="U71" s="1031"/>
      <c r="V71" s="1031"/>
      <c r="W71" s="1031"/>
      <c r="X71" s="1031"/>
    </row>
    <row r="72" spans="3:28">
      <c r="C72" s="1060"/>
      <c r="D72" s="1030"/>
      <c r="E72" s="1060" t="str">
        <f>E44</f>
        <v>ATCO</v>
      </c>
      <c r="F72" s="1061" t="s">
        <v>64</v>
      </c>
      <c r="G72" s="1060"/>
      <c r="H72" s="1060"/>
      <c r="I72" s="1060"/>
      <c r="J72" s="1033">
        <f t="shared" ref="J72:N76" si="4">J44-J17</f>
        <v>0</v>
      </c>
      <c r="K72" s="1033">
        <f t="shared" si="4"/>
        <v>-1</v>
      </c>
      <c r="L72" s="1033">
        <f t="shared" si="4"/>
        <v>-10</v>
      </c>
      <c r="M72" s="1033">
        <f t="shared" si="4"/>
        <v>-16</v>
      </c>
      <c r="N72" s="1033">
        <f t="shared" si="4"/>
        <v>-3</v>
      </c>
      <c r="O72" s="14"/>
      <c r="P72" s="1031"/>
      <c r="Q72" s="1031"/>
      <c r="R72" s="1031"/>
      <c r="S72" s="1031"/>
      <c r="T72" s="1031"/>
      <c r="U72" s="1031"/>
      <c r="V72" s="1031"/>
      <c r="W72" s="1031"/>
      <c r="X72" s="1031"/>
    </row>
    <row r="73" spans="3:28">
      <c r="C73" s="1060"/>
      <c r="D73" s="1030"/>
      <c r="E73" s="1060" t="str">
        <f>E45</f>
        <v>Corporate Services</v>
      </c>
      <c r="F73" s="14" t="s">
        <v>64</v>
      </c>
      <c r="G73" s="1031"/>
      <c r="H73" s="1031"/>
      <c r="I73" s="1031"/>
      <c r="J73" s="1033">
        <f t="shared" si="4"/>
        <v>2</v>
      </c>
      <c r="K73" s="1033">
        <f t="shared" si="4"/>
        <v>3</v>
      </c>
      <c r="L73" s="1033">
        <f t="shared" si="4"/>
        <v>0</v>
      </c>
      <c r="M73" s="1033">
        <f t="shared" si="4"/>
        <v>0</v>
      </c>
      <c r="N73" s="1033">
        <f t="shared" si="4"/>
        <v>0</v>
      </c>
      <c r="O73" s="14"/>
      <c r="P73" s="1031"/>
      <c r="Q73" s="1031"/>
      <c r="R73" s="1031"/>
      <c r="S73" s="1031"/>
      <c r="T73" s="1031"/>
      <c r="U73" s="1031"/>
      <c r="V73" s="1031"/>
      <c r="W73" s="1031"/>
      <c r="X73" s="1031"/>
    </row>
    <row r="74" spans="3:28">
      <c r="C74" s="1060"/>
      <c r="D74" s="1030"/>
      <c r="E74" s="1060" t="str">
        <f>E46</f>
        <v>Data Assistant</v>
      </c>
      <c r="F74" s="14" t="s">
        <v>64</v>
      </c>
      <c r="G74" s="1031"/>
      <c r="H74" s="1031"/>
      <c r="I74" s="1031"/>
      <c r="J74" s="1033">
        <f t="shared" si="4"/>
        <v>0</v>
      </c>
      <c r="K74" s="1033">
        <f t="shared" si="4"/>
        <v>1</v>
      </c>
      <c r="L74" s="1033">
        <f t="shared" si="4"/>
        <v>0</v>
      </c>
      <c r="M74" s="1033">
        <f t="shared" si="4"/>
        <v>0</v>
      </c>
      <c r="N74" s="1033">
        <f t="shared" si="4"/>
        <v>0</v>
      </c>
      <c r="O74" s="14"/>
      <c r="P74" s="1670"/>
      <c r="Q74" s="1670"/>
      <c r="R74" s="1670"/>
      <c r="S74" s="1670"/>
      <c r="T74" s="1670"/>
      <c r="U74" s="1670"/>
      <c r="V74" s="1031"/>
      <c r="W74" s="1031"/>
      <c r="X74" s="1031"/>
    </row>
    <row r="75" spans="3:28">
      <c r="C75" s="1060"/>
      <c r="D75" s="1030"/>
      <c r="E75" s="1060" t="str">
        <f>E47</f>
        <v>Engineer</v>
      </c>
      <c r="F75" s="14" t="s">
        <v>64</v>
      </c>
      <c r="G75" s="1031"/>
      <c r="H75" s="1031"/>
      <c r="I75" s="1031"/>
      <c r="J75" s="1033">
        <f t="shared" si="4"/>
        <v>-1</v>
      </c>
      <c r="K75" s="1033">
        <f t="shared" si="4"/>
        <v>-12</v>
      </c>
      <c r="L75" s="1033">
        <f t="shared" si="4"/>
        <v>-3</v>
      </c>
      <c r="M75" s="1033">
        <f t="shared" si="4"/>
        <v>-2.5</v>
      </c>
      <c r="N75" s="1033">
        <f t="shared" si="4"/>
        <v>-3.5</v>
      </c>
      <c r="O75" s="14"/>
      <c r="P75" s="1031"/>
      <c r="Q75" s="1031"/>
      <c r="R75" s="1031"/>
      <c r="S75" s="1031"/>
      <c r="T75" s="1031"/>
      <c r="U75" s="1031"/>
      <c r="V75" s="1031"/>
      <c r="W75" s="1031"/>
      <c r="X75" s="1031"/>
    </row>
    <row r="76" spans="3:28">
      <c r="C76" s="1060"/>
      <c r="D76" s="1030"/>
      <c r="E76" s="1060" t="str">
        <f>E48</f>
        <v>Op Mgt Supp</v>
      </c>
      <c r="F76" s="14" t="s">
        <v>64</v>
      </c>
      <c r="G76" s="1031"/>
      <c r="H76" s="1031"/>
      <c r="I76" s="1031"/>
      <c r="J76" s="1033">
        <f t="shared" si="4"/>
        <v>0</v>
      </c>
      <c r="K76" s="1033">
        <f t="shared" si="4"/>
        <v>-4</v>
      </c>
      <c r="L76" s="1033">
        <f t="shared" si="4"/>
        <v>-1.5</v>
      </c>
      <c r="M76" s="1033">
        <f t="shared" si="4"/>
        <v>-2.5</v>
      </c>
      <c r="N76" s="1033">
        <f t="shared" si="4"/>
        <v>-2.5</v>
      </c>
      <c r="O76" s="14"/>
      <c r="P76" s="1031"/>
      <c r="Q76" s="1031"/>
      <c r="R76" s="1031"/>
      <c r="S76" s="1031"/>
      <c r="T76" s="1031"/>
      <c r="U76" s="1031"/>
      <c r="V76" s="1031"/>
      <c r="W76" s="1031"/>
      <c r="X76" s="1031"/>
    </row>
    <row r="77" spans="3:28">
      <c r="C77" s="1060"/>
      <c r="D77" s="1030"/>
      <c r="E77" s="1031"/>
      <c r="F77" s="1031"/>
      <c r="G77" s="1031"/>
      <c r="H77" s="1031"/>
      <c r="I77" s="1031"/>
      <c r="J77" s="1031"/>
      <c r="K77" s="1031"/>
      <c r="L77" s="1031"/>
      <c r="M77" s="1031"/>
      <c r="N77" s="1031"/>
      <c r="O77" s="25"/>
      <c r="P77" s="1048"/>
      <c r="Q77" s="1048"/>
      <c r="R77" s="1048"/>
      <c r="S77" s="1048"/>
      <c r="T77" s="1048"/>
      <c r="U77" s="1048"/>
      <c r="V77" s="1031"/>
      <c r="W77" s="1031"/>
      <c r="X77" s="1031"/>
    </row>
    <row r="78" spans="3:28">
      <c r="C78" s="1060"/>
      <c r="D78" s="1030" t="s">
        <v>65</v>
      </c>
      <c r="E78" s="1031"/>
      <c r="F78" s="1031"/>
      <c r="G78" s="1031"/>
      <c r="H78" s="1031"/>
      <c r="I78" s="1031"/>
      <c r="J78" s="1031"/>
      <c r="K78" s="1031"/>
      <c r="L78" s="1031"/>
      <c r="M78" s="1031"/>
      <c r="N78" s="1031"/>
      <c r="O78" s="14"/>
      <c r="P78" s="1048"/>
      <c r="Q78" s="1048"/>
      <c r="R78" s="1048"/>
      <c r="S78" s="1048"/>
      <c r="T78" s="1048"/>
      <c r="U78" s="1048"/>
      <c r="V78" s="1031"/>
      <c r="W78" s="1031"/>
      <c r="X78" s="1031"/>
    </row>
    <row r="79" spans="3:28">
      <c r="C79" s="1060"/>
      <c r="D79" s="1031"/>
      <c r="E79" s="1060" t="str">
        <f t="shared" ref="E79:E83" si="5">E51</f>
        <v>ATCO</v>
      </c>
      <c r="F79" s="14" t="s">
        <v>66</v>
      </c>
      <c r="G79" s="1031"/>
      <c r="H79" s="1031"/>
      <c r="I79" s="1031"/>
      <c r="J79" s="1033">
        <f t="shared" ref="J79:N83" si="6">J51-J24</f>
        <v>-3868.4911857882689</v>
      </c>
      <c r="K79" s="1033">
        <f t="shared" si="6"/>
        <v>-1103.9358328745002</v>
      </c>
      <c r="L79" s="1033">
        <f t="shared" si="6"/>
        <v>292.19091574248159</v>
      </c>
      <c r="M79" s="1033">
        <f t="shared" si="6"/>
        <v>218.27941101926262</v>
      </c>
      <c r="N79" s="1033">
        <f t="shared" si="6"/>
        <v>-6901.6752622061758</v>
      </c>
      <c r="O79" s="14"/>
      <c r="P79" s="1048"/>
      <c r="Q79" s="1048"/>
      <c r="R79" s="1048"/>
      <c r="S79" s="1048"/>
      <c r="T79" s="1048"/>
      <c r="U79" s="1048"/>
      <c r="V79" s="1031"/>
      <c r="W79" s="1031"/>
      <c r="X79" s="1031"/>
    </row>
    <row r="80" spans="3:28">
      <c r="C80" s="1060"/>
      <c r="D80" s="1031"/>
      <c r="E80" s="1060" t="str">
        <f t="shared" si="5"/>
        <v>Corporate Services</v>
      </c>
      <c r="F80" s="14" t="s">
        <v>66</v>
      </c>
      <c r="G80" s="1031"/>
      <c r="H80" s="1031"/>
      <c r="I80" s="1031"/>
      <c r="J80" s="1033">
        <f t="shared" si="6"/>
        <v>-1101.7925350133301</v>
      </c>
      <c r="K80" s="1033">
        <f t="shared" si="6"/>
        <v>2487.9678328393347</v>
      </c>
      <c r="L80" s="1033">
        <f t="shared" si="6"/>
        <v>-1422.0365566710825</v>
      </c>
      <c r="M80" s="1033">
        <f t="shared" si="6"/>
        <v>-2402.5038706036139</v>
      </c>
      <c r="N80" s="1033">
        <f t="shared" si="6"/>
        <v>-3849.2958952610934</v>
      </c>
      <c r="O80" s="14"/>
      <c r="P80" s="1048"/>
      <c r="Q80" s="1048"/>
      <c r="R80" s="1048"/>
      <c r="S80" s="1048"/>
      <c r="T80" s="1048"/>
      <c r="U80" s="1048"/>
      <c r="V80" s="1031"/>
      <c r="W80" s="1031"/>
      <c r="X80" s="1031"/>
    </row>
    <row r="81" spans="3:35">
      <c r="C81" s="1060"/>
      <c r="D81" s="1031"/>
      <c r="E81" s="1060" t="str">
        <f t="shared" si="5"/>
        <v>Data Assistant</v>
      </c>
      <c r="F81" s="14" t="s">
        <v>66</v>
      </c>
      <c r="G81" s="1031"/>
      <c r="H81" s="1031"/>
      <c r="I81" s="1031"/>
      <c r="J81" s="1033">
        <f t="shared" si="6"/>
        <v>-1053.4918690483901</v>
      </c>
      <c r="K81" s="1033">
        <f t="shared" si="6"/>
        <v>2552.3139183949534</v>
      </c>
      <c r="L81" s="1033">
        <f t="shared" si="6"/>
        <v>-1318.0904648596916</v>
      </c>
      <c r="M81" s="1033">
        <f t="shared" si="6"/>
        <v>-2349.0157450694533</v>
      </c>
      <c r="N81" s="1033">
        <f t="shared" si="6"/>
        <v>-3896.9552217793389</v>
      </c>
      <c r="O81" s="14"/>
      <c r="P81" s="1048"/>
      <c r="Q81" s="1048"/>
      <c r="R81" s="1048"/>
      <c r="S81" s="1048"/>
      <c r="T81" s="1048"/>
      <c r="U81" s="1048"/>
      <c r="V81" s="1031"/>
      <c r="W81" s="1031"/>
      <c r="X81" s="1031"/>
    </row>
    <row r="82" spans="3:35">
      <c r="C82" s="1060"/>
      <c r="D82" s="1031"/>
      <c r="E82" s="1060" t="str">
        <f t="shared" si="5"/>
        <v>Engineer</v>
      </c>
      <c r="F82" s="14" t="s">
        <v>66</v>
      </c>
      <c r="G82" s="1031"/>
      <c r="H82" s="1031"/>
      <c r="I82" s="1031"/>
      <c r="J82" s="1033">
        <f t="shared" si="6"/>
        <v>-1948.0911668198241</v>
      </c>
      <c r="K82" s="1033">
        <f t="shared" si="6"/>
        <v>4464.2383715456381</v>
      </c>
      <c r="L82" s="1033">
        <f t="shared" si="6"/>
        <v>-2498.6409068232024</v>
      </c>
      <c r="M82" s="1033">
        <f t="shared" si="6"/>
        <v>-4267.3753850185312</v>
      </c>
      <c r="N82" s="1033">
        <f t="shared" si="6"/>
        <v>-6887.3879630845913</v>
      </c>
      <c r="O82" s="14"/>
      <c r="P82" s="1048"/>
      <c r="Q82" s="1048"/>
      <c r="R82" s="1048"/>
      <c r="S82" s="1048"/>
      <c r="T82" s="1048"/>
      <c r="U82" s="1048"/>
      <c r="V82" s="1031"/>
      <c r="W82" s="1031"/>
      <c r="X82" s="1031"/>
    </row>
    <row r="83" spans="3:35">
      <c r="C83" s="1060"/>
      <c r="D83" s="1031"/>
      <c r="E83" s="1060" t="str">
        <f t="shared" si="5"/>
        <v>Op Mgt Supp</v>
      </c>
      <c r="F83" s="14" t="s">
        <v>66</v>
      </c>
      <c r="G83" s="1031"/>
      <c r="H83" s="1031"/>
      <c r="I83" s="1031"/>
      <c r="J83" s="1033">
        <f t="shared" si="6"/>
        <v>-1934.3568111163622</v>
      </c>
      <c r="K83" s="1033">
        <f t="shared" si="6"/>
        <v>4359.2870634837745</v>
      </c>
      <c r="L83" s="1033">
        <f t="shared" si="6"/>
        <v>-2498.6520124257659</v>
      </c>
      <c r="M83" s="1033">
        <f t="shared" si="6"/>
        <v>-5194.1663314993348</v>
      </c>
      <c r="N83" s="1033">
        <f t="shared" si="6"/>
        <v>-7765.0493519018637</v>
      </c>
      <c r="O83" s="14"/>
      <c r="P83" s="1048"/>
      <c r="Q83" s="1048"/>
      <c r="R83" s="1048"/>
      <c r="S83" s="1048"/>
      <c r="T83" s="1048"/>
      <c r="U83" s="1048"/>
      <c r="V83" s="1031"/>
      <c r="W83" s="1031"/>
      <c r="X83" s="1031"/>
      <c r="Z83" s="1190"/>
      <c r="AA83" s="1190"/>
      <c r="AB83" s="1190"/>
      <c r="AC83" s="1190"/>
      <c r="AD83" s="1190"/>
      <c r="AE83" s="1190"/>
      <c r="AF83" s="1190"/>
      <c r="AG83" s="1190"/>
      <c r="AH83" s="1190"/>
      <c r="AI83" s="1190"/>
    </row>
    <row r="84" spans="3:35">
      <c r="C84" s="1060"/>
      <c r="D84" s="1031"/>
      <c r="E84" s="1031"/>
      <c r="F84" s="1031"/>
      <c r="G84" s="1031"/>
      <c r="H84" s="1031"/>
      <c r="I84" s="1031"/>
      <c r="J84" s="1031"/>
      <c r="K84" s="1031"/>
      <c r="L84" s="1031"/>
      <c r="M84" s="1031"/>
      <c r="N84" s="1031"/>
      <c r="O84" s="14"/>
      <c r="P84" s="1048"/>
      <c r="Q84" s="1048"/>
      <c r="R84" s="1048"/>
      <c r="S84" s="1048"/>
      <c r="T84" s="1048"/>
      <c r="U84" s="1048"/>
      <c r="V84" s="1031"/>
      <c r="W84" s="1031"/>
      <c r="X84" s="1031"/>
      <c r="Z84" s="1191"/>
      <c r="AA84" s="1191"/>
      <c r="AB84" s="1191"/>
      <c r="AC84" s="1191"/>
      <c r="AD84" s="1191"/>
      <c r="AE84" s="1191"/>
      <c r="AF84" s="1191"/>
      <c r="AG84" s="1191"/>
      <c r="AH84" s="1191"/>
      <c r="AI84" s="1191"/>
    </row>
    <row r="85" spans="3:35">
      <c r="C85" s="1060"/>
      <c r="D85" s="1030" t="s">
        <v>67</v>
      </c>
      <c r="E85" s="1031"/>
      <c r="F85" s="1031"/>
      <c r="G85" s="1031"/>
      <c r="H85" s="1031"/>
      <c r="I85" s="1031"/>
      <c r="J85" s="1031"/>
      <c r="K85" s="1031"/>
      <c r="L85" s="1031"/>
      <c r="M85" s="1031"/>
      <c r="N85" s="1031"/>
      <c r="O85" s="14"/>
      <c r="P85" s="1031"/>
      <c r="Q85" s="1031"/>
      <c r="R85" s="1031"/>
      <c r="S85" s="1031"/>
      <c r="T85" s="1031"/>
      <c r="U85" s="1031"/>
      <c r="V85" s="1031"/>
      <c r="W85" s="1031"/>
      <c r="X85" s="1031"/>
      <c r="Z85" s="1059"/>
      <c r="AA85" s="1059"/>
      <c r="AB85" s="1059"/>
      <c r="AC85" s="1059"/>
      <c r="AD85" s="1059"/>
      <c r="AE85" s="1059"/>
      <c r="AF85" s="1059"/>
      <c r="AG85" s="1059"/>
      <c r="AH85" s="1059"/>
      <c r="AI85" s="1059"/>
    </row>
    <row r="86" spans="3:35">
      <c r="C86" s="1060"/>
      <c r="D86" s="1030"/>
      <c r="E86" s="1060" t="str">
        <f t="shared" ref="E86:E92" si="7">E58</f>
        <v>ATCOs</v>
      </c>
      <c r="F86" s="14" t="s">
        <v>29</v>
      </c>
      <c r="G86" s="1031"/>
      <c r="H86" s="1031"/>
      <c r="I86" s="1031"/>
      <c r="J86" s="1033">
        <f>J58-J31</f>
        <v>-1164.4158469222675</v>
      </c>
      <c r="K86" s="1033">
        <f t="shared" ref="K86:N86" si="8">K58-K31</f>
        <v>-453.97975783044967</v>
      </c>
      <c r="L86" s="1033">
        <f t="shared" si="8"/>
        <v>-1400.2870697017206</v>
      </c>
      <c r="M86" s="1033">
        <f t="shared" si="8"/>
        <v>-2352.5958334678653</v>
      </c>
      <c r="N86" s="1033">
        <f t="shared" si="8"/>
        <v>-2699.7247614668595</v>
      </c>
      <c r="O86" s="14"/>
      <c r="P86" s="1031"/>
      <c r="Q86" s="1031"/>
      <c r="R86" s="1031"/>
      <c r="S86" s="1031"/>
      <c r="T86" s="1031"/>
      <c r="U86" s="1031"/>
      <c r="V86" s="1031"/>
      <c r="W86" s="1031"/>
      <c r="X86" s="1031"/>
      <c r="Z86" s="1189"/>
      <c r="AA86" s="1189"/>
      <c r="AB86" s="1189"/>
      <c r="AC86" s="1189"/>
      <c r="AD86" s="1189"/>
      <c r="AE86" s="1189"/>
      <c r="AF86" s="1189"/>
      <c r="AG86" s="1189"/>
      <c r="AH86" s="1189"/>
      <c r="AI86" s="1189"/>
    </row>
    <row r="87" spans="3:35">
      <c r="C87" s="1060"/>
      <c r="D87" s="1030"/>
      <c r="E87" s="1060" t="str">
        <f t="shared" si="7"/>
        <v>Corp Serv</v>
      </c>
      <c r="F87" s="14" t="s">
        <v>29</v>
      </c>
      <c r="G87" s="1031"/>
      <c r="H87" s="1031"/>
      <c r="I87" s="1031"/>
      <c r="J87" s="1033">
        <f t="shared" ref="J87:N87" si="9">J59-J32</f>
        <v>60.18052548306332</v>
      </c>
      <c r="K87" s="1033">
        <f t="shared" si="9"/>
        <v>365.9717528559504</v>
      </c>
      <c r="L87" s="1033">
        <f t="shared" si="9"/>
        <v>-81.056083730252794</v>
      </c>
      <c r="M87" s="1033">
        <f t="shared" si="9"/>
        <v>-136.94272062440632</v>
      </c>
      <c r="N87" s="1033">
        <f t="shared" si="9"/>
        <v>-219.40986602988232</v>
      </c>
      <c r="O87" s="14"/>
      <c r="P87" s="1031"/>
      <c r="Q87" s="1031"/>
      <c r="R87" s="1031"/>
      <c r="S87" s="1031"/>
      <c r="T87" s="1031"/>
      <c r="U87" s="1031"/>
      <c r="V87" s="1031"/>
      <c r="W87" s="1031"/>
      <c r="X87" s="1031"/>
      <c r="Z87" s="1189"/>
      <c r="AA87" s="1189"/>
      <c r="AB87" s="1189"/>
      <c r="AC87" s="1189"/>
      <c r="AD87" s="1189"/>
      <c r="AE87" s="1189"/>
      <c r="AF87" s="1189"/>
      <c r="AG87" s="1189"/>
      <c r="AH87" s="1189"/>
      <c r="AI87" s="1189"/>
    </row>
    <row r="88" spans="3:35">
      <c r="C88" s="1060"/>
      <c r="D88" s="1030"/>
      <c r="E88" s="1060" t="str">
        <f t="shared" si="7"/>
        <v>Data Assistant</v>
      </c>
      <c r="F88" s="14" t="s">
        <v>29</v>
      </c>
      <c r="G88" s="1031"/>
      <c r="H88" s="1031"/>
      <c r="I88" s="1031"/>
      <c r="J88" s="1033">
        <f t="shared" ref="J88:N88" si="10">J60-J33</f>
        <v>-41.086182892886882</v>
      </c>
      <c r="K88" s="1033">
        <f t="shared" si="10"/>
        <v>165.58506146816717</v>
      </c>
      <c r="L88" s="1033">
        <f t="shared" si="10"/>
        <v>-50.087437664667959</v>
      </c>
      <c r="M88" s="1033">
        <f t="shared" si="10"/>
        <v>-89.262598312639057</v>
      </c>
      <c r="N88" s="1033">
        <f t="shared" si="10"/>
        <v>-148.08429842761507</v>
      </c>
      <c r="O88" s="14"/>
      <c r="P88" s="1031"/>
      <c r="Q88" s="1031"/>
      <c r="R88" s="1031"/>
      <c r="S88" s="1031"/>
      <c r="T88" s="1031"/>
      <c r="U88" s="1031"/>
      <c r="V88" s="1031"/>
      <c r="W88" s="1031"/>
      <c r="X88" s="1031"/>
      <c r="Z88" s="1189"/>
      <c r="AA88" s="1189"/>
      <c r="AB88" s="1189"/>
      <c r="AC88" s="1189"/>
      <c r="AD88" s="1189"/>
      <c r="AE88" s="1189"/>
      <c r="AF88" s="1189"/>
      <c r="AG88" s="1189"/>
      <c r="AH88" s="1189"/>
      <c r="AI88" s="1189"/>
    </row>
    <row r="89" spans="3:35">
      <c r="C89" s="1060"/>
      <c r="D89" s="1030"/>
      <c r="E89" s="1060" t="str">
        <f t="shared" si="7"/>
        <v>Engineer</v>
      </c>
      <c r="F89" s="14" t="s">
        <v>29</v>
      </c>
      <c r="G89" s="1031"/>
      <c r="H89" s="1031"/>
      <c r="I89" s="1031"/>
      <c r="J89" s="1033">
        <f t="shared" ref="J89:N89" si="11">J61-J34</f>
        <v>-260.95102822319313</v>
      </c>
      <c r="K89" s="1033">
        <f t="shared" si="11"/>
        <v>-1085.3634716021006</v>
      </c>
      <c r="L89" s="1033">
        <f t="shared" si="11"/>
        <v>-615.12336742326988</v>
      </c>
      <c r="M89" s="1033">
        <f t="shared" si="11"/>
        <v>-730.28939836177051</v>
      </c>
      <c r="N89" s="1033">
        <f t="shared" si="11"/>
        <v>-1124.2427795840795</v>
      </c>
      <c r="O89" s="14"/>
      <c r="P89" s="1031"/>
      <c r="Q89" s="1031"/>
      <c r="R89" s="1031"/>
      <c r="S89" s="1031"/>
      <c r="T89" s="1031"/>
      <c r="U89" s="1031"/>
      <c r="V89" s="1031"/>
      <c r="W89" s="1031"/>
      <c r="X89" s="1031"/>
      <c r="Z89" s="1189"/>
      <c r="AA89" s="1189"/>
      <c r="AB89" s="1189"/>
      <c r="AC89" s="1189"/>
      <c r="AD89" s="1189"/>
      <c r="AE89" s="1189"/>
      <c r="AF89" s="1189"/>
      <c r="AG89" s="1189"/>
      <c r="AH89" s="1189"/>
      <c r="AI89" s="1189"/>
    </row>
    <row r="90" spans="3:35">
      <c r="C90" s="1060"/>
      <c r="D90" s="1030"/>
      <c r="E90" s="1060" t="str">
        <f t="shared" si="7"/>
        <v>Op Mgt Supp</v>
      </c>
      <c r="F90" s="14" t="s">
        <v>29</v>
      </c>
      <c r="G90" s="1031"/>
      <c r="H90" s="1031"/>
      <c r="I90" s="1031"/>
      <c r="J90" s="1033">
        <f t="shared" ref="J90:N90" si="12">J62-J35</f>
        <v>-116.06140866698115</v>
      </c>
      <c r="K90" s="1033">
        <f t="shared" si="12"/>
        <v>-198.43250651567905</v>
      </c>
      <c r="L90" s="1033">
        <f t="shared" si="12"/>
        <v>-361.31763052968563</v>
      </c>
      <c r="M90" s="1033">
        <f t="shared" si="12"/>
        <v>-685.55589747614613</v>
      </c>
      <c r="N90" s="1033">
        <f t="shared" si="12"/>
        <v>-870.10278027075037</v>
      </c>
      <c r="O90" s="14"/>
      <c r="P90" s="1031"/>
      <c r="Q90" s="1031"/>
      <c r="R90" s="1031"/>
      <c r="S90" s="1031"/>
      <c r="T90" s="1031"/>
      <c r="U90" s="1031"/>
      <c r="V90" s="1031"/>
      <c r="W90" s="1031"/>
      <c r="X90" s="1031"/>
      <c r="Z90" s="1189"/>
      <c r="AA90" s="1189"/>
      <c r="AB90" s="1189"/>
      <c r="AC90" s="1189"/>
      <c r="AD90" s="1189"/>
      <c r="AE90" s="1189"/>
      <c r="AF90" s="1189"/>
      <c r="AG90" s="1189"/>
      <c r="AH90" s="1189"/>
      <c r="AI90" s="1189"/>
    </row>
    <row r="91" spans="3:35">
      <c r="C91" s="1060"/>
      <c r="D91" s="1030"/>
      <c r="E91" s="1060" t="str">
        <f t="shared" si="7"/>
        <v>EWSS</v>
      </c>
      <c r="F91" s="14" t="s">
        <v>29</v>
      </c>
      <c r="G91" s="1031"/>
      <c r="H91" s="1031"/>
      <c r="I91" s="1031"/>
      <c r="J91" s="1033">
        <f t="shared" ref="J91:N91" si="13">J63-J36</f>
        <v>-4.3995527903462062E-4</v>
      </c>
      <c r="K91" s="1033">
        <f t="shared" si="13"/>
        <v>-1.8788224133459153E-4</v>
      </c>
      <c r="L91" s="1033">
        <f t="shared" si="13"/>
        <v>0</v>
      </c>
      <c r="M91" s="1033">
        <f t="shared" si="13"/>
        <v>0</v>
      </c>
      <c r="N91" s="1033">
        <f t="shared" si="13"/>
        <v>0</v>
      </c>
      <c r="O91" s="14"/>
      <c r="P91" s="1031"/>
      <c r="Q91" s="1031"/>
      <c r="R91" s="1031"/>
      <c r="S91" s="1031"/>
      <c r="T91" s="1031"/>
      <c r="U91" s="1031"/>
      <c r="V91" s="1031"/>
      <c r="W91" s="1031"/>
      <c r="X91" s="1031"/>
      <c r="Z91" s="1189"/>
      <c r="AA91" s="1189"/>
      <c r="AB91" s="1189"/>
      <c r="AC91" s="1189"/>
      <c r="AD91" s="1189"/>
      <c r="AE91" s="1189"/>
      <c r="AF91" s="1189"/>
      <c r="AG91" s="1189"/>
      <c r="AH91" s="1189"/>
      <c r="AI91" s="1189"/>
    </row>
    <row r="92" spans="3:35">
      <c r="C92" s="1060"/>
      <c r="D92" s="1030"/>
      <c r="E92" s="1060" t="str">
        <f t="shared" si="7"/>
        <v>Overtime</v>
      </c>
      <c r="F92" s="14" t="s">
        <v>29</v>
      </c>
      <c r="G92" s="1031"/>
      <c r="H92" s="1031"/>
      <c r="I92" s="1031"/>
      <c r="J92" s="1033">
        <f t="shared" ref="J92:N92" si="14">J64-J37</f>
        <v>1.8289134004589869E-5</v>
      </c>
      <c r="K92" s="1033">
        <f t="shared" si="14"/>
        <v>-309.17984239600003</v>
      </c>
      <c r="L92" s="1033">
        <f t="shared" si="14"/>
        <v>-484.9708857560089</v>
      </c>
      <c r="M92" s="1033">
        <f t="shared" si="14"/>
        <v>-251.29424421604404</v>
      </c>
      <c r="N92" s="1033">
        <f t="shared" si="14"/>
        <v>-130.10515735580725</v>
      </c>
      <c r="O92" s="14"/>
      <c r="P92" s="1031"/>
      <c r="Q92" s="1031"/>
      <c r="R92" s="1031"/>
      <c r="S92" s="1031"/>
      <c r="T92" s="1031"/>
      <c r="U92" s="1031"/>
      <c r="V92" s="1031"/>
      <c r="W92" s="1031"/>
      <c r="X92" s="1031"/>
      <c r="Z92" s="1189"/>
      <c r="AA92" s="1189"/>
      <c r="AB92" s="1189"/>
      <c r="AC92" s="1189"/>
      <c r="AD92" s="1189"/>
      <c r="AE92" s="1189"/>
      <c r="AF92" s="1189"/>
      <c r="AG92" s="1189"/>
      <c r="AH92" s="1189"/>
      <c r="AI92" s="1189"/>
    </row>
    <row r="93" spans="3:35">
      <c r="C93" s="1060"/>
      <c r="D93" s="1030"/>
      <c r="E93" s="1030"/>
      <c r="F93" s="14"/>
      <c r="G93" s="1031"/>
      <c r="H93" s="1031"/>
      <c r="I93" s="1031"/>
      <c r="J93" s="1043"/>
      <c r="K93" s="1043"/>
      <c r="L93" s="1043"/>
      <c r="M93" s="1043"/>
      <c r="N93" s="1043"/>
      <c r="O93" s="14"/>
      <c r="P93" s="1031"/>
      <c r="Q93" s="1031"/>
      <c r="R93" s="1031"/>
      <c r="S93" s="1031"/>
      <c r="T93" s="1031"/>
      <c r="U93" s="1031"/>
      <c r="V93" s="1031"/>
      <c r="W93" s="1031"/>
      <c r="X93" s="1031"/>
    </row>
    <row r="94" spans="3:35">
      <c r="C94" s="1060"/>
      <c r="D94" s="1030"/>
      <c r="E94" s="1030" t="s">
        <v>70</v>
      </c>
      <c r="F94" s="1053" t="s">
        <v>29</v>
      </c>
      <c r="G94" s="1031"/>
      <c r="H94" s="1031"/>
      <c r="I94" s="1031"/>
      <c r="J94" s="1043">
        <f>J66-J39</f>
        <v>-1522.3343628883958</v>
      </c>
      <c r="K94" s="1043">
        <f t="shared" ref="K94:N94" si="15">K66-K39</f>
        <v>-1515.398951902338</v>
      </c>
      <c r="L94" s="1043">
        <f t="shared" si="15"/>
        <v>-2992.8424748056132</v>
      </c>
      <c r="M94" s="1043">
        <f t="shared" si="15"/>
        <v>-4245.9406924588548</v>
      </c>
      <c r="N94" s="1043">
        <f t="shared" si="15"/>
        <v>-5191.6696431349847</v>
      </c>
      <c r="O94" s="14"/>
      <c r="P94" s="1031"/>
      <c r="Q94" s="1031"/>
      <c r="R94" s="1031"/>
      <c r="S94" s="1031"/>
      <c r="T94" s="1031"/>
      <c r="U94" s="1031"/>
      <c r="V94" s="1031"/>
      <c r="W94" s="1031"/>
      <c r="X94" s="1031"/>
    </row>
    <row r="95" spans="3:35">
      <c r="C95" s="1060"/>
      <c r="D95" s="1030"/>
      <c r="E95" s="1030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031"/>
      <c r="Q95" s="1031"/>
      <c r="R95" s="1031"/>
      <c r="S95" s="1031"/>
      <c r="T95" s="1031"/>
      <c r="U95" s="1031"/>
      <c r="V95" s="1031"/>
      <c r="W95" s="1031"/>
      <c r="X95" s="1031"/>
    </row>
    <row r="96" spans="3:35">
      <c r="C96" s="1060"/>
      <c r="D96" s="1030"/>
      <c r="E96" s="1187" t="s">
        <v>71</v>
      </c>
      <c r="F96" s="14" t="s">
        <v>43</v>
      </c>
      <c r="G96" s="14"/>
      <c r="H96" s="14"/>
      <c r="I96" s="14"/>
      <c r="J96" s="1188">
        <f>J94/J39</f>
        <v>-2.3509982354815034E-2</v>
      </c>
      <c r="K96" s="1188">
        <f t="shared" ref="K96:N96" si="16">K94/K39</f>
        <v>-2.5349335094717262E-2</v>
      </c>
      <c r="L96" s="1188">
        <f t="shared" si="16"/>
        <v>-4.0509241396494505E-2</v>
      </c>
      <c r="M96" s="1188">
        <f t="shared" si="16"/>
        <v>-5.427701995693112E-2</v>
      </c>
      <c r="N96" s="1188">
        <f t="shared" si="16"/>
        <v>-6.2757454939937507E-2</v>
      </c>
      <c r="O96" s="14"/>
      <c r="P96" s="1031"/>
      <c r="Q96" s="1031"/>
      <c r="R96" s="1031"/>
      <c r="S96" s="1031"/>
      <c r="T96" s="1031"/>
      <c r="U96" s="1031"/>
      <c r="V96" s="1031"/>
      <c r="W96" s="1031"/>
      <c r="X96" s="1031"/>
    </row>
    <row r="97" spans="3:24">
      <c r="C97" s="1060"/>
      <c r="D97" s="1030"/>
      <c r="E97" s="1030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031"/>
      <c r="Q97" s="1031"/>
      <c r="R97" s="1031"/>
      <c r="S97" s="1031"/>
      <c r="T97" s="1031"/>
      <c r="U97" s="1031"/>
      <c r="V97" s="1031"/>
      <c r="W97" s="1031"/>
      <c r="X97" s="1031"/>
    </row>
    <row r="99" spans="3:24">
      <c r="C99" s="1041" t="s">
        <v>72</v>
      </c>
      <c r="D99" s="1041"/>
      <c r="E99" s="1042"/>
      <c r="F99" s="1042"/>
      <c r="G99" s="1042"/>
      <c r="H99" s="1042"/>
      <c r="I99" s="1042"/>
      <c r="J99" s="1042"/>
      <c r="K99" s="1042"/>
      <c r="L99" s="1042"/>
      <c r="M99" s="1042"/>
      <c r="N99" s="1042"/>
      <c r="O99" s="1042"/>
      <c r="P99" s="1042"/>
      <c r="Q99" s="1042"/>
      <c r="R99" s="1042"/>
      <c r="S99" s="1042"/>
      <c r="T99" s="1042"/>
      <c r="U99" s="1042"/>
      <c r="V99" s="1042"/>
      <c r="W99" s="1042"/>
      <c r="X99" s="1042"/>
    </row>
    <row r="100" spans="3:24">
      <c r="C100" s="1060"/>
      <c r="D100" s="1065">
        <v>1</v>
      </c>
      <c r="E100" s="1047" t="str">
        <f>IFERROR(INDEX('ANSP Opex'!$G$108:$G$139,MATCH(D100,'ANSP Opex'!$H$108:$H$139,0)),"")</f>
        <v>Admin&amp;Other</v>
      </c>
      <c r="F100" s="14" t="str">
        <f>IF(E100="","","€'000")</f>
        <v>€'000</v>
      </c>
      <c r="G100" s="14"/>
      <c r="H100" s="14"/>
      <c r="I100" s="14"/>
      <c r="J100" s="1033">
        <f>SUMIFS('ANSP Opex'!Q$108:Q$139,'ANSP Opex'!$G$108:$G$139,$E100)*(J$5/100)</f>
        <v>3727.9351469999988</v>
      </c>
      <c r="K100" s="1033">
        <f>SUMIFS('ANSP Opex'!R$108:R$139,'ANSP Opex'!$G$108:$G$139,$E100)*(K$5/100)</f>
        <v>5754.1517245919995</v>
      </c>
      <c r="L100" s="1033">
        <f>SUMIFS('ANSP Opex'!S$108:S$139,'ANSP Opex'!$G$108:$G$139,$E100)*(L$5/100)</f>
        <v>8242.955514759069</v>
      </c>
      <c r="M100" s="1033">
        <f>SUMIFS('ANSP Opex'!T$108:T$139,'ANSP Opex'!$G$108:$G$139,$E100)*(M$5/100)</f>
        <v>8508.6740654262649</v>
      </c>
      <c r="N100" s="1033">
        <f>SUMIFS('ANSP Opex'!U$108:U$139,'ANSP Opex'!$G$108:$G$139,$E100)*(N$5/100)</f>
        <v>8867.089889488685</v>
      </c>
      <c r="O100" s="14"/>
      <c r="P100" s="1031"/>
      <c r="Q100" s="1031"/>
      <c r="R100" s="1031"/>
      <c r="S100" s="1031"/>
      <c r="T100" s="1031"/>
      <c r="U100" s="1031"/>
      <c r="V100" s="1031"/>
      <c r="W100" s="1031"/>
      <c r="X100" s="1031"/>
    </row>
    <row r="101" spans="3:24">
      <c r="C101" s="1060"/>
      <c r="D101" s="1064">
        <f t="shared" ref="D101:D114" si="17">D100+1</f>
        <v>2</v>
      </c>
      <c r="E101" s="1047" t="str">
        <f>IFERROR(INDEX('ANSP Opex'!$G$108:$G$139,MATCH(D101,'ANSP Opex'!$H$108:$H$139,0)),"")</f>
        <v>Training (Redacted)</v>
      </c>
      <c r="F101" s="14" t="str">
        <f t="shared" ref="F101:F114" si="18">IF(E101="","","€'000")</f>
        <v>€'000</v>
      </c>
      <c r="G101" s="1060"/>
      <c r="H101" s="1060"/>
      <c r="I101" s="1060"/>
      <c r="J101" s="1033">
        <f>SUMIFS('ANSP Opex'!Q$108:Q$139,'ANSP Opex'!$G$108:$G$139,$E101)*(J$5/100)</f>
        <v>0</v>
      </c>
      <c r="K101" s="1033">
        <f>SUMIFS('ANSP Opex'!R$108:R$139,'ANSP Opex'!$G$108:$G$139,$E101)*(K$5/100)</f>
        <v>0</v>
      </c>
      <c r="L101" s="1033">
        <f>SUMIFS('ANSP Opex'!S$108:S$139,'ANSP Opex'!$G$108:$G$139,$E101)*(L$5/100)</f>
        <v>0</v>
      </c>
      <c r="M101" s="1033">
        <f>SUMIFS('ANSP Opex'!T$108:T$139,'ANSP Opex'!$G$108:$G$139,$E101)*(M$5/100)</f>
        <v>0</v>
      </c>
      <c r="N101" s="1033">
        <f>SUMIFS('ANSP Opex'!U$108:U$139,'ANSP Opex'!$G$108:$G$139,$E101)*(N$5/100)</f>
        <v>0</v>
      </c>
      <c r="O101" s="1060"/>
      <c r="P101" s="1060"/>
      <c r="Q101" s="1060"/>
      <c r="R101" s="1060"/>
      <c r="S101" s="1060"/>
      <c r="T101" s="1060"/>
      <c r="U101" s="1060"/>
      <c r="V101" s="1060"/>
      <c r="W101" s="1060"/>
      <c r="X101" s="1060"/>
    </row>
    <row r="102" spans="3:24">
      <c r="C102" s="1060"/>
      <c r="D102" s="1064">
        <f t="shared" si="17"/>
        <v>3</v>
      </c>
      <c r="E102" s="1047" t="str">
        <f>IFERROR(INDEX('ANSP Opex'!$G$108:$G$139,MATCH(D102,'ANSP Opex'!$H$108:$H$139,0)),"")</f>
        <v>Telecoms (Redacted)</v>
      </c>
      <c r="F102" s="14" t="str">
        <f t="shared" si="18"/>
        <v>€'000</v>
      </c>
      <c r="G102" s="1031"/>
      <c r="H102" s="1031"/>
      <c r="I102" s="1031"/>
      <c r="J102" s="1033">
        <f>SUMIFS('ANSP Opex'!Q$108:Q$139,'ANSP Opex'!$G$108:$G$139,$E102)*(J$5/100)</f>
        <v>0</v>
      </c>
      <c r="K102" s="1033">
        <f>SUMIFS('ANSP Opex'!R$108:R$139,'ANSP Opex'!$G$108:$G$139,$E102)*(K$5/100)</f>
        <v>0</v>
      </c>
      <c r="L102" s="1033">
        <f>SUMIFS('ANSP Opex'!S$108:S$139,'ANSP Opex'!$G$108:$G$139,$E102)*(L$5/100)</f>
        <v>0</v>
      </c>
      <c r="M102" s="1033">
        <f>SUMIFS('ANSP Opex'!T$108:T$139,'ANSP Opex'!$G$108:$G$139,$E102)*(M$5/100)</f>
        <v>0</v>
      </c>
      <c r="N102" s="1033">
        <f>SUMIFS('ANSP Opex'!U$108:U$139,'ANSP Opex'!$G$108:$G$139,$E102)*(N$5/100)</f>
        <v>0</v>
      </c>
      <c r="O102" s="1031"/>
      <c r="P102" s="1031"/>
      <c r="Q102" s="1031"/>
      <c r="R102" s="1031"/>
      <c r="S102" s="1031"/>
      <c r="T102" s="1031"/>
      <c r="U102" s="1031"/>
      <c r="V102" s="1031"/>
      <c r="W102" s="1031"/>
      <c r="X102" s="1031"/>
    </row>
    <row r="103" spans="3:24">
      <c r="C103" s="1060"/>
      <c r="D103" s="1064">
        <f t="shared" si="17"/>
        <v>4</v>
      </c>
      <c r="E103" s="1047" t="str">
        <f>IFERROR(INDEX('ANSP Opex'!$G$108:$G$139,MATCH(D103,'ANSP Opex'!$H$108:$H$139,0)),"")</f>
        <v>Operational</v>
      </c>
      <c r="F103" s="14" t="str">
        <f t="shared" si="18"/>
        <v>€'000</v>
      </c>
      <c r="G103" s="1031"/>
      <c r="H103" s="1031"/>
      <c r="I103" s="1031"/>
      <c r="J103" s="1033">
        <f>SUMIFS('ANSP Opex'!Q$108:Q$139,'ANSP Opex'!$G$108:$G$139,$E103)*(J$5/100)</f>
        <v>6364.6186319999979</v>
      </c>
      <c r="K103" s="1033">
        <f>SUMIFS('ANSP Opex'!R$108:R$139,'ANSP Opex'!$G$108:$G$139,$E103)*(K$5/100)</f>
        <v>7974.672061799999</v>
      </c>
      <c r="L103" s="1033">
        <f>SUMIFS('ANSP Opex'!S$108:S$139,'ANSP Opex'!$G$108:$G$139,$E103)*(L$5/100)</f>
        <v>9813.4931083700048</v>
      </c>
      <c r="M103" s="1033">
        <f>SUMIFS('ANSP Opex'!T$108:T$139,'ANSP Opex'!$G$108:$G$139,$E103)*(M$5/100)</f>
        <v>10425.003432494526</v>
      </c>
      <c r="N103" s="1033">
        <f>SUMIFS('ANSP Opex'!U$108:U$139,'ANSP Opex'!$G$108:$G$139,$E103)*(N$5/100)</f>
        <v>10687.13068018477</v>
      </c>
      <c r="O103" s="1031"/>
      <c r="P103" s="1031"/>
      <c r="Q103" s="1031"/>
      <c r="R103" s="1031"/>
      <c r="S103" s="1031"/>
      <c r="T103" s="1031"/>
      <c r="U103" s="1031"/>
      <c r="V103" s="1031"/>
      <c r="W103" s="1031"/>
      <c r="X103" s="1031"/>
    </row>
    <row r="104" spans="3:24">
      <c r="C104" s="1060"/>
      <c r="D104" s="1064">
        <f t="shared" si="17"/>
        <v>5</v>
      </c>
      <c r="E104" s="1047" t="str">
        <f>IFERROR(INDEX('ANSP Opex'!$G$108:$G$139,MATCH(D104,'ANSP Opex'!$H$108:$H$139,0)),"")</f>
        <v>Rent &amp; Rates</v>
      </c>
      <c r="F104" s="14" t="str">
        <f t="shared" si="18"/>
        <v>€'000</v>
      </c>
      <c r="G104" s="1031"/>
      <c r="H104" s="1031"/>
      <c r="I104" s="1031"/>
      <c r="J104" s="1033">
        <f>SUMIFS('ANSP Opex'!Q$108:Q$139,'ANSP Opex'!$G$108:$G$139,$E104)*(J$5/100)</f>
        <v>2777.9162419999993</v>
      </c>
      <c r="K104" s="1033">
        <f>SUMIFS('ANSP Opex'!R$108:R$139,'ANSP Opex'!$G$108:$G$139,$E104)*(K$5/100)</f>
        <v>3015.4067433679998</v>
      </c>
      <c r="L104" s="1033">
        <f>SUMIFS('ANSP Opex'!S$108:S$139,'ANSP Opex'!$G$108:$G$139,$E104)*(L$5/100)</f>
        <v>3100.0497577839428</v>
      </c>
      <c r="M104" s="1033">
        <f>SUMIFS('ANSP Opex'!T$108:T$139,'ANSP Opex'!$G$108:$G$139,$E104)*(M$5/100)</f>
        <v>3215.6993914353743</v>
      </c>
      <c r="N104" s="1033">
        <f>SUMIFS('ANSP Opex'!U$108:U$139,'ANSP Opex'!$G$108:$G$139,$E104)*(N$5/100)</f>
        <v>3280.0133792640813</v>
      </c>
      <c r="O104" s="1031"/>
      <c r="P104" s="1031"/>
      <c r="Q104" s="1031"/>
      <c r="R104" s="1031"/>
      <c r="S104" s="1031"/>
      <c r="T104" s="1031"/>
      <c r="U104" s="1031"/>
      <c r="V104" s="1031"/>
      <c r="W104" s="1031"/>
      <c r="X104" s="1031"/>
    </row>
    <row r="105" spans="3:24">
      <c r="C105" s="1060"/>
      <c r="D105" s="1064">
        <f t="shared" si="17"/>
        <v>6</v>
      </c>
      <c r="E105" s="1047" t="str">
        <f>IFERROR(INDEX('ANSP Opex'!$G$108:$G$139,MATCH(D105,'ANSP Opex'!$H$108:$H$139,0)),"")</f>
        <v>Computing</v>
      </c>
      <c r="F105" s="14" t="str">
        <f t="shared" si="18"/>
        <v>€'000</v>
      </c>
      <c r="G105" s="1031"/>
      <c r="H105" s="1031"/>
      <c r="I105" s="1031"/>
      <c r="J105" s="1033">
        <f>SUMIFS('ANSP Opex'!Q$108:Q$139,'ANSP Opex'!$G$108:$G$139,$E105)*(J$5/100)</f>
        <v>1637.8935559999995</v>
      </c>
      <c r="K105" s="1033">
        <f>SUMIFS('ANSP Opex'!R$108:R$139,'ANSP Opex'!$G$108:$G$139,$E105)*(K$5/100)</f>
        <v>2393.9500985519999</v>
      </c>
      <c r="L105" s="1033">
        <f>SUMIFS('ANSP Opex'!S$108:S$139,'ANSP Opex'!$G$108:$G$139,$E105)*(L$5/100)</f>
        <v>3057.972394257863</v>
      </c>
      <c r="M105" s="1033">
        <f>SUMIFS('ANSP Opex'!T$108:T$139,'ANSP Opex'!$G$108:$G$139,$E105)*(M$5/100)</f>
        <v>3248.9615473027402</v>
      </c>
      <c r="N105" s="1033">
        <f>SUMIFS('ANSP Opex'!U$108:U$139,'ANSP Opex'!$G$108:$G$139,$E105)*(N$5/100)</f>
        <v>3574.4156478733703</v>
      </c>
      <c r="O105" s="1031"/>
      <c r="P105" s="1031"/>
      <c r="Q105" s="1031"/>
      <c r="R105" s="1031"/>
      <c r="S105" s="1031"/>
      <c r="T105" s="1031"/>
      <c r="U105" s="1031"/>
      <c r="V105" s="1031"/>
      <c r="W105" s="1031"/>
      <c r="X105" s="1031"/>
    </row>
    <row r="106" spans="3:24">
      <c r="C106" s="1060"/>
      <c r="D106" s="1064">
        <f t="shared" si="17"/>
        <v>7</v>
      </c>
      <c r="E106" s="1047" t="str">
        <f>IFERROR(INDEX('ANSP Opex'!$G$108:$G$139,MATCH(D106,'ANSP Opex'!$H$108:$H$139,0)),"")</f>
        <v>Consultancy</v>
      </c>
      <c r="F106" s="14" t="str">
        <f t="shared" si="18"/>
        <v>€'000</v>
      </c>
      <c r="G106" s="1031"/>
      <c r="H106" s="1031"/>
      <c r="I106" s="1031"/>
      <c r="J106" s="1033">
        <f>SUMIFS('ANSP Opex'!Q$108:Q$139,'ANSP Opex'!$G$108:$G$139,$E106)*(J$5/100)</f>
        <v>420.65008199999988</v>
      </c>
      <c r="K106" s="1033">
        <f>SUMIFS('ANSP Opex'!R$108:R$139,'ANSP Opex'!$G$108:$G$139,$E106)*(K$5/100)</f>
        <v>1154.1337689439999</v>
      </c>
      <c r="L106" s="1033">
        <f>SUMIFS('ANSP Opex'!S$108:S$139,'ANSP Opex'!$G$108:$G$139,$E106)*(L$5/100)</f>
        <v>1710.4448273351513</v>
      </c>
      <c r="M106" s="1033">
        <f>SUMIFS('ANSP Opex'!T$108:T$139,'ANSP Opex'!$G$108:$G$139,$E106)*(M$5/100)</f>
        <v>1657.7429295187364</v>
      </c>
      <c r="N106" s="1033">
        <f>SUMIFS('ANSP Opex'!U$108:U$139,'ANSP Opex'!$G$108:$G$139,$E106)*(N$5/100)</f>
        <v>1778.4523661341784</v>
      </c>
      <c r="O106" s="1031"/>
      <c r="P106" s="1031"/>
      <c r="Q106" s="1031"/>
      <c r="R106" s="1031"/>
      <c r="S106" s="1031"/>
      <c r="T106" s="1031"/>
      <c r="U106" s="1031"/>
      <c r="V106" s="1031"/>
      <c r="W106" s="1031"/>
      <c r="X106" s="1031"/>
    </row>
    <row r="107" spans="3:24">
      <c r="C107" s="1060"/>
      <c r="D107" s="1064">
        <f t="shared" si="17"/>
        <v>8</v>
      </c>
      <c r="E107" s="1047" t="str">
        <f>IFERROR(INDEX('ANSP Opex'!$G$108:$G$139,MATCH(D107,'ANSP Opex'!$H$108:$H$139,0)),"")</f>
        <v>Insurance (Redacted)</v>
      </c>
      <c r="F107" s="14" t="str">
        <f t="shared" si="18"/>
        <v>€'000</v>
      </c>
      <c r="G107" s="1031"/>
      <c r="H107" s="1031"/>
      <c r="I107" s="1031"/>
      <c r="J107" s="1033">
        <f>SUMIFS('ANSP Opex'!Q$108:Q$139,'ANSP Opex'!$G$108:$G$139,$E107)*(J$5/100)</f>
        <v>0</v>
      </c>
      <c r="K107" s="1033">
        <f>SUMIFS('ANSP Opex'!R$108:R$139,'ANSP Opex'!$G$108:$G$139,$E107)*(K$5/100)</f>
        <v>0</v>
      </c>
      <c r="L107" s="1033">
        <f>SUMIFS('ANSP Opex'!S$108:S$139,'ANSP Opex'!$G$108:$G$139,$E107)*(L$5/100)</f>
        <v>0</v>
      </c>
      <c r="M107" s="1033">
        <f>SUMIFS('ANSP Opex'!T$108:T$139,'ANSP Opex'!$G$108:$G$139,$E107)*(M$5/100)</f>
        <v>0</v>
      </c>
      <c r="N107" s="1033">
        <f>SUMIFS('ANSP Opex'!U$108:U$139,'ANSP Opex'!$G$108:$G$139,$E107)*(N$5/100)</f>
        <v>0</v>
      </c>
      <c r="O107" s="1031"/>
      <c r="P107" s="1031"/>
      <c r="Q107" s="1031"/>
      <c r="R107" s="1031"/>
      <c r="S107" s="1031"/>
      <c r="T107" s="1031"/>
      <c r="U107" s="1031"/>
      <c r="V107" s="1031"/>
      <c r="W107" s="1031"/>
      <c r="X107" s="1031"/>
    </row>
    <row r="108" spans="3:24">
      <c r="C108" s="1060"/>
      <c r="D108" s="1064">
        <f t="shared" si="17"/>
        <v>9</v>
      </c>
      <c r="E108" s="1047" t="str">
        <f>IFERROR(INDEX('ANSP Opex'!$G$108:$G$139,MATCH(D108,'ANSP Opex'!$H$108:$H$139,0)),"")</f>
        <v>Building Repairs</v>
      </c>
      <c r="F108" s="14" t="str">
        <f t="shared" si="18"/>
        <v>€'000</v>
      </c>
      <c r="G108" s="1031"/>
      <c r="H108" s="1031"/>
      <c r="I108" s="1031"/>
      <c r="J108" s="1033">
        <f>SUMIFS('ANSP Opex'!Q$108:Q$139,'ANSP Opex'!$G$108:$G$139,$E108)*(J$5/100)</f>
        <v>821.99496699999975</v>
      </c>
      <c r="K108" s="1033">
        <f>SUMIFS('ANSP Opex'!R$108:R$139,'ANSP Opex'!$G$108:$G$139,$E108)*(K$5/100)</f>
        <v>1645.5180927519998</v>
      </c>
      <c r="L108" s="1033">
        <f>SUMIFS('ANSP Opex'!S$108:S$139,'ANSP Opex'!$G$108:$G$139,$E108)*(L$5/100)</f>
        <v>1471.6557893246475</v>
      </c>
      <c r="M108" s="1033">
        <f>SUMIFS('ANSP Opex'!T$108:T$139,'ANSP Opex'!$G$108:$G$139,$E108)*(M$5/100)</f>
        <v>1561.1753802263829</v>
      </c>
      <c r="N108" s="1033">
        <f>SUMIFS('ANSP Opex'!U$108:U$139,'ANSP Opex'!$G$108:$G$139,$E108)*(N$5/100)</f>
        <v>1532.2051154386768</v>
      </c>
      <c r="O108" s="1031"/>
      <c r="P108" s="1031"/>
      <c r="Q108" s="1031"/>
      <c r="R108" s="1031"/>
      <c r="S108" s="1031"/>
      <c r="T108" s="1031"/>
      <c r="U108" s="1031"/>
      <c r="V108" s="1031"/>
      <c r="W108" s="1031"/>
      <c r="X108" s="1031"/>
    </row>
    <row r="109" spans="3:24">
      <c r="C109" s="1060"/>
      <c r="D109" s="1064">
        <f t="shared" si="17"/>
        <v>10</v>
      </c>
      <c r="E109" s="1047" t="str">
        <f>IFERROR(INDEX('ANSP Opex'!$G$108:$G$139,MATCH(D109,'ANSP Opex'!$H$108:$H$139,0)),"")</f>
        <v>Security (Redacted)</v>
      </c>
      <c r="F109" s="14" t="str">
        <f t="shared" si="18"/>
        <v>€'000</v>
      </c>
      <c r="G109" s="1031"/>
      <c r="H109" s="1031"/>
      <c r="I109" s="1031"/>
      <c r="J109" s="1033">
        <f>SUMIFS('ANSP Opex'!Q$108:Q$139,'ANSP Opex'!$G$108:$G$139,$E109)*(J$5/100)</f>
        <v>0</v>
      </c>
      <c r="K109" s="1033">
        <f>SUMIFS('ANSP Opex'!R$108:R$139,'ANSP Opex'!$G$108:$G$139,$E109)*(K$5/100)</f>
        <v>0</v>
      </c>
      <c r="L109" s="1033">
        <f>SUMIFS('ANSP Opex'!S$108:S$139,'ANSP Opex'!$G$108:$G$139,$E109)*(L$5/100)</f>
        <v>0</v>
      </c>
      <c r="M109" s="1033">
        <f>SUMIFS('ANSP Opex'!T$108:T$139,'ANSP Opex'!$G$108:$G$139,$E109)*(M$5/100)</f>
        <v>0</v>
      </c>
      <c r="N109" s="1033">
        <f>SUMIFS('ANSP Opex'!U$108:U$139,'ANSP Opex'!$G$108:$G$139,$E109)*(N$5/100)</f>
        <v>0</v>
      </c>
      <c r="O109" s="1031"/>
      <c r="P109" s="1031"/>
      <c r="Q109" s="1031"/>
      <c r="R109" s="1031"/>
      <c r="S109" s="1031"/>
      <c r="T109" s="1031"/>
      <c r="U109" s="1031"/>
      <c r="V109" s="1031"/>
      <c r="W109" s="1031"/>
      <c r="X109" s="1031"/>
    </row>
    <row r="110" spans="3:24">
      <c r="C110" s="1060"/>
      <c r="D110" s="1064">
        <f t="shared" si="17"/>
        <v>11</v>
      </c>
      <c r="E110" s="1047" t="str">
        <f>IFERROR(INDEX('ANSP Opex'!$G$108:$G$139,MATCH(D110,'ANSP Opex'!$H$108:$H$139,0)),"")</f>
        <v>Redacted</v>
      </c>
      <c r="F110" s="14" t="str">
        <f t="shared" si="18"/>
        <v>€'000</v>
      </c>
      <c r="G110" s="1031"/>
      <c r="H110" s="1031"/>
      <c r="I110" s="1031"/>
      <c r="J110" s="1033">
        <f>SUMIFS('ANSP Opex'!Q$108:Q$139,'ANSP Opex'!$G$108:$G$139,$E110)*(J$5/100)</f>
        <v>11121.825597999998</v>
      </c>
      <c r="K110" s="1033">
        <f>SUMIFS('ANSP Opex'!R$108:R$139,'ANSP Opex'!$G$108:$G$139,$E110)*(K$5/100)</f>
        <v>13456.291304279999</v>
      </c>
      <c r="L110" s="1033">
        <f>SUMIFS('ANSP Opex'!S$108:S$139,'ANSP Opex'!$G$108:$G$139,$E110)*(L$5/100)</f>
        <v>17009.774205417834</v>
      </c>
      <c r="M110" s="1033">
        <f>SUMIFS('ANSP Opex'!T$108:T$139,'ANSP Opex'!$G$108:$G$139,$E110)*(M$5/100)</f>
        <v>18106.415492316297</v>
      </c>
      <c r="N110" s="1033">
        <f>SUMIFS('ANSP Opex'!U$108:U$139,'ANSP Opex'!$G$108:$G$139,$E110)*(N$5/100)</f>
        <v>16661.636198170298</v>
      </c>
      <c r="O110" s="1031"/>
      <c r="P110" s="1031"/>
      <c r="Q110" s="1031"/>
      <c r="R110" s="1031"/>
      <c r="S110" s="1031"/>
      <c r="T110" s="1031"/>
      <c r="U110" s="1031"/>
      <c r="V110" s="1031"/>
      <c r="W110" s="1031"/>
      <c r="X110" s="1031"/>
    </row>
    <row r="111" spans="3:24">
      <c r="C111" s="1060"/>
      <c r="D111" s="1064">
        <f t="shared" si="17"/>
        <v>12</v>
      </c>
      <c r="E111" s="1047" t="str">
        <f>IFERROR(INDEX('ANSP Opex'!$G$108:$G$139,MATCH(D111,'ANSP Opex'!$H$108:$H$139,0)),"")</f>
        <v/>
      </c>
      <c r="F111" s="14" t="str">
        <f t="shared" si="18"/>
        <v/>
      </c>
      <c r="G111" s="1031"/>
      <c r="H111" s="1031"/>
      <c r="I111" s="1031"/>
      <c r="J111" s="1033">
        <f>SUMIFS('ANSP Opex'!Q$108:Q$139,'ANSP Opex'!$G$108:$G$139,$E111)*(J$5/100)</f>
        <v>0</v>
      </c>
      <c r="K111" s="1033">
        <f>SUMIFS('ANSP Opex'!R$108:R$139,'ANSP Opex'!$G$108:$G$139,$E111)*(K$5/100)</f>
        <v>0</v>
      </c>
      <c r="L111" s="1033">
        <f>SUMIFS('ANSP Opex'!S$108:S$139,'ANSP Opex'!$G$108:$G$139,$E111)*(L$5/100)</f>
        <v>0</v>
      </c>
      <c r="M111" s="1033">
        <f>SUMIFS('ANSP Opex'!T$108:T$139,'ANSP Opex'!$G$108:$G$139,$E111)*(M$5/100)</f>
        <v>0</v>
      </c>
      <c r="N111" s="1033">
        <f>SUMIFS('ANSP Opex'!U$108:U$139,'ANSP Opex'!$G$108:$G$139,$E111)*(N$5/100)</f>
        <v>0</v>
      </c>
      <c r="O111" s="1031"/>
      <c r="P111" s="1031"/>
      <c r="Q111" s="1031"/>
      <c r="R111" s="1031"/>
      <c r="S111" s="1031"/>
      <c r="T111" s="1031"/>
      <c r="U111" s="1031"/>
      <c r="V111" s="1031"/>
      <c r="W111" s="1031"/>
      <c r="X111" s="1031"/>
    </row>
    <row r="112" spans="3:24">
      <c r="C112" s="1060"/>
      <c r="D112" s="1064">
        <f t="shared" si="17"/>
        <v>13</v>
      </c>
      <c r="E112" s="1047" t="str">
        <f>IFERROR(INDEX('ANSP Opex'!$G$108:$G$139,MATCH(D112,'ANSP Opex'!$H$108:$H$139,0)),"")</f>
        <v/>
      </c>
      <c r="F112" s="14" t="str">
        <f t="shared" si="18"/>
        <v/>
      </c>
      <c r="G112" s="1031"/>
      <c r="H112" s="1031"/>
      <c r="I112" s="1031"/>
      <c r="J112" s="1033">
        <f>SUMIFS('ANSP Opex'!Q$108:Q$139,'ANSP Opex'!$G$108:$G$139,$E112)*(J$5/100)</f>
        <v>0</v>
      </c>
      <c r="K112" s="1033">
        <f>SUMIFS('ANSP Opex'!R$108:R$139,'ANSP Opex'!$G$108:$G$139,$E112)*(K$5/100)</f>
        <v>0</v>
      </c>
      <c r="L112" s="1033">
        <f>SUMIFS('ANSP Opex'!S$108:S$139,'ANSP Opex'!$G$108:$G$139,$E112)*(L$5/100)</f>
        <v>0</v>
      </c>
      <c r="M112" s="1033">
        <f>SUMIFS('ANSP Opex'!T$108:T$139,'ANSP Opex'!$G$108:$G$139,$E112)*(M$5/100)</f>
        <v>0</v>
      </c>
      <c r="N112" s="1033">
        <f>SUMIFS('ANSP Opex'!U$108:U$139,'ANSP Opex'!$G$108:$G$139,$E112)*(N$5/100)</f>
        <v>0</v>
      </c>
      <c r="O112" s="1031"/>
      <c r="P112" s="1031"/>
      <c r="Q112" s="1031"/>
      <c r="R112" s="1031"/>
      <c r="S112" s="1031"/>
      <c r="T112" s="1031"/>
      <c r="U112" s="1031"/>
      <c r="V112" s="1031"/>
      <c r="W112" s="1031"/>
      <c r="X112" s="1031"/>
    </row>
    <row r="113" spans="3:27">
      <c r="C113" s="1060"/>
      <c r="D113" s="1064">
        <f t="shared" si="17"/>
        <v>14</v>
      </c>
      <c r="E113" s="1047" t="str">
        <f>IFERROR(INDEX('ANSP Opex'!$G$108:$G$139,MATCH(D113,'ANSP Opex'!$H$108:$H$139,0)),"")</f>
        <v/>
      </c>
      <c r="F113" s="14" t="str">
        <f t="shared" si="18"/>
        <v/>
      </c>
      <c r="G113" s="1031"/>
      <c r="H113" s="1031"/>
      <c r="I113" s="1031"/>
      <c r="J113" s="1033">
        <f>SUMIFS('ANSP Opex'!Q$108:Q$139,'ANSP Opex'!$G$108:$G$139,$E113)*(J$5/100)</f>
        <v>0</v>
      </c>
      <c r="K113" s="1033">
        <f>SUMIFS('ANSP Opex'!R$108:R$139,'ANSP Opex'!$G$108:$G$139,$E113)*(K$5/100)</f>
        <v>0</v>
      </c>
      <c r="L113" s="1033">
        <f>SUMIFS('ANSP Opex'!S$108:S$139,'ANSP Opex'!$G$108:$G$139,$E113)*(L$5/100)</f>
        <v>0</v>
      </c>
      <c r="M113" s="1033">
        <f>SUMIFS('ANSP Opex'!T$108:T$139,'ANSP Opex'!$G$108:$G$139,$E113)*(M$5/100)</f>
        <v>0</v>
      </c>
      <c r="N113" s="1033">
        <f>SUMIFS('ANSP Opex'!U$108:U$139,'ANSP Opex'!$G$108:$G$139,$E113)*(N$5/100)</f>
        <v>0</v>
      </c>
      <c r="O113" s="1031"/>
      <c r="P113" s="1031"/>
      <c r="Q113" s="1031"/>
      <c r="R113" s="1031"/>
      <c r="S113" s="1031"/>
      <c r="T113" s="1031"/>
      <c r="U113" s="1031"/>
      <c r="V113" s="1031"/>
      <c r="W113" s="1031"/>
      <c r="X113" s="1031"/>
    </row>
    <row r="114" spans="3:27">
      <c r="C114" s="1060"/>
      <c r="D114" s="1064">
        <f t="shared" si="17"/>
        <v>15</v>
      </c>
      <c r="E114" s="1047" t="str">
        <f>IFERROR(INDEX('ANSP Opex'!$G$108:$G$139,MATCH(D114,'ANSP Opex'!$H$108:$H$139,0)),"")</f>
        <v/>
      </c>
      <c r="F114" s="14" t="str">
        <f t="shared" si="18"/>
        <v/>
      </c>
      <c r="G114" s="1031"/>
      <c r="H114" s="1031"/>
      <c r="I114" s="1031"/>
      <c r="J114" s="1043"/>
      <c r="K114" s="1043"/>
      <c r="L114" s="1043"/>
      <c r="M114" s="1043"/>
      <c r="N114" s="1043"/>
      <c r="O114" s="1031"/>
      <c r="P114" s="1031"/>
      <c r="Q114" s="1031"/>
      <c r="R114" s="1031"/>
      <c r="S114" s="1031"/>
      <c r="T114" s="1031"/>
      <c r="U114" s="1031"/>
      <c r="V114" s="1031"/>
      <c r="W114" s="1031"/>
      <c r="X114" s="1031"/>
    </row>
    <row r="115" spans="3:27">
      <c r="C115" s="1060"/>
      <c r="D115" s="1030"/>
      <c r="E115" s="1031"/>
      <c r="F115" s="1031"/>
      <c r="G115" s="1031"/>
      <c r="H115" s="1031"/>
      <c r="I115" s="1031"/>
      <c r="J115" s="1031"/>
      <c r="K115" s="1031"/>
      <c r="L115" s="1031"/>
      <c r="M115" s="1031"/>
      <c r="N115" s="1031"/>
      <c r="O115" s="1031"/>
      <c r="P115" s="1031"/>
      <c r="Q115" s="1031"/>
      <c r="R115" s="1031"/>
      <c r="S115" s="1031"/>
      <c r="T115" s="1031"/>
      <c r="U115" s="1031"/>
      <c r="V115" s="1031"/>
      <c r="W115" s="1031"/>
      <c r="X115" s="1031"/>
    </row>
    <row r="116" spans="3:27">
      <c r="C116" s="1060"/>
      <c r="D116" s="1031"/>
      <c r="E116" s="1030" t="s">
        <v>12</v>
      </c>
      <c r="F116" s="1053" t="s">
        <v>29</v>
      </c>
      <c r="G116" s="1031"/>
      <c r="H116" s="1031"/>
      <c r="I116" s="1031"/>
      <c r="J116" s="1043">
        <f>SUM(J100:J113)</f>
        <v>26872.834223999991</v>
      </c>
      <c r="K116" s="1043">
        <f>SUM(K100:K113)</f>
        <v>35394.123794287996</v>
      </c>
      <c r="L116" s="1043">
        <f>SUM(L100:L113)</f>
        <v>44406.34559724851</v>
      </c>
      <c r="M116" s="1043">
        <f>SUM(M100:M113)</f>
        <v>46723.672238720319</v>
      </c>
      <c r="N116" s="1043">
        <f>SUM(N100:N113)</f>
        <v>46380.943276554055</v>
      </c>
      <c r="O116" s="1031"/>
      <c r="P116" s="1031"/>
      <c r="Q116" s="1031"/>
      <c r="R116" s="1031"/>
      <c r="S116" s="1031"/>
      <c r="T116" s="1031"/>
      <c r="U116" s="1031"/>
      <c r="V116" s="1031"/>
      <c r="W116" s="1031"/>
      <c r="X116" s="1031"/>
      <c r="Z116" s="1189"/>
      <c r="AA116" s="1656">
        <f>(SUMPRODUCT($J$5:$N$5,'ANSP Opex'!$Q$141:$U$141)/100)-SUM(J116:N116)</f>
        <v>0</v>
      </c>
    </row>
    <row r="117" spans="3:27">
      <c r="C117" s="1060"/>
      <c r="D117" s="1031"/>
      <c r="E117" s="1030"/>
      <c r="F117" s="1053"/>
      <c r="G117" s="1031"/>
      <c r="H117" s="1031"/>
      <c r="I117" s="1031"/>
      <c r="J117" s="1043"/>
      <c r="K117" s="1043"/>
      <c r="L117" s="1043"/>
      <c r="M117" s="1043"/>
      <c r="N117" s="1043"/>
      <c r="O117" s="1031"/>
      <c r="P117" s="1031"/>
      <c r="Q117" s="1031"/>
      <c r="R117" s="1031"/>
      <c r="S117" s="1031"/>
      <c r="T117" s="1031"/>
      <c r="U117" s="1031"/>
      <c r="V117" s="1031"/>
      <c r="W117" s="1031"/>
      <c r="X117" s="1031"/>
    </row>
    <row r="118" spans="3:27">
      <c r="C118" s="1068"/>
      <c r="D118" s="1067"/>
      <c r="E118" s="1067"/>
      <c r="F118" s="3"/>
      <c r="G118" s="1067"/>
      <c r="H118" s="1067"/>
      <c r="I118" s="1067"/>
      <c r="J118" s="1067"/>
      <c r="K118" s="1067"/>
      <c r="L118" s="1067"/>
      <c r="M118" s="1067"/>
      <c r="N118" s="1067"/>
      <c r="O118" s="1067"/>
      <c r="P118" s="1067"/>
      <c r="Q118" s="1067"/>
      <c r="R118" s="1067"/>
      <c r="S118" s="1067"/>
      <c r="T118" s="1067"/>
      <c r="U118" s="1067"/>
      <c r="V118" s="1067"/>
      <c r="W118" s="1067"/>
      <c r="X118" s="1067"/>
    </row>
    <row r="119" spans="3:27">
      <c r="C119" s="1039" t="s">
        <v>73</v>
      </c>
      <c r="D119" s="1039"/>
      <c r="E119" s="1039"/>
      <c r="F119" s="1070"/>
      <c r="G119" s="1070"/>
      <c r="H119" s="1070"/>
      <c r="I119" s="1070"/>
      <c r="J119" s="1070"/>
      <c r="K119" s="1070"/>
      <c r="L119" s="1070"/>
      <c r="M119" s="1070"/>
      <c r="N119" s="1070"/>
      <c r="O119" s="1040"/>
      <c r="P119" s="1040"/>
      <c r="Q119" s="1040"/>
      <c r="R119" s="1040"/>
      <c r="S119" s="1040"/>
      <c r="T119" s="1040"/>
      <c r="U119" s="1040"/>
      <c r="V119" s="1040"/>
      <c r="W119" s="1040"/>
      <c r="X119" s="1040"/>
    </row>
    <row r="120" spans="3:27">
      <c r="C120" s="1060"/>
      <c r="D120" s="1065">
        <v>1</v>
      </c>
      <c r="E120" s="1047" t="str">
        <f>IFERROR(INDEX('ANSP Opex'!$G$108:$G$139,MATCH(D120,'ANSP Opex'!$H$108:$H$139,0)),"")</f>
        <v>Admin&amp;Other</v>
      </c>
      <c r="F120" s="14" t="str">
        <f>IF(E120="","","€'000")</f>
        <v>€'000</v>
      </c>
      <c r="G120" s="14"/>
      <c r="H120" s="14"/>
      <c r="I120" s="14"/>
      <c r="J120" s="1033">
        <f>CHOOSE($T$2,SUMIFS('ANSP Opex (CAR-10% SUs)'!Q$110:Q$141,'ANSP Opex (CAR-10% SUs)'!$G$110:$G$141,$E120),SUMIFS('ANSP Opex (CAR)'!Q$110:Q$141,'ANSP Opex (CAR)'!$G$110:$G$141,$E120),SUMIFS('[6]ANSP Opex (CA+10% SUs)'!Q$110:Q$141,'[6]ANSP Opex (CA+10% SUs)'!$G$110:$G$141,$E120))*(J$5/100)</f>
        <v>6436.993815552999</v>
      </c>
      <c r="K120" s="1033">
        <f>CHOOSE($T$2,SUMIFS('ANSP Opex (CAR-10% SUs)'!R$110:R$141,'ANSP Opex (CAR-10% SUs)'!$G$110:$G$141,$E120),SUMIFS('ANSP Opex (CAR)'!R$110:R$141,'ANSP Opex (CAR)'!$G$110:$G$141,$E120),SUMIFS('[6]ANSP Opex (CA+10% SUs)'!R$110:R$141,'[6]ANSP Opex (CA+10% SUs)'!$G$110:$G$141,$E120))*(K$5/100)</f>
        <v>7076.6785655609674</v>
      </c>
      <c r="L120" s="1033">
        <f>CHOOSE($T$2,SUMIFS('ANSP Opex (CAR-10% SUs)'!S$110:S$141,'ANSP Opex (CAR-10% SUs)'!$G$110:$G$141,$E120),SUMIFS('ANSP Opex (CAR)'!S$110:S$141,'ANSP Opex (CAR)'!$G$110:$G$141,$E120),SUMIFS('[6]ANSP Opex (CA+10% SUs)'!S$110:S$141,'[6]ANSP Opex (CA+10% SUs)'!$G$110:$G$141,$E120))*(L$5/100)</f>
        <v>8361.8240667202444</v>
      </c>
      <c r="M120" s="1033">
        <f>CHOOSE($T$2,SUMIFS('ANSP Opex (CAR-10% SUs)'!T$110:T$141,'ANSP Opex (CAR-10% SUs)'!$G$110:$G$141,$E120),SUMIFS('ANSP Opex (CAR)'!T$110:T$141,'ANSP Opex (CAR)'!$G$110:$G$141,$E120),SUMIFS('[6]ANSP Opex (CA+10% SUs)'!T$110:T$141,'[6]ANSP Opex (CA+10% SUs)'!$G$110:$G$141,$E120))*(M$5/100)</f>
        <v>8625.6280973470039</v>
      </c>
      <c r="N120" s="1033">
        <f>CHOOSE($T$2,SUMIFS('ANSP Opex (CAR-10% SUs)'!U$110:U$141,'ANSP Opex (CAR-10% SUs)'!$G$110:$G$141,$E120),SUMIFS('ANSP Opex (CAR)'!U$110:U$141,'ANSP Opex (CAR)'!$G$110:$G$141,$E120),SUMIFS('[6]ANSP Opex (CA+10% SUs)'!U$110:U$141,'[6]ANSP Opex (CA+10% SUs)'!$G$110:$G$141,$E120))*(N$5/100)</f>
        <v>8791.5740659420644</v>
      </c>
      <c r="O120" s="1031"/>
      <c r="P120" s="1129"/>
      <c r="Q120" s="1031"/>
      <c r="R120" s="1031"/>
      <c r="S120" s="1031"/>
      <c r="T120" s="1031"/>
      <c r="U120" s="1031"/>
      <c r="V120" s="1031"/>
      <c r="W120" s="1031"/>
      <c r="X120" s="1031"/>
    </row>
    <row r="121" spans="3:27">
      <c r="C121" s="1060"/>
      <c r="D121" s="1064">
        <f t="shared" ref="D121:D134" si="19">D120+1</f>
        <v>2</v>
      </c>
      <c r="E121" s="1047" t="str">
        <f>IFERROR(INDEX('ANSP Opex'!$G$108:$G$139,MATCH(D121,'ANSP Opex'!$H$108:$H$139,0)),"")</f>
        <v>Training (Redacted)</v>
      </c>
      <c r="F121" s="14" t="str">
        <f t="shared" ref="F121:F134" si="20">IF(E121="","","€'000")</f>
        <v>€'000</v>
      </c>
      <c r="G121" s="1060"/>
      <c r="H121" s="1060"/>
      <c r="I121" s="1060"/>
      <c r="J121" s="1033">
        <f>CHOOSE($T$2,SUMIFS('ANSP Opex (CAR-10% SUs)'!Q$110:Q$141,'ANSP Opex (CAR-10% SUs)'!$G$110:$G$141,$E121),SUMIFS('ANSP Opex (CAR)'!Q$110:Q$141,'ANSP Opex (CAR)'!$G$110:$G$141,$E121),SUMIFS('[6]ANSP Opex (CA+10% SUs)'!Q$110:Q$141,'[6]ANSP Opex (CA+10% SUs)'!$G$110:$G$141,$E121))*(J$5/100)</f>
        <v>0</v>
      </c>
      <c r="K121" s="1033">
        <f>CHOOSE($T$2,SUMIFS('ANSP Opex (CAR-10% SUs)'!R$110:R$141,'ANSP Opex (CAR-10% SUs)'!$G$110:$G$141,$E121),SUMIFS('ANSP Opex (CAR)'!R$110:R$141,'ANSP Opex (CAR)'!$G$110:$G$141,$E121),SUMIFS('[6]ANSP Opex (CA+10% SUs)'!R$110:R$141,'[6]ANSP Opex (CA+10% SUs)'!$G$110:$G$141,$E121))*(K$5/100)</f>
        <v>0</v>
      </c>
      <c r="L121" s="1033">
        <f>CHOOSE($T$2,SUMIFS('ANSP Opex (CAR-10% SUs)'!S$110:S$141,'ANSP Opex (CAR-10% SUs)'!$G$110:$G$141,$E121),SUMIFS('ANSP Opex (CAR)'!S$110:S$141,'ANSP Opex (CAR)'!$G$110:$G$141,$E121),SUMIFS('[6]ANSP Opex (CA+10% SUs)'!S$110:S$141,'[6]ANSP Opex (CA+10% SUs)'!$G$110:$G$141,$E121))*(L$5/100)</f>
        <v>0</v>
      </c>
      <c r="M121" s="1033">
        <f>CHOOSE($T$2,SUMIFS('ANSP Opex (CAR-10% SUs)'!T$110:T$141,'ANSP Opex (CAR-10% SUs)'!$G$110:$G$141,$E121),SUMIFS('ANSP Opex (CAR)'!T$110:T$141,'ANSP Opex (CAR)'!$G$110:$G$141,$E121),SUMIFS('[6]ANSP Opex (CA+10% SUs)'!T$110:T$141,'[6]ANSP Opex (CA+10% SUs)'!$G$110:$G$141,$E121))*(M$5/100)</f>
        <v>0</v>
      </c>
      <c r="N121" s="1033">
        <f>CHOOSE($T$2,SUMIFS('ANSP Opex (CAR-10% SUs)'!U$110:U$141,'ANSP Opex (CAR-10% SUs)'!$G$110:$G$141,$E121),SUMIFS('ANSP Opex (CAR)'!U$110:U$141,'ANSP Opex (CAR)'!$G$110:$G$141,$E121),SUMIFS('[6]ANSP Opex (CA+10% SUs)'!U$110:U$141,'[6]ANSP Opex (CA+10% SUs)'!$G$110:$G$141,$E121))*(N$5/100)</f>
        <v>0</v>
      </c>
      <c r="O121" s="1031"/>
      <c r="P121" s="1129"/>
      <c r="Q121" s="1031"/>
      <c r="R121" s="1031"/>
      <c r="S121" s="1031"/>
      <c r="T121" s="1031"/>
      <c r="U121" s="1031"/>
      <c r="V121" s="1031"/>
      <c r="W121" s="1031"/>
      <c r="X121" s="1031"/>
    </row>
    <row r="122" spans="3:27">
      <c r="C122" s="1060"/>
      <c r="D122" s="1064">
        <f t="shared" si="19"/>
        <v>3</v>
      </c>
      <c r="E122" s="1047" t="str">
        <f>IFERROR(INDEX('ANSP Opex'!$G$108:$G$139,MATCH(D122,'ANSP Opex'!$H$108:$H$139,0)),"")</f>
        <v>Telecoms (Redacted)</v>
      </c>
      <c r="F122" s="14" t="str">
        <f t="shared" si="20"/>
        <v>€'000</v>
      </c>
      <c r="G122" s="1031"/>
      <c r="H122" s="1031"/>
      <c r="I122" s="1031"/>
      <c r="J122" s="1033">
        <f>CHOOSE($T$2,SUMIFS('ANSP Opex (CAR-10% SUs)'!Q$110:Q$141,'ANSP Opex (CAR-10% SUs)'!$G$110:$G$141,$E122),SUMIFS('ANSP Opex (CAR)'!Q$110:Q$141,'ANSP Opex (CAR)'!$G$110:$G$141,$E122),SUMIFS('[6]ANSP Opex (CA+10% SUs)'!Q$110:Q$141,'[6]ANSP Opex (CA+10% SUs)'!$G$110:$G$141,$E122))*(J$5/100)</f>
        <v>0</v>
      </c>
      <c r="K122" s="1033">
        <f>CHOOSE($T$2,SUMIFS('ANSP Opex (CAR-10% SUs)'!R$110:R$141,'ANSP Opex (CAR-10% SUs)'!$G$110:$G$141,$E122),SUMIFS('ANSP Opex (CAR)'!R$110:R$141,'ANSP Opex (CAR)'!$G$110:$G$141,$E122),SUMIFS('[6]ANSP Opex (CA+10% SUs)'!R$110:R$141,'[6]ANSP Opex (CA+10% SUs)'!$G$110:$G$141,$E122))*(K$5/100)</f>
        <v>0</v>
      </c>
      <c r="L122" s="1033">
        <f>CHOOSE($T$2,SUMIFS('ANSP Opex (CAR-10% SUs)'!S$110:S$141,'ANSP Opex (CAR-10% SUs)'!$G$110:$G$141,$E122),SUMIFS('ANSP Opex (CAR)'!S$110:S$141,'ANSP Opex (CAR)'!$G$110:$G$141,$E122),SUMIFS('[6]ANSP Opex (CA+10% SUs)'!S$110:S$141,'[6]ANSP Opex (CA+10% SUs)'!$G$110:$G$141,$E122))*(L$5/100)</f>
        <v>0</v>
      </c>
      <c r="M122" s="1033">
        <f>CHOOSE($T$2,SUMIFS('ANSP Opex (CAR-10% SUs)'!T$110:T$141,'ANSP Opex (CAR-10% SUs)'!$G$110:$G$141,$E122),SUMIFS('ANSP Opex (CAR)'!T$110:T$141,'ANSP Opex (CAR)'!$G$110:$G$141,$E122),SUMIFS('[6]ANSP Opex (CA+10% SUs)'!T$110:T$141,'[6]ANSP Opex (CA+10% SUs)'!$G$110:$G$141,$E122))*(M$5/100)</f>
        <v>0</v>
      </c>
      <c r="N122" s="1033">
        <f>CHOOSE($T$2,SUMIFS('ANSP Opex (CAR-10% SUs)'!U$110:U$141,'ANSP Opex (CAR-10% SUs)'!$G$110:$G$141,$E122),SUMIFS('ANSP Opex (CAR)'!U$110:U$141,'ANSP Opex (CAR)'!$G$110:$G$141,$E122),SUMIFS('[6]ANSP Opex (CA+10% SUs)'!U$110:U$141,'[6]ANSP Opex (CA+10% SUs)'!$G$110:$G$141,$E122))*(N$5/100)</f>
        <v>0</v>
      </c>
      <c r="O122" s="1031"/>
      <c r="P122" s="1129"/>
      <c r="Q122" s="1031"/>
      <c r="R122" s="1031"/>
      <c r="S122" s="1031"/>
      <c r="T122" s="1031"/>
      <c r="U122" s="1031"/>
      <c r="V122" s="1031"/>
      <c r="W122" s="1031"/>
      <c r="X122" s="1031"/>
    </row>
    <row r="123" spans="3:27">
      <c r="C123" s="1060"/>
      <c r="D123" s="1064">
        <f t="shared" si="19"/>
        <v>4</v>
      </c>
      <c r="E123" s="1047" t="str">
        <f>IFERROR(INDEX('ANSP Opex'!$G$108:$G$139,MATCH(D123,'ANSP Opex'!$H$108:$H$139,0)),"")</f>
        <v>Operational</v>
      </c>
      <c r="F123" s="14" t="str">
        <f t="shared" si="20"/>
        <v>€'000</v>
      </c>
      <c r="G123" s="1031"/>
      <c r="H123" s="1031"/>
      <c r="I123" s="1031"/>
      <c r="J123" s="1033">
        <f>CHOOSE($T$2,SUMIFS('ANSP Opex (CAR-10% SUs)'!Q$110:Q$141,'ANSP Opex (CAR-10% SUs)'!$G$110:$G$141,$E123),SUMIFS('ANSP Opex (CAR)'!Q$110:Q$141,'ANSP Opex (CAR)'!$G$110:$G$141,$E123),SUMIFS('[6]ANSP Opex (CA+10% SUs)'!Q$110:Q$141,'[6]ANSP Opex (CA+10% SUs)'!$G$110:$G$141,$E123))*(J$5/100)</f>
        <v>5401.285237447998</v>
      </c>
      <c r="K123" s="1033">
        <f>CHOOSE($T$2,SUMIFS('ANSP Opex (CAR-10% SUs)'!R$110:R$141,'ANSP Opex (CAR-10% SUs)'!$G$110:$G$141,$E123),SUMIFS('ANSP Opex (CAR)'!R$110:R$141,'ANSP Opex (CAR)'!$G$110:$G$141,$E123),SUMIFS('[6]ANSP Opex (CA+10% SUs)'!R$110:R$141,'[6]ANSP Opex (CA+10% SUs)'!$G$110:$G$141,$E123))*(K$5/100)</f>
        <v>5938.0450815370878</v>
      </c>
      <c r="L123" s="1033">
        <f>CHOOSE($T$2,SUMIFS('ANSP Opex (CAR-10% SUs)'!S$110:S$141,'ANSP Opex (CAR-10% SUs)'!$G$110:$G$141,$E123),SUMIFS('ANSP Opex (CAR)'!S$110:S$141,'ANSP Opex (CAR)'!$G$110:$G$141,$E123),SUMIFS('[6]ANSP Opex (CA+10% SUs)'!S$110:S$141,'[6]ANSP Opex (CA+10% SUs)'!$G$110:$G$141,$E123))*(L$5/100)</f>
        <v>7063.9343240019798</v>
      </c>
      <c r="M123" s="1033">
        <f>CHOOSE($T$2,SUMIFS('ANSP Opex (CAR-10% SUs)'!T$110:T$141,'ANSP Opex (CAR-10% SUs)'!$G$110:$G$141,$E123),SUMIFS('ANSP Opex (CAR)'!T$110:T$141,'ANSP Opex (CAR)'!$G$110:$G$141,$E123),SUMIFS('[6]ANSP Opex (CA+10% SUs)'!T$110:T$141,'[6]ANSP Opex (CA+10% SUs)'!$G$110:$G$141,$E123))*(M$5/100)</f>
        <v>7146.3105608183787</v>
      </c>
      <c r="N123" s="1033">
        <f>CHOOSE($T$2,SUMIFS('ANSP Opex (CAR-10% SUs)'!U$110:U$141,'ANSP Opex (CAR-10% SUs)'!$G$110:$G$141,$E123),SUMIFS('ANSP Opex (CAR)'!U$110:U$141,'ANSP Opex (CAR)'!$G$110:$G$141,$E123),SUMIFS('[6]ANSP Opex (CA+10% SUs)'!U$110:U$141,'[6]ANSP Opex (CA+10% SUs)'!$G$110:$G$141,$E123))*(N$5/100)</f>
        <v>7224.9306705558974</v>
      </c>
      <c r="O123" s="1031"/>
      <c r="P123" s="1129"/>
      <c r="Q123" s="1031"/>
      <c r="R123" s="1031"/>
      <c r="S123" s="1031"/>
      <c r="T123" s="1031"/>
      <c r="U123" s="1031"/>
      <c r="V123" s="1031"/>
      <c r="W123" s="1031"/>
      <c r="X123" s="1031"/>
    </row>
    <row r="124" spans="3:27">
      <c r="C124" s="1060"/>
      <c r="D124" s="1064">
        <f t="shared" si="19"/>
        <v>5</v>
      </c>
      <c r="E124" s="1047" t="str">
        <f>IFERROR(INDEX('ANSP Opex'!$G$108:$G$139,MATCH(D124,'ANSP Opex'!$H$108:$H$139,0)),"")</f>
        <v>Rent &amp; Rates</v>
      </c>
      <c r="F124" s="14" t="str">
        <f t="shared" si="20"/>
        <v>€'000</v>
      </c>
      <c r="G124" s="1031"/>
      <c r="H124" s="1031"/>
      <c r="I124" s="1031"/>
      <c r="J124" s="1033">
        <f>CHOOSE($T$2,SUMIFS('ANSP Opex (CAR-10% SUs)'!Q$110:Q$141,'ANSP Opex (CAR-10% SUs)'!$G$110:$G$141,$E124),SUMIFS('ANSP Opex (CAR)'!Q$110:Q$141,'ANSP Opex (CAR)'!$G$110:$G$141,$E124),SUMIFS('[6]ANSP Opex (CA+10% SUs)'!Q$110:Q$141,'[6]ANSP Opex (CA+10% SUs)'!$G$110:$G$141,$E124))*(J$5/100)</f>
        <v>2230.890276185999</v>
      </c>
      <c r="K124" s="1033">
        <f>CHOOSE($T$2,SUMIFS('ANSP Opex (CAR-10% SUs)'!R$110:R$141,'ANSP Opex (CAR-10% SUs)'!$G$110:$G$141,$E124),SUMIFS('ANSP Opex (CAR)'!R$110:R$141,'ANSP Opex (CAR)'!$G$110:$G$141,$E124),SUMIFS('[6]ANSP Opex (CA+10% SUs)'!R$110:R$141,'[6]ANSP Opex (CA+10% SUs)'!$G$110:$G$141,$E124))*(K$5/100)</f>
        <v>2452.5879396464161</v>
      </c>
      <c r="L124" s="1033">
        <f>CHOOSE($T$2,SUMIFS('ANSP Opex (CAR-10% SUs)'!S$110:S$141,'ANSP Opex (CAR-10% SUs)'!$G$110:$G$141,$E124),SUMIFS('ANSP Opex (CAR)'!S$110:S$141,'ANSP Opex (CAR)'!$G$110:$G$141,$E124),SUMIFS('[6]ANSP Opex (CA+10% SUs)'!S$110:S$141,'[6]ANSP Opex (CA+10% SUs)'!$G$110:$G$141,$E124))*(L$5/100)</f>
        <v>2707.6783429032471</v>
      </c>
      <c r="M124" s="1033">
        <f>CHOOSE($T$2,SUMIFS('ANSP Opex (CAR-10% SUs)'!T$110:T$141,'ANSP Opex (CAR-10% SUs)'!$G$110:$G$141,$E124),SUMIFS('ANSP Opex (CAR)'!T$110:T$141,'ANSP Opex (CAR)'!$G$110:$G$141,$E124),SUMIFS('[6]ANSP Opex (CA+10% SUs)'!T$110:T$141,'[6]ANSP Opex (CA+10% SUs)'!$G$110:$G$141,$E124))*(M$5/100)</f>
        <v>2761.8319097613125</v>
      </c>
      <c r="N124" s="1033">
        <f>CHOOSE($T$2,SUMIFS('ANSP Opex (CAR-10% SUs)'!U$110:U$141,'ANSP Opex (CAR-10% SUs)'!$G$110:$G$141,$E124),SUMIFS('ANSP Opex (CAR)'!U$110:U$141,'ANSP Opex (CAR)'!$G$110:$G$141,$E124),SUMIFS('[6]ANSP Opex (CA+10% SUs)'!U$110:U$141,'[6]ANSP Opex (CA+10% SUs)'!$G$110:$G$141,$E124))*(N$5/100)</f>
        <v>2817.0685479565386</v>
      </c>
      <c r="O124" s="1031"/>
      <c r="P124" s="1129"/>
      <c r="Q124" s="1031"/>
      <c r="R124" s="1031"/>
      <c r="S124" s="1031"/>
      <c r="T124" s="1031"/>
      <c r="U124" s="1031"/>
      <c r="V124" s="1031"/>
      <c r="W124" s="1031"/>
      <c r="X124" s="1031"/>
    </row>
    <row r="125" spans="3:27">
      <c r="C125" s="1060"/>
      <c r="D125" s="1064">
        <f t="shared" si="19"/>
        <v>6</v>
      </c>
      <c r="E125" s="1047" t="str">
        <f>IFERROR(INDEX('ANSP Opex'!$G$108:$G$139,MATCH(D125,'ANSP Opex'!$H$108:$H$139,0)),"")</f>
        <v>Computing</v>
      </c>
      <c r="F125" s="14" t="str">
        <f t="shared" si="20"/>
        <v>€'000</v>
      </c>
      <c r="G125" s="1031"/>
      <c r="H125" s="1031"/>
      <c r="I125" s="1031"/>
      <c r="J125" s="1033">
        <f>CHOOSE($T$2,SUMIFS('ANSP Opex (CAR-10% SUs)'!Q$110:Q$141,'ANSP Opex (CAR-10% SUs)'!$G$110:$G$141,$E125),SUMIFS('ANSP Opex (CAR)'!Q$110:Q$141,'ANSP Opex (CAR)'!$G$110:$G$141,$E125),SUMIFS('[6]ANSP Opex (CA+10% SUs)'!Q$110:Q$141,'[6]ANSP Opex (CA+10% SUs)'!$G$110:$G$141,$E125))*(J$5/100)</f>
        <v>1438.7248867399996</v>
      </c>
      <c r="K125" s="1033">
        <f>CHOOSE($T$2,SUMIFS('ANSP Opex (CAR-10% SUs)'!R$110:R$141,'ANSP Opex (CAR-10% SUs)'!$G$110:$G$141,$E125),SUMIFS('ANSP Opex (CAR)'!R$110:R$141,'ANSP Opex (CAR)'!$G$110:$G$141,$E125),SUMIFS('[6]ANSP Opex (CA+10% SUs)'!R$110:R$141,'[6]ANSP Opex (CA+10% SUs)'!$G$110:$G$141,$E125))*(K$5/100)</f>
        <v>1581.70006985744</v>
      </c>
      <c r="L125" s="1033">
        <f>CHOOSE($T$2,SUMIFS('ANSP Opex (CAR-10% SUs)'!S$110:S$141,'ANSP Opex (CAR-10% SUs)'!$G$110:$G$141,$E125),SUMIFS('ANSP Opex (CAR)'!S$110:S$141,'ANSP Opex (CAR)'!$G$110:$G$141,$E125),SUMIFS('[6]ANSP Opex (CA+10% SUs)'!S$110:S$141,'[6]ANSP Opex (CA+10% SUs)'!$G$110:$G$141,$E125))*(L$5/100)</f>
        <v>1629.0398559894209</v>
      </c>
      <c r="M125" s="1033">
        <f>CHOOSE($T$2,SUMIFS('ANSP Opex (CAR-10% SUs)'!T$110:T$141,'ANSP Opex (CAR-10% SUs)'!$G$110:$G$141,$E125),SUMIFS('ANSP Opex (CAR)'!T$110:T$141,'ANSP Opex (CAR)'!$G$110:$G$141,$E125),SUMIFS('[6]ANSP Opex (CA+10% SUs)'!T$110:T$141,'[6]ANSP Opex (CA+10% SUs)'!$G$110:$G$141,$E125))*(M$5/100)</f>
        <v>1730.744026784507</v>
      </c>
      <c r="N125" s="1033">
        <f>CHOOSE($T$2,SUMIFS('ANSP Opex (CAR-10% SUs)'!U$110:U$141,'ANSP Opex (CAR-10% SUs)'!$G$110:$G$141,$E125),SUMIFS('ANSP Opex (CAR)'!U$110:U$141,'ANSP Opex (CAR)'!$G$110:$G$141,$E125),SUMIFS('[6]ANSP Opex (CA+10% SUs)'!U$110:U$141,'[6]ANSP Opex (CA+10% SUs)'!$G$110:$G$141,$E125))*(N$5/100)</f>
        <v>1842.5051065528669</v>
      </c>
      <c r="O125" s="1031"/>
      <c r="P125" s="1129"/>
      <c r="Q125" s="1031"/>
      <c r="R125" s="1031"/>
      <c r="S125" s="1031"/>
      <c r="T125" s="1031"/>
      <c r="U125" s="1031"/>
      <c r="V125" s="1031"/>
      <c r="W125" s="1031"/>
      <c r="X125" s="1031"/>
    </row>
    <row r="126" spans="3:27">
      <c r="C126" s="1060"/>
      <c r="D126" s="1064">
        <f t="shared" si="19"/>
        <v>7</v>
      </c>
      <c r="E126" s="1047" t="str">
        <f>IFERROR(INDEX('ANSP Opex'!$G$108:$G$139,MATCH(D126,'ANSP Opex'!$H$108:$H$139,0)),"")</f>
        <v>Consultancy</v>
      </c>
      <c r="F126" s="14" t="str">
        <f t="shared" si="20"/>
        <v>€'000</v>
      </c>
      <c r="G126" s="1031"/>
      <c r="H126" s="1031"/>
      <c r="I126" s="1031"/>
      <c r="J126" s="1033">
        <f>CHOOSE($T$2,SUMIFS('ANSP Opex (CAR-10% SUs)'!Q$110:Q$141,'ANSP Opex (CAR-10% SUs)'!$G$110:$G$141,$E126),SUMIFS('ANSP Opex (CAR)'!Q$110:Q$141,'ANSP Opex (CAR)'!$G$110:$G$141,$E126),SUMIFS('[6]ANSP Opex (CA+10% SUs)'!Q$110:Q$141,'[6]ANSP Opex (CA+10% SUs)'!$G$110:$G$141,$E126))*(J$5/100)</f>
        <v>877.96886160699978</v>
      </c>
      <c r="K126" s="1033">
        <f>CHOOSE($T$2,SUMIFS('ANSP Opex (CAR-10% SUs)'!R$110:R$141,'ANSP Opex (CAR-10% SUs)'!$G$110:$G$141,$E126),SUMIFS('ANSP Opex (CAR)'!R$110:R$141,'ANSP Opex (CAR)'!$G$110:$G$141,$E126),SUMIFS('[6]ANSP Opex (CA+10% SUs)'!R$110:R$141,'[6]ANSP Opex (CA+10% SUs)'!$G$110:$G$141,$E126))*(K$5/100)</f>
        <v>965.21817515999192</v>
      </c>
      <c r="L126" s="1033">
        <f>CHOOSE($T$2,SUMIFS('ANSP Opex (CAR-10% SUs)'!S$110:S$141,'ANSP Opex (CAR-10% SUs)'!$G$110:$G$141,$E126),SUMIFS('ANSP Opex (CAR)'!S$110:S$141,'ANSP Opex (CAR)'!$G$110:$G$141,$E126),SUMIFS('[6]ANSP Opex (CA+10% SUs)'!S$110:S$141,'[6]ANSP Opex (CA+10% SUs)'!$G$110:$G$141,$E126))*(L$5/100)</f>
        <v>1065.6092312979756</v>
      </c>
      <c r="M126" s="1033">
        <f>CHOOSE($T$2,SUMIFS('ANSP Opex (CAR-10% SUs)'!T$110:T$141,'ANSP Opex (CAR-10% SUs)'!$G$110:$G$141,$E126),SUMIFS('ANSP Opex (CAR)'!T$110:T$141,'ANSP Opex (CAR)'!$G$110:$G$141,$E126),SUMIFS('[6]ANSP Opex (CA+10% SUs)'!T$110:T$141,'[6]ANSP Opex (CA+10% SUs)'!$G$110:$G$141,$E126))*(M$5/100)</f>
        <v>1086.9214159239352</v>
      </c>
      <c r="N126" s="1033">
        <f>CHOOSE($T$2,SUMIFS('ANSP Opex (CAR-10% SUs)'!U$110:U$141,'ANSP Opex (CAR-10% SUs)'!$G$110:$G$141,$E126),SUMIFS('ANSP Opex (CAR)'!U$110:U$141,'ANSP Opex (CAR)'!$G$110:$G$141,$E126),SUMIFS('[6]ANSP Opex (CA+10% SUs)'!U$110:U$141,'[6]ANSP Opex (CA+10% SUs)'!$G$110:$G$141,$E126))*(N$5/100)</f>
        <v>1108.659844242414</v>
      </c>
      <c r="O126" s="1031"/>
      <c r="P126" s="1129"/>
      <c r="Q126" s="1031"/>
      <c r="R126" s="1031"/>
      <c r="S126" s="1031"/>
      <c r="T126" s="1031"/>
      <c r="U126" s="1031"/>
      <c r="V126" s="1031"/>
      <c r="W126" s="1031"/>
      <c r="X126" s="1031"/>
    </row>
    <row r="127" spans="3:27">
      <c r="C127" s="1060"/>
      <c r="D127" s="1064">
        <f t="shared" si="19"/>
        <v>8</v>
      </c>
      <c r="E127" s="1047" t="str">
        <f>IFERROR(INDEX('ANSP Opex'!$G$108:$G$139,MATCH(D127,'ANSP Opex'!$H$108:$H$139,0)),"")</f>
        <v>Insurance (Redacted)</v>
      </c>
      <c r="F127" s="14" t="str">
        <f t="shared" si="20"/>
        <v>€'000</v>
      </c>
      <c r="G127" s="1031"/>
      <c r="H127" s="1031"/>
      <c r="I127" s="1031"/>
      <c r="J127" s="1033">
        <f>CHOOSE($T$2,SUMIFS('ANSP Opex (CAR-10% SUs)'!Q$110:Q$141,'ANSP Opex (CAR-10% SUs)'!$G$110:$G$141,$E127),SUMIFS('ANSP Opex (CAR)'!Q$110:Q$141,'ANSP Opex (CAR)'!$G$110:$G$141,$E127),SUMIFS('[6]ANSP Opex (CA+10% SUs)'!Q$110:Q$141,'[6]ANSP Opex (CA+10% SUs)'!$G$110:$G$141,$E127))*(J$5/100)</f>
        <v>0</v>
      </c>
      <c r="K127" s="1033">
        <f>CHOOSE($T$2,SUMIFS('ANSP Opex (CAR-10% SUs)'!R$110:R$141,'ANSP Opex (CAR-10% SUs)'!$G$110:$G$141,$E127),SUMIFS('ANSP Opex (CAR)'!R$110:R$141,'ANSP Opex (CAR)'!$G$110:$G$141,$E127),SUMIFS('[6]ANSP Opex (CA+10% SUs)'!R$110:R$141,'[6]ANSP Opex (CA+10% SUs)'!$G$110:$G$141,$E127))*(K$5/100)</f>
        <v>0</v>
      </c>
      <c r="L127" s="1033">
        <f>CHOOSE($T$2,SUMIFS('ANSP Opex (CAR-10% SUs)'!S$110:S$141,'ANSP Opex (CAR-10% SUs)'!$G$110:$G$141,$E127),SUMIFS('ANSP Opex (CAR)'!S$110:S$141,'ANSP Opex (CAR)'!$G$110:$G$141,$E127),SUMIFS('[6]ANSP Opex (CA+10% SUs)'!S$110:S$141,'[6]ANSP Opex (CA+10% SUs)'!$G$110:$G$141,$E127))*(L$5/100)</f>
        <v>0</v>
      </c>
      <c r="M127" s="1033">
        <f>CHOOSE($T$2,SUMIFS('ANSP Opex (CAR-10% SUs)'!T$110:T$141,'ANSP Opex (CAR-10% SUs)'!$G$110:$G$141,$E127),SUMIFS('ANSP Opex (CAR)'!T$110:T$141,'ANSP Opex (CAR)'!$G$110:$G$141,$E127),SUMIFS('[6]ANSP Opex (CA+10% SUs)'!T$110:T$141,'[6]ANSP Opex (CA+10% SUs)'!$G$110:$G$141,$E127))*(M$5/100)</f>
        <v>0</v>
      </c>
      <c r="N127" s="1033">
        <f>CHOOSE($T$2,SUMIFS('ANSP Opex (CAR-10% SUs)'!U$110:U$141,'ANSP Opex (CAR-10% SUs)'!$G$110:$G$141,$E127),SUMIFS('ANSP Opex (CAR)'!U$110:U$141,'ANSP Opex (CAR)'!$G$110:$G$141,$E127),SUMIFS('[6]ANSP Opex (CA+10% SUs)'!U$110:U$141,'[6]ANSP Opex (CA+10% SUs)'!$G$110:$G$141,$E127))*(N$5/100)</f>
        <v>0</v>
      </c>
      <c r="O127" s="1031"/>
      <c r="P127" s="1129"/>
      <c r="Q127" s="1031"/>
      <c r="R127" s="1031"/>
      <c r="S127" s="1031"/>
      <c r="T127" s="1031"/>
      <c r="U127" s="1031"/>
      <c r="V127" s="1031"/>
      <c r="W127" s="1031"/>
      <c r="X127" s="1031"/>
    </row>
    <row r="128" spans="3:27">
      <c r="C128" s="1060"/>
      <c r="D128" s="1064">
        <f t="shared" si="19"/>
        <v>9</v>
      </c>
      <c r="E128" s="1047" t="str">
        <f>IFERROR(INDEX('ANSP Opex'!$G$108:$G$139,MATCH(D128,'ANSP Opex'!$H$108:$H$139,0)),"")</f>
        <v>Building Repairs</v>
      </c>
      <c r="F128" s="14" t="str">
        <f t="shared" si="20"/>
        <v>€'000</v>
      </c>
      <c r="G128" s="1031"/>
      <c r="H128" s="1031"/>
      <c r="I128" s="1031"/>
      <c r="J128" s="1033">
        <f>CHOOSE($T$2,SUMIFS('ANSP Opex (CAR-10% SUs)'!Q$110:Q$141,'ANSP Opex (CAR-10% SUs)'!$G$110:$G$141,$E128),SUMIFS('ANSP Opex (CAR)'!Q$110:Q$141,'ANSP Opex (CAR)'!$G$110:$G$141,$E128),SUMIFS('[6]ANSP Opex (CA+10% SUs)'!Q$110:Q$141,'[6]ANSP Opex (CA+10% SUs)'!$G$110:$G$141,$E128))*(J$5/100)</f>
        <v>822.49995031099968</v>
      </c>
      <c r="K128" s="1033">
        <f>CHOOSE($T$2,SUMIFS('ANSP Opex (CAR-10% SUs)'!R$110:R$141,'ANSP Opex (CAR-10% SUs)'!$G$110:$G$141,$E128),SUMIFS('ANSP Opex (CAR)'!R$110:R$141,'ANSP Opex (CAR)'!$G$110:$G$141,$E128),SUMIFS('[6]ANSP Opex (CA+10% SUs)'!R$110:R$141,'[6]ANSP Opex (CA+10% SUs)'!$G$110:$G$141,$E128))*(K$5/100)</f>
        <v>904.2369676474159</v>
      </c>
      <c r="L128" s="1033">
        <f>CHOOSE($T$2,SUMIFS('ANSP Opex (CAR-10% SUs)'!S$110:S$141,'ANSP Opex (CAR-10% SUs)'!$G$110:$G$141,$E128),SUMIFS('ANSP Opex (CAR)'!S$110:S$141,'ANSP Opex (CAR)'!$G$110:$G$141,$E128),SUMIFS('[6]ANSP Opex (CA+10% SUs)'!S$110:S$141,'[6]ANSP Opex (CA+10% SUs)'!$G$110:$G$141,$E128))*(L$5/100)</f>
        <v>918.42261368374784</v>
      </c>
      <c r="M128" s="1033">
        <f>CHOOSE($T$2,SUMIFS('ANSP Opex (CAR-10% SUs)'!T$110:T$141,'ANSP Opex (CAR-10% SUs)'!$G$110:$G$141,$E128),SUMIFS('ANSP Opex (CAR)'!T$110:T$141,'ANSP Opex (CAR)'!$G$110:$G$141,$E128),SUMIFS('[6]ANSP Opex (CA+10% SUs)'!T$110:T$141,'[6]ANSP Opex (CA+10% SUs)'!$G$110:$G$141,$E128))*(M$5/100)</f>
        <v>919.92886968910011</v>
      </c>
      <c r="N128" s="1033">
        <f>CHOOSE($T$2,SUMIFS('ANSP Opex (CAR-10% SUs)'!U$110:U$141,'ANSP Opex (CAR-10% SUs)'!$G$110:$G$141,$E128),SUMIFS('ANSP Opex (CAR)'!U$110:U$141,'ANSP Opex (CAR)'!$G$110:$G$141,$E128),SUMIFS('[6]ANSP Opex (CA+10% SUs)'!U$110:U$141,'[6]ANSP Opex (CA+10% SUs)'!$G$110:$G$141,$E128))*(N$5/100)</f>
        <v>923.3141352592562</v>
      </c>
      <c r="O128" s="1031"/>
      <c r="P128" s="1129"/>
      <c r="Q128" s="1031"/>
      <c r="R128" s="1031"/>
      <c r="S128" s="1031"/>
      <c r="T128" s="1031"/>
      <c r="U128" s="1031"/>
      <c r="V128" s="1031"/>
      <c r="W128" s="1031"/>
      <c r="X128" s="1031"/>
    </row>
    <row r="129" spans="3:27">
      <c r="C129" s="1060"/>
      <c r="D129" s="1064">
        <f t="shared" si="19"/>
        <v>10</v>
      </c>
      <c r="E129" s="1047" t="str">
        <f>IFERROR(INDEX('ANSP Opex'!$G$108:$G$139,MATCH(D129,'ANSP Opex'!$H$108:$H$139,0)),"")</f>
        <v>Security (Redacted)</v>
      </c>
      <c r="F129" s="14" t="str">
        <f t="shared" si="20"/>
        <v>€'000</v>
      </c>
      <c r="G129" s="1031"/>
      <c r="H129" s="1031"/>
      <c r="I129" s="1031"/>
      <c r="J129" s="1033">
        <f>CHOOSE($T$2,SUMIFS('ANSP Opex (CAR-10% SUs)'!Q$110:Q$141,'ANSP Opex (CAR-10% SUs)'!$G$110:$G$141,$E129),SUMIFS('ANSP Opex (CAR)'!Q$110:Q$141,'ANSP Opex (CAR)'!$G$110:$G$141,$E129),SUMIFS('[6]ANSP Opex (CA+10% SUs)'!Q$110:Q$141,'[6]ANSP Opex (CA+10% SUs)'!$G$110:$G$141,$E129))*(J$5/100)</f>
        <v>0</v>
      </c>
      <c r="K129" s="1033">
        <f>CHOOSE($T$2,SUMIFS('ANSP Opex (CAR-10% SUs)'!R$110:R$141,'ANSP Opex (CAR-10% SUs)'!$G$110:$G$141,$E129),SUMIFS('ANSP Opex (CAR)'!R$110:R$141,'ANSP Opex (CAR)'!$G$110:$G$141,$E129),SUMIFS('[6]ANSP Opex (CA+10% SUs)'!R$110:R$141,'[6]ANSP Opex (CA+10% SUs)'!$G$110:$G$141,$E129))*(K$5/100)</f>
        <v>0</v>
      </c>
      <c r="L129" s="1033">
        <f>CHOOSE($T$2,SUMIFS('ANSP Opex (CAR-10% SUs)'!S$110:S$141,'ANSP Opex (CAR-10% SUs)'!$G$110:$G$141,$E129),SUMIFS('ANSP Opex (CAR)'!S$110:S$141,'ANSP Opex (CAR)'!$G$110:$G$141,$E129),SUMIFS('[6]ANSP Opex (CA+10% SUs)'!S$110:S$141,'[6]ANSP Opex (CA+10% SUs)'!$G$110:$G$141,$E129))*(L$5/100)</f>
        <v>0</v>
      </c>
      <c r="M129" s="1033">
        <f>CHOOSE($T$2,SUMIFS('ANSP Opex (CAR-10% SUs)'!T$110:T$141,'ANSP Opex (CAR-10% SUs)'!$G$110:$G$141,$E129),SUMIFS('ANSP Opex (CAR)'!T$110:T$141,'ANSP Opex (CAR)'!$G$110:$G$141,$E129),SUMIFS('[6]ANSP Opex (CA+10% SUs)'!T$110:T$141,'[6]ANSP Opex (CA+10% SUs)'!$G$110:$G$141,$E129))*(M$5/100)</f>
        <v>0</v>
      </c>
      <c r="N129" s="1033">
        <f>CHOOSE($T$2,SUMIFS('ANSP Opex (CAR-10% SUs)'!U$110:U$141,'ANSP Opex (CAR-10% SUs)'!$G$110:$G$141,$E129),SUMIFS('ANSP Opex (CAR)'!U$110:U$141,'ANSP Opex (CAR)'!$G$110:$G$141,$E129),SUMIFS('[6]ANSP Opex (CA+10% SUs)'!U$110:U$141,'[6]ANSP Opex (CA+10% SUs)'!$G$110:$G$141,$E129))*(N$5/100)</f>
        <v>0</v>
      </c>
      <c r="O129" s="1031"/>
      <c r="P129" s="1129"/>
      <c r="Q129" s="1031"/>
      <c r="R129" s="1031"/>
      <c r="S129" s="1031"/>
      <c r="T129" s="1031"/>
      <c r="U129" s="1031"/>
      <c r="V129" s="1031"/>
      <c r="W129" s="1031"/>
      <c r="X129" s="1031"/>
    </row>
    <row r="130" spans="3:27">
      <c r="C130" s="1060"/>
      <c r="D130" s="1064">
        <f t="shared" si="19"/>
        <v>11</v>
      </c>
      <c r="E130" s="1047" t="str">
        <f>IFERROR(INDEX('ANSP Opex'!$G$108:$G$139,MATCH(D130,'ANSP Opex'!$H$108:$H$139,0)),"")</f>
        <v>Redacted</v>
      </c>
      <c r="F130" s="14" t="str">
        <f t="shared" si="20"/>
        <v>€'000</v>
      </c>
      <c r="G130" s="1031"/>
      <c r="H130" s="1031"/>
      <c r="I130" s="1031"/>
      <c r="J130" s="1033">
        <f>CHOOSE($T$2,SUMIFS('ANSP Opex (CAR-10% SUs)'!Q$110:Q$141,'ANSP Opex (CAR-10% SUs)'!$G$110:$G$141,$E130),SUMIFS('ANSP Opex (CAR)'!Q$110:Q$141,'ANSP Opex (CAR)'!$G$110:$G$141,$E130),SUMIFS('[6]ANSP Opex (CA+10% SUs)'!Q$110:Q$141,'[6]ANSP Opex (CA+10% SUs)'!$G$110:$G$141,$E130))*(J$5/100)</f>
        <v>10260.881888020996</v>
      </c>
      <c r="K130" s="1033">
        <f>CHOOSE($T$2,SUMIFS('ANSP Opex (CAR-10% SUs)'!R$110:R$141,'ANSP Opex (CAR-10% SUs)'!$G$110:$G$141,$E130),SUMIFS('ANSP Opex (CAR)'!R$110:R$141,'ANSP Opex (CAR)'!$G$110:$G$141,$E130),SUMIFS('[6]ANSP Opex (CA+10% SUs)'!R$110:R$141,'[6]ANSP Opex (CA+10% SUs)'!$G$110:$G$141,$E130))*(K$5/100)</f>
        <v>11280.570558459176</v>
      </c>
      <c r="L130" s="1033">
        <f>CHOOSE($T$2,SUMIFS('ANSP Opex (CAR-10% SUs)'!S$110:S$141,'ANSP Opex (CAR-10% SUs)'!$G$110:$G$141,$E130),SUMIFS('ANSP Opex (CAR)'!S$110:S$141,'ANSP Opex (CAR)'!$G$110:$G$141,$E130),SUMIFS('[6]ANSP Opex (CA+10% SUs)'!S$110:S$141,'[6]ANSP Opex (CA+10% SUs)'!$G$110:$G$141,$E130))*(L$5/100)</f>
        <v>12125.636344622439</v>
      </c>
      <c r="M130" s="1033">
        <f>CHOOSE($T$2,SUMIFS('ANSP Opex (CAR-10% SUs)'!T$110:T$141,'ANSP Opex (CAR-10% SUs)'!$G$110:$G$141,$E130),SUMIFS('ANSP Opex (CAR)'!T$110:T$141,'ANSP Opex (CAR)'!$G$110:$G$141,$E130),SUMIFS('[6]ANSP Opex (CA+10% SUs)'!T$110:T$141,'[6]ANSP Opex (CA+10% SUs)'!$G$110:$G$141,$E130))*(M$5/100)</f>
        <v>13728.659874040963</v>
      </c>
      <c r="N130" s="1033">
        <f>CHOOSE($T$2,SUMIFS('ANSP Opex (CAR-10% SUs)'!U$110:U$141,'ANSP Opex (CAR-10% SUs)'!$G$110:$G$141,$E130),SUMIFS('ANSP Opex (CAR)'!U$110:U$141,'ANSP Opex (CAR)'!$G$110:$G$141,$E130),SUMIFS('[6]ANSP Opex (CA+10% SUs)'!U$110:U$141,'[6]ANSP Opex (CA+10% SUs)'!$G$110:$G$141,$E130))*(N$5/100)</f>
        <v>14706.004557431803</v>
      </c>
      <c r="O130" s="1031"/>
      <c r="P130" s="1129"/>
      <c r="Q130" s="1031"/>
      <c r="R130" s="1031"/>
      <c r="S130" s="1031"/>
      <c r="T130" s="1031"/>
      <c r="U130" s="1031"/>
      <c r="V130" s="1031"/>
      <c r="W130" s="1031"/>
      <c r="X130" s="1031"/>
    </row>
    <row r="131" spans="3:27">
      <c r="C131" s="1060"/>
      <c r="D131" s="1064">
        <f t="shared" si="19"/>
        <v>12</v>
      </c>
      <c r="E131" s="1047"/>
      <c r="F131" s="14" t="str">
        <f t="shared" si="20"/>
        <v/>
      </c>
      <c r="G131" s="1031"/>
      <c r="H131" s="1031"/>
      <c r="I131" s="1031"/>
      <c r="J131" s="1033">
        <f>CHOOSE($T$2,SUMIFS('ANSP Opex (CAR-10% SUs)'!Q$110:Q$141,'ANSP Opex (CAR-10% SUs)'!$G$110:$G$141,$E131),SUMIFS('ANSP Opex (CAR)'!Q$110:Q$141,'ANSP Opex (CAR)'!$G$110:$G$141,$E131),SUMIFS('[6]ANSP Opex (CA+10% SUs)'!Q$110:Q$141,'[6]ANSP Opex (CA+10% SUs)'!$G$110:$G$141,$E131))*(J$5/100)</f>
        <v>0</v>
      </c>
      <c r="K131" s="1033">
        <f>CHOOSE($T$2,SUMIFS('ANSP Opex (CAR-10% SUs)'!R$110:R$141,'ANSP Opex (CAR-10% SUs)'!$G$110:$G$141,$E131),SUMIFS('ANSP Opex (CAR)'!R$110:R$141,'ANSP Opex (CAR)'!$G$110:$G$141,$E131),SUMIFS('[6]ANSP Opex (CA+10% SUs)'!R$110:R$141,'[6]ANSP Opex (CA+10% SUs)'!$G$110:$G$141,$E131))*(K$5/100)</f>
        <v>0</v>
      </c>
      <c r="L131" s="1033">
        <f>CHOOSE($T$2,SUMIFS('ANSP Opex (CAR-10% SUs)'!S$110:S$141,'ANSP Opex (CAR-10% SUs)'!$G$110:$G$141,$E131),SUMIFS('ANSP Opex (CAR)'!S$110:S$141,'ANSP Opex (CAR)'!$G$110:$G$141,$E131),SUMIFS('[6]ANSP Opex (CA+10% SUs)'!S$110:S$141,'[6]ANSP Opex (CA+10% SUs)'!$G$110:$G$141,$E131))*(L$5/100)</f>
        <v>0</v>
      </c>
      <c r="M131" s="1033">
        <f>CHOOSE($T$2,SUMIFS('ANSP Opex (CAR-10% SUs)'!T$110:T$141,'ANSP Opex (CAR-10% SUs)'!$G$110:$G$141,$E131),SUMIFS('ANSP Opex (CAR)'!T$110:T$141,'ANSP Opex (CAR)'!$G$110:$G$141,$E131),SUMIFS('[6]ANSP Opex (CA+10% SUs)'!T$110:T$141,'[6]ANSP Opex (CA+10% SUs)'!$G$110:$G$141,$E131))*(M$5/100)</f>
        <v>0</v>
      </c>
      <c r="N131" s="1033">
        <f>CHOOSE($T$2,SUMIFS('ANSP Opex (CAR-10% SUs)'!U$110:U$141,'ANSP Opex (CAR-10% SUs)'!$G$110:$G$141,$E131),SUMIFS('ANSP Opex (CAR)'!U$110:U$141,'ANSP Opex (CAR)'!$G$110:$G$141,$E131),SUMIFS('[6]ANSP Opex (CA+10% SUs)'!U$110:U$141,'[6]ANSP Opex (CA+10% SUs)'!$G$110:$G$141,$E131))*(N$5/100)</f>
        <v>0</v>
      </c>
      <c r="O131" s="1031"/>
      <c r="P131" s="1129"/>
      <c r="Q131" s="1031"/>
      <c r="R131" s="1031"/>
      <c r="S131" s="1031"/>
      <c r="T131" s="1031"/>
      <c r="U131" s="1031"/>
      <c r="V131" s="1031"/>
      <c r="W131" s="1031"/>
      <c r="X131" s="1031"/>
    </row>
    <row r="132" spans="3:27">
      <c r="C132" s="1060"/>
      <c r="D132" s="1064">
        <f t="shared" si="19"/>
        <v>13</v>
      </c>
      <c r="E132" s="1047"/>
      <c r="F132" s="14" t="str">
        <f t="shared" si="20"/>
        <v/>
      </c>
      <c r="G132" s="1031"/>
      <c r="H132" s="1031"/>
      <c r="I132" s="1031"/>
      <c r="J132" s="1033">
        <f>CHOOSE($T$2,SUMIFS('ANSP Opex (CAR-10% SUs)'!Q$110:Q$141,'ANSP Opex (CAR-10% SUs)'!$G$110:$G$141,$E132),SUMIFS('ANSP Opex (CAR)'!Q$110:Q$141,'ANSP Opex (CAR)'!$G$110:$G$141,$E132),SUMIFS('[6]ANSP Opex (CA+10% SUs)'!Q$110:Q$141,'[6]ANSP Opex (CA+10% SUs)'!$G$110:$G$141,$E132))*(J$5/100)</f>
        <v>0</v>
      </c>
      <c r="K132" s="1033">
        <f>CHOOSE($T$2,SUMIFS('ANSP Opex (CAR-10% SUs)'!R$110:R$141,'ANSP Opex (CAR-10% SUs)'!$G$110:$G$141,$E132),SUMIFS('ANSP Opex (CAR)'!R$110:R$141,'ANSP Opex (CAR)'!$G$110:$G$141,$E132),SUMIFS('[6]ANSP Opex (CA+10% SUs)'!R$110:R$141,'[6]ANSP Opex (CA+10% SUs)'!$G$110:$G$141,$E132))*(K$5/100)</f>
        <v>0</v>
      </c>
      <c r="L132" s="1033">
        <f>CHOOSE($T$2,SUMIFS('ANSP Opex (CAR-10% SUs)'!S$110:S$141,'ANSP Opex (CAR-10% SUs)'!$G$110:$G$141,$E132),SUMIFS('ANSP Opex (CAR)'!S$110:S$141,'ANSP Opex (CAR)'!$G$110:$G$141,$E132),SUMIFS('[6]ANSP Opex (CA+10% SUs)'!S$110:S$141,'[6]ANSP Opex (CA+10% SUs)'!$G$110:$G$141,$E132))*(L$5/100)</f>
        <v>0</v>
      </c>
      <c r="M132" s="1033">
        <f>CHOOSE($T$2,SUMIFS('ANSP Opex (CAR-10% SUs)'!T$110:T$141,'ANSP Opex (CAR-10% SUs)'!$G$110:$G$141,$E132),SUMIFS('ANSP Opex (CAR)'!T$110:T$141,'ANSP Opex (CAR)'!$G$110:$G$141,$E132),SUMIFS('[6]ANSP Opex (CA+10% SUs)'!T$110:T$141,'[6]ANSP Opex (CA+10% SUs)'!$G$110:$G$141,$E132))*(M$5/100)</f>
        <v>0</v>
      </c>
      <c r="N132" s="1033">
        <f>CHOOSE($T$2,SUMIFS('ANSP Opex (CAR-10% SUs)'!U$110:U$141,'ANSP Opex (CAR-10% SUs)'!$G$110:$G$141,$E132),SUMIFS('ANSP Opex (CAR)'!U$110:U$141,'ANSP Opex (CAR)'!$G$110:$G$141,$E132),SUMIFS('[6]ANSP Opex (CA+10% SUs)'!U$110:U$141,'[6]ANSP Opex (CA+10% SUs)'!$G$110:$G$141,$E132))*(N$5/100)</f>
        <v>0</v>
      </c>
      <c r="O132" s="1031"/>
      <c r="P132" s="1129"/>
      <c r="Q132" s="1031"/>
      <c r="R132" s="1031"/>
      <c r="S132" s="1031"/>
      <c r="T132" s="1031"/>
      <c r="U132" s="1031"/>
      <c r="V132" s="1031"/>
      <c r="W132" s="1031"/>
      <c r="X132" s="1031"/>
    </row>
    <row r="133" spans="3:27">
      <c r="C133" s="1060"/>
      <c r="D133" s="1064">
        <f t="shared" si="19"/>
        <v>14</v>
      </c>
      <c r="E133" s="1047"/>
      <c r="F133" s="14" t="str">
        <f t="shared" si="20"/>
        <v/>
      </c>
      <c r="G133" s="1031"/>
      <c r="H133" s="1031"/>
      <c r="I133" s="1031"/>
      <c r="J133" s="1033">
        <f>CHOOSE($T$2,SUMIFS('ANSP Opex (CAR-10% SUs)'!Q$110:Q$141,'ANSP Opex (CAR-10% SUs)'!$G$110:$G$141,$E133),SUMIFS('ANSP Opex (CAR)'!Q$110:Q$141,'ANSP Opex (CAR)'!$G$110:$G$141,$E133),SUMIFS('[6]ANSP Opex (CA+10% SUs)'!Q$110:Q$141,'[6]ANSP Opex (CA+10% SUs)'!$G$110:$G$141,$E133))*(J$5/100)</f>
        <v>0</v>
      </c>
      <c r="K133" s="1033">
        <f>CHOOSE($T$2,SUMIFS('ANSP Opex (CAR-10% SUs)'!R$110:R$141,'ANSP Opex (CAR-10% SUs)'!$G$110:$G$141,$E133),SUMIFS('ANSP Opex (CAR)'!R$110:R$141,'ANSP Opex (CAR)'!$G$110:$G$141,$E133),SUMIFS('[6]ANSP Opex (CA+10% SUs)'!R$110:R$141,'[6]ANSP Opex (CA+10% SUs)'!$G$110:$G$141,$E133))*(K$5/100)</f>
        <v>0</v>
      </c>
      <c r="L133" s="1033">
        <f>CHOOSE($T$2,SUMIFS('ANSP Opex (CAR-10% SUs)'!S$110:S$141,'ANSP Opex (CAR-10% SUs)'!$G$110:$G$141,$E133),SUMIFS('ANSP Opex (CAR)'!S$110:S$141,'ANSP Opex (CAR)'!$G$110:$G$141,$E133),SUMIFS('[6]ANSP Opex (CA+10% SUs)'!S$110:S$141,'[6]ANSP Opex (CA+10% SUs)'!$G$110:$G$141,$E133))*(L$5/100)</f>
        <v>0</v>
      </c>
      <c r="M133" s="1033">
        <f>CHOOSE($T$2,SUMIFS('ANSP Opex (CAR-10% SUs)'!T$110:T$141,'ANSP Opex (CAR-10% SUs)'!$G$110:$G$141,$E133),SUMIFS('ANSP Opex (CAR)'!T$110:T$141,'ANSP Opex (CAR)'!$G$110:$G$141,$E133),SUMIFS('[6]ANSP Opex (CA+10% SUs)'!T$110:T$141,'[6]ANSP Opex (CA+10% SUs)'!$G$110:$G$141,$E133))*(M$5/100)</f>
        <v>0</v>
      </c>
      <c r="N133" s="1033">
        <f>CHOOSE($T$2,SUMIFS('ANSP Opex (CAR-10% SUs)'!U$110:U$141,'ANSP Opex (CAR-10% SUs)'!$G$110:$G$141,$E133),SUMIFS('ANSP Opex (CAR)'!U$110:U$141,'ANSP Opex (CAR)'!$G$110:$G$141,$E133),SUMIFS('[6]ANSP Opex (CA+10% SUs)'!U$110:U$141,'[6]ANSP Opex (CA+10% SUs)'!$G$110:$G$141,$E133))*(N$5/100)</f>
        <v>0</v>
      </c>
      <c r="O133" s="1031"/>
      <c r="P133" s="1129"/>
      <c r="Q133" s="1031"/>
      <c r="R133" s="1031"/>
      <c r="S133" s="1031"/>
      <c r="T133" s="1031"/>
      <c r="U133" s="1031"/>
      <c r="V133" s="1031"/>
      <c r="W133" s="1031"/>
      <c r="X133" s="1031"/>
    </row>
    <row r="134" spans="3:27">
      <c r="C134" s="1060"/>
      <c r="D134" s="1064">
        <f t="shared" si="19"/>
        <v>15</v>
      </c>
      <c r="E134" s="1047"/>
      <c r="F134" s="14" t="str">
        <f t="shared" si="20"/>
        <v/>
      </c>
      <c r="G134" s="1031"/>
      <c r="H134" s="1031"/>
      <c r="I134" s="1031"/>
      <c r="J134" s="1043"/>
      <c r="K134" s="1043"/>
      <c r="L134" s="1043"/>
      <c r="M134" s="1043"/>
      <c r="N134" s="1043"/>
      <c r="O134" s="1031"/>
      <c r="P134" s="1043"/>
      <c r="Q134" s="1031"/>
      <c r="R134" s="1031"/>
      <c r="S134" s="1031"/>
      <c r="T134" s="1031"/>
      <c r="U134" s="1031"/>
      <c r="V134" s="1031"/>
      <c r="W134" s="1031"/>
      <c r="X134" s="1031"/>
    </row>
    <row r="135" spans="3:27">
      <c r="C135" s="1060"/>
      <c r="D135" s="1030"/>
      <c r="E135" s="1031"/>
      <c r="F135" s="1031"/>
      <c r="G135" s="1031"/>
      <c r="H135" s="1031"/>
      <c r="I135" s="1031"/>
      <c r="J135" s="1031"/>
      <c r="K135" s="1031"/>
      <c r="L135" s="1031"/>
      <c r="M135" s="1031"/>
      <c r="N135" s="1031"/>
      <c r="O135" s="1031"/>
      <c r="P135" s="1031"/>
      <c r="Q135" s="1031"/>
      <c r="R135" s="1031"/>
      <c r="S135" s="1031"/>
      <c r="T135" s="1031"/>
      <c r="U135" s="1031"/>
      <c r="V135" s="1031"/>
      <c r="W135" s="1031"/>
      <c r="X135" s="1031"/>
    </row>
    <row r="136" spans="3:27">
      <c r="C136" s="1060"/>
      <c r="D136" s="1031"/>
      <c r="E136" s="1030" t="s">
        <v>12</v>
      </c>
      <c r="F136" s="1053" t="s">
        <v>29</v>
      </c>
      <c r="G136" s="1031"/>
      <c r="H136" s="1031"/>
      <c r="I136" s="1031"/>
      <c r="J136" s="1043">
        <f>SUM(J120:J133)</f>
        <v>27469.244915865995</v>
      </c>
      <c r="K136" s="1043">
        <f>SUM(K120:K133)</f>
        <v>30199.037357868496</v>
      </c>
      <c r="L136" s="1043">
        <f>SUM(L120:L133)</f>
        <v>33872.144779219059</v>
      </c>
      <c r="M136" s="1043">
        <f>SUM(M120:M133)</f>
        <v>36000.0247543652</v>
      </c>
      <c r="N136" s="1043">
        <f>SUM(N120:N133)</f>
        <v>37414.056927940845</v>
      </c>
      <c r="O136" s="1043"/>
      <c r="P136" s="1043"/>
      <c r="Q136" s="1043"/>
      <c r="R136" s="1043"/>
      <c r="S136" s="1043"/>
      <c r="T136" s="1043"/>
      <c r="U136" s="1043"/>
      <c r="V136" s="1043"/>
      <c r="W136" s="1043"/>
      <c r="X136" s="1043"/>
      <c r="AA136" s="1656">
        <f>(SUMPRODUCT($J$5:$N$5,'ANSP Opex (CAR)'!$Q$143:$U$143)/100)-SUM(J136:N136)</f>
        <v>0</v>
      </c>
    </row>
    <row r="137" spans="3:27">
      <c r="C137" s="1060"/>
      <c r="D137" s="1031"/>
      <c r="E137" s="1030"/>
      <c r="F137" s="1053"/>
      <c r="G137" s="1031"/>
      <c r="H137" s="1031"/>
      <c r="I137" s="1031"/>
      <c r="J137" s="1043"/>
      <c r="K137" s="1043"/>
      <c r="L137" s="1043"/>
      <c r="M137" s="1043"/>
      <c r="N137" s="1043"/>
      <c r="O137" s="1043"/>
      <c r="P137" s="1043"/>
      <c r="Q137" s="1043"/>
      <c r="R137" s="1043"/>
      <c r="S137" s="1043"/>
      <c r="T137" s="1043"/>
      <c r="U137" s="1043"/>
      <c r="V137" s="1043"/>
      <c r="W137" s="1043"/>
      <c r="X137" s="1043"/>
    </row>
    <row r="139" spans="3:27">
      <c r="C139" s="1041" t="s">
        <v>74</v>
      </c>
      <c r="D139" s="1041"/>
      <c r="E139" s="1042"/>
      <c r="F139" s="1042"/>
      <c r="G139" s="1042"/>
      <c r="H139" s="1042"/>
      <c r="I139" s="1042"/>
      <c r="J139" s="1042"/>
      <c r="K139" s="1042"/>
      <c r="L139" s="1042"/>
      <c r="M139" s="1042"/>
      <c r="N139" s="1042"/>
      <c r="O139" s="1042"/>
      <c r="P139" s="1042"/>
      <c r="Q139" s="1042"/>
      <c r="R139" s="1042"/>
      <c r="S139" s="1042"/>
      <c r="T139" s="1042"/>
      <c r="U139" s="1042"/>
      <c r="V139" s="1042"/>
      <c r="W139" s="1042"/>
      <c r="X139" s="1042"/>
    </row>
    <row r="140" spans="3:27">
      <c r="C140" s="1060"/>
      <c r="D140" s="1065">
        <v>1</v>
      </c>
      <c r="E140" s="1047" t="str">
        <f>IFERROR(INDEX('ANSP Opex'!$G$108:$G$139,MATCH(D140,'ANSP Opex'!$H$108:$H$139,0)),"")</f>
        <v>Admin&amp;Other</v>
      </c>
      <c r="F140" s="14" t="str">
        <f>IF(E140="","","€'000")</f>
        <v>€'000</v>
      </c>
      <c r="G140" s="14"/>
      <c r="H140" s="14"/>
      <c r="I140" s="14"/>
      <c r="J140" s="1033">
        <f>J120-J100</f>
        <v>2709.0586685530002</v>
      </c>
      <c r="K140" s="1033">
        <f t="shared" ref="K140:N140" si="21">K120-K100</f>
        <v>1322.5268409689679</v>
      </c>
      <c r="L140" s="1033">
        <f t="shared" si="21"/>
        <v>118.8685519611754</v>
      </c>
      <c r="M140" s="1033">
        <f t="shared" si="21"/>
        <v>116.954031920739</v>
      </c>
      <c r="N140" s="1033">
        <f t="shared" si="21"/>
        <v>-75.515823546620595</v>
      </c>
      <c r="O140" s="1060"/>
      <c r="P140" s="1060"/>
      <c r="Q140" s="1060"/>
      <c r="R140" s="1060"/>
      <c r="S140" s="1060"/>
      <c r="T140" s="1060"/>
      <c r="U140" s="1060"/>
      <c r="V140" s="1060"/>
      <c r="W140" s="1060"/>
      <c r="X140" s="1060"/>
    </row>
    <row r="141" spans="3:27">
      <c r="C141" s="1060"/>
      <c r="D141" s="1064">
        <f t="shared" ref="D141:D154" si="22">D140+1</f>
        <v>2</v>
      </c>
      <c r="E141" s="1047" t="str">
        <f>IFERROR(INDEX('ANSP Opex'!$G$108:$G$139,MATCH(D141,'ANSP Opex'!$H$108:$H$139,0)),"")</f>
        <v>Training (Redacted)</v>
      </c>
      <c r="F141" s="14" t="str">
        <f t="shared" ref="F141:F154" si="23">IF(E141="","","€'000")</f>
        <v>€'000</v>
      </c>
      <c r="G141" s="1060"/>
      <c r="H141" s="1060"/>
      <c r="I141" s="1060"/>
      <c r="J141" s="1033">
        <f t="shared" ref="J141:N141" si="24">J121-J101</f>
        <v>0</v>
      </c>
      <c r="K141" s="1033">
        <f t="shared" si="24"/>
        <v>0</v>
      </c>
      <c r="L141" s="1033">
        <f t="shared" si="24"/>
        <v>0</v>
      </c>
      <c r="M141" s="1033">
        <f t="shared" si="24"/>
        <v>0</v>
      </c>
      <c r="N141" s="1033">
        <f t="shared" si="24"/>
        <v>0</v>
      </c>
      <c r="O141" s="1060"/>
      <c r="P141" s="1060"/>
      <c r="Q141" s="1060"/>
      <c r="R141" s="1060"/>
      <c r="S141" s="1060"/>
      <c r="T141" s="1060"/>
      <c r="U141" s="1060"/>
      <c r="V141" s="1060"/>
      <c r="W141" s="1060"/>
      <c r="X141" s="1060"/>
    </row>
    <row r="142" spans="3:27">
      <c r="C142" s="1060"/>
      <c r="D142" s="1064">
        <f t="shared" si="22"/>
        <v>3</v>
      </c>
      <c r="E142" s="1047" t="str">
        <f>IFERROR(INDEX('ANSP Opex'!$G$108:$G$139,MATCH(D142,'ANSP Opex'!$H$108:$H$139,0)),"")</f>
        <v>Telecoms (Redacted)</v>
      </c>
      <c r="F142" s="14" t="str">
        <f t="shared" si="23"/>
        <v>€'000</v>
      </c>
      <c r="G142" s="1031"/>
      <c r="H142" s="1031"/>
      <c r="I142" s="1031"/>
      <c r="J142" s="1033">
        <f t="shared" ref="J142:N142" si="25">J122-J102</f>
        <v>0</v>
      </c>
      <c r="K142" s="1033">
        <f t="shared" si="25"/>
        <v>0</v>
      </c>
      <c r="L142" s="1033">
        <f t="shared" si="25"/>
        <v>0</v>
      </c>
      <c r="M142" s="1033">
        <f t="shared" si="25"/>
        <v>0</v>
      </c>
      <c r="N142" s="1033">
        <f t="shared" si="25"/>
        <v>0</v>
      </c>
      <c r="O142" s="1060"/>
      <c r="P142" s="1060"/>
      <c r="Q142" s="1060"/>
      <c r="R142" s="1060"/>
      <c r="S142" s="1060"/>
      <c r="T142" s="1060"/>
      <c r="U142" s="1060"/>
      <c r="V142" s="1060"/>
      <c r="W142" s="1060"/>
      <c r="X142" s="1060"/>
    </row>
    <row r="143" spans="3:27">
      <c r="C143" s="1060"/>
      <c r="D143" s="1064">
        <f t="shared" si="22"/>
        <v>4</v>
      </c>
      <c r="E143" s="1047" t="str">
        <f>IFERROR(INDEX('ANSP Opex'!$G$108:$G$139,MATCH(D143,'ANSP Opex'!$H$108:$H$139,0)),"")</f>
        <v>Operational</v>
      </c>
      <c r="F143" s="14" t="str">
        <f t="shared" si="23"/>
        <v>€'000</v>
      </c>
      <c r="G143" s="1031"/>
      <c r="H143" s="1031"/>
      <c r="I143" s="1031"/>
      <c r="J143" s="1033">
        <f t="shared" ref="J143:N143" si="26">J123-J103</f>
        <v>-963.33339455199985</v>
      </c>
      <c r="K143" s="1033">
        <f t="shared" si="26"/>
        <v>-2036.6269802629113</v>
      </c>
      <c r="L143" s="1033">
        <f t="shared" si="26"/>
        <v>-2749.558784368025</v>
      </c>
      <c r="M143" s="1033">
        <f t="shared" si="26"/>
        <v>-3278.6928716761477</v>
      </c>
      <c r="N143" s="1033">
        <f t="shared" si="26"/>
        <v>-3462.2000096288721</v>
      </c>
      <c r="O143" s="1060"/>
      <c r="P143" s="1060"/>
      <c r="Q143" s="1060"/>
      <c r="R143" s="1060"/>
      <c r="S143" s="1060"/>
      <c r="T143" s="1060"/>
      <c r="U143" s="1060"/>
      <c r="V143" s="1060"/>
      <c r="W143" s="1060"/>
      <c r="X143" s="1060"/>
    </row>
    <row r="144" spans="3:27">
      <c r="C144" s="1060"/>
      <c r="D144" s="1064">
        <f t="shared" si="22"/>
        <v>5</v>
      </c>
      <c r="E144" s="1047" t="str">
        <f>IFERROR(INDEX('ANSP Opex'!$G$108:$G$139,MATCH(D144,'ANSP Opex'!$H$108:$H$139,0)),"")</f>
        <v>Rent &amp; Rates</v>
      </c>
      <c r="F144" s="14" t="str">
        <f t="shared" si="23"/>
        <v>€'000</v>
      </c>
      <c r="G144" s="1031"/>
      <c r="H144" s="1031"/>
      <c r="I144" s="1031"/>
      <c r="J144" s="1033">
        <f t="shared" ref="J144:N144" si="27">J124-J104</f>
        <v>-547.0259658140003</v>
      </c>
      <c r="K144" s="1033">
        <f t="shared" si="27"/>
        <v>-562.81880372158366</v>
      </c>
      <c r="L144" s="1033">
        <f t="shared" si="27"/>
        <v>-392.37141488069574</v>
      </c>
      <c r="M144" s="1033">
        <f t="shared" si="27"/>
        <v>-453.86748167406176</v>
      </c>
      <c r="N144" s="1033">
        <f t="shared" si="27"/>
        <v>-462.9448313075427</v>
      </c>
      <c r="O144" s="1060"/>
      <c r="P144" s="1060"/>
      <c r="Q144" s="1060"/>
      <c r="R144" s="1060"/>
      <c r="S144" s="1060"/>
      <c r="T144" s="1060"/>
      <c r="U144" s="1060"/>
      <c r="V144" s="1060"/>
      <c r="W144" s="1060"/>
      <c r="X144" s="1060"/>
    </row>
    <row r="145" spans="3:24">
      <c r="C145" s="1060"/>
      <c r="D145" s="1064">
        <f t="shared" si="22"/>
        <v>6</v>
      </c>
      <c r="E145" s="1047" t="str">
        <f>IFERROR(INDEX('ANSP Opex'!$G$108:$G$139,MATCH(D145,'ANSP Opex'!$H$108:$H$139,0)),"")</f>
        <v>Computing</v>
      </c>
      <c r="F145" s="14" t="str">
        <f t="shared" si="23"/>
        <v>€'000</v>
      </c>
      <c r="G145" s="1031"/>
      <c r="H145" s="1031"/>
      <c r="I145" s="1031"/>
      <c r="J145" s="1033">
        <f t="shared" ref="J145:N145" si="28">J125-J105</f>
        <v>-199.16866925999989</v>
      </c>
      <c r="K145" s="1033">
        <f t="shared" si="28"/>
        <v>-812.25002869455989</v>
      </c>
      <c r="L145" s="1033">
        <f t="shared" si="28"/>
        <v>-1428.9325382684422</v>
      </c>
      <c r="M145" s="1033">
        <f t="shared" si="28"/>
        <v>-1518.2175205182332</v>
      </c>
      <c r="N145" s="1033">
        <f t="shared" si="28"/>
        <v>-1731.9105413205034</v>
      </c>
      <c r="O145" s="1060"/>
      <c r="P145" s="1060"/>
      <c r="Q145" s="1060"/>
      <c r="R145" s="1060"/>
      <c r="S145" s="1060"/>
      <c r="T145" s="1060"/>
      <c r="U145" s="1060"/>
      <c r="V145" s="1060"/>
      <c r="W145" s="1060"/>
      <c r="X145" s="1060"/>
    </row>
    <row r="146" spans="3:24">
      <c r="C146" s="1060"/>
      <c r="D146" s="1064">
        <f t="shared" si="22"/>
        <v>7</v>
      </c>
      <c r="E146" s="1047" t="str">
        <f>IFERROR(INDEX('ANSP Opex'!$G$108:$G$139,MATCH(D146,'ANSP Opex'!$H$108:$H$139,0)),"")</f>
        <v>Consultancy</v>
      </c>
      <c r="F146" s="14" t="str">
        <f t="shared" si="23"/>
        <v>€'000</v>
      </c>
      <c r="G146" s="1031"/>
      <c r="H146" s="1031"/>
      <c r="I146" s="1031"/>
      <c r="J146" s="1033">
        <f t="shared" ref="J146:N146" si="29">J126-J106</f>
        <v>457.3187796069999</v>
      </c>
      <c r="K146" s="1033">
        <f t="shared" si="29"/>
        <v>-188.91559378400802</v>
      </c>
      <c r="L146" s="1033">
        <f t="shared" si="29"/>
        <v>-644.83559603717572</v>
      </c>
      <c r="M146" s="1033">
        <f t="shared" si="29"/>
        <v>-570.82151359480122</v>
      </c>
      <c r="N146" s="1033">
        <f t="shared" si="29"/>
        <v>-669.79252189176441</v>
      </c>
      <c r="O146" s="1060"/>
      <c r="P146" s="1060"/>
      <c r="Q146" s="1060"/>
      <c r="R146" s="1060"/>
      <c r="S146" s="1060"/>
      <c r="T146" s="1060"/>
      <c r="U146" s="1060"/>
      <c r="V146" s="1060"/>
      <c r="W146" s="1060"/>
      <c r="X146" s="1060"/>
    </row>
    <row r="147" spans="3:24">
      <c r="C147" s="1060"/>
      <c r="D147" s="1064">
        <f t="shared" si="22"/>
        <v>8</v>
      </c>
      <c r="E147" s="1047" t="str">
        <f>IFERROR(INDEX('ANSP Opex'!$G$108:$G$139,MATCH(D147,'ANSP Opex'!$H$108:$H$139,0)),"")</f>
        <v>Insurance (Redacted)</v>
      </c>
      <c r="F147" s="14" t="str">
        <f t="shared" si="23"/>
        <v>€'000</v>
      </c>
      <c r="G147" s="1031"/>
      <c r="H147" s="1031"/>
      <c r="I147" s="1031"/>
      <c r="J147" s="1033">
        <f t="shared" ref="J147:N147" si="30">J127-J107</f>
        <v>0</v>
      </c>
      <c r="K147" s="1033">
        <f t="shared" si="30"/>
        <v>0</v>
      </c>
      <c r="L147" s="1033">
        <f t="shared" si="30"/>
        <v>0</v>
      </c>
      <c r="M147" s="1033">
        <f t="shared" si="30"/>
        <v>0</v>
      </c>
      <c r="N147" s="1033">
        <f t="shared" si="30"/>
        <v>0</v>
      </c>
      <c r="O147" s="1060"/>
      <c r="P147" s="1060"/>
      <c r="Q147" s="1060"/>
      <c r="R147" s="1060"/>
      <c r="S147" s="1060"/>
      <c r="T147" s="1060"/>
      <c r="U147" s="1060"/>
      <c r="V147" s="1060"/>
      <c r="W147" s="1060"/>
      <c r="X147" s="1060"/>
    </row>
    <row r="148" spans="3:24">
      <c r="C148" s="1060"/>
      <c r="D148" s="1064">
        <f t="shared" si="22"/>
        <v>9</v>
      </c>
      <c r="E148" s="1047" t="str">
        <f>IFERROR(INDEX('ANSP Opex'!$G$108:$G$139,MATCH(D148,'ANSP Opex'!$H$108:$H$139,0)),"")</f>
        <v>Building Repairs</v>
      </c>
      <c r="F148" s="14" t="str">
        <f t="shared" si="23"/>
        <v>€'000</v>
      </c>
      <c r="G148" s="1031"/>
      <c r="H148" s="1031"/>
      <c r="I148" s="1031"/>
      <c r="J148" s="1033">
        <f t="shared" ref="J148:N148" si="31">J128-J108</f>
        <v>0.50498331099993266</v>
      </c>
      <c r="K148" s="1033">
        <f t="shared" si="31"/>
        <v>-741.28112510458391</v>
      </c>
      <c r="L148" s="1033">
        <f t="shared" si="31"/>
        <v>-553.23317564089962</v>
      </c>
      <c r="M148" s="1033">
        <f t="shared" si="31"/>
        <v>-641.2465105372828</v>
      </c>
      <c r="N148" s="1033">
        <f t="shared" si="31"/>
        <v>-608.89098017942058</v>
      </c>
      <c r="O148" s="1060"/>
      <c r="P148" s="1060"/>
      <c r="Q148" s="1060"/>
      <c r="R148" s="1060"/>
      <c r="S148" s="1060"/>
      <c r="T148" s="1060"/>
      <c r="U148" s="1060"/>
      <c r="V148" s="1060"/>
      <c r="W148" s="1060"/>
      <c r="X148" s="1060"/>
    </row>
    <row r="149" spans="3:24">
      <c r="C149" s="1060"/>
      <c r="D149" s="1064">
        <f t="shared" si="22"/>
        <v>10</v>
      </c>
      <c r="E149" s="1047" t="str">
        <f>IFERROR(INDEX('ANSP Opex'!$G$108:$G$139,MATCH(D149,'ANSP Opex'!$H$108:$H$139,0)),"")</f>
        <v>Security (Redacted)</v>
      </c>
      <c r="F149" s="14" t="str">
        <f t="shared" si="23"/>
        <v>€'000</v>
      </c>
      <c r="G149" s="1031"/>
      <c r="H149" s="1031"/>
      <c r="I149" s="1031"/>
      <c r="J149" s="1033">
        <f t="shared" ref="J149:N149" si="32">J129-J109</f>
        <v>0</v>
      </c>
      <c r="K149" s="1033">
        <f t="shared" si="32"/>
        <v>0</v>
      </c>
      <c r="L149" s="1033">
        <f t="shared" si="32"/>
        <v>0</v>
      </c>
      <c r="M149" s="1033">
        <f t="shared" si="32"/>
        <v>0</v>
      </c>
      <c r="N149" s="1033">
        <f t="shared" si="32"/>
        <v>0</v>
      </c>
      <c r="O149" s="1060"/>
      <c r="P149" s="1060"/>
      <c r="Q149" s="1060"/>
      <c r="R149" s="1060"/>
      <c r="S149" s="1060"/>
      <c r="T149" s="1060"/>
      <c r="U149" s="1060"/>
      <c r="V149" s="1060"/>
      <c r="W149" s="1060"/>
      <c r="X149" s="1060"/>
    </row>
    <row r="150" spans="3:24">
      <c r="C150" s="1060"/>
      <c r="D150" s="1064">
        <f t="shared" si="22"/>
        <v>11</v>
      </c>
      <c r="E150" s="1047" t="str">
        <f>IFERROR(INDEX('ANSP Opex'!$G$108:$G$139,MATCH(D150,'ANSP Opex'!$H$108:$H$139,0)),"")</f>
        <v>Redacted</v>
      </c>
      <c r="F150" s="14" t="str">
        <f t="shared" si="23"/>
        <v>€'000</v>
      </c>
      <c r="G150" s="1031"/>
      <c r="H150" s="1031"/>
      <c r="I150" s="1031"/>
      <c r="J150" s="1033">
        <f t="shared" ref="J150:N150" si="33">J130-J110</f>
        <v>-860.94370997900114</v>
      </c>
      <c r="K150" s="1033">
        <f t="shared" si="33"/>
        <v>-2175.7207458208231</v>
      </c>
      <c r="L150" s="1033">
        <f t="shared" si="33"/>
        <v>-4884.1378607953957</v>
      </c>
      <c r="M150" s="1033">
        <f t="shared" si="33"/>
        <v>-4377.7556182753342</v>
      </c>
      <c r="N150" s="1033">
        <f t="shared" si="33"/>
        <v>-1955.6316407384948</v>
      </c>
      <c r="O150" s="1060"/>
      <c r="P150" s="1060"/>
      <c r="Q150" s="1060"/>
      <c r="R150" s="1060"/>
      <c r="S150" s="1060"/>
      <c r="T150" s="1060"/>
      <c r="U150" s="1060"/>
      <c r="V150" s="1060"/>
      <c r="W150" s="1060"/>
      <c r="X150" s="1060"/>
    </row>
    <row r="151" spans="3:24">
      <c r="C151" s="1060"/>
      <c r="D151" s="1064">
        <f t="shared" si="22"/>
        <v>12</v>
      </c>
      <c r="E151" s="1047"/>
      <c r="F151" s="14" t="str">
        <f t="shared" si="23"/>
        <v/>
      </c>
      <c r="G151" s="1031"/>
      <c r="H151" s="1031"/>
      <c r="I151" s="1031"/>
      <c r="J151" s="1033">
        <f t="shared" ref="J151:N151" si="34">J131-J111</f>
        <v>0</v>
      </c>
      <c r="K151" s="1033">
        <f t="shared" si="34"/>
        <v>0</v>
      </c>
      <c r="L151" s="1033">
        <f t="shared" si="34"/>
        <v>0</v>
      </c>
      <c r="M151" s="1033">
        <f t="shared" si="34"/>
        <v>0</v>
      </c>
      <c r="N151" s="1033">
        <f t="shared" si="34"/>
        <v>0</v>
      </c>
      <c r="O151" s="1060"/>
      <c r="P151" s="1060"/>
      <c r="Q151" s="1060"/>
      <c r="R151" s="1060"/>
      <c r="S151" s="1060"/>
      <c r="T151" s="1060"/>
      <c r="U151" s="1060"/>
      <c r="V151" s="1060"/>
      <c r="W151" s="1060"/>
      <c r="X151" s="1060"/>
    </row>
    <row r="152" spans="3:24">
      <c r="C152" s="1060"/>
      <c r="D152" s="1064">
        <f t="shared" si="22"/>
        <v>13</v>
      </c>
      <c r="E152" s="1047"/>
      <c r="F152" s="14" t="str">
        <f t="shared" si="23"/>
        <v/>
      </c>
      <c r="G152" s="1031"/>
      <c r="H152" s="1031"/>
      <c r="I152" s="1031"/>
      <c r="J152" s="1033">
        <f t="shared" ref="J152:N152" si="35">J132-J112</f>
        <v>0</v>
      </c>
      <c r="K152" s="1033">
        <f t="shared" si="35"/>
        <v>0</v>
      </c>
      <c r="L152" s="1033">
        <f t="shared" si="35"/>
        <v>0</v>
      </c>
      <c r="M152" s="1033">
        <f t="shared" si="35"/>
        <v>0</v>
      </c>
      <c r="N152" s="1033">
        <f t="shared" si="35"/>
        <v>0</v>
      </c>
      <c r="O152" s="1060"/>
      <c r="P152" s="1060"/>
      <c r="Q152" s="1060"/>
      <c r="R152" s="1060"/>
      <c r="S152" s="1060"/>
      <c r="T152" s="1060"/>
      <c r="U152" s="1060"/>
      <c r="V152" s="1060"/>
      <c r="W152" s="1060"/>
      <c r="X152" s="1060"/>
    </row>
    <row r="153" spans="3:24">
      <c r="C153" s="1060"/>
      <c r="D153" s="1064">
        <f t="shared" si="22"/>
        <v>14</v>
      </c>
      <c r="E153" s="1047"/>
      <c r="F153" s="14" t="str">
        <f t="shared" si="23"/>
        <v/>
      </c>
      <c r="G153" s="1031"/>
      <c r="H153" s="1031"/>
      <c r="I153" s="1031"/>
      <c r="J153" s="1033">
        <f t="shared" ref="J153:N153" si="36">J133-J113</f>
        <v>0</v>
      </c>
      <c r="K153" s="1033">
        <f t="shared" si="36"/>
        <v>0</v>
      </c>
      <c r="L153" s="1033">
        <f t="shared" si="36"/>
        <v>0</v>
      </c>
      <c r="M153" s="1033">
        <f t="shared" si="36"/>
        <v>0</v>
      </c>
      <c r="N153" s="1033">
        <f t="shared" si="36"/>
        <v>0</v>
      </c>
      <c r="O153" s="1060"/>
      <c r="P153" s="1060"/>
      <c r="Q153" s="1060"/>
      <c r="R153" s="1060"/>
      <c r="S153" s="1060"/>
      <c r="T153" s="1060"/>
      <c r="U153" s="1060"/>
      <c r="V153" s="1060"/>
      <c r="W153" s="1060"/>
      <c r="X153" s="1060"/>
    </row>
    <row r="154" spans="3:24">
      <c r="C154" s="1060"/>
      <c r="D154" s="1064">
        <f t="shared" si="22"/>
        <v>15</v>
      </c>
      <c r="E154" s="1047"/>
      <c r="F154" s="14" t="str">
        <f t="shared" si="23"/>
        <v/>
      </c>
      <c r="G154" s="1031"/>
      <c r="H154" s="1031"/>
      <c r="I154" s="1031"/>
      <c r="J154" s="1043"/>
      <c r="K154" s="1043"/>
      <c r="L154" s="1043"/>
      <c r="M154" s="1043"/>
      <c r="N154" s="1043"/>
      <c r="O154" s="1060"/>
      <c r="P154" s="1060"/>
      <c r="Q154" s="1060"/>
      <c r="R154" s="1060"/>
      <c r="S154" s="1060"/>
      <c r="T154" s="1060"/>
      <c r="U154" s="1060"/>
      <c r="V154" s="1060"/>
      <c r="W154" s="1060"/>
      <c r="X154" s="1060"/>
    </row>
    <row r="155" spans="3:24">
      <c r="C155" s="1060"/>
      <c r="D155" s="1030"/>
      <c r="E155" s="1031"/>
      <c r="F155" s="1031"/>
      <c r="G155" s="1031"/>
      <c r="H155" s="1031"/>
      <c r="I155" s="1031"/>
      <c r="J155" s="1031"/>
      <c r="K155" s="1031"/>
      <c r="L155" s="1031"/>
      <c r="M155" s="1031"/>
      <c r="N155" s="1031"/>
      <c r="O155" s="1060"/>
      <c r="P155" s="1060"/>
      <c r="Q155" s="1060"/>
      <c r="R155" s="1060"/>
      <c r="S155" s="1060"/>
      <c r="T155" s="1060"/>
      <c r="U155" s="1060"/>
      <c r="V155" s="1060"/>
      <c r="W155" s="1060"/>
      <c r="X155" s="1060"/>
    </row>
    <row r="156" spans="3:24">
      <c r="C156" s="1060"/>
      <c r="D156" s="1031"/>
      <c r="E156" s="1030" t="s">
        <v>70</v>
      </c>
      <c r="F156" s="1053" t="s">
        <v>29</v>
      </c>
      <c r="G156" s="1031"/>
      <c r="H156" s="1031"/>
      <c r="I156" s="1031"/>
      <c r="J156" s="1043">
        <f>SUM(J140:J153)</f>
        <v>596.41069186599884</v>
      </c>
      <c r="K156" s="1043">
        <f>SUM(K140:K153)</f>
        <v>-5195.0864364195022</v>
      </c>
      <c r="L156" s="1043">
        <f>SUM(L140:L153)</f>
        <v>-10534.200818029458</v>
      </c>
      <c r="M156" s="1043">
        <f>SUM(M140:M153)</f>
        <v>-10723.647484355122</v>
      </c>
      <c r="N156" s="1043">
        <f>SUM(N140:N153)</f>
        <v>-8966.8863486132177</v>
      </c>
      <c r="O156" s="1060"/>
      <c r="P156" s="1060"/>
      <c r="Q156" s="1060"/>
      <c r="R156" s="1060"/>
      <c r="S156" s="1060"/>
      <c r="T156" s="1060"/>
      <c r="U156" s="1060"/>
      <c r="V156" s="1060"/>
      <c r="W156" s="1060"/>
      <c r="X156" s="1060"/>
    </row>
    <row r="157" spans="3:24">
      <c r="C157" s="1060"/>
      <c r="D157" s="1031"/>
      <c r="E157" s="1030"/>
      <c r="F157" s="14"/>
      <c r="G157" s="1031"/>
      <c r="H157" s="1031"/>
      <c r="I157" s="1031"/>
      <c r="J157" s="1043"/>
      <c r="K157" s="1043"/>
      <c r="L157" s="1043"/>
      <c r="M157" s="1043"/>
      <c r="N157" s="1043"/>
      <c r="O157" s="1060"/>
      <c r="P157" s="1060"/>
      <c r="Q157" s="1060"/>
      <c r="R157" s="1060"/>
      <c r="S157" s="1060"/>
      <c r="T157" s="1060"/>
      <c r="U157" s="1060"/>
      <c r="V157" s="1060"/>
      <c r="W157" s="1060"/>
      <c r="X157" s="1060"/>
    </row>
    <row r="158" spans="3:24">
      <c r="C158" s="1060"/>
      <c r="D158" s="1031"/>
      <c r="E158" s="1187" t="s">
        <v>71</v>
      </c>
      <c r="F158" s="14" t="s">
        <v>43</v>
      </c>
      <c r="G158" s="14"/>
      <c r="H158" s="14"/>
      <c r="I158" s="14"/>
      <c r="J158" s="1188">
        <f>J156/J116</f>
        <v>2.2193814277071955E-2</v>
      </c>
      <c r="K158" s="1188">
        <f t="shared" ref="K158:N158" si="37">K156/K116</f>
        <v>-0.14677821851484568</v>
      </c>
      <c r="L158" s="1188">
        <f t="shared" si="37"/>
        <v>-0.23722287155919838</v>
      </c>
      <c r="M158" s="1188">
        <f t="shared" si="37"/>
        <v>-0.22951208606990314</v>
      </c>
      <c r="N158" s="1188">
        <f t="shared" si="37"/>
        <v>-0.1933312631256047</v>
      </c>
      <c r="O158" s="1060"/>
      <c r="P158" s="1060"/>
      <c r="Q158" s="1060"/>
      <c r="R158" s="1060"/>
      <c r="S158" s="1060"/>
      <c r="T158" s="1060"/>
      <c r="U158" s="1060"/>
      <c r="V158" s="1060"/>
      <c r="W158" s="1060"/>
      <c r="X158" s="1060"/>
    </row>
    <row r="159" spans="3:24">
      <c r="C159" s="1060"/>
      <c r="D159" s="1060"/>
      <c r="E159" s="1060"/>
      <c r="F159" s="1060"/>
      <c r="G159" s="1060"/>
      <c r="H159" s="1060"/>
      <c r="I159" s="1060"/>
      <c r="J159" s="1060"/>
      <c r="K159" s="1060"/>
      <c r="L159" s="1060"/>
      <c r="M159" s="1060"/>
      <c r="N159" s="1060"/>
      <c r="O159" s="1060"/>
      <c r="P159" s="1060"/>
      <c r="Q159" s="1060"/>
      <c r="R159" s="1060"/>
      <c r="S159" s="1060"/>
      <c r="T159" s="1060"/>
      <c r="U159" s="1060"/>
      <c r="V159" s="1060"/>
      <c r="W159" s="1060"/>
      <c r="X159" s="1060"/>
    </row>
    <row r="162" spans="2:24" ht="15" thickBot="1">
      <c r="B162" s="1020" t="s">
        <v>75</v>
      </c>
      <c r="C162" s="1020"/>
      <c r="D162" s="1020" t="s">
        <v>26</v>
      </c>
      <c r="E162" s="1020" t="s">
        <v>13</v>
      </c>
      <c r="F162" s="1538" t="s">
        <v>35</v>
      </c>
      <c r="G162" s="1020"/>
      <c r="H162" s="1020"/>
      <c r="I162" s="1020"/>
      <c r="J162" s="1020"/>
      <c r="K162" s="1020"/>
      <c r="L162" s="1020"/>
      <c r="M162" s="1020"/>
      <c r="N162" s="1020"/>
      <c r="O162" s="1020"/>
      <c r="P162" s="1020"/>
      <c r="Q162" s="1020"/>
      <c r="R162" s="1020"/>
      <c r="S162" s="1020"/>
      <c r="T162" s="1020"/>
      <c r="U162" s="1020"/>
      <c r="V162" s="1020"/>
      <c r="W162" s="1020"/>
      <c r="X162" s="1020"/>
    </row>
    <row r="163" spans="2:24" ht="13.5" thickTop="1"/>
    <row r="164" spans="2:24">
      <c r="C164" s="1039" t="s">
        <v>76</v>
      </c>
      <c r="D164" s="1039"/>
      <c r="E164" s="1039"/>
      <c r="F164" s="1039"/>
      <c r="G164" s="1039"/>
      <c r="H164" s="1039"/>
      <c r="I164" s="1039"/>
      <c r="J164" s="1039"/>
      <c r="K164" s="1039"/>
      <c r="L164" s="1039"/>
      <c r="M164" s="1039"/>
      <c r="N164" s="1039"/>
      <c r="O164" s="1039"/>
      <c r="P164" s="1039"/>
      <c r="Q164" s="1039"/>
      <c r="R164" s="1039"/>
      <c r="S164" s="1039"/>
      <c r="T164" s="1039"/>
      <c r="U164" s="1039"/>
      <c r="V164" s="1039"/>
      <c r="W164" s="1039"/>
      <c r="X164" s="1039"/>
    </row>
    <row r="165" spans="2:24">
      <c r="C165" s="1060"/>
      <c r="D165" s="1060"/>
      <c r="E165" s="1060"/>
      <c r="F165" s="1060"/>
      <c r="G165" s="1060"/>
      <c r="H165" s="1060"/>
      <c r="I165" s="1060"/>
      <c r="J165" s="1060"/>
      <c r="K165" s="1060"/>
      <c r="L165" s="1060"/>
      <c r="M165" s="1060"/>
      <c r="N165" s="1060"/>
      <c r="O165" s="1060"/>
      <c r="P165" s="1060"/>
      <c r="Q165" s="1060"/>
      <c r="R165" s="1060"/>
      <c r="S165" s="1060"/>
      <c r="T165" s="1060"/>
      <c r="U165" s="1060"/>
      <c r="V165" s="1060"/>
      <c r="W165" s="1060"/>
      <c r="X165" s="1060"/>
    </row>
    <row r="166" spans="2:24">
      <c r="C166" s="1060"/>
      <c r="D166" s="1066" t="s">
        <v>77</v>
      </c>
      <c r="E166" s="1060"/>
      <c r="F166" s="1060"/>
      <c r="G166" s="1060"/>
      <c r="H166" s="1060"/>
      <c r="I166" s="1060"/>
      <c r="J166" s="1060"/>
      <c r="K166" s="1060"/>
      <c r="L166" s="1060"/>
      <c r="M166" s="1060"/>
      <c r="N166" s="1060"/>
      <c r="O166" s="1060"/>
      <c r="P166" s="1060"/>
      <c r="Q166" s="1060"/>
      <c r="R166" s="1060"/>
      <c r="S166" s="1060"/>
      <c r="T166" s="1060"/>
      <c r="U166" s="1060"/>
      <c r="V166" s="1060"/>
      <c r="W166" s="1060"/>
      <c r="X166" s="1060"/>
    </row>
    <row r="167" spans="2:24">
      <c r="C167" s="1060"/>
      <c r="D167" s="1060"/>
      <c r="E167" s="1060" t="s">
        <v>78</v>
      </c>
      <c r="F167" s="14" t="str">
        <f t="shared" ref="F167:F178" si="38">IF(E167="","","€'000")</f>
        <v>€'000</v>
      </c>
      <c r="G167" s="1060"/>
      <c r="H167" s="1060"/>
      <c r="I167" s="1192"/>
      <c r="J167" s="1033">
        <f>SUMIFS('ANSP Capex'!BF$45:BF$342,'ANSP Capex'!$D$45:$D$342,$E167)</f>
        <v>0</v>
      </c>
      <c r="K167" s="1033">
        <f>SUMIFS('ANSP Capex'!BG$45:BG$342,'ANSP Capex'!$D$45:$D$342,$E167)</f>
        <v>44264.514381206427</v>
      </c>
      <c r="L167" s="1033">
        <f>SUMIFS('ANSP Capex'!BH$45:BH$342,'ANSP Capex'!$D$45:$D$342,$E167)</f>
        <v>4674.7925649999997</v>
      </c>
      <c r="M167" s="1033">
        <f>SUMIFS('ANSP Capex'!BI$45:BI$342,'ANSP Capex'!$D$45:$D$342,$E167)</f>
        <v>916.71</v>
      </c>
      <c r="N167" s="1033">
        <f>SUMIFS('ANSP Capex'!BJ$45:BJ$342,'ANSP Capex'!$D$45:$D$342,$E167)</f>
        <v>0</v>
      </c>
      <c r="O167" s="1060"/>
      <c r="P167" s="1060"/>
      <c r="Q167" s="1060"/>
      <c r="R167" s="1060"/>
      <c r="S167" s="1060"/>
      <c r="T167" s="1060"/>
      <c r="U167" s="1060"/>
      <c r="V167" s="1060"/>
      <c r="W167" s="1060"/>
      <c r="X167" s="1060"/>
    </row>
    <row r="168" spans="2:24">
      <c r="C168" s="1060"/>
      <c r="D168" s="1060"/>
      <c r="E168" s="1060" t="s">
        <v>79</v>
      </c>
      <c r="F168" s="14" t="str">
        <f t="shared" si="38"/>
        <v>€'000</v>
      </c>
      <c r="G168" s="1060"/>
      <c r="H168" s="1060"/>
      <c r="I168" s="1192"/>
      <c r="J168" s="1033">
        <f>SUMIFS('ANSP Capex'!BF$45:BF$342,'ANSP Capex'!$D$45:$D$342,$E168)</f>
        <v>13566.4228</v>
      </c>
      <c r="K168" s="1033">
        <f>SUMIFS('ANSP Capex'!BG$45:BG$342,'ANSP Capex'!$D$45:$D$342,$E168)</f>
        <v>0</v>
      </c>
      <c r="L168" s="1033">
        <f>SUMIFS('ANSP Capex'!BH$45:BH$342,'ANSP Capex'!$D$45:$D$342,$E168)</f>
        <v>0</v>
      </c>
      <c r="M168" s="1033">
        <f>SUMIFS('ANSP Capex'!BI$45:BI$342,'ANSP Capex'!$D$45:$D$342,$E168)</f>
        <v>0</v>
      </c>
      <c r="N168" s="1033">
        <f>SUMIFS('ANSP Capex'!BJ$45:BJ$342,'ANSP Capex'!$D$45:$D$342,$E168)</f>
        <v>0</v>
      </c>
      <c r="O168" s="1060"/>
      <c r="P168" s="1060"/>
      <c r="Q168" s="1060"/>
      <c r="R168" s="1060"/>
      <c r="S168" s="1060"/>
      <c r="T168" s="1060"/>
      <c r="U168" s="1060"/>
      <c r="V168" s="1060"/>
      <c r="W168" s="1060"/>
      <c r="X168" s="1060"/>
    </row>
    <row r="169" spans="2:24">
      <c r="C169" s="1060"/>
      <c r="D169" s="1060"/>
      <c r="E169" s="1060" t="s">
        <v>80</v>
      </c>
      <c r="F169" s="14" t="str">
        <f t="shared" si="38"/>
        <v>€'000</v>
      </c>
      <c r="G169" s="1060"/>
      <c r="H169" s="1060"/>
      <c r="I169" s="1192"/>
      <c r="J169" s="1033">
        <f>SUMIFS('ANSP Capex'!BF$45:BF$342,'ANSP Capex'!$D$45:$D$342,$E169)</f>
        <v>0</v>
      </c>
      <c r="K169" s="1033">
        <f>SUMIFS('ANSP Capex'!BG$45:BG$342,'ANSP Capex'!$D$45:$D$342,$E169)</f>
        <v>4622.5299706314236</v>
      </c>
      <c r="L169" s="1033">
        <f>SUMIFS('ANSP Capex'!BH$45:BH$342,'ANSP Capex'!$D$45:$D$342,$E169)</f>
        <v>1566.8624571708274</v>
      </c>
      <c r="M169" s="1033">
        <f>SUMIFS('ANSP Capex'!BI$45:BI$342,'ANSP Capex'!$D$45:$D$342,$E169)</f>
        <v>2949.3881546744983</v>
      </c>
      <c r="N169" s="1033">
        <f>SUMIFS('ANSP Capex'!BJ$45:BJ$342,'ANSP Capex'!$D$45:$D$342,$E169)</f>
        <v>276.50513950073423</v>
      </c>
      <c r="O169" s="1060"/>
      <c r="P169" s="1060"/>
      <c r="Q169" s="1060"/>
      <c r="R169" s="1060"/>
      <c r="S169" s="1060"/>
      <c r="T169" s="1060"/>
      <c r="U169" s="1060"/>
      <c r="V169" s="1060"/>
      <c r="W169" s="1060"/>
      <c r="X169" s="1060"/>
    </row>
    <row r="170" spans="2:24">
      <c r="C170" s="1060"/>
      <c r="D170" s="1060"/>
      <c r="E170" s="1060" t="s">
        <v>81</v>
      </c>
      <c r="F170" s="14" t="str">
        <f t="shared" si="38"/>
        <v>€'000</v>
      </c>
      <c r="G170" s="1060"/>
      <c r="H170" s="1060"/>
      <c r="I170" s="1192"/>
      <c r="J170" s="1033">
        <f>SUMIFS('ANSP Capex'!BF$45:BF$342,'ANSP Capex'!$D$45:$D$342,$E170)</f>
        <v>0</v>
      </c>
      <c r="K170" s="1033">
        <f>SUMIFS('ANSP Capex'!BG$45:BG$342,'ANSP Capex'!$D$45:$D$342,$E170)</f>
        <v>0</v>
      </c>
      <c r="L170" s="1033">
        <f>SUMIFS('ANSP Capex'!BH$45:BH$342,'ANSP Capex'!$D$45:$D$342,$E170)</f>
        <v>0</v>
      </c>
      <c r="M170" s="1033">
        <f>SUMIFS('ANSP Capex'!BI$45:BI$342,'ANSP Capex'!$D$45:$D$342,$E170)</f>
        <v>0</v>
      </c>
      <c r="N170" s="1033">
        <f>SUMIFS('ANSP Capex'!BJ$45:BJ$342,'ANSP Capex'!$D$45:$D$342,$E170)</f>
        <v>0</v>
      </c>
      <c r="O170" s="1060"/>
      <c r="P170" s="1060"/>
      <c r="Q170" s="1060"/>
      <c r="R170" s="1060"/>
      <c r="S170" s="1060"/>
      <c r="T170" s="1060"/>
      <c r="U170" s="1060"/>
      <c r="V170" s="1060"/>
      <c r="W170" s="1060"/>
      <c r="X170" s="1060"/>
    </row>
    <row r="171" spans="2:24">
      <c r="C171" s="1060"/>
      <c r="D171" s="1060"/>
      <c r="E171" s="1060" t="s">
        <v>82</v>
      </c>
      <c r="F171" s="14" t="str">
        <f t="shared" si="38"/>
        <v>€'000</v>
      </c>
      <c r="G171" s="1060"/>
      <c r="H171" s="1060"/>
      <c r="I171" s="1192"/>
      <c r="J171" s="1033">
        <f>SUMIFS('ANSP Capex'!BF$45:BF$342,'ANSP Capex'!$D$45:$D$342,$E171)</f>
        <v>0</v>
      </c>
      <c r="K171" s="1033">
        <f>SUMIFS('ANSP Capex'!BG$45:BG$342,'ANSP Capex'!$D$45:$D$342,$E171)</f>
        <v>0</v>
      </c>
      <c r="L171" s="1033">
        <f>SUMIFS('ANSP Capex'!BH$45:BH$342,'ANSP Capex'!$D$45:$D$342,$E171)</f>
        <v>4650</v>
      </c>
      <c r="M171" s="1033">
        <f>SUMIFS('ANSP Capex'!BI$45:BI$342,'ANSP Capex'!$D$45:$D$342,$E171)</f>
        <v>2850</v>
      </c>
      <c r="N171" s="1033">
        <f>SUMIFS('ANSP Capex'!BJ$45:BJ$342,'ANSP Capex'!$D$45:$D$342,$E171)</f>
        <v>0</v>
      </c>
      <c r="O171" s="1060"/>
      <c r="P171" s="1060"/>
      <c r="Q171" s="1060"/>
      <c r="R171" s="1060"/>
      <c r="S171" s="1060"/>
      <c r="T171" s="1060"/>
      <c r="U171" s="1060"/>
      <c r="V171" s="1060"/>
      <c r="W171" s="1060"/>
      <c r="X171" s="1060"/>
    </row>
    <row r="172" spans="2:24">
      <c r="C172" s="1060"/>
      <c r="D172" s="1060"/>
      <c r="E172" s="1060" t="s">
        <v>83</v>
      </c>
      <c r="F172" s="14" t="str">
        <f t="shared" si="38"/>
        <v>€'000</v>
      </c>
      <c r="G172" s="1060"/>
      <c r="H172" s="1060"/>
      <c r="I172" s="1192"/>
      <c r="J172" s="1033">
        <f>SUMIFS('ANSP Capex'!BF$45:BF$342,'ANSP Capex'!$D$45:$D$342,$E172)</f>
        <v>0</v>
      </c>
      <c r="K172" s="1033">
        <f>SUMIFS('ANSP Capex'!BG$45:BG$342,'ANSP Capex'!$D$45:$D$342,$E172)</f>
        <v>0</v>
      </c>
      <c r="L172" s="1033">
        <f>SUMIFS('ANSP Capex'!BH$45:BH$342,'ANSP Capex'!$D$45:$D$342,$E172)</f>
        <v>0</v>
      </c>
      <c r="M172" s="1033">
        <f>SUMIFS('ANSP Capex'!BI$45:BI$342,'ANSP Capex'!$D$45:$D$342,$E172)</f>
        <v>0</v>
      </c>
      <c r="N172" s="1033">
        <f>SUMIFS('ANSP Capex'!BJ$45:BJ$342,'ANSP Capex'!$D$45:$D$342,$E172)</f>
        <v>0</v>
      </c>
      <c r="O172" s="1060"/>
      <c r="P172" s="1060"/>
      <c r="Q172" s="1060"/>
      <c r="R172" s="1060"/>
      <c r="S172" s="1060"/>
      <c r="T172" s="1060"/>
      <c r="U172" s="1060"/>
      <c r="V172" s="1060"/>
      <c r="W172" s="1060"/>
      <c r="X172" s="1060"/>
    </row>
    <row r="173" spans="2:24">
      <c r="C173" s="1060"/>
      <c r="D173" s="1060"/>
      <c r="E173" s="1060" t="s">
        <v>84</v>
      </c>
      <c r="F173" s="14" t="str">
        <f t="shared" si="38"/>
        <v>€'000</v>
      </c>
      <c r="G173" s="1060"/>
      <c r="H173" s="1060"/>
      <c r="I173" s="1192"/>
      <c r="J173" s="1033">
        <f>SUMIFS('ANSP Capex'!BF$45:BF$342,'ANSP Capex'!$D$45:$D$342,$E173)</f>
        <v>0</v>
      </c>
      <c r="K173" s="1033">
        <f>SUMIFS('ANSP Capex'!BG$45:BG$342,'ANSP Capex'!$D$45:$D$342,$E173)</f>
        <v>0</v>
      </c>
      <c r="L173" s="1033">
        <f>SUMIFS('ANSP Capex'!BH$45:BH$342,'ANSP Capex'!$D$45:$D$342,$E173)</f>
        <v>75</v>
      </c>
      <c r="M173" s="1033">
        <f>SUMIFS('ANSP Capex'!BI$45:BI$342,'ANSP Capex'!$D$45:$D$342,$E173)</f>
        <v>6585</v>
      </c>
      <c r="N173" s="1033">
        <f>SUMIFS('ANSP Capex'!BJ$45:BJ$342,'ANSP Capex'!$D$45:$D$342,$E173)</f>
        <v>348.75</v>
      </c>
      <c r="O173" s="1060"/>
      <c r="P173" s="1060"/>
      <c r="Q173" s="1060"/>
      <c r="R173" s="1060"/>
      <c r="S173" s="1060"/>
      <c r="T173" s="1060"/>
      <c r="U173" s="1060"/>
      <c r="V173" s="1060"/>
      <c r="W173" s="1060"/>
      <c r="X173" s="1060"/>
    </row>
    <row r="174" spans="2:24">
      <c r="C174" s="1060"/>
      <c r="D174" s="1060"/>
      <c r="E174" s="1060" t="s">
        <v>85</v>
      </c>
      <c r="F174" s="14" t="str">
        <f t="shared" si="38"/>
        <v>€'000</v>
      </c>
      <c r="G174" s="1060"/>
      <c r="H174" s="1060"/>
      <c r="I174" s="1192"/>
      <c r="J174" s="1033">
        <f>SUMIFS('ANSP Capex'!BF$45:BF$342,'ANSP Capex'!$D$45:$D$342,$E174)</f>
        <v>0</v>
      </c>
      <c r="K174" s="1033">
        <f>SUMIFS('ANSP Capex'!BG$45:BG$342,'ANSP Capex'!$D$45:$D$342,$E174)</f>
        <v>0</v>
      </c>
      <c r="L174" s="1033">
        <f>SUMIFS('ANSP Capex'!BH$45:BH$342,'ANSP Capex'!$D$45:$D$342,$E174)</f>
        <v>930</v>
      </c>
      <c r="M174" s="1033">
        <f>SUMIFS('ANSP Capex'!BI$45:BI$342,'ANSP Capex'!$D$45:$D$342,$E174)</f>
        <v>387.5</v>
      </c>
      <c r="N174" s="1033">
        <f>SUMIFS('ANSP Capex'!BJ$45:BJ$342,'ANSP Capex'!$D$45:$D$342,$E174)</f>
        <v>1937.5</v>
      </c>
      <c r="O174" s="1060"/>
      <c r="P174" s="1060"/>
      <c r="Q174" s="1060"/>
      <c r="R174" s="1060"/>
      <c r="S174" s="1060"/>
      <c r="T174" s="1060"/>
      <c r="U174" s="1060"/>
      <c r="V174" s="1060"/>
      <c r="W174" s="1060"/>
      <c r="X174" s="1060"/>
    </row>
    <row r="175" spans="2:24">
      <c r="C175" s="1060"/>
      <c r="D175" s="1060"/>
      <c r="E175" s="1060"/>
      <c r="F175" s="14"/>
      <c r="G175" s="1060"/>
      <c r="H175" s="1060"/>
      <c r="I175" s="1192"/>
      <c r="J175" s="1129"/>
      <c r="K175" s="1129"/>
      <c r="L175" s="1129"/>
      <c r="M175" s="1129"/>
      <c r="N175" s="1129"/>
      <c r="O175" s="1060"/>
      <c r="P175" s="1060"/>
      <c r="Q175" s="1060"/>
      <c r="R175" s="1060"/>
      <c r="S175" s="1060"/>
      <c r="T175" s="1060"/>
      <c r="U175" s="1060"/>
      <c r="V175" s="1060"/>
      <c r="W175" s="1060"/>
      <c r="X175" s="1060"/>
    </row>
    <row r="176" spans="2:24" s="1059" customFormat="1">
      <c r="C176" s="1060"/>
      <c r="D176" s="1060"/>
      <c r="E176" s="1060" t="s">
        <v>86</v>
      </c>
      <c r="F176" s="14" t="str">
        <f t="shared" si="38"/>
        <v>€'000</v>
      </c>
      <c r="G176" s="1060"/>
      <c r="H176" s="1060"/>
      <c r="I176" s="1192"/>
      <c r="J176" s="1129">
        <f>J178-SUM(J167:J174)</f>
        <v>1731.9064299999955</v>
      </c>
      <c r="K176" s="1129">
        <f>K178-SUM(K167:K174)</f>
        <v>11825.627628932991</v>
      </c>
      <c r="L176" s="1129">
        <f>L178-SUM(L167:L174)</f>
        <v>26370.70546091667</v>
      </c>
      <c r="M176" s="1129">
        <f>M178-SUM(M167:M174)</f>
        <v>16200.233499999998</v>
      </c>
      <c r="N176" s="1129">
        <f>N178-SUM(N167:N174)</f>
        <v>13103.202640000001</v>
      </c>
      <c r="O176" s="1060"/>
      <c r="P176" s="1060"/>
      <c r="Q176" s="1060"/>
      <c r="R176" s="1060"/>
      <c r="S176" s="1060"/>
      <c r="T176" s="1060"/>
      <c r="U176" s="1060"/>
      <c r="V176" s="1060"/>
      <c r="W176" s="1060"/>
      <c r="X176" s="1060"/>
    </row>
    <row r="177" spans="3:28">
      <c r="C177" s="1060"/>
      <c r="D177" s="1060"/>
      <c r="E177" s="1060"/>
      <c r="F177" s="14"/>
      <c r="G177" s="1060"/>
      <c r="H177" s="1060"/>
      <c r="I177" s="1060"/>
      <c r="J177" s="1129"/>
      <c r="K177" s="1129"/>
      <c r="L177" s="1129"/>
      <c r="M177" s="1129"/>
      <c r="N177" s="1129"/>
      <c r="O177" s="1060"/>
      <c r="P177" s="1060"/>
      <c r="Q177" s="1060"/>
      <c r="R177" s="1060"/>
      <c r="S177" s="1060"/>
      <c r="T177" s="1060"/>
      <c r="U177" s="1060"/>
      <c r="V177" s="1060"/>
      <c r="W177" s="1060"/>
      <c r="X177" s="1060"/>
    </row>
    <row r="178" spans="3:28">
      <c r="C178" s="1060"/>
      <c r="D178" s="1060"/>
      <c r="E178" s="1066" t="s">
        <v>12</v>
      </c>
      <c r="F178" s="1053" t="str">
        <f t="shared" si="38"/>
        <v>€'000</v>
      </c>
      <c r="G178" s="1060"/>
      <c r="H178" s="1060"/>
      <c r="I178" s="1060"/>
      <c r="J178" s="1194">
        <f>'ANSP Capex'!BF344</f>
        <v>15298.329229999996</v>
      </c>
      <c r="K178" s="1194">
        <f>'ANSP Capex'!BG344</f>
        <v>60712.671980770843</v>
      </c>
      <c r="L178" s="1194">
        <f>'ANSP Capex'!BH344</f>
        <v>38267.360483087497</v>
      </c>
      <c r="M178" s="1194">
        <f>'ANSP Capex'!BI344</f>
        <v>29888.831654674497</v>
      </c>
      <c r="N178" s="1194">
        <f>'ANSP Capex'!BJ344</f>
        <v>15665.957779500735</v>
      </c>
      <c r="O178" s="1060"/>
      <c r="P178" s="1060"/>
      <c r="Q178" s="1060"/>
      <c r="R178" s="1060"/>
      <c r="S178" s="1060"/>
      <c r="T178" s="1060"/>
      <c r="U178" s="1060"/>
      <c r="V178" s="1060"/>
      <c r="W178" s="1060"/>
      <c r="X178" s="1060"/>
      <c r="AB178" s="1189">
        <f>SUM(J167:N176)-SUM('ANSP Capex'!BF344:BJ344)</f>
        <v>0</v>
      </c>
    </row>
    <row r="179" spans="3:28">
      <c r="C179" s="1060"/>
      <c r="D179" s="1060"/>
      <c r="E179" s="1060"/>
      <c r="F179" s="14"/>
      <c r="G179" s="1060"/>
      <c r="H179" s="1060"/>
      <c r="I179" s="1060"/>
      <c r="J179" s="1129"/>
      <c r="K179" s="1129"/>
      <c r="L179" s="1129"/>
      <c r="M179" s="1129"/>
      <c r="N179" s="1129"/>
      <c r="O179" s="1060"/>
      <c r="P179" s="1060"/>
      <c r="Q179" s="1060"/>
      <c r="R179" s="1060"/>
      <c r="S179" s="1060"/>
      <c r="T179" s="1060"/>
      <c r="U179" s="1060"/>
      <c r="V179" s="1060"/>
      <c r="W179" s="1060"/>
      <c r="X179" s="1060"/>
    </row>
    <row r="180" spans="3:28">
      <c r="C180" s="1060"/>
      <c r="D180" s="1060"/>
      <c r="E180" s="1060"/>
      <c r="F180" s="14"/>
      <c r="G180" s="1060"/>
      <c r="H180" s="1060"/>
      <c r="I180" s="1060"/>
      <c r="J180" s="1129"/>
      <c r="K180" s="1129"/>
      <c r="L180" s="1129"/>
      <c r="M180" s="1129"/>
      <c r="N180" s="1129"/>
      <c r="O180" s="1060"/>
      <c r="P180" s="1060"/>
      <c r="Q180" s="1060"/>
      <c r="R180" s="1060"/>
      <c r="S180" s="1060"/>
      <c r="T180" s="1060"/>
      <c r="U180" s="1060"/>
      <c r="V180" s="1060"/>
      <c r="W180" s="1060"/>
      <c r="X180" s="1060"/>
    </row>
    <row r="181" spans="3:28">
      <c r="C181" s="1060"/>
      <c r="D181" s="1060"/>
      <c r="E181" s="1060"/>
      <c r="F181" s="14"/>
      <c r="G181" s="1060"/>
      <c r="H181" s="1060"/>
      <c r="I181" s="1060"/>
      <c r="J181" s="1129"/>
      <c r="K181" s="1129"/>
      <c r="L181" s="1129"/>
      <c r="M181" s="1129"/>
      <c r="N181" s="1129"/>
      <c r="O181" s="1060"/>
      <c r="P181" s="1060"/>
      <c r="Q181" s="1060"/>
      <c r="R181" s="1060"/>
      <c r="S181" s="1060"/>
      <c r="T181" s="1060"/>
      <c r="U181" s="1060"/>
      <c r="V181" s="1060"/>
      <c r="W181" s="1060"/>
      <c r="X181" s="1060"/>
    </row>
    <row r="182" spans="3:28">
      <c r="C182" s="1060"/>
      <c r="D182" s="1060"/>
      <c r="E182" s="1060"/>
      <c r="F182" s="14"/>
      <c r="G182" s="1060"/>
      <c r="H182" s="1060"/>
      <c r="I182" s="1060"/>
      <c r="J182" s="1129"/>
      <c r="K182" s="1129"/>
      <c r="L182" s="1129"/>
      <c r="M182" s="1129"/>
      <c r="N182" s="1129"/>
      <c r="O182" s="1060"/>
      <c r="P182" s="1060"/>
      <c r="Q182" s="1060"/>
      <c r="R182" s="1060"/>
      <c r="S182" s="1060"/>
      <c r="T182" s="1060"/>
      <c r="U182" s="1060"/>
      <c r="V182" s="1060"/>
      <c r="W182" s="1060"/>
      <c r="X182" s="1060"/>
    </row>
    <row r="183" spans="3:28">
      <c r="C183" s="1060"/>
      <c r="D183" s="1060"/>
      <c r="E183" s="1060"/>
      <c r="F183" s="14"/>
      <c r="G183" s="1060"/>
      <c r="H183" s="1060"/>
      <c r="I183" s="1060"/>
      <c r="J183" s="1129"/>
      <c r="K183" s="1129"/>
      <c r="L183" s="1129"/>
      <c r="M183" s="1129"/>
      <c r="N183" s="1129"/>
      <c r="O183" s="1060"/>
      <c r="P183" s="1060"/>
      <c r="Q183" s="1060"/>
      <c r="R183" s="1060"/>
      <c r="S183" s="1060"/>
      <c r="T183" s="1060"/>
      <c r="U183" s="1060"/>
      <c r="V183" s="1060"/>
      <c r="W183" s="1060"/>
      <c r="X183" s="1060"/>
    </row>
    <row r="184" spans="3:28">
      <c r="C184" s="1060"/>
      <c r="D184" s="1060"/>
      <c r="E184" s="1060"/>
      <c r="F184" s="14"/>
      <c r="G184" s="1060"/>
      <c r="H184" s="1060"/>
      <c r="I184" s="1060"/>
      <c r="J184" s="1129"/>
      <c r="K184" s="1129"/>
      <c r="L184" s="1129"/>
      <c r="M184" s="1129"/>
      <c r="N184" s="1129"/>
      <c r="O184" s="1060"/>
      <c r="P184" s="1060"/>
      <c r="Q184" s="1060"/>
      <c r="R184" s="1060"/>
      <c r="S184" s="1060"/>
      <c r="T184" s="1060"/>
      <c r="U184" s="1060"/>
      <c r="V184" s="1060"/>
      <c r="W184" s="1060"/>
      <c r="X184" s="1060"/>
    </row>
    <row r="185" spans="3:28">
      <c r="C185" s="1060"/>
      <c r="D185" s="1066" t="s">
        <v>31</v>
      </c>
      <c r="E185" s="1060"/>
      <c r="F185" s="1060"/>
      <c r="G185" s="1060"/>
      <c r="H185" s="1060"/>
      <c r="I185" s="1060"/>
      <c r="J185" s="1060"/>
      <c r="K185" s="1060"/>
      <c r="L185" s="1060"/>
      <c r="M185" s="1060"/>
      <c r="N185" s="1060"/>
      <c r="O185" s="1060"/>
      <c r="P185" s="1060"/>
      <c r="Q185" s="1060"/>
      <c r="R185" s="1060"/>
      <c r="S185" s="1060"/>
      <c r="T185" s="1060"/>
      <c r="U185" s="1060"/>
      <c r="V185" s="1060"/>
      <c r="W185" s="1060"/>
      <c r="X185" s="1060"/>
    </row>
    <row r="186" spans="3:28">
      <c r="C186" s="1060"/>
      <c r="D186" s="1060"/>
      <c r="E186" s="1060" t="s">
        <v>78</v>
      </c>
      <c r="F186" s="14" t="str">
        <f t="shared" ref="F186:F198" si="39">IF(E186="","","€'000")</f>
        <v>€'000</v>
      </c>
      <c r="G186" s="1060"/>
      <c r="H186" s="1060"/>
      <c r="I186" s="1192"/>
      <c r="J186" s="1033">
        <f>SUMIFS('ANSP Capex'!BF$348:BF$645,'ANSP Capex'!$D$348:$D$645,$E186)</f>
        <v>0</v>
      </c>
      <c r="K186" s="1033">
        <f>SUMIFS('ANSP Capex'!BG$348:BG$645,'ANSP Capex'!$D$348:$D$645,$E186)</f>
        <v>1401.8086550754017</v>
      </c>
      <c r="L186" s="1033">
        <f>SUMIFS('ANSP Capex'!BH$348:BH$645,'ANSP Capex'!$D$348:$D$645,$E186)</f>
        <v>3095.7918454633032</v>
      </c>
      <c r="M186" s="1033">
        <f>SUMIFS('ANSP Capex'!BI$348:BI$645,'ANSP Capex'!$D$348:$D$645,$E186)</f>
        <v>3502.5551307758033</v>
      </c>
      <c r="N186" s="1033">
        <f>SUMIFS('ANSP Capex'!BJ$348:BJ$645,'ANSP Capex'!$D$348:$D$645,$E186)</f>
        <v>3502.5551307758033</v>
      </c>
      <c r="O186" s="1060"/>
      <c r="P186" s="1060"/>
      <c r="Q186" s="1060"/>
      <c r="R186" s="1060"/>
      <c r="S186" s="1060"/>
      <c r="T186" s="1060"/>
      <c r="U186" s="1060"/>
      <c r="V186" s="1060"/>
      <c r="W186" s="1060"/>
      <c r="X186" s="1060"/>
    </row>
    <row r="187" spans="3:28">
      <c r="C187" s="1060"/>
      <c r="D187" s="1060"/>
      <c r="E187" s="1060" t="s">
        <v>79</v>
      </c>
      <c r="F187" s="14" t="str">
        <f t="shared" si="39"/>
        <v>€'000</v>
      </c>
      <c r="G187" s="1060"/>
      <c r="H187" s="1060"/>
      <c r="I187" s="1192"/>
      <c r="J187" s="1033">
        <f>SUMIFS('ANSP Capex'!BF$348:BF$645,'ANSP Capex'!$D$348:$D$645,$E187)</f>
        <v>112.30949</v>
      </c>
      <c r="K187" s="1033">
        <f>SUMIFS('ANSP Capex'!BG$348:BG$645,'ANSP Capex'!$D$348:$D$645,$E187)</f>
        <v>1347.1264422702704</v>
      </c>
      <c r="L187" s="1033">
        <f>SUMIFS('ANSP Capex'!BH$348:BH$645,'ANSP Capex'!$D$348:$D$645,$E187)</f>
        <v>1347.1264422702704</v>
      </c>
      <c r="M187" s="1033">
        <f>SUMIFS('ANSP Capex'!BI$348:BI$645,'ANSP Capex'!$D$348:$D$645,$E187)</f>
        <v>1347.0775014594597</v>
      </c>
      <c r="N187" s="1033">
        <f>SUMIFS('ANSP Capex'!BJ$348:BJ$645,'ANSP Capex'!$D$348:$D$645,$E187)</f>
        <v>1325.9836520000001</v>
      </c>
      <c r="O187" s="1060"/>
      <c r="P187" s="1060"/>
      <c r="Q187" s="1060"/>
      <c r="R187" s="1060"/>
      <c r="S187" s="1060"/>
      <c r="T187" s="1060"/>
      <c r="U187" s="1060"/>
      <c r="V187" s="1060"/>
      <c r="W187" s="1060"/>
      <c r="X187" s="1060"/>
    </row>
    <row r="188" spans="3:28">
      <c r="C188" s="1060"/>
      <c r="D188" s="1060"/>
      <c r="E188" s="1060" t="s">
        <v>80</v>
      </c>
      <c r="F188" s="14" t="str">
        <f t="shared" si="39"/>
        <v>€'000</v>
      </c>
      <c r="G188" s="1060"/>
      <c r="H188" s="1060"/>
      <c r="I188" s="1192"/>
      <c r="J188" s="1033">
        <f>SUMIFS('ANSP Capex'!BF$348:BF$645,'ANSP Capex'!$D$348:$D$645,$E188)</f>
        <v>0</v>
      </c>
      <c r="K188" s="1033">
        <f>SUMIFS('ANSP Capex'!BG$348:BG$645,'ANSP Capex'!$D$348:$D$645,$E188)</f>
        <v>234.50812758504645</v>
      </c>
      <c r="L188" s="1033">
        <f>SUMIFS('ANSP Capex'!BH$348:BH$645,'ANSP Capex'!$D$348:$D$645,$E188)</f>
        <v>724.70960168869306</v>
      </c>
      <c r="M188" s="1033">
        <f>SUMIFS('ANSP Capex'!BI$348:BI$645,'ANSP Capex'!$D$348:$D$645,$E188)</f>
        <v>932.08845631424367</v>
      </c>
      <c r="N188" s="1033">
        <f>SUMIFS('ANSP Capex'!BJ$348:BJ$645,'ANSP Capex'!$D$348:$D$645,$E188)</f>
        <v>1176.9107152471854</v>
      </c>
      <c r="O188" s="1060"/>
      <c r="P188" s="1060"/>
      <c r="Q188" s="1060"/>
      <c r="R188" s="1060"/>
      <c r="S188" s="1060"/>
      <c r="T188" s="1060"/>
      <c r="U188" s="1060"/>
      <c r="V188" s="1060"/>
      <c r="W188" s="1060"/>
      <c r="X188" s="1060"/>
    </row>
    <row r="189" spans="3:28">
      <c r="C189" s="1060"/>
      <c r="D189" s="1060"/>
      <c r="E189" s="1060" t="s">
        <v>81</v>
      </c>
      <c r="F189" s="14" t="str">
        <f t="shared" si="39"/>
        <v>€'000</v>
      </c>
      <c r="G189" s="1060"/>
      <c r="H189" s="1060"/>
      <c r="I189" s="1192"/>
      <c r="J189" s="1033">
        <f>SUMIFS('ANSP Capex'!BF$348:BF$645,'ANSP Capex'!$D$348:$D$645,$E189)</f>
        <v>0</v>
      </c>
      <c r="K189" s="1033">
        <f>SUMIFS('ANSP Capex'!BG$348:BG$645,'ANSP Capex'!$D$348:$D$645,$E189)</f>
        <v>0</v>
      </c>
      <c r="L189" s="1033">
        <f>SUMIFS('ANSP Capex'!BH$348:BH$645,'ANSP Capex'!$D$348:$D$645,$E189)</f>
        <v>0</v>
      </c>
      <c r="M189" s="1033">
        <f>SUMIFS('ANSP Capex'!BI$348:BI$645,'ANSP Capex'!$D$348:$D$645,$E189)</f>
        <v>0</v>
      </c>
      <c r="N189" s="1033">
        <f>SUMIFS('ANSP Capex'!BJ$348:BJ$645,'ANSP Capex'!$D$348:$D$645,$E189)</f>
        <v>0</v>
      </c>
      <c r="O189" s="1060"/>
      <c r="P189" s="1060"/>
      <c r="Q189" s="1060"/>
      <c r="R189" s="1060"/>
      <c r="S189" s="1060"/>
      <c r="T189" s="1060"/>
      <c r="U189" s="1060"/>
      <c r="V189" s="1060"/>
      <c r="W189" s="1060"/>
      <c r="X189" s="1060"/>
    </row>
    <row r="190" spans="3:28">
      <c r="C190" s="1060"/>
      <c r="D190" s="1060"/>
      <c r="E190" s="1060" t="s">
        <v>82</v>
      </c>
      <c r="F190" s="14" t="str">
        <f t="shared" si="39"/>
        <v>€'000</v>
      </c>
      <c r="G190" s="1060"/>
      <c r="H190" s="1060"/>
      <c r="I190" s="1192"/>
      <c r="J190" s="1033">
        <f>SUMIFS('ANSP Capex'!BF$348:BF$645,'ANSP Capex'!$D$348:$D$645,$E190)</f>
        <v>0</v>
      </c>
      <c r="K190" s="1033">
        <f>SUMIFS('ANSP Capex'!BG$348:BG$645,'ANSP Capex'!$D$348:$D$645,$E190)</f>
        <v>0</v>
      </c>
      <c r="L190" s="1033">
        <f>SUMIFS('ANSP Capex'!BH$348:BH$645,'ANSP Capex'!$D$348:$D$645,$E190)</f>
        <v>145.3125</v>
      </c>
      <c r="M190" s="1033">
        <f>SUMIFS('ANSP Capex'!BI$348:BI$645,'ANSP Capex'!$D$348:$D$645,$E190)</f>
        <v>848.4375</v>
      </c>
      <c r="N190" s="1033">
        <f>SUMIFS('ANSP Capex'!BJ$348:BJ$645,'ANSP Capex'!$D$348:$D$645,$E190)</f>
        <v>937.5</v>
      </c>
      <c r="O190" s="1060"/>
      <c r="P190" s="1060"/>
      <c r="Q190" s="1060"/>
      <c r="R190" s="1060"/>
      <c r="S190" s="1060"/>
      <c r="T190" s="1060"/>
      <c r="U190" s="1060"/>
      <c r="V190" s="1060"/>
      <c r="W190" s="1060"/>
      <c r="X190" s="1060"/>
    </row>
    <row r="191" spans="3:28">
      <c r="C191" s="1060"/>
      <c r="D191" s="1060"/>
      <c r="E191" s="1060" t="s">
        <v>83</v>
      </c>
      <c r="F191" s="14" t="str">
        <f t="shared" si="39"/>
        <v>€'000</v>
      </c>
      <c r="G191" s="1060"/>
      <c r="H191" s="1060"/>
      <c r="I191" s="1192"/>
      <c r="J191" s="1033">
        <f>SUMIFS('ANSP Capex'!BF$348:BF$645,'ANSP Capex'!$D$348:$D$645,$E191)</f>
        <v>0</v>
      </c>
      <c r="K191" s="1033">
        <f>SUMIFS('ANSP Capex'!BG$348:BG$645,'ANSP Capex'!$D$348:$D$645,$E191)</f>
        <v>0</v>
      </c>
      <c r="L191" s="1033">
        <f>SUMIFS('ANSP Capex'!BH$348:BH$645,'ANSP Capex'!$D$348:$D$645,$E191)</f>
        <v>0</v>
      </c>
      <c r="M191" s="1033">
        <f>SUMIFS('ANSP Capex'!BI$348:BI$645,'ANSP Capex'!$D$348:$D$645,$E191)</f>
        <v>0</v>
      </c>
      <c r="N191" s="1033">
        <f>SUMIFS('ANSP Capex'!BJ$348:BJ$645,'ANSP Capex'!$D$348:$D$645,$E191)</f>
        <v>0</v>
      </c>
      <c r="O191" s="1060"/>
      <c r="P191" s="1060"/>
      <c r="Q191" s="1060"/>
      <c r="R191" s="1060"/>
      <c r="S191" s="1060"/>
      <c r="T191" s="1060"/>
      <c r="U191" s="1060"/>
      <c r="V191" s="1060"/>
      <c r="W191" s="1060"/>
      <c r="X191" s="1060"/>
    </row>
    <row r="192" spans="3:28">
      <c r="C192" s="1060"/>
      <c r="D192" s="1060"/>
      <c r="E192" s="1060" t="s">
        <v>84</v>
      </c>
      <c r="F192" s="14" t="str">
        <f t="shared" si="39"/>
        <v>€'000</v>
      </c>
      <c r="G192" s="1060"/>
      <c r="H192" s="1060"/>
      <c r="I192" s="1192"/>
      <c r="J192" s="1033">
        <f>SUMIFS('ANSP Capex'!BF$348:BF$645,'ANSP Capex'!$D$348:$D$645,$E192)</f>
        <v>0</v>
      </c>
      <c r="K192" s="1033">
        <f>SUMIFS('ANSP Capex'!BG$348:BG$645,'ANSP Capex'!$D$348:$D$645,$E192)</f>
        <v>0</v>
      </c>
      <c r="L192" s="1033">
        <f>SUMIFS('ANSP Capex'!BH$348:BH$645,'ANSP Capex'!$D$348:$D$645,$E192)</f>
        <v>2.34375</v>
      </c>
      <c r="M192" s="1033">
        <f>SUMIFS('ANSP Capex'!BI$348:BI$645,'ANSP Capex'!$D$348:$D$645,$E192)</f>
        <v>614.53125</v>
      </c>
      <c r="N192" s="1033">
        <f>SUMIFS('ANSP Capex'!BJ$348:BJ$645,'ANSP Capex'!$D$348:$D$645,$E192)</f>
        <v>876.09375</v>
      </c>
      <c r="O192" s="1060"/>
      <c r="P192" s="1060"/>
      <c r="Q192" s="1060"/>
      <c r="R192" s="1060"/>
      <c r="S192" s="1060"/>
      <c r="T192" s="1060"/>
      <c r="U192" s="1060"/>
      <c r="V192" s="1060"/>
      <c r="W192" s="1060"/>
      <c r="X192" s="1060"/>
    </row>
    <row r="193" spans="3:28">
      <c r="C193" s="1060"/>
      <c r="D193" s="1060"/>
      <c r="E193" s="1060" t="s">
        <v>85</v>
      </c>
      <c r="F193" s="14" t="str">
        <f t="shared" si="39"/>
        <v>€'000</v>
      </c>
      <c r="G193" s="1060"/>
      <c r="H193" s="1060"/>
      <c r="I193" s="1192"/>
      <c r="J193" s="1033">
        <f>SUMIFS('ANSP Capex'!BF$348:BF$645,'ANSP Capex'!$D$348:$D$645,$E193)</f>
        <v>0</v>
      </c>
      <c r="K193" s="1033">
        <f>SUMIFS('ANSP Capex'!BG$348:BG$645,'ANSP Capex'!$D$348:$D$645,$E193)</f>
        <v>0</v>
      </c>
      <c r="L193" s="1033">
        <f>SUMIFS('ANSP Capex'!BH$348:BH$645,'ANSP Capex'!$D$348:$D$645,$E193)</f>
        <v>11.625</v>
      </c>
      <c r="M193" s="1033">
        <f>SUMIFS('ANSP Capex'!BI$348:BI$645,'ANSP Capex'!$D$348:$D$645,$E193)</f>
        <v>124</v>
      </c>
      <c r="N193" s="1033">
        <f>SUMIFS('ANSP Capex'!BJ$348:BJ$645,'ANSP Capex'!$D$348:$D$645,$E193)</f>
        <v>220.875</v>
      </c>
      <c r="O193" s="1060"/>
      <c r="P193" s="1060"/>
      <c r="Q193" s="1060"/>
      <c r="R193" s="1060"/>
      <c r="S193" s="1060"/>
      <c r="T193" s="1060"/>
      <c r="U193" s="1060"/>
      <c r="V193" s="1060"/>
      <c r="W193" s="1060"/>
      <c r="X193" s="1060"/>
    </row>
    <row r="194" spans="3:28">
      <c r="C194" s="1060"/>
      <c r="D194" s="1060"/>
      <c r="E194" s="1060"/>
      <c r="F194" s="14"/>
      <c r="G194" s="1060"/>
      <c r="H194" s="1060"/>
      <c r="I194" s="1192"/>
      <c r="J194" s="1192"/>
      <c r="K194" s="1192"/>
      <c r="L194" s="1192"/>
      <c r="M194" s="1192"/>
      <c r="N194" s="1192"/>
      <c r="O194" s="1060"/>
      <c r="P194" s="1060"/>
      <c r="Q194" s="1060"/>
      <c r="R194" s="1060"/>
      <c r="S194" s="1060"/>
      <c r="T194" s="1060"/>
      <c r="U194" s="1060"/>
      <c r="V194" s="1060"/>
      <c r="W194" s="1060"/>
      <c r="X194" s="1060"/>
    </row>
    <row r="195" spans="3:28">
      <c r="C195" s="1060"/>
      <c r="D195" s="1060"/>
      <c r="E195" s="1060" t="s">
        <v>86</v>
      </c>
      <c r="F195" s="14" t="str">
        <f t="shared" si="39"/>
        <v>€'000</v>
      </c>
      <c r="G195" s="1060"/>
      <c r="H195" s="1060"/>
      <c r="I195" s="1192"/>
      <c r="J195" s="1193">
        <f>'ANSP Capex'!BF649-SUM(J186:J193)</f>
        <v>163.33345000000008</v>
      </c>
      <c r="K195" s="1193">
        <f>'ANSP Capex'!BG649-SUM(K186:K193)</f>
        <v>1079.3533831755844</v>
      </c>
      <c r="L195" s="1193">
        <f>'ANSP Capex'!BH649-SUM(L186:L193)</f>
        <v>4647.9936819264749</v>
      </c>
      <c r="M195" s="1193">
        <f>'ANSP Capex'!BI649-SUM(M186:M193)</f>
        <v>7173.8275773389933</v>
      </c>
      <c r="N195" s="1193">
        <f>'ANSP Capex'!BJ649-SUM(N186:N193)</f>
        <v>8945.8883493164158</v>
      </c>
      <c r="O195" s="1060"/>
      <c r="P195" s="1060"/>
      <c r="Q195" s="1060"/>
      <c r="R195" s="1060"/>
      <c r="S195" s="1060"/>
      <c r="T195" s="1060"/>
      <c r="U195" s="1060"/>
      <c r="V195" s="1060"/>
      <c r="W195" s="1060"/>
      <c r="X195" s="1060"/>
    </row>
    <row r="196" spans="3:28">
      <c r="C196" s="1060"/>
      <c r="D196" s="1060"/>
      <c r="E196" s="1060" t="s">
        <v>87</v>
      </c>
      <c r="F196" s="14" t="str">
        <f t="shared" si="39"/>
        <v>€'000</v>
      </c>
      <c r="G196" s="1060"/>
      <c r="H196" s="1060"/>
      <c r="I196" s="1192"/>
      <c r="J196" s="1033">
        <f>'ANSP Capex'!BF650</f>
        <v>8550.5722256201316</v>
      </c>
      <c r="K196" s="1033">
        <f>'ANSP Capex'!BG650</f>
        <v>7980.2620400368105</v>
      </c>
      <c r="L196" s="1033">
        <f>'ANSP Capex'!BH650</f>
        <v>6432.2138783700902</v>
      </c>
      <c r="M196" s="1033">
        <f>'ANSP Capex'!BI650</f>
        <v>4529.4260649534535</v>
      </c>
      <c r="N196" s="1033">
        <f>'ANSP Capex'!BJ650</f>
        <v>2415.1777417867866</v>
      </c>
      <c r="O196" s="1060"/>
      <c r="P196" s="1060"/>
      <c r="Q196" s="1060"/>
      <c r="R196" s="1060"/>
      <c r="S196" s="1060"/>
      <c r="T196" s="1060"/>
      <c r="U196" s="1060"/>
      <c r="V196" s="1060"/>
      <c r="W196" s="1060"/>
      <c r="X196" s="1060"/>
    </row>
    <row r="197" spans="3:28">
      <c r="C197" s="1060"/>
      <c r="D197" s="1060"/>
      <c r="E197" s="1060"/>
      <c r="F197" s="14"/>
      <c r="G197" s="1060"/>
      <c r="H197" s="1060"/>
      <c r="I197" s="1060"/>
      <c r="J197" s="1129"/>
      <c r="K197" s="1129"/>
      <c r="L197" s="1129"/>
      <c r="M197" s="1129"/>
      <c r="N197" s="1129"/>
      <c r="O197" s="1060"/>
      <c r="P197" s="1060"/>
      <c r="Q197" s="1060"/>
      <c r="R197" s="1060"/>
      <c r="S197" s="1060"/>
      <c r="T197" s="1060"/>
      <c r="U197" s="1060"/>
      <c r="V197" s="1060"/>
      <c r="W197" s="1060"/>
      <c r="X197" s="1060"/>
    </row>
    <row r="198" spans="3:28">
      <c r="C198" s="1060"/>
      <c r="D198" s="1060"/>
      <c r="E198" s="1066" t="s">
        <v>12</v>
      </c>
      <c r="F198" s="1053" t="str">
        <f t="shared" si="39"/>
        <v>€'000</v>
      </c>
      <c r="G198" s="1060"/>
      <c r="H198" s="1060"/>
      <c r="I198" s="1060"/>
      <c r="J198" s="1194">
        <f>SUM(J186:J196)</f>
        <v>8826.2151656201313</v>
      </c>
      <c r="K198" s="1194">
        <f t="shared" ref="K198:N198" si="40">SUM(K186:K196)</f>
        <v>12043.058648143113</v>
      </c>
      <c r="L198" s="1194">
        <f t="shared" si="40"/>
        <v>16407.116699718834</v>
      </c>
      <c r="M198" s="1194">
        <f t="shared" si="40"/>
        <v>19071.943480841954</v>
      </c>
      <c r="N198" s="1194">
        <f t="shared" si="40"/>
        <v>19400.984339126189</v>
      </c>
      <c r="O198" s="1060"/>
      <c r="P198" s="1060"/>
      <c r="Q198" s="1060"/>
      <c r="R198" s="1060"/>
      <c r="S198" s="1060"/>
      <c r="T198" s="1060"/>
      <c r="U198" s="1060"/>
      <c r="V198" s="1060"/>
      <c r="W198" s="1060"/>
      <c r="X198" s="1060"/>
      <c r="AB198" s="1656">
        <f>SUM('ANSP Capex'!BF651:BJ651)-SUM(J198:N198)</f>
        <v>0</v>
      </c>
    </row>
    <row r="199" spans="3:28">
      <c r="C199" s="1060"/>
      <c r="D199" s="1060"/>
      <c r="E199" s="1060"/>
      <c r="F199" s="14"/>
      <c r="G199" s="1060"/>
      <c r="H199" s="1060"/>
      <c r="I199" s="1060"/>
      <c r="J199" s="1129"/>
      <c r="K199" s="1129"/>
      <c r="L199" s="1129"/>
      <c r="M199" s="1129"/>
      <c r="N199" s="1129"/>
      <c r="O199" s="1060"/>
      <c r="P199" s="1060"/>
      <c r="Q199" s="1060"/>
      <c r="R199" s="1060"/>
      <c r="S199" s="1060"/>
      <c r="T199" s="1060"/>
      <c r="U199" s="1060"/>
      <c r="V199" s="1060"/>
      <c r="W199" s="1060"/>
      <c r="X199" s="1060"/>
    </row>
    <row r="200" spans="3:28">
      <c r="C200" s="1060"/>
      <c r="D200" s="1060"/>
      <c r="E200" s="1060"/>
      <c r="F200" s="14"/>
      <c r="G200" s="1060"/>
      <c r="H200" s="1060"/>
      <c r="I200" s="1060"/>
      <c r="J200" s="1129"/>
      <c r="K200" s="1129"/>
      <c r="L200" s="1129"/>
      <c r="M200" s="1129"/>
      <c r="N200" s="1129"/>
      <c r="O200" s="1060"/>
      <c r="P200" s="1060"/>
      <c r="Q200" s="1060"/>
      <c r="R200" s="1060"/>
      <c r="S200" s="1060"/>
      <c r="T200" s="1060"/>
      <c r="U200" s="1060"/>
      <c r="V200" s="1060"/>
      <c r="W200" s="1060"/>
      <c r="X200" s="1060"/>
    </row>
    <row r="201" spans="3:28">
      <c r="C201" s="1060"/>
      <c r="D201" s="1060"/>
      <c r="E201" s="1060"/>
      <c r="F201" s="14"/>
      <c r="G201" s="1060"/>
      <c r="H201" s="1060"/>
      <c r="I201" s="1060"/>
      <c r="J201" s="1129"/>
      <c r="K201" s="1129"/>
      <c r="L201" s="1129"/>
      <c r="M201" s="1129"/>
      <c r="N201" s="1129"/>
      <c r="O201" s="1060"/>
      <c r="P201" s="1060"/>
      <c r="Q201" s="1060"/>
      <c r="R201" s="1060"/>
      <c r="S201" s="1060"/>
      <c r="T201" s="1060"/>
      <c r="U201" s="1060"/>
      <c r="V201" s="1060"/>
      <c r="W201" s="1060"/>
      <c r="X201" s="1060"/>
    </row>
    <row r="202" spans="3:28">
      <c r="C202" s="1060"/>
      <c r="D202" s="1060"/>
      <c r="E202" s="1060"/>
      <c r="F202" s="14"/>
      <c r="G202" s="1060"/>
      <c r="H202" s="1060"/>
      <c r="I202" s="1060"/>
      <c r="J202" s="1129"/>
      <c r="K202" s="1129"/>
      <c r="L202" s="1129"/>
      <c r="M202" s="1129"/>
      <c r="N202" s="1129"/>
      <c r="O202" s="1060"/>
      <c r="P202" s="1060"/>
      <c r="Q202" s="1060"/>
      <c r="R202" s="1060"/>
      <c r="S202" s="1060"/>
      <c r="T202" s="1060"/>
      <c r="U202" s="1060"/>
      <c r="V202" s="1060"/>
      <c r="W202" s="1060"/>
      <c r="X202" s="1060"/>
    </row>
    <row r="203" spans="3:28">
      <c r="C203" s="1060"/>
      <c r="D203" s="1060"/>
      <c r="E203" s="1060"/>
      <c r="F203" s="14"/>
      <c r="G203" s="1060"/>
      <c r="H203" s="1060"/>
      <c r="I203" s="1060"/>
      <c r="J203" s="1129"/>
      <c r="K203" s="1129"/>
      <c r="L203" s="1129"/>
      <c r="M203" s="1129"/>
      <c r="N203" s="1129"/>
      <c r="O203" s="1060"/>
      <c r="P203" s="1060"/>
      <c r="Q203" s="1060"/>
      <c r="R203" s="1060"/>
      <c r="S203" s="1060"/>
      <c r="T203" s="1060"/>
      <c r="U203" s="1060"/>
      <c r="V203" s="1060"/>
      <c r="W203" s="1060"/>
      <c r="X203" s="1060"/>
    </row>
    <row r="204" spans="3:28">
      <c r="C204" s="1060"/>
      <c r="D204" s="1060"/>
      <c r="E204" s="1060"/>
      <c r="F204" s="14"/>
      <c r="G204" s="1060"/>
      <c r="H204" s="1060"/>
      <c r="I204" s="1060"/>
      <c r="J204" s="1129"/>
      <c r="K204" s="1129"/>
      <c r="L204" s="1129"/>
      <c r="M204" s="1129"/>
      <c r="N204" s="1129"/>
      <c r="O204" s="1060"/>
      <c r="P204" s="1060"/>
      <c r="Q204" s="1060"/>
      <c r="R204" s="1060"/>
      <c r="S204" s="1060"/>
      <c r="T204" s="1060"/>
      <c r="U204" s="1060"/>
      <c r="V204" s="1060"/>
      <c r="W204" s="1060"/>
      <c r="X204" s="1060"/>
    </row>
    <row r="205" spans="3:28">
      <c r="C205" s="1060"/>
      <c r="D205" s="1060"/>
      <c r="E205" s="1060"/>
      <c r="F205" s="14"/>
      <c r="G205" s="1060"/>
      <c r="H205" s="1060"/>
      <c r="I205" s="1060"/>
      <c r="J205" s="1129"/>
      <c r="K205" s="1129"/>
      <c r="L205" s="1129"/>
      <c r="M205" s="1129"/>
      <c r="N205" s="1129"/>
      <c r="O205" s="1060"/>
      <c r="P205" s="1060"/>
      <c r="Q205" s="1060"/>
      <c r="R205" s="1060"/>
      <c r="S205" s="1060"/>
      <c r="T205" s="1060"/>
      <c r="U205" s="1060"/>
      <c r="V205" s="1060"/>
      <c r="W205" s="1060"/>
      <c r="X205" s="1060"/>
    </row>
    <row r="206" spans="3:28">
      <c r="C206" s="1060"/>
      <c r="D206" s="1060"/>
      <c r="E206" s="1060"/>
      <c r="F206" s="14"/>
      <c r="G206" s="1060"/>
      <c r="H206" s="1060"/>
      <c r="I206" s="1060"/>
      <c r="J206" s="1129"/>
      <c r="K206" s="1129"/>
      <c r="L206" s="1129"/>
      <c r="M206" s="1129"/>
      <c r="N206" s="1129"/>
      <c r="O206" s="1060"/>
      <c r="P206" s="1060"/>
      <c r="Q206" s="1060"/>
      <c r="R206" s="1060"/>
      <c r="S206" s="1060"/>
      <c r="T206" s="1060"/>
      <c r="U206" s="1060"/>
      <c r="V206" s="1060"/>
      <c r="W206" s="1060"/>
      <c r="X206" s="1060"/>
    </row>
    <row r="207" spans="3:28">
      <c r="C207" s="1060"/>
      <c r="D207" s="1060"/>
      <c r="E207" s="1060"/>
      <c r="F207" s="14"/>
      <c r="G207" s="1060"/>
      <c r="H207" s="1060"/>
      <c r="I207" s="1060"/>
      <c r="J207" s="1129"/>
      <c r="K207" s="1129"/>
      <c r="L207" s="1129"/>
      <c r="M207" s="1129"/>
      <c r="N207" s="1129"/>
      <c r="O207" s="1060"/>
      <c r="P207" s="1060"/>
      <c r="Q207" s="1060"/>
      <c r="R207" s="1060"/>
      <c r="S207" s="1060"/>
      <c r="T207" s="1060"/>
      <c r="U207" s="1060"/>
      <c r="V207" s="1060"/>
      <c r="W207" s="1060"/>
      <c r="X207" s="1060"/>
    </row>
    <row r="208" spans="3:28">
      <c r="C208" s="1060"/>
      <c r="D208" s="1060"/>
      <c r="E208" s="1060"/>
      <c r="F208" s="14"/>
      <c r="G208" s="1060"/>
      <c r="H208" s="1060"/>
      <c r="I208" s="1060"/>
      <c r="J208" s="1129"/>
      <c r="K208" s="1129"/>
      <c r="L208" s="1129"/>
      <c r="M208" s="1129"/>
      <c r="N208" s="1129"/>
      <c r="O208" s="1060"/>
      <c r="P208" s="1060"/>
      <c r="Q208" s="1060"/>
      <c r="R208" s="1060"/>
      <c r="S208" s="1060"/>
      <c r="T208" s="1060"/>
      <c r="U208" s="1060"/>
      <c r="V208" s="1060"/>
      <c r="W208" s="1060"/>
      <c r="X208" s="1060"/>
    </row>
    <row r="209" spans="3:28">
      <c r="C209" s="1039" t="s">
        <v>88</v>
      </c>
      <c r="D209" s="1039"/>
      <c r="E209" s="1039"/>
      <c r="F209" s="1039"/>
      <c r="G209" s="1039"/>
      <c r="H209" s="1039"/>
      <c r="I209" s="1039"/>
      <c r="J209" s="1039"/>
      <c r="K209" s="1039"/>
      <c r="L209" s="1039"/>
      <c r="M209" s="1039"/>
      <c r="N209" s="1039"/>
      <c r="O209" s="1039"/>
      <c r="P209" s="1039"/>
      <c r="Q209" s="1039"/>
      <c r="R209" s="1039"/>
      <c r="S209" s="1039"/>
      <c r="T209" s="1039"/>
      <c r="U209" s="1039"/>
      <c r="V209" s="1039"/>
      <c r="W209" s="1039"/>
      <c r="X209" s="1039"/>
    </row>
    <row r="210" spans="3:28">
      <c r="C210" s="1060"/>
      <c r="D210" s="1060"/>
      <c r="E210" s="1060"/>
      <c r="F210" s="1060"/>
      <c r="G210" s="1060"/>
      <c r="H210" s="1060"/>
      <c r="I210" s="1060"/>
      <c r="J210" s="1060"/>
      <c r="K210" s="1060"/>
      <c r="L210" s="1060"/>
      <c r="M210" s="1060"/>
      <c r="N210" s="1060"/>
      <c r="O210" s="1060"/>
      <c r="P210" s="1060"/>
      <c r="Q210" s="1060"/>
      <c r="R210" s="1060"/>
      <c r="S210" s="1060"/>
      <c r="T210" s="1060"/>
      <c r="U210" s="1060"/>
      <c r="V210" s="1060"/>
      <c r="W210" s="1060"/>
      <c r="X210" s="1060"/>
    </row>
    <row r="211" spans="3:28">
      <c r="C211" s="1060"/>
      <c r="D211" s="1066" t="s">
        <v>77</v>
      </c>
      <c r="E211" s="1060"/>
      <c r="F211" s="1060"/>
      <c r="G211" s="1060"/>
      <c r="H211" s="1060"/>
      <c r="I211" s="1060"/>
      <c r="J211" s="1060"/>
      <c r="K211" s="1060"/>
      <c r="L211" s="1060"/>
      <c r="M211" s="1060"/>
      <c r="N211" s="1060"/>
      <c r="O211" s="1060"/>
      <c r="P211" s="1060"/>
      <c r="Q211" s="1060"/>
      <c r="R211" s="1060"/>
      <c r="S211" s="1060"/>
      <c r="T211" s="1060"/>
      <c r="U211" s="1060"/>
      <c r="V211" s="1060"/>
      <c r="W211" s="1060"/>
      <c r="X211" s="1060"/>
    </row>
    <row r="212" spans="3:28">
      <c r="C212" s="1060"/>
      <c r="D212" s="1060"/>
      <c r="E212" s="1060" t="s">
        <v>78</v>
      </c>
      <c r="F212" s="1060"/>
      <c r="G212" s="1060"/>
      <c r="H212" s="1060"/>
      <c r="I212" s="1192"/>
      <c r="J212" s="1033">
        <f>SUMIFS('ANSP Capex (CAR)'!BH$49:BH$346,'ANSP Capex (CAR)'!$D$49:$D$346,$E212)</f>
        <v>0</v>
      </c>
      <c r="K212" s="1033">
        <f>SUMIFS('ANSP Capex (CAR)'!BI$49:BI$346,'ANSP Capex (CAR)'!$D$49:$D$346,$E212)</f>
        <v>44264.514381206427</v>
      </c>
      <c r="L212" s="1033">
        <f>SUMIFS('ANSP Capex (CAR)'!BJ$49:BJ$346,'ANSP Capex (CAR)'!$D$49:$D$346,$E212)</f>
        <v>4674.7925649999997</v>
      </c>
      <c r="M212" s="1033">
        <f>SUMIFS('ANSP Capex (CAR)'!BK$49:BK$346,'ANSP Capex (CAR)'!$D$49:$D$346,$E212)</f>
        <v>916.71</v>
      </c>
      <c r="N212" s="1033">
        <f>SUMIFS('ANSP Capex (CAR)'!BL$49:BL$346,'ANSP Capex (CAR)'!$D$49:$D$346,$E212)</f>
        <v>0</v>
      </c>
      <c r="O212" s="1060"/>
      <c r="P212" s="1060"/>
      <c r="Q212" s="1060"/>
      <c r="R212" s="1060"/>
      <c r="S212" s="1060"/>
      <c r="T212" s="1060"/>
      <c r="U212" s="1060"/>
      <c r="V212" s="1060"/>
      <c r="W212" s="1060"/>
      <c r="X212" s="1060"/>
    </row>
    <row r="213" spans="3:28">
      <c r="C213" s="1060"/>
      <c r="D213" s="1060"/>
      <c r="E213" s="1060" t="s">
        <v>79</v>
      </c>
      <c r="F213" s="14" t="s">
        <v>29</v>
      </c>
      <c r="G213" s="1060"/>
      <c r="H213" s="1060"/>
      <c r="I213" s="1192"/>
      <c r="J213" s="1033">
        <f>SUMIFS('ANSP Capex (CAR)'!BH$49:BH$346,'ANSP Capex (CAR)'!$D$49:$D$346,$E213)</f>
        <v>13566.4228</v>
      </c>
      <c r="K213" s="1033">
        <f>SUMIFS('ANSP Capex (CAR)'!BI$49:BI$346,'ANSP Capex (CAR)'!$D$49:$D$346,$E213)</f>
        <v>0</v>
      </c>
      <c r="L213" s="1033">
        <f>SUMIFS('ANSP Capex (CAR)'!BJ$49:BJ$346,'ANSP Capex (CAR)'!$D$49:$D$346,$E213)</f>
        <v>0</v>
      </c>
      <c r="M213" s="1033">
        <f>SUMIFS('ANSP Capex (CAR)'!BK$49:BK$346,'ANSP Capex (CAR)'!$D$49:$D$346,$E213)</f>
        <v>0</v>
      </c>
      <c r="N213" s="1033">
        <f>SUMIFS('ANSP Capex (CAR)'!BL$49:BL$346,'ANSP Capex (CAR)'!$D$49:$D$346,$E213)</f>
        <v>0</v>
      </c>
      <c r="O213" s="1060"/>
      <c r="P213" s="1060"/>
      <c r="Q213" s="1060"/>
      <c r="R213" s="1060"/>
      <c r="S213" s="1060"/>
      <c r="T213" s="1060"/>
      <c r="U213" s="1060"/>
      <c r="V213" s="1060"/>
      <c r="W213" s="1060"/>
      <c r="X213" s="1060"/>
    </row>
    <row r="214" spans="3:28">
      <c r="C214" s="1060"/>
      <c r="D214" s="1060"/>
      <c r="E214" s="1060" t="s">
        <v>80</v>
      </c>
      <c r="F214" s="14" t="s">
        <v>29</v>
      </c>
      <c r="G214" s="1060"/>
      <c r="H214" s="1060"/>
      <c r="I214" s="1192"/>
      <c r="J214" s="1033">
        <f>SUMIFS('ANSP Capex (CAR)'!BH$49:BH$346,'ANSP Capex (CAR)'!$D$49:$D$346,$E214)</f>
        <v>0</v>
      </c>
      <c r="K214" s="1033">
        <f>SUMIFS('ANSP Capex (CAR)'!BI$49:BI$346,'ANSP Capex (CAR)'!$D$49:$D$346,$E214)</f>
        <v>3698.0239765051392</v>
      </c>
      <c r="L214" s="1033">
        <f>SUMIFS('ANSP Capex (CAR)'!BJ$49:BJ$346,'ANSP Capex (CAR)'!$D$49:$D$346,$E214)</f>
        <v>1253.489965736662</v>
      </c>
      <c r="M214" s="1033">
        <f>SUMIFS('ANSP Capex (CAR)'!BK$49:BK$346,'ANSP Capex (CAR)'!$D$49:$D$346,$E214)</f>
        <v>2359.5105237395987</v>
      </c>
      <c r="N214" s="1033">
        <f>SUMIFS('ANSP Capex (CAR)'!BL$49:BL$346,'ANSP Capex (CAR)'!$D$49:$D$346,$E214)</f>
        <v>221.2041116005874</v>
      </c>
      <c r="O214" s="1060"/>
      <c r="P214" s="1060"/>
      <c r="Q214" s="1060"/>
      <c r="R214" s="1060"/>
      <c r="S214" s="1060"/>
      <c r="T214" s="1060"/>
      <c r="U214" s="1060"/>
      <c r="V214" s="1060"/>
      <c r="W214" s="1060"/>
      <c r="X214" s="1060"/>
    </row>
    <row r="215" spans="3:28">
      <c r="C215" s="1060"/>
      <c r="D215" s="1060"/>
      <c r="E215" s="1060" t="s">
        <v>81</v>
      </c>
      <c r="F215" s="14" t="s">
        <v>29</v>
      </c>
      <c r="G215" s="1060"/>
      <c r="H215" s="1060"/>
      <c r="I215" s="1192"/>
      <c r="J215" s="1033">
        <f>SUMIFS('ANSP Capex (CAR)'!BH$49:BH$346,'ANSP Capex (CAR)'!$D$49:$D$346,$E215)</f>
        <v>0</v>
      </c>
      <c r="K215" s="1033">
        <f>SUMIFS('ANSP Capex (CAR)'!BI$49:BI$346,'ANSP Capex (CAR)'!$D$49:$D$346,$E215)</f>
        <v>0</v>
      </c>
      <c r="L215" s="1033">
        <f>SUMIFS('ANSP Capex (CAR)'!BJ$49:BJ$346,'ANSP Capex (CAR)'!$D$49:$D$346,$E215)</f>
        <v>0</v>
      </c>
      <c r="M215" s="1033">
        <f>SUMIFS('ANSP Capex (CAR)'!BK$49:BK$346,'ANSP Capex (CAR)'!$D$49:$D$346,$E215)</f>
        <v>0</v>
      </c>
      <c r="N215" s="1033">
        <f>SUMIFS('ANSP Capex (CAR)'!BL$49:BL$346,'ANSP Capex (CAR)'!$D$49:$D$346,$E215)</f>
        <v>0</v>
      </c>
      <c r="O215" s="1060"/>
      <c r="P215" s="1060"/>
      <c r="Q215" s="1060"/>
      <c r="R215" s="1060"/>
      <c r="S215" s="1060"/>
      <c r="T215" s="1060"/>
      <c r="U215" s="1060"/>
      <c r="V215" s="1060"/>
      <c r="W215" s="1060"/>
      <c r="X215" s="1060"/>
    </row>
    <row r="216" spans="3:28">
      <c r="C216" s="1060"/>
      <c r="D216" s="1060"/>
      <c r="E216" s="1060" t="s">
        <v>82</v>
      </c>
      <c r="F216" s="14" t="s">
        <v>29</v>
      </c>
      <c r="G216" s="1060"/>
      <c r="H216" s="1060"/>
      <c r="I216" s="1192"/>
      <c r="J216" s="1033">
        <f>SUMIFS('ANSP Capex (CAR)'!BH$49:BH$346,'ANSP Capex (CAR)'!$D$49:$D$346,$E216)</f>
        <v>0</v>
      </c>
      <c r="K216" s="1033">
        <f>SUMIFS('ANSP Capex (CAR)'!BI$49:BI$346,'ANSP Capex (CAR)'!$D$49:$D$346,$E216)</f>
        <v>0</v>
      </c>
      <c r="L216" s="1033">
        <f>SUMIFS('ANSP Capex (CAR)'!BJ$49:BJ$346,'ANSP Capex (CAR)'!$D$49:$D$346,$E216)</f>
        <v>3720</v>
      </c>
      <c r="M216" s="1033">
        <f>SUMIFS('ANSP Capex (CAR)'!BK$49:BK$346,'ANSP Capex (CAR)'!$D$49:$D$346,$E216)</f>
        <v>2280</v>
      </c>
      <c r="N216" s="1033">
        <f>SUMIFS('ANSP Capex (CAR)'!BL$49:BL$346,'ANSP Capex (CAR)'!$D$49:$D$346,$E216)</f>
        <v>0</v>
      </c>
      <c r="O216" s="1060"/>
      <c r="P216" s="1060"/>
      <c r="Q216" s="1060"/>
      <c r="R216" s="1060"/>
      <c r="S216" s="1060"/>
      <c r="T216" s="1060"/>
      <c r="U216" s="1060"/>
      <c r="V216" s="1060"/>
      <c r="W216" s="1060"/>
      <c r="X216" s="1060"/>
    </row>
    <row r="217" spans="3:28">
      <c r="C217" s="1060"/>
      <c r="D217" s="1060"/>
      <c r="E217" s="1060" t="s">
        <v>83</v>
      </c>
      <c r="F217" s="14" t="s">
        <v>29</v>
      </c>
      <c r="G217" s="1060"/>
      <c r="H217" s="1060"/>
      <c r="I217" s="1192"/>
      <c r="J217" s="1033">
        <f>SUMIFS('ANSP Capex (CAR)'!BH$49:BH$346,'ANSP Capex (CAR)'!$D$49:$D$346,$E217)</f>
        <v>0</v>
      </c>
      <c r="K217" s="1033">
        <f>SUMIFS('ANSP Capex (CAR)'!BI$49:BI$346,'ANSP Capex (CAR)'!$D$49:$D$346,$E217)</f>
        <v>0</v>
      </c>
      <c r="L217" s="1033">
        <f>SUMIFS('ANSP Capex (CAR)'!BJ$49:BJ$346,'ANSP Capex (CAR)'!$D$49:$D$346,$E217)</f>
        <v>0</v>
      </c>
      <c r="M217" s="1033">
        <f>SUMIFS('ANSP Capex (CAR)'!BK$49:BK$346,'ANSP Capex (CAR)'!$D$49:$D$346,$E217)</f>
        <v>0</v>
      </c>
      <c r="N217" s="1033">
        <f>SUMIFS('ANSP Capex (CAR)'!BL$49:BL$346,'ANSP Capex (CAR)'!$D$49:$D$346,$E217)</f>
        <v>0</v>
      </c>
      <c r="O217" s="1060"/>
      <c r="P217" s="1060"/>
      <c r="Q217" s="1060"/>
      <c r="R217" s="1060"/>
      <c r="S217" s="1060"/>
      <c r="T217" s="1060"/>
      <c r="U217" s="1060"/>
      <c r="V217" s="1060"/>
      <c r="W217" s="1060"/>
      <c r="X217" s="1060"/>
    </row>
    <row r="218" spans="3:28">
      <c r="C218" s="1060"/>
      <c r="D218" s="1060"/>
      <c r="E218" s="1060" t="s">
        <v>84</v>
      </c>
      <c r="F218" s="14" t="s">
        <v>29</v>
      </c>
      <c r="G218" s="1060"/>
      <c r="H218" s="1060"/>
      <c r="I218" s="1192"/>
      <c r="J218" s="1033">
        <f>SUMIFS('ANSP Capex (CAR)'!BH$49:BH$346,'ANSP Capex (CAR)'!$D$49:$D$346,$E218)</f>
        <v>0</v>
      </c>
      <c r="K218" s="1033">
        <f>SUMIFS('ANSP Capex (CAR)'!BI$49:BI$346,'ANSP Capex (CAR)'!$D$49:$D$346,$E218)</f>
        <v>0</v>
      </c>
      <c r="L218" s="1033">
        <f>SUMIFS('ANSP Capex (CAR)'!BJ$49:BJ$346,'ANSP Capex (CAR)'!$D$49:$D$346,$E218)</f>
        <v>60</v>
      </c>
      <c r="M218" s="1033">
        <f>SUMIFS('ANSP Capex (CAR)'!BK$49:BK$346,'ANSP Capex (CAR)'!$D$49:$D$346,$E218)</f>
        <v>5268</v>
      </c>
      <c r="N218" s="1033">
        <f>SUMIFS('ANSP Capex (CAR)'!BL$49:BL$346,'ANSP Capex (CAR)'!$D$49:$D$346,$E218)</f>
        <v>279</v>
      </c>
      <c r="O218" s="1060"/>
      <c r="P218" s="1060"/>
      <c r="Q218" s="1060"/>
      <c r="R218" s="1060"/>
      <c r="S218" s="1060"/>
      <c r="T218" s="1060"/>
      <c r="U218" s="1060"/>
      <c r="V218" s="1060"/>
      <c r="W218" s="1060"/>
      <c r="X218" s="1060"/>
    </row>
    <row r="219" spans="3:28">
      <c r="C219" s="1060"/>
      <c r="D219" s="1060"/>
      <c r="E219" s="1060" t="s">
        <v>85</v>
      </c>
      <c r="F219" s="14" t="s">
        <v>29</v>
      </c>
      <c r="G219" s="1060"/>
      <c r="H219" s="1060"/>
      <c r="I219" s="1192"/>
      <c r="J219" s="1033">
        <f>SUMIFS('ANSP Capex (CAR)'!BH$49:BH$346,'ANSP Capex (CAR)'!$D$49:$D$346,$E219)</f>
        <v>0</v>
      </c>
      <c r="K219" s="1033">
        <f>SUMIFS('ANSP Capex (CAR)'!BI$49:BI$346,'ANSP Capex (CAR)'!$D$49:$D$346,$E219)</f>
        <v>0</v>
      </c>
      <c r="L219" s="1033">
        <f>SUMIFS('ANSP Capex (CAR)'!BJ$49:BJ$346,'ANSP Capex (CAR)'!$D$49:$D$346,$E219)</f>
        <v>744</v>
      </c>
      <c r="M219" s="1033">
        <f>SUMIFS('ANSP Capex (CAR)'!BK$49:BK$346,'ANSP Capex (CAR)'!$D$49:$D$346,$E219)</f>
        <v>310</v>
      </c>
      <c r="N219" s="1033">
        <f>SUMIFS('ANSP Capex (CAR)'!BL$49:BL$346,'ANSP Capex (CAR)'!$D$49:$D$346,$E219)</f>
        <v>1550</v>
      </c>
      <c r="O219" s="1060"/>
      <c r="P219" s="1060"/>
      <c r="Q219" s="1060"/>
      <c r="R219" s="1060"/>
      <c r="S219" s="1060"/>
      <c r="T219" s="1060"/>
      <c r="U219" s="1060"/>
      <c r="V219" s="1060"/>
      <c r="W219" s="1060"/>
      <c r="X219" s="1060"/>
    </row>
    <row r="220" spans="3:28">
      <c r="C220" s="1060"/>
      <c r="D220" s="1060"/>
      <c r="E220" s="1060"/>
      <c r="F220" s="14"/>
      <c r="G220" s="1060"/>
      <c r="H220" s="1060"/>
      <c r="I220" s="1192"/>
      <c r="J220" s="1192"/>
      <c r="K220" s="1192"/>
      <c r="L220" s="1192"/>
      <c r="M220" s="1192"/>
      <c r="N220" s="1192"/>
      <c r="O220" s="1060"/>
      <c r="P220" s="1060"/>
      <c r="Q220" s="1060"/>
      <c r="R220" s="1060"/>
      <c r="S220" s="1060"/>
      <c r="T220" s="1060"/>
      <c r="U220" s="1060"/>
      <c r="V220" s="1060"/>
      <c r="W220" s="1060"/>
      <c r="X220" s="1060"/>
    </row>
    <row r="221" spans="3:28">
      <c r="C221" s="1060"/>
      <c r="D221" s="1060"/>
      <c r="E221" s="1060" t="s">
        <v>86</v>
      </c>
      <c r="F221" s="14" t="s">
        <v>29</v>
      </c>
      <c r="G221" s="1060"/>
      <c r="H221" s="1060"/>
      <c r="I221" s="1192"/>
      <c r="J221" s="1033">
        <f>J223-SUM(J212:J219)</f>
        <v>1731.9064299999955</v>
      </c>
      <c r="K221" s="1033">
        <f>K223-SUM(K212:K219)</f>
        <v>9460.5021031463766</v>
      </c>
      <c r="L221" s="1033">
        <f>L223-SUM(L212:L219)</f>
        <v>21096.564368733332</v>
      </c>
      <c r="M221" s="1033">
        <f>M223-SUM(M212:M219)</f>
        <v>12960.186800000001</v>
      </c>
      <c r="N221" s="1033">
        <f>N223-SUM(N212:N219)</f>
        <v>10482.562112000001</v>
      </c>
      <c r="O221" s="1060"/>
      <c r="P221" s="1060"/>
      <c r="Q221" s="1060"/>
      <c r="R221" s="1060"/>
      <c r="S221" s="1060"/>
      <c r="T221" s="1060"/>
      <c r="U221" s="1060"/>
      <c r="V221" s="1060"/>
      <c r="W221" s="1060"/>
      <c r="X221" s="1060"/>
    </row>
    <row r="222" spans="3:28">
      <c r="C222" s="1060"/>
      <c r="D222" s="1060"/>
      <c r="E222" s="1060"/>
      <c r="F222" s="14"/>
      <c r="G222" s="1060"/>
      <c r="H222" s="1060"/>
      <c r="I222" s="1060"/>
      <c r="J222" s="1129"/>
      <c r="K222" s="1129"/>
      <c r="L222" s="1129"/>
      <c r="M222" s="1129"/>
      <c r="N222" s="1129"/>
      <c r="O222" s="1060"/>
      <c r="P222" s="1060"/>
      <c r="Q222" s="1060"/>
      <c r="R222" s="1060"/>
      <c r="S222" s="1060"/>
      <c r="T222" s="1060"/>
      <c r="U222" s="1060"/>
      <c r="V222" s="1060"/>
      <c r="W222" s="1060"/>
      <c r="X222" s="1060"/>
    </row>
    <row r="223" spans="3:28">
      <c r="C223" s="1060"/>
      <c r="D223" s="1060"/>
      <c r="E223" s="1066" t="s">
        <v>12</v>
      </c>
      <c r="F223" s="1053" t="s">
        <v>29</v>
      </c>
      <c r="G223" s="1060"/>
      <c r="H223" s="1060"/>
      <c r="I223" s="1060"/>
      <c r="J223" s="1194">
        <f>'ANSP Capex (CAR)'!BH348</f>
        <v>15298.329229999996</v>
      </c>
      <c r="K223" s="1194">
        <f>'ANSP Capex (CAR)'!BI348</f>
        <v>57423.040460857941</v>
      </c>
      <c r="L223" s="1194">
        <f>'ANSP Capex (CAR)'!BJ348</f>
        <v>31548.846899469994</v>
      </c>
      <c r="M223" s="1194">
        <f>'ANSP Capex (CAR)'!BK348</f>
        <v>24094.407323739601</v>
      </c>
      <c r="N223" s="1194">
        <f>'ANSP Capex (CAR)'!BL348</f>
        <v>12532.766223600589</v>
      </c>
      <c r="O223" s="1060"/>
      <c r="P223" s="1060"/>
      <c r="Q223" s="1060"/>
      <c r="R223" s="1060"/>
      <c r="S223" s="1060"/>
      <c r="T223" s="1060"/>
      <c r="U223" s="1060"/>
      <c r="V223" s="1060"/>
      <c r="W223" s="1060"/>
      <c r="X223" s="1060"/>
      <c r="AB223" s="1656">
        <f>SUM(J212:N221)-SUM('ANSP Capex (CAR)'!BH348:BL348)</f>
        <v>0</v>
      </c>
    </row>
    <row r="224" spans="3:28">
      <c r="C224" s="1060"/>
      <c r="D224" s="1060"/>
      <c r="E224" s="1060"/>
      <c r="F224" s="1060"/>
      <c r="G224" s="1060"/>
      <c r="H224" s="1060"/>
      <c r="I224" s="1060"/>
      <c r="J224" s="1129"/>
      <c r="K224" s="1129"/>
      <c r="L224" s="1129"/>
      <c r="M224" s="1129"/>
      <c r="N224" s="1129"/>
      <c r="O224" s="1060"/>
      <c r="P224" s="1060"/>
      <c r="Q224" s="1060"/>
      <c r="R224" s="1060"/>
      <c r="S224" s="1060"/>
      <c r="T224" s="1060"/>
      <c r="U224" s="1060"/>
      <c r="V224" s="1060"/>
      <c r="W224" s="1060"/>
      <c r="X224" s="1060"/>
    </row>
    <row r="225" spans="3:24">
      <c r="C225" s="1060"/>
      <c r="D225" s="1060"/>
      <c r="E225" s="1060"/>
      <c r="F225" s="14"/>
      <c r="G225" s="1060"/>
      <c r="H225" s="1060"/>
      <c r="I225" s="1060"/>
      <c r="J225" s="1129"/>
      <c r="K225" s="1129"/>
      <c r="L225" s="1129"/>
      <c r="M225" s="1129"/>
      <c r="N225" s="1129"/>
      <c r="O225" s="1060"/>
      <c r="P225" s="1060"/>
      <c r="Q225" s="1060"/>
      <c r="R225" s="1060"/>
      <c r="S225" s="1060"/>
      <c r="T225" s="1060"/>
      <c r="U225" s="1060"/>
      <c r="V225" s="1060"/>
      <c r="W225" s="1060"/>
      <c r="X225" s="1060"/>
    </row>
    <row r="226" spans="3:24">
      <c r="C226" s="1060"/>
      <c r="D226" s="1060"/>
      <c r="E226" s="1060"/>
      <c r="F226" s="14"/>
      <c r="G226" s="1060"/>
      <c r="H226" s="1060"/>
      <c r="I226" s="1060"/>
      <c r="J226" s="1129"/>
      <c r="K226" s="1129"/>
      <c r="L226" s="1129"/>
      <c r="M226" s="1129"/>
      <c r="N226" s="1129"/>
      <c r="O226" s="1060"/>
      <c r="P226" s="1060"/>
      <c r="Q226" s="1060"/>
      <c r="R226" s="1060"/>
      <c r="S226" s="1060"/>
      <c r="T226" s="1060"/>
      <c r="U226" s="1060"/>
      <c r="V226" s="1060"/>
      <c r="W226" s="1060"/>
      <c r="X226" s="1060"/>
    </row>
    <row r="227" spans="3:24">
      <c r="C227" s="1060"/>
      <c r="D227" s="1060"/>
      <c r="E227" s="1060"/>
      <c r="F227" s="14"/>
      <c r="G227" s="1060"/>
      <c r="H227" s="1060"/>
      <c r="I227" s="1060"/>
      <c r="J227" s="1129"/>
      <c r="K227" s="1129"/>
      <c r="L227" s="1129"/>
      <c r="M227" s="1129"/>
      <c r="N227" s="1129"/>
      <c r="O227" s="1060"/>
      <c r="P227" s="1060"/>
      <c r="Q227" s="1060"/>
      <c r="R227" s="1060"/>
      <c r="S227" s="1060"/>
      <c r="T227" s="1060"/>
      <c r="U227" s="1060"/>
      <c r="V227" s="1060"/>
      <c r="W227" s="1060"/>
      <c r="X227" s="1060"/>
    </row>
    <row r="228" spans="3:24">
      <c r="C228" s="1060"/>
      <c r="D228" s="1060"/>
      <c r="E228" s="1060"/>
      <c r="F228" s="14"/>
      <c r="G228" s="1060"/>
      <c r="H228" s="1060"/>
      <c r="I228" s="1060"/>
      <c r="J228" s="1129"/>
      <c r="K228" s="1129"/>
      <c r="L228" s="1129"/>
      <c r="M228" s="1129"/>
      <c r="N228" s="1129"/>
      <c r="O228" s="1060"/>
      <c r="P228" s="1060"/>
      <c r="Q228" s="1060"/>
      <c r="R228" s="1060"/>
      <c r="S228" s="1060"/>
      <c r="T228" s="1060"/>
      <c r="U228" s="1060"/>
      <c r="V228" s="1060"/>
      <c r="W228" s="1060"/>
      <c r="X228" s="1060"/>
    </row>
    <row r="229" spans="3:24">
      <c r="C229" s="1060"/>
      <c r="D229" s="1060"/>
      <c r="E229" s="1060"/>
      <c r="F229" s="14"/>
      <c r="G229" s="1060"/>
      <c r="H229" s="1060"/>
      <c r="I229" s="1060"/>
      <c r="J229" s="1129"/>
      <c r="K229" s="1129"/>
      <c r="L229" s="1129"/>
      <c r="M229" s="1129"/>
      <c r="N229" s="1129"/>
      <c r="O229" s="1060"/>
      <c r="P229" s="1060"/>
      <c r="Q229" s="1060"/>
      <c r="R229" s="1060"/>
      <c r="S229" s="1060"/>
      <c r="T229" s="1060"/>
      <c r="U229" s="1060"/>
      <c r="V229" s="1060"/>
      <c r="W229" s="1060"/>
      <c r="X229" s="1060"/>
    </row>
    <row r="230" spans="3:24">
      <c r="C230" s="1060"/>
      <c r="D230" s="1066" t="s">
        <v>31</v>
      </c>
      <c r="E230" s="1060"/>
      <c r="F230" s="1060"/>
      <c r="G230" s="1060"/>
      <c r="H230" s="1060"/>
      <c r="I230" s="1060"/>
      <c r="J230" s="1060"/>
      <c r="K230" s="1060"/>
      <c r="L230" s="1060"/>
      <c r="M230" s="1060"/>
      <c r="N230" s="1060"/>
      <c r="O230" s="1060"/>
      <c r="P230" s="1060"/>
      <c r="Q230" s="1060"/>
      <c r="R230" s="1060"/>
      <c r="S230" s="1060"/>
      <c r="T230" s="1060"/>
      <c r="U230" s="1060"/>
      <c r="V230" s="1060"/>
      <c r="W230" s="1060"/>
      <c r="X230" s="1060"/>
    </row>
    <row r="231" spans="3:24">
      <c r="C231" s="1060"/>
      <c r="D231" s="1060"/>
      <c r="E231" s="1060" t="s">
        <v>78</v>
      </c>
      <c r="F231" s="14" t="s">
        <v>29</v>
      </c>
      <c r="G231" s="1060"/>
      <c r="H231" s="1060"/>
      <c r="I231" s="1192"/>
      <c r="J231" s="1033">
        <f>SUMIFS('ANSP Capex (CAR)'!BH$352:BH$649,'ANSP Capex (CAR)'!$D$352:$D$649,$E231)</f>
        <v>0</v>
      </c>
      <c r="K231" s="1033">
        <f>SUMIFS('ANSP Capex (CAR)'!BI$352:BI$649,'ANSP Capex (CAR)'!$D$352:$D$649,$E231)</f>
        <v>946.90082382540197</v>
      </c>
      <c r="L231" s="1033">
        <f>SUMIFS('ANSP Capex (CAR)'!BJ$352:BJ$649,'ANSP Capex (CAR)'!$D$352:$D$649,$E231)</f>
        <v>2138.6825992133035</v>
      </c>
      <c r="M231" s="1033">
        <f>SUMIFS('ANSP Capex (CAR)'!BK$352:BK$649,'ANSP Capex (CAR)'!$D$352:$D$649,$E231)</f>
        <v>2498.1523007758033</v>
      </c>
      <c r="N231" s="1033">
        <f>SUMIFS('ANSP Capex (CAR)'!BL$352:BL$649,'ANSP Capex (CAR)'!$D$352:$D$649,$E231)</f>
        <v>2498.1523007758033</v>
      </c>
      <c r="O231" s="1060"/>
      <c r="P231" s="1060"/>
      <c r="Q231" s="1060"/>
      <c r="R231" s="1060"/>
      <c r="S231" s="1060"/>
      <c r="T231" s="1060"/>
      <c r="U231" s="1060"/>
      <c r="V231" s="1060"/>
      <c r="W231" s="1060"/>
      <c r="X231" s="1060"/>
    </row>
    <row r="232" spans="3:24">
      <c r="C232" s="1060"/>
      <c r="D232" s="1060"/>
      <c r="E232" s="1060" t="s">
        <v>79</v>
      </c>
      <c r="F232" s="14" t="s">
        <v>29</v>
      </c>
      <c r="G232" s="1060"/>
      <c r="H232" s="1060"/>
      <c r="I232" s="1192"/>
      <c r="J232" s="1033">
        <f>SUMIFS('ANSP Capex (CAR)'!BH$352:BH$649,'ANSP Capex (CAR)'!$D$352:$D$649,$E232)</f>
        <v>101.78241166666666</v>
      </c>
      <c r="K232" s="1033">
        <f>SUMIFS('ANSP Capex (CAR)'!BI$352:BI$649,'ANSP Capex (CAR)'!$D$352:$D$649,$E232)</f>
        <v>1220.8014937702703</v>
      </c>
      <c r="L232" s="1033">
        <f>SUMIFS('ANSP Capex (CAR)'!BJ$352:BJ$649,'ANSP Capex (CAR)'!$D$352:$D$649,$E232)</f>
        <v>1220.8014937702703</v>
      </c>
      <c r="M232" s="1033">
        <f>SUMIFS('ANSP Capex (CAR)'!BK$352:BK$649,'ANSP Capex (CAR)'!$D$352:$D$649,$E232)</f>
        <v>1220.7525529594595</v>
      </c>
      <c r="N232" s="1033">
        <f>SUMIFS('ANSP Capex (CAR)'!BL$352:BL$649,'ANSP Capex (CAR)'!$D$352:$D$649,$E232)</f>
        <v>1199.6587035</v>
      </c>
      <c r="O232" s="1060"/>
      <c r="P232" s="1060"/>
      <c r="Q232" s="1060"/>
      <c r="R232" s="1060"/>
      <c r="S232" s="1060"/>
      <c r="T232" s="1060"/>
      <c r="U232" s="1060"/>
      <c r="V232" s="1060"/>
      <c r="W232" s="1060"/>
      <c r="X232" s="1060"/>
    </row>
    <row r="233" spans="3:24">
      <c r="C233" s="1060"/>
      <c r="D233" s="1060"/>
      <c r="E233" s="1060" t="s">
        <v>80</v>
      </c>
      <c r="F233" s="14" t="s">
        <v>29</v>
      </c>
      <c r="G233" s="1060"/>
      <c r="H233" s="1060"/>
      <c r="I233" s="1192"/>
      <c r="J233" s="1033">
        <f>SUMIFS('ANSP Capex (CAR)'!BH$352:BH$649,'ANSP Capex (CAR)'!$D$352:$D$649,$E233)</f>
        <v>0</v>
      </c>
      <c r="K233" s="1033">
        <f>SUMIFS('ANSP Capex (CAR)'!BI$352:BI$649,'ANSP Capex (CAR)'!$D$352:$D$649,$E233)</f>
        <v>187.60650206803717</v>
      </c>
      <c r="L233" s="1033">
        <f>SUMIFS('ANSP Capex (CAR)'!BJ$352:BJ$649,'ANSP Capex (CAR)'!$D$352:$D$649,$E233)</f>
        <v>579.76768135095449</v>
      </c>
      <c r="M233" s="1033">
        <f>SUMIFS('ANSP Capex (CAR)'!BK$352:BK$649,'ANSP Capex (CAR)'!$D$352:$D$649,$E233)</f>
        <v>745.67076505139505</v>
      </c>
      <c r="N233" s="1033">
        <f>SUMIFS('ANSP Capex (CAR)'!BL$352:BL$649,'ANSP Capex (CAR)'!$D$352:$D$649,$E233)</f>
        <v>941.52857219774842</v>
      </c>
      <c r="O233" s="1060"/>
      <c r="P233" s="1060"/>
      <c r="Q233" s="1060"/>
      <c r="R233" s="1060"/>
      <c r="S233" s="1060"/>
      <c r="T233" s="1060"/>
      <c r="U233" s="1060"/>
      <c r="V233" s="1060"/>
      <c r="W233" s="1060"/>
      <c r="X233" s="1060"/>
    </row>
    <row r="234" spans="3:24">
      <c r="C234" s="1060"/>
      <c r="D234" s="1060"/>
      <c r="E234" s="1060" t="s">
        <v>81</v>
      </c>
      <c r="F234" s="14" t="s">
        <v>29</v>
      </c>
      <c r="G234" s="1060"/>
      <c r="H234" s="1060"/>
      <c r="I234" s="1192"/>
      <c r="J234" s="1033">
        <f>SUMIFS('ANSP Capex (CAR)'!BH$352:BH$649,'ANSP Capex (CAR)'!$D$352:$D$649,$E234)</f>
        <v>0</v>
      </c>
      <c r="K234" s="1033">
        <f>SUMIFS('ANSP Capex (CAR)'!BI$352:BI$649,'ANSP Capex (CAR)'!$D$352:$D$649,$E234)</f>
        <v>0</v>
      </c>
      <c r="L234" s="1033">
        <f>SUMIFS('ANSP Capex (CAR)'!BJ$352:BJ$649,'ANSP Capex (CAR)'!$D$352:$D$649,$E234)</f>
        <v>0</v>
      </c>
      <c r="M234" s="1033">
        <f>SUMIFS('ANSP Capex (CAR)'!BK$352:BK$649,'ANSP Capex (CAR)'!$D$352:$D$649,$E234)</f>
        <v>0</v>
      </c>
      <c r="N234" s="1033">
        <f>SUMIFS('ANSP Capex (CAR)'!BL$352:BL$649,'ANSP Capex (CAR)'!$D$352:$D$649,$E234)</f>
        <v>0</v>
      </c>
      <c r="O234" s="1060"/>
      <c r="P234" s="1060"/>
      <c r="Q234" s="1060"/>
      <c r="R234" s="1060"/>
      <c r="S234" s="1060"/>
      <c r="T234" s="1060"/>
      <c r="U234" s="1060"/>
      <c r="V234" s="1060"/>
      <c r="W234" s="1060"/>
      <c r="X234" s="1060"/>
    </row>
    <row r="235" spans="3:24">
      <c r="C235" s="1060"/>
      <c r="D235" s="1060"/>
      <c r="E235" s="1060" t="s">
        <v>82</v>
      </c>
      <c r="F235" s="14" t="s">
        <v>29</v>
      </c>
      <c r="G235" s="1060"/>
      <c r="H235" s="1060"/>
      <c r="I235" s="1192"/>
      <c r="J235" s="1033">
        <f>SUMIFS('ANSP Capex (CAR)'!BH$352:BH$649,'ANSP Capex (CAR)'!$D$352:$D$649,$E235)</f>
        <v>0</v>
      </c>
      <c r="K235" s="1033">
        <f>SUMIFS('ANSP Capex (CAR)'!BI$352:BI$649,'ANSP Capex (CAR)'!$D$352:$D$649,$E235)</f>
        <v>0</v>
      </c>
      <c r="L235" s="1033">
        <f>SUMIFS('ANSP Capex (CAR)'!BJ$352:BJ$649,'ANSP Capex (CAR)'!$D$352:$D$649,$E235)</f>
        <v>116.25</v>
      </c>
      <c r="M235" s="1033">
        <f>SUMIFS('ANSP Capex (CAR)'!BK$352:BK$649,'ANSP Capex (CAR)'!$D$352:$D$649,$E235)</f>
        <v>678.75</v>
      </c>
      <c r="N235" s="1033">
        <f>SUMIFS('ANSP Capex (CAR)'!BL$352:BL$649,'ANSP Capex (CAR)'!$D$352:$D$649,$E235)</f>
        <v>750</v>
      </c>
      <c r="O235" s="1060"/>
      <c r="P235" s="1060"/>
      <c r="Q235" s="1060"/>
      <c r="R235" s="1060"/>
      <c r="S235" s="1060"/>
      <c r="T235" s="1060"/>
      <c r="U235" s="1060"/>
      <c r="V235" s="1060"/>
      <c r="W235" s="1060"/>
      <c r="X235" s="1060"/>
    </row>
    <row r="236" spans="3:24">
      <c r="C236" s="1060"/>
      <c r="D236" s="1060"/>
      <c r="E236" s="1060" t="s">
        <v>83</v>
      </c>
      <c r="F236" s="14" t="s">
        <v>29</v>
      </c>
      <c r="G236" s="1060"/>
      <c r="H236" s="1060"/>
      <c r="I236" s="1192"/>
      <c r="J236" s="1033">
        <f>SUMIFS('ANSP Capex (CAR)'!BH$352:BH$649,'ANSP Capex (CAR)'!$D$352:$D$649,$E236)</f>
        <v>0</v>
      </c>
      <c r="K236" s="1033">
        <f>SUMIFS('ANSP Capex (CAR)'!BI$352:BI$649,'ANSP Capex (CAR)'!$D$352:$D$649,$E236)</f>
        <v>0</v>
      </c>
      <c r="L236" s="1033">
        <f>SUMIFS('ANSP Capex (CAR)'!BJ$352:BJ$649,'ANSP Capex (CAR)'!$D$352:$D$649,$E236)</f>
        <v>0</v>
      </c>
      <c r="M236" s="1033">
        <f>SUMIFS('ANSP Capex (CAR)'!BK$352:BK$649,'ANSP Capex (CAR)'!$D$352:$D$649,$E236)</f>
        <v>0</v>
      </c>
      <c r="N236" s="1033">
        <f>SUMIFS('ANSP Capex (CAR)'!BL$352:BL$649,'ANSP Capex (CAR)'!$D$352:$D$649,$E236)</f>
        <v>0</v>
      </c>
      <c r="O236" s="1060"/>
      <c r="P236" s="1060"/>
      <c r="Q236" s="1060"/>
      <c r="R236" s="1060"/>
      <c r="S236" s="1060"/>
      <c r="T236" s="1060"/>
      <c r="U236" s="1060"/>
      <c r="V236" s="1060"/>
      <c r="W236" s="1060"/>
      <c r="X236" s="1060"/>
    </row>
    <row r="237" spans="3:24">
      <c r="C237" s="1060"/>
      <c r="D237" s="1060"/>
      <c r="E237" s="1060" t="s">
        <v>84</v>
      </c>
      <c r="F237" s="14" t="s">
        <v>29</v>
      </c>
      <c r="G237" s="1060"/>
      <c r="H237" s="1060"/>
      <c r="I237" s="1192"/>
      <c r="J237" s="1033">
        <f>SUMIFS('ANSP Capex (CAR)'!BH$352:BH$649,'ANSP Capex (CAR)'!$D$352:$D$649,$E237)</f>
        <v>0</v>
      </c>
      <c r="K237" s="1033">
        <f>SUMIFS('ANSP Capex (CAR)'!BI$352:BI$649,'ANSP Capex (CAR)'!$D$352:$D$649,$E237)</f>
        <v>0</v>
      </c>
      <c r="L237" s="1033">
        <f>SUMIFS('ANSP Capex (CAR)'!BJ$352:BJ$649,'ANSP Capex (CAR)'!$D$352:$D$649,$E237)</f>
        <v>1</v>
      </c>
      <c r="M237" s="1033">
        <f>SUMIFS('ANSP Capex (CAR)'!BK$352:BK$649,'ANSP Capex (CAR)'!$D$352:$D$649,$E237)</f>
        <v>262.2</v>
      </c>
      <c r="N237" s="1033">
        <f>SUMIFS('ANSP Capex (CAR)'!BL$352:BL$649,'ANSP Capex (CAR)'!$D$352:$D$649,$E237)</f>
        <v>373.8</v>
      </c>
      <c r="O237" s="1060"/>
      <c r="P237" s="1060"/>
      <c r="Q237" s="1060"/>
      <c r="R237" s="1060"/>
      <c r="S237" s="1060"/>
      <c r="T237" s="1060"/>
      <c r="U237" s="1060"/>
      <c r="V237" s="1060"/>
      <c r="W237" s="1060"/>
      <c r="X237" s="1060"/>
    </row>
    <row r="238" spans="3:24">
      <c r="C238" s="1060"/>
      <c r="D238" s="1060"/>
      <c r="E238" s="1060" t="s">
        <v>85</v>
      </c>
      <c r="F238" s="14" t="s">
        <v>29</v>
      </c>
      <c r="G238" s="1060"/>
      <c r="H238" s="1060"/>
      <c r="I238" s="1192"/>
      <c r="J238" s="1033">
        <f>SUMIFS('ANSP Capex (CAR)'!BH$352:BH$649,'ANSP Capex (CAR)'!$D$352:$D$649,$E238)</f>
        <v>0</v>
      </c>
      <c r="K238" s="1033">
        <f>SUMIFS('ANSP Capex (CAR)'!BI$352:BI$649,'ANSP Capex (CAR)'!$D$352:$D$649,$E238)</f>
        <v>0</v>
      </c>
      <c r="L238" s="1033">
        <f>SUMIFS('ANSP Capex (CAR)'!BJ$352:BJ$649,'ANSP Capex (CAR)'!$D$352:$D$649,$E238)</f>
        <v>9.3000000000000007</v>
      </c>
      <c r="M238" s="1033">
        <f>SUMIFS('ANSP Capex (CAR)'!BK$352:BK$649,'ANSP Capex (CAR)'!$D$352:$D$649,$E238)</f>
        <v>52.7</v>
      </c>
      <c r="N238" s="1033">
        <f>SUMIFS('ANSP Capex (CAR)'!BL$352:BL$649,'ANSP Capex (CAR)'!$D$352:$D$649,$E238)</f>
        <v>130.19999999999999</v>
      </c>
      <c r="O238" s="1060"/>
      <c r="P238" s="1060"/>
      <c r="Q238" s="1060"/>
      <c r="R238" s="1060"/>
      <c r="S238" s="1060"/>
      <c r="T238" s="1060"/>
      <c r="U238" s="1060"/>
      <c r="V238" s="1060"/>
      <c r="W238" s="1060"/>
      <c r="X238" s="1060"/>
    </row>
    <row r="239" spans="3:24">
      <c r="C239" s="1060"/>
      <c r="D239" s="1060"/>
      <c r="E239" s="1060"/>
      <c r="F239" s="14"/>
      <c r="G239" s="1060"/>
      <c r="H239" s="1060"/>
      <c r="I239" s="1192"/>
      <c r="J239" s="1192"/>
      <c r="K239" s="1192"/>
      <c r="L239" s="1192"/>
      <c r="M239" s="1192"/>
      <c r="N239" s="1192"/>
      <c r="O239" s="1060"/>
      <c r="P239" s="1060"/>
      <c r="Q239" s="1060"/>
      <c r="R239" s="1060"/>
      <c r="S239" s="1060"/>
      <c r="T239" s="1060"/>
      <c r="U239" s="1060"/>
      <c r="V239" s="1060"/>
      <c r="W239" s="1060"/>
      <c r="X239" s="1060"/>
    </row>
    <row r="240" spans="3:24">
      <c r="C240" s="1060"/>
      <c r="D240" s="1060"/>
      <c r="E240" s="1060" t="s">
        <v>86</v>
      </c>
      <c r="F240" s="14" t="s">
        <v>29</v>
      </c>
      <c r="G240" s="1060"/>
      <c r="H240" s="1060"/>
      <c r="I240" s="1192"/>
      <c r="J240" s="1193">
        <f>'ANSP Capex (CAR)'!BH653-SUM(J231:J238)</f>
        <v>163.08325000000005</v>
      </c>
      <c r="K240" s="1193">
        <f>'ANSP Capex (CAR)'!BI653-SUM(K231:K238)</f>
        <v>750.92941674647318</v>
      </c>
      <c r="L240" s="1193">
        <f>'ANSP Capex (CAR)'!BJ653-SUM(L231:L238)</f>
        <v>2904.3461174694085</v>
      </c>
      <c r="M240" s="1193">
        <f>'ANSP Capex (CAR)'!BK653-SUM(M231:M238)</f>
        <v>4333.4605265261462</v>
      </c>
      <c r="N240" s="1193">
        <f>'ANSP Capex (CAR)'!BL653-SUM(N231:N238)</f>
        <v>5304.2143901306081</v>
      </c>
      <c r="O240" s="1060"/>
      <c r="P240" s="1060"/>
      <c r="Q240" s="1060"/>
      <c r="R240" s="1060"/>
      <c r="S240" s="1060"/>
      <c r="T240" s="1060"/>
      <c r="U240" s="1060"/>
      <c r="V240" s="1060"/>
      <c r="W240" s="1060"/>
      <c r="X240" s="1060"/>
    </row>
    <row r="241" spans="3:28">
      <c r="C241" s="1060"/>
      <c r="D241" s="1060"/>
      <c r="E241" s="1060" t="s">
        <v>87</v>
      </c>
      <c r="F241" s="14" t="s">
        <v>29</v>
      </c>
      <c r="G241" s="1060"/>
      <c r="H241" s="1060"/>
      <c r="I241" s="1192"/>
      <c r="J241" s="1033">
        <f>'ANSP Capex (CAR)'!BH654</f>
        <v>8550.5722256201316</v>
      </c>
      <c r="K241" s="1033">
        <f>'ANSP Capex (CAR)'!BI654</f>
        <v>7980.2620400368105</v>
      </c>
      <c r="L241" s="1033">
        <f>'ANSP Capex (CAR)'!BJ654</f>
        <v>6432.2138783700902</v>
      </c>
      <c r="M241" s="1033">
        <f>'ANSP Capex (CAR)'!BK654</f>
        <v>4529.4260649534535</v>
      </c>
      <c r="N241" s="1033">
        <f>'ANSP Capex (CAR)'!BL654</f>
        <v>2415.1777417867866</v>
      </c>
      <c r="O241" s="1060"/>
      <c r="P241" s="1060"/>
      <c r="Q241" s="1060"/>
      <c r="R241" s="1060"/>
      <c r="S241" s="1060"/>
      <c r="T241" s="1060"/>
      <c r="U241" s="1060"/>
      <c r="V241" s="1060"/>
      <c r="W241" s="1060"/>
      <c r="X241" s="1060"/>
    </row>
    <row r="242" spans="3:28">
      <c r="C242" s="1060"/>
      <c r="D242" s="1060"/>
      <c r="E242" s="1060"/>
      <c r="F242" s="1060"/>
      <c r="G242" s="1060"/>
      <c r="H242" s="1060"/>
      <c r="I242" s="1060"/>
      <c r="J242" s="1129"/>
      <c r="K242" s="1129"/>
      <c r="L242" s="1129"/>
      <c r="M242" s="1129"/>
      <c r="N242" s="1129"/>
      <c r="O242" s="1060"/>
      <c r="P242" s="1060"/>
      <c r="Q242" s="1060"/>
      <c r="R242" s="1060"/>
      <c r="S242" s="1060"/>
      <c r="T242" s="1060"/>
      <c r="U242" s="1060"/>
      <c r="V242" s="1060"/>
      <c r="W242" s="1060"/>
      <c r="X242" s="1060"/>
    </row>
    <row r="243" spans="3:28">
      <c r="C243" s="1060"/>
      <c r="D243" s="1060"/>
      <c r="E243" s="1066" t="s">
        <v>12</v>
      </c>
      <c r="F243" s="1053" t="s">
        <v>29</v>
      </c>
      <c r="G243" s="1060"/>
      <c r="H243" s="1060"/>
      <c r="I243" s="1060"/>
      <c r="J243" s="1194">
        <f>SUM(J231:J241)</f>
        <v>8815.4378872867983</v>
      </c>
      <c r="K243" s="1194">
        <f t="shared" ref="K243:N243" si="41">SUM(K231:K241)</f>
        <v>11086.500276446994</v>
      </c>
      <c r="L243" s="1194">
        <f t="shared" si="41"/>
        <v>13402.361770174026</v>
      </c>
      <c r="M243" s="1194">
        <f t="shared" si="41"/>
        <v>14321.112210266258</v>
      </c>
      <c r="N243" s="1194">
        <f t="shared" si="41"/>
        <v>13612.731708390947</v>
      </c>
      <c r="O243" s="1060"/>
      <c r="P243" s="1060"/>
      <c r="Q243" s="1060"/>
      <c r="R243" s="1060"/>
      <c r="S243" s="1060"/>
      <c r="T243" s="1060"/>
      <c r="U243" s="1060"/>
      <c r="V243" s="1060"/>
      <c r="W243" s="1060"/>
      <c r="X243" s="1060"/>
      <c r="AB243" s="1656">
        <f>SUM('ANSP Capex (CAR)'!BH655:BL655)-SUM(J243:N243)</f>
        <v>0</v>
      </c>
    </row>
    <row r="244" spans="3:28">
      <c r="C244" s="1060"/>
      <c r="D244" s="1060"/>
      <c r="E244" s="1060"/>
      <c r="F244" s="14"/>
      <c r="G244" s="1060"/>
      <c r="H244" s="1060"/>
      <c r="I244" s="1060"/>
      <c r="J244" s="1129"/>
      <c r="K244" s="1129"/>
      <c r="L244" s="1129"/>
      <c r="M244" s="1129"/>
      <c r="N244" s="1129"/>
      <c r="O244" s="1060"/>
      <c r="P244" s="1060"/>
      <c r="Q244" s="1060"/>
      <c r="R244" s="1060"/>
      <c r="S244" s="1060"/>
      <c r="T244" s="1060"/>
      <c r="U244" s="1060"/>
      <c r="V244" s="1060"/>
      <c r="W244" s="1060"/>
      <c r="X244" s="1060"/>
    </row>
    <row r="245" spans="3:28">
      <c r="C245" s="1060"/>
      <c r="D245" s="1060"/>
      <c r="E245" s="1060"/>
      <c r="F245" s="14"/>
      <c r="G245" s="1060"/>
      <c r="H245" s="1060"/>
      <c r="I245" s="1060"/>
      <c r="J245" s="1129"/>
      <c r="K245" s="1129"/>
      <c r="L245" s="1129"/>
      <c r="M245" s="1129"/>
      <c r="N245" s="1129"/>
      <c r="O245" s="1060"/>
      <c r="P245" s="1060"/>
      <c r="Q245" s="1060"/>
      <c r="R245" s="1060"/>
      <c r="S245" s="1060"/>
      <c r="T245" s="1060"/>
      <c r="U245" s="1060"/>
      <c r="V245" s="1060"/>
      <c r="W245" s="1060"/>
      <c r="X245" s="1060"/>
    </row>
    <row r="246" spans="3:28">
      <c r="C246" s="1060"/>
      <c r="D246" s="1060"/>
      <c r="E246" s="1060"/>
      <c r="F246" s="14"/>
      <c r="G246" s="1060"/>
      <c r="H246" s="1060"/>
      <c r="I246" s="1060"/>
      <c r="J246" s="1129"/>
      <c r="K246" s="1129"/>
      <c r="L246" s="1129"/>
      <c r="M246" s="1129"/>
      <c r="N246" s="1129"/>
      <c r="O246" s="1060"/>
      <c r="P246" s="1060"/>
      <c r="Q246" s="1060"/>
      <c r="R246" s="1060"/>
      <c r="S246" s="1060"/>
      <c r="T246" s="1060"/>
      <c r="U246" s="1060"/>
      <c r="V246" s="1060"/>
      <c r="W246" s="1060"/>
      <c r="X246" s="1060"/>
    </row>
    <row r="247" spans="3:28">
      <c r="C247" s="1060"/>
      <c r="D247" s="1060"/>
      <c r="E247" s="1060"/>
      <c r="F247" s="14"/>
      <c r="G247" s="1060"/>
      <c r="H247" s="1060"/>
      <c r="I247" s="1060"/>
      <c r="J247" s="1129"/>
      <c r="K247" s="1129"/>
      <c r="L247" s="1129"/>
      <c r="M247" s="1129"/>
      <c r="N247" s="1129"/>
      <c r="O247" s="1060"/>
      <c r="P247" s="1060"/>
      <c r="Q247" s="1060"/>
      <c r="R247" s="1060"/>
      <c r="S247" s="1060"/>
      <c r="T247" s="1060"/>
      <c r="U247" s="1060"/>
      <c r="V247" s="1060"/>
      <c r="W247" s="1060"/>
      <c r="X247" s="1060"/>
    </row>
    <row r="248" spans="3:28">
      <c r="C248" s="1060"/>
      <c r="D248" s="1060"/>
      <c r="E248" s="1060"/>
      <c r="F248" s="14"/>
      <c r="G248" s="1060"/>
      <c r="H248" s="1060"/>
      <c r="I248" s="1060"/>
      <c r="J248" s="1129"/>
      <c r="K248" s="1129"/>
      <c r="L248" s="1129"/>
      <c r="M248" s="1129"/>
      <c r="N248" s="1129"/>
      <c r="O248" s="1060"/>
      <c r="P248" s="1060"/>
      <c r="Q248" s="1060"/>
      <c r="R248" s="1060"/>
      <c r="S248" s="1060"/>
      <c r="T248" s="1060"/>
      <c r="U248" s="1060"/>
      <c r="V248" s="1060"/>
      <c r="W248" s="1060"/>
      <c r="X248" s="1060"/>
    </row>
    <row r="249" spans="3:28">
      <c r="C249" s="1060"/>
      <c r="D249" s="1060"/>
      <c r="E249" s="1060"/>
      <c r="F249" s="14"/>
      <c r="G249" s="1060"/>
      <c r="H249" s="1060"/>
      <c r="I249" s="1060"/>
      <c r="J249" s="1129"/>
      <c r="K249" s="1129"/>
      <c r="L249" s="1129"/>
      <c r="M249" s="1129"/>
      <c r="N249" s="1129"/>
      <c r="O249" s="1060"/>
      <c r="P249" s="1060"/>
      <c r="Q249" s="1060"/>
      <c r="R249" s="1060"/>
      <c r="S249" s="1060"/>
      <c r="T249" s="1060"/>
      <c r="U249" s="1060"/>
      <c r="V249" s="1060"/>
      <c r="W249" s="1060"/>
      <c r="X249" s="1060"/>
    </row>
    <row r="250" spans="3:28">
      <c r="C250" s="1060"/>
      <c r="D250" s="1060"/>
      <c r="E250" s="1060"/>
      <c r="F250" s="14"/>
      <c r="G250" s="1060"/>
      <c r="H250" s="1060"/>
      <c r="I250" s="1060"/>
      <c r="J250" s="1129"/>
      <c r="K250" s="1129"/>
      <c r="L250" s="1129"/>
      <c r="M250" s="1129"/>
      <c r="N250" s="1129"/>
      <c r="O250" s="1060"/>
      <c r="P250" s="1060"/>
      <c r="Q250" s="1060"/>
      <c r="R250" s="1060"/>
      <c r="S250" s="1060"/>
      <c r="T250" s="1060"/>
      <c r="U250" s="1060"/>
      <c r="V250" s="1060"/>
      <c r="W250" s="1060"/>
      <c r="X250" s="1060"/>
    </row>
    <row r="251" spans="3:28">
      <c r="C251" s="1060"/>
      <c r="D251" s="1060"/>
      <c r="E251" s="1060"/>
      <c r="F251" s="14"/>
      <c r="G251" s="1060"/>
      <c r="H251" s="1060"/>
      <c r="I251" s="1060"/>
      <c r="J251" s="1129"/>
      <c r="K251" s="1129"/>
      <c r="L251" s="1129"/>
      <c r="M251" s="1129"/>
      <c r="N251" s="1129"/>
      <c r="O251" s="1060"/>
      <c r="P251" s="1060"/>
      <c r="Q251" s="1060"/>
      <c r="R251" s="1060"/>
      <c r="S251" s="1060"/>
      <c r="T251" s="1060"/>
      <c r="U251" s="1060"/>
      <c r="V251" s="1060"/>
      <c r="W251" s="1060"/>
      <c r="X251" s="1060"/>
    </row>
    <row r="252" spans="3:28">
      <c r="C252" s="1060"/>
      <c r="D252" s="1060"/>
      <c r="E252" s="1060"/>
      <c r="F252" s="14"/>
      <c r="G252" s="1060"/>
      <c r="H252" s="1060"/>
      <c r="I252" s="1060"/>
      <c r="J252" s="1129"/>
      <c r="K252" s="1129"/>
      <c r="L252" s="1129"/>
      <c r="M252" s="1129"/>
      <c r="N252" s="1129"/>
      <c r="O252" s="1060"/>
      <c r="P252" s="1060"/>
      <c r="Q252" s="1060"/>
      <c r="R252" s="1060"/>
      <c r="S252" s="1060"/>
      <c r="T252" s="1060"/>
      <c r="U252" s="1060"/>
      <c r="V252" s="1060"/>
      <c r="W252" s="1060"/>
      <c r="X252" s="1060"/>
    </row>
    <row r="254" spans="3:28">
      <c r="C254" s="1039" t="s">
        <v>89</v>
      </c>
      <c r="D254" s="1039"/>
      <c r="E254" s="1039"/>
      <c r="F254" s="1039"/>
      <c r="G254" s="1039"/>
      <c r="H254" s="1039"/>
      <c r="I254" s="1039"/>
      <c r="J254" s="1039"/>
      <c r="K254" s="1039"/>
      <c r="L254" s="1039"/>
      <c r="M254" s="1039"/>
      <c r="N254" s="1039"/>
      <c r="O254" s="1039"/>
      <c r="P254" s="1039"/>
      <c r="Q254" s="1039"/>
      <c r="R254" s="1039"/>
      <c r="S254" s="1039"/>
      <c r="T254" s="1039"/>
      <c r="U254" s="1039"/>
      <c r="V254" s="1039"/>
      <c r="W254" s="1039"/>
      <c r="X254" s="1039"/>
    </row>
    <row r="255" spans="3:28">
      <c r="C255" s="1060"/>
      <c r="D255" s="1060"/>
      <c r="E255" s="1060"/>
      <c r="F255" s="1060"/>
      <c r="G255" s="1060"/>
      <c r="H255" s="1060"/>
      <c r="I255" s="1060"/>
      <c r="J255" s="1060"/>
      <c r="K255" s="1060"/>
      <c r="L255" s="1060"/>
      <c r="M255" s="1060"/>
      <c r="N255" s="1060"/>
      <c r="O255" s="1060"/>
      <c r="P255" s="1060"/>
      <c r="Q255" s="1060"/>
      <c r="R255" s="1060"/>
      <c r="S255" s="1060"/>
      <c r="T255" s="1060"/>
      <c r="U255" s="1060"/>
      <c r="V255" s="1060"/>
      <c r="W255" s="1060"/>
      <c r="X255" s="1060"/>
    </row>
    <row r="256" spans="3:28">
      <c r="C256" s="1060"/>
      <c r="D256" s="1066" t="s">
        <v>77</v>
      </c>
      <c r="E256" s="1060"/>
      <c r="F256" s="1060"/>
      <c r="G256" s="1060"/>
      <c r="H256" s="1060"/>
      <c r="I256" s="1060"/>
      <c r="J256" s="1060"/>
      <c r="K256" s="1060"/>
      <c r="L256" s="1060"/>
      <c r="M256" s="1060"/>
      <c r="N256" s="1060"/>
      <c r="O256" s="1060"/>
      <c r="P256" s="1060"/>
      <c r="Q256" s="1060"/>
      <c r="R256" s="1060"/>
      <c r="S256" s="1060"/>
      <c r="T256" s="1060"/>
      <c r="U256" s="1060"/>
      <c r="V256" s="1060"/>
      <c r="W256" s="1060"/>
      <c r="X256" s="1060"/>
    </row>
    <row r="257" spans="3:24">
      <c r="C257" s="1060"/>
      <c r="D257" s="1060"/>
      <c r="E257" s="1060" t="s">
        <v>78</v>
      </c>
      <c r="F257" s="14" t="s">
        <v>29</v>
      </c>
      <c r="G257" s="1060"/>
      <c r="H257" s="1060"/>
      <c r="I257" s="1192"/>
      <c r="J257" s="1033">
        <f>J212-J167</f>
        <v>0</v>
      </c>
      <c r="K257" s="1033">
        <f t="shared" ref="K257:N257" si="42">K212-K167</f>
        <v>0</v>
      </c>
      <c r="L257" s="1033">
        <f t="shared" si="42"/>
        <v>0</v>
      </c>
      <c r="M257" s="1033">
        <f t="shared" si="42"/>
        <v>0</v>
      </c>
      <c r="N257" s="1033">
        <f t="shared" si="42"/>
        <v>0</v>
      </c>
      <c r="O257" s="1060"/>
      <c r="P257" s="1060"/>
      <c r="Q257" s="1060"/>
      <c r="R257" s="1060"/>
      <c r="S257" s="1060"/>
      <c r="T257" s="1060"/>
      <c r="U257" s="1060"/>
      <c r="V257" s="1060"/>
      <c r="W257" s="1060"/>
      <c r="X257" s="1060"/>
    </row>
    <row r="258" spans="3:24">
      <c r="C258" s="1060"/>
      <c r="D258" s="1060"/>
      <c r="E258" s="1060" t="s">
        <v>79</v>
      </c>
      <c r="F258" s="14" t="s">
        <v>29</v>
      </c>
      <c r="G258" s="1060"/>
      <c r="H258" s="1060"/>
      <c r="I258" s="1192"/>
      <c r="J258" s="1033">
        <f t="shared" ref="J258:N258" si="43">J213-J168</f>
        <v>0</v>
      </c>
      <c r="K258" s="1033">
        <f t="shared" si="43"/>
        <v>0</v>
      </c>
      <c r="L258" s="1033">
        <f t="shared" si="43"/>
        <v>0</v>
      </c>
      <c r="M258" s="1033">
        <f t="shared" si="43"/>
        <v>0</v>
      </c>
      <c r="N258" s="1033">
        <f t="shared" si="43"/>
        <v>0</v>
      </c>
      <c r="O258" s="1060"/>
      <c r="P258" s="1060"/>
      <c r="Q258" s="1060"/>
      <c r="R258" s="1060"/>
      <c r="S258" s="1060"/>
      <c r="T258" s="1060"/>
      <c r="U258" s="1060"/>
      <c r="V258" s="1060"/>
      <c r="W258" s="1060"/>
      <c r="X258" s="1060"/>
    </row>
    <row r="259" spans="3:24">
      <c r="C259" s="1060"/>
      <c r="D259" s="1060"/>
      <c r="E259" s="1060" t="s">
        <v>80</v>
      </c>
      <c r="F259" s="14" t="s">
        <v>29</v>
      </c>
      <c r="G259" s="1060"/>
      <c r="H259" s="1060"/>
      <c r="I259" s="1192"/>
      <c r="J259" s="1033">
        <f t="shared" ref="J259:N259" si="44">J214-J169</f>
        <v>0</v>
      </c>
      <c r="K259" s="1033">
        <f t="shared" si="44"/>
        <v>-924.50599412628435</v>
      </c>
      <c r="L259" s="1033">
        <f t="shared" si="44"/>
        <v>-313.37249143416534</v>
      </c>
      <c r="M259" s="1033">
        <f t="shared" si="44"/>
        <v>-589.87763093489957</v>
      </c>
      <c r="N259" s="1033">
        <f t="shared" si="44"/>
        <v>-55.301027900146835</v>
      </c>
      <c r="O259" s="1060"/>
      <c r="P259" s="1060"/>
      <c r="Q259" s="1060"/>
      <c r="R259" s="1060"/>
      <c r="S259" s="1060"/>
      <c r="T259" s="1060"/>
      <c r="U259" s="1060"/>
      <c r="V259" s="1060"/>
      <c r="W259" s="1060"/>
      <c r="X259" s="1060"/>
    </row>
    <row r="260" spans="3:24">
      <c r="C260" s="1060"/>
      <c r="D260" s="1060"/>
      <c r="E260" s="1060" t="s">
        <v>81</v>
      </c>
      <c r="F260" s="14" t="s">
        <v>29</v>
      </c>
      <c r="G260" s="1060"/>
      <c r="H260" s="1060"/>
      <c r="I260" s="1192"/>
      <c r="J260" s="1033">
        <f t="shared" ref="J260:N260" si="45">J215-J170</f>
        <v>0</v>
      </c>
      <c r="K260" s="1033">
        <f t="shared" si="45"/>
        <v>0</v>
      </c>
      <c r="L260" s="1033">
        <f t="shared" si="45"/>
        <v>0</v>
      </c>
      <c r="M260" s="1033">
        <f t="shared" si="45"/>
        <v>0</v>
      </c>
      <c r="N260" s="1033">
        <f t="shared" si="45"/>
        <v>0</v>
      </c>
      <c r="O260" s="1060"/>
      <c r="P260" s="1060"/>
      <c r="Q260" s="1060"/>
      <c r="R260" s="1060"/>
      <c r="S260" s="1060"/>
      <c r="T260" s="1060"/>
      <c r="U260" s="1060"/>
      <c r="V260" s="1060"/>
      <c r="W260" s="1060"/>
      <c r="X260" s="1060"/>
    </row>
    <row r="261" spans="3:24">
      <c r="C261" s="1060"/>
      <c r="D261" s="1060"/>
      <c r="E261" s="1060" t="s">
        <v>82</v>
      </c>
      <c r="F261" s="14" t="s">
        <v>29</v>
      </c>
      <c r="G261" s="1060"/>
      <c r="H261" s="1060"/>
      <c r="I261" s="1192"/>
      <c r="J261" s="1033">
        <f t="shared" ref="J261:N261" si="46">J216-J171</f>
        <v>0</v>
      </c>
      <c r="K261" s="1033">
        <f t="shared" si="46"/>
        <v>0</v>
      </c>
      <c r="L261" s="1033">
        <f t="shared" si="46"/>
        <v>-930</v>
      </c>
      <c r="M261" s="1033">
        <f t="shared" si="46"/>
        <v>-570</v>
      </c>
      <c r="N261" s="1033">
        <f t="shared" si="46"/>
        <v>0</v>
      </c>
      <c r="O261" s="1060"/>
      <c r="P261" s="1060"/>
      <c r="Q261" s="1060"/>
      <c r="R261" s="1060"/>
      <c r="S261" s="1060"/>
      <c r="T261" s="1060"/>
      <c r="U261" s="1060"/>
      <c r="V261" s="1060"/>
      <c r="W261" s="1060"/>
      <c r="X261" s="1060"/>
    </row>
    <row r="262" spans="3:24">
      <c r="C262" s="1060"/>
      <c r="D262" s="1060"/>
      <c r="E262" s="1060" t="s">
        <v>83</v>
      </c>
      <c r="F262" s="14" t="s">
        <v>29</v>
      </c>
      <c r="G262" s="1060"/>
      <c r="H262" s="1060"/>
      <c r="I262" s="1192"/>
      <c r="J262" s="1033">
        <f t="shared" ref="J262:N262" si="47">J217-J172</f>
        <v>0</v>
      </c>
      <c r="K262" s="1033">
        <f t="shared" si="47"/>
        <v>0</v>
      </c>
      <c r="L262" s="1033">
        <f t="shared" si="47"/>
        <v>0</v>
      </c>
      <c r="M262" s="1033">
        <f t="shared" si="47"/>
        <v>0</v>
      </c>
      <c r="N262" s="1033">
        <f t="shared" si="47"/>
        <v>0</v>
      </c>
      <c r="O262" s="1060"/>
      <c r="P262" s="1060"/>
      <c r="Q262" s="1060"/>
      <c r="R262" s="1060"/>
      <c r="S262" s="1060"/>
      <c r="T262" s="1060"/>
      <c r="U262" s="1060"/>
      <c r="V262" s="1060"/>
      <c r="W262" s="1060"/>
      <c r="X262" s="1060"/>
    </row>
    <row r="263" spans="3:24">
      <c r="C263" s="1060"/>
      <c r="D263" s="1060"/>
      <c r="E263" s="1060" t="s">
        <v>84</v>
      </c>
      <c r="F263" s="14" t="s">
        <v>29</v>
      </c>
      <c r="G263" s="1060"/>
      <c r="H263" s="1060"/>
      <c r="I263" s="1192"/>
      <c r="J263" s="1033">
        <f t="shared" ref="J263:N263" si="48">J218-J173</f>
        <v>0</v>
      </c>
      <c r="K263" s="1033">
        <f t="shared" si="48"/>
        <v>0</v>
      </c>
      <c r="L263" s="1033">
        <f t="shared" si="48"/>
        <v>-15</v>
      </c>
      <c r="M263" s="1033">
        <f t="shared" si="48"/>
        <v>-1317</v>
      </c>
      <c r="N263" s="1033">
        <f t="shared" si="48"/>
        <v>-69.75</v>
      </c>
      <c r="O263" s="1060"/>
      <c r="P263" s="1060"/>
      <c r="Q263" s="1060"/>
      <c r="R263" s="1060"/>
      <c r="S263" s="1060"/>
      <c r="T263" s="1060"/>
      <c r="U263" s="1060"/>
      <c r="V263" s="1060"/>
      <c r="W263" s="1060"/>
      <c r="X263" s="1060"/>
    </row>
    <row r="264" spans="3:24">
      <c r="C264" s="1060"/>
      <c r="D264" s="1060"/>
      <c r="E264" s="1060" t="s">
        <v>85</v>
      </c>
      <c r="F264" s="14" t="s">
        <v>29</v>
      </c>
      <c r="G264" s="1060"/>
      <c r="H264" s="1060"/>
      <c r="I264" s="1192"/>
      <c r="J264" s="1033">
        <f t="shared" ref="J264:N264" si="49">J219-J174</f>
        <v>0</v>
      </c>
      <c r="K264" s="1033">
        <f t="shared" si="49"/>
        <v>0</v>
      </c>
      <c r="L264" s="1033">
        <f t="shared" si="49"/>
        <v>-186</v>
      </c>
      <c r="M264" s="1033">
        <f t="shared" si="49"/>
        <v>-77.5</v>
      </c>
      <c r="N264" s="1033">
        <f t="shared" si="49"/>
        <v>-387.5</v>
      </c>
      <c r="O264" s="1060"/>
      <c r="P264" s="1060"/>
      <c r="Q264" s="1060"/>
      <c r="R264" s="1060"/>
      <c r="S264" s="1060"/>
      <c r="T264" s="1060"/>
      <c r="U264" s="1060"/>
      <c r="V264" s="1060"/>
      <c r="W264" s="1060"/>
      <c r="X264" s="1060"/>
    </row>
    <row r="265" spans="3:24">
      <c r="C265" s="1060"/>
      <c r="D265" s="1060"/>
      <c r="E265" s="1060"/>
      <c r="F265" s="14"/>
      <c r="G265" s="1060"/>
      <c r="H265" s="1060"/>
      <c r="I265" s="1192"/>
      <c r="J265" s="1033"/>
      <c r="K265" s="1033"/>
      <c r="L265" s="1033"/>
      <c r="M265" s="1033"/>
      <c r="N265" s="1033"/>
      <c r="O265" s="1060"/>
      <c r="P265" s="1060"/>
      <c r="Q265" s="1060"/>
      <c r="R265" s="1060"/>
      <c r="S265" s="1060"/>
      <c r="T265" s="1060"/>
      <c r="U265" s="1060"/>
      <c r="V265" s="1060"/>
      <c r="W265" s="1060"/>
      <c r="X265" s="1060"/>
    </row>
    <row r="266" spans="3:24">
      <c r="C266" s="1060"/>
      <c r="D266" s="1060"/>
      <c r="E266" s="1060" t="s">
        <v>86</v>
      </c>
      <c r="F266" s="14" t="s">
        <v>29</v>
      </c>
      <c r="G266" s="1060"/>
      <c r="H266" s="1060"/>
      <c r="I266" s="1192"/>
      <c r="J266" s="1033">
        <f>J221-J176</f>
        <v>0</v>
      </c>
      <c r="K266" s="1033">
        <f>K221-K176</f>
        <v>-2365.1255257866142</v>
      </c>
      <c r="L266" s="1033">
        <f>L221-L176</f>
        <v>-5274.1410921833376</v>
      </c>
      <c r="M266" s="1033">
        <f>M221-M176</f>
        <v>-3240.0466999999971</v>
      </c>
      <c r="N266" s="1033">
        <f>N221-N176</f>
        <v>-2620.6405279999999</v>
      </c>
      <c r="O266" s="1060"/>
      <c r="P266" s="1060"/>
      <c r="Q266" s="1060"/>
      <c r="R266" s="1060"/>
      <c r="S266" s="1060"/>
      <c r="T266" s="1060"/>
      <c r="U266" s="1060"/>
      <c r="V266" s="1060"/>
      <c r="W266" s="1060"/>
      <c r="X266" s="1060"/>
    </row>
    <row r="267" spans="3:24">
      <c r="C267" s="1060"/>
      <c r="D267" s="1060"/>
      <c r="E267" s="1060"/>
      <c r="F267" s="14"/>
      <c r="G267" s="1060"/>
      <c r="H267" s="1060"/>
      <c r="I267" s="1060"/>
      <c r="J267" s="1129"/>
      <c r="K267" s="1129"/>
      <c r="L267" s="1129"/>
      <c r="M267" s="1129"/>
      <c r="N267" s="1129"/>
      <c r="O267" s="1060"/>
      <c r="P267" s="1060"/>
      <c r="Q267" s="1060"/>
      <c r="R267" s="1060"/>
      <c r="S267" s="1060"/>
      <c r="T267" s="1060"/>
      <c r="U267" s="1060"/>
      <c r="V267" s="1060"/>
      <c r="W267" s="1060"/>
      <c r="X267" s="1060"/>
    </row>
    <row r="268" spans="3:24">
      <c r="C268" s="1060"/>
      <c r="D268" s="1060"/>
      <c r="E268" s="1030" t="s">
        <v>70</v>
      </c>
      <c r="F268" s="1053" t="s">
        <v>29</v>
      </c>
      <c r="G268" s="1060"/>
      <c r="H268" s="1060"/>
      <c r="I268" s="1060"/>
      <c r="J268" s="1194">
        <f>SUM(J257:J266)</f>
        <v>0</v>
      </c>
      <c r="K268" s="1194">
        <f>SUM(K257:K266)</f>
        <v>-3289.6315199128985</v>
      </c>
      <c r="L268" s="1194">
        <f>SUM(L257:L266)</f>
        <v>-6718.5135836175032</v>
      </c>
      <c r="M268" s="1194">
        <f>SUM(M257:M266)</f>
        <v>-5794.4243309348967</v>
      </c>
      <c r="N268" s="1194">
        <f>SUM(N257:N266)</f>
        <v>-3133.1915559001468</v>
      </c>
      <c r="O268" s="1060"/>
      <c r="P268" s="1060"/>
      <c r="Q268" s="1060"/>
      <c r="R268" s="1060"/>
      <c r="S268" s="1060"/>
      <c r="T268" s="1060"/>
      <c r="U268" s="1060"/>
      <c r="V268" s="1060"/>
      <c r="W268" s="1060"/>
      <c r="X268" s="1060"/>
    </row>
    <row r="269" spans="3:24">
      <c r="C269" s="1060"/>
      <c r="D269" s="1060"/>
      <c r="E269" s="1030"/>
      <c r="F269" s="14"/>
      <c r="G269" s="1060"/>
      <c r="H269" s="1060"/>
      <c r="I269" s="1060"/>
      <c r="J269" s="1129"/>
      <c r="K269" s="1129"/>
      <c r="L269" s="1129"/>
      <c r="M269" s="1129"/>
      <c r="N269" s="1129"/>
      <c r="O269" s="1060"/>
      <c r="P269" s="1060"/>
      <c r="Q269" s="1060"/>
      <c r="R269" s="1060"/>
      <c r="S269" s="1060"/>
      <c r="T269" s="1060"/>
      <c r="U269" s="1060"/>
      <c r="V269" s="1060"/>
      <c r="W269" s="1060"/>
      <c r="X269" s="1060"/>
    </row>
    <row r="270" spans="3:24">
      <c r="C270" s="1060"/>
      <c r="D270" s="1060"/>
      <c r="E270" s="1187" t="s">
        <v>71</v>
      </c>
      <c r="F270" s="14" t="s">
        <v>43</v>
      </c>
      <c r="G270" s="14"/>
      <c r="H270" s="14"/>
      <c r="I270" s="14"/>
      <c r="J270" s="1188">
        <f>J268/J178</f>
        <v>0</v>
      </c>
      <c r="K270" s="1188">
        <f t="shared" ref="K270:N270" si="50">K268/K178</f>
        <v>-5.4183606364002615E-2</v>
      </c>
      <c r="L270" s="1188">
        <f t="shared" si="50"/>
        <v>-0.17556772922937272</v>
      </c>
      <c r="M270" s="1188">
        <f t="shared" si="50"/>
        <v>-0.19386586929464911</v>
      </c>
      <c r="N270" s="1188">
        <f t="shared" si="50"/>
        <v>-0.19999999999999998</v>
      </c>
      <c r="O270" s="1060"/>
      <c r="P270" s="1060"/>
      <c r="Q270" s="1060"/>
      <c r="R270" s="1060"/>
      <c r="S270" s="1060"/>
      <c r="T270" s="1060"/>
      <c r="U270" s="1060"/>
      <c r="V270" s="1060"/>
      <c r="W270" s="1060"/>
      <c r="X270" s="1060"/>
    </row>
    <row r="271" spans="3:24">
      <c r="C271" s="1060"/>
      <c r="D271" s="1060"/>
      <c r="E271" s="1060"/>
      <c r="F271" s="14"/>
      <c r="G271" s="1060"/>
      <c r="H271" s="1060"/>
      <c r="I271" s="1060"/>
      <c r="J271" s="1129"/>
      <c r="K271" s="1129"/>
      <c r="L271" s="1129"/>
      <c r="M271" s="1129"/>
      <c r="N271" s="1129"/>
      <c r="O271" s="1060"/>
      <c r="P271" s="1060"/>
      <c r="Q271" s="1060"/>
      <c r="R271" s="1060"/>
      <c r="S271" s="1060"/>
      <c r="T271" s="1060"/>
      <c r="U271" s="1060"/>
      <c r="V271" s="1060"/>
      <c r="W271" s="1060"/>
      <c r="X271" s="1060"/>
    </row>
    <row r="272" spans="3:24">
      <c r="C272" s="1060"/>
      <c r="D272" s="1060"/>
      <c r="E272" s="1060"/>
      <c r="F272" s="14"/>
      <c r="G272" s="1060"/>
      <c r="H272" s="1060"/>
      <c r="I272" s="1060"/>
      <c r="J272" s="1129"/>
      <c r="K272" s="1129"/>
      <c r="L272" s="1129"/>
      <c r="M272" s="1129"/>
      <c r="N272" s="1129"/>
      <c r="O272" s="1060"/>
      <c r="P272" s="1060"/>
      <c r="Q272" s="1060"/>
      <c r="R272" s="1060"/>
      <c r="S272" s="1060"/>
      <c r="T272" s="1060"/>
      <c r="U272" s="1060"/>
      <c r="V272" s="1060"/>
      <c r="W272" s="1060"/>
      <c r="X272" s="1060"/>
    </row>
    <row r="273" spans="3:24">
      <c r="C273" s="1060"/>
      <c r="D273" s="1060"/>
      <c r="E273" s="1060"/>
      <c r="F273" s="14"/>
      <c r="G273" s="1060"/>
      <c r="H273" s="1060"/>
      <c r="I273" s="1060"/>
      <c r="J273" s="1129"/>
      <c r="K273" s="1129"/>
      <c r="L273" s="1129"/>
      <c r="M273" s="1129"/>
      <c r="N273" s="1129"/>
      <c r="O273" s="1060"/>
      <c r="P273" s="1060"/>
      <c r="Q273" s="1060"/>
      <c r="R273" s="1060"/>
      <c r="S273" s="1060"/>
      <c r="T273" s="1060"/>
      <c r="U273" s="1060"/>
      <c r="V273" s="1060"/>
      <c r="W273" s="1060"/>
      <c r="X273" s="1060"/>
    </row>
    <row r="274" spans="3:24">
      <c r="C274" s="1060"/>
      <c r="D274" s="1060"/>
      <c r="E274" s="1060"/>
      <c r="F274" s="14"/>
      <c r="G274" s="1060"/>
      <c r="H274" s="1060"/>
      <c r="I274" s="1060"/>
      <c r="J274" s="1129"/>
      <c r="K274" s="1129"/>
      <c r="L274" s="1129"/>
      <c r="M274" s="1129"/>
      <c r="N274" s="1129"/>
      <c r="O274" s="1060"/>
      <c r="P274" s="1060"/>
      <c r="Q274" s="1060"/>
      <c r="R274" s="1060"/>
      <c r="S274" s="1060"/>
      <c r="T274" s="1060"/>
      <c r="U274" s="1060"/>
      <c r="V274" s="1060"/>
      <c r="W274" s="1060"/>
      <c r="X274" s="1060"/>
    </row>
    <row r="275" spans="3:24">
      <c r="C275" s="1060"/>
      <c r="D275" s="1066" t="s">
        <v>31</v>
      </c>
      <c r="E275" s="1060"/>
      <c r="F275" s="1060"/>
      <c r="G275" s="1060"/>
      <c r="H275" s="1060"/>
      <c r="I275" s="1060"/>
      <c r="J275" s="1060"/>
      <c r="K275" s="1060"/>
      <c r="L275" s="1060"/>
      <c r="M275" s="1060"/>
      <c r="N275" s="1060"/>
      <c r="O275" s="1060"/>
      <c r="P275" s="1060"/>
      <c r="Q275" s="1060"/>
      <c r="R275" s="1060"/>
      <c r="S275" s="1060"/>
      <c r="T275" s="1060"/>
      <c r="U275" s="1060"/>
      <c r="V275" s="1060"/>
      <c r="W275" s="1060"/>
      <c r="X275" s="1060"/>
    </row>
    <row r="276" spans="3:24">
      <c r="C276" s="1060"/>
      <c r="D276" s="1060"/>
      <c r="E276" s="1060" t="s">
        <v>78</v>
      </c>
      <c r="F276" s="14" t="s">
        <v>29</v>
      </c>
      <c r="G276" s="1060"/>
      <c r="H276" s="1060"/>
      <c r="I276" s="1192"/>
      <c r="J276" s="1033">
        <f>J231-J186</f>
        <v>0</v>
      </c>
      <c r="K276" s="1033">
        <f>K231-K186</f>
        <v>-454.90783124999973</v>
      </c>
      <c r="L276" s="1033">
        <f t="shared" ref="L276:N276" si="51">L231-L186</f>
        <v>-957.10924624999961</v>
      </c>
      <c r="M276" s="1033">
        <f t="shared" si="51"/>
        <v>-1004.40283</v>
      </c>
      <c r="N276" s="1033">
        <f t="shared" si="51"/>
        <v>-1004.40283</v>
      </c>
      <c r="O276" s="1060"/>
      <c r="P276" s="1060"/>
      <c r="Q276" s="1060"/>
      <c r="R276" s="1060"/>
      <c r="S276" s="1060"/>
      <c r="T276" s="1060"/>
      <c r="U276" s="1060"/>
      <c r="V276" s="1060"/>
      <c r="W276" s="1060"/>
      <c r="X276" s="1060"/>
    </row>
    <row r="277" spans="3:24">
      <c r="C277" s="1060"/>
      <c r="D277" s="1060"/>
      <c r="E277" s="1060" t="s">
        <v>79</v>
      </c>
      <c r="F277" s="14" t="s">
        <v>29</v>
      </c>
      <c r="G277" s="1060"/>
      <c r="H277" s="1060"/>
      <c r="I277" s="1192"/>
      <c r="J277" s="1033">
        <f t="shared" ref="J277:N277" si="52">J232-J187</f>
        <v>-10.527078333333336</v>
      </c>
      <c r="K277" s="1033">
        <f t="shared" si="52"/>
        <v>-126.32494850000012</v>
      </c>
      <c r="L277" s="1033">
        <f t="shared" si="52"/>
        <v>-126.32494850000012</v>
      </c>
      <c r="M277" s="1033">
        <f t="shared" si="52"/>
        <v>-126.32494850000012</v>
      </c>
      <c r="N277" s="1033">
        <f t="shared" si="52"/>
        <v>-126.32494850000012</v>
      </c>
      <c r="O277" s="1060"/>
      <c r="P277" s="1060"/>
      <c r="Q277" s="1060"/>
      <c r="R277" s="1060"/>
      <c r="S277" s="1060"/>
      <c r="T277" s="1060"/>
      <c r="U277" s="1060"/>
      <c r="V277" s="1060"/>
      <c r="W277" s="1060"/>
      <c r="X277" s="1060"/>
    </row>
    <row r="278" spans="3:24">
      <c r="C278" s="1060"/>
      <c r="D278" s="1060"/>
      <c r="E278" s="1060" t="s">
        <v>80</v>
      </c>
      <c r="F278" s="14" t="s">
        <v>29</v>
      </c>
      <c r="G278" s="1060"/>
      <c r="H278" s="1060"/>
      <c r="I278" s="1192"/>
      <c r="J278" s="1033">
        <f t="shared" ref="J278:N278" si="53">J233-J188</f>
        <v>0</v>
      </c>
      <c r="K278" s="1033">
        <f t="shared" si="53"/>
        <v>-46.901625517009279</v>
      </c>
      <c r="L278" s="1033">
        <f t="shared" si="53"/>
        <v>-144.94192033773857</v>
      </c>
      <c r="M278" s="1033">
        <f t="shared" si="53"/>
        <v>-186.41769126284862</v>
      </c>
      <c r="N278" s="1033">
        <f t="shared" si="53"/>
        <v>-235.38214304943699</v>
      </c>
      <c r="O278" s="1060"/>
      <c r="P278" s="1060"/>
      <c r="Q278" s="1060"/>
      <c r="R278" s="1060"/>
      <c r="S278" s="1060"/>
      <c r="T278" s="1060"/>
      <c r="U278" s="1060"/>
      <c r="V278" s="1060"/>
      <c r="W278" s="1060"/>
      <c r="X278" s="1060"/>
    </row>
    <row r="279" spans="3:24">
      <c r="C279" s="1060"/>
      <c r="D279" s="1060"/>
      <c r="E279" s="1060" t="s">
        <v>81</v>
      </c>
      <c r="F279" s="14" t="s">
        <v>29</v>
      </c>
      <c r="G279" s="1060"/>
      <c r="H279" s="1060"/>
      <c r="I279" s="1192"/>
      <c r="J279" s="1033">
        <f t="shared" ref="J279:N279" si="54">J234-J189</f>
        <v>0</v>
      </c>
      <c r="K279" s="1033">
        <f t="shared" si="54"/>
        <v>0</v>
      </c>
      <c r="L279" s="1033">
        <f t="shared" si="54"/>
        <v>0</v>
      </c>
      <c r="M279" s="1033">
        <f t="shared" si="54"/>
        <v>0</v>
      </c>
      <c r="N279" s="1033">
        <f t="shared" si="54"/>
        <v>0</v>
      </c>
      <c r="O279" s="1060"/>
      <c r="P279" s="1060"/>
      <c r="Q279" s="1060"/>
      <c r="R279" s="1060"/>
      <c r="S279" s="1060"/>
      <c r="T279" s="1060"/>
      <c r="U279" s="1060"/>
      <c r="V279" s="1060"/>
      <c r="W279" s="1060"/>
      <c r="X279" s="1060"/>
    </row>
    <row r="280" spans="3:24">
      <c r="C280" s="1060"/>
      <c r="D280" s="1060"/>
      <c r="E280" s="1060" t="s">
        <v>82</v>
      </c>
      <c r="F280" s="14" t="s">
        <v>29</v>
      </c>
      <c r="G280" s="1060"/>
      <c r="H280" s="1060"/>
      <c r="I280" s="1192"/>
      <c r="J280" s="1033">
        <f t="shared" ref="J280:N280" si="55">J235-J190</f>
        <v>0</v>
      </c>
      <c r="K280" s="1033">
        <f t="shared" si="55"/>
        <v>0</v>
      </c>
      <c r="L280" s="1033">
        <f t="shared" si="55"/>
        <v>-29.0625</v>
      </c>
      <c r="M280" s="1033">
        <f t="shared" si="55"/>
        <v>-169.6875</v>
      </c>
      <c r="N280" s="1033">
        <f t="shared" si="55"/>
        <v>-187.5</v>
      </c>
      <c r="O280" s="1060"/>
      <c r="P280" s="1060"/>
      <c r="Q280" s="1060"/>
      <c r="R280" s="1060"/>
      <c r="S280" s="1060"/>
      <c r="T280" s="1060"/>
      <c r="U280" s="1060"/>
      <c r="V280" s="1060"/>
      <c r="W280" s="1060"/>
      <c r="X280" s="1060"/>
    </row>
    <row r="281" spans="3:24">
      <c r="C281" s="1060"/>
      <c r="D281" s="1060"/>
      <c r="E281" s="1060" t="s">
        <v>83</v>
      </c>
      <c r="F281" s="14" t="s">
        <v>29</v>
      </c>
      <c r="G281" s="1060"/>
      <c r="H281" s="1060"/>
      <c r="I281" s="1192"/>
      <c r="J281" s="1033">
        <f t="shared" ref="J281:N281" si="56">J236-J191</f>
        <v>0</v>
      </c>
      <c r="K281" s="1033">
        <f t="shared" si="56"/>
        <v>0</v>
      </c>
      <c r="L281" s="1033">
        <f t="shared" si="56"/>
        <v>0</v>
      </c>
      <c r="M281" s="1033">
        <f t="shared" si="56"/>
        <v>0</v>
      </c>
      <c r="N281" s="1033">
        <f t="shared" si="56"/>
        <v>0</v>
      </c>
      <c r="O281" s="1060"/>
      <c r="P281" s="1060"/>
      <c r="Q281" s="1060"/>
      <c r="R281" s="1060"/>
      <c r="S281" s="1060"/>
      <c r="T281" s="1060"/>
      <c r="U281" s="1060"/>
      <c r="V281" s="1060"/>
      <c r="W281" s="1060"/>
      <c r="X281" s="1060"/>
    </row>
    <row r="282" spans="3:24">
      <c r="C282" s="1060"/>
      <c r="D282" s="1060"/>
      <c r="E282" s="1060" t="s">
        <v>84</v>
      </c>
      <c r="F282" s="14" t="s">
        <v>29</v>
      </c>
      <c r="G282" s="1060"/>
      <c r="H282" s="1060"/>
      <c r="I282" s="1192"/>
      <c r="J282" s="1033">
        <f t="shared" ref="J282:N282" si="57">J237-J192</f>
        <v>0</v>
      </c>
      <c r="K282" s="1033">
        <f t="shared" si="57"/>
        <v>0</v>
      </c>
      <c r="L282" s="1033">
        <f t="shared" si="57"/>
        <v>-1.34375</v>
      </c>
      <c r="M282" s="1033">
        <f t="shared" si="57"/>
        <v>-352.33125000000001</v>
      </c>
      <c r="N282" s="1033">
        <f t="shared" si="57"/>
        <v>-502.29374999999999</v>
      </c>
      <c r="O282" s="1060"/>
      <c r="P282" s="1060"/>
      <c r="Q282" s="1060"/>
      <c r="R282" s="1060"/>
      <c r="S282" s="1060"/>
      <c r="T282" s="1060"/>
      <c r="U282" s="1060"/>
      <c r="V282" s="1060"/>
      <c r="W282" s="1060"/>
      <c r="X282" s="1060"/>
    </row>
    <row r="283" spans="3:24">
      <c r="C283" s="1060"/>
      <c r="D283" s="1060"/>
      <c r="E283" s="1060" t="s">
        <v>85</v>
      </c>
      <c r="F283" s="14" t="s">
        <v>29</v>
      </c>
      <c r="G283" s="1060"/>
      <c r="H283" s="1060"/>
      <c r="I283" s="1192"/>
      <c r="J283" s="1033">
        <f>J238-J193</f>
        <v>0</v>
      </c>
      <c r="K283" s="1033">
        <f>K238-K193</f>
        <v>0</v>
      </c>
      <c r="L283" s="1033">
        <f>L238-L193</f>
        <v>-2.3249999999999993</v>
      </c>
      <c r="M283" s="1033">
        <f>M238-M193</f>
        <v>-71.3</v>
      </c>
      <c r="N283" s="1033">
        <f>N238-N193</f>
        <v>-90.675000000000011</v>
      </c>
      <c r="O283" s="1060"/>
      <c r="P283" s="1060"/>
      <c r="Q283" s="1060"/>
      <c r="R283" s="1060"/>
      <c r="S283" s="1060"/>
      <c r="T283" s="1060"/>
      <c r="U283" s="1060"/>
      <c r="V283" s="1060"/>
      <c r="W283" s="1060"/>
      <c r="X283" s="1060"/>
    </row>
    <row r="284" spans="3:24">
      <c r="C284" s="1060"/>
      <c r="D284" s="1060"/>
      <c r="E284" s="1060"/>
      <c r="F284" s="14"/>
      <c r="G284" s="1060"/>
      <c r="H284" s="1060"/>
      <c r="I284" s="1192"/>
      <c r="J284" s="1033"/>
      <c r="K284" s="1033"/>
      <c r="L284" s="1033"/>
      <c r="M284" s="1033"/>
      <c r="N284" s="1033"/>
      <c r="O284" s="1060"/>
      <c r="P284" s="1060"/>
      <c r="Q284" s="1060"/>
      <c r="R284" s="1060"/>
      <c r="S284" s="1060"/>
      <c r="T284" s="1060"/>
      <c r="U284" s="1060"/>
      <c r="V284" s="1060"/>
      <c r="W284" s="1060"/>
      <c r="X284" s="1060"/>
    </row>
    <row r="285" spans="3:24">
      <c r="C285" s="1060"/>
      <c r="D285" s="1060"/>
      <c r="E285" s="1060" t="s">
        <v>86</v>
      </c>
      <c r="F285" s="14" t="s">
        <v>29</v>
      </c>
      <c r="G285" s="1060"/>
      <c r="H285" s="1060"/>
      <c r="I285" s="1192"/>
      <c r="J285" s="1033">
        <f>J240-J195</f>
        <v>-0.25020000000003506</v>
      </c>
      <c r="K285" s="1033">
        <f>K240-K195</f>
        <v>-328.42396642911126</v>
      </c>
      <c r="L285" s="1033">
        <f>L240-L195</f>
        <v>-1743.6475644570664</v>
      </c>
      <c r="M285" s="1033">
        <f>M240-M195</f>
        <v>-2840.3670508128471</v>
      </c>
      <c r="N285" s="1033">
        <f>N240-N195</f>
        <v>-3641.6739591858077</v>
      </c>
      <c r="O285" s="1060"/>
      <c r="P285" s="1060"/>
      <c r="Q285" s="1060"/>
      <c r="R285" s="1060"/>
      <c r="S285" s="1060"/>
      <c r="T285" s="1060"/>
      <c r="U285" s="1060"/>
      <c r="V285" s="1060"/>
      <c r="W285" s="1060"/>
      <c r="X285" s="1060"/>
    </row>
    <row r="286" spans="3:24">
      <c r="C286" s="1060"/>
      <c r="D286" s="1060"/>
      <c r="E286" s="1060" t="s">
        <v>87</v>
      </c>
      <c r="F286" s="14" t="s">
        <v>29</v>
      </c>
      <c r="G286" s="1060"/>
      <c r="H286" s="1060"/>
      <c r="I286" s="1192"/>
      <c r="J286" s="1033">
        <f t="shared" ref="J286:N286" si="58">J241-J196</f>
        <v>0</v>
      </c>
      <c r="K286" s="1033">
        <f t="shared" si="58"/>
        <v>0</v>
      </c>
      <c r="L286" s="1033">
        <f t="shared" si="58"/>
        <v>0</v>
      </c>
      <c r="M286" s="1033">
        <f t="shared" si="58"/>
        <v>0</v>
      </c>
      <c r="N286" s="1033">
        <f t="shared" si="58"/>
        <v>0</v>
      </c>
      <c r="O286" s="1060"/>
      <c r="P286" s="1060"/>
      <c r="Q286" s="1060"/>
      <c r="R286" s="1060"/>
      <c r="S286" s="1060"/>
      <c r="T286" s="1060"/>
      <c r="U286" s="1060"/>
      <c r="V286" s="1060"/>
      <c r="W286" s="1060"/>
      <c r="X286" s="1060"/>
    </row>
    <row r="287" spans="3:24">
      <c r="C287" s="1060"/>
      <c r="D287" s="1060"/>
      <c r="E287" s="1060"/>
      <c r="F287" s="14"/>
      <c r="G287" s="1060"/>
      <c r="H287" s="1060"/>
      <c r="I287" s="1060"/>
      <c r="J287" s="1129"/>
      <c r="K287" s="1129"/>
      <c r="L287" s="1129"/>
      <c r="M287" s="1129"/>
      <c r="N287" s="1129"/>
      <c r="O287" s="1060"/>
      <c r="P287" s="1060"/>
      <c r="Q287" s="1060"/>
      <c r="R287" s="1060"/>
      <c r="S287" s="1060"/>
      <c r="T287" s="1060"/>
      <c r="U287" s="1060"/>
      <c r="V287" s="1060"/>
      <c r="W287" s="1060"/>
      <c r="X287" s="1060"/>
    </row>
    <row r="288" spans="3:24">
      <c r="C288" s="1060"/>
      <c r="D288" s="1060"/>
      <c r="E288" s="1030" t="s">
        <v>70</v>
      </c>
      <c r="F288" s="1053" t="s">
        <v>29</v>
      </c>
      <c r="G288" s="1060"/>
      <c r="H288" s="1060"/>
      <c r="I288" s="1060"/>
      <c r="J288" s="1194">
        <f>SUM(J277:J286)</f>
        <v>-10.777278333333371</v>
      </c>
      <c r="K288" s="1194">
        <f t="shared" ref="K288:N288" si="59">SUM(K277:K286)</f>
        <v>-501.65054044612066</v>
      </c>
      <c r="L288" s="1194">
        <f t="shared" si="59"/>
        <v>-2047.6456832948052</v>
      </c>
      <c r="M288" s="1194">
        <f t="shared" si="59"/>
        <v>-3746.4284405756957</v>
      </c>
      <c r="N288" s="1194">
        <f t="shared" si="59"/>
        <v>-4783.8498007352446</v>
      </c>
      <c r="O288" s="1060"/>
      <c r="P288" s="1060"/>
      <c r="Q288" s="1060"/>
      <c r="R288" s="1060"/>
      <c r="S288" s="1060"/>
      <c r="T288" s="1060"/>
      <c r="U288" s="1060"/>
      <c r="V288" s="1060"/>
      <c r="W288" s="1060"/>
      <c r="X288" s="1060"/>
    </row>
    <row r="289" spans="3:24">
      <c r="C289" s="1060"/>
      <c r="D289" s="1060"/>
      <c r="E289" s="1030"/>
      <c r="F289" s="14"/>
      <c r="G289" s="1060"/>
      <c r="H289" s="1060"/>
      <c r="I289" s="1060"/>
      <c r="J289" s="1129"/>
      <c r="K289" s="1129"/>
      <c r="L289" s="1129"/>
      <c r="M289" s="1129"/>
      <c r="N289" s="1129"/>
      <c r="O289" s="1060"/>
      <c r="P289" s="1060"/>
      <c r="Q289" s="1060"/>
      <c r="R289" s="1060"/>
      <c r="S289" s="1060"/>
      <c r="T289" s="1060"/>
      <c r="U289" s="1060"/>
      <c r="V289" s="1060"/>
      <c r="W289" s="1060"/>
      <c r="X289" s="1060"/>
    </row>
    <row r="290" spans="3:24">
      <c r="C290" s="1060"/>
      <c r="D290" s="1060"/>
      <c r="E290" s="1187" t="s">
        <v>71</v>
      </c>
      <c r="F290" s="14" t="s">
        <v>43</v>
      </c>
      <c r="G290" s="1060"/>
      <c r="H290" s="1060"/>
      <c r="I290" s="1060"/>
      <c r="J290" s="1188">
        <f>J288/J198</f>
        <v>-1.2210532069638434E-3</v>
      </c>
      <c r="K290" s="1188">
        <f>K288/K198</f>
        <v>-4.165474528544863E-2</v>
      </c>
      <c r="L290" s="1188">
        <f t="shared" ref="L290:N290" si="60">L288/L198</f>
        <v>-0.12480228676193272</v>
      </c>
      <c r="M290" s="1188">
        <f t="shared" si="60"/>
        <v>-0.19643663711247036</v>
      </c>
      <c r="N290" s="1188">
        <f t="shared" si="60"/>
        <v>-0.24657768477693162</v>
      </c>
      <c r="O290" s="1060"/>
      <c r="P290" s="1060"/>
      <c r="Q290" s="1060"/>
      <c r="R290" s="1060"/>
      <c r="S290" s="1060"/>
      <c r="T290" s="1060"/>
      <c r="U290" s="1060"/>
      <c r="V290" s="1060"/>
      <c r="W290" s="1060"/>
      <c r="X290" s="1060"/>
    </row>
    <row r="291" spans="3:24">
      <c r="C291" s="1060"/>
      <c r="D291" s="1060"/>
      <c r="E291" s="1060"/>
      <c r="F291" s="14"/>
      <c r="G291" s="1060"/>
      <c r="H291" s="1060"/>
      <c r="I291" s="1060"/>
      <c r="J291" s="1129"/>
      <c r="K291" s="1129"/>
      <c r="L291" s="1129"/>
      <c r="M291" s="1129"/>
      <c r="N291" s="1129"/>
      <c r="O291" s="1060"/>
      <c r="P291" s="1060"/>
      <c r="Q291" s="1060"/>
      <c r="R291" s="1060"/>
      <c r="S291" s="1060"/>
      <c r="T291" s="1060"/>
      <c r="U291" s="1060"/>
      <c r="V291" s="1060"/>
      <c r="W291" s="1060"/>
      <c r="X291" s="1060"/>
    </row>
    <row r="292" spans="3:24">
      <c r="C292" s="1060"/>
      <c r="D292" s="1060"/>
      <c r="E292" s="1060"/>
      <c r="F292" s="14"/>
      <c r="G292" s="1060"/>
      <c r="H292" s="1060"/>
      <c r="I292" s="1060"/>
      <c r="J292" s="1129"/>
      <c r="K292" s="1129"/>
      <c r="L292" s="1129"/>
      <c r="M292" s="1129"/>
      <c r="N292" s="1129"/>
      <c r="O292" s="1060"/>
      <c r="P292" s="1060"/>
      <c r="Q292" s="1060"/>
      <c r="R292" s="1060"/>
      <c r="S292" s="1060"/>
      <c r="T292" s="1060"/>
      <c r="U292" s="1060"/>
      <c r="V292" s="1060"/>
      <c r="W292" s="1060"/>
      <c r="X292" s="1060"/>
    </row>
    <row r="293" spans="3:24">
      <c r="C293" s="1060"/>
      <c r="D293" s="1060"/>
      <c r="E293" s="1060"/>
      <c r="F293" s="14"/>
      <c r="G293" s="1060"/>
      <c r="H293" s="1060"/>
      <c r="I293" s="1060"/>
      <c r="J293" s="1129"/>
      <c r="K293" s="1129"/>
      <c r="L293" s="1129"/>
      <c r="M293" s="1129"/>
      <c r="N293" s="1129"/>
      <c r="O293" s="1060"/>
      <c r="P293" s="1060"/>
      <c r="Q293" s="1060"/>
      <c r="R293" s="1060"/>
      <c r="S293" s="1060"/>
      <c r="T293" s="1060"/>
      <c r="U293" s="1060"/>
      <c r="V293" s="1060"/>
      <c r="W293" s="1060"/>
      <c r="X293" s="1060"/>
    </row>
    <row r="294" spans="3:24">
      <c r="C294" s="1060"/>
      <c r="D294" s="1060"/>
      <c r="E294" s="1060"/>
      <c r="F294" s="14"/>
      <c r="G294" s="1060"/>
      <c r="H294" s="1060"/>
      <c r="I294" s="1060"/>
      <c r="J294" s="1129"/>
      <c r="K294" s="1129"/>
      <c r="L294" s="1129"/>
      <c r="M294" s="1129"/>
      <c r="N294" s="1129"/>
      <c r="O294" s="1060"/>
      <c r="P294" s="1060"/>
      <c r="Q294" s="1060"/>
      <c r="R294" s="1060"/>
      <c r="S294" s="1060"/>
      <c r="T294" s="1060"/>
      <c r="U294" s="1060"/>
      <c r="V294" s="1060"/>
      <c r="W294" s="1060"/>
      <c r="X294" s="1060"/>
    </row>
    <row r="295" spans="3:24">
      <c r="C295" s="1060"/>
      <c r="D295" s="1060"/>
      <c r="E295" s="1060"/>
      <c r="F295" s="14"/>
      <c r="G295" s="1060"/>
      <c r="H295" s="1060"/>
      <c r="I295" s="1060"/>
      <c r="J295" s="1129"/>
      <c r="K295" s="1129"/>
      <c r="L295" s="1129"/>
      <c r="M295" s="1129"/>
      <c r="N295" s="1129"/>
      <c r="O295" s="1060"/>
      <c r="P295" s="1060"/>
      <c r="Q295" s="1060"/>
      <c r="R295" s="1060"/>
      <c r="S295" s="1060"/>
      <c r="T295" s="1060"/>
      <c r="U295" s="1060"/>
      <c r="V295" s="1060"/>
      <c r="W295" s="1060"/>
      <c r="X295" s="1060"/>
    </row>
    <row r="297" spans="3:24">
      <c r="C297" s="1039" t="s">
        <v>90</v>
      </c>
      <c r="D297" s="1039"/>
      <c r="E297" s="1039"/>
      <c r="F297" s="1039"/>
      <c r="G297" s="1039"/>
      <c r="H297" s="1039"/>
      <c r="I297" s="1039"/>
      <c r="J297" s="1039"/>
      <c r="K297" s="1039"/>
      <c r="L297" s="1039"/>
      <c r="M297" s="1039"/>
      <c r="N297" s="1039"/>
      <c r="O297" s="1039"/>
      <c r="P297" s="1039"/>
      <c r="Q297" s="1039"/>
      <c r="R297" s="1039"/>
      <c r="S297" s="1039"/>
      <c r="T297" s="1039"/>
      <c r="U297" s="1039"/>
      <c r="V297" s="1039"/>
      <c r="W297" s="1039"/>
      <c r="X297" s="1039"/>
    </row>
    <row r="298" spans="3:24">
      <c r="C298" s="1060"/>
      <c r="D298" s="1060"/>
      <c r="E298" s="1060"/>
      <c r="F298" s="14"/>
      <c r="G298" s="1060"/>
      <c r="H298" s="1060"/>
      <c r="I298" s="1060"/>
      <c r="J298" s="1129"/>
      <c r="K298" s="1129"/>
      <c r="L298" s="1129"/>
      <c r="M298" s="1129"/>
      <c r="N298" s="1129"/>
      <c r="O298" s="1060"/>
      <c r="P298" s="1060"/>
      <c r="Q298" s="1060"/>
      <c r="R298" s="1060"/>
      <c r="S298" s="1060"/>
      <c r="T298" s="1060"/>
      <c r="U298" s="1060"/>
      <c r="V298" s="1060"/>
      <c r="W298" s="1060"/>
      <c r="X298" s="1060"/>
    </row>
    <row r="299" spans="3:24">
      <c r="C299" s="1060"/>
      <c r="D299" s="1060"/>
      <c r="E299" s="1060"/>
      <c r="F299" s="14"/>
      <c r="G299" s="1060"/>
      <c r="H299" s="1060"/>
      <c r="I299" s="1060"/>
      <c r="J299" s="1129"/>
      <c r="K299" s="1129"/>
      <c r="L299" s="1129"/>
      <c r="M299" s="1129"/>
      <c r="N299" s="1129"/>
      <c r="O299" s="1060"/>
      <c r="P299" s="1060"/>
      <c r="Q299" s="1060"/>
      <c r="R299" s="1060"/>
      <c r="S299" s="1060"/>
      <c r="T299" s="1060"/>
      <c r="U299" s="1060"/>
      <c r="V299" s="1060"/>
      <c r="W299" s="1060"/>
      <c r="X299" s="1060"/>
    </row>
    <row r="300" spans="3:24">
      <c r="C300" s="1060"/>
      <c r="D300" s="1060" t="s">
        <v>91</v>
      </c>
      <c r="E300" s="1060"/>
      <c r="F300" s="14" t="s">
        <v>43</v>
      </c>
      <c r="G300" s="1060"/>
      <c r="H300" s="1060"/>
      <c r="I300" s="1060"/>
      <c r="J300" s="1128">
        <f>'ANSP WACC'!Z54</f>
        <v>9.1762857142857118E-2</v>
      </c>
      <c r="K300" s="1128">
        <f>'ANSP WACC'!AA54</f>
        <v>0.11552285714285722</v>
      </c>
      <c r="L300" s="1128">
        <f>'ANSP WACC'!AB54</f>
        <v>0.11891714285714285</v>
      </c>
      <c r="M300" s="1128">
        <f>'ANSP WACC'!AC54</f>
        <v>0.12004857142857146</v>
      </c>
      <c r="N300" s="1128">
        <f>'ANSP WACC'!AD54</f>
        <v>0.12004857142857146</v>
      </c>
      <c r="O300" s="1060"/>
      <c r="P300" s="1060"/>
      <c r="Q300" s="1060"/>
      <c r="R300" s="1060"/>
      <c r="S300" s="1060"/>
      <c r="T300" s="1060"/>
      <c r="U300" s="1060"/>
      <c r="V300" s="1060"/>
      <c r="W300" s="1060"/>
      <c r="X300" s="1060"/>
    </row>
    <row r="301" spans="3:24">
      <c r="C301" s="1060"/>
      <c r="D301" s="1060" t="s">
        <v>42</v>
      </c>
      <c r="E301" s="1060"/>
      <c r="F301" s="14" t="s">
        <v>43</v>
      </c>
      <c r="G301" s="1060"/>
      <c r="H301" s="1060"/>
      <c r="I301" s="1060"/>
      <c r="J301" s="1128">
        <f>'ANSP WACC'!Z57</f>
        <v>-2.4451905984592681E-3</v>
      </c>
      <c r="K301" s="1128">
        <f>'ANSP WACC'!AA57</f>
        <v>1.8608730001975271E-2</v>
      </c>
      <c r="L301" s="1128">
        <f>'ANSP WACC'!AB57</f>
        <v>2.1616432944894237E-2</v>
      </c>
      <c r="M301" s="1128">
        <f>'ANSP WACC'!AC57</f>
        <v>2.2619000592534189E-2</v>
      </c>
      <c r="N301" s="1128">
        <f>'ANSP WACC'!AD57</f>
        <v>2.2619000592534189E-2</v>
      </c>
      <c r="O301" s="1060"/>
      <c r="P301" s="1060"/>
      <c r="Q301" s="1060"/>
      <c r="R301" s="1060"/>
      <c r="S301" s="1060"/>
      <c r="T301" s="1060"/>
      <c r="U301" s="1060"/>
      <c r="V301" s="1060"/>
      <c r="W301" s="1060"/>
      <c r="X301" s="1060"/>
    </row>
    <row r="302" spans="3:24">
      <c r="C302" s="1060"/>
      <c r="D302" s="1060"/>
      <c r="E302" s="1060"/>
      <c r="F302" s="14"/>
      <c r="G302" s="1060"/>
      <c r="H302" s="1060"/>
      <c r="I302" s="1060"/>
      <c r="J302" s="1060"/>
      <c r="K302" s="1060"/>
      <c r="L302" s="1060"/>
      <c r="M302" s="1060"/>
      <c r="N302" s="1060"/>
      <c r="O302" s="1060"/>
      <c r="P302" s="1060"/>
      <c r="Q302" s="1060"/>
      <c r="R302" s="1060"/>
      <c r="S302" s="1060"/>
      <c r="T302" s="1060"/>
      <c r="U302" s="1060"/>
      <c r="V302" s="1060"/>
      <c r="W302" s="1060"/>
      <c r="X302" s="1060"/>
    </row>
    <row r="303" spans="3:24">
      <c r="C303" s="1060"/>
      <c r="D303" s="1060" t="s">
        <v>92</v>
      </c>
      <c r="E303" s="1060"/>
      <c r="F303" s="14" t="s">
        <v>43</v>
      </c>
      <c r="G303" s="1060"/>
      <c r="H303" s="1060"/>
      <c r="I303" s="1060"/>
      <c r="J303" s="1130">
        <f>'ANSP WACC'!Z43</f>
        <v>0.5</v>
      </c>
      <c r="K303" s="1130">
        <f>'ANSP WACC'!AA43</f>
        <v>0.5</v>
      </c>
      <c r="L303" s="1130">
        <f>'ANSP WACC'!AB43</f>
        <v>0.5</v>
      </c>
      <c r="M303" s="1130">
        <f>'ANSP WACC'!AC43</f>
        <v>0.5</v>
      </c>
      <c r="N303" s="1130">
        <f>'ANSP WACC'!AD43</f>
        <v>0.5</v>
      </c>
      <c r="O303" s="1060"/>
      <c r="P303" s="1060"/>
      <c r="Q303" s="1060"/>
      <c r="R303" s="1060"/>
      <c r="S303" s="1060"/>
      <c r="T303" s="1060"/>
      <c r="U303" s="1060"/>
      <c r="V303" s="1060"/>
      <c r="W303" s="1060"/>
      <c r="X303" s="1060"/>
    </row>
    <row r="304" spans="3:24">
      <c r="C304" s="1060"/>
      <c r="D304" s="1060"/>
      <c r="E304" s="1060"/>
      <c r="F304" s="14"/>
      <c r="G304" s="1060"/>
      <c r="H304" s="1060"/>
      <c r="I304" s="1060"/>
      <c r="J304" s="1060"/>
      <c r="K304" s="1060"/>
      <c r="L304" s="1060"/>
      <c r="M304" s="1060"/>
      <c r="N304" s="1060"/>
      <c r="O304" s="1060"/>
      <c r="P304" s="1060"/>
      <c r="Q304" s="1060"/>
      <c r="R304" s="1060"/>
      <c r="S304" s="1060"/>
      <c r="T304" s="1060"/>
      <c r="U304" s="1060"/>
      <c r="V304" s="1060"/>
      <c r="W304" s="1060"/>
      <c r="X304" s="1060"/>
    </row>
    <row r="305" spans="3:28">
      <c r="C305" s="1060"/>
      <c r="D305" s="1195" t="s">
        <v>93</v>
      </c>
      <c r="E305" s="1060"/>
      <c r="F305" s="1053" t="s">
        <v>43</v>
      </c>
      <c r="G305" s="1060"/>
      <c r="H305" s="1060"/>
      <c r="I305" s="1060"/>
      <c r="J305" s="1044">
        <f>(J300*(1-J303))+MIN(J306,0)</f>
        <v>4.4658833272198925E-2</v>
      </c>
      <c r="K305" s="1044">
        <f t="shared" ref="K305:N305" si="61">(K300*(1-K303))+MIN(K306,0)</f>
        <v>5.7761428571428609E-2</v>
      </c>
      <c r="L305" s="1044">
        <f t="shared" si="61"/>
        <v>5.9458571428571423E-2</v>
      </c>
      <c r="M305" s="1044">
        <f t="shared" si="61"/>
        <v>6.0024285714285731E-2</v>
      </c>
      <c r="N305" s="1044">
        <f t="shared" si="61"/>
        <v>6.0024285714285731E-2</v>
      </c>
      <c r="O305" s="1060"/>
      <c r="P305" s="1060"/>
      <c r="Q305" s="1060"/>
      <c r="R305" s="1060"/>
      <c r="S305" s="1060"/>
      <c r="T305" s="1060"/>
      <c r="U305" s="1060"/>
      <c r="V305" s="1060"/>
      <c r="W305" s="1060"/>
      <c r="X305" s="1060"/>
    </row>
    <row r="306" spans="3:28">
      <c r="C306" s="1060"/>
      <c r="D306" s="1195" t="s">
        <v>94</v>
      </c>
      <c r="E306" s="1060"/>
      <c r="F306" s="1053" t="s">
        <v>43</v>
      </c>
      <c r="G306" s="1060"/>
      <c r="H306" s="1060"/>
      <c r="I306" s="1060"/>
      <c r="J306" s="1044">
        <f>J301*J303</f>
        <v>-1.2225952992296341E-3</v>
      </c>
      <c r="K306" s="1044">
        <f t="shared" ref="K306:N306" si="62">K301*K303</f>
        <v>9.3043650009876355E-3</v>
      </c>
      <c r="L306" s="1044">
        <f t="shared" si="62"/>
        <v>1.0808216472447119E-2</v>
      </c>
      <c r="M306" s="1044">
        <f t="shared" si="62"/>
        <v>1.1309500296267094E-2</v>
      </c>
      <c r="N306" s="1044">
        <f t="shared" si="62"/>
        <v>1.1309500296267094E-2</v>
      </c>
      <c r="O306" s="1060"/>
      <c r="P306" s="1060"/>
      <c r="Q306" s="1060"/>
      <c r="R306" s="1060"/>
      <c r="S306" s="1060"/>
      <c r="T306" s="1060"/>
      <c r="U306" s="1060"/>
      <c r="V306" s="1060"/>
      <c r="W306" s="1060"/>
      <c r="X306" s="1060"/>
    </row>
    <row r="307" spans="3:28">
      <c r="C307" s="1060"/>
      <c r="D307" s="1195"/>
      <c r="E307" s="1060"/>
      <c r="F307" s="14"/>
      <c r="G307" s="1060"/>
      <c r="H307" s="1060"/>
      <c r="I307" s="1060"/>
      <c r="J307" s="1060"/>
      <c r="K307" s="1060"/>
      <c r="L307" s="1060"/>
      <c r="M307" s="1060"/>
      <c r="N307" s="1060"/>
      <c r="O307" s="1060"/>
      <c r="P307" s="1060"/>
      <c r="Q307" s="1060"/>
      <c r="R307" s="1060"/>
      <c r="S307" s="1060"/>
      <c r="T307" s="1060"/>
      <c r="U307" s="1060"/>
      <c r="V307" s="1060"/>
      <c r="W307" s="1060"/>
      <c r="X307" s="1060"/>
    </row>
    <row r="308" spans="3:28">
      <c r="C308" s="1060"/>
      <c r="D308" s="1066" t="s">
        <v>95</v>
      </c>
      <c r="E308" s="1066"/>
      <c r="F308" s="1053" t="s">
        <v>43</v>
      </c>
      <c r="G308" s="1066"/>
      <c r="H308" s="1066"/>
      <c r="I308" s="1066"/>
      <c r="J308" s="1196">
        <f>'ANSP WACC'!Z64</f>
        <v>4.4658833272198925E-2</v>
      </c>
      <c r="K308" s="1196">
        <f>'ANSP WACC'!AA64</f>
        <v>6.7065793572416238E-2</v>
      </c>
      <c r="L308" s="1196">
        <f>'ANSP WACC'!AB64</f>
        <v>7.0266787901018535E-2</v>
      </c>
      <c r="M308" s="1196">
        <f>'ANSP WACC'!AC64</f>
        <v>7.1333786010552819E-2</v>
      </c>
      <c r="N308" s="1196">
        <f>'ANSP WACC'!AD64</f>
        <v>7.1333786010552819E-2</v>
      </c>
      <c r="O308" s="1060"/>
      <c r="P308" s="1060"/>
      <c r="Q308" s="1060"/>
      <c r="R308" s="1060"/>
      <c r="S308" s="1060"/>
      <c r="T308" s="1060"/>
      <c r="U308" s="1060"/>
      <c r="V308" s="1060"/>
      <c r="W308" s="1060"/>
      <c r="X308" s="1060"/>
    </row>
    <row r="309" spans="3:28">
      <c r="C309" s="1060"/>
      <c r="D309" s="1060"/>
      <c r="E309" s="1060"/>
      <c r="F309" s="14"/>
      <c r="G309" s="1060"/>
      <c r="H309" s="1060"/>
      <c r="I309" s="1060"/>
      <c r="J309" s="1129"/>
      <c r="K309" s="1129"/>
      <c r="L309" s="1129"/>
      <c r="M309" s="1129"/>
      <c r="N309" s="1129"/>
      <c r="O309" s="1060"/>
      <c r="P309" s="1060"/>
      <c r="Q309" s="1060"/>
      <c r="R309" s="1060"/>
      <c r="S309" s="1060"/>
      <c r="T309" s="1060"/>
      <c r="U309" s="1060"/>
      <c r="V309" s="1060"/>
      <c r="W309" s="1060"/>
      <c r="X309" s="1060"/>
    </row>
    <row r="310" spans="3:28">
      <c r="C310" s="1060"/>
      <c r="D310" s="1066" t="s">
        <v>96</v>
      </c>
      <c r="E310" s="1060"/>
      <c r="F310" s="1053" t="s">
        <v>29</v>
      </c>
      <c r="G310" s="1060"/>
      <c r="H310" s="1060"/>
      <c r="I310" s="1060"/>
      <c r="J310" s="1194">
        <f>'ANSP WACC'!Z86</f>
        <v>2052.9439348445057</v>
      </c>
      <c r="K310" s="1194">
        <f>'ANSP WACC'!AA86</f>
        <v>5320.8753242034109</v>
      </c>
      <c r="L310" s="1194">
        <f>'ANSP WACC'!AB86</f>
        <v>8300.5625849894386</v>
      </c>
      <c r="M310" s="1194">
        <f>'ANSP WACC'!AC86</f>
        <v>9691.4348781063345</v>
      </c>
      <c r="N310" s="1194">
        <f>'ANSP WACC'!AD86</f>
        <v>9739.9503599616182</v>
      </c>
      <c r="O310" s="1060"/>
      <c r="P310" s="1060"/>
      <c r="Q310" s="1060"/>
      <c r="R310" s="1060"/>
      <c r="S310" s="1060"/>
      <c r="T310" s="1060"/>
      <c r="U310" s="1060"/>
      <c r="V310" s="1060"/>
      <c r="W310" s="1060"/>
      <c r="X310" s="1060"/>
      <c r="AB310" s="1189">
        <f>SUM(J310:N310)-SUM('ANSP WACC'!Z86:AD86)</f>
        <v>0</v>
      </c>
    </row>
    <row r="311" spans="3:28">
      <c r="C311" s="1060"/>
      <c r="D311" s="1060"/>
      <c r="E311" s="1060"/>
      <c r="F311" s="1060"/>
      <c r="G311" s="1060"/>
      <c r="H311" s="1060"/>
      <c r="I311" s="1060"/>
      <c r="J311" s="1060"/>
      <c r="K311" s="1060"/>
      <c r="L311" s="1060"/>
      <c r="M311" s="1060"/>
      <c r="N311" s="1060"/>
      <c r="O311" s="1060"/>
      <c r="P311" s="1060"/>
      <c r="Q311" s="1060"/>
      <c r="R311" s="1060"/>
      <c r="S311" s="1060"/>
      <c r="T311" s="1060"/>
      <c r="U311" s="1060"/>
      <c r="V311" s="1060"/>
      <c r="W311" s="1060"/>
      <c r="X311" s="1060"/>
    </row>
    <row r="312" spans="3:28">
      <c r="C312" s="1039" t="s">
        <v>97</v>
      </c>
      <c r="D312" s="1039"/>
      <c r="E312" s="1039"/>
      <c r="F312" s="1039"/>
      <c r="G312" s="1039"/>
      <c r="H312" s="1039"/>
      <c r="I312" s="1039"/>
      <c r="J312" s="1039"/>
      <c r="K312" s="1039"/>
      <c r="L312" s="1039"/>
      <c r="M312" s="1039"/>
      <c r="N312" s="1039"/>
      <c r="O312" s="1039"/>
      <c r="P312" s="1039"/>
      <c r="Q312" s="1039"/>
      <c r="R312" s="1039"/>
      <c r="S312" s="1039"/>
      <c r="T312" s="1039"/>
      <c r="U312" s="1039"/>
      <c r="V312" s="1039"/>
      <c r="W312" s="1039"/>
      <c r="X312" s="1039"/>
    </row>
    <row r="313" spans="3:28">
      <c r="C313" s="1060"/>
      <c r="D313" s="1060"/>
      <c r="E313" s="1060"/>
      <c r="F313" s="1060"/>
      <c r="G313" s="1060"/>
      <c r="H313" s="1060"/>
      <c r="I313" s="1060"/>
      <c r="J313" s="1060"/>
      <c r="K313" s="1060"/>
      <c r="L313" s="1060"/>
      <c r="M313" s="1060"/>
      <c r="N313" s="1060"/>
      <c r="O313" s="1060"/>
      <c r="P313" s="1060"/>
      <c r="Q313" s="1060"/>
      <c r="R313" s="1060"/>
      <c r="S313" s="1060"/>
      <c r="T313" s="1060"/>
      <c r="U313" s="1060"/>
      <c r="V313" s="1060"/>
      <c r="W313" s="1060"/>
      <c r="X313" s="1060"/>
    </row>
    <row r="314" spans="3:28">
      <c r="C314" s="1060"/>
      <c r="D314" s="1060" t="s">
        <v>91</v>
      </c>
      <c r="E314" s="1060"/>
      <c r="F314" s="14" t="s">
        <v>43</v>
      </c>
      <c r="G314" s="1060"/>
      <c r="H314" s="1060"/>
      <c r="I314" s="1060"/>
      <c r="J314" s="1128">
        <f>'ANSP WACC (CAR)'!Z54</f>
        <v>6.3331007740404219E-2</v>
      </c>
      <c r="K314" s="1128">
        <f>'ANSP WACC (CAR)'!AA54</f>
        <v>8.7035732526885221E-2</v>
      </c>
      <c r="L314" s="1128">
        <f>'ANSP WACC (CAR)'!AB54</f>
        <v>9.0422121782096659E-2</v>
      </c>
      <c r="M314" s="1128">
        <f>'ANSP WACC (CAR)'!AC54</f>
        <v>9.1550918200500722E-2</v>
      </c>
      <c r="N314" s="1128">
        <f>'ANSP WACC (CAR)'!AD54</f>
        <v>9.1550918200500722E-2</v>
      </c>
      <c r="O314" s="1060"/>
      <c r="P314" s="1060"/>
      <c r="Q314" s="1060"/>
      <c r="R314" s="1060"/>
      <c r="S314" s="1060"/>
      <c r="T314" s="1060"/>
      <c r="U314" s="1060"/>
      <c r="V314" s="1060"/>
      <c r="W314" s="1060"/>
      <c r="X314" s="1060"/>
    </row>
    <row r="315" spans="3:28">
      <c r="C315" s="1060"/>
      <c r="D315" s="1060" t="s">
        <v>42</v>
      </c>
      <c r="E315" s="1060"/>
      <c r="F315" s="14" t="s">
        <v>43</v>
      </c>
      <c r="G315" s="1060"/>
      <c r="H315" s="1060"/>
      <c r="I315" s="1060"/>
      <c r="J315" s="1128">
        <f>'ANSP WACC (CAR)'!Z57</f>
        <v>-3.8249383629191946E-3</v>
      </c>
      <c r="K315" s="1128">
        <f>'ANSP WACC (CAR)'!AA57</f>
        <v>1.7199861932938765E-2</v>
      </c>
      <c r="L315" s="1128">
        <f>'ANSP WACC (CAR)'!AB57</f>
        <v>2.020340483234695E-2</v>
      </c>
      <c r="M315" s="1128">
        <f>'ANSP WACC (CAR)'!AC57</f>
        <v>2.1204585798816566E-2</v>
      </c>
      <c r="N315" s="1128">
        <f>'ANSP WACC (CAR)'!AD57</f>
        <v>2.1204585798816566E-2</v>
      </c>
      <c r="O315" s="1060"/>
      <c r="P315" s="1060"/>
      <c r="Q315" s="1060"/>
      <c r="R315" s="1060"/>
      <c r="S315" s="1060"/>
      <c r="T315" s="1060"/>
      <c r="U315" s="1060"/>
      <c r="V315" s="1060"/>
      <c r="W315" s="1060"/>
      <c r="X315" s="1060"/>
    </row>
    <row r="316" spans="3:28">
      <c r="C316" s="1060"/>
      <c r="D316" s="1060"/>
      <c r="E316" s="1060"/>
      <c r="F316" s="14"/>
      <c r="G316" s="1060"/>
      <c r="H316" s="1060"/>
      <c r="I316" s="1060"/>
      <c r="J316" s="1060"/>
      <c r="K316" s="1060"/>
      <c r="L316" s="1060"/>
      <c r="M316" s="1060"/>
      <c r="N316" s="1060"/>
      <c r="O316" s="1060"/>
      <c r="P316" s="1060"/>
      <c r="Q316" s="1060"/>
      <c r="R316" s="1060"/>
      <c r="S316" s="1060"/>
      <c r="T316" s="1060"/>
      <c r="U316" s="1060"/>
      <c r="V316" s="1060"/>
      <c r="W316" s="1060"/>
      <c r="X316" s="1060"/>
    </row>
    <row r="317" spans="3:28">
      <c r="C317" s="1060"/>
      <c r="D317" s="1060" t="s">
        <v>92</v>
      </c>
      <c r="E317" s="1060"/>
      <c r="F317" s="14" t="s">
        <v>43</v>
      </c>
      <c r="G317" s="1060"/>
      <c r="H317" s="1060"/>
      <c r="I317" s="1060"/>
      <c r="J317" s="1130">
        <f>'ANSP WACC (CAR)'!Z43</f>
        <v>0.5</v>
      </c>
      <c r="K317" s="1130">
        <f>'ANSP WACC (CAR)'!AA43</f>
        <v>0.5</v>
      </c>
      <c r="L317" s="1130">
        <f>'ANSP WACC (CAR)'!AB43</f>
        <v>0.5</v>
      </c>
      <c r="M317" s="1130">
        <f>'ANSP WACC (CAR)'!AC43</f>
        <v>0.5</v>
      </c>
      <c r="N317" s="1130">
        <f>'ANSP WACC (CAR)'!AD43</f>
        <v>0.5</v>
      </c>
      <c r="O317" s="1060"/>
      <c r="P317" s="1060"/>
      <c r="Q317" s="1060"/>
      <c r="R317" s="1060"/>
      <c r="S317" s="1060"/>
      <c r="T317" s="1060"/>
      <c r="U317" s="1060"/>
      <c r="V317" s="1060"/>
      <c r="W317" s="1060"/>
      <c r="X317" s="1060"/>
    </row>
    <row r="318" spans="3:28">
      <c r="C318" s="1060"/>
      <c r="D318" s="1060"/>
      <c r="E318" s="1060"/>
      <c r="F318" s="14"/>
      <c r="G318" s="1060"/>
      <c r="H318" s="1060"/>
      <c r="I318" s="1060"/>
      <c r="J318" s="1060"/>
      <c r="K318" s="1060"/>
      <c r="L318" s="1060"/>
      <c r="M318" s="1060"/>
      <c r="N318" s="1060"/>
      <c r="O318" s="1060"/>
      <c r="P318" s="1060"/>
      <c r="Q318" s="1060"/>
      <c r="R318" s="1060"/>
      <c r="S318" s="1060"/>
      <c r="T318" s="1060"/>
      <c r="U318" s="1060"/>
      <c r="V318" s="1060"/>
      <c r="W318" s="1060"/>
      <c r="X318" s="1060"/>
    </row>
    <row r="319" spans="3:28">
      <c r="C319" s="1060"/>
      <c r="D319" s="1195" t="s">
        <v>93</v>
      </c>
      <c r="E319" s="1060"/>
      <c r="F319" s="1053" t="s">
        <v>43</v>
      </c>
      <c r="G319" s="1060"/>
      <c r="H319" s="1060"/>
      <c r="I319" s="1060"/>
      <c r="J319" s="1044">
        <f>(J314*(1-J317))+MIN(J320,0)</f>
        <v>2.9753034688742512E-2</v>
      </c>
      <c r="K319" s="1044">
        <f t="shared" ref="K319:N319" si="63">(K314*(1-K317))+MIN(K320,0)</f>
        <v>4.351786626344261E-2</v>
      </c>
      <c r="L319" s="1044">
        <f t="shared" si="63"/>
        <v>4.521106089104833E-2</v>
      </c>
      <c r="M319" s="1044">
        <f t="shared" si="63"/>
        <v>4.5775459100250361E-2</v>
      </c>
      <c r="N319" s="1044">
        <f t="shared" si="63"/>
        <v>4.5775459100250361E-2</v>
      </c>
      <c r="O319" s="1060"/>
      <c r="P319" s="1060"/>
      <c r="Q319" s="1060"/>
      <c r="R319" s="1060"/>
      <c r="S319" s="1060"/>
      <c r="T319" s="1060"/>
      <c r="U319" s="1060"/>
      <c r="V319" s="1060"/>
      <c r="W319" s="1060"/>
      <c r="X319" s="1060"/>
    </row>
    <row r="320" spans="3:28">
      <c r="C320" s="1060"/>
      <c r="D320" s="1195" t="s">
        <v>94</v>
      </c>
      <c r="E320" s="1060"/>
      <c r="F320" s="1053" t="s">
        <v>43</v>
      </c>
      <c r="G320" s="1060"/>
      <c r="H320" s="1060"/>
      <c r="I320" s="1060"/>
      <c r="J320" s="1044">
        <f>J315*J317</f>
        <v>-1.9124691814595973E-3</v>
      </c>
      <c r="K320" s="1044">
        <f t="shared" ref="K320:N320" si="64">K315*K317</f>
        <v>8.5999309664693824E-3</v>
      </c>
      <c r="L320" s="1044">
        <f t="shared" si="64"/>
        <v>1.0101702416173475E-2</v>
      </c>
      <c r="M320" s="1044">
        <f t="shared" si="64"/>
        <v>1.0602292899408283E-2</v>
      </c>
      <c r="N320" s="1044">
        <f t="shared" si="64"/>
        <v>1.0602292899408283E-2</v>
      </c>
      <c r="O320" s="1060"/>
      <c r="P320" s="1060"/>
      <c r="Q320" s="1060"/>
      <c r="R320" s="1060"/>
      <c r="S320" s="1060"/>
      <c r="T320" s="1060"/>
      <c r="U320" s="1060"/>
      <c r="V320" s="1060"/>
      <c r="W320" s="1060"/>
      <c r="X320" s="1060"/>
    </row>
    <row r="321" spans="3:28">
      <c r="C321" s="1060"/>
      <c r="D321" s="1060"/>
      <c r="E321" s="1060"/>
      <c r="F321" s="14"/>
      <c r="G321" s="1060"/>
      <c r="H321" s="1060"/>
      <c r="I321" s="1060"/>
      <c r="J321" s="1060"/>
      <c r="K321" s="1060"/>
      <c r="L321" s="1060"/>
      <c r="M321" s="1060"/>
      <c r="N321" s="1060"/>
      <c r="O321" s="1060"/>
      <c r="P321" s="1060"/>
      <c r="Q321" s="1060"/>
      <c r="R321" s="1060"/>
      <c r="S321" s="1060"/>
      <c r="T321" s="1060"/>
      <c r="U321" s="1060"/>
      <c r="V321" s="1060"/>
      <c r="W321" s="1060"/>
      <c r="X321" s="1060"/>
    </row>
    <row r="322" spans="3:28">
      <c r="C322" s="1060"/>
      <c r="D322" s="1060" t="s">
        <v>98</v>
      </c>
      <c r="E322" s="1060"/>
      <c r="F322" s="14" t="s">
        <v>43</v>
      </c>
      <c r="G322" s="1060"/>
      <c r="H322" s="1060"/>
      <c r="I322" s="1060"/>
      <c r="J322" s="1128">
        <f>'ANSP WACC (CAR)'!Z61</f>
        <v>0</v>
      </c>
      <c r="K322" s="1128">
        <f>'ANSP WACC (CAR)'!AA61</f>
        <v>0</v>
      </c>
      <c r="L322" s="1128">
        <f>'ANSP WACC (CAR)'!AB61</f>
        <v>5.0000000000000001E-3</v>
      </c>
      <c r="M322" s="1128">
        <f>'ANSP WACC (CAR)'!AC61</f>
        <v>5.0000000000000001E-3</v>
      </c>
      <c r="N322" s="1128">
        <f>'ANSP WACC (CAR)'!AD61</f>
        <v>5.0000000000000001E-3</v>
      </c>
      <c r="O322" s="1060"/>
      <c r="P322" s="1060"/>
      <c r="Q322" s="1060"/>
      <c r="R322" s="1060"/>
      <c r="S322" s="1060"/>
      <c r="T322" s="1060"/>
      <c r="U322" s="1060"/>
      <c r="V322" s="1060"/>
      <c r="W322" s="1060"/>
      <c r="X322" s="1060"/>
    </row>
    <row r="323" spans="3:28">
      <c r="C323" s="1060"/>
      <c r="D323" s="1060"/>
      <c r="E323" s="1060"/>
      <c r="F323" s="14"/>
      <c r="G323" s="1060"/>
      <c r="H323" s="1060"/>
      <c r="I323" s="1060"/>
      <c r="J323" s="1060"/>
      <c r="K323" s="1060"/>
      <c r="L323" s="1060"/>
      <c r="M323" s="1060"/>
      <c r="N323" s="1060"/>
      <c r="O323" s="1060"/>
      <c r="P323" s="1060"/>
      <c r="Q323" s="1060"/>
      <c r="R323" s="1060"/>
      <c r="S323" s="1060"/>
      <c r="T323" s="1060"/>
      <c r="U323" s="1060"/>
      <c r="V323" s="1060"/>
      <c r="W323" s="1060"/>
      <c r="X323" s="1060"/>
    </row>
    <row r="324" spans="3:28">
      <c r="C324" s="1060"/>
      <c r="D324" s="1066" t="s">
        <v>95</v>
      </c>
      <c r="E324" s="1066"/>
      <c r="F324" s="1053" t="s">
        <v>43</v>
      </c>
      <c r="G324" s="1066"/>
      <c r="H324" s="1066"/>
      <c r="I324" s="1066"/>
      <c r="J324" s="1196">
        <f>'ANSP WACC (CAR)'!Z64</f>
        <v>2.9753034688742512E-2</v>
      </c>
      <c r="K324" s="1196">
        <f>'ANSP WACC (CAR)'!AA64</f>
        <v>5.2117797229911993E-2</v>
      </c>
      <c r="L324" s="1196">
        <f>'ANSP WACC (CAR)'!AB64</f>
        <v>6.0312763307221802E-2</v>
      </c>
      <c r="M324" s="1196">
        <f>'ANSP WACC (CAR)'!AC64</f>
        <v>6.1377751999658642E-2</v>
      </c>
      <c r="N324" s="1196">
        <f>'ANSP WACC (CAR)'!AD64</f>
        <v>6.1377751999658642E-2</v>
      </c>
      <c r="O324" s="1060"/>
      <c r="P324" s="1060"/>
      <c r="Q324" s="1060"/>
      <c r="R324" s="1060"/>
      <c r="S324" s="1060"/>
      <c r="T324" s="1060"/>
      <c r="U324" s="1060"/>
      <c r="V324" s="1060"/>
      <c r="W324" s="1060"/>
      <c r="X324" s="1060"/>
    </row>
    <row r="325" spans="3:28">
      <c r="C325" s="1060"/>
      <c r="D325" s="1060"/>
      <c r="E325" s="1060"/>
      <c r="F325" s="14"/>
      <c r="G325" s="1060"/>
      <c r="H325" s="1060"/>
      <c r="I325" s="1060"/>
      <c r="J325" s="1129"/>
      <c r="K325" s="1129"/>
      <c r="L325" s="1129"/>
      <c r="M325" s="1129"/>
      <c r="N325" s="1129"/>
      <c r="O325" s="1060"/>
      <c r="P325" s="1060"/>
      <c r="Q325" s="1060"/>
      <c r="R325" s="1060"/>
      <c r="S325" s="1060"/>
      <c r="T325" s="1060"/>
      <c r="U325" s="1060"/>
      <c r="V325" s="1060"/>
      <c r="W325" s="1060"/>
      <c r="X325" s="1060"/>
    </row>
    <row r="326" spans="3:28">
      <c r="C326" s="1060"/>
      <c r="D326" s="1066" t="s">
        <v>96</v>
      </c>
      <c r="E326" s="1060"/>
      <c r="F326" s="1053" t="s">
        <v>29</v>
      </c>
      <c r="G326" s="1060"/>
      <c r="H326" s="1060"/>
      <c r="I326" s="1060"/>
      <c r="J326" s="1194">
        <f>'ANSP WACC (CAR)'!Z86</f>
        <v>1620.5759398222206</v>
      </c>
      <c r="K326" s="1194">
        <f>'ANSP WACC (CAR)'!AA86</f>
        <v>3339.8308130317919</v>
      </c>
      <c r="L326" s="1194">
        <f>'ANSP WACC (CAR)'!AB86</f>
        <v>7252.1770127180453</v>
      </c>
      <c r="M326" s="1194">
        <f>'ANSP WACC (CAR)'!AC86</f>
        <v>8335.5986556748303</v>
      </c>
      <c r="N326" s="1194">
        <f>'ANSP WACC (CAR)'!AD86</f>
        <v>8162.7977353207716</v>
      </c>
      <c r="O326" s="1060"/>
      <c r="P326" s="1060"/>
      <c r="Q326" s="1060"/>
      <c r="R326" s="1060"/>
      <c r="S326" s="1060"/>
      <c r="T326" s="1060"/>
      <c r="U326" s="1060"/>
      <c r="V326" s="1060"/>
      <c r="W326" s="1060"/>
      <c r="X326" s="1060"/>
      <c r="AB326" s="1656">
        <f>SUM(J326:N326)-SUM('ANSP WACC (CAR)'!Z86:AD86)</f>
        <v>0</v>
      </c>
    </row>
    <row r="327" spans="3:28">
      <c r="C327" s="1060"/>
      <c r="D327" s="1060"/>
      <c r="E327" s="1060"/>
      <c r="F327" s="1060"/>
      <c r="G327" s="1060"/>
      <c r="H327" s="1060"/>
      <c r="I327" s="1060"/>
      <c r="J327" s="1060"/>
      <c r="K327" s="1060"/>
      <c r="L327" s="1060"/>
      <c r="M327" s="1060"/>
      <c r="N327" s="1060"/>
      <c r="O327" s="1060"/>
      <c r="P327" s="1060"/>
      <c r="Q327" s="1060"/>
      <c r="R327" s="1060"/>
      <c r="S327" s="1060"/>
      <c r="T327" s="1060"/>
      <c r="U327" s="1060"/>
      <c r="V327" s="1060"/>
      <c r="W327" s="1060"/>
      <c r="X327" s="1060"/>
    </row>
    <row r="329" spans="3:28">
      <c r="C329" s="1039" t="s">
        <v>99</v>
      </c>
      <c r="D329" s="1039"/>
      <c r="E329" s="1039"/>
      <c r="F329" s="1039"/>
      <c r="G329" s="1039"/>
      <c r="H329" s="1039"/>
      <c r="I329" s="1039"/>
      <c r="J329" s="1039"/>
      <c r="K329" s="1039"/>
      <c r="L329" s="1039"/>
      <c r="M329" s="1039"/>
      <c r="N329" s="1039"/>
      <c r="O329" s="1039"/>
      <c r="P329" s="1039"/>
      <c r="Q329" s="1039"/>
      <c r="R329" s="1039"/>
      <c r="S329" s="1039"/>
      <c r="T329" s="1039"/>
      <c r="U329" s="1039"/>
      <c r="V329" s="1039"/>
      <c r="W329" s="1039"/>
      <c r="X329" s="1039"/>
    </row>
    <row r="330" spans="3:28">
      <c r="C330" s="1060"/>
      <c r="D330" s="1060"/>
      <c r="E330" s="1060"/>
      <c r="F330" s="1060"/>
      <c r="G330" s="1060"/>
      <c r="H330" s="1060"/>
      <c r="I330" s="1060"/>
      <c r="J330" s="1060"/>
      <c r="K330" s="1060"/>
      <c r="L330" s="1060"/>
      <c r="M330" s="1060"/>
      <c r="N330" s="1060"/>
      <c r="O330" s="1060"/>
      <c r="P330" s="1060"/>
      <c r="Q330" s="1060"/>
      <c r="R330" s="1060"/>
      <c r="S330" s="1060"/>
      <c r="T330" s="1060"/>
      <c r="U330" s="1060"/>
      <c r="V330" s="1060"/>
      <c r="W330" s="1060"/>
      <c r="X330" s="1060"/>
    </row>
    <row r="331" spans="3:28">
      <c r="C331" s="1060"/>
      <c r="D331" s="1060" t="s">
        <v>91</v>
      </c>
      <c r="E331" s="1060"/>
      <c r="F331" s="14" t="s">
        <v>43</v>
      </c>
      <c r="G331" s="1060"/>
      <c r="H331" s="1060"/>
      <c r="I331" s="1060"/>
      <c r="J331" s="1128">
        <f>J314-J300</f>
        <v>-2.8431849402452899E-2</v>
      </c>
      <c r="K331" s="1128">
        <f t="shared" ref="K331:N331" si="65">K314-K300</f>
        <v>-2.8487124615971998E-2</v>
      </c>
      <c r="L331" s="1128">
        <f t="shared" si="65"/>
        <v>-2.8495021075046187E-2</v>
      </c>
      <c r="M331" s="1128">
        <f t="shared" si="65"/>
        <v>-2.8497653228070741E-2</v>
      </c>
      <c r="N331" s="1128">
        <f t="shared" si="65"/>
        <v>-2.8497653228070741E-2</v>
      </c>
      <c r="O331" s="1060"/>
      <c r="P331" s="1060"/>
      <c r="Q331" s="1060"/>
      <c r="R331" s="1060"/>
      <c r="S331" s="1060"/>
      <c r="T331" s="1060"/>
      <c r="U331" s="1060"/>
      <c r="V331" s="1060"/>
      <c r="W331" s="1060"/>
      <c r="X331" s="1060"/>
    </row>
    <row r="332" spans="3:28">
      <c r="C332" s="1060"/>
      <c r="D332" s="1060" t="s">
        <v>42</v>
      </c>
      <c r="E332" s="1060"/>
      <c r="F332" s="14" t="s">
        <v>43</v>
      </c>
      <c r="G332" s="1060"/>
      <c r="H332" s="1060"/>
      <c r="I332" s="1060"/>
      <c r="J332" s="1128">
        <f t="shared" ref="J332:N332" si="66">J315-J301</f>
        <v>-1.3797477644599265E-3</v>
      </c>
      <c r="K332" s="1128">
        <f t="shared" si="66"/>
        <v>-1.4088680690365063E-3</v>
      </c>
      <c r="L332" s="1128">
        <f t="shared" si="66"/>
        <v>-1.4130281125472877E-3</v>
      </c>
      <c r="M332" s="1128">
        <f t="shared" si="66"/>
        <v>-1.4144147937176221E-3</v>
      </c>
      <c r="N332" s="1128">
        <f t="shared" si="66"/>
        <v>-1.4144147937176221E-3</v>
      </c>
      <c r="O332" s="1060"/>
      <c r="P332" s="1060"/>
      <c r="Q332" s="1060"/>
      <c r="R332" s="1060"/>
      <c r="S332" s="1060"/>
      <c r="T332" s="1060"/>
      <c r="U332" s="1060"/>
      <c r="V332" s="1060"/>
      <c r="W332" s="1060"/>
      <c r="X332" s="1060"/>
    </row>
    <row r="333" spans="3:28">
      <c r="C333" s="1060"/>
      <c r="D333" s="1060"/>
      <c r="E333" s="1060"/>
      <c r="F333" s="14"/>
      <c r="G333" s="1060"/>
      <c r="H333" s="1060"/>
      <c r="I333" s="1060"/>
      <c r="J333" s="1060"/>
      <c r="K333" s="1060"/>
      <c r="L333" s="1060"/>
      <c r="M333" s="1060"/>
      <c r="N333" s="1060"/>
      <c r="O333" s="1060"/>
      <c r="P333" s="1060"/>
      <c r="Q333" s="1060"/>
      <c r="R333" s="1060"/>
      <c r="S333" s="1060"/>
      <c r="T333" s="1060"/>
      <c r="U333" s="1060"/>
      <c r="V333" s="1060"/>
      <c r="W333" s="1060"/>
      <c r="X333" s="1060"/>
    </row>
    <row r="334" spans="3:28">
      <c r="C334" s="1060"/>
      <c r="D334" s="1066" t="s">
        <v>95</v>
      </c>
      <c r="E334" s="1066"/>
      <c r="F334" s="1199" t="s">
        <v>43</v>
      </c>
      <c r="G334" s="1066"/>
      <c r="H334" s="1066"/>
      <c r="I334" s="1066"/>
      <c r="J334" s="1196">
        <f>J324-J308</f>
        <v>-1.4905798583456413E-2</v>
      </c>
      <c r="K334" s="1196">
        <f t="shared" ref="K334:N334" si="67">K324-K308</f>
        <v>-1.4947996342504245E-2</v>
      </c>
      <c r="L334" s="1196">
        <f t="shared" si="67"/>
        <v>-9.9540245937967328E-3</v>
      </c>
      <c r="M334" s="1196">
        <f t="shared" si="67"/>
        <v>-9.9560340108941769E-3</v>
      </c>
      <c r="N334" s="1196">
        <f t="shared" si="67"/>
        <v>-9.9560340108941769E-3</v>
      </c>
      <c r="O334" s="1060"/>
      <c r="P334" s="1060"/>
      <c r="Q334" s="1060"/>
      <c r="R334" s="1060"/>
      <c r="S334" s="1060"/>
      <c r="T334" s="1060"/>
      <c r="U334" s="1060"/>
      <c r="V334" s="1060"/>
      <c r="W334" s="1060"/>
      <c r="X334" s="1060"/>
    </row>
    <row r="335" spans="3:28">
      <c r="C335" s="1060"/>
      <c r="D335" s="1060"/>
      <c r="E335" s="1060"/>
      <c r="F335" s="14"/>
      <c r="G335" s="1060"/>
      <c r="H335" s="1060"/>
      <c r="I335" s="1060"/>
      <c r="J335" s="1129"/>
      <c r="K335" s="1129"/>
      <c r="L335" s="1129"/>
      <c r="M335" s="1129"/>
      <c r="N335" s="1129"/>
      <c r="O335" s="1060"/>
      <c r="P335" s="1060"/>
      <c r="Q335" s="1060"/>
      <c r="R335" s="1060"/>
      <c r="S335" s="1060"/>
      <c r="T335" s="1060"/>
      <c r="U335" s="1060"/>
      <c r="V335" s="1060"/>
      <c r="W335" s="1060"/>
      <c r="X335" s="1060"/>
    </row>
    <row r="336" spans="3:28">
      <c r="C336" s="1060"/>
      <c r="D336" s="1030" t="s">
        <v>70</v>
      </c>
      <c r="E336" s="1053"/>
      <c r="F336" s="1053" t="s">
        <v>29</v>
      </c>
      <c r="G336" s="1060"/>
      <c r="H336" s="1060"/>
      <c r="I336" s="1060"/>
      <c r="J336" s="1194">
        <f>J326-J310</f>
        <v>-432.36799502228519</v>
      </c>
      <c r="K336" s="1194">
        <f t="shared" ref="K336:N336" si="68">K326-K310</f>
        <v>-1981.044511171619</v>
      </c>
      <c r="L336" s="1194">
        <f t="shared" si="68"/>
        <v>-1048.3855722713934</v>
      </c>
      <c r="M336" s="1194">
        <f t="shared" si="68"/>
        <v>-1355.8362224315042</v>
      </c>
      <c r="N336" s="1194">
        <f t="shared" si="68"/>
        <v>-1577.1526246408466</v>
      </c>
      <c r="O336" s="1060"/>
      <c r="P336" s="1060"/>
      <c r="Q336" s="1060"/>
      <c r="R336" s="1060"/>
      <c r="S336" s="1060"/>
      <c r="T336" s="1060"/>
      <c r="U336" s="1060"/>
      <c r="V336" s="1060"/>
      <c r="W336" s="1060"/>
      <c r="X336" s="1060"/>
    </row>
    <row r="337" spans="3:24">
      <c r="C337" s="1060"/>
      <c r="D337" s="1030"/>
      <c r="E337" s="14"/>
      <c r="F337" s="1060"/>
      <c r="G337" s="1060"/>
      <c r="H337" s="1060"/>
      <c r="I337" s="1060"/>
      <c r="J337" s="1060"/>
      <c r="K337" s="1060"/>
      <c r="L337" s="1060"/>
      <c r="M337" s="1060"/>
      <c r="N337" s="1060"/>
      <c r="O337" s="1060"/>
      <c r="P337" s="1060"/>
      <c r="Q337" s="1060"/>
      <c r="R337" s="1060"/>
      <c r="S337" s="1060"/>
      <c r="T337" s="1060"/>
      <c r="U337" s="1060"/>
      <c r="V337" s="1060"/>
      <c r="W337" s="1060"/>
      <c r="X337" s="1060"/>
    </row>
    <row r="338" spans="3:24">
      <c r="C338" s="1060"/>
      <c r="D338" s="1187" t="s">
        <v>71</v>
      </c>
      <c r="E338" s="14"/>
      <c r="F338" s="1199" t="s">
        <v>43</v>
      </c>
      <c r="G338" s="1060"/>
      <c r="H338" s="1060"/>
      <c r="I338" s="1060"/>
      <c r="J338" s="1188">
        <f>J336/J310</f>
        <v>-0.21060876903831943</v>
      </c>
      <c r="K338" s="1188">
        <f t="shared" ref="K338:N338" si="69">K336/K310</f>
        <v>-0.37231552901837661</v>
      </c>
      <c r="L338" s="1188">
        <f t="shared" si="69"/>
        <v>-0.12630295375005926</v>
      </c>
      <c r="M338" s="1188">
        <f t="shared" si="69"/>
        <v>-0.13990046257179503</v>
      </c>
      <c r="N338" s="1188">
        <f t="shared" si="69"/>
        <v>-0.1619261460637528</v>
      </c>
      <c r="O338" s="1060"/>
      <c r="P338" s="1060"/>
      <c r="Q338" s="1060"/>
      <c r="R338" s="1060"/>
      <c r="S338" s="1060"/>
      <c r="T338" s="1060"/>
      <c r="U338" s="1060"/>
      <c r="V338" s="1060"/>
      <c r="W338" s="1060"/>
      <c r="X338" s="1060"/>
    </row>
    <row r="339" spans="3:24">
      <c r="C339" s="1060"/>
      <c r="D339" s="1060"/>
      <c r="E339" s="1060"/>
      <c r="F339" s="1060"/>
      <c r="G339" s="1060"/>
      <c r="H339" s="1060"/>
      <c r="I339" s="1060"/>
      <c r="J339" s="1060"/>
      <c r="K339" s="1060"/>
      <c r="L339" s="1060"/>
      <c r="M339" s="1060"/>
      <c r="N339" s="1060"/>
      <c r="O339" s="1060"/>
      <c r="P339" s="1060"/>
      <c r="Q339" s="1060"/>
      <c r="R339" s="1060"/>
      <c r="S339" s="1060"/>
      <c r="T339" s="1060"/>
      <c r="U339" s="1060"/>
      <c r="V339" s="1060"/>
      <c r="W339" s="1060"/>
      <c r="X339" s="1060"/>
    </row>
    <row r="340" spans="3:24">
      <c r="C340" s="1060"/>
      <c r="D340" s="1060"/>
      <c r="E340" s="1060"/>
      <c r="F340" s="1060"/>
      <c r="G340" s="1060"/>
      <c r="H340" s="1060"/>
      <c r="I340" s="1060"/>
      <c r="J340" s="1060"/>
      <c r="K340" s="1060"/>
      <c r="L340" s="1060"/>
      <c r="M340" s="1060"/>
      <c r="N340" s="1060"/>
      <c r="O340" s="1060"/>
      <c r="P340" s="1060"/>
      <c r="Q340" s="1060"/>
      <c r="R340" s="1060"/>
      <c r="S340" s="1060"/>
      <c r="T340" s="1060"/>
      <c r="U340" s="1060"/>
      <c r="V340" s="1060"/>
      <c r="W340" s="1060"/>
      <c r="X340" s="1060"/>
    </row>
    <row r="341" spans="3:24">
      <c r="C341" s="1060"/>
      <c r="D341" s="1060"/>
      <c r="E341" s="1060"/>
      <c r="F341" s="1060"/>
      <c r="G341" s="1060"/>
      <c r="H341" s="1060"/>
      <c r="I341" s="1060"/>
      <c r="J341" s="1060"/>
      <c r="K341" s="1060"/>
      <c r="L341" s="1060"/>
      <c r="M341" s="1060"/>
      <c r="N341" s="1060"/>
      <c r="O341" s="1060"/>
      <c r="P341" s="1060"/>
      <c r="Q341" s="1060"/>
      <c r="R341" s="1060"/>
      <c r="S341" s="1060"/>
      <c r="T341" s="1060"/>
      <c r="U341" s="1060"/>
      <c r="V341" s="1060"/>
      <c r="W341" s="1060"/>
      <c r="X341" s="1060"/>
    </row>
    <row r="342" spans="3:24">
      <c r="C342" s="1060"/>
      <c r="D342" s="1060"/>
      <c r="E342" s="1060"/>
      <c r="F342" s="1060"/>
      <c r="G342" s="1060"/>
      <c r="H342" s="1060"/>
      <c r="I342" s="1060"/>
      <c r="J342" s="1060"/>
      <c r="K342" s="1060"/>
      <c r="L342" s="1060"/>
      <c r="M342" s="1060"/>
      <c r="N342" s="1060"/>
      <c r="O342" s="1060"/>
      <c r="P342" s="1060"/>
      <c r="Q342" s="1060"/>
      <c r="R342" s="1060"/>
      <c r="S342" s="1060"/>
      <c r="T342" s="1060"/>
      <c r="U342" s="1060"/>
      <c r="V342" s="1060"/>
      <c r="W342" s="1060"/>
      <c r="X342" s="1060"/>
    </row>
    <row r="343" spans="3:24">
      <c r="C343" s="1060"/>
      <c r="D343" s="1060"/>
      <c r="E343" s="1060"/>
      <c r="F343" s="1060"/>
      <c r="G343" s="1060"/>
      <c r="H343" s="1060"/>
      <c r="I343" s="1060"/>
      <c r="J343" s="1060"/>
      <c r="K343" s="1060"/>
      <c r="L343" s="1060"/>
      <c r="M343" s="1060"/>
      <c r="N343" s="1060"/>
      <c r="O343" s="1060"/>
      <c r="P343" s="1060"/>
      <c r="Q343" s="1060"/>
      <c r="R343" s="1060"/>
      <c r="S343" s="1060"/>
      <c r="T343" s="1060"/>
      <c r="U343" s="1060"/>
      <c r="V343" s="1060"/>
      <c r="W343" s="1060"/>
      <c r="X343" s="1060"/>
    </row>
    <row r="344" spans="3:24">
      <c r="C344" s="1060"/>
      <c r="D344" s="1060"/>
      <c r="E344" s="1060"/>
      <c r="F344" s="1060"/>
      <c r="G344" s="1060"/>
      <c r="H344" s="1060"/>
      <c r="I344" s="1060"/>
      <c r="J344" s="1060"/>
      <c r="K344" s="1060"/>
      <c r="L344" s="1060"/>
      <c r="M344" s="1060"/>
      <c r="N344" s="1060"/>
      <c r="O344" s="1060"/>
      <c r="P344" s="1060"/>
      <c r="Q344" s="1060"/>
      <c r="R344" s="1060"/>
      <c r="S344" s="1060"/>
      <c r="T344" s="1060"/>
      <c r="U344" s="1060"/>
      <c r="V344" s="1060"/>
      <c r="W344" s="1060"/>
      <c r="X344" s="1060"/>
    </row>
    <row r="345" spans="3:24">
      <c r="C345" s="1060"/>
      <c r="D345" s="1060"/>
      <c r="E345" s="1060"/>
      <c r="F345" s="1060"/>
      <c r="G345" s="1060"/>
      <c r="H345" s="1060"/>
      <c r="I345" s="1060"/>
      <c r="J345" s="1060"/>
      <c r="K345" s="1060"/>
      <c r="L345" s="1060"/>
      <c r="M345" s="1060"/>
      <c r="N345" s="1060"/>
      <c r="O345" s="1060"/>
      <c r="P345" s="1060"/>
      <c r="Q345" s="1060"/>
      <c r="R345" s="1060"/>
      <c r="S345" s="1060"/>
      <c r="T345" s="1060"/>
      <c r="U345" s="1060"/>
      <c r="V345" s="1060"/>
      <c r="W345" s="1060"/>
      <c r="X345" s="1060"/>
    </row>
    <row r="346" spans="3:24">
      <c r="C346" s="1060"/>
      <c r="D346" s="1060"/>
      <c r="E346" s="1060"/>
      <c r="F346" s="1060"/>
      <c r="G346" s="1060"/>
      <c r="H346" s="1060"/>
      <c r="I346" s="1060"/>
      <c r="J346" s="1060"/>
      <c r="K346" s="1060"/>
      <c r="L346" s="1060"/>
      <c r="M346" s="1060"/>
      <c r="N346" s="1060"/>
      <c r="O346" s="1060"/>
      <c r="P346" s="1060"/>
      <c r="Q346" s="1060"/>
      <c r="R346" s="1060"/>
      <c r="S346" s="1060"/>
      <c r="T346" s="1060"/>
      <c r="U346" s="1060"/>
      <c r="V346" s="1060"/>
      <c r="W346" s="1060"/>
      <c r="X346" s="1060"/>
    </row>
    <row r="347" spans="3:24">
      <c r="C347" s="1060"/>
      <c r="D347" s="1060"/>
      <c r="E347" s="1060"/>
      <c r="F347" s="1060"/>
      <c r="G347" s="1060"/>
      <c r="H347" s="1060"/>
      <c r="I347" s="1060"/>
      <c r="J347" s="1060"/>
      <c r="K347" s="1060"/>
      <c r="L347" s="1060"/>
      <c r="M347" s="1060"/>
      <c r="N347" s="1060"/>
      <c r="O347" s="1060"/>
      <c r="P347" s="1060"/>
      <c r="Q347" s="1060"/>
      <c r="R347" s="1060"/>
      <c r="S347" s="1060"/>
      <c r="T347" s="1060"/>
      <c r="U347" s="1060"/>
      <c r="V347" s="1060"/>
      <c r="W347" s="1060"/>
      <c r="X347" s="1060"/>
    </row>
    <row r="348" spans="3:24">
      <c r="C348" s="1060"/>
      <c r="D348" s="1060"/>
      <c r="E348" s="1060"/>
      <c r="F348" s="1060"/>
      <c r="G348" s="1060"/>
      <c r="H348" s="1060"/>
      <c r="I348" s="1060"/>
      <c r="J348" s="1060"/>
      <c r="K348" s="1060"/>
      <c r="L348" s="1060"/>
      <c r="M348" s="1060"/>
      <c r="N348" s="1060"/>
      <c r="O348" s="1060"/>
      <c r="P348" s="1060"/>
      <c r="Q348" s="1060"/>
      <c r="R348" s="1060"/>
      <c r="S348" s="1060"/>
      <c r="T348" s="1060"/>
      <c r="U348" s="1060"/>
      <c r="V348" s="1060"/>
      <c r="W348" s="1060"/>
      <c r="X348" s="1060"/>
    </row>
    <row r="349" spans="3:24">
      <c r="C349" s="1060"/>
      <c r="D349" s="1060"/>
      <c r="E349" s="1060"/>
      <c r="F349" s="1060"/>
      <c r="G349" s="1060"/>
      <c r="H349" s="1060"/>
      <c r="I349" s="1060"/>
      <c r="J349" s="1060"/>
      <c r="K349" s="1060"/>
      <c r="L349" s="1060"/>
      <c r="M349" s="1060"/>
      <c r="N349" s="1060"/>
      <c r="O349" s="1060"/>
      <c r="P349" s="1060"/>
      <c r="Q349" s="1060"/>
      <c r="R349" s="1060"/>
      <c r="S349" s="1060"/>
      <c r="T349" s="1060"/>
      <c r="U349" s="1060"/>
      <c r="V349" s="1060"/>
      <c r="W349" s="1060"/>
      <c r="X349" s="1060"/>
    </row>
    <row r="350" spans="3:24">
      <c r="C350" s="1060"/>
      <c r="D350" s="1060"/>
      <c r="E350" s="1060"/>
      <c r="F350" s="1060"/>
      <c r="G350" s="1060"/>
      <c r="H350" s="1060"/>
      <c r="I350" s="1060"/>
      <c r="J350" s="1060"/>
      <c r="K350" s="1060"/>
      <c r="L350" s="1060"/>
      <c r="M350" s="1060"/>
      <c r="N350" s="1060"/>
      <c r="O350" s="1060"/>
      <c r="P350" s="1060"/>
      <c r="Q350" s="1060"/>
      <c r="R350" s="1060"/>
      <c r="S350" s="1060"/>
      <c r="T350" s="1060"/>
      <c r="U350" s="1060"/>
      <c r="V350" s="1060"/>
      <c r="W350" s="1060"/>
      <c r="X350" s="1060"/>
    </row>
    <row r="351" spans="3:24">
      <c r="C351" s="1060"/>
      <c r="D351" s="1060"/>
      <c r="E351" s="1060"/>
      <c r="F351" s="1060"/>
      <c r="G351" s="1060"/>
      <c r="H351" s="1060"/>
      <c r="I351" s="1060"/>
      <c r="J351" s="1060"/>
      <c r="K351" s="1060"/>
      <c r="L351" s="1060"/>
      <c r="M351" s="1060"/>
      <c r="N351" s="1060"/>
      <c r="O351" s="1060"/>
      <c r="P351" s="1060"/>
      <c r="Q351" s="1060"/>
      <c r="R351" s="1060"/>
      <c r="S351" s="1060"/>
      <c r="T351" s="1060"/>
      <c r="U351" s="1060"/>
      <c r="V351" s="1060"/>
      <c r="W351" s="1060"/>
      <c r="X351" s="1060"/>
    </row>
    <row r="354" spans="2:24" ht="17">
      <c r="B354" s="1019" t="s">
        <v>60</v>
      </c>
      <c r="C354" s="1019"/>
      <c r="D354" s="1019"/>
      <c r="E354" s="1019"/>
      <c r="F354" s="1019"/>
      <c r="G354" s="1019"/>
      <c r="H354" s="1019"/>
      <c r="I354" s="1019"/>
      <c r="J354" s="1019"/>
      <c r="K354" s="1019"/>
      <c r="L354" s="1019"/>
      <c r="M354" s="1019"/>
      <c r="N354" s="1019"/>
      <c r="O354" s="1019"/>
      <c r="P354" s="1019"/>
      <c r="Q354" s="1019"/>
      <c r="R354" s="1019"/>
      <c r="S354" s="1019"/>
      <c r="T354" s="1019"/>
      <c r="U354" s="1019"/>
      <c r="V354" s="1019"/>
      <c r="W354" s="1019"/>
      <c r="X354" s="1019"/>
    </row>
  </sheetData>
  <mergeCells count="3">
    <mergeCell ref="P74:Q74"/>
    <mergeCell ref="R74:S74"/>
    <mergeCell ref="T74:U74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&amp;CPage &amp;P&amp;R&amp;G
</oddHeader>
    <oddFooter>&amp;LPrinted on &amp;D at &amp;T&amp;RPage &amp;P of &amp;N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D3164-B5A1-4EB8-9D47-F6C2F78E4ADB}">
  <sheetPr>
    <tabColor theme="1"/>
  </sheetPr>
  <dimension ref="B7"/>
  <sheetViews>
    <sheetView workbookViewId="0">
      <selection activeCell="B7" sqref="B7"/>
    </sheetView>
  </sheetViews>
  <sheetFormatPr defaultColWidth="8.81640625" defaultRowHeight="14.5"/>
  <cols>
    <col min="1" max="16384" width="8.81640625" style="1"/>
  </cols>
  <sheetData>
    <row r="7" spans="2:2" ht="26">
      <c r="B7" s="2" t="s">
        <v>989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2C9D-B4ED-472C-8CA3-C1E017D43AAD}">
  <sheetPr>
    <tabColor theme="4"/>
  </sheetPr>
  <dimension ref="A1:AG218"/>
  <sheetViews>
    <sheetView zoomScale="70" zoomScaleNormal="70" workbookViewId="0">
      <pane xSplit="12" ySplit="6" topLeftCell="M194" activePane="bottomRight" state="frozen"/>
      <selection pane="topRight" activeCell="S70" sqref="S70"/>
      <selection pane="bottomLeft" activeCell="S70" sqref="S70"/>
      <selection pane="bottomRight" activeCell="H208" sqref="H208"/>
    </sheetView>
  </sheetViews>
  <sheetFormatPr defaultColWidth="0" defaultRowHeight="13"/>
  <cols>
    <col min="1" max="1" width="1.453125" style="3" customWidth="1"/>
    <col min="2" max="2" width="3.26953125" style="3" customWidth="1"/>
    <col min="3" max="3" width="24" style="3" customWidth="1"/>
    <col min="4" max="4" width="54.54296875" style="3" bestFit="1" customWidth="1"/>
    <col min="5" max="5" width="13.7265625" style="3" customWidth="1"/>
    <col min="6" max="6" width="10.54296875" style="3" bestFit="1" customWidth="1"/>
    <col min="7" max="7" width="2.81640625" style="3" customWidth="1"/>
    <col min="8" max="8" width="10.54296875" style="3" bestFit="1" customWidth="1"/>
    <col min="9" max="9" width="2.81640625" style="3" customWidth="1"/>
    <col min="10" max="10" width="10.26953125" style="3" bestFit="1" customWidth="1"/>
    <col min="11" max="11" width="2.81640625" style="3" customWidth="1"/>
    <col min="12" max="12" width="13.453125" style="3" customWidth="1"/>
    <col min="13" max="32" width="11.54296875" style="23" bestFit="1" customWidth="1"/>
    <col min="33" max="33" width="3.26953125" style="3" customWidth="1"/>
    <col min="34" max="16384" width="0" style="3" hidden="1"/>
  </cols>
  <sheetData>
    <row r="1" spans="1:33" ht="9" customHeight="1"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3">
      <c r="B2" s="4"/>
      <c r="C2" s="4"/>
      <c r="D2" s="4"/>
      <c r="E2" s="4"/>
      <c r="F2" s="4"/>
      <c r="G2" s="4"/>
      <c r="H2" s="4"/>
      <c r="I2" s="4"/>
      <c r="J2" s="4"/>
      <c r="K2" s="4"/>
      <c r="L2" s="5" t="str">
        <f>'Misc. Items'!H2</f>
        <v>Period Start</v>
      </c>
      <c r="M2" s="12">
        <f>'Misc. Items'!I2</f>
        <v>42005</v>
      </c>
      <c r="N2" s="12">
        <f>'Misc. Items'!J2</f>
        <v>42370</v>
      </c>
      <c r="O2" s="12">
        <f>'Misc. Items'!K2</f>
        <v>42736</v>
      </c>
      <c r="P2" s="12">
        <f>'Misc. Items'!L2</f>
        <v>43101</v>
      </c>
      <c r="Q2" s="12">
        <f>'Misc. Items'!M2</f>
        <v>43466</v>
      </c>
      <c r="R2" s="12">
        <f>'Misc. Items'!N2</f>
        <v>43831</v>
      </c>
      <c r="S2" s="12">
        <f>'Misc. Items'!O2</f>
        <v>44197</v>
      </c>
      <c r="T2" s="12">
        <f>'Misc. Items'!P2</f>
        <v>44562</v>
      </c>
      <c r="U2" s="12">
        <f>'Misc. Items'!Q2</f>
        <v>44927</v>
      </c>
      <c r="V2" s="12">
        <f>'Misc. Items'!R2</f>
        <v>45292</v>
      </c>
      <c r="W2" s="12">
        <f>'Misc. Items'!S2</f>
        <v>45658</v>
      </c>
      <c r="X2" s="12">
        <f>'Misc. Items'!T2</f>
        <v>46023</v>
      </c>
      <c r="Y2" s="12">
        <f>'Misc. Items'!U2</f>
        <v>46388</v>
      </c>
      <c r="Z2" s="12">
        <f>'Misc. Items'!V2</f>
        <v>46753</v>
      </c>
      <c r="AA2" s="12">
        <f>'Misc. Items'!W2</f>
        <v>47119</v>
      </c>
      <c r="AB2" s="12">
        <f>'Misc. Items'!X2</f>
        <v>47484</v>
      </c>
      <c r="AC2" s="12">
        <f>'Misc. Items'!Y2</f>
        <v>47849</v>
      </c>
      <c r="AD2" s="12">
        <f>'Misc. Items'!Z2</f>
        <v>48214</v>
      </c>
      <c r="AE2" s="12">
        <f>'Misc. Items'!AA2</f>
        <v>48580</v>
      </c>
      <c r="AF2" s="12">
        <f>'Misc. Items'!AB2</f>
        <v>48945</v>
      </c>
    </row>
    <row r="3" spans="1:33">
      <c r="B3" s="4"/>
      <c r="C3" s="38" t="s">
        <v>121</v>
      </c>
      <c r="D3" s="4"/>
      <c r="E3" s="4"/>
      <c r="F3" s="4"/>
      <c r="G3" s="4"/>
      <c r="H3" s="4"/>
      <c r="I3" s="4"/>
      <c r="J3" s="4"/>
      <c r="K3" s="4"/>
      <c r="L3" s="5" t="str">
        <f>'Misc. Items'!H3</f>
        <v>Period End</v>
      </c>
      <c r="M3" s="12">
        <f>'Misc. Items'!I3</f>
        <v>42369</v>
      </c>
      <c r="N3" s="12">
        <f>'Misc. Items'!J3</f>
        <v>42735</v>
      </c>
      <c r="O3" s="12">
        <f>'Misc. Items'!K3</f>
        <v>43100</v>
      </c>
      <c r="P3" s="12">
        <f>'Misc. Items'!L3</f>
        <v>43465</v>
      </c>
      <c r="Q3" s="12">
        <f>'Misc. Items'!M3</f>
        <v>43830</v>
      </c>
      <c r="R3" s="12">
        <f>'Misc. Items'!N3</f>
        <v>44196</v>
      </c>
      <c r="S3" s="12">
        <f>'Misc. Items'!O3</f>
        <v>44561</v>
      </c>
      <c r="T3" s="12">
        <f>'Misc. Items'!P3</f>
        <v>44926</v>
      </c>
      <c r="U3" s="12">
        <f>'Misc. Items'!Q3</f>
        <v>45291</v>
      </c>
      <c r="V3" s="12">
        <f>'Misc. Items'!R3</f>
        <v>45657</v>
      </c>
      <c r="W3" s="12">
        <f>'Misc. Items'!S3</f>
        <v>46022</v>
      </c>
      <c r="X3" s="12">
        <f>'Misc. Items'!T3</f>
        <v>46387</v>
      </c>
      <c r="Y3" s="12">
        <f>'Misc. Items'!U3</f>
        <v>46752</v>
      </c>
      <c r="Z3" s="12">
        <f>'Misc. Items'!V3</f>
        <v>47118</v>
      </c>
      <c r="AA3" s="12">
        <f>'Misc. Items'!W3</f>
        <v>47483</v>
      </c>
      <c r="AB3" s="12">
        <f>'Misc. Items'!X3</f>
        <v>47848</v>
      </c>
      <c r="AC3" s="12">
        <f>'Misc. Items'!Y3</f>
        <v>48213</v>
      </c>
      <c r="AD3" s="12">
        <f>'Misc. Items'!Z3</f>
        <v>48579</v>
      </c>
      <c r="AE3" s="12">
        <f>'Misc. Items'!AA3</f>
        <v>48944</v>
      </c>
      <c r="AF3" s="12">
        <f>'Misc. Items'!AB3</f>
        <v>49309</v>
      </c>
    </row>
    <row r="4" spans="1:33">
      <c r="B4" s="4"/>
      <c r="C4" s="1554" t="s">
        <v>123</v>
      </c>
      <c r="D4" s="4"/>
      <c r="E4" s="4"/>
      <c r="F4" s="4"/>
      <c r="G4" s="4"/>
      <c r="H4" s="4"/>
      <c r="I4" s="4"/>
      <c r="J4" s="4"/>
      <c r="K4" s="4"/>
      <c r="L4" s="5" t="s">
        <v>124</v>
      </c>
      <c r="M4" s="11">
        <f>'Misc. Items'!I4</f>
        <v>2015</v>
      </c>
      <c r="N4" s="11">
        <f>'Misc. Items'!J4</f>
        <v>2016</v>
      </c>
      <c r="O4" s="11">
        <f>'Misc. Items'!K4</f>
        <v>2017</v>
      </c>
      <c r="P4" s="11">
        <f>'Misc. Items'!L4</f>
        <v>2018</v>
      </c>
      <c r="Q4" s="11">
        <f>'Misc. Items'!M4</f>
        <v>2019</v>
      </c>
      <c r="R4" s="11">
        <f>'Misc. Items'!N4</f>
        <v>2020</v>
      </c>
      <c r="S4" s="11">
        <f>'Misc. Items'!O4</f>
        <v>2021</v>
      </c>
      <c r="T4" s="11">
        <f>'Misc. Items'!P4</f>
        <v>2022</v>
      </c>
      <c r="U4" s="11">
        <f>'Misc. Items'!Q4</f>
        <v>2023</v>
      </c>
      <c r="V4" s="11">
        <f>'Misc. Items'!R4</f>
        <v>2024</v>
      </c>
      <c r="W4" s="11">
        <f>'Misc. Items'!S4</f>
        <v>2025</v>
      </c>
      <c r="X4" s="11">
        <f>'Misc. Items'!T4</f>
        <v>2026</v>
      </c>
      <c r="Y4" s="11">
        <f>'Misc. Items'!U4</f>
        <v>2027</v>
      </c>
      <c r="Z4" s="11">
        <f>'Misc. Items'!V4</f>
        <v>2028</v>
      </c>
      <c r="AA4" s="11">
        <f>'Misc. Items'!W4</f>
        <v>2029</v>
      </c>
      <c r="AB4" s="11">
        <f>'Misc. Items'!X4</f>
        <v>2030</v>
      </c>
      <c r="AC4" s="11">
        <f>'Misc. Items'!Y4</f>
        <v>2031</v>
      </c>
      <c r="AD4" s="11">
        <f>'Misc. Items'!Z4</f>
        <v>2032</v>
      </c>
      <c r="AE4" s="11">
        <f>'Misc. Items'!AA4</f>
        <v>2033</v>
      </c>
      <c r="AF4" s="11">
        <f>'Misc. Items'!AB4</f>
        <v>2034</v>
      </c>
    </row>
    <row r="5" spans="1:33">
      <c r="B5" s="4"/>
      <c r="C5" s="4"/>
      <c r="D5" s="4"/>
      <c r="E5" s="4"/>
      <c r="F5" s="4"/>
      <c r="G5" s="4"/>
      <c r="H5" s="4"/>
      <c r="I5" s="4"/>
      <c r="J5" s="4"/>
      <c r="K5" s="4"/>
      <c r="L5" s="5" t="str">
        <f>'Misc. Items'!H5</f>
        <v>Period Counter</v>
      </c>
      <c r="M5" s="11">
        <f>'Misc. Items'!I5</f>
        <v>1</v>
      </c>
      <c r="N5" s="11">
        <f>'Misc. Items'!J5</f>
        <v>2</v>
      </c>
      <c r="O5" s="11">
        <f>'Misc. Items'!K5</f>
        <v>3</v>
      </c>
      <c r="P5" s="11">
        <f>'Misc. Items'!L5</f>
        <v>4</v>
      </c>
      <c r="Q5" s="11">
        <f>'Misc. Items'!M5</f>
        <v>5</v>
      </c>
      <c r="R5" s="11">
        <f>'Misc. Items'!N5</f>
        <v>6</v>
      </c>
      <c r="S5" s="11">
        <f>'Misc. Items'!O5</f>
        <v>7</v>
      </c>
      <c r="T5" s="11">
        <f>'Misc. Items'!P5</f>
        <v>8</v>
      </c>
      <c r="U5" s="11">
        <f>'Misc. Items'!Q5</f>
        <v>9</v>
      </c>
      <c r="V5" s="11">
        <f>'Misc. Items'!R5</f>
        <v>10</v>
      </c>
      <c r="W5" s="11">
        <f>'Misc. Items'!S5</f>
        <v>11</v>
      </c>
      <c r="X5" s="11">
        <f>'Misc. Items'!T5</f>
        <v>12</v>
      </c>
      <c r="Y5" s="11">
        <f>'Misc. Items'!U5</f>
        <v>13</v>
      </c>
      <c r="Z5" s="11">
        <f>'Misc. Items'!V5</f>
        <v>14</v>
      </c>
      <c r="AA5" s="11">
        <f>'Misc. Items'!W5</f>
        <v>15</v>
      </c>
      <c r="AB5" s="11">
        <f>'Misc. Items'!X5</f>
        <v>16</v>
      </c>
      <c r="AC5" s="11">
        <f>'Misc. Items'!Y5</f>
        <v>17</v>
      </c>
      <c r="AD5" s="11">
        <f>'Misc. Items'!Z5</f>
        <v>18</v>
      </c>
      <c r="AE5" s="11">
        <f>'Misc. Items'!AA5</f>
        <v>19</v>
      </c>
      <c r="AF5" s="11">
        <f>'Misc. Items'!AB5</f>
        <v>20</v>
      </c>
    </row>
    <row r="6" spans="1:33">
      <c r="B6" s="4"/>
      <c r="C6" s="4"/>
      <c r="D6" s="4"/>
      <c r="E6" s="5" t="s">
        <v>990</v>
      </c>
      <c r="F6" s="5"/>
      <c r="G6" s="5"/>
      <c r="H6" s="5"/>
      <c r="I6" s="5"/>
      <c r="J6" s="5"/>
      <c r="K6" s="5"/>
      <c r="L6" s="5" t="str">
        <f>'Misc. Items'!H6</f>
        <v>RP#</v>
      </c>
      <c r="M6" s="11" t="str">
        <f>'Misc. Items'!I6</f>
        <v>RP2</v>
      </c>
      <c r="N6" s="11" t="str">
        <f>'Misc. Items'!J6</f>
        <v>RP2</v>
      </c>
      <c r="O6" s="11" t="str">
        <f>'Misc. Items'!K6</f>
        <v>RP2</v>
      </c>
      <c r="P6" s="11" t="str">
        <f>'Misc. Items'!L6</f>
        <v>RP2</v>
      </c>
      <c r="Q6" s="11" t="str">
        <f>'Misc. Items'!M6</f>
        <v>RP2</v>
      </c>
      <c r="R6" s="11" t="str">
        <f>'Misc. Items'!N6</f>
        <v>RP3</v>
      </c>
      <c r="S6" s="11" t="str">
        <f>'Misc. Items'!O6</f>
        <v>RP3</v>
      </c>
      <c r="T6" s="11" t="str">
        <f>'Misc. Items'!P6</f>
        <v>RP3</v>
      </c>
      <c r="U6" s="11" t="str">
        <f>'Misc. Items'!Q6</f>
        <v>RP3</v>
      </c>
      <c r="V6" s="11" t="str">
        <f>'Misc. Items'!R6</f>
        <v>RP3</v>
      </c>
      <c r="W6" s="11" t="str">
        <f>'Misc. Items'!S6</f>
        <v>RP4</v>
      </c>
      <c r="X6" s="11" t="str">
        <f>'Misc. Items'!T6</f>
        <v>RP4</v>
      </c>
      <c r="Y6" s="11" t="str">
        <f>'Misc. Items'!U6</f>
        <v>RP4</v>
      </c>
      <c r="Z6" s="11" t="str">
        <f>'Misc. Items'!V6</f>
        <v>RP4</v>
      </c>
      <c r="AA6" s="11" t="str">
        <f>'Misc. Items'!W6</f>
        <v>RP4</v>
      </c>
      <c r="AB6" s="11" t="str">
        <f>'Misc. Items'!X6</f>
        <v>RP5</v>
      </c>
      <c r="AC6" s="11" t="str">
        <f>'Misc. Items'!Y6</f>
        <v>RP5</v>
      </c>
      <c r="AD6" s="11" t="str">
        <f>'Misc. Items'!Z6</f>
        <v>RP5</v>
      </c>
      <c r="AE6" s="11" t="str">
        <f>'Misc. Items'!AA6</f>
        <v>RP5</v>
      </c>
      <c r="AF6" s="11" t="str">
        <f>'Misc. Items'!AB6</f>
        <v>RP5</v>
      </c>
    </row>
    <row r="7" spans="1:33"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spans="1:33">
      <c r="B8" s="5" t="s">
        <v>991</v>
      </c>
      <c r="C8" s="4"/>
      <c r="D8" s="4"/>
      <c r="E8" s="4"/>
      <c r="F8" s="4"/>
      <c r="G8" s="4"/>
      <c r="H8" s="4"/>
      <c r="I8" s="4"/>
      <c r="J8" s="4"/>
      <c r="K8" s="4"/>
      <c r="L8" s="4"/>
      <c r="M8" s="213">
        <v>2015</v>
      </c>
      <c r="N8" s="213">
        <v>2016</v>
      </c>
      <c r="O8" s="213">
        <v>2017</v>
      </c>
      <c r="P8" s="213">
        <v>2018</v>
      </c>
      <c r="Q8" s="213">
        <v>2019</v>
      </c>
      <c r="R8" s="213" t="s">
        <v>870</v>
      </c>
      <c r="S8" s="213" t="s">
        <v>870</v>
      </c>
      <c r="T8" s="213">
        <v>2022</v>
      </c>
      <c r="U8" s="213">
        <v>2023</v>
      </c>
      <c r="V8" s="213">
        <v>2024</v>
      </c>
      <c r="W8" s="4">
        <v>2025</v>
      </c>
      <c r="X8" s="4">
        <v>2026</v>
      </c>
      <c r="Y8" s="4">
        <v>2027</v>
      </c>
      <c r="Z8" s="4">
        <v>2028</v>
      </c>
      <c r="AA8" s="4">
        <v>2029</v>
      </c>
      <c r="AB8" s="4"/>
      <c r="AC8" s="4"/>
      <c r="AD8" s="4"/>
      <c r="AE8" s="4"/>
      <c r="AF8" s="4"/>
    </row>
    <row r="9" spans="1:33"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>
      <c r="C10" s="1385" t="s">
        <v>992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3"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3" s="7" customFormat="1" ht="13.5" thickBot="1">
      <c r="A12" s="3"/>
      <c r="B12" s="3"/>
      <c r="C12" s="6" t="s">
        <v>993</v>
      </c>
      <c r="E12" s="7" t="s">
        <v>145</v>
      </c>
      <c r="F12" s="7">
        <f>'Misc. Items'!F26</f>
        <v>2017</v>
      </c>
      <c r="AG12" s="3"/>
    </row>
    <row r="13" spans="1:33" s="18" customFormat="1">
      <c r="A13" s="3"/>
      <c r="B13" s="3"/>
      <c r="C13" s="30"/>
      <c r="AG13" s="3"/>
    </row>
    <row r="14" spans="1:33" s="18" customFormat="1">
      <c r="A14" s="3"/>
      <c r="B14" s="3"/>
      <c r="C14" s="30" t="s">
        <v>19</v>
      </c>
      <c r="AG14" s="3"/>
    </row>
    <row r="15" spans="1:33" s="18" customFormat="1">
      <c r="A15" s="3"/>
      <c r="B15" s="3"/>
      <c r="C15" s="30"/>
      <c r="AG15" s="3"/>
    </row>
    <row r="16" spans="1:33">
      <c r="C16" s="3" t="s">
        <v>994</v>
      </c>
      <c r="E16" s="3" t="s">
        <v>43</v>
      </c>
      <c r="M16" s="209">
        <f>'Misc. Items'!I26</f>
        <v>0</v>
      </c>
      <c r="N16" s="209">
        <f>'Misc. Items'!J26</f>
        <v>-2E-3</v>
      </c>
      <c r="O16" s="209">
        <f>'Misc. Items'!K26</f>
        <v>3.0000000000000001E-3</v>
      </c>
      <c r="P16" s="209">
        <f>'Misc. Items'!L26</f>
        <v>7.0000000000000001E-3</v>
      </c>
      <c r="Q16" s="209">
        <f>'Misc. Items'!M26</f>
        <v>8.9999999999999993E-3</v>
      </c>
      <c r="R16" s="209">
        <f>'Misc. Items'!N26</f>
        <v>0</v>
      </c>
      <c r="S16" s="209">
        <f>'Misc. Items'!O26</f>
        <v>1.6E-2</v>
      </c>
      <c r="T16" s="209">
        <f>'Misc. Items'!P26</f>
        <v>1.9E-2</v>
      </c>
      <c r="U16" s="209">
        <f>'Misc. Items'!Q26</f>
        <v>0.02</v>
      </c>
      <c r="V16" s="209">
        <f>'Misc. Items'!R26</f>
        <v>0.02</v>
      </c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</row>
    <row r="17" spans="3:32">
      <c r="C17" s="3" t="s">
        <v>147</v>
      </c>
      <c r="E17" s="3" t="s">
        <v>995</v>
      </c>
      <c r="M17" s="211">
        <f>'Misc. Items'!I27</f>
        <v>99.8994</v>
      </c>
      <c r="N17" s="211">
        <f>'Misc. Items'!J27</f>
        <v>99.7</v>
      </c>
      <c r="O17" s="211">
        <f>'Misc. Items'!K27</f>
        <v>100</v>
      </c>
      <c r="P17" s="211">
        <f>'Misc. Items'!L27</f>
        <v>100.69999999999999</v>
      </c>
      <c r="Q17" s="211">
        <f>'Misc. Items'!M27</f>
        <v>101.60629999999998</v>
      </c>
      <c r="R17" s="211">
        <f>'Misc. Items'!N27</f>
        <v>101.60629999999998</v>
      </c>
      <c r="S17" s="211">
        <f>'Misc. Items'!O27</f>
        <v>103.23200079999998</v>
      </c>
      <c r="T17" s="211">
        <f>'Misc. Items'!P27</f>
        <v>105.19340881519997</v>
      </c>
      <c r="U17" s="211">
        <f>'Misc. Items'!Q27</f>
        <v>107.29727699150398</v>
      </c>
      <c r="V17" s="211">
        <f>'Misc. Items'!R27</f>
        <v>109.44322253133406</v>
      </c>
    </row>
    <row r="18" spans="3:32">
      <c r="M18" s="212"/>
      <c r="N18" s="212"/>
      <c r="O18" s="212"/>
      <c r="P18" s="212"/>
      <c r="Q18" s="212"/>
      <c r="R18" s="212"/>
      <c r="S18" s="212"/>
      <c r="T18" s="212"/>
      <c r="U18" s="212"/>
      <c r="V18" s="212"/>
    </row>
    <row r="19" spans="3:32">
      <c r="C19" s="30" t="s">
        <v>18</v>
      </c>
    </row>
    <row r="21" spans="3:32">
      <c r="C21" s="3" t="s">
        <v>996</v>
      </c>
      <c r="E21" s="3" t="s">
        <v>43</v>
      </c>
      <c r="M21" s="219"/>
      <c r="N21" s="219"/>
      <c r="O21" s="219"/>
      <c r="P21" s="219"/>
      <c r="Q21" s="219"/>
      <c r="R21" s="829"/>
      <c r="S21" s="829"/>
      <c r="T21" s="829"/>
      <c r="U21" s="829"/>
      <c r="V21" s="829"/>
    </row>
    <row r="22" spans="3:32">
      <c r="C22" s="3" t="s">
        <v>994</v>
      </c>
      <c r="E22" s="3" t="s">
        <v>43</v>
      </c>
      <c r="M22" s="830">
        <f>M16+M21</f>
        <v>0</v>
      </c>
      <c r="N22" s="830">
        <f t="shared" ref="N22:V22" si="0">N16+N21</f>
        <v>-2E-3</v>
      </c>
      <c r="O22" s="830">
        <f t="shared" si="0"/>
        <v>3.0000000000000001E-3</v>
      </c>
      <c r="P22" s="830">
        <f t="shared" si="0"/>
        <v>7.0000000000000001E-3</v>
      </c>
      <c r="Q22" s="830">
        <f t="shared" si="0"/>
        <v>8.9999999999999993E-3</v>
      </c>
      <c r="R22" s="830">
        <f t="shared" si="0"/>
        <v>0</v>
      </c>
      <c r="S22" s="830">
        <f>S16+S21</f>
        <v>1.6E-2</v>
      </c>
      <c r="T22" s="830">
        <f t="shared" si="0"/>
        <v>1.9E-2</v>
      </c>
      <c r="U22" s="830">
        <f t="shared" si="0"/>
        <v>0.02</v>
      </c>
      <c r="V22" s="830">
        <f t="shared" si="0"/>
        <v>0.02</v>
      </c>
    </row>
    <row r="23" spans="3:32">
      <c r="C23" s="3" t="s">
        <v>147</v>
      </c>
      <c r="E23" s="3" t="s">
        <v>995</v>
      </c>
      <c r="M23" s="527">
        <f t="shared" ref="M23:V23" si="1">IF(M$4=$F$12,100,IF(M$4&gt;$F$12,L23*(1+M22),N23*(1-N22)))</f>
        <v>99.8994</v>
      </c>
      <c r="N23" s="527">
        <f t="shared" si="1"/>
        <v>99.7</v>
      </c>
      <c r="O23" s="527">
        <f t="shared" si="1"/>
        <v>100</v>
      </c>
      <c r="P23" s="527">
        <f t="shared" si="1"/>
        <v>100.69999999999999</v>
      </c>
      <c r="Q23" s="527">
        <f t="shared" si="1"/>
        <v>101.60629999999998</v>
      </c>
      <c r="R23" s="527">
        <f t="shared" si="1"/>
        <v>101.60629999999998</v>
      </c>
      <c r="S23" s="527">
        <f t="shared" si="1"/>
        <v>103.23200079999998</v>
      </c>
      <c r="T23" s="527">
        <f t="shared" si="1"/>
        <v>105.19340881519997</v>
      </c>
      <c r="U23" s="527">
        <f t="shared" si="1"/>
        <v>107.29727699150398</v>
      </c>
      <c r="V23" s="527">
        <f t="shared" si="1"/>
        <v>109.44322253133406</v>
      </c>
    </row>
    <row r="25" spans="3:32" ht="13.5" thickBot="1">
      <c r="C25" s="6" t="s">
        <v>997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7" spans="3:32">
      <c r="C27" s="1385" t="s">
        <v>998</v>
      </c>
      <c r="D27" s="1070"/>
      <c r="E27" s="3" t="s">
        <v>926</v>
      </c>
    </row>
    <row r="29" spans="3:32">
      <c r="C29" s="3" t="s">
        <v>999</v>
      </c>
      <c r="E29" s="1555">
        <v>0</v>
      </c>
    </row>
    <row r="30" spans="3:32">
      <c r="C30" s="3" t="s">
        <v>1000</v>
      </c>
      <c r="E30" s="1555">
        <v>0</v>
      </c>
    </row>
    <row r="31" spans="3:32">
      <c r="C31" s="3" t="s">
        <v>1001</v>
      </c>
      <c r="E31" s="1555">
        <v>0</v>
      </c>
    </row>
    <row r="32" spans="3:32">
      <c r="C32" s="3" t="s">
        <v>1002</v>
      </c>
      <c r="E32" s="1555">
        <v>0</v>
      </c>
    </row>
    <row r="34" spans="3:32">
      <c r="C34" s="1385" t="s">
        <v>999</v>
      </c>
      <c r="D34" s="1070"/>
      <c r="E34" s="1070"/>
      <c r="F34" s="1070"/>
      <c r="G34" s="1070"/>
      <c r="H34" s="1070"/>
      <c r="I34" s="1070"/>
      <c r="J34" s="1070"/>
      <c r="K34" s="1070"/>
      <c r="L34" s="1070"/>
      <c r="M34" s="1386"/>
      <c r="N34" s="1386"/>
      <c r="O34" s="1386"/>
      <c r="P34" s="1386"/>
      <c r="Q34" s="1386"/>
      <c r="R34" s="1386"/>
      <c r="S34" s="1386"/>
      <c r="T34" s="1386"/>
      <c r="U34" s="1386"/>
      <c r="V34" s="1386"/>
      <c r="W34" s="1386"/>
      <c r="X34" s="1386"/>
      <c r="Y34" s="1386"/>
      <c r="Z34" s="1386"/>
      <c r="AA34" s="1386"/>
      <c r="AB34" s="1386"/>
      <c r="AC34" s="1386"/>
      <c r="AD34" s="1386"/>
      <c r="AE34" s="1386"/>
      <c r="AF34" s="1386"/>
    </row>
    <row r="36" spans="3:32">
      <c r="C36" s="30" t="s">
        <v>19</v>
      </c>
    </row>
    <row r="38" spans="3:32">
      <c r="C38" s="3" t="s">
        <v>0</v>
      </c>
      <c r="D38" s="3" t="s">
        <v>31</v>
      </c>
      <c r="E38" s="3" t="s">
        <v>29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f>'ANSP ERT'!H15</f>
        <v>6341.2508973642771</v>
      </c>
      <c r="S38" s="23">
        <f>'ANSP ERT'!I15</f>
        <v>7600.5454305807725</v>
      </c>
      <c r="T38" s="23">
        <f>'ANSP ERT'!K15</f>
        <v>8350.9634027243683</v>
      </c>
      <c r="U38" s="23">
        <f>'ANSP ERT'!L15</f>
        <v>8672.0195693434434</v>
      </c>
      <c r="V38" s="23">
        <f>'ANSP ERT'!M15</f>
        <v>7855.2419111026575</v>
      </c>
    </row>
    <row r="39" spans="3:32">
      <c r="D39" s="3" t="s">
        <v>96</v>
      </c>
      <c r="E39" s="3" t="s">
        <v>29</v>
      </c>
      <c r="M39" s="23">
        <v>0</v>
      </c>
      <c r="N39" s="23">
        <v>0</v>
      </c>
      <c r="O39" s="23">
        <v>0</v>
      </c>
      <c r="P39" s="23">
        <v>0</v>
      </c>
      <c r="Q39" s="23">
        <v>0</v>
      </c>
      <c r="R39" s="23">
        <f>'ANSP ERT'!H16</f>
        <v>1143.2921116156531</v>
      </c>
      <c r="S39" s="23">
        <f>'ANSP ERT'!I16</f>
        <v>2463.7570797213893</v>
      </c>
      <c r="T39" s="23">
        <f>'ANSP ERT'!K16</f>
        <v>3071.3319322360785</v>
      </c>
      <c r="U39" s="23">
        <f>'ANSP ERT'!L16</f>
        <v>3573.9292471576978</v>
      </c>
      <c r="V39" s="23">
        <f>'ANSP ERT'!M16</f>
        <v>3506.788533175773</v>
      </c>
    </row>
    <row r="41" spans="3:32">
      <c r="C41" s="3" t="s">
        <v>1</v>
      </c>
      <c r="D41" s="3" t="s">
        <v>31</v>
      </c>
      <c r="E41" s="3" t="s">
        <v>29</v>
      </c>
      <c r="M41" s="23">
        <v>0</v>
      </c>
      <c r="N41" s="23">
        <v>0</v>
      </c>
      <c r="O41" s="23">
        <v>0</v>
      </c>
      <c r="P41" s="23">
        <v>0</v>
      </c>
      <c r="Q41" s="23">
        <v>0</v>
      </c>
      <c r="R41" s="23">
        <f>'ANSP TRM'!H15</f>
        <v>2439.6952659425215</v>
      </c>
      <c r="S41" s="23">
        <f>'ANSP ERT'!I15</f>
        <v>7600.5454305807725</v>
      </c>
      <c r="T41" s="23">
        <f>'ANSP TRM'!K15</f>
        <v>4929.9343028532548</v>
      </c>
      <c r="U41" s="23">
        <f>'ANSP TRM'!L15</f>
        <v>5509.143003898841</v>
      </c>
      <c r="V41" s="23">
        <f>'ANSP TRM'!M15</f>
        <v>5602.2481091368945</v>
      </c>
    </row>
    <row r="42" spans="3:32">
      <c r="D42" s="3" t="s">
        <v>96</v>
      </c>
      <c r="E42" s="3" t="s">
        <v>29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f>'ANSP ERT'!H16</f>
        <v>1143.2921116156531</v>
      </c>
      <c r="S42" s="23">
        <f>'ANSP ERT'!I16</f>
        <v>2463.7570797213893</v>
      </c>
      <c r="T42" s="23">
        <f>'ANSP TRM'!K16</f>
        <v>4180.8450804819668</v>
      </c>
      <c r="U42" s="23">
        <f>'ANSP TRM'!L16</f>
        <v>4761.669408517133</v>
      </c>
      <c r="V42" s="23">
        <f>'ANSP TRM'!M16</f>
        <v>4656.0092021449982</v>
      </c>
    </row>
    <row r="44" spans="3:32">
      <c r="C44" s="3" t="s">
        <v>2</v>
      </c>
      <c r="D44" s="3" t="s">
        <v>31</v>
      </c>
      <c r="E44" s="3" t="s">
        <v>29</v>
      </c>
    </row>
    <row r="46" spans="3:32">
      <c r="C46" s="3" t="s">
        <v>3</v>
      </c>
      <c r="D46" s="3" t="s">
        <v>31</v>
      </c>
      <c r="E46" s="3" t="s">
        <v>29</v>
      </c>
    </row>
    <row r="48" spans="3:32">
      <c r="C48" s="30" t="s">
        <v>18</v>
      </c>
    </row>
    <row r="50" spans="3:22">
      <c r="C50" s="3" t="s">
        <v>1003</v>
      </c>
      <c r="M50" s="829">
        <v>0.05</v>
      </c>
    </row>
    <row r="52" spans="3:22">
      <c r="C52" s="3" t="s">
        <v>0</v>
      </c>
      <c r="D52" s="3" t="s">
        <v>31</v>
      </c>
      <c r="E52" s="3" t="s">
        <v>43</v>
      </c>
      <c r="M52" s="219"/>
      <c r="N52" s="219"/>
      <c r="O52" s="219"/>
      <c r="P52" s="219"/>
      <c r="Q52" s="219"/>
      <c r="R52" s="829"/>
      <c r="S52" s="829"/>
      <c r="T52" s="829"/>
      <c r="U52" s="829"/>
      <c r="V52" s="829"/>
    </row>
    <row r="53" spans="3:22">
      <c r="D53" s="3" t="s">
        <v>96</v>
      </c>
      <c r="E53" s="3" t="s">
        <v>43</v>
      </c>
      <c r="M53" s="219"/>
      <c r="N53" s="219"/>
      <c r="O53" s="219"/>
      <c r="P53" s="219"/>
      <c r="Q53" s="219"/>
      <c r="R53" s="829"/>
      <c r="S53" s="829"/>
      <c r="T53" s="829"/>
      <c r="U53" s="829"/>
      <c r="V53" s="829"/>
    </row>
    <row r="55" spans="3:22">
      <c r="C55" s="3" t="s">
        <v>1</v>
      </c>
      <c r="D55" s="3" t="s">
        <v>31</v>
      </c>
      <c r="E55" s="3" t="s">
        <v>43</v>
      </c>
      <c r="M55" s="219"/>
      <c r="N55" s="219"/>
      <c r="O55" s="219"/>
      <c r="P55" s="219"/>
      <c r="Q55" s="219"/>
      <c r="R55" s="829"/>
      <c r="S55" s="829"/>
      <c r="T55" s="829"/>
      <c r="U55" s="829"/>
      <c r="V55" s="829"/>
    </row>
    <row r="56" spans="3:22">
      <c r="D56" s="3" t="s">
        <v>96</v>
      </c>
      <c r="E56" s="3" t="s">
        <v>43</v>
      </c>
      <c r="M56" s="219"/>
      <c r="N56" s="219"/>
      <c r="O56" s="219"/>
      <c r="P56" s="219"/>
      <c r="Q56" s="219"/>
      <c r="R56" s="829"/>
      <c r="S56" s="829"/>
      <c r="T56" s="829"/>
      <c r="U56" s="829"/>
      <c r="V56" s="829"/>
    </row>
    <row r="58" spans="3:22">
      <c r="C58" s="3" t="s">
        <v>2</v>
      </c>
      <c r="D58" s="3" t="s">
        <v>31</v>
      </c>
      <c r="E58" s="3" t="s">
        <v>43</v>
      </c>
      <c r="M58" s="219"/>
      <c r="N58" s="219"/>
      <c r="O58" s="219"/>
      <c r="P58" s="219"/>
      <c r="Q58" s="219"/>
      <c r="R58" s="829"/>
      <c r="S58" s="829"/>
      <c r="T58" s="829"/>
      <c r="U58" s="829"/>
      <c r="V58" s="829"/>
    </row>
    <row r="60" spans="3:22">
      <c r="C60" s="3" t="s">
        <v>3</v>
      </c>
      <c r="D60" s="3" t="s">
        <v>31</v>
      </c>
      <c r="E60" s="3" t="s">
        <v>43</v>
      </c>
      <c r="M60" s="219"/>
      <c r="N60" s="219"/>
      <c r="O60" s="219"/>
      <c r="P60" s="219"/>
      <c r="Q60" s="219"/>
      <c r="R60" s="829"/>
      <c r="S60" s="829"/>
      <c r="T60" s="829"/>
      <c r="U60" s="829"/>
      <c r="V60" s="829"/>
    </row>
    <row r="62" spans="3:22">
      <c r="C62" s="30" t="s">
        <v>1004</v>
      </c>
    </row>
    <row r="64" spans="3:22">
      <c r="C64" s="3" t="s">
        <v>0</v>
      </c>
      <c r="D64" s="3" t="s">
        <v>31</v>
      </c>
      <c r="E64" s="3" t="s">
        <v>29</v>
      </c>
      <c r="M64" s="23">
        <f t="shared" ref="M64:V64" si="2">IF(M52&gt;0,MAX($M$50*M38,(M52*M38)),(M52*M38))</f>
        <v>0</v>
      </c>
      <c r="N64" s="23">
        <f t="shared" si="2"/>
        <v>0</v>
      </c>
      <c r="O64" s="23">
        <f t="shared" si="2"/>
        <v>0</v>
      </c>
      <c r="P64" s="23">
        <f t="shared" si="2"/>
        <v>0</v>
      </c>
      <c r="Q64" s="23">
        <f t="shared" si="2"/>
        <v>0</v>
      </c>
      <c r="R64" s="23">
        <f t="shared" si="2"/>
        <v>0</v>
      </c>
      <c r="S64" s="23">
        <f t="shared" si="2"/>
        <v>0</v>
      </c>
      <c r="T64" s="23">
        <f t="shared" si="2"/>
        <v>0</v>
      </c>
      <c r="U64" s="23">
        <f t="shared" si="2"/>
        <v>0</v>
      </c>
      <c r="V64" s="23">
        <f t="shared" si="2"/>
        <v>0</v>
      </c>
    </row>
    <row r="65" spans="3:32">
      <c r="D65" s="3" t="s">
        <v>96</v>
      </c>
      <c r="E65" s="3" t="s">
        <v>29</v>
      </c>
      <c r="M65" s="23">
        <f t="shared" ref="M65:V65" si="3">IF(M53&gt;0,MAX($M$50*M39,(M53*M39)),(M53*M39))</f>
        <v>0</v>
      </c>
      <c r="N65" s="23">
        <f t="shared" si="3"/>
        <v>0</v>
      </c>
      <c r="O65" s="23">
        <f>IF(O53&gt;0,MAX($M$50*O39,(O53*O39)),(O53*O39))</f>
        <v>0</v>
      </c>
      <c r="P65" s="23">
        <f t="shared" si="3"/>
        <v>0</v>
      </c>
      <c r="Q65" s="23">
        <f t="shared" si="3"/>
        <v>0</v>
      </c>
      <c r="R65" s="23">
        <f t="shared" si="3"/>
        <v>0</v>
      </c>
      <c r="S65" s="23">
        <f t="shared" si="3"/>
        <v>0</v>
      </c>
      <c r="T65" s="23">
        <f t="shared" si="3"/>
        <v>0</v>
      </c>
      <c r="U65" s="23">
        <f t="shared" si="3"/>
        <v>0</v>
      </c>
      <c r="V65" s="23">
        <f t="shared" si="3"/>
        <v>0</v>
      </c>
    </row>
    <row r="67" spans="3:32">
      <c r="C67" s="3" t="s">
        <v>1</v>
      </c>
      <c r="D67" s="3" t="s">
        <v>31</v>
      </c>
      <c r="E67" s="3" t="s">
        <v>29</v>
      </c>
      <c r="M67" s="23">
        <f t="shared" ref="M67:V67" si="4">IF(M55&gt;0,MAX($M$50*M41,(M55*M41)),(M55*M41))</f>
        <v>0</v>
      </c>
      <c r="N67" s="23">
        <f t="shared" si="4"/>
        <v>0</v>
      </c>
      <c r="O67" s="23">
        <f t="shared" si="4"/>
        <v>0</v>
      </c>
      <c r="P67" s="23">
        <f t="shared" si="4"/>
        <v>0</v>
      </c>
      <c r="Q67" s="23">
        <f t="shared" si="4"/>
        <v>0</v>
      </c>
      <c r="R67" s="23">
        <f t="shared" si="4"/>
        <v>0</v>
      </c>
      <c r="S67" s="23">
        <f t="shared" si="4"/>
        <v>0</v>
      </c>
      <c r="T67" s="23">
        <f t="shared" si="4"/>
        <v>0</v>
      </c>
      <c r="U67" s="23">
        <f t="shared" si="4"/>
        <v>0</v>
      </c>
      <c r="V67" s="23">
        <f t="shared" si="4"/>
        <v>0</v>
      </c>
    </row>
    <row r="68" spans="3:32">
      <c r="D68" s="3" t="s">
        <v>96</v>
      </c>
      <c r="E68" s="3" t="s">
        <v>29</v>
      </c>
      <c r="M68" s="23">
        <f t="shared" ref="M68:V68" si="5">IF(M56&gt;0,MAX($M$50*M42,(M56*M42)),(M56*M42))</f>
        <v>0</v>
      </c>
      <c r="N68" s="23">
        <f t="shared" si="5"/>
        <v>0</v>
      </c>
      <c r="O68" s="23">
        <f t="shared" si="5"/>
        <v>0</v>
      </c>
      <c r="P68" s="23">
        <f t="shared" si="5"/>
        <v>0</v>
      </c>
      <c r="Q68" s="23">
        <f t="shared" si="5"/>
        <v>0</v>
      </c>
      <c r="R68" s="23">
        <f t="shared" si="5"/>
        <v>0</v>
      </c>
      <c r="S68" s="23">
        <f t="shared" si="5"/>
        <v>0</v>
      </c>
      <c r="T68" s="23">
        <f t="shared" si="5"/>
        <v>0</v>
      </c>
      <c r="U68" s="23">
        <f t="shared" si="5"/>
        <v>0</v>
      </c>
      <c r="V68" s="23">
        <f t="shared" si="5"/>
        <v>0</v>
      </c>
    </row>
    <row r="70" spans="3:32">
      <c r="C70" s="3" t="s">
        <v>2</v>
      </c>
      <c r="D70" s="3" t="s">
        <v>31</v>
      </c>
      <c r="E70" s="3" t="s">
        <v>29</v>
      </c>
      <c r="M70" s="23">
        <f t="shared" ref="M70:V70" si="6">IF(M58&gt;0,MAX($M$50*M44,(M58*M44)),(M58*M44))</f>
        <v>0</v>
      </c>
      <c r="N70" s="23">
        <f t="shared" si="6"/>
        <v>0</v>
      </c>
      <c r="O70" s="23">
        <f t="shared" si="6"/>
        <v>0</v>
      </c>
      <c r="P70" s="23">
        <f t="shared" si="6"/>
        <v>0</v>
      </c>
      <c r="Q70" s="23">
        <f t="shared" si="6"/>
        <v>0</v>
      </c>
      <c r="R70" s="23">
        <f t="shared" si="6"/>
        <v>0</v>
      </c>
      <c r="S70" s="23">
        <f t="shared" si="6"/>
        <v>0</v>
      </c>
      <c r="T70" s="23">
        <f t="shared" si="6"/>
        <v>0</v>
      </c>
      <c r="U70" s="23">
        <f t="shared" si="6"/>
        <v>0</v>
      </c>
      <c r="V70" s="23">
        <f t="shared" si="6"/>
        <v>0</v>
      </c>
    </row>
    <row r="72" spans="3:32">
      <c r="C72" s="3" t="s">
        <v>3</v>
      </c>
      <c r="D72" s="3" t="s">
        <v>31</v>
      </c>
      <c r="E72" s="3" t="s">
        <v>29</v>
      </c>
      <c r="M72" s="23">
        <f t="shared" ref="M72:V72" si="7">IF(M60&gt;0,MAX($M$50*M46,(M60*M46)),(M60*M46))</f>
        <v>0</v>
      </c>
      <c r="N72" s="23">
        <f t="shared" si="7"/>
        <v>0</v>
      </c>
      <c r="O72" s="23">
        <f t="shared" si="7"/>
        <v>0</v>
      </c>
      <c r="P72" s="23">
        <f t="shared" si="7"/>
        <v>0</v>
      </c>
      <c r="Q72" s="23">
        <f t="shared" si="7"/>
        <v>0</v>
      </c>
      <c r="R72" s="23">
        <f t="shared" si="7"/>
        <v>0</v>
      </c>
      <c r="S72" s="23">
        <f t="shared" si="7"/>
        <v>0</v>
      </c>
      <c r="T72" s="23">
        <f t="shared" si="7"/>
        <v>0</v>
      </c>
      <c r="U72" s="23">
        <f t="shared" si="7"/>
        <v>0</v>
      </c>
      <c r="V72" s="23">
        <f t="shared" si="7"/>
        <v>0</v>
      </c>
    </row>
    <row r="74" spans="3:32">
      <c r="C74" s="1385" t="s">
        <v>1005</v>
      </c>
      <c r="D74" s="1070"/>
      <c r="E74" s="1070"/>
      <c r="F74" s="1070"/>
      <c r="G74" s="1070"/>
      <c r="H74" s="1070"/>
      <c r="I74" s="1070"/>
      <c r="J74" s="1070"/>
      <c r="K74" s="1070"/>
      <c r="L74" s="1070"/>
      <c r="M74" s="1386"/>
      <c r="N74" s="1386"/>
      <c r="O74" s="1386"/>
      <c r="P74" s="1386"/>
      <c r="Q74" s="1386"/>
      <c r="R74" s="1386"/>
      <c r="S74" s="1386"/>
      <c r="T74" s="1386"/>
      <c r="U74" s="1386"/>
      <c r="V74" s="1386"/>
      <c r="W74" s="1386"/>
      <c r="X74" s="1386"/>
      <c r="Y74" s="1386"/>
      <c r="Z74" s="1386"/>
      <c r="AA74" s="1386"/>
      <c r="AB74" s="1386"/>
      <c r="AC74" s="1386"/>
      <c r="AD74" s="1386"/>
      <c r="AE74" s="1386"/>
      <c r="AF74" s="1386"/>
    </row>
    <row r="77" spans="3:32">
      <c r="C77" s="3" t="s">
        <v>1006</v>
      </c>
      <c r="D77" s="3" t="s">
        <v>1007</v>
      </c>
      <c r="E77" s="3" t="s">
        <v>29</v>
      </c>
      <c r="M77" s="219"/>
      <c r="N77" s="219"/>
      <c r="O77" s="219"/>
      <c r="P77" s="219"/>
      <c r="Q77" s="219"/>
      <c r="R77" s="828"/>
      <c r="S77" s="828"/>
      <c r="T77" s="828"/>
      <c r="U77" s="828"/>
      <c r="V77" s="828"/>
    </row>
    <row r="78" spans="3:32">
      <c r="D78" s="3" t="s">
        <v>1008</v>
      </c>
      <c r="E78" s="3" t="s">
        <v>29</v>
      </c>
      <c r="M78" s="219"/>
      <c r="N78" s="219"/>
      <c r="O78" s="219"/>
      <c r="P78" s="219"/>
      <c r="Q78" s="219"/>
      <c r="R78" s="828"/>
      <c r="S78" s="828"/>
      <c r="T78" s="828"/>
      <c r="U78" s="828"/>
      <c r="V78" s="828"/>
    </row>
    <row r="79" spans="3:32"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3:32">
      <c r="C80" s="3" t="s">
        <v>1009</v>
      </c>
      <c r="D80" s="3" t="s">
        <v>1007</v>
      </c>
      <c r="E80" s="3" t="s">
        <v>29</v>
      </c>
      <c r="M80" s="219"/>
      <c r="N80" s="219"/>
      <c r="O80" s="219"/>
      <c r="P80" s="219"/>
      <c r="Q80" s="219"/>
      <c r="R80" s="828"/>
      <c r="S80" s="828"/>
      <c r="T80" s="828"/>
      <c r="U80" s="828"/>
      <c r="V80" s="828"/>
    </row>
    <row r="81" spans="3:22">
      <c r="D81" s="3" t="s">
        <v>1008</v>
      </c>
      <c r="E81" s="3" t="s">
        <v>29</v>
      </c>
      <c r="M81" s="219"/>
      <c r="N81" s="219"/>
      <c r="O81" s="219"/>
      <c r="P81" s="219"/>
      <c r="Q81" s="219"/>
      <c r="R81" s="828"/>
      <c r="S81" s="828"/>
      <c r="T81" s="828"/>
      <c r="U81" s="828"/>
      <c r="V81" s="828"/>
    </row>
    <row r="83" spans="3:22">
      <c r="C83" s="3" t="s">
        <v>0</v>
      </c>
      <c r="D83" s="3" t="s">
        <v>1000</v>
      </c>
      <c r="E83" s="3" t="s">
        <v>29</v>
      </c>
      <c r="M83" s="219"/>
      <c r="N83" s="219"/>
      <c r="O83" s="219"/>
      <c r="P83" s="219"/>
      <c r="Q83" s="219"/>
      <c r="R83" s="828"/>
      <c r="S83" s="828"/>
      <c r="T83" s="828"/>
      <c r="U83" s="828"/>
      <c r="V83" s="828"/>
    </row>
    <row r="84" spans="3:22">
      <c r="D84" s="3" t="s">
        <v>1001</v>
      </c>
      <c r="E84" s="3" t="s">
        <v>29</v>
      </c>
      <c r="M84" s="219"/>
      <c r="N84" s="219"/>
      <c r="O84" s="219"/>
      <c r="P84" s="219"/>
      <c r="Q84" s="219"/>
      <c r="R84" s="828"/>
      <c r="S84" s="828"/>
      <c r="T84" s="828"/>
      <c r="U84" s="828"/>
      <c r="V84" s="828"/>
    </row>
    <row r="85" spans="3:22">
      <c r="D85" s="3" t="s">
        <v>1002</v>
      </c>
      <c r="E85" s="3" t="s">
        <v>29</v>
      </c>
      <c r="M85" s="219"/>
      <c r="N85" s="219"/>
      <c r="O85" s="219"/>
      <c r="P85" s="219"/>
      <c r="Q85" s="219"/>
      <c r="R85" s="828"/>
      <c r="S85" s="828"/>
      <c r="T85" s="828"/>
      <c r="U85" s="828"/>
      <c r="V85" s="828"/>
    </row>
    <row r="87" spans="3:22">
      <c r="C87" s="3" t="s">
        <v>1</v>
      </c>
      <c r="D87" s="3" t="s">
        <v>1000</v>
      </c>
      <c r="E87" s="3" t="s">
        <v>29</v>
      </c>
      <c r="M87" s="219"/>
      <c r="N87" s="219"/>
      <c r="O87" s="219"/>
      <c r="P87" s="219"/>
      <c r="Q87" s="219"/>
      <c r="R87" s="828"/>
      <c r="S87" s="828"/>
      <c r="T87" s="828"/>
      <c r="U87" s="828"/>
      <c r="V87" s="828"/>
    </row>
    <row r="88" spans="3:22">
      <c r="D88" s="3" t="s">
        <v>1001</v>
      </c>
      <c r="E88" s="3" t="s">
        <v>29</v>
      </c>
      <c r="M88" s="219"/>
      <c r="N88" s="219"/>
      <c r="O88" s="219"/>
      <c r="P88" s="219"/>
      <c r="Q88" s="219"/>
      <c r="R88" s="828"/>
      <c r="S88" s="828"/>
      <c r="T88" s="828"/>
      <c r="U88" s="828"/>
      <c r="V88" s="828"/>
    </row>
    <row r="89" spans="3:22">
      <c r="D89" s="3" t="s">
        <v>1002</v>
      </c>
      <c r="E89" s="3" t="s">
        <v>29</v>
      </c>
      <c r="M89" s="219"/>
      <c r="N89" s="219"/>
      <c r="O89" s="219"/>
      <c r="P89" s="219"/>
      <c r="Q89" s="219"/>
      <c r="R89" s="828"/>
      <c r="S89" s="828"/>
      <c r="T89" s="828"/>
      <c r="U89" s="828"/>
      <c r="V89" s="828"/>
    </row>
    <row r="91" spans="3:22">
      <c r="C91" s="3" t="s">
        <v>2</v>
      </c>
      <c r="D91" s="3" t="s">
        <v>1000</v>
      </c>
      <c r="E91" s="3" t="s">
        <v>29</v>
      </c>
      <c r="M91" s="219"/>
      <c r="N91" s="219"/>
      <c r="O91" s="219"/>
      <c r="P91" s="219"/>
      <c r="Q91" s="219"/>
      <c r="R91" s="828"/>
      <c r="S91" s="828"/>
      <c r="T91" s="828"/>
      <c r="U91" s="828"/>
      <c r="V91" s="828"/>
    </row>
    <row r="92" spans="3:22">
      <c r="D92" s="3" t="s">
        <v>1001</v>
      </c>
      <c r="E92" s="3" t="s">
        <v>29</v>
      </c>
      <c r="M92" s="219"/>
      <c r="N92" s="219"/>
      <c r="O92" s="219"/>
      <c r="P92" s="219"/>
      <c r="Q92" s="219"/>
      <c r="R92" s="828"/>
      <c r="S92" s="828"/>
      <c r="T92" s="828"/>
      <c r="U92" s="828"/>
      <c r="V92" s="828"/>
    </row>
    <row r="93" spans="3:22">
      <c r="D93" s="3" t="s">
        <v>1002</v>
      </c>
      <c r="E93" s="3" t="s">
        <v>29</v>
      </c>
      <c r="M93" s="219"/>
      <c r="N93" s="219"/>
      <c r="O93" s="219"/>
      <c r="P93" s="219"/>
      <c r="Q93" s="219"/>
      <c r="R93" s="828"/>
      <c r="S93" s="828"/>
      <c r="T93" s="828"/>
      <c r="U93" s="828"/>
      <c r="V93" s="828"/>
    </row>
    <row r="95" spans="3:22">
      <c r="C95" s="3" t="s">
        <v>3</v>
      </c>
      <c r="D95" s="3" t="s">
        <v>1000</v>
      </c>
      <c r="E95" s="3" t="s">
        <v>29</v>
      </c>
      <c r="M95" s="219"/>
      <c r="N95" s="219"/>
      <c r="O95" s="219"/>
      <c r="P95" s="219"/>
      <c r="Q95" s="219"/>
      <c r="R95" s="828"/>
      <c r="S95" s="828"/>
      <c r="T95" s="828"/>
      <c r="U95" s="828"/>
      <c r="V95" s="828"/>
    </row>
    <row r="96" spans="3:22">
      <c r="D96" s="3" t="s">
        <v>1001</v>
      </c>
      <c r="E96" s="3" t="s">
        <v>29</v>
      </c>
      <c r="M96" s="219"/>
      <c r="N96" s="219"/>
      <c r="O96" s="219"/>
      <c r="P96" s="219"/>
      <c r="Q96" s="219"/>
      <c r="R96" s="828"/>
      <c r="S96" s="828"/>
      <c r="T96" s="828"/>
      <c r="U96" s="828"/>
      <c r="V96" s="828"/>
    </row>
    <row r="97" spans="2:32">
      <c r="D97" s="3" t="s">
        <v>1002</v>
      </c>
      <c r="E97" s="3" t="s">
        <v>29</v>
      </c>
      <c r="M97" s="219"/>
      <c r="N97" s="219"/>
      <c r="O97" s="219"/>
      <c r="P97" s="219"/>
      <c r="Q97" s="219"/>
      <c r="R97" s="828"/>
      <c r="S97" s="828"/>
      <c r="T97" s="828"/>
      <c r="U97" s="828"/>
      <c r="V97" s="828"/>
    </row>
    <row r="99" spans="2:32">
      <c r="B99" s="17"/>
      <c r="C99" s="1385" t="s">
        <v>1010</v>
      </c>
    </row>
    <row r="101" spans="2:32" ht="13.5" thickBot="1">
      <c r="C101" s="6" t="s">
        <v>1011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</row>
    <row r="102" spans="2:32">
      <c r="C102" s="30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</row>
    <row r="103" spans="2:32">
      <c r="C103" s="30" t="s">
        <v>1012</v>
      </c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</row>
    <row r="104" spans="2:32">
      <c r="C104" s="30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</row>
    <row r="105" spans="2:32">
      <c r="C105" s="3" t="s">
        <v>1013</v>
      </c>
      <c r="E105" s="154" t="s">
        <v>103</v>
      </c>
      <c r="M105" s="210">
        <f>'Misc. Items'!I36</f>
        <v>4182.45</v>
      </c>
      <c r="N105" s="210">
        <f>'Misc. Items'!J36</f>
        <v>4467.5950000000003</v>
      </c>
      <c r="O105" s="210">
        <f>'Misc. Items'!K36</f>
        <v>4465.2529999999997</v>
      </c>
      <c r="P105" s="210">
        <f>'Misc. Items'!L36</f>
        <v>4549.8827233000011</v>
      </c>
      <c r="Q105" s="210">
        <f>'Misc. Items'!M36</f>
        <v>4640.8595650000007</v>
      </c>
      <c r="R105" s="210">
        <f>'Misc. Items'!N36</f>
        <v>1988.2902946000002</v>
      </c>
      <c r="S105" s="210">
        <f>'Misc. Items'!O36</f>
        <v>2072</v>
      </c>
      <c r="T105" s="210">
        <f>'Misc. Items'!P36</f>
        <v>3202</v>
      </c>
      <c r="U105" s="210">
        <f>'Misc. Items'!Q36</f>
        <v>4039</v>
      </c>
      <c r="V105" s="210">
        <f>'Misc. Items'!R36</f>
        <v>4726</v>
      </c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</row>
    <row r="106" spans="2:32">
      <c r="C106" s="3" t="s">
        <v>1014</v>
      </c>
      <c r="E106" s="154" t="s">
        <v>103</v>
      </c>
      <c r="M106" s="210">
        <f>'Misc. Items'!I37</f>
        <v>149.863</v>
      </c>
      <c r="N106" s="210">
        <f>'Misc. Items'!J37</f>
        <v>163.30528635600001</v>
      </c>
      <c r="O106" s="210">
        <f>'Misc. Items'!K37</f>
        <v>171.66498065517399</v>
      </c>
      <c r="P106" s="210">
        <f>'Misc. Items'!L37</f>
        <v>182.71100000000001</v>
      </c>
      <c r="Q106" s="210">
        <f>'Misc. Items'!M37</f>
        <v>187.70944677700001</v>
      </c>
      <c r="R106" s="210">
        <f>'Misc. Items'!N37</f>
        <v>70.511440283846895</v>
      </c>
      <c r="S106" s="210">
        <f>'Misc. Items'!O37</f>
        <v>77</v>
      </c>
      <c r="T106" s="210">
        <f>'Misc. Items'!P37</f>
        <v>136</v>
      </c>
      <c r="U106" s="210">
        <f>'Misc. Items'!Q37</f>
        <v>163</v>
      </c>
      <c r="V106" s="210">
        <f>'Misc. Items'!R37</f>
        <v>188</v>
      </c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</row>
    <row r="107" spans="2:32">
      <c r="C107" s="30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</row>
    <row r="108" spans="2:32">
      <c r="C108" s="30" t="s">
        <v>1015</v>
      </c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</row>
    <row r="109" spans="2:32">
      <c r="C109" s="30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</row>
    <row r="110" spans="2:32">
      <c r="C110" s="3" t="s">
        <v>1013</v>
      </c>
      <c r="E110" s="154" t="s">
        <v>43</v>
      </c>
      <c r="M110" s="219"/>
      <c r="N110" s="219"/>
      <c r="O110" s="219"/>
      <c r="P110" s="219"/>
      <c r="Q110" s="219"/>
      <c r="R110" s="829">
        <v>0</v>
      </c>
      <c r="S110" s="829">
        <v>0</v>
      </c>
      <c r="T110" s="829">
        <v>0</v>
      </c>
      <c r="U110" s="829">
        <v>0</v>
      </c>
      <c r="V110" s="829">
        <v>0</v>
      </c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</row>
    <row r="111" spans="2:32">
      <c r="C111" s="3" t="s">
        <v>1014</v>
      </c>
      <c r="E111" s="154" t="s">
        <v>43</v>
      </c>
      <c r="M111" s="219"/>
      <c r="N111" s="219"/>
      <c r="O111" s="219"/>
      <c r="P111" s="219"/>
      <c r="Q111" s="219"/>
      <c r="R111" s="829">
        <v>0</v>
      </c>
      <c r="S111" s="829">
        <v>0</v>
      </c>
      <c r="T111" s="829">
        <v>0</v>
      </c>
      <c r="U111" s="829">
        <v>0</v>
      </c>
      <c r="V111" s="829">
        <v>0</v>
      </c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</row>
    <row r="112" spans="2:32">
      <c r="C112" s="30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</row>
    <row r="113" spans="3:32">
      <c r="C113" s="30" t="s">
        <v>18</v>
      </c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</row>
    <row r="114" spans="3:32">
      <c r="C114" s="30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</row>
    <row r="115" spans="3:32">
      <c r="C115" s="3" t="s">
        <v>1013</v>
      </c>
      <c r="E115" s="154" t="s">
        <v>103</v>
      </c>
      <c r="M115" s="210"/>
      <c r="N115" s="210"/>
      <c r="O115" s="210"/>
      <c r="P115" s="210"/>
      <c r="Q115" s="210"/>
      <c r="R115" s="210">
        <f t="shared" ref="R115:V116" si="8">R105*(1+R110)</f>
        <v>1988.2902946000002</v>
      </c>
      <c r="S115" s="210">
        <f t="shared" si="8"/>
        <v>2072</v>
      </c>
      <c r="T115" s="210">
        <f t="shared" si="8"/>
        <v>3202</v>
      </c>
      <c r="U115" s="210">
        <f t="shared" si="8"/>
        <v>4039</v>
      </c>
      <c r="V115" s="210">
        <f t="shared" si="8"/>
        <v>4726</v>
      </c>
    </row>
    <row r="116" spans="3:32">
      <c r="C116" s="3" t="s">
        <v>1014</v>
      </c>
      <c r="E116" s="154" t="s">
        <v>103</v>
      </c>
      <c r="M116" s="210"/>
      <c r="N116" s="210"/>
      <c r="O116" s="210"/>
      <c r="P116" s="210"/>
      <c r="Q116" s="210"/>
      <c r="R116" s="210">
        <f t="shared" si="8"/>
        <v>70.511440283846895</v>
      </c>
      <c r="S116" s="210">
        <f t="shared" si="8"/>
        <v>77</v>
      </c>
      <c r="T116" s="210">
        <f t="shared" si="8"/>
        <v>136</v>
      </c>
      <c r="U116" s="210">
        <f t="shared" si="8"/>
        <v>163</v>
      </c>
      <c r="V116" s="210">
        <f t="shared" si="8"/>
        <v>188</v>
      </c>
    </row>
    <row r="118" spans="3:32">
      <c r="C118" s="1387" t="s">
        <v>1016</v>
      </c>
      <c r="D118" s="1070"/>
    </row>
    <row r="120" spans="3:32" ht="13.5" thickBot="1">
      <c r="C120" s="6" t="s">
        <v>1017</v>
      </c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</row>
    <row r="121" spans="3:32">
      <c r="C121" s="30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</row>
    <row r="122" spans="3:32">
      <c r="C122" s="1388" t="s">
        <v>1013</v>
      </c>
      <c r="D122" s="1070"/>
    </row>
    <row r="123" spans="3:32">
      <c r="C123" s="3" t="s">
        <v>1018</v>
      </c>
      <c r="E123" s="3" t="s">
        <v>1019</v>
      </c>
      <c r="M123" s="219"/>
      <c r="N123" s="219"/>
      <c r="O123" s="219"/>
      <c r="P123" s="219"/>
      <c r="Q123" s="219"/>
      <c r="R123" s="828"/>
      <c r="S123" s="828"/>
      <c r="T123" s="828">
        <v>0</v>
      </c>
      <c r="U123" s="828">
        <v>0</v>
      </c>
      <c r="V123" s="828">
        <v>0</v>
      </c>
    </row>
    <row r="124" spans="3:32">
      <c r="C124" s="3" t="s">
        <v>1020</v>
      </c>
      <c r="E124" s="3" t="s">
        <v>1019</v>
      </c>
      <c r="M124" s="219"/>
      <c r="N124" s="219"/>
      <c r="O124" s="219"/>
      <c r="P124" s="219"/>
      <c r="Q124" s="219"/>
      <c r="R124" s="828"/>
      <c r="S124" s="828"/>
      <c r="T124" s="834">
        <v>0.03</v>
      </c>
      <c r="U124" s="834">
        <v>0.03</v>
      </c>
      <c r="V124" s="834">
        <v>0.03</v>
      </c>
    </row>
    <row r="125" spans="3:32">
      <c r="C125" s="3" t="s">
        <v>1021</v>
      </c>
      <c r="E125" s="3" t="s">
        <v>1019</v>
      </c>
      <c r="M125" s="219"/>
      <c r="N125" s="219"/>
      <c r="O125" s="219"/>
      <c r="P125" s="219"/>
      <c r="Q125" s="219"/>
      <c r="R125" s="828"/>
      <c r="S125" s="828"/>
      <c r="T125" s="834">
        <v>0.05</v>
      </c>
      <c r="U125" s="834">
        <v>0.05</v>
      </c>
      <c r="V125" s="834">
        <v>0.05</v>
      </c>
    </row>
    <row r="126" spans="3:32">
      <c r="C126" s="3" t="s">
        <v>1022</v>
      </c>
      <c r="E126" s="3" t="s">
        <v>43</v>
      </c>
      <c r="L126" s="184">
        <v>0</v>
      </c>
    </row>
    <row r="127" spans="3:32">
      <c r="C127" s="3" t="s">
        <v>1023</v>
      </c>
      <c r="E127" s="3" t="s">
        <v>43</v>
      </c>
      <c r="L127" s="184">
        <v>0.01</v>
      </c>
    </row>
    <row r="129" spans="3:22">
      <c r="C129" s="3" t="s">
        <v>1024</v>
      </c>
      <c r="E129" s="3" t="s">
        <v>1019</v>
      </c>
      <c r="M129" s="219"/>
      <c r="N129" s="219"/>
      <c r="O129" s="219"/>
      <c r="P129" s="219"/>
      <c r="Q129" s="219"/>
      <c r="R129" s="828"/>
      <c r="S129" s="828"/>
      <c r="T129" s="834">
        <v>0</v>
      </c>
      <c r="U129" s="834">
        <v>0</v>
      </c>
      <c r="V129" s="834">
        <v>0</v>
      </c>
    </row>
    <row r="131" spans="3:22">
      <c r="C131" s="3" t="s">
        <v>1025</v>
      </c>
      <c r="E131" s="3" t="s">
        <v>43</v>
      </c>
      <c r="R131" s="835"/>
      <c r="S131" s="835"/>
      <c r="T131" s="835">
        <f>IF(T129&gt;=T125,$L$127,IF(AND(T129&lt;=T125,T129&gt;=T124),$L$127*(T129-T124)/(T125-T124),0))</f>
        <v>0</v>
      </c>
      <c r="U131" s="835">
        <f>IF(U129&gt;=U125,$L$127,IF(AND(U129&lt;=U125,U129&gt;=U124),$L$127*(U129-U124)/(U125-U124),0))</f>
        <v>0</v>
      </c>
      <c r="V131" s="835">
        <f>IF(V129&gt;=V125,$L$127,IF(AND(V129&lt;=V125,V129&gt;=V124),$L$127*(V129-V124)/(V125-V124),0))</f>
        <v>0</v>
      </c>
    </row>
    <row r="133" spans="3:22">
      <c r="C133" s="1388" t="s">
        <v>1014</v>
      </c>
      <c r="D133" s="1070"/>
    </row>
    <row r="134" spans="3:22">
      <c r="C134" s="3" t="s">
        <v>1018</v>
      </c>
      <c r="E134" s="3" t="s">
        <v>1019</v>
      </c>
      <c r="M134" s="219"/>
      <c r="N134" s="219"/>
      <c r="O134" s="219"/>
      <c r="P134" s="219"/>
      <c r="Q134" s="219"/>
      <c r="R134" s="828"/>
      <c r="S134" s="828"/>
      <c r="T134" s="834">
        <v>0.2</v>
      </c>
      <c r="U134" s="834">
        <v>0.2</v>
      </c>
      <c r="V134" s="834">
        <v>0.2</v>
      </c>
    </row>
    <row r="135" spans="3:22">
      <c r="C135" s="3" t="s">
        <v>1020</v>
      </c>
      <c r="E135" s="3" t="s">
        <v>1019</v>
      </c>
      <c r="M135" s="219"/>
      <c r="N135" s="219"/>
      <c r="O135" s="219"/>
      <c r="P135" s="219"/>
      <c r="Q135" s="219"/>
      <c r="R135" s="828"/>
      <c r="S135" s="828"/>
      <c r="T135" s="834">
        <f>T134*1.5</f>
        <v>0.30000000000000004</v>
      </c>
      <c r="U135" s="834">
        <f>U134*1.5</f>
        <v>0.30000000000000004</v>
      </c>
      <c r="V135" s="834">
        <f>V134*1.5</f>
        <v>0.30000000000000004</v>
      </c>
    </row>
    <row r="136" spans="3:22">
      <c r="C136" s="3" t="s">
        <v>1021</v>
      </c>
      <c r="E136" s="3" t="s">
        <v>1019</v>
      </c>
      <c r="M136" s="219"/>
      <c r="N136" s="219"/>
      <c r="O136" s="219"/>
      <c r="P136" s="219"/>
      <c r="Q136" s="219"/>
      <c r="R136" s="828"/>
      <c r="S136" s="828"/>
      <c r="T136" s="834">
        <f>T135</f>
        <v>0.30000000000000004</v>
      </c>
      <c r="U136" s="834">
        <f>U135</f>
        <v>0.30000000000000004</v>
      </c>
      <c r="V136" s="834">
        <f>V135</f>
        <v>0.30000000000000004</v>
      </c>
    </row>
    <row r="137" spans="3:22">
      <c r="C137" s="3" t="s">
        <v>1022</v>
      </c>
      <c r="E137" s="3" t="s">
        <v>43</v>
      </c>
      <c r="L137" s="184">
        <v>0</v>
      </c>
    </row>
    <row r="138" spans="3:22">
      <c r="C138" s="3" t="s">
        <v>1023</v>
      </c>
      <c r="E138" s="3" t="s">
        <v>43</v>
      </c>
      <c r="L138" s="184">
        <v>5.0000000000000001E-3</v>
      </c>
    </row>
    <row r="140" spans="3:22">
      <c r="C140" s="3" t="s">
        <v>1024</v>
      </c>
      <c r="E140" s="3" t="s">
        <v>1019</v>
      </c>
      <c r="M140" s="219"/>
      <c r="N140" s="219"/>
      <c r="O140" s="219"/>
      <c r="P140" s="219"/>
      <c r="Q140" s="219"/>
      <c r="R140" s="828"/>
      <c r="S140" s="828"/>
      <c r="T140" s="834">
        <v>0</v>
      </c>
      <c r="U140" s="834">
        <v>0</v>
      </c>
      <c r="V140" s="834">
        <v>0</v>
      </c>
    </row>
    <row r="142" spans="3:22">
      <c r="C142" s="3" t="s">
        <v>1025</v>
      </c>
      <c r="E142" s="3" t="s">
        <v>43</v>
      </c>
      <c r="R142" s="835"/>
      <c r="S142" s="835"/>
      <c r="T142" s="835">
        <f>IF(T140&gt;=T136,$L$138,IF(AND(T140&lt;=T136,T140&gt;=T135),$L$138*(T140-T135)/(T136-T135),0))</f>
        <v>0</v>
      </c>
      <c r="U142" s="835">
        <f>IF(U140&gt;=U136,$L$138,IF(AND(U140&lt;=U136,U140&gt;=U135),$L$138*(U140-U135)/(U136-U135),0))</f>
        <v>0</v>
      </c>
      <c r="V142" s="835">
        <f>IF(V140&gt;=V136,$L$138,IF(AND(V140&lt;=V136,V140&gt;=V135),$L$138*(V140-V135)/(V136-V135),0))</f>
        <v>0</v>
      </c>
    </row>
    <row r="144" spans="3:22">
      <c r="C144" s="1387" t="s">
        <v>1026</v>
      </c>
    </row>
    <row r="146" spans="3:32" ht="13.5" thickBot="1">
      <c r="C146" s="6" t="s">
        <v>1027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</row>
    <row r="148" spans="3:32">
      <c r="C148" s="3" t="s">
        <v>0</v>
      </c>
      <c r="E148" s="3" t="s">
        <v>29</v>
      </c>
      <c r="M148" s="219"/>
      <c r="N148" s="219"/>
      <c r="O148" s="219"/>
      <c r="P148" s="219"/>
      <c r="Q148" s="219"/>
      <c r="R148" s="828"/>
      <c r="S148" s="828"/>
      <c r="T148" s="828"/>
      <c r="U148" s="828"/>
      <c r="V148" s="828"/>
    </row>
    <row r="149" spans="3:32">
      <c r="C149" s="3" t="s">
        <v>1</v>
      </c>
      <c r="E149" s="3" t="s">
        <v>29</v>
      </c>
      <c r="M149" s="219"/>
      <c r="N149" s="219"/>
      <c r="O149" s="219"/>
      <c r="P149" s="219"/>
      <c r="Q149" s="219"/>
      <c r="R149" s="828"/>
      <c r="S149" s="828"/>
      <c r="T149" s="828"/>
      <c r="U149" s="828"/>
      <c r="V149" s="828"/>
    </row>
    <row r="150" spans="3:32">
      <c r="C150" s="3" t="s">
        <v>2</v>
      </c>
      <c r="E150" s="3" t="s">
        <v>29</v>
      </c>
      <c r="M150" s="219"/>
      <c r="N150" s="219"/>
      <c r="O150" s="219"/>
      <c r="P150" s="219"/>
      <c r="Q150" s="219"/>
      <c r="R150" s="828"/>
      <c r="S150" s="828"/>
      <c r="T150" s="828"/>
      <c r="U150" s="828"/>
      <c r="V150" s="828"/>
    </row>
    <row r="151" spans="3:32">
      <c r="C151" s="3" t="s">
        <v>3</v>
      </c>
      <c r="E151" s="3" t="s">
        <v>29</v>
      </c>
      <c r="M151" s="219"/>
      <c r="N151" s="219"/>
      <c r="O151" s="219"/>
      <c r="P151" s="219"/>
      <c r="Q151" s="219"/>
      <c r="R151" s="828"/>
      <c r="S151" s="828"/>
      <c r="T151" s="828"/>
      <c r="U151" s="828"/>
      <c r="V151" s="828"/>
    </row>
    <row r="152" spans="3:32">
      <c r="C152" s="3" t="s">
        <v>1006</v>
      </c>
      <c r="E152" s="3" t="s">
        <v>29</v>
      </c>
      <c r="M152" s="219"/>
      <c r="N152" s="219"/>
      <c r="O152" s="219"/>
      <c r="P152" s="219"/>
      <c r="Q152" s="219"/>
      <c r="R152" s="828"/>
      <c r="S152" s="828"/>
      <c r="T152" s="828"/>
      <c r="U152" s="828"/>
      <c r="V152" s="828"/>
    </row>
    <row r="153" spans="3:32">
      <c r="C153" s="3" t="s">
        <v>1009</v>
      </c>
      <c r="E153" s="3" t="s">
        <v>29</v>
      </c>
      <c r="M153" s="219"/>
      <c r="N153" s="219"/>
      <c r="O153" s="219"/>
      <c r="P153" s="219"/>
      <c r="Q153" s="219"/>
      <c r="R153" s="828"/>
      <c r="S153" s="828"/>
      <c r="T153" s="828"/>
      <c r="U153" s="828"/>
      <c r="V153" s="828"/>
    </row>
    <row r="155" spans="3:32" ht="13.5" thickBot="1">
      <c r="C155" s="6" t="s">
        <v>1028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</row>
    <row r="156" spans="3:32">
      <c r="C156" s="30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</row>
    <row r="157" spans="3:32">
      <c r="C157" s="30" t="s">
        <v>13</v>
      </c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</row>
    <row r="158" spans="3:32">
      <c r="C158" s="30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</row>
    <row r="159" spans="3:32">
      <c r="C159" s="1389" t="s">
        <v>1013</v>
      </c>
      <c r="D159" s="1390"/>
      <c r="E159" s="1390"/>
      <c r="F159" s="1390"/>
      <c r="G159" s="1390"/>
      <c r="H159" s="1390"/>
      <c r="I159" s="1390"/>
      <c r="J159" s="1390"/>
      <c r="K159" s="1390"/>
      <c r="L159" s="1390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390"/>
      <c r="X159" s="1390"/>
      <c r="Y159" s="1390"/>
      <c r="Z159" s="1390"/>
      <c r="AA159" s="1390"/>
      <c r="AB159" s="18"/>
      <c r="AC159" s="18"/>
      <c r="AD159" s="18"/>
      <c r="AE159" s="18"/>
      <c r="AF159" s="18"/>
    </row>
    <row r="160" spans="3:32">
      <c r="C160" s="3" t="s">
        <v>1029</v>
      </c>
      <c r="D160" s="18"/>
      <c r="E160" s="3" t="s">
        <v>29</v>
      </c>
      <c r="F160" s="18"/>
      <c r="G160" s="18"/>
      <c r="H160" s="18"/>
      <c r="I160" s="18"/>
      <c r="J160" s="18"/>
      <c r="K160" s="18"/>
      <c r="L160" s="18"/>
      <c r="M160" s="173">
        <v>0</v>
      </c>
      <c r="N160" s="173">
        <v>0</v>
      </c>
      <c r="O160" s="173">
        <v>0</v>
      </c>
      <c r="P160" s="173">
        <v>0</v>
      </c>
      <c r="Q160" s="173">
        <v>0</v>
      </c>
      <c r="R160" s="173">
        <v>0</v>
      </c>
      <c r="S160" s="173">
        <v>-208.1</v>
      </c>
      <c r="T160" s="173">
        <v>0</v>
      </c>
      <c r="U160" s="173">
        <v>0</v>
      </c>
      <c r="V160" s="173">
        <v>0</v>
      </c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</row>
    <row r="161" spans="3:32">
      <c r="C161" s="3" t="s">
        <v>1030</v>
      </c>
      <c r="D161" s="18"/>
      <c r="E161" s="3" t="s">
        <v>29</v>
      </c>
      <c r="F161" s="18"/>
      <c r="G161" s="18"/>
      <c r="H161" s="18"/>
      <c r="I161" s="18"/>
      <c r="J161" s="18"/>
      <c r="K161" s="18"/>
      <c r="L161" s="18"/>
      <c r="M161" s="173">
        <v>0</v>
      </c>
      <c r="N161" s="173">
        <v>0</v>
      </c>
      <c r="O161" s="173">
        <v>0</v>
      </c>
      <c r="P161" s="173">
        <v>0</v>
      </c>
      <c r="Q161" s="173">
        <v>0</v>
      </c>
      <c r="R161" s="173">
        <v>0</v>
      </c>
      <c r="S161" s="173">
        <v>0</v>
      </c>
      <c r="T161" s="173">
        <v>0</v>
      </c>
      <c r="U161" s="173">
        <v>0</v>
      </c>
      <c r="V161" s="173">
        <v>0</v>
      </c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</row>
    <row r="162" spans="3:32">
      <c r="C162" s="3" t="s">
        <v>1031</v>
      </c>
      <c r="D162" s="18"/>
      <c r="E162" s="3" t="s">
        <v>29</v>
      </c>
      <c r="F162" s="18"/>
      <c r="G162" s="18"/>
      <c r="H162" s="18"/>
      <c r="I162" s="18"/>
      <c r="J162" s="18"/>
      <c r="K162" s="18"/>
      <c r="L162" s="18"/>
      <c r="M162" s="173">
        <v>0</v>
      </c>
      <c r="N162" s="173">
        <v>0</v>
      </c>
      <c r="O162" s="173">
        <v>0</v>
      </c>
      <c r="P162" s="173">
        <v>0</v>
      </c>
      <c r="Q162" s="173">
        <v>0</v>
      </c>
      <c r="R162" s="173">
        <v>0</v>
      </c>
      <c r="S162" s="173">
        <v>-14432.771670257451</v>
      </c>
      <c r="T162" s="173">
        <v>0</v>
      </c>
      <c r="U162" s="173">
        <v>0</v>
      </c>
      <c r="V162" s="173">
        <v>0</v>
      </c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</row>
    <row r="163" spans="3:32">
      <c r="C163" s="3" t="s">
        <v>1032</v>
      </c>
      <c r="D163" s="18"/>
      <c r="E163" s="3" t="s">
        <v>29</v>
      </c>
      <c r="F163" s="18"/>
      <c r="G163" s="18"/>
      <c r="H163" s="18"/>
      <c r="I163" s="18"/>
      <c r="J163" s="18"/>
      <c r="K163" s="18"/>
      <c r="L163" s="18"/>
      <c r="M163" s="173">
        <v>0</v>
      </c>
      <c r="N163" s="173">
        <v>0</v>
      </c>
      <c r="O163" s="173">
        <v>0</v>
      </c>
      <c r="P163" s="173">
        <v>0</v>
      </c>
      <c r="Q163" s="173">
        <v>0</v>
      </c>
      <c r="R163" s="173">
        <v>0</v>
      </c>
      <c r="S163" s="173"/>
      <c r="T163" s="173">
        <v>0</v>
      </c>
      <c r="U163" s="173">
        <v>0</v>
      </c>
      <c r="V163" s="173">
        <v>0</v>
      </c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</row>
    <row r="164" spans="3:32">
      <c r="C164" s="30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</row>
    <row r="165" spans="3:32">
      <c r="C165" s="1389" t="s">
        <v>1014</v>
      </c>
      <c r="D165" s="1390"/>
      <c r="E165" s="1390"/>
      <c r="F165" s="1390"/>
      <c r="G165" s="1390"/>
      <c r="H165" s="1390"/>
      <c r="I165" s="1390"/>
      <c r="J165" s="1390"/>
      <c r="K165" s="1390"/>
      <c r="L165" s="1390"/>
      <c r="M165" s="1390"/>
      <c r="N165" s="1390"/>
      <c r="O165" s="1390"/>
      <c r="P165" s="1390"/>
      <c r="Q165" s="1390"/>
      <c r="R165" s="1390"/>
      <c r="S165" s="1390"/>
      <c r="T165" s="1390"/>
      <c r="U165" s="1390"/>
      <c r="V165" s="1390"/>
      <c r="W165" s="1390"/>
      <c r="X165" s="1390"/>
      <c r="Y165" s="1390"/>
      <c r="Z165" s="1390"/>
      <c r="AA165" s="1390"/>
      <c r="AB165" s="18"/>
      <c r="AC165" s="18"/>
      <c r="AD165" s="18"/>
      <c r="AE165" s="18"/>
      <c r="AF165" s="18"/>
    </row>
    <row r="166" spans="3:32">
      <c r="C166" s="3" t="s">
        <v>1029</v>
      </c>
      <c r="D166" s="18"/>
      <c r="E166" s="3" t="s">
        <v>29</v>
      </c>
      <c r="F166" s="18"/>
      <c r="G166" s="18"/>
      <c r="H166" s="18"/>
      <c r="I166" s="18"/>
      <c r="J166" s="18"/>
      <c r="K166" s="18"/>
      <c r="L166" s="18"/>
      <c r="M166" s="173">
        <v>0</v>
      </c>
      <c r="N166" s="173">
        <v>0</v>
      </c>
      <c r="O166" s="173">
        <v>0</v>
      </c>
      <c r="P166" s="173">
        <v>0</v>
      </c>
      <c r="Q166" s="173">
        <v>0</v>
      </c>
      <c r="R166" s="173">
        <v>0</v>
      </c>
      <c r="S166" s="173">
        <v>-106.97597210091274</v>
      </c>
      <c r="T166" s="173">
        <v>0</v>
      </c>
      <c r="U166" s="173">
        <v>0</v>
      </c>
      <c r="V166" s="173">
        <v>0</v>
      </c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</row>
    <row r="167" spans="3:32">
      <c r="C167" s="3" t="s">
        <v>1030</v>
      </c>
      <c r="D167" s="18"/>
      <c r="E167" s="3" t="s">
        <v>29</v>
      </c>
      <c r="F167" s="18"/>
      <c r="G167" s="18"/>
      <c r="H167" s="18"/>
      <c r="I167" s="18"/>
      <c r="J167" s="18"/>
      <c r="K167" s="18"/>
      <c r="L167" s="18"/>
      <c r="M167" s="173">
        <v>0</v>
      </c>
      <c r="N167" s="173">
        <v>0</v>
      </c>
      <c r="O167" s="173">
        <v>0</v>
      </c>
      <c r="P167" s="173">
        <v>0</v>
      </c>
      <c r="Q167" s="173">
        <v>0</v>
      </c>
      <c r="R167" s="173">
        <v>0</v>
      </c>
      <c r="S167" s="173">
        <v>-65.863</v>
      </c>
      <c r="T167" s="173">
        <v>0</v>
      </c>
      <c r="U167" s="173">
        <v>0</v>
      </c>
      <c r="V167" s="173">
        <v>0</v>
      </c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</row>
    <row r="168" spans="3:32">
      <c r="C168" s="3" t="s">
        <v>1031</v>
      </c>
      <c r="D168" s="18"/>
      <c r="E168" s="3" t="s">
        <v>29</v>
      </c>
      <c r="F168" s="18"/>
      <c r="G168" s="18"/>
      <c r="H168" s="18"/>
      <c r="I168" s="18"/>
      <c r="J168" s="18"/>
      <c r="K168" s="18"/>
      <c r="L168" s="18"/>
      <c r="M168" s="173">
        <v>0</v>
      </c>
      <c r="N168" s="173">
        <v>0</v>
      </c>
      <c r="O168" s="173">
        <v>0</v>
      </c>
      <c r="P168" s="173">
        <v>0</v>
      </c>
      <c r="Q168" s="173">
        <v>0</v>
      </c>
      <c r="R168" s="173">
        <v>0</v>
      </c>
      <c r="S168" s="173">
        <v>-4650.9845367026901</v>
      </c>
      <c r="T168" s="173">
        <v>0</v>
      </c>
      <c r="U168" s="173">
        <v>0</v>
      </c>
      <c r="V168" s="173">
        <v>0</v>
      </c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</row>
    <row r="169" spans="3:32">
      <c r="C169" s="3" t="s">
        <v>1032</v>
      </c>
      <c r="D169" s="18"/>
      <c r="E169" s="3" t="s">
        <v>29</v>
      </c>
      <c r="F169" s="18"/>
      <c r="G169" s="18"/>
      <c r="H169" s="18"/>
      <c r="I169" s="18"/>
      <c r="J169" s="18"/>
      <c r="K169" s="18"/>
      <c r="L169" s="18"/>
      <c r="M169" s="173">
        <v>0</v>
      </c>
      <c r="N169" s="173">
        <v>0</v>
      </c>
      <c r="O169" s="173">
        <v>0</v>
      </c>
      <c r="P169" s="173">
        <v>0</v>
      </c>
      <c r="Q169" s="173">
        <v>0</v>
      </c>
      <c r="R169" s="173">
        <v>0</v>
      </c>
      <c r="S169" s="173">
        <v>0</v>
      </c>
      <c r="T169" s="173">
        <v>0</v>
      </c>
      <c r="U169" s="173">
        <v>0</v>
      </c>
      <c r="V169" s="173">
        <v>0</v>
      </c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</row>
    <row r="170" spans="3:32">
      <c r="D170" s="18"/>
      <c r="E170" s="18"/>
      <c r="F170" s="18"/>
      <c r="G170" s="18"/>
      <c r="H170" s="18"/>
      <c r="I170" s="18"/>
      <c r="J170" s="18"/>
      <c r="K170" s="18"/>
      <c r="L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</row>
    <row r="171" spans="3:32">
      <c r="C171" s="30" t="s">
        <v>5</v>
      </c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</row>
    <row r="172" spans="3:32">
      <c r="C172" s="30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</row>
    <row r="173" spans="3:32">
      <c r="C173" s="1389" t="s">
        <v>1013</v>
      </c>
      <c r="D173" s="1390"/>
      <c r="E173" s="1390"/>
      <c r="F173" s="1390"/>
      <c r="G173" s="1390"/>
      <c r="H173" s="1390"/>
      <c r="I173" s="1390"/>
      <c r="J173" s="1390"/>
      <c r="K173" s="1390"/>
      <c r="L173" s="1390"/>
      <c r="M173" s="1390"/>
      <c r="N173" s="1390"/>
      <c r="O173" s="1390"/>
      <c r="P173" s="1390"/>
      <c r="Q173" s="1390"/>
      <c r="R173" s="1390"/>
      <c r="S173" s="1390"/>
      <c r="T173" s="1390"/>
      <c r="U173" s="1390"/>
      <c r="V173" s="1390"/>
      <c r="W173" s="1390"/>
      <c r="X173" s="1390"/>
      <c r="Y173" s="1390"/>
      <c r="Z173" s="1390"/>
      <c r="AA173" s="1390"/>
      <c r="AB173" s="18"/>
      <c r="AC173" s="18"/>
      <c r="AD173" s="18"/>
      <c r="AE173" s="18"/>
      <c r="AF173" s="18"/>
    </row>
    <row r="174" spans="3:32">
      <c r="C174" s="3" t="s">
        <v>1029</v>
      </c>
      <c r="D174" s="18"/>
      <c r="E174" s="3" t="s">
        <v>29</v>
      </c>
      <c r="F174" s="18"/>
      <c r="G174" s="18"/>
      <c r="H174" s="18"/>
      <c r="I174" s="18"/>
      <c r="J174" s="18"/>
      <c r="K174" s="18"/>
      <c r="L174" s="18"/>
      <c r="M174" s="173">
        <v>0</v>
      </c>
      <c r="N174" s="173">
        <v>0</v>
      </c>
      <c r="O174" s="173">
        <v>0</v>
      </c>
      <c r="P174" s="173">
        <v>0</v>
      </c>
      <c r="Q174" s="173">
        <v>0</v>
      </c>
      <c r="R174" s="173">
        <v>0</v>
      </c>
      <c r="S174" s="173">
        <v>0</v>
      </c>
      <c r="T174" s="173">
        <v>0</v>
      </c>
      <c r="U174" s="173">
        <v>0</v>
      </c>
      <c r="V174" s="173">
        <v>0</v>
      </c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</row>
    <row r="175" spans="3:32">
      <c r="C175" s="3" t="s">
        <v>1030</v>
      </c>
      <c r="D175" s="18"/>
      <c r="E175" s="3" t="s">
        <v>29</v>
      </c>
      <c r="F175" s="18"/>
      <c r="G175" s="18"/>
      <c r="H175" s="18"/>
      <c r="I175" s="18"/>
      <c r="J175" s="18"/>
      <c r="K175" s="18"/>
      <c r="L175" s="18"/>
      <c r="M175" s="173">
        <v>0</v>
      </c>
      <c r="N175" s="173">
        <v>0</v>
      </c>
      <c r="O175" s="173">
        <v>0</v>
      </c>
      <c r="P175" s="173">
        <v>0</v>
      </c>
      <c r="Q175" s="173">
        <v>0</v>
      </c>
      <c r="R175" s="173">
        <v>0</v>
      </c>
      <c r="S175" s="173">
        <v>0</v>
      </c>
      <c r="T175" s="173">
        <v>0</v>
      </c>
      <c r="U175" s="173">
        <v>0</v>
      </c>
      <c r="V175" s="173">
        <v>0</v>
      </c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</row>
    <row r="176" spans="3:32">
      <c r="C176" s="3" t="s">
        <v>1031</v>
      </c>
      <c r="D176" s="18"/>
      <c r="E176" s="3" t="s">
        <v>29</v>
      </c>
      <c r="F176" s="18"/>
      <c r="G176" s="18"/>
      <c r="H176" s="18"/>
      <c r="I176" s="18"/>
      <c r="J176" s="18"/>
      <c r="K176" s="18"/>
      <c r="L176" s="18"/>
      <c r="M176" s="173">
        <v>0</v>
      </c>
      <c r="N176" s="173">
        <v>0</v>
      </c>
      <c r="O176" s="173">
        <v>0</v>
      </c>
      <c r="P176" s="173">
        <v>0</v>
      </c>
      <c r="Q176" s="173">
        <v>0</v>
      </c>
      <c r="R176" s="173">
        <v>0</v>
      </c>
      <c r="S176" s="173">
        <v>0</v>
      </c>
      <c r="T176" s="173">
        <v>0</v>
      </c>
      <c r="U176" s="173">
        <v>0</v>
      </c>
      <c r="V176" s="173">
        <v>0</v>
      </c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</row>
    <row r="177" spans="3:32">
      <c r="C177" s="3" t="s">
        <v>1032</v>
      </c>
      <c r="D177" s="18"/>
      <c r="E177" s="3" t="s">
        <v>29</v>
      </c>
      <c r="F177" s="18"/>
      <c r="G177" s="18"/>
      <c r="H177" s="18"/>
      <c r="I177" s="18"/>
      <c r="J177" s="18"/>
      <c r="K177" s="18"/>
      <c r="L177" s="18"/>
      <c r="M177" s="173">
        <v>0</v>
      </c>
      <c r="N177" s="173">
        <v>0</v>
      </c>
      <c r="O177" s="173">
        <v>0</v>
      </c>
      <c r="P177" s="173">
        <v>0</v>
      </c>
      <c r="Q177" s="173">
        <v>0</v>
      </c>
      <c r="R177" s="173">
        <v>0</v>
      </c>
      <c r="S177" s="173">
        <v>0</v>
      </c>
      <c r="T177" s="173">
        <v>0</v>
      </c>
      <c r="U177" s="173">
        <v>0</v>
      </c>
      <c r="V177" s="173">
        <v>0</v>
      </c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</row>
    <row r="178" spans="3:32">
      <c r="C178" s="30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</row>
    <row r="179" spans="3:32">
      <c r="C179" s="1389" t="s">
        <v>1014</v>
      </c>
      <c r="D179" s="1390"/>
      <c r="E179" s="1390"/>
      <c r="F179" s="1390"/>
      <c r="G179" s="1390"/>
      <c r="H179" s="1390"/>
      <c r="I179" s="1390"/>
      <c r="J179" s="1390"/>
      <c r="K179" s="1390"/>
      <c r="L179" s="1390"/>
      <c r="M179" s="1390"/>
      <c r="N179" s="1390"/>
      <c r="O179" s="1390"/>
      <c r="P179" s="1390"/>
      <c r="Q179" s="1390"/>
      <c r="R179" s="1390"/>
      <c r="S179" s="1390"/>
      <c r="T179" s="1390"/>
      <c r="U179" s="1390"/>
      <c r="V179" s="1390"/>
      <c r="W179" s="1390"/>
      <c r="X179" s="1390"/>
      <c r="Y179" s="1390"/>
      <c r="Z179" s="1390"/>
      <c r="AA179" s="1390"/>
      <c r="AB179" s="18"/>
      <c r="AC179" s="18"/>
      <c r="AD179" s="18"/>
      <c r="AE179" s="18"/>
      <c r="AF179" s="18"/>
    </row>
    <row r="180" spans="3:32">
      <c r="C180" s="3" t="s">
        <v>1029</v>
      </c>
      <c r="D180" s="18"/>
      <c r="E180" s="3" t="s">
        <v>29</v>
      </c>
      <c r="F180" s="18"/>
      <c r="G180" s="18"/>
      <c r="H180" s="18"/>
      <c r="I180" s="18"/>
      <c r="J180" s="18"/>
      <c r="K180" s="18"/>
      <c r="L180" s="18"/>
      <c r="M180" s="173">
        <v>0</v>
      </c>
      <c r="N180" s="173">
        <v>0</v>
      </c>
      <c r="O180" s="173">
        <v>0</v>
      </c>
      <c r="P180" s="173">
        <v>0</v>
      </c>
      <c r="Q180" s="173">
        <v>0</v>
      </c>
      <c r="R180" s="173">
        <v>0</v>
      </c>
      <c r="S180" s="173">
        <v>0</v>
      </c>
      <c r="T180" s="173">
        <v>0</v>
      </c>
      <c r="U180" s="173">
        <v>0</v>
      </c>
      <c r="V180" s="173">
        <v>0</v>
      </c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</row>
    <row r="181" spans="3:32">
      <c r="C181" s="3" t="s">
        <v>1030</v>
      </c>
      <c r="D181" s="18"/>
      <c r="E181" s="3" t="s">
        <v>29</v>
      </c>
      <c r="F181" s="18"/>
      <c r="G181" s="18"/>
      <c r="H181" s="18"/>
      <c r="I181" s="18"/>
      <c r="J181" s="18"/>
      <c r="K181" s="18"/>
      <c r="L181" s="18"/>
      <c r="M181" s="173">
        <v>0</v>
      </c>
      <c r="N181" s="173">
        <v>0</v>
      </c>
      <c r="O181" s="173">
        <v>0</v>
      </c>
      <c r="P181" s="173">
        <v>0</v>
      </c>
      <c r="Q181" s="173">
        <v>0</v>
      </c>
      <c r="R181" s="173">
        <v>0</v>
      </c>
      <c r="S181" s="173">
        <v>0</v>
      </c>
      <c r="T181" s="173">
        <v>0</v>
      </c>
      <c r="U181" s="173">
        <v>0</v>
      </c>
      <c r="V181" s="173">
        <v>0</v>
      </c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</row>
    <row r="182" spans="3:32">
      <c r="C182" s="3" t="s">
        <v>1031</v>
      </c>
      <c r="D182" s="18"/>
      <c r="E182" s="3" t="s">
        <v>29</v>
      </c>
      <c r="F182" s="18"/>
      <c r="G182" s="18"/>
      <c r="H182" s="18"/>
      <c r="I182" s="18"/>
      <c r="J182" s="18"/>
      <c r="K182" s="18"/>
      <c r="L182" s="18"/>
      <c r="M182" s="173">
        <v>0</v>
      </c>
      <c r="N182" s="173">
        <v>0</v>
      </c>
      <c r="O182" s="173">
        <v>0</v>
      </c>
      <c r="P182" s="173">
        <v>0</v>
      </c>
      <c r="Q182" s="173">
        <v>0</v>
      </c>
      <c r="R182" s="173">
        <v>0</v>
      </c>
      <c r="S182" s="173">
        <v>0</v>
      </c>
      <c r="T182" s="173">
        <v>0</v>
      </c>
      <c r="U182" s="173">
        <v>0</v>
      </c>
      <c r="V182" s="173">
        <v>0</v>
      </c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</row>
    <row r="183" spans="3:32">
      <c r="C183" s="3" t="s">
        <v>1032</v>
      </c>
      <c r="D183" s="18"/>
      <c r="E183" s="3" t="s">
        <v>29</v>
      </c>
      <c r="F183" s="18"/>
      <c r="G183" s="18"/>
      <c r="H183" s="18"/>
      <c r="I183" s="18"/>
      <c r="J183" s="18"/>
      <c r="K183" s="18"/>
      <c r="L183" s="18"/>
      <c r="M183" s="173">
        <v>0</v>
      </c>
      <c r="N183" s="173">
        <v>0</v>
      </c>
      <c r="O183" s="173">
        <v>0</v>
      </c>
      <c r="P183" s="173">
        <v>0</v>
      </c>
      <c r="Q183" s="173">
        <v>0</v>
      </c>
      <c r="R183" s="173">
        <v>0</v>
      </c>
      <c r="S183" s="173">
        <v>0</v>
      </c>
      <c r="T183" s="173">
        <v>0</v>
      </c>
      <c r="U183" s="173">
        <v>0</v>
      </c>
      <c r="V183" s="173">
        <v>0</v>
      </c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</row>
    <row r="184" spans="3:32">
      <c r="D184" s="18"/>
      <c r="E184" s="18"/>
      <c r="F184" s="18"/>
      <c r="G184" s="18"/>
      <c r="H184" s="18"/>
      <c r="I184" s="18"/>
      <c r="J184" s="18"/>
      <c r="K184" s="18"/>
      <c r="L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</row>
    <row r="185" spans="3:32">
      <c r="C185" s="30" t="s">
        <v>105</v>
      </c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</row>
    <row r="186" spans="3:32">
      <c r="C186" s="30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</row>
    <row r="187" spans="3:32">
      <c r="C187" s="1389" t="s">
        <v>1013</v>
      </c>
      <c r="D187" s="1390"/>
      <c r="E187" s="1390"/>
      <c r="F187" s="1390"/>
      <c r="G187" s="1390"/>
      <c r="H187" s="1390"/>
      <c r="I187" s="1390"/>
      <c r="J187" s="1390"/>
      <c r="K187" s="1390"/>
      <c r="L187" s="1390"/>
      <c r="M187" s="1390"/>
      <c r="N187" s="1390"/>
      <c r="O187" s="1390"/>
      <c r="P187" s="1390"/>
      <c r="Q187" s="1390"/>
      <c r="R187" s="1390"/>
      <c r="S187" s="1390"/>
      <c r="T187" s="1390"/>
      <c r="U187" s="1390"/>
      <c r="V187" s="1390"/>
      <c r="W187" s="1390"/>
      <c r="X187" s="1390"/>
      <c r="Y187" s="1390"/>
      <c r="Z187" s="1390"/>
      <c r="AA187" s="1390"/>
      <c r="AB187" s="18"/>
      <c r="AC187" s="18"/>
      <c r="AD187" s="18"/>
      <c r="AE187" s="18"/>
      <c r="AF187" s="18"/>
    </row>
    <row r="188" spans="3:32">
      <c r="C188" s="3" t="s">
        <v>1029</v>
      </c>
      <c r="D188" s="18"/>
      <c r="E188" s="3" t="s">
        <v>29</v>
      </c>
      <c r="F188" s="18"/>
      <c r="G188" s="18"/>
      <c r="H188" s="18"/>
      <c r="I188" s="18"/>
      <c r="J188" s="18"/>
      <c r="K188" s="18"/>
      <c r="L188" s="18"/>
      <c r="M188" s="173">
        <v>0</v>
      </c>
      <c r="N188" s="173">
        <v>0</v>
      </c>
      <c r="O188" s="173">
        <v>0</v>
      </c>
      <c r="P188" s="173">
        <v>0</v>
      </c>
      <c r="Q188" s="173">
        <v>0</v>
      </c>
      <c r="R188" s="173">
        <v>0</v>
      </c>
      <c r="S188" s="173">
        <v>0</v>
      </c>
      <c r="T188" s="173">
        <v>0</v>
      </c>
      <c r="U188" s="173">
        <v>0</v>
      </c>
      <c r="V188" s="173">
        <v>0</v>
      </c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</row>
    <row r="189" spans="3:32">
      <c r="C189" s="3" t="s">
        <v>1030</v>
      </c>
      <c r="D189" s="18"/>
      <c r="E189" s="3" t="s">
        <v>29</v>
      </c>
      <c r="F189" s="18"/>
      <c r="G189" s="18"/>
      <c r="H189" s="18"/>
      <c r="I189" s="18"/>
      <c r="J189" s="18"/>
      <c r="K189" s="18"/>
      <c r="L189" s="18"/>
      <c r="M189" s="173">
        <v>0</v>
      </c>
      <c r="N189" s="173">
        <v>0</v>
      </c>
      <c r="O189" s="173">
        <v>0</v>
      </c>
      <c r="P189" s="173">
        <v>0</v>
      </c>
      <c r="Q189" s="173">
        <v>0</v>
      </c>
      <c r="R189" s="173">
        <v>0</v>
      </c>
      <c r="S189" s="173">
        <v>0</v>
      </c>
      <c r="T189" s="173">
        <v>0</v>
      </c>
      <c r="U189" s="173">
        <v>0</v>
      </c>
      <c r="V189" s="173">
        <v>0</v>
      </c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</row>
    <row r="190" spans="3:32">
      <c r="C190" s="3" t="s">
        <v>1031</v>
      </c>
      <c r="D190" s="18"/>
      <c r="E190" s="3" t="s">
        <v>29</v>
      </c>
      <c r="F190" s="18"/>
      <c r="G190" s="18"/>
      <c r="H190" s="18"/>
      <c r="I190" s="18"/>
      <c r="J190" s="18"/>
      <c r="K190" s="18"/>
      <c r="L190" s="18"/>
      <c r="M190" s="173">
        <v>0</v>
      </c>
      <c r="N190" s="173">
        <v>0</v>
      </c>
      <c r="O190" s="173">
        <v>0</v>
      </c>
      <c r="P190" s="173">
        <v>0</v>
      </c>
      <c r="Q190" s="173">
        <v>0</v>
      </c>
      <c r="R190" s="173">
        <v>0</v>
      </c>
      <c r="S190" s="173">
        <v>0</v>
      </c>
      <c r="T190" s="173">
        <v>0</v>
      </c>
      <c r="U190" s="173">
        <v>0</v>
      </c>
      <c r="V190" s="173">
        <v>0</v>
      </c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</row>
    <row r="191" spans="3:32">
      <c r="C191" s="3" t="s">
        <v>1032</v>
      </c>
      <c r="D191" s="18"/>
      <c r="E191" s="3" t="s">
        <v>29</v>
      </c>
      <c r="F191" s="18"/>
      <c r="G191" s="18"/>
      <c r="H191" s="18"/>
      <c r="I191" s="18"/>
      <c r="J191" s="18"/>
      <c r="K191" s="18"/>
      <c r="L191" s="18"/>
      <c r="M191" s="173">
        <v>0</v>
      </c>
      <c r="N191" s="173">
        <v>0</v>
      </c>
      <c r="O191" s="173">
        <v>0</v>
      </c>
      <c r="P191" s="173">
        <v>0</v>
      </c>
      <c r="Q191" s="173">
        <v>0</v>
      </c>
      <c r="R191" s="173">
        <v>0</v>
      </c>
      <c r="S191" s="173">
        <v>0</v>
      </c>
      <c r="T191" s="173">
        <v>0</v>
      </c>
      <c r="U191" s="173">
        <v>0</v>
      </c>
      <c r="V191" s="173">
        <v>0</v>
      </c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</row>
    <row r="192" spans="3:32">
      <c r="C192" s="30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</row>
    <row r="193" spans="3:32">
      <c r="C193" s="1389" t="s">
        <v>1014</v>
      </c>
      <c r="D193" s="1390"/>
      <c r="E193" s="1390"/>
      <c r="F193" s="1390"/>
      <c r="G193" s="1390"/>
      <c r="H193" s="1390"/>
      <c r="I193" s="1390"/>
      <c r="J193" s="1390"/>
      <c r="K193" s="1390"/>
      <c r="L193" s="1390"/>
      <c r="M193" s="1390"/>
      <c r="N193" s="1390"/>
      <c r="O193" s="1390"/>
      <c r="P193" s="1390"/>
      <c r="Q193" s="1390"/>
      <c r="R193" s="1390"/>
      <c r="S193" s="1390"/>
      <c r="T193" s="1390"/>
      <c r="U193" s="1390"/>
      <c r="V193" s="1390"/>
      <c r="W193" s="1390"/>
      <c r="X193" s="1390"/>
      <c r="Y193" s="1390"/>
      <c r="Z193" s="1390"/>
      <c r="AA193" s="1390"/>
      <c r="AB193" s="18"/>
      <c r="AC193" s="18"/>
      <c r="AD193" s="18"/>
      <c r="AE193" s="18"/>
      <c r="AF193" s="18"/>
    </row>
    <row r="194" spans="3:32">
      <c r="C194" s="3" t="s">
        <v>1029</v>
      </c>
      <c r="D194" s="18"/>
      <c r="E194" s="3" t="s">
        <v>29</v>
      </c>
      <c r="F194" s="18"/>
      <c r="G194" s="18"/>
      <c r="H194" s="18"/>
      <c r="I194" s="18"/>
      <c r="J194" s="18"/>
      <c r="K194" s="18"/>
      <c r="L194" s="18"/>
      <c r="M194" s="173">
        <v>0</v>
      </c>
      <c r="N194" s="173">
        <v>0</v>
      </c>
      <c r="O194" s="173">
        <v>0</v>
      </c>
      <c r="P194" s="173">
        <v>0</v>
      </c>
      <c r="Q194" s="173">
        <v>0</v>
      </c>
      <c r="R194" s="173">
        <v>0</v>
      </c>
      <c r="S194" s="173">
        <v>0</v>
      </c>
      <c r="T194" s="173">
        <v>0</v>
      </c>
      <c r="U194" s="173">
        <v>0</v>
      </c>
      <c r="V194" s="173">
        <v>0</v>
      </c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</row>
    <row r="195" spans="3:32">
      <c r="C195" s="3" t="s">
        <v>1030</v>
      </c>
      <c r="D195" s="18"/>
      <c r="E195" s="3" t="s">
        <v>29</v>
      </c>
      <c r="F195" s="18"/>
      <c r="G195" s="18"/>
      <c r="H195" s="18"/>
      <c r="I195" s="18"/>
      <c r="J195" s="18"/>
      <c r="K195" s="18"/>
      <c r="L195" s="18"/>
      <c r="M195" s="173">
        <v>0</v>
      </c>
      <c r="N195" s="173">
        <v>0</v>
      </c>
      <c r="O195" s="173">
        <v>0</v>
      </c>
      <c r="P195" s="173">
        <v>0</v>
      </c>
      <c r="Q195" s="173">
        <v>0</v>
      </c>
      <c r="R195" s="173">
        <v>0</v>
      </c>
      <c r="S195" s="173">
        <v>0</v>
      </c>
      <c r="T195" s="173">
        <v>0</v>
      </c>
      <c r="U195" s="173">
        <v>0</v>
      </c>
      <c r="V195" s="173">
        <v>0</v>
      </c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</row>
    <row r="196" spans="3:32">
      <c r="C196" s="3" t="s">
        <v>1031</v>
      </c>
      <c r="D196" s="18"/>
      <c r="E196" s="3" t="s">
        <v>29</v>
      </c>
      <c r="F196" s="18"/>
      <c r="G196" s="18"/>
      <c r="H196" s="18"/>
      <c r="I196" s="18"/>
      <c r="J196" s="18"/>
      <c r="K196" s="18"/>
      <c r="L196" s="18"/>
      <c r="M196" s="173">
        <v>0</v>
      </c>
      <c r="N196" s="173">
        <v>0</v>
      </c>
      <c r="O196" s="173">
        <v>0</v>
      </c>
      <c r="P196" s="173">
        <v>0</v>
      </c>
      <c r="Q196" s="173">
        <v>0</v>
      </c>
      <c r="R196" s="173">
        <v>0</v>
      </c>
      <c r="S196" s="173">
        <v>0</v>
      </c>
      <c r="T196" s="173">
        <v>0</v>
      </c>
      <c r="U196" s="173">
        <v>0</v>
      </c>
      <c r="V196" s="173">
        <v>0</v>
      </c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</row>
    <row r="197" spans="3:32">
      <c r="C197" s="3" t="s">
        <v>1032</v>
      </c>
      <c r="D197" s="18"/>
      <c r="E197" s="3" t="s">
        <v>29</v>
      </c>
      <c r="F197" s="18"/>
      <c r="G197" s="18"/>
      <c r="H197" s="18"/>
      <c r="I197" s="18"/>
      <c r="J197" s="18"/>
      <c r="K197" s="18"/>
      <c r="L197" s="18"/>
      <c r="M197" s="173">
        <v>0</v>
      </c>
      <c r="N197" s="173">
        <v>0</v>
      </c>
      <c r="O197" s="173">
        <v>0</v>
      </c>
      <c r="P197" s="173">
        <v>0</v>
      </c>
      <c r="Q197" s="173">
        <v>0</v>
      </c>
      <c r="R197" s="173">
        <v>0</v>
      </c>
      <c r="S197" s="173">
        <v>0</v>
      </c>
      <c r="T197" s="173">
        <v>0</v>
      </c>
      <c r="U197" s="173">
        <v>0</v>
      </c>
      <c r="V197" s="173">
        <v>0</v>
      </c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</row>
    <row r="198" spans="3:32">
      <c r="D198" s="18"/>
      <c r="E198" s="18"/>
      <c r="F198" s="18"/>
      <c r="G198" s="18"/>
      <c r="H198" s="18"/>
      <c r="I198" s="18"/>
      <c r="J198" s="18"/>
      <c r="K198" s="18"/>
      <c r="L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</row>
    <row r="199" spans="3:32" ht="13.5" thickBot="1">
      <c r="C199" s="6" t="s">
        <v>1033</v>
      </c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</row>
    <row r="200" spans="3:32">
      <c r="C200" s="30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</row>
    <row r="201" spans="3:32">
      <c r="C201" s="30" t="s">
        <v>1034</v>
      </c>
      <c r="H201" s="17" t="s">
        <v>1035</v>
      </c>
    </row>
    <row r="203" spans="3:32">
      <c r="C203" s="1389" t="s">
        <v>1036</v>
      </c>
    </row>
    <row r="204" spans="3:32">
      <c r="C204" s="836">
        <v>7</v>
      </c>
      <c r="U204" s="837">
        <f t="shared" ref="U204:AB204" si="9">IF((U4-$T$4)&gt;$C$204,0,1)</f>
        <v>1</v>
      </c>
      <c r="V204" s="837">
        <f t="shared" si="9"/>
        <v>1</v>
      </c>
      <c r="W204" s="837">
        <f t="shared" si="9"/>
        <v>1</v>
      </c>
      <c r="X204" s="837">
        <f t="shared" si="9"/>
        <v>1</v>
      </c>
      <c r="Y204" s="837">
        <f t="shared" si="9"/>
        <v>1</v>
      </c>
      <c r="Z204" s="837">
        <f t="shared" si="9"/>
        <v>1</v>
      </c>
      <c r="AA204" s="837">
        <f t="shared" si="9"/>
        <v>1</v>
      </c>
      <c r="AB204" s="837">
        <f t="shared" si="9"/>
        <v>0</v>
      </c>
    </row>
    <row r="206" spans="3:32">
      <c r="C206" s="30" t="s">
        <v>13</v>
      </c>
    </row>
    <row r="207" spans="3:32">
      <c r="C207" s="18" t="s">
        <v>1013</v>
      </c>
      <c r="E207" s="3" t="s">
        <v>29</v>
      </c>
      <c r="H207" s="1556">
        <f>'ERT ANSP'!$C$63</f>
        <v>57969.80235520011</v>
      </c>
      <c r="U207" s="210">
        <f>U$204*$H207/SUM($U$204:$AB$204)</f>
        <v>8281.4003364571581</v>
      </c>
      <c r="V207" s="210">
        <f t="shared" ref="V207:AB212" si="10">V$204*$H207/SUM($U$204:$AB$204)</f>
        <v>8281.4003364571581</v>
      </c>
      <c r="W207" s="210">
        <f t="shared" si="10"/>
        <v>8281.4003364571581</v>
      </c>
      <c r="X207" s="210">
        <f t="shared" si="10"/>
        <v>8281.4003364571581</v>
      </c>
      <c r="Y207" s="210">
        <f t="shared" si="10"/>
        <v>8281.4003364571581</v>
      </c>
      <c r="Z207" s="210">
        <f t="shared" si="10"/>
        <v>8281.4003364571581</v>
      </c>
      <c r="AA207" s="210">
        <f t="shared" si="10"/>
        <v>8281.4003364571581</v>
      </c>
      <c r="AB207" s="210">
        <f t="shared" si="10"/>
        <v>0</v>
      </c>
      <c r="AC207" s="210"/>
    </row>
    <row r="208" spans="3:32">
      <c r="C208" s="18" t="s">
        <v>1014</v>
      </c>
      <c r="E208" s="3" t="s">
        <v>29</v>
      </c>
      <c r="H208" s="1556">
        <f>'TRM ANSP'!$C$63</f>
        <v>7022.9660049365984</v>
      </c>
      <c r="U208" s="210">
        <f>U$204*$H208/SUM($U$204:$AB$204)</f>
        <v>1003.2808578480855</v>
      </c>
      <c r="V208" s="210">
        <f t="shared" si="10"/>
        <v>1003.2808578480855</v>
      </c>
      <c r="W208" s="210">
        <f t="shared" si="10"/>
        <v>1003.2808578480855</v>
      </c>
      <c r="X208" s="210">
        <f t="shared" si="10"/>
        <v>1003.2808578480855</v>
      </c>
      <c r="Y208" s="210">
        <f t="shared" si="10"/>
        <v>1003.2808578480855</v>
      </c>
      <c r="Z208" s="210">
        <f t="shared" si="10"/>
        <v>1003.2808578480855</v>
      </c>
      <c r="AA208" s="210">
        <f t="shared" si="10"/>
        <v>1003.2808578480855</v>
      </c>
      <c r="AB208" s="210">
        <f t="shared" si="10"/>
        <v>0</v>
      </c>
      <c r="AC208" s="210"/>
    </row>
    <row r="209" spans="2:32">
      <c r="C209" s="30"/>
      <c r="E209" s="18"/>
    </row>
    <row r="210" spans="2:32">
      <c r="C210" s="30" t="s">
        <v>5</v>
      </c>
      <c r="E210" s="18"/>
      <c r="U210" s="210"/>
      <c r="V210" s="210"/>
      <c r="W210" s="210"/>
      <c r="X210" s="210"/>
      <c r="Y210" s="210"/>
      <c r="Z210" s="210"/>
      <c r="AA210" s="210"/>
      <c r="AB210" s="210"/>
    </row>
    <row r="211" spans="2:32">
      <c r="C211" s="18" t="s">
        <v>1013</v>
      </c>
      <c r="E211" s="3" t="s">
        <v>29</v>
      </c>
      <c r="H211" s="1556">
        <f>'ERT MET'!$C$63</f>
        <v>7715.4179163641829</v>
      </c>
      <c r="U211" s="210">
        <f>U$204*$H211/SUM($U$204:$AB$204)</f>
        <v>1102.2025594805975</v>
      </c>
      <c r="V211" s="210">
        <f t="shared" si="10"/>
        <v>1102.2025594805975</v>
      </c>
      <c r="W211" s="210">
        <f t="shared" si="10"/>
        <v>1102.2025594805975</v>
      </c>
      <c r="X211" s="210">
        <f t="shared" si="10"/>
        <v>1102.2025594805975</v>
      </c>
      <c r="Y211" s="210">
        <f t="shared" si="10"/>
        <v>1102.2025594805975</v>
      </c>
      <c r="Z211" s="210">
        <f t="shared" si="10"/>
        <v>1102.2025594805975</v>
      </c>
      <c r="AA211" s="210">
        <f t="shared" si="10"/>
        <v>1102.2025594805975</v>
      </c>
      <c r="AB211" s="210">
        <f t="shared" si="10"/>
        <v>0</v>
      </c>
    </row>
    <row r="212" spans="2:32">
      <c r="C212" s="18" t="s">
        <v>1014</v>
      </c>
      <c r="E212" s="3" t="s">
        <v>29</v>
      </c>
      <c r="H212" s="1556">
        <f>'TRM MET'!$C$63</f>
        <v>2072.9620929476791</v>
      </c>
      <c r="U212" s="210">
        <f>U$204*$H212/SUM($U$204:$AB$204)</f>
        <v>296.13744184966845</v>
      </c>
      <c r="V212" s="210">
        <f t="shared" si="10"/>
        <v>296.13744184966845</v>
      </c>
      <c r="W212" s="210">
        <f t="shared" si="10"/>
        <v>296.13744184966845</v>
      </c>
      <c r="X212" s="210">
        <f t="shared" si="10"/>
        <v>296.13744184966845</v>
      </c>
      <c r="Y212" s="210">
        <f t="shared" si="10"/>
        <v>296.13744184966845</v>
      </c>
      <c r="Z212" s="210">
        <f t="shared" si="10"/>
        <v>296.13744184966845</v>
      </c>
      <c r="AA212" s="210">
        <f t="shared" si="10"/>
        <v>296.13744184966845</v>
      </c>
      <c r="AB212" s="210">
        <f t="shared" si="10"/>
        <v>0</v>
      </c>
    </row>
    <row r="213" spans="2:32">
      <c r="C213" s="30"/>
      <c r="E213" s="18"/>
    </row>
    <row r="214" spans="2:32">
      <c r="C214" s="30" t="s">
        <v>105</v>
      </c>
    </row>
    <row r="215" spans="2:32">
      <c r="C215" s="18" t="s">
        <v>1013</v>
      </c>
      <c r="E215" s="3" t="s">
        <v>29</v>
      </c>
      <c r="H215" s="1556">
        <f>'ERT Supervision'!$C$63</f>
        <v>12662.769070324577</v>
      </c>
      <c r="U215" s="210">
        <f>U$204*$H215/SUM($U$204:$AB$204)</f>
        <v>1808.9670100463682</v>
      </c>
      <c r="V215" s="210">
        <f t="shared" ref="V215:AB216" si="11">V$204*$H215/SUM($U$204:$AB$204)</f>
        <v>1808.9670100463682</v>
      </c>
      <c r="W215" s="210">
        <f t="shared" si="11"/>
        <v>1808.9670100463682</v>
      </c>
      <c r="X215" s="210">
        <f t="shared" si="11"/>
        <v>1808.9670100463682</v>
      </c>
      <c r="Y215" s="210">
        <f t="shared" si="11"/>
        <v>1808.9670100463682</v>
      </c>
      <c r="Z215" s="210">
        <f t="shared" si="11"/>
        <v>1808.9670100463682</v>
      </c>
      <c r="AA215" s="210">
        <f t="shared" si="11"/>
        <v>1808.9670100463682</v>
      </c>
      <c r="AB215" s="210">
        <f t="shared" si="11"/>
        <v>0</v>
      </c>
    </row>
    <row r="216" spans="2:32">
      <c r="C216" s="18" t="s">
        <v>1014</v>
      </c>
      <c r="E216" s="3" t="s">
        <v>29</v>
      </c>
      <c r="H216" s="1556">
        <f>'TRM Supervision'!$C$63</f>
        <v>341.63112407452479</v>
      </c>
      <c r="U216" s="210">
        <f>U$204*$H216/SUM($U$204:$AB$204)</f>
        <v>48.804446296360688</v>
      </c>
      <c r="V216" s="210">
        <f t="shared" si="11"/>
        <v>48.804446296360688</v>
      </c>
      <c r="W216" s="210">
        <f t="shared" si="11"/>
        <v>48.804446296360688</v>
      </c>
      <c r="X216" s="210">
        <f t="shared" si="11"/>
        <v>48.804446296360688</v>
      </c>
      <c r="Y216" s="210">
        <f t="shared" si="11"/>
        <v>48.804446296360688</v>
      </c>
      <c r="Z216" s="210">
        <f t="shared" si="11"/>
        <v>48.804446296360688</v>
      </c>
      <c r="AA216" s="210">
        <f t="shared" si="11"/>
        <v>48.804446296360688</v>
      </c>
      <c r="AB216" s="210">
        <f t="shared" si="11"/>
        <v>0</v>
      </c>
    </row>
    <row r="218" spans="2:32">
      <c r="B218" s="5" t="s">
        <v>60</v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</row>
  </sheetData>
  <dataValidations count="1">
    <dataValidation type="list" allowBlank="1" showInputMessage="1" showErrorMessage="1" sqref="E29:E32" xr:uid="{242C6536-301A-419D-AE7B-D7C97FA642D0}">
      <formula1>"0,1"</formula1>
    </dataValidation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BC01A-ED4C-4F4F-91EE-BB001F2C5F60}">
  <sheetPr>
    <tabColor theme="4"/>
    <pageSetUpPr fitToPage="1"/>
  </sheetPr>
  <dimension ref="A1:Z536"/>
  <sheetViews>
    <sheetView topLeftCell="A88" zoomScale="115" zoomScaleNormal="115" workbookViewId="0">
      <selection activeCell="E99" sqref="E99"/>
    </sheetView>
  </sheetViews>
  <sheetFormatPr defaultColWidth="12.54296875" defaultRowHeight="14.5"/>
  <cols>
    <col min="1" max="1" width="12.54296875" style="683" customWidth="1"/>
    <col min="2" max="2" width="2.1796875" style="684" customWidth="1"/>
    <col min="3" max="3" width="43.26953125" style="684" customWidth="1"/>
    <col min="4" max="4" width="7.7265625" style="684" customWidth="1"/>
    <col min="5" max="5" width="10" style="684" customWidth="1"/>
    <col min="6" max="6" width="10" style="686" customWidth="1"/>
    <col min="7" max="9" width="10" style="684" customWidth="1"/>
    <col min="10" max="10" width="10.7265625" style="684" customWidth="1"/>
    <col min="11" max="11" width="3.453125" style="684" customWidth="1"/>
    <col min="12" max="12" width="33.1796875" style="684" customWidth="1"/>
    <col min="13" max="17" width="7.7265625" style="684" customWidth="1"/>
    <col min="18" max="16384" width="12.54296875" style="684"/>
  </cols>
  <sheetData>
    <row r="1" spans="1:26" ht="12" customHeight="1">
      <c r="C1" s="1679" t="s">
        <v>1037</v>
      </c>
      <c r="D1" s="1679"/>
      <c r="E1" s="1679"/>
      <c r="F1" s="1679"/>
      <c r="G1" s="1679"/>
      <c r="H1" s="1679"/>
      <c r="I1" s="1679"/>
      <c r="J1" s="1679"/>
      <c r="K1" s="685"/>
      <c r="L1" s="685"/>
      <c r="M1" s="685"/>
      <c r="N1" s="685"/>
      <c r="O1" s="685"/>
      <c r="P1" s="685"/>
    </row>
    <row r="2" spans="1:26" ht="12" customHeight="1">
      <c r="C2" s="1653"/>
      <c r="D2" s="1653"/>
      <c r="E2" s="1653"/>
      <c r="G2" s="1653"/>
      <c r="H2" s="1653"/>
      <c r="I2" s="1653"/>
      <c r="J2" s="1653"/>
      <c r="K2" s="1653"/>
    </row>
    <row r="3" spans="1:26" ht="12" customHeight="1">
      <c r="C3" s="1391" t="s">
        <v>985</v>
      </c>
      <c r="D3" s="1653"/>
      <c r="E3" s="1653"/>
      <c r="G3" s="1653"/>
      <c r="H3" s="1653"/>
      <c r="I3" s="1653"/>
      <c r="J3" s="1653"/>
      <c r="K3" s="1653"/>
    </row>
    <row r="4" spans="1:26" ht="12" customHeight="1">
      <c r="C4" s="687" t="s">
        <v>986</v>
      </c>
      <c r="D4" s="1653"/>
      <c r="E4" s="1653"/>
      <c r="G4" s="1653"/>
      <c r="H4" s="1653"/>
      <c r="I4" s="1653"/>
      <c r="J4" s="1653"/>
      <c r="K4" s="1653"/>
    </row>
    <row r="5" spans="1:26" ht="12" customHeight="1">
      <c r="C5" s="688" t="s">
        <v>1038</v>
      </c>
      <c r="D5" s="1653"/>
      <c r="E5" s="689"/>
      <c r="G5" s="690"/>
      <c r="H5" s="1653"/>
      <c r="I5" s="1653"/>
      <c r="J5" s="1653"/>
      <c r="K5" s="1653"/>
    </row>
    <row r="6" spans="1:26" ht="12" customHeight="1">
      <c r="C6" s="691"/>
      <c r="D6" s="691"/>
      <c r="E6" s="691"/>
      <c r="F6" s="691"/>
      <c r="G6" s="691"/>
      <c r="H6" s="691"/>
      <c r="I6" s="691"/>
      <c r="J6" s="691"/>
      <c r="K6" s="691"/>
    </row>
    <row r="7" spans="1:26" ht="12" customHeight="1">
      <c r="A7" s="751" t="s">
        <v>13</v>
      </c>
      <c r="B7" s="751"/>
      <c r="C7" s="751"/>
      <c r="D7" s="751"/>
      <c r="E7" s="751"/>
      <c r="F7" s="751"/>
      <c r="G7" s="751"/>
      <c r="H7" s="751"/>
      <c r="I7" s="751"/>
      <c r="J7" s="751"/>
      <c r="K7" s="751"/>
      <c r="L7" s="751"/>
      <c r="M7" s="751"/>
      <c r="N7" s="751"/>
      <c r="O7" s="751"/>
      <c r="P7" s="751"/>
      <c r="Q7" s="751"/>
      <c r="R7" s="751"/>
      <c r="S7" s="751"/>
      <c r="T7" s="751"/>
      <c r="U7" s="751"/>
      <c r="V7" s="751"/>
      <c r="W7" s="751"/>
      <c r="X7" s="751"/>
      <c r="Y7" s="751"/>
      <c r="Z7" s="751"/>
    </row>
    <row r="8" spans="1:26" s="749" customFormat="1" ht="12" customHeight="1">
      <c r="A8" s="748"/>
      <c r="C8" s="691"/>
      <c r="D8" s="691"/>
      <c r="E8" s="691"/>
      <c r="F8" s="691"/>
      <c r="G8" s="691"/>
      <c r="H8" s="691"/>
      <c r="I8" s="691"/>
      <c r="J8" s="691"/>
      <c r="K8" s="691"/>
    </row>
    <row r="9" spans="1:26" ht="12" customHeight="1">
      <c r="C9" s="750" t="s">
        <v>23</v>
      </c>
      <c r="D9" s="750"/>
      <c r="E9" s="750"/>
      <c r="F9" s="750"/>
      <c r="G9" s="750"/>
      <c r="H9" s="750"/>
      <c r="I9" s="750"/>
      <c r="J9" s="750"/>
      <c r="K9" s="691"/>
      <c r="L9" s="750" t="s">
        <v>24</v>
      </c>
      <c r="M9" s="750"/>
      <c r="N9" s="750"/>
      <c r="O9" s="750"/>
      <c r="P9" s="750"/>
      <c r="Q9" s="750"/>
      <c r="R9" s="750"/>
      <c r="S9" s="750"/>
    </row>
    <row r="10" spans="1:26" ht="12" customHeight="1">
      <c r="A10" s="683" t="s">
        <v>1039</v>
      </c>
      <c r="B10" s="683"/>
      <c r="C10" s="1557" t="s">
        <v>1040</v>
      </c>
      <c r="D10" s="1392" t="s">
        <v>1041</v>
      </c>
      <c r="E10" s="692">
        <v>2020</v>
      </c>
      <c r="F10" s="693">
        <v>2021</v>
      </c>
      <c r="G10" s="693">
        <v>2022</v>
      </c>
      <c r="H10" s="693">
        <v>2023</v>
      </c>
      <c r="I10" s="694">
        <v>2024</v>
      </c>
      <c r="J10" s="1557" t="s">
        <v>1042</v>
      </c>
      <c r="K10" s="1653"/>
      <c r="L10" s="1557" t="s">
        <v>1040</v>
      </c>
      <c r="M10" s="1392" t="s">
        <v>1041</v>
      </c>
      <c r="N10" s="692">
        <v>2020</v>
      </c>
      <c r="O10" s="693">
        <v>2021</v>
      </c>
      <c r="P10" s="693">
        <v>2022</v>
      </c>
      <c r="Q10" s="693">
        <v>2023</v>
      </c>
      <c r="R10" s="694">
        <v>2024</v>
      </c>
      <c r="S10" s="1557" t="s">
        <v>1042</v>
      </c>
    </row>
    <row r="11" spans="1:26" ht="11.15" customHeight="1">
      <c r="B11" s="683"/>
      <c r="C11" s="1393"/>
      <c r="D11" s="1393"/>
      <c r="E11" s="1393"/>
      <c r="F11" s="1393"/>
      <c r="G11" s="1393"/>
      <c r="H11" s="1393"/>
      <c r="I11" s="1393"/>
      <c r="J11" s="1393"/>
      <c r="K11" s="1653"/>
      <c r="L11" s="1393"/>
      <c r="M11" s="1393"/>
      <c r="N11" s="1393"/>
      <c r="O11" s="1393"/>
      <c r="P11" s="1393"/>
      <c r="Q11" s="1393"/>
      <c r="R11" s="1393"/>
      <c r="S11" s="1393"/>
    </row>
    <row r="12" spans="1:26" ht="12" customHeight="1">
      <c r="A12" s="683">
        <v>2018</v>
      </c>
      <c r="B12" s="683"/>
      <c r="C12" s="1394" t="s">
        <v>1043</v>
      </c>
      <c r="D12" s="1395">
        <v>-5216.4742085216567</v>
      </c>
      <c r="E12" s="1396">
        <f>D12</f>
        <v>-5216.4742085216567</v>
      </c>
      <c r="F12" s="1397"/>
      <c r="G12" s="1398"/>
      <c r="H12" s="1398"/>
      <c r="I12" s="1399"/>
      <c r="J12" s="1400"/>
      <c r="L12" s="1394" t="s">
        <v>1043</v>
      </c>
      <c r="M12" s="1395">
        <v>-1175.2436800466016</v>
      </c>
      <c r="N12" s="1396">
        <f>M12</f>
        <v>-1175.2436800466016</v>
      </c>
      <c r="O12" s="1397"/>
      <c r="P12" s="1398"/>
      <c r="Q12" s="1398"/>
      <c r="R12" s="1399"/>
      <c r="S12" s="1400"/>
    </row>
    <row r="13" spans="1:26" ht="12" customHeight="1">
      <c r="A13" s="683">
        <v>2019</v>
      </c>
      <c r="B13" s="683"/>
      <c r="C13" s="695" t="s">
        <v>1044</v>
      </c>
      <c r="D13" s="964">
        <v>-6128.8359190376959</v>
      </c>
      <c r="E13" s="696"/>
      <c r="F13" s="697">
        <f>D13</f>
        <v>-6128.8359190376959</v>
      </c>
      <c r="G13" s="909"/>
      <c r="H13" s="909"/>
      <c r="I13" s="910"/>
      <c r="J13" s="698"/>
      <c r="L13" s="695" t="s">
        <v>1044</v>
      </c>
      <c r="M13" s="964">
        <v>-1398.6168589652054</v>
      </c>
      <c r="N13" s="696"/>
      <c r="O13" s="697">
        <f>M13</f>
        <v>-1398.6168589652054</v>
      </c>
      <c r="P13" s="909"/>
      <c r="Q13" s="909"/>
      <c r="R13" s="910"/>
      <c r="S13" s="698"/>
    </row>
    <row r="14" spans="1:26" ht="12" customHeight="1">
      <c r="A14" s="683" t="s">
        <v>127</v>
      </c>
      <c r="B14" s="683"/>
      <c r="C14" s="1558" t="s">
        <v>1045</v>
      </c>
      <c r="D14" s="1559">
        <f>SUM(D12:D13)</f>
        <v>-11345.310127559353</v>
      </c>
      <c r="E14" s="699">
        <f>SUM(E12:E13)</f>
        <v>-5216.4742085216567</v>
      </c>
      <c r="F14" s="700">
        <f>SUM(F12:F13)</f>
        <v>-6128.8359190376959</v>
      </c>
      <c r="G14" s="701"/>
      <c r="H14" s="701"/>
      <c r="I14" s="702"/>
      <c r="J14" s="1560"/>
      <c r="L14" s="1558" t="s">
        <v>1045</v>
      </c>
      <c r="M14" s="1559">
        <f>SUM(M12:M13)</f>
        <v>-2573.8605390118073</v>
      </c>
      <c r="N14" s="699">
        <f>SUM(N12:N13)</f>
        <v>-1175.2436800466016</v>
      </c>
      <c r="O14" s="700">
        <f>SUM(O12:O13)</f>
        <v>-1398.6168589652054</v>
      </c>
      <c r="P14" s="701"/>
      <c r="Q14" s="701"/>
      <c r="R14" s="702"/>
      <c r="S14" s="1560"/>
    </row>
    <row r="15" spans="1:26" ht="12" customHeight="1">
      <c r="A15" s="683" t="s">
        <v>1046</v>
      </c>
      <c r="B15" s="683"/>
      <c r="C15" s="1401"/>
      <c r="D15" s="1401"/>
      <c r="E15" s="1401"/>
      <c r="F15" s="1401"/>
      <c r="G15" s="1401"/>
      <c r="H15" s="1401"/>
      <c r="I15" s="1401"/>
      <c r="J15" s="1401"/>
      <c r="K15" s="683"/>
      <c r="L15" s="1401"/>
      <c r="M15" s="1401"/>
      <c r="N15" s="1401"/>
      <c r="O15" s="1401"/>
      <c r="P15" s="1401"/>
      <c r="Q15" s="1401"/>
      <c r="R15" s="1401"/>
      <c r="S15" s="1401"/>
    </row>
    <row r="16" spans="1:26" ht="12" customHeight="1">
      <c r="A16" s="683" t="s">
        <v>1047</v>
      </c>
      <c r="B16" s="683"/>
      <c r="C16" s="695" t="s">
        <v>1048</v>
      </c>
      <c r="D16" s="964">
        <f t="array" ref="D16:D19">TRANSPOSE('ERT ANSP'!C19:F19)</f>
        <v>0</v>
      </c>
      <c r="E16" s="696"/>
      <c r="F16" s="703"/>
      <c r="G16" s="909"/>
      <c r="H16" s="963">
        <f>D16</f>
        <v>0</v>
      </c>
      <c r="I16" s="910"/>
      <c r="J16" s="698"/>
      <c r="L16" s="695" t="s">
        <v>1048</v>
      </c>
      <c r="M16" s="964">
        <f t="array" ref="M16:M19">TRANSPOSE('TRM ANSP'!C19:F19)</f>
        <v>0</v>
      </c>
      <c r="N16" s="696"/>
      <c r="O16" s="703"/>
      <c r="P16" s="909"/>
      <c r="Q16" s="963">
        <f>M16</f>
        <v>0</v>
      </c>
      <c r="R16" s="910"/>
      <c r="S16" s="698"/>
    </row>
    <row r="17" spans="1:19" ht="12" customHeight="1">
      <c r="A17" s="683">
        <v>2022</v>
      </c>
      <c r="B17" s="683"/>
      <c r="C17" s="695" t="s">
        <v>1049</v>
      </c>
      <c r="D17" s="964">
        <v>0</v>
      </c>
      <c r="E17" s="696"/>
      <c r="F17" s="703"/>
      <c r="G17" s="909"/>
      <c r="H17" s="909"/>
      <c r="I17" s="704">
        <f>D17</f>
        <v>0</v>
      </c>
      <c r="J17" s="698"/>
      <c r="L17" s="695" t="s">
        <v>1049</v>
      </c>
      <c r="M17" s="964">
        <v>0</v>
      </c>
      <c r="N17" s="696"/>
      <c r="O17" s="703"/>
      <c r="P17" s="909"/>
      <c r="Q17" s="909"/>
      <c r="R17" s="704">
        <f>M17</f>
        <v>0</v>
      </c>
      <c r="S17" s="698"/>
    </row>
    <row r="18" spans="1:19" ht="12" customHeight="1">
      <c r="A18" s="683">
        <v>2023</v>
      </c>
      <c r="B18" s="683"/>
      <c r="C18" s="695" t="s">
        <v>1050</v>
      </c>
      <c r="D18" s="964">
        <v>0</v>
      </c>
      <c r="E18" s="696"/>
      <c r="F18" s="703"/>
      <c r="G18" s="909"/>
      <c r="H18" s="909"/>
      <c r="I18" s="913"/>
      <c r="J18" s="964">
        <f>D18</f>
        <v>0</v>
      </c>
      <c r="L18" s="695" t="s">
        <v>1050</v>
      </c>
      <c r="M18" s="964">
        <v>0</v>
      </c>
      <c r="N18" s="696"/>
      <c r="O18" s="703"/>
      <c r="P18" s="909"/>
      <c r="Q18" s="909"/>
      <c r="R18" s="913"/>
      <c r="S18" s="964">
        <f>M18</f>
        <v>0</v>
      </c>
    </row>
    <row r="19" spans="1:19" ht="12" customHeight="1">
      <c r="A19" s="683">
        <v>2024</v>
      </c>
      <c r="B19" s="683"/>
      <c r="C19" s="705" t="s">
        <v>1051</v>
      </c>
      <c r="D19" s="706">
        <v>0</v>
      </c>
      <c r="E19" s="707"/>
      <c r="F19" s="911"/>
      <c r="G19" s="911"/>
      <c r="H19" s="911"/>
      <c r="I19" s="914"/>
      <c r="J19" s="706">
        <f>D19</f>
        <v>0</v>
      </c>
      <c r="L19" s="705" t="s">
        <v>1051</v>
      </c>
      <c r="M19" s="706">
        <v>0</v>
      </c>
      <c r="N19" s="707"/>
      <c r="O19" s="911"/>
      <c r="P19" s="911"/>
      <c r="Q19" s="911"/>
      <c r="R19" s="914"/>
      <c r="S19" s="706">
        <f>M19</f>
        <v>0</v>
      </c>
    </row>
    <row r="20" spans="1:19" ht="12" customHeight="1">
      <c r="A20" s="683" t="s">
        <v>12</v>
      </c>
      <c r="B20" s="683"/>
      <c r="C20" s="1561" t="s">
        <v>1052</v>
      </c>
      <c r="D20" s="1562">
        <f t="shared" ref="D20:J20" si="0">SUM(D14:D19)</f>
        <v>-11345.310127559353</v>
      </c>
      <c r="E20" s="1402">
        <f t="shared" si="0"/>
        <v>-5216.4742085216567</v>
      </c>
      <c r="F20" s="968">
        <f t="shared" si="0"/>
        <v>-6128.8359190376959</v>
      </c>
      <c r="G20" s="968">
        <f t="shared" si="0"/>
        <v>0</v>
      </c>
      <c r="H20" s="968">
        <f t="shared" si="0"/>
        <v>0</v>
      </c>
      <c r="I20" s="969">
        <f t="shared" si="0"/>
        <v>0</v>
      </c>
      <c r="J20" s="1562">
        <f t="shared" si="0"/>
        <v>0</v>
      </c>
      <c r="L20" s="1561" t="s">
        <v>1052</v>
      </c>
      <c r="M20" s="1562">
        <f t="shared" ref="M20:S20" si="1">SUM(M14:M19)</f>
        <v>-2573.8605390118073</v>
      </c>
      <c r="N20" s="1402">
        <f t="shared" si="1"/>
        <v>-1175.2436800466016</v>
      </c>
      <c r="O20" s="968">
        <f t="shared" si="1"/>
        <v>-1398.6168589652054</v>
      </c>
      <c r="P20" s="968">
        <f t="shared" si="1"/>
        <v>0</v>
      </c>
      <c r="Q20" s="968">
        <f t="shared" si="1"/>
        <v>0</v>
      </c>
      <c r="R20" s="969">
        <f t="shared" si="1"/>
        <v>0</v>
      </c>
      <c r="S20" s="1562">
        <f t="shared" si="1"/>
        <v>0</v>
      </c>
    </row>
    <row r="21" spans="1:19" ht="4.1500000000000004" customHeight="1">
      <c r="A21" s="708"/>
      <c r="B21" s="708"/>
      <c r="C21" s="709"/>
      <c r="D21" s="1403"/>
      <c r="E21" s="1404"/>
      <c r="F21" s="1404"/>
      <c r="G21" s="1404"/>
      <c r="H21" s="1404"/>
      <c r="I21" s="1404"/>
      <c r="J21" s="1404"/>
      <c r="L21" s="709"/>
      <c r="M21" s="1403"/>
      <c r="N21" s="1404"/>
      <c r="O21" s="1404"/>
      <c r="P21" s="1404"/>
      <c r="Q21" s="1404"/>
      <c r="R21" s="1404"/>
      <c r="S21" s="1404"/>
    </row>
    <row r="22" spans="1:19" ht="12.65" customHeight="1">
      <c r="A22" s="683">
        <v>2017</v>
      </c>
      <c r="B22" s="683"/>
      <c r="C22" s="1394" t="s">
        <v>1053</v>
      </c>
      <c r="D22" s="1395">
        <v>0</v>
      </c>
      <c r="E22" s="1405">
        <v>0</v>
      </c>
      <c r="F22" s="1406">
        <v>0</v>
      </c>
      <c r="G22" s="1406">
        <v>0</v>
      </c>
      <c r="H22" s="1406">
        <v>0</v>
      </c>
      <c r="I22" s="1407">
        <v>0</v>
      </c>
      <c r="J22" s="1395">
        <f>D22-SUM(E22:I22)</f>
        <v>0</v>
      </c>
      <c r="L22" s="1394" t="s">
        <v>1053</v>
      </c>
      <c r="M22" s="1395">
        <v>0</v>
      </c>
      <c r="N22" s="1405">
        <v>0</v>
      </c>
      <c r="O22" s="1406">
        <v>0</v>
      </c>
      <c r="P22" s="1406">
        <v>0</v>
      </c>
      <c r="Q22" s="1406">
        <v>0</v>
      </c>
      <c r="R22" s="1407">
        <v>0</v>
      </c>
      <c r="S22" s="1395">
        <f>M22-SUM(N22:R22)</f>
        <v>0</v>
      </c>
    </row>
    <row r="23" spans="1:19" ht="12" customHeight="1">
      <c r="A23" s="683">
        <v>2018</v>
      </c>
      <c r="B23" s="683"/>
      <c r="C23" s="695" t="s">
        <v>1054</v>
      </c>
      <c r="D23" s="964">
        <v>-5169</v>
      </c>
      <c r="E23" s="710">
        <v>-5169</v>
      </c>
      <c r="F23" s="963">
        <v>0</v>
      </c>
      <c r="G23" s="963">
        <v>0</v>
      </c>
      <c r="H23" s="963">
        <v>0</v>
      </c>
      <c r="I23" s="965">
        <v>0</v>
      </c>
      <c r="J23" s="964">
        <f>D23-SUM(E23:I23)</f>
        <v>0</v>
      </c>
      <c r="L23" s="695" t="s">
        <v>1054</v>
      </c>
      <c r="M23" s="964">
        <v>-3736.7480385873105</v>
      </c>
      <c r="N23" s="710">
        <f>M23</f>
        <v>-3736.7480385873105</v>
      </c>
      <c r="O23" s="963">
        <v>0</v>
      </c>
      <c r="P23" s="963">
        <v>0</v>
      </c>
      <c r="Q23" s="963">
        <v>0</v>
      </c>
      <c r="R23" s="965">
        <v>0</v>
      </c>
      <c r="S23" s="964">
        <f>M23-SUM(N23:R23)</f>
        <v>0</v>
      </c>
    </row>
    <row r="24" spans="1:19" ht="12" customHeight="1">
      <c r="A24" s="683">
        <v>2019</v>
      </c>
      <c r="B24" s="683"/>
      <c r="C24" s="695" t="s">
        <v>1055</v>
      </c>
      <c r="D24" s="706">
        <v>-5373.6445578091898</v>
      </c>
      <c r="E24" s="966"/>
      <c r="F24" s="711">
        <v>-5373.6445578091898</v>
      </c>
      <c r="G24" s="711">
        <v>0</v>
      </c>
      <c r="H24" s="711">
        <v>0</v>
      </c>
      <c r="I24" s="712">
        <v>0</v>
      </c>
      <c r="J24" s="706">
        <f>D24-SUM(E24:I24)</f>
        <v>0</v>
      </c>
      <c r="L24" s="695" t="s">
        <v>1055</v>
      </c>
      <c r="M24" s="706">
        <v>-3876.3124858063202</v>
      </c>
      <c r="N24" s="966"/>
      <c r="O24" s="711">
        <f>M24</f>
        <v>-3876.3124858063202</v>
      </c>
      <c r="P24" s="711">
        <v>0</v>
      </c>
      <c r="Q24" s="711">
        <v>0</v>
      </c>
      <c r="R24" s="712">
        <v>0</v>
      </c>
      <c r="S24" s="706">
        <f>M24-SUM(N24:R24)</f>
        <v>0</v>
      </c>
    </row>
    <row r="25" spans="1:19" ht="12" customHeight="1">
      <c r="A25" s="683" t="s">
        <v>127</v>
      </c>
      <c r="B25" s="683"/>
      <c r="C25" s="1558" t="s">
        <v>1056</v>
      </c>
      <c r="D25" s="1559">
        <f>SUM(D22:D24)</f>
        <v>-10542.64455780919</v>
      </c>
      <c r="E25" s="1408">
        <f t="shared" ref="E25:J25" si="2">SUM(E22:E24)</f>
        <v>-5169</v>
      </c>
      <c r="F25" s="700">
        <f t="shared" si="2"/>
        <v>-5373.6445578091898</v>
      </c>
      <c r="G25" s="700">
        <f t="shared" si="2"/>
        <v>0</v>
      </c>
      <c r="H25" s="700">
        <f t="shared" si="2"/>
        <v>0</v>
      </c>
      <c r="I25" s="713">
        <f t="shared" si="2"/>
        <v>0</v>
      </c>
      <c r="J25" s="1559">
        <f t="shared" si="2"/>
        <v>0</v>
      </c>
      <c r="L25" s="1558" t="s">
        <v>1056</v>
      </c>
      <c r="M25" s="1559">
        <f>SUM(M22:M24)</f>
        <v>-7613.0605243936307</v>
      </c>
      <c r="N25" s="1408">
        <f t="shared" ref="N25:S25" si="3">SUM(N22:N24)</f>
        <v>-3736.7480385873105</v>
      </c>
      <c r="O25" s="700">
        <f t="shared" si="3"/>
        <v>-3876.3124858063202</v>
      </c>
      <c r="P25" s="700">
        <f t="shared" si="3"/>
        <v>0</v>
      </c>
      <c r="Q25" s="700">
        <f t="shared" si="3"/>
        <v>0</v>
      </c>
      <c r="R25" s="713">
        <f t="shared" si="3"/>
        <v>0</v>
      </c>
      <c r="S25" s="1559">
        <f t="shared" si="3"/>
        <v>0</v>
      </c>
    </row>
    <row r="26" spans="1:19" ht="12" customHeight="1">
      <c r="A26" s="683" t="s">
        <v>1046</v>
      </c>
      <c r="B26" s="683"/>
      <c r="C26" s="1401"/>
      <c r="D26" s="1401"/>
      <c r="E26" s="1401"/>
      <c r="F26" s="1401"/>
      <c r="G26" s="1401"/>
      <c r="H26" s="1401"/>
      <c r="I26" s="1401"/>
      <c r="J26" s="1401"/>
      <c r="K26" s="683"/>
      <c r="L26" s="1401"/>
      <c r="M26" s="1401"/>
      <c r="N26" s="1401"/>
      <c r="O26" s="1401"/>
      <c r="P26" s="1401"/>
      <c r="Q26" s="1401"/>
      <c r="R26" s="1401"/>
      <c r="S26" s="1401"/>
    </row>
    <row r="27" spans="1:19" ht="12" customHeight="1">
      <c r="A27" s="683" t="s">
        <v>1047</v>
      </c>
      <c r="B27" s="683"/>
      <c r="C27" s="695" t="s">
        <v>1057</v>
      </c>
      <c r="D27" s="964">
        <f t="array" ref="D27:D30">TRANSPOSE('ERT ANSP'!C41:F41)</f>
        <v>0</v>
      </c>
      <c r="E27" s="696"/>
      <c r="F27" s="703"/>
      <c r="G27" s="909"/>
      <c r="H27" s="971">
        <f>D27</f>
        <v>0</v>
      </c>
      <c r="I27" s="963">
        <f>D27-H27</f>
        <v>0</v>
      </c>
      <c r="J27" s="698"/>
      <c r="L27" s="695" t="s">
        <v>1057</v>
      </c>
      <c r="M27" s="964">
        <f t="array" ref="M27:M30">TRANSPOSE('TRM ANSP'!C41:F41)</f>
        <v>0</v>
      </c>
      <c r="N27" s="696"/>
      <c r="O27" s="703"/>
      <c r="P27" s="909"/>
      <c r="Q27" s="971">
        <f>M27</f>
        <v>0</v>
      </c>
      <c r="R27" s="963">
        <f>M27-Q27</f>
        <v>0</v>
      </c>
      <c r="S27" s="698"/>
    </row>
    <row r="28" spans="1:19" ht="12" customHeight="1">
      <c r="A28" s="683">
        <v>2022</v>
      </c>
      <c r="B28" s="683"/>
      <c r="C28" s="695" t="s">
        <v>1058</v>
      </c>
      <c r="D28" s="964">
        <v>0</v>
      </c>
      <c r="E28" s="696"/>
      <c r="F28" s="703"/>
      <c r="G28" s="909"/>
      <c r="H28" s="909"/>
      <c r="I28" s="965">
        <f>D28</f>
        <v>0</v>
      </c>
      <c r="J28" s="698"/>
      <c r="L28" s="695" t="s">
        <v>1058</v>
      </c>
      <c r="M28" s="964">
        <v>0</v>
      </c>
      <c r="N28" s="696"/>
      <c r="O28" s="703"/>
      <c r="P28" s="909"/>
      <c r="Q28" s="909"/>
      <c r="R28" s="965">
        <f>M28</f>
        <v>0</v>
      </c>
      <c r="S28" s="698"/>
    </row>
    <row r="29" spans="1:19" ht="12" customHeight="1">
      <c r="A29" s="683">
        <v>2023</v>
      </c>
      <c r="B29" s="683"/>
      <c r="C29" s="695" t="s">
        <v>1059</v>
      </c>
      <c r="D29" s="964">
        <v>0</v>
      </c>
      <c r="E29" s="696"/>
      <c r="F29" s="703"/>
      <c r="G29" s="909"/>
      <c r="H29" s="909"/>
      <c r="I29" s="913"/>
      <c r="J29" s="714">
        <f>D29</f>
        <v>0</v>
      </c>
      <c r="L29" s="695" t="s">
        <v>1059</v>
      </c>
      <c r="M29" s="964">
        <v>0</v>
      </c>
      <c r="N29" s="696"/>
      <c r="O29" s="703"/>
      <c r="P29" s="909"/>
      <c r="Q29" s="909"/>
      <c r="R29" s="913"/>
      <c r="S29" s="714">
        <f>M29</f>
        <v>0</v>
      </c>
    </row>
    <row r="30" spans="1:19" ht="12" customHeight="1">
      <c r="A30" s="683">
        <v>2024</v>
      </c>
      <c r="B30" s="683"/>
      <c r="C30" s="705" t="s">
        <v>1060</v>
      </c>
      <c r="D30" s="706">
        <v>0</v>
      </c>
      <c r="E30" s="707"/>
      <c r="F30" s="911"/>
      <c r="G30" s="911"/>
      <c r="H30" s="911"/>
      <c r="I30" s="914"/>
      <c r="J30" s="715">
        <f>D30</f>
        <v>0</v>
      </c>
      <c r="L30" s="705" t="s">
        <v>1060</v>
      </c>
      <c r="M30" s="706">
        <v>0</v>
      </c>
      <c r="N30" s="707"/>
      <c r="O30" s="911"/>
      <c r="P30" s="911"/>
      <c r="Q30" s="911"/>
      <c r="R30" s="914"/>
      <c r="S30" s="715">
        <f>M30</f>
        <v>0</v>
      </c>
    </row>
    <row r="31" spans="1:19" ht="12" customHeight="1">
      <c r="A31" s="683" t="s">
        <v>12</v>
      </c>
      <c r="B31" s="683"/>
      <c r="C31" s="1561" t="s">
        <v>1061</v>
      </c>
      <c r="D31" s="1562">
        <f>SUM(D25:D30)</f>
        <v>-10542.64455780919</v>
      </c>
      <c r="E31" s="1402">
        <f t="shared" ref="E31:J31" si="4">SUM(E25:E30)</f>
        <v>-5169</v>
      </c>
      <c r="F31" s="968">
        <f t="shared" si="4"/>
        <v>-5373.6445578091898</v>
      </c>
      <c r="G31" s="968">
        <f t="shared" si="4"/>
        <v>0</v>
      </c>
      <c r="H31" s="968">
        <f t="shared" si="4"/>
        <v>0</v>
      </c>
      <c r="I31" s="969">
        <f t="shared" si="4"/>
        <v>0</v>
      </c>
      <c r="J31" s="1562">
        <f t="shared" si="4"/>
        <v>0</v>
      </c>
      <c r="L31" s="1561" t="s">
        <v>1061</v>
      </c>
      <c r="M31" s="1562">
        <f>SUM(M25:M30)</f>
        <v>-7613.0605243936307</v>
      </c>
      <c r="N31" s="1402">
        <f t="shared" ref="N31:S31" si="5">SUM(N25:N30)</f>
        <v>-3736.7480385873105</v>
      </c>
      <c r="O31" s="968">
        <f t="shared" si="5"/>
        <v>-3876.3124858063202</v>
      </c>
      <c r="P31" s="968">
        <f t="shared" si="5"/>
        <v>0</v>
      </c>
      <c r="Q31" s="968">
        <f t="shared" si="5"/>
        <v>0</v>
      </c>
      <c r="R31" s="969">
        <f t="shared" si="5"/>
        <v>0</v>
      </c>
      <c r="S31" s="1562">
        <f t="shared" si="5"/>
        <v>0</v>
      </c>
    </row>
    <row r="32" spans="1:19" ht="4.1500000000000004" customHeight="1">
      <c r="A32" s="708"/>
      <c r="B32" s="708"/>
      <c r="C32" s="1409"/>
      <c r="D32" s="1409"/>
      <c r="E32" s="1410"/>
      <c r="F32" s="1410"/>
      <c r="G32" s="1410"/>
      <c r="H32" s="1410"/>
      <c r="I32" s="1410"/>
      <c r="J32" s="1410"/>
      <c r="L32" s="1411"/>
      <c r="M32" s="1411"/>
      <c r="N32" s="1412"/>
      <c r="O32" s="1412"/>
      <c r="P32" s="1412"/>
      <c r="Q32" s="1412"/>
      <c r="R32" s="1412"/>
      <c r="S32" s="1412"/>
    </row>
    <row r="33" spans="1:19" ht="12" customHeight="1">
      <c r="A33" s="683" t="s">
        <v>1046</v>
      </c>
      <c r="B33" s="683"/>
      <c r="C33" s="1401"/>
      <c r="D33" s="1401"/>
      <c r="E33" s="1401"/>
      <c r="F33" s="1401"/>
      <c r="G33" s="1401"/>
      <c r="H33" s="1401"/>
      <c r="I33" s="1401"/>
      <c r="J33" s="1401"/>
      <c r="K33" s="683"/>
      <c r="L33" s="1413"/>
      <c r="M33" s="1413"/>
      <c r="N33" s="1413"/>
      <c r="O33" s="1413"/>
      <c r="P33" s="1413"/>
      <c r="Q33" s="1413"/>
      <c r="R33" s="1413"/>
      <c r="S33" s="1413"/>
    </row>
    <row r="34" spans="1:19" ht="12" customHeight="1">
      <c r="A34" s="683" t="s">
        <v>1047</v>
      </c>
      <c r="B34" s="683"/>
      <c r="C34" s="695" t="s">
        <v>1062</v>
      </c>
      <c r="D34" s="964">
        <f t="array" ref="D34:D37">TRANSPOSE('ERT ANSP'!C22:F22)</f>
        <v>0</v>
      </c>
      <c r="E34" s="696"/>
      <c r="F34" s="703"/>
      <c r="G34" s="909"/>
      <c r="H34" s="971">
        <f>D34*(1-'UR Control'!$E$29)</f>
        <v>0</v>
      </c>
      <c r="I34" s="910"/>
      <c r="J34" s="964">
        <f>D34-SUM(E34:I34)</f>
        <v>0</v>
      </c>
      <c r="L34" s="695" t="s">
        <v>1062</v>
      </c>
      <c r="M34" s="964">
        <f t="array" ref="M34:M37">TRANSPOSE('TRM ANSP'!C22:F22)</f>
        <v>0</v>
      </c>
      <c r="N34" s="696"/>
      <c r="O34" s="703"/>
      <c r="P34" s="909"/>
      <c r="Q34" s="971">
        <f>M34*(1-'UR Control'!$E$29)</f>
        <v>0</v>
      </c>
      <c r="R34" s="910"/>
      <c r="S34" s="964">
        <f>M34-SUM(N34:R34)</f>
        <v>0</v>
      </c>
    </row>
    <row r="35" spans="1:19" ht="12" customHeight="1">
      <c r="A35" s="683">
        <v>2022</v>
      </c>
      <c r="B35" s="683"/>
      <c r="C35" s="695" t="s">
        <v>1063</v>
      </c>
      <c r="D35" s="964">
        <v>0</v>
      </c>
      <c r="E35" s="696"/>
      <c r="F35" s="703"/>
      <c r="G35" s="909"/>
      <c r="H35" s="909"/>
      <c r="I35" s="972">
        <f>D35*(1-'UR Control'!$E$29)</f>
        <v>0</v>
      </c>
      <c r="J35" s="964">
        <f>D35-SUM(E35:I35)</f>
        <v>0</v>
      </c>
      <c r="L35" s="695" t="s">
        <v>1063</v>
      </c>
      <c r="M35" s="964">
        <v>0</v>
      </c>
      <c r="N35" s="696"/>
      <c r="O35" s="703"/>
      <c r="P35" s="909"/>
      <c r="Q35" s="909"/>
      <c r="R35" s="972">
        <f>M35*(1-'UR Control'!$E$29)</f>
        <v>0</v>
      </c>
      <c r="S35" s="964">
        <f>M35-SUM(N35:R35)</f>
        <v>0</v>
      </c>
    </row>
    <row r="36" spans="1:19" ht="12" customHeight="1">
      <c r="A36" s="683">
        <v>2023</v>
      </c>
      <c r="B36" s="683"/>
      <c r="C36" s="695" t="s">
        <v>1064</v>
      </c>
      <c r="D36" s="964">
        <v>0</v>
      </c>
      <c r="E36" s="696"/>
      <c r="F36" s="703"/>
      <c r="G36" s="909"/>
      <c r="H36" s="909"/>
      <c r="I36" s="913"/>
      <c r="J36" s="964">
        <f>D36</f>
        <v>0</v>
      </c>
      <c r="L36" s="695" t="s">
        <v>1064</v>
      </c>
      <c r="M36" s="964">
        <v>0</v>
      </c>
      <c r="N36" s="696"/>
      <c r="O36" s="703"/>
      <c r="P36" s="909"/>
      <c r="Q36" s="909"/>
      <c r="R36" s="913"/>
      <c r="S36" s="964">
        <f>M36</f>
        <v>0</v>
      </c>
    </row>
    <row r="37" spans="1:19" ht="12" customHeight="1">
      <c r="A37" s="683">
        <v>2024</v>
      </c>
      <c r="B37" s="683"/>
      <c r="C37" s="705" t="s">
        <v>1065</v>
      </c>
      <c r="D37" s="706">
        <v>0</v>
      </c>
      <c r="E37" s="707"/>
      <c r="F37" s="911"/>
      <c r="G37" s="911"/>
      <c r="H37" s="911"/>
      <c r="I37" s="914"/>
      <c r="J37" s="706">
        <f>D37</f>
        <v>0</v>
      </c>
      <c r="L37" s="705" t="s">
        <v>1065</v>
      </c>
      <c r="M37" s="706">
        <v>0</v>
      </c>
      <c r="N37" s="707"/>
      <c r="O37" s="911"/>
      <c r="P37" s="911"/>
      <c r="Q37" s="911"/>
      <c r="R37" s="914"/>
      <c r="S37" s="706">
        <f>M37</f>
        <v>0</v>
      </c>
    </row>
    <row r="38" spans="1:19" ht="12" customHeight="1">
      <c r="A38" s="683" t="s">
        <v>12</v>
      </c>
      <c r="B38" s="683"/>
      <c r="C38" s="1561" t="s">
        <v>1066</v>
      </c>
      <c r="D38" s="1562">
        <f>SUM(D33:D37)</f>
        <v>0</v>
      </c>
      <c r="E38" s="1414"/>
      <c r="F38" s="915"/>
      <c r="G38" s="915"/>
      <c r="H38" s="968">
        <f>SUM(H33:H37)</f>
        <v>0</v>
      </c>
      <c r="I38" s="969">
        <f>SUM(I33:I37)</f>
        <v>0</v>
      </c>
      <c r="J38" s="1562">
        <f>SUM(J33:J37)</f>
        <v>0</v>
      </c>
      <c r="L38" s="1561" t="s">
        <v>1066</v>
      </c>
      <c r="M38" s="1562">
        <f>SUM(M33:M37)</f>
        <v>0</v>
      </c>
      <c r="N38" s="1414"/>
      <c r="O38" s="915"/>
      <c r="P38" s="915"/>
      <c r="Q38" s="968">
        <f>SUM(Q33:Q37)</f>
        <v>0</v>
      </c>
      <c r="R38" s="969">
        <f>SUM(R33:R37)</f>
        <v>0</v>
      </c>
      <c r="S38" s="1562">
        <f>SUM(S33:S37)</f>
        <v>0</v>
      </c>
    </row>
    <row r="39" spans="1:19" ht="4.1500000000000004" customHeight="1">
      <c r="A39" s="708"/>
      <c r="B39" s="708"/>
      <c r="C39" s="1409"/>
      <c r="D39" s="1409"/>
      <c r="E39" s="1410"/>
      <c r="F39" s="1410"/>
      <c r="G39" s="1410"/>
      <c r="H39" s="1410"/>
      <c r="I39" s="1410"/>
      <c r="J39" s="1410"/>
      <c r="L39" s="1411"/>
      <c r="M39" s="1411"/>
      <c r="N39" s="1412"/>
      <c r="O39" s="1412"/>
      <c r="P39" s="1412"/>
      <c r="Q39" s="1412"/>
      <c r="R39" s="1412"/>
      <c r="S39" s="1412"/>
    </row>
    <row r="40" spans="1:19" ht="12" customHeight="1">
      <c r="A40" s="683" t="s">
        <v>1046</v>
      </c>
      <c r="B40" s="683"/>
      <c r="C40" s="1401"/>
      <c r="D40" s="1401"/>
      <c r="E40" s="1401"/>
      <c r="F40" s="1401"/>
      <c r="G40" s="1401"/>
      <c r="H40" s="1401"/>
      <c r="I40" s="1401"/>
      <c r="J40" s="1401"/>
      <c r="K40" s="683"/>
      <c r="L40" s="1413"/>
      <c r="M40" s="1413"/>
      <c r="N40" s="1413"/>
      <c r="O40" s="1413"/>
      <c r="P40" s="1413"/>
      <c r="Q40" s="1413"/>
      <c r="R40" s="1413"/>
      <c r="S40" s="1413"/>
    </row>
    <row r="41" spans="1:19" ht="12" customHeight="1">
      <c r="A41" s="683" t="s">
        <v>1047</v>
      </c>
      <c r="B41" s="683"/>
      <c r="C41" s="695" t="s">
        <v>1067</v>
      </c>
      <c r="D41" s="716"/>
      <c r="E41" s="696"/>
      <c r="F41" s="703"/>
      <c r="G41" s="909"/>
      <c r="H41" s="909"/>
      <c r="I41" s="910"/>
      <c r="J41" s="698"/>
      <c r="L41" s="695" t="s">
        <v>1067</v>
      </c>
      <c r="M41" s="716"/>
      <c r="N41" s="696"/>
      <c r="O41" s="703"/>
      <c r="P41" s="909"/>
      <c r="Q41" s="909"/>
      <c r="R41" s="910"/>
      <c r="S41" s="698"/>
    </row>
    <row r="42" spans="1:19" ht="12" customHeight="1">
      <c r="A42" s="683">
        <v>2022</v>
      </c>
      <c r="B42" s="683"/>
      <c r="C42" s="695" t="s">
        <v>1068</v>
      </c>
      <c r="D42" s="716"/>
      <c r="E42" s="696"/>
      <c r="F42" s="703"/>
      <c r="G42" s="909"/>
      <c r="H42" s="909"/>
      <c r="I42" s="913"/>
      <c r="J42" s="698"/>
      <c r="L42" s="695" t="s">
        <v>1068</v>
      </c>
      <c r="M42" s="716"/>
      <c r="N42" s="696"/>
      <c r="O42" s="703"/>
      <c r="P42" s="909"/>
      <c r="Q42" s="909"/>
      <c r="R42" s="913"/>
      <c r="S42" s="698"/>
    </row>
    <row r="43" spans="1:19" ht="12" customHeight="1">
      <c r="A43" s="683">
        <v>2023</v>
      </c>
      <c r="B43" s="683"/>
      <c r="C43" s="695" t="s">
        <v>1069</v>
      </c>
      <c r="D43" s="716"/>
      <c r="E43" s="696"/>
      <c r="F43" s="703"/>
      <c r="G43" s="909"/>
      <c r="H43" s="909"/>
      <c r="I43" s="913"/>
      <c r="J43" s="698"/>
      <c r="L43" s="695" t="s">
        <v>1069</v>
      </c>
      <c r="M43" s="716"/>
      <c r="N43" s="696"/>
      <c r="O43" s="703"/>
      <c r="P43" s="909"/>
      <c r="Q43" s="909"/>
      <c r="R43" s="913"/>
      <c r="S43" s="698"/>
    </row>
    <row r="44" spans="1:19" ht="12" customHeight="1">
      <c r="A44" s="683">
        <v>2024</v>
      </c>
      <c r="B44" s="683"/>
      <c r="C44" s="705" t="s">
        <v>1070</v>
      </c>
      <c r="D44" s="717"/>
      <c r="E44" s="707"/>
      <c r="F44" s="911"/>
      <c r="G44" s="912"/>
      <c r="H44" s="912"/>
      <c r="I44" s="916"/>
      <c r="J44" s="718"/>
      <c r="L44" s="705" t="s">
        <v>1070</v>
      </c>
      <c r="M44" s="717"/>
      <c r="N44" s="707"/>
      <c r="O44" s="911"/>
      <c r="P44" s="912"/>
      <c r="Q44" s="912"/>
      <c r="R44" s="916"/>
      <c r="S44" s="718"/>
    </row>
    <row r="45" spans="1:19" ht="12" customHeight="1">
      <c r="A45" s="683" t="s">
        <v>12</v>
      </c>
      <c r="B45" s="683"/>
      <c r="C45" s="1561" t="s">
        <v>1071</v>
      </c>
      <c r="D45" s="1563"/>
      <c r="E45" s="1414"/>
      <c r="F45" s="915"/>
      <c r="G45" s="915"/>
      <c r="H45" s="915"/>
      <c r="I45" s="917"/>
      <c r="J45" s="1563"/>
      <c r="L45" s="1561" t="s">
        <v>1071</v>
      </c>
      <c r="M45" s="1563"/>
      <c r="N45" s="1414"/>
      <c r="O45" s="915"/>
      <c r="P45" s="915"/>
      <c r="Q45" s="915"/>
      <c r="R45" s="917"/>
      <c r="S45" s="1563"/>
    </row>
    <row r="46" spans="1:19" ht="4.9000000000000004" customHeight="1">
      <c r="A46" s="708"/>
      <c r="B46" s="708"/>
      <c r="C46" s="1409"/>
      <c r="D46" s="1409"/>
      <c r="E46" s="1410"/>
      <c r="F46" s="1410"/>
      <c r="G46" s="1410"/>
      <c r="H46" s="1410"/>
      <c r="I46" s="1410"/>
      <c r="J46" s="1410"/>
      <c r="L46" s="1411"/>
      <c r="M46" s="1411"/>
      <c r="N46" s="1412"/>
      <c r="O46" s="1412"/>
      <c r="P46" s="1412"/>
      <c r="Q46" s="1412"/>
      <c r="R46" s="1412"/>
      <c r="S46" s="1412"/>
    </row>
    <row r="47" spans="1:19" ht="12" customHeight="1">
      <c r="A47" s="683" t="s">
        <v>1046</v>
      </c>
      <c r="B47" s="683"/>
      <c r="C47" s="1401"/>
      <c r="D47" s="1401"/>
      <c r="E47" s="1401"/>
      <c r="F47" s="1401"/>
      <c r="G47" s="1401"/>
      <c r="H47" s="1401"/>
      <c r="I47" s="1401"/>
      <c r="J47" s="1401"/>
      <c r="K47" s="683"/>
      <c r="L47" s="1413"/>
      <c r="M47" s="1413"/>
      <c r="N47" s="1413"/>
      <c r="O47" s="1413"/>
      <c r="P47" s="1413"/>
      <c r="Q47" s="1413"/>
      <c r="R47" s="1413"/>
      <c r="S47" s="1413"/>
    </row>
    <row r="48" spans="1:19" ht="12" customHeight="1">
      <c r="A48" s="683" t="s">
        <v>1047</v>
      </c>
      <c r="B48" s="683"/>
      <c r="C48" s="695" t="s">
        <v>1072</v>
      </c>
      <c r="D48" s="716"/>
      <c r="E48" s="696"/>
      <c r="F48" s="703"/>
      <c r="G48" s="909"/>
      <c r="H48" s="909"/>
      <c r="I48" s="910"/>
      <c r="J48" s="698"/>
      <c r="L48" s="695" t="s">
        <v>1072</v>
      </c>
      <c r="M48" s="716"/>
      <c r="N48" s="696"/>
      <c r="O48" s="703"/>
      <c r="P48" s="909"/>
      <c r="Q48" s="909"/>
      <c r="R48" s="910"/>
      <c r="S48" s="698"/>
    </row>
    <row r="49" spans="1:19" ht="12" customHeight="1">
      <c r="A49" s="683">
        <v>2022</v>
      </c>
      <c r="B49" s="683"/>
      <c r="C49" s="695" t="s">
        <v>1073</v>
      </c>
      <c r="D49" s="716"/>
      <c r="E49" s="696"/>
      <c r="F49" s="703"/>
      <c r="G49" s="909"/>
      <c r="H49" s="909"/>
      <c r="I49" s="913"/>
      <c r="J49" s="698"/>
      <c r="L49" s="695" t="s">
        <v>1073</v>
      </c>
      <c r="M49" s="716"/>
      <c r="N49" s="696"/>
      <c r="O49" s="703"/>
      <c r="P49" s="909"/>
      <c r="Q49" s="909"/>
      <c r="R49" s="913"/>
      <c r="S49" s="698"/>
    </row>
    <row r="50" spans="1:19" ht="12" customHeight="1">
      <c r="A50" s="683">
        <v>2023</v>
      </c>
      <c r="B50" s="683"/>
      <c r="C50" s="695" t="s">
        <v>1074</v>
      </c>
      <c r="D50" s="716"/>
      <c r="E50" s="696"/>
      <c r="F50" s="703"/>
      <c r="G50" s="909"/>
      <c r="H50" s="909"/>
      <c r="I50" s="913"/>
      <c r="J50" s="698"/>
      <c r="L50" s="695" t="s">
        <v>1074</v>
      </c>
      <c r="M50" s="716"/>
      <c r="N50" s="696"/>
      <c r="O50" s="703"/>
      <c r="P50" s="909"/>
      <c r="Q50" s="909"/>
      <c r="R50" s="913"/>
      <c r="S50" s="698"/>
    </row>
    <row r="51" spans="1:19" ht="12" customHeight="1">
      <c r="A51" s="683">
        <v>2024</v>
      </c>
      <c r="B51" s="683"/>
      <c r="C51" s="705" t="s">
        <v>1075</v>
      </c>
      <c r="D51" s="717"/>
      <c r="E51" s="707"/>
      <c r="F51" s="911"/>
      <c r="G51" s="912"/>
      <c r="H51" s="912"/>
      <c r="I51" s="916"/>
      <c r="J51" s="718"/>
      <c r="L51" s="705" t="s">
        <v>1075</v>
      </c>
      <c r="M51" s="717"/>
      <c r="N51" s="707"/>
      <c r="O51" s="911"/>
      <c r="P51" s="912"/>
      <c r="Q51" s="912"/>
      <c r="R51" s="916"/>
      <c r="S51" s="718"/>
    </row>
    <row r="52" spans="1:19" ht="12" customHeight="1">
      <c r="A52" s="683" t="s">
        <v>12</v>
      </c>
      <c r="B52" s="683"/>
      <c r="C52" s="1561" t="s">
        <v>1076</v>
      </c>
      <c r="D52" s="1563"/>
      <c r="E52" s="1414"/>
      <c r="F52" s="915"/>
      <c r="G52" s="915"/>
      <c r="H52" s="915"/>
      <c r="I52" s="917"/>
      <c r="J52" s="1563"/>
      <c r="L52" s="1561" t="s">
        <v>1076</v>
      </c>
      <c r="M52" s="1563"/>
      <c r="N52" s="1414"/>
      <c r="O52" s="915"/>
      <c r="P52" s="915"/>
      <c r="Q52" s="915"/>
      <c r="R52" s="917"/>
      <c r="S52" s="1563"/>
    </row>
    <row r="53" spans="1:19" ht="4.9000000000000004" customHeight="1">
      <c r="A53" s="708"/>
      <c r="B53" s="708"/>
      <c r="C53" s="1409"/>
      <c r="D53" s="1409"/>
      <c r="E53" s="1410"/>
      <c r="F53" s="1410"/>
      <c r="G53" s="1410"/>
      <c r="H53" s="1410"/>
      <c r="I53" s="1410"/>
      <c r="J53" s="1410"/>
      <c r="L53" s="1411"/>
      <c r="M53" s="1411"/>
      <c r="N53" s="1412"/>
      <c r="O53" s="1412"/>
      <c r="P53" s="1412"/>
      <c r="Q53" s="1412"/>
      <c r="R53" s="1412"/>
      <c r="S53" s="1412"/>
    </row>
    <row r="54" spans="1:19" ht="12" customHeight="1">
      <c r="A54" s="683" t="s">
        <v>1046</v>
      </c>
      <c r="B54" s="683"/>
      <c r="C54" s="1401"/>
      <c r="D54" s="1401"/>
      <c r="E54" s="1401"/>
      <c r="F54" s="1401"/>
      <c r="G54" s="1401"/>
      <c r="H54" s="1401"/>
      <c r="I54" s="1401"/>
      <c r="J54" s="1401"/>
      <c r="K54" s="683"/>
      <c r="L54" s="1413"/>
      <c r="M54" s="1413"/>
      <c r="N54" s="1413"/>
      <c r="O54" s="1413"/>
      <c r="P54" s="1413"/>
      <c r="Q54" s="1413"/>
      <c r="R54" s="1413"/>
      <c r="S54" s="1413"/>
    </row>
    <row r="55" spans="1:19" ht="12" customHeight="1">
      <c r="A55" s="683" t="s">
        <v>1047</v>
      </c>
      <c r="B55" s="683"/>
      <c r="C55" s="695" t="s">
        <v>1077</v>
      </c>
      <c r="D55" s="964">
        <f t="array" ref="D55:D58">TRANSPOSE('ERT ANSP'!C25:F25)</f>
        <v>0</v>
      </c>
      <c r="E55" s="696"/>
      <c r="F55" s="703"/>
      <c r="G55" s="909"/>
      <c r="H55" s="971">
        <f>D55*(1-'UR Control'!$E$29)</f>
        <v>0</v>
      </c>
      <c r="I55" s="910"/>
      <c r="J55" s="964">
        <f>D55-SUM(E55:I55)</f>
        <v>0</v>
      </c>
      <c r="L55" s="695" t="s">
        <v>1077</v>
      </c>
      <c r="M55" s="964">
        <f t="array" ref="M55:M58">TRANSPOSE('TRM ANSP'!C25:F25)</f>
        <v>0</v>
      </c>
      <c r="N55" s="696"/>
      <c r="O55" s="703"/>
      <c r="P55" s="909"/>
      <c r="Q55" s="971">
        <f>M55*(1-'UR Control'!$E$29)</f>
        <v>0</v>
      </c>
      <c r="R55" s="910"/>
      <c r="S55" s="964">
        <f>M55-SUM(N55:R55)</f>
        <v>0</v>
      </c>
    </row>
    <row r="56" spans="1:19" ht="12" customHeight="1">
      <c r="A56" s="683">
        <v>2022</v>
      </c>
      <c r="B56" s="683"/>
      <c r="C56" s="695" t="s">
        <v>1078</v>
      </c>
      <c r="D56" s="964">
        <v>0</v>
      </c>
      <c r="E56" s="696"/>
      <c r="F56" s="703"/>
      <c r="G56" s="909"/>
      <c r="H56" s="909"/>
      <c r="I56" s="972">
        <f>D56*(1-'UR Control'!$E$29)</f>
        <v>0</v>
      </c>
      <c r="J56" s="964">
        <f>D56-SUM(E56:I56)</f>
        <v>0</v>
      </c>
      <c r="L56" s="695" t="s">
        <v>1078</v>
      </c>
      <c r="M56" s="964">
        <v>0</v>
      </c>
      <c r="N56" s="696"/>
      <c r="O56" s="703"/>
      <c r="P56" s="909"/>
      <c r="Q56" s="909"/>
      <c r="R56" s="972">
        <f>M56*(1-'UR Control'!$E$29)</f>
        <v>0</v>
      </c>
      <c r="S56" s="964">
        <f>M56-SUM(N56:R56)</f>
        <v>0</v>
      </c>
    </row>
    <row r="57" spans="1:19" ht="12" customHeight="1">
      <c r="A57" s="683">
        <v>2023</v>
      </c>
      <c r="B57" s="683"/>
      <c r="C57" s="695" t="s">
        <v>1079</v>
      </c>
      <c r="D57" s="964">
        <v>0</v>
      </c>
      <c r="E57" s="696"/>
      <c r="F57" s="703"/>
      <c r="G57" s="909"/>
      <c r="H57" s="909"/>
      <c r="I57" s="913"/>
      <c r="J57" s="964">
        <f>D57</f>
        <v>0</v>
      </c>
      <c r="L57" s="695" t="s">
        <v>1079</v>
      </c>
      <c r="M57" s="964">
        <v>0</v>
      </c>
      <c r="N57" s="696"/>
      <c r="O57" s="703"/>
      <c r="P57" s="909"/>
      <c r="Q57" s="909"/>
      <c r="R57" s="913"/>
      <c r="S57" s="964">
        <f>M57</f>
        <v>0</v>
      </c>
    </row>
    <row r="58" spans="1:19" ht="12" customHeight="1">
      <c r="A58" s="683">
        <v>2024</v>
      </c>
      <c r="B58" s="683"/>
      <c r="C58" s="705" t="s">
        <v>1080</v>
      </c>
      <c r="D58" s="706">
        <v>0</v>
      </c>
      <c r="E58" s="707"/>
      <c r="F58" s="911"/>
      <c r="G58" s="911"/>
      <c r="H58" s="911"/>
      <c r="I58" s="914"/>
      <c r="J58" s="706">
        <f>D58</f>
        <v>0</v>
      </c>
      <c r="L58" s="705" t="s">
        <v>1080</v>
      </c>
      <c r="M58" s="706">
        <v>0</v>
      </c>
      <c r="N58" s="707"/>
      <c r="O58" s="911"/>
      <c r="P58" s="911"/>
      <c r="Q58" s="911"/>
      <c r="R58" s="914"/>
      <c r="S58" s="706">
        <f>M58</f>
        <v>0</v>
      </c>
    </row>
    <row r="59" spans="1:19" ht="12" customHeight="1">
      <c r="A59" s="683" t="s">
        <v>12</v>
      </c>
      <c r="B59" s="683"/>
      <c r="C59" s="1561" t="s">
        <v>1081</v>
      </c>
      <c r="D59" s="1562">
        <f t="shared" ref="D59:J59" si="6">SUM(D54:D58)</f>
        <v>0</v>
      </c>
      <c r="E59" s="1414"/>
      <c r="F59" s="915"/>
      <c r="G59" s="915"/>
      <c r="H59" s="968">
        <f t="shared" si="6"/>
        <v>0</v>
      </c>
      <c r="I59" s="969">
        <f t="shared" si="6"/>
        <v>0</v>
      </c>
      <c r="J59" s="1562">
        <f t="shared" si="6"/>
        <v>0</v>
      </c>
      <c r="L59" s="1561" t="s">
        <v>1081</v>
      </c>
      <c r="M59" s="1562">
        <f t="shared" ref="M59:S59" si="7">SUM(M54:M58)</f>
        <v>0</v>
      </c>
      <c r="N59" s="1414"/>
      <c r="O59" s="915"/>
      <c r="P59" s="915"/>
      <c r="Q59" s="968">
        <f t="shared" si="7"/>
        <v>0</v>
      </c>
      <c r="R59" s="969">
        <f t="shared" si="7"/>
        <v>0</v>
      </c>
      <c r="S59" s="1562">
        <f t="shared" si="7"/>
        <v>0</v>
      </c>
    </row>
    <row r="60" spans="1:19" ht="3.65" customHeight="1">
      <c r="A60" s="708"/>
      <c r="B60" s="708"/>
      <c r="C60" s="1409"/>
      <c r="D60" s="1409"/>
      <c r="E60" s="1410"/>
      <c r="F60" s="1410"/>
      <c r="G60" s="1410"/>
      <c r="H60" s="1410"/>
      <c r="I60" s="1410"/>
      <c r="J60" s="1410"/>
      <c r="L60" s="1411"/>
      <c r="M60" s="1411"/>
      <c r="N60" s="1412"/>
      <c r="O60" s="1412"/>
      <c r="P60" s="1412"/>
      <c r="Q60" s="1412"/>
      <c r="R60" s="1412"/>
      <c r="S60" s="1412"/>
    </row>
    <row r="61" spans="1:19" ht="12" customHeight="1">
      <c r="A61" s="683" t="s">
        <v>1046</v>
      </c>
      <c r="B61" s="683"/>
      <c r="C61" s="1401"/>
      <c r="D61" s="1401"/>
      <c r="E61" s="1401"/>
      <c r="F61" s="1401"/>
      <c r="G61" s="1401"/>
      <c r="H61" s="1401"/>
      <c r="I61" s="1401"/>
      <c r="J61" s="1401"/>
      <c r="K61" s="683"/>
      <c r="L61" s="1413"/>
      <c r="M61" s="1413"/>
      <c r="N61" s="1413"/>
      <c r="O61" s="1413"/>
      <c r="P61" s="1413"/>
      <c r="Q61" s="1413"/>
      <c r="R61" s="1413"/>
      <c r="S61" s="1413"/>
    </row>
    <row r="62" spans="1:19" ht="12" customHeight="1">
      <c r="A62" s="683" t="s">
        <v>1047</v>
      </c>
      <c r="B62" s="683"/>
      <c r="C62" s="695" t="s">
        <v>1082</v>
      </c>
      <c r="D62" s="964">
        <f t="array" ref="D62:D65">TRANSPOSE('ERT ANSP'!C26:F26)</f>
        <v>0</v>
      </c>
      <c r="E62" s="696"/>
      <c r="F62" s="703"/>
      <c r="G62" s="909"/>
      <c r="H62" s="971">
        <f>D62*(1-'UR Control'!$E$29)</f>
        <v>0</v>
      </c>
      <c r="I62" s="910"/>
      <c r="J62" s="964">
        <f>D62-SUM(E62:I62)</f>
        <v>0</v>
      </c>
      <c r="L62" s="695" t="s">
        <v>1082</v>
      </c>
      <c r="M62" s="964">
        <f t="array" ref="M62:M65">TRANSPOSE('TRM ANSP'!C26:F26)</f>
        <v>0</v>
      </c>
      <c r="N62" s="696"/>
      <c r="O62" s="703"/>
      <c r="P62" s="909"/>
      <c r="Q62" s="971">
        <f>M62*(1-'UR Control'!$E$29)</f>
        <v>0</v>
      </c>
      <c r="R62" s="910"/>
      <c r="S62" s="964">
        <f>M62-SUM(N62:R62)</f>
        <v>0</v>
      </c>
    </row>
    <row r="63" spans="1:19" ht="12" customHeight="1">
      <c r="A63" s="683">
        <v>2022</v>
      </c>
      <c r="B63" s="683"/>
      <c r="C63" s="695" t="s">
        <v>1083</v>
      </c>
      <c r="D63" s="964">
        <v>0</v>
      </c>
      <c r="E63" s="696"/>
      <c r="F63" s="703"/>
      <c r="G63" s="909"/>
      <c r="H63" s="909"/>
      <c r="I63" s="972">
        <f>D63*(1-'UR Control'!$E$29)</f>
        <v>0</v>
      </c>
      <c r="J63" s="964">
        <f>D63-SUM(E63:I63)</f>
        <v>0</v>
      </c>
      <c r="L63" s="695" t="s">
        <v>1083</v>
      </c>
      <c r="M63" s="964">
        <v>0</v>
      </c>
      <c r="N63" s="696"/>
      <c r="O63" s="703"/>
      <c r="P63" s="909"/>
      <c r="Q63" s="909"/>
      <c r="R63" s="972">
        <f>M63*(1-'UR Control'!$E$29)</f>
        <v>0</v>
      </c>
      <c r="S63" s="964">
        <f>M63-SUM(N63:R63)</f>
        <v>0</v>
      </c>
    </row>
    <row r="64" spans="1:19" ht="12" customHeight="1">
      <c r="A64" s="683">
        <v>2023</v>
      </c>
      <c r="B64" s="683"/>
      <c r="C64" s="695" t="s">
        <v>1084</v>
      </c>
      <c r="D64" s="964">
        <v>0</v>
      </c>
      <c r="E64" s="696"/>
      <c r="F64" s="703"/>
      <c r="G64" s="909"/>
      <c r="H64" s="909"/>
      <c r="I64" s="913"/>
      <c r="J64" s="964">
        <f>D64</f>
        <v>0</v>
      </c>
      <c r="L64" s="695" t="s">
        <v>1084</v>
      </c>
      <c r="M64" s="964">
        <v>0</v>
      </c>
      <c r="N64" s="696"/>
      <c r="O64" s="703"/>
      <c r="P64" s="909"/>
      <c r="Q64" s="909"/>
      <c r="R64" s="913"/>
      <c r="S64" s="964">
        <f>M64</f>
        <v>0</v>
      </c>
    </row>
    <row r="65" spans="1:19" ht="12" customHeight="1">
      <c r="A65" s="683">
        <v>2024</v>
      </c>
      <c r="B65" s="683"/>
      <c r="C65" s="705" t="s">
        <v>1085</v>
      </c>
      <c r="D65" s="706">
        <v>0</v>
      </c>
      <c r="E65" s="707"/>
      <c r="F65" s="911"/>
      <c r="G65" s="911"/>
      <c r="H65" s="911"/>
      <c r="I65" s="914"/>
      <c r="J65" s="706">
        <f>D65</f>
        <v>0</v>
      </c>
      <c r="L65" s="705" t="s">
        <v>1085</v>
      </c>
      <c r="M65" s="706">
        <v>0</v>
      </c>
      <c r="N65" s="707"/>
      <c r="O65" s="911"/>
      <c r="P65" s="911"/>
      <c r="Q65" s="911"/>
      <c r="R65" s="914"/>
      <c r="S65" s="706">
        <f>M65</f>
        <v>0</v>
      </c>
    </row>
    <row r="66" spans="1:19" ht="12" customHeight="1">
      <c r="A66" s="683" t="s">
        <v>12</v>
      </c>
      <c r="B66" s="683"/>
      <c r="C66" s="1561" t="s">
        <v>1086</v>
      </c>
      <c r="D66" s="1562">
        <f t="shared" ref="D66:J66" si="8">SUM(D61:D65)</f>
        <v>0</v>
      </c>
      <c r="E66" s="1414"/>
      <c r="F66" s="915"/>
      <c r="G66" s="915"/>
      <c r="H66" s="968">
        <f t="shared" si="8"/>
        <v>0</v>
      </c>
      <c r="I66" s="969">
        <f t="shared" si="8"/>
        <v>0</v>
      </c>
      <c r="J66" s="1562">
        <f t="shared" si="8"/>
        <v>0</v>
      </c>
      <c r="L66" s="1561" t="s">
        <v>1086</v>
      </c>
      <c r="M66" s="1562">
        <f t="shared" ref="M66:S66" si="9">SUM(M61:M65)</f>
        <v>0</v>
      </c>
      <c r="N66" s="1414"/>
      <c r="O66" s="915"/>
      <c r="P66" s="915"/>
      <c r="Q66" s="968">
        <f t="shared" si="9"/>
        <v>0</v>
      </c>
      <c r="R66" s="969">
        <f t="shared" si="9"/>
        <v>0</v>
      </c>
      <c r="S66" s="1562">
        <f t="shared" si="9"/>
        <v>0</v>
      </c>
    </row>
    <row r="67" spans="1:19" ht="3.65" customHeight="1">
      <c r="A67" s="708"/>
      <c r="B67" s="708"/>
      <c r="C67" s="1409"/>
      <c r="D67" s="1409"/>
      <c r="E67" s="1410"/>
      <c r="F67" s="1410"/>
      <c r="G67" s="1410"/>
      <c r="H67" s="1410"/>
      <c r="I67" s="1410"/>
      <c r="J67" s="1410"/>
      <c r="L67" s="1411"/>
      <c r="M67" s="1411"/>
      <c r="N67" s="1412"/>
      <c r="O67" s="1412"/>
      <c r="P67" s="1412"/>
      <c r="Q67" s="1412"/>
      <c r="R67" s="1412"/>
      <c r="S67" s="1412"/>
    </row>
    <row r="68" spans="1:19" ht="12" customHeight="1">
      <c r="A68" s="683" t="s">
        <v>1046</v>
      </c>
      <c r="B68" s="683"/>
      <c r="C68" s="1401"/>
      <c r="D68" s="1401"/>
      <c r="E68" s="1401"/>
      <c r="F68" s="1401"/>
      <c r="G68" s="1401"/>
      <c r="H68" s="1401"/>
      <c r="I68" s="1401"/>
      <c r="J68" s="1401"/>
      <c r="K68" s="683"/>
      <c r="L68" s="1413"/>
      <c r="M68" s="1413"/>
      <c r="N68" s="1413"/>
      <c r="O68" s="1413"/>
      <c r="P68" s="1413"/>
      <c r="Q68" s="1413"/>
      <c r="R68" s="1413"/>
      <c r="S68" s="1413"/>
    </row>
    <row r="69" spans="1:19" ht="12" customHeight="1">
      <c r="A69" s="683" t="s">
        <v>1047</v>
      </c>
      <c r="B69" s="683"/>
      <c r="C69" s="695" t="s">
        <v>1087</v>
      </c>
      <c r="D69" s="964">
        <f t="array" ref="D69:D72">TRANSPOSE('ERT ANSP'!C27:F27)</f>
        <v>0</v>
      </c>
      <c r="E69" s="696"/>
      <c r="F69" s="703"/>
      <c r="G69" s="909"/>
      <c r="H69" s="971">
        <f>D69*(1-'UR Control'!$E$29)</f>
        <v>0</v>
      </c>
      <c r="I69" s="910"/>
      <c r="J69" s="964">
        <f>D69-SUM(E69:I69)</f>
        <v>0</v>
      </c>
      <c r="L69" s="695" t="s">
        <v>1087</v>
      </c>
      <c r="M69" s="964">
        <f t="array" ref="M69:M72">TRANSPOSE('TRM ANSP'!C27:F27)</f>
        <v>0</v>
      </c>
      <c r="N69" s="696"/>
      <c r="O69" s="703"/>
      <c r="P69" s="909"/>
      <c r="Q69" s="971">
        <f>M69*(1-'UR Control'!$E$29)</f>
        <v>0</v>
      </c>
      <c r="R69" s="910"/>
      <c r="S69" s="964">
        <f>M69-SUM(N69:R69)</f>
        <v>0</v>
      </c>
    </row>
    <row r="70" spans="1:19" ht="12" customHeight="1">
      <c r="A70" s="683">
        <v>2022</v>
      </c>
      <c r="B70" s="683"/>
      <c r="C70" s="695" t="s">
        <v>1088</v>
      </c>
      <c r="D70" s="964">
        <v>0</v>
      </c>
      <c r="E70" s="696"/>
      <c r="F70" s="703"/>
      <c r="G70" s="909"/>
      <c r="H70" s="909"/>
      <c r="I70" s="972">
        <f>D70*(1-'UR Control'!$E$29)</f>
        <v>0</v>
      </c>
      <c r="J70" s="964">
        <f>D70-SUM(E70:I70)</f>
        <v>0</v>
      </c>
      <c r="L70" s="695" t="s">
        <v>1088</v>
      </c>
      <c r="M70" s="964">
        <v>0</v>
      </c>
      <c r="N70" s="696"/>
      <c r="O70" s="703"/>
      <c r="P70" s="909"/>
      <c r="Q70" s="909"/>
      <c r="R70" s="972">
        <f>M70*(1-'UR Control'!$E$29)</f>
        <v>0</v>
      </c>
      <c r="S70" s="964">
        <f>M70-SUM(N70:R70)</f>
        <v>0</v>
      </c>
    </row>
    <row r="71" spans="1:19" ht="12" customHeight="1">
      <c r="A71" s="683">
        <v>2023</v>
      </c>
      <c r="B71" s="683"/>
      <c r="C71" s="695" t="s">
        <v>1089</v>
      </c>
      <c r="D71" s="964">
        <v>0</v>
      </c>
      <c r="E71" s="696"/>
      <c r="F71" s="703"/>
      <c r="G71" s="909"/>
      <c r="H71" s="909"/>
      <c r="I71" s="913"/>
      <c r="J71" s="964">
        <f>D71</f>
        <v>0</v>
      </c>
      <c r="L71" s="695" t="s">
        <v>1089</v>
      </c>
      <c r="M71" s="964">
        <v>0</v>
      </c>
      <c r="N71" s="696"/>
      <c r="O71" s="703"/>
      <c r="P71" s="909"/>
      <c r="Q71" s="909"/>
      <c r="R71" s="913"/>
      <c r="S71" s="964">
        <f>M71</f>
        <v>0</v>
      </c>
    </row>
    <row r="72" spans="1:19" ht="12" customHeight="1">
      <c r="A72" s="683">
        <v>2024</v>
      </c>
      <c r="B72" s="683"/>
      <c r="C72" s="705" t="s">
        <v>1090</v>
      </c>
      <c r="D72" s="706">
        <v>0</v>
      </c>
      <c r="E72" s="707"/>
      <c r="F72" s="911"/>
      <c r="G72" s="911"/>
      <c r="H72" s="911"/>
      <c r="I72" s="914"/>
      <c r="J72" s="706">
        <f>D72</f>
        <v>0</v>
      </c>
      <c r="L72" s="705" t="s">
        <v>1090</v>
      </c>
      <c r="M72" s="706">
        <v>0</v>
      </c>
      <c r="N72" s="707"/>
      <c r="O72" s="911"/>
      <c r="P72" s="911"/>
      <c r="Q72" s="911"/>
      <c r="R72" s="914"/>
      <c r="S72" s="706">
        <f>M72</f>
        <v>0</v>
      </c>
    </row>
    <row r="73" spans="1:19" ht="12" customHeight="1">
      <c r="A73" s="683" t="s">
        <v>12</v>
      </c>
      <c r="B73" s="683"/>
      <c r="C73" s="1561" t="s">
        <v>1091</v>
      </c>
      <c r="D73" s="1562">
        <f t="shared" ref="D73:J73" si="10">SUM(D68:D72)</f>
        <v>0</v>
      </c>
      <c r="E73" s="1414"/>
      <c r="F73" s="915"/>
      <c r="G73" s="915"/>
      <c r="H73" s="968">
        <f t="shared" si="10"/>
        <v>0</v>
      </c>
      <c r="I73" s="969">
        <f t="shared" si="10"/>
        <v>0</v>
      </c>
      <c r="J73" s="1562">
        <f t="shared" si="10"/>
        <v>0</v>
      </c>
      <c r="L73" s="1561" t="s">
        <v>1091</v>
      </c>
      <c r="M73" s="1562">
        <f t="shared" ref="M73:S73" si="11">SUM(M68:M72)</f>
        <v>0</v>
      </c>
      <c r="N73" s="1414"/>
      <c r="O73" s="915"/>
      <c r="P73" s="915"/>
      <c r="Q73" s="968">
        <f t="shared" si="11"/>
        <v>0</v>
      </c>
      <c r="R73" s="969">
        <f t="shared" si="11"/>
        <v>0</v>
      </c>
      <c r="S73" s="1562">
        <f t="shared" si="11"/>
        <v>0</v>
      </c>
    </row>
    <row r="74" spans="1:19" ht="3.65" customHeight="1">
      <c r="A74" s="708"/>
      <c r="B74" s="708"/>
      <c r="C74" s="709"/>
      <c r="D74" s="709"/>
      <c r="E74" s="719"/>
      <c r="F74" s="719"/>
      <c r="G74" s="719"/>
      <c r="H74" s="719"/>
      <c r="I74" s="719"/>
      <c r="J74" s="719"/>
      <c r="L74" s="709"/>
      <c r="M74" s="709"/>
      <c r="N74" s="719"/>
      <c r="O74" s="719"/>
      <c r="P74" s="719"/>
      <c r="Q74" s="719"/>
      <c r="R74" s="719"/>
      <c r="S74" s="719"/>
    </row>
    <row r="75" spans="1:19" ht="12" customHeight="1">
      <c r="A75" s="683">
        <v>2017</v>
      </c>
      <c r="B75" s="683"/>
      <c r="C75" s="1394" t="s">
        <v>1092</v>
      </c>
      <c r="D75" s="1395">
        <v>0</v>
      </c>
      <c r="E75" s="1405">
        <v>0</v>
      </c>
      <c r="F75" s="1406">
        <v>0</v>
      </c>
      <c r="G75" s="1406">
        <v>0</v>
      </c>
      <c r="H75" s="1406">
        <v>0</v>
      </c>
      <c r="I75" s="1406">
        <v>0</v>
      </c>
      <c r="J75" s="1395">
        <f>D75-SUM(E75:I75)</f>
        <v>0</v>
      </c>
      <c r="L75" s="1394" t="s">
        <v>1092</v>
      </c>
      <c r="M75" s="1395">
        <v>0</v>
      </c>
      <c r="N75" s="1405">
        <v>0</v>
      </c>
      <c r="O75" s="1406">
        <v>0</v>
      </c>
      <c r="P75" s="1406">
        <v>0</v>
      </c>
      <c r="Q75" s="1406">
        <v>0</v>
      </c>
      <c r="R75" s="1415">
        <v>0</v>
      </c>
      <c r="S75" s="1395">
        <f>M75-SUM(N75:R75)</f>
        <v>0</v>
      </c>
    </row>
    <row r="76" spans="1:19" ht="12" customHeight="1">
      <c r="A76" s="683">
        <v>2018</v>
      </c>
      <c r="B76" s="683"/>
      <c r="C76" s="695" t="s">
        <v>1093</v>
      </c>
      <c r="D76" s="964">
        <v>0</v>
      </c>
      <c r="E76" s="710">
        <v>0</v>
      </c>
      <c r="F76" s="963">
        <v>0</v>
      </c>
      <c r="G76" s="963">
        <v>0</v>
      </c>
      <c r="H76" s="963">
        <v>0</v>
      </c>
      <c r="I76" s="963">
        <v>0</v>
      </c>
      <c r="J76" s="964">
        <f>D76-SUM(E76:I76)</f>
        <v>0</v>
      </c>
      <c r="L76" s="695" t="s">
        <v>1093</v>
      </c>
      <c r="M76" s="964">
        <v>0</v>
      </c>
      <c r="N76" s="710">
        <v>0</v>
      </c>
      <c r="O76" s="963">
        <v>0</v>
      </c>
      <c r="P76" s="963">
        <v>0</v>
      </c>
      <c r="Q76" s="963">
        <v>0</v>
      </c>
      <c r="R76" s="752">
        <v>0</v>
      </c>
      <c r="S76" s="964">
        <f>M76-SUM(N76:R76)</f>
        <v>0</v>
      </c>
    </row>
    <row r="77" spans="1:19" ht="12" customHeight="1">
      <c r="A77" s="683">
        <v>2019</v>
      </c>
      <c r="B77" s="683"/>
      <c r="C77" s="695" t="s">
        <v>1094</v>
      </c>
      <c r="D77" s="706">
        <v>0</v>
      </c>
      <c r="E77" s="966"/>
      <c r="F77" s="711">
        <v>0</v>
      </c>
      <c r="G77" s="711">
        <v>0</v>
      </c>
      <c r="H77" s="711">
        <v>0</v>
      </c>
      <c r="I77" s="712">
        <v>0</v>
      </c>
      <c r="J77" s="706">
        <f>D77-SUM(E77:I77)</f>
        <v>0</v>
      </c>
      <c r="L77" s="695" t="s">
        <v>1094</v>
      </c>
      <c r="M77" s="706">
        <v>0</v>
      </c>
      <c r="N77" s="966"/>
      <c r="O77" s="711">
        <v>0</v>
      </c>
      <c r="P77" s="711">
        <v>0</v>
      </c>
      <c r="Q77" s="711">
        <v>0</v>
      </c>
      <c r="R77" s="753">
        <v>0</v>
      </c>
      <c r="S77" s="706">
        <f>M77-SUM(N77:R77)</f>
        <v>0</v>
      </c>
    </row>
    <row r="78" spans="1:19" ht="12" customHeight="1">
      <c r="A78" s="683" t="s">
        <v>12</v>
      </c>
      <c r="B78" s="683"/>
      <c r="C78" s="1561" t="s">
        <v>1095</v>
      </c>
      <c r="D78" s="1562">
        <f>SUM(D75:D77)</f>
        <v>0</v>
      </c>
      <c r="E78" s="1402">
        <f t="shared" ref="E78:J78" si="12">SUM(E75:E77)</f>
        <v>0</v>
      </c>
      <c r="F78" s="968">
        <f t="shared" si="12"/>
        <v>0</v>
      </c>
      <c r="G78" s="968">
        <f t="shared" si="12"/>
        <v>0</v>
      </c>
      <c r="H78" s="968">
        <f t="shared" si="12"/>
        <v>0</v>
      </c>
      <c r="I78" s="969">
        <f t="shared" si="12"/>
        <v>0</v>
      </c>
      <c r="J78" s="1562">
        <f t="shared" si="12"/>
        <v>0</v>
      </c>
      <c r="L78" s="1561" t="s">
        <v>1095</v>
      </c>
      <c r="M78" s="1562">
        <f>SUM(M75:M77)</f>
        <v>0</v>
      </c>
      <c r="N78" s="1402">
        <f t="shared" ref="N78:S78" si="13">SUM(N75:N77)</f>
        <v>0</v>
      </c>
      <c r="O78" s="968">
        <f t="shared" si="13"/>
        <v>0</v>
      </c>
      <c r="P78" s="968">
        <f t="shared" si="13"/>
        <v>0</v>
      </c>
      <c r="Q78" s="968">
        <f t="shared" si="13"/>
        <v>0</v>
      </c>
      <c r="R78" s="969">
        <f t="shared" si="13"/>
        <v>0</v>
      </c>
      <c r="S78" s="1562">
        <f t="shared" si="13"/>
        <v>0</v>
      </c>
    </row>
    <row r="79" spans="1:19" ht="3.65" customHeight="1">
      <c r="A79" s="708"/>
      <c r="B79" s="708"/>
      <c r="C79" s="709"/>
      <c r="D79" s="709"/>
      <c r="E79" s="719"/>
      <c r="F79" s="719"/>
      <c r="G79" s="719"/>
      <c r="H79" s="719"/>
      <c r="I79" s="719"/>
      <c r="J79" s="719"/>
      <c r="L79" s="709"/>
      <c r="M79" s="709"/>
      <c r="N79" s="719"/>
      <c r="O79" s="719"/>
      <c r="P79" s="719"/>
      <c r="Q79" s="719"/>
      <c r="R79" s="719"/>
      <c r="S79" s="719"/>
    </row>
    <row r="80" spans="1:19" ht="12" customHeight="1">
      <c r="A80" s="683">
        <v>2017</v>
      </c>
      <c r="B80" s="683"/>
      <c r="C80" s="1394" t="s">
        <v>1096</v>
      </c>
      <c r="D80" s="1395">
        <v>0</v>
      </c>
      <c r="E80" s="1405">
        <v>0</v>
      </c>
      <c r="F80" s="1406">
        <v>0</v>
      </c>
      <c r="G80" s="1406">
        <v>0</v>
      </c>
      <c r="H80" s="1406">
        <v>0</v>
      </c>
      <c r="I80" s="1407">
        <v>0</v>
      </c>
      <c r="J80" s="1395">
        <f>D80-SUM(E80:I80)</f>
        <v>0</v>
      </c>
      <c r="L80" s="1394" t="s">
        <v>1096</v>
      </c>
      <c r="M80" s="1395">
        <v>0</v>
      </c>
      <c r="N80" s="1405">
        <v>0</v>
      </c>
      <c r="O80" s="1406">
        <v>0</v>
      </c>
      <c r="P80" s="1406">
        <v>0</v>
      </c>
      <c r="Q80" s="1406">
        <v>0</v>
      </c>
      <c r="R80" s="1407">
        <v>0</v>
      </c>
      <c r="S80" s="1395">
        <f>M80-SUM(N80:R80)</f>
        <v>0</v>
      </c>
    </row>
    <row r="81" spans="1:19" ht="12" customHeight="1">
      <c r="A81" s="683">
        <v>2018</v>
      </c>
      <c r="B81" s="683"/>
      <c r="C81" s="695" t="s">
        <v>1097</v>
      </c>
      <c r="D81" s="964">
        <v>0</v>
      </c>
      <c r="E81" s="710">
        <f>+D81</f>
        <v>0</v>
      </c>
      <c r="F81" s="909"/>
      <c r="G81" s="909"/>
      <c r="H81" s="909"/>
      <c r="I81" s="913"/>
      <c r="J81" s="698"/>
      <c r="L81" s="695" t="s">
        <v>1097</v>
      </c>
      <c r="M81" s="964">
        <v>0</v>
      </c>
      <c r="N81" s="710">
        <f>+M81</f>
        <v>0</v>
      </c>
      <c r="O81" s="909"/>
      <c r="P81" s="909"/>
      <c r="Q81" s="909"/>
      <c r="R81" s="913"/>
      <c r="S81" s="698"/>
    </row>
    <row r="82" spans="1:19" ht="12" customHeight="1">
      <c r="A82" s="683">
        <v>2019</v>
      </c>
      <c r="B82" s="683"/>
      <c r="C82" s="695" t="s">
        <v>1098</v>
      </c>
      <c r="D82" s="706">
        <v>1110.085</v>
      </c>
      <c r="E82" s="966"/>
      <c r="F82" s="711">
        <f>+D82</f>
        <v>1110.085</v>
      </c>
      <c r="G82" s="909"/>
      <c r="H82" s="909"/>
      <c r="I82" s="910"/>
      <c r="J82" s="698"/>
      <c r="L82" s="695" t="s">
        <v>1098</v>
      </c>
      <c r="M82" s="706">
        <v>0</v>
      </c>
      <c r="N82" s="966"/>
      <c r="O82" s="711">
        <f>+M82</f>
        <v>0</v>
      </c>
      <c r="P82" s="909"/>
      <c r="Q82" s="909"/>
      <c r="R82" s="910"/>
      <c r="S82" s="698"/>
    </row>
    <row r="83" spans="1:19" ht="12" customHeight="1">
      <c r="A83" s="683" t="s">
        <v>127</v>
      </c>
      <c r="B83" s="683"/>
      <c r="C83" s="1558" t="s">
        <v>1099</v>
      </c>
      <c r="D83" s="1559">
        <f>SUM(D80:D82)</f>
        <v>1110.085</v>
      </c>
      <c r="E83" s="1408">
        <f t="shared" ref="E83:J83" si="14">SUM(E80:E82)</f>
        <v>0</v>
      </c>
      <c r="F83" s="700">
        <f t="shared" si="14"/>
        <v>1110.085</v>
      </c>
      <c r="G83" s="700">
        <f t="shared" si="14"/>
        <v>0</v>
      </c>
      <c r="H83" s="700">
        <f t="shared" si="14"/>
        <v>0</v>
      </c>
      <c r="I83" s="713">
        <f t="shared" si="14"/>
        <v>0</v>
      </c>
      <c r="J83" s="1559">
        <f t="shared" si="14"/>
        <v>0</v>
      </c>
      <c r="L83" s="1558" t="s">
        <v>1099</v>
      </c>
      <c r="M83" s="1559">
        <f t="shared" ref="M83:S83" si="15">SUM(M80:M82)</f>
        <v>0</v>
      </c>
      <c r="N83" s="1408">
        <f t="shared" si="15"/>
        <v>0</v>
      </c>
      <c r="O83" s="700">
        <f t="shared" si="15"/>
        <v>0</v>
      </c>
      <c r="P83" s="700">
        <f t="shared" si="15"/>
        <v>0</v>
      </c>
      <c r="Q83" s="700">
        <f t="shared" si="15"/>
        <v>0</v>
      </c>
      <c r="R83" s="713">
        <f t="shared" si="15"/>
        <v>0</v>
      </c>
      <c r="S83" s="1559">
        <f t="shared" si="15"/>
        <v>0</v>
      </c>
    </row>
    <row r="84" spans="1:19" ht="12" customHeight="1">
      <c r="A84" s="683" t="s">
        <v>1046</v>
      </c>
      <c r="B84" s="683"/>
      <c r="C84" s="1401"/>
      <c r="D84" s="1401"/>
      <c r="E84" s="1401"/>
      <c r="F84" s="1401"/>
      <c r="G84" s="1401"/>
      <c r="H84" s="1401"/>
      <c r="I84" s="1401"/>
      <c r="J84" s="1401"/>
      <c r="K84" s="683"/>
      <c r="L84" s="1416"/>
      <c r="M84" s="1416"/>
      <c r="N84" s="1416"/>
      <c r="O84" s="1416"/>
      <c r="P84" s="1416"/>
      <c r="Q84" s="1416"/>
      <c r="R84" s="1416"/>
      <c r="S84" s="1416"/>
    </row>
    <row r="85" spans="1:19" ht="12" customHeight="1">
      <c r="A85" s="683" t="s">
        <v>1046</v>
      </c>
      <c r="B85" s="683"/>
      <c r="C85" s="1401"/>
      <c r="D85" s="1401"/>
      <c r="E85" s="1401"/>
      <c r="F85" s="1401"/>
      <c r="G85" s="1401"/>
      <c r="H85" s="1401"/>
      <c r="I85" s="1401"/>
      <c r="J85" s="1401"/>
      <c r="K85" s="683"/>
      <c r="L85" s="1413"/>
      <c r="M85" s="1413"/>
      <c r="N85" s="1413"/>
      <c r="O85" s="1413"/>
      <c r="P85" s="1413"/>
      <c r="Q85" s="1413"/>
      <c r="R85" s="1413"/>
      <c r="S85" s="1413"/>
    </row>
    <row r="86" spans="1:19" ht="12" customHeight="1">
      <c r="A86" s="683">
        <v>2022</v>
      </c>
      <c r="B86" s="683"/>
      <c r="C86" s="695" t="s">
        <v>1100</v>
      </c>
      <c r="D86" s="964">
        <f t="array" ref="D86:D88">TRANSPOSE('ERT ANSP'!D54:F54)</f>
        <v>0</v>
      </c>
      <c r="E86" s="696"/>
      <c r="F86" s="703"/>
      <c r="G86" s="909"/>
      <c r="H86" s="909"/>
      <c r="I86" s="965">
        <f>D86</f>
        <v>0</v>
      </c>
      <c r="J86" s="698"/>
      <c r="L86" s="695" t="s">
        <v>1100</v>
      </c>
      <c r="M86" s="964">
        <f t="array" ref="M86:M88">TRANSPOSE('TRM ANSP'!D54:F54)</f>
        <v>0</v>
      </c>
      <c r="N86" s="696"/>
      <c r="O86" s="703"/>
      <c r="P86" s="909"/>
      <c r="Q86" s="909"/>
      <c r="R86" s="965">
        <f>M86</f>
        <v>0</v>
      </c>
      <c r="S86" s="698"/>
    </row>
    <row r="87" spans="1:19" ht="12" customHeight="1">
      <c r="A87" s="683">
        <v>2023</v>
      </c>
      <c r="B87" s="683"/>
      <c r="C87" s="695" t="s">
        <v>1101</v>
      </c>
      <c r="D87" s="964">
        <v>0</v>
      </c>
      <c r="E87" s="696"/>
      <c r="F87" s="703"/>
      <c r="G87" s="909"/>
      <c r="H87" s="909"/>
      <c r="I87" s="913"/>
      <c r="J87" s="964">
        <f>D87</f>
        <v>0</v>
      </c>
      <c r="L87" s="695" t="s">
        <v>1101</v>
      </c>
      <c r="M87" s="964">
        <v>0</v>
      </c>
      <c r="N87" s="696"/>
      <c r="O87" s="703"/>
      <c r="P87" s="909"/>
      <c r="Q87" s="909"/>
      <c r="R87" s="913"/>
      <c r="S87" s="964">
        <f>M87</f>
        <v>0</v>
      </c>
    </row>
    <row r="88" spans="1:19" ht="12" customHeight="1">
      <c r="A88" s="683">
        <v>2024</v>
      </c>
      <c r="B88" s="683"/>
      <c r="C88" s="705" t="s">
        <v>1102</v>
      </c>
      <c r="D88" s="964">
        <v>0</v>
      </c>
      <c r="E88" s="707"/>
      <c r="F88" s="911"/>
      <c r="G88" s="911"/>
      <c r="H88" s="911"/>
      <c r="I88" s="914"/>
      <c r="J88" s="706">
        <f>D88</f>
        <v>0</v>
      </c>
      <c r="L88" s="705" t="s">
        <v>1102</v>
      </c>
      <c r="M88" s="706">
        <v>0</v>
      </c>
      <c r="N88" s="707"/>
      <c r="O88" s="911"/>
      <c r="P88" s="911"/>
      <c r="Q88" s="911"/>
      <c r="R88" s="914"/>
      <c r="S88" s="706">
        <f>M88</f>
        <v>0</v>
      </c>
    </row>
    <row r="89" spans="1:19" ht="12" customHeight="1">
      <c r="A89" s="683" t="s">
        <v>12</v>
      </c>
      <c r="B89" s="683"/>
      <c r="C89" s="1561" t="s">
        <v>1103</v>
      </c>
      <c r="D89" s="1562">
        <f t="shared" ref="D89:J89" si="16">SUM(D83:D88)</f>
        <v>1110.085</v>
      </c>
      <c r="E89" s="1402">
        <f t="shared" si="16"/>
        <v>0</v>
      </c>
      <c r="F89" s="968">
        <f t="shared" si="16"/>
        <v>1110.085</v>
      </c>
      <c r="G89" s="968">
        <f t="shared" si="16"/>
        <v>0</v>
      </c>
      <c r="H89" s="968">
        <f t="shared" si="16"/>
        <v>0</v>
      </c>
      <c r="I89" s="969">
        <f t="shared" si="16"/>
        <v>0</v>
      </c>
      <c r="J89" s="1562">
        <f t="shared" si="16"/>
        <v>0</v>
      </c>
      <c r="L89" s="1561" t="s">
        <v>1103</v>
      </c>
      <c r="M89" s="1562">
        <f t="shared" ref="M89:S89" si="17">SUM(M83:M88)</f>
        <v>0</v>
      </c>
      <c r="N89" s="1402">
        <f t="shared" si="17"/>
        <v>0</v>
      </c>
      <c r="O89" s="968">
        <f t="shared" si="17"/>
        <v>0</v>
      </c>
      <c r="P89" s="968">
        <f t="shared" si="17"/>
        <v>0</v>
      </c>
      <c r="Q89" s="968">
        <f t="shared" si="17"/>
        <v>0</v>
      </c>
      <c r="R89" s="969">
        <f t="shared" si="17"/>
        <v>0</v>
      </c>
      <c r="S89" s="1562">
        <f t="shared" si="17"/>
        <v>0</v>
      </c>
    </row>
    <row r="90" spans="1:19" ht="4.1500000000000004" customHeight="1">
      <c r="A90" s="708"/>
      <c r="B90" s="708"/>
      <c r="C90" s="709"/>
      <c r="D90" s="709"/>
      <c r="E90" s="709"/>
      <c r="F90" s="709"/>
      <c r="G90" s="709"/>
      <c r="H90" s="709"/>
      <c r="I90" s="720"/>
      <c r="J90" s="709"/>
      <c r="L90" s="709"/>
      <c r="M90" s="709"/>
      <c r="N90" s="709"/>
      <c r="O90" s="709"/>
      <c r="P90" s="709"/>
      <c r="Q90" s="709"/>
      <c r="R90" s="720"/>
      <c r="S90" s="709"/>
    </row>
    <row r="91" spans="1:19" ht="12" customHeight="1">
      <c r="A91" s="683">
        <v>2017</v>
      </c>
      <c r="B91" s="683"/>
      <c r="C91" s="1394" t="s">
        <v>1104</v>
      </c>
      <c r="D91" s="1395">
        <v>0</v>
      </c>
      <c r="E91" s="1405">
        <v>0</v>
      </c>
      <c r="F91" s="1406">
        <v>0</v>
      </c>
      <c r="G91" s="1406">
        <v>0</v>
      </c>
      <c r="H91" s="1406">
        <v>0</v>
      </c>
      <c r="I91" s="1407">
        <v>0</v>
      </c>
      <c r="J91" s="1400"/>
      <c r="L91" s="1394" t="s">
        <v>1104</v>
      </c>
      <c r="M91" s="1395">
        <v>0</v>
      </c>
      <c r="N91" s="1405">
        <v>0</v>
      </c>
      <c r="O91" s="1406">
        <v>0</v>
      </c>
      <c r="P91" s="1406">
        <v>0</v>
      </c>
      <c r="Q91" s="1406">
        <v>0</v>
      </c>
      <c r="R91" s="1407">
        <v>0</v>
      </c>
      <c r="S91" s="1400"/>
    </row>
    <row r="92" spans="1:19" ht="12" customHeight="1">
      <c r="A92" s="683">
        <v>2018</v>
      </c>
      <c r="B92" s="683"/>
      <c r="C92" s="695" t="s">
        <v>1105</v>
      </c>
      <c r="D92" s="964">
        <v>0</v>
      </c>
      <c r="E92" s="710">
        <v>0</v>
      </c>
      <c r="F92" s="963">
        <v>0</v>
      </c>
      <c r="G92" s="963">
        <v>0</v>
      </c>
      <c r="H92" s="963">
        <v>0</v>
      </c>
      <c r="I92" s="965">
        <v>0</v>
      </c>
      <c r="J92" s="698"/>
      <c r="L92" s="695" t="s">
        <v>1105</v>
      </c>
      <c r="M92" s="964">
        <v>0</v>
      </c>
      <c r="N92" s="710">
        <f>+M92</f>
        <v>0</v>
      </c>
      <c r="O92" s="963">
        <v>0</v>
      </c>
      <c r="P92" s="963">
        <v>0</v>
      </c>
      <c r="Q92" s="963">
        <v>0</v>
      </c>
      <c r="R92" s="965">
        <v>0</v>
      </c>
      <c r="S92" s="698"/>
    </row>
    <row r="93" spans="1:19" ht="12" customHeight="1">
      <c r="A93" s="683">
        <v>2019</v>
      </c>
      <c r="B93" s="683"/>
      <c r="C93" s="695" t="s">
        <v>1106</v>
      </c>
      <c r="D93" s="706">
        <v>0</v>
      </c>
      <c r="E93" s="966"/>
      <c r="F93" s="711">
        <v>0</v>
      </c>
      <c r="G93" s="711">
        <v>0</v>
      </c>
      <c r="H93" s="711">
        <v>0</v>
      </c>
      <c r="I93" s="712">
        <v>0</v>
      </c>
      <c r="J93" s="698"/>
      <c r="L93" s="695" t="s">
        <v>1106</v>
      </c>
      <c r="M93" s="706">
        <v>0</v>
      </c>
      <c r="N93" s="966"/>
      <c r="O93" s="711">
        <f>+M93</f>
        <v>0</v>
      </c>
      <c r="P93" s="711">
        <v>0</v>
      </c>
      <c r="Q93" s="711">
        <v>0</v>
      </c>
      <c r="R93" s="712">
        <v>0</v>
      </c>
      <c r="S93" s="698"/>
    </row>
    <row r="94" spans="1:19" ht="12" customHeight="1">
      <c r="A94" s="683" t="s">
        <v>127</v>
      </c>
      <c r="B94" s="683"/>
      <c r="C94" s="1558" t="s">
        <v>1107</v>
      </c>
      <c r="D94" s="1559">
        <f t="shared" ref="D94:I94" si="18">SUM(D91:D93)</f>
        <v>0</v>
      </c>
      <c r="E94" s="1408">
        <f t="shared" si="18"/>
        <v>0</v>
      </c>
      <c r="F94" s="700">
        <f t="shared" si="18"/>
        <v>0</v>
      </c>
      <c r="G94" s="700">
        <f t="shared" si="18"/>
        <v>0</v>
      </c>
      <c r="H94" s="700">
        <f t="shared" si="18"/>
        <v>0</v>
      </c>
      <c r="I94" s="713">
        <f t="shared" si="18"/>
        <v>0</v>
      </c>
      <c r="J94" s="1559"/>
      <c r="L94" s="1558" t="s">
        <v>1107</v>
      </c>
      <c r="M94" s="1559">
        <f t="shared" ref="M94:R94" si="19">SUM(M91:M93)</f>
        <v>0</v>
      </c>
      <c r="N94" s="1408">
        <f t="shared" si="19"/>
        <v>0</v>
      </c>
      <c r="O94" s="700">
        <f t="shared" si="19"/>
        <v>0</v>
      </c>
      <c r="P94" s="700">
        <f t="shared" si="19"/>
        <v>0</v>
      </c>
      <c r="Q94" s="700">
        <f t="shared" si="19"/>
        <v>0</v>
      </c>
      <c r="R94" s="713">
        <f t="shared" si="19"/>
        <v>0</v>
      </c>
      <c r="S94" s="1564"/>
    </row>
    <row r="95" spans="1:19" ht="12" customHeight="1">
      <c r="A95" s="683" t="s">
        <v>1046</v>
      </c>
      <c r="B95" s="683"/>
      <c r="C95" s="1401"/>
      <c r="D95" s="1401"/>
      <c r="E95" s="1401"/>
      <c r="F95" s="1401"/>
      <c r="G95" s="1401"/>
      <c r="H95" s="1401"/>
      <c r="I95" s="1401"/>
      <c r="J95" s="1401"/>
      <c r="K95" s="683"/>
      <c r="L95" s="1401"/>
      <c r="M95" s="1401"/>
      <c r="N95" s="1401"/>
      <c r="O95" s="1401"/>
      <c r="P95" s="1401"/>
      <c r="Q95" s="1401"/>
      <c r="R95" s="1401"/>
      <c r="S95" s="1401"/>
    </row>
    <row r="96" spans="1:19" ht="12" customHeight="1">
      <c r="A96" s="683" t="s">
        <v>1047</v>
      </c>
      <c r="B96" s="683"/>
      <c r="C96" s="695" t="s">
        <v>1108</v>
      </c>
      <c r="D96" s="964">
        <f t="array" ref="D96:D99">TRANSPOSE('ERT ANSP'!C59:F59)</f>
        <v>0</v>
      </c>
      <c r="E96" s="696"/>
      <c r="F96" s="703"/>
      <c r="G96" s="909"/>
      <c r="H96" s="963">
        <f>+D96</f>
        <v>0</v>
      </c>
      <c r="I96" s="910"/>
      <c r="J96" s="698"/>
      <c r="L96" s="695" t="s">
        <v>1108</v>
      </c>
      <c r="M96" s="964">
        <f t="array" ref="M96:M99">TRANSPOSE('TRM ANSP'!C59:F59)</f>
        <v>0</v>
      </c>
      <c r="N96" s="696"/>
      <c r="O96" s="703"/>
      <c r="P96" s="909"/>
      <c r="Q96" s="963">
        <f>+M96</f>
        <v>0</v>
      </c>
      <c r="R96" s="910"/>
      <c r="S96" s="698"/>
    </row>
    <row r="97" spans="1:19" ht="12" customHeight="1">
      <c r="A97" s="683">
        <v>2022</v>
      </c>
      <c r="B97" s="683"/>
      <c r="C97" s="695" t="s">
        <v>1109</v>
      </c>
      <c r="D97" s="964">
        <v>0</v>
      </c>
      <c r="E97" s="696"/>
      <c r="F97" s="703"/>
      <c r="G97" s="909"/>
      <c r="H97" s="909"/>
      <c r="I97" s="965">
        <f>+D97</f>
        <v>0</v>
      </c>
      <c r="J97" s="698"/>
      <c r="L97" s="695" t="s">
        <v>1109</v>
      </c>
      <c r="M97" s="964">
        <v>0</v>
      </c>
      <c r="N97" s="696"/>
      <c r="O97" s="703"/>
      <c r="P97" s="909"/>
      <c r="Q97" s="909"/>
      <c r="R97" s="965">
        <f>+M97</f>
        <v>0</v>
      </c>
      <c r="S97" s="698"/>
    </row>
    <row r="98" spans="1:19" ht="12" customHeight="1">
      <c r="A98" s="683">
        <v>2023</v>
      </c>
      <c r="B98" s="683"/>
      <c r="C98" s="695" t="s">
        <v>1110</v>
      </c>
      <c r="D98" s="964">
        <v>0</v>
      </c>
      <c r="E98" s="696"/>
      <c r="F98" s="703"/>
      <c r="G98" s="909"/>
      <c r="H98" s="909"/>
      <c r="I98" s="913"/>
      <c r="J98" s="964">
        <f>+D98</f>
        <v>0</v>
      </c>
      <c r="L98" s="695" t="s">
        <v>1110</v>
      </c>
      <c r="M98" s="964">
        <v>0</v>
      </c>
      <c r="N98" s="696"/>
      <c r="O98" s="703"/>
      <c r="P98" s="909"/>
      <c r="Q98" s="909"/>
      <c r="R98" s="913"/>
      <c r="S98" s="964">
        <f>+M98</f>
        <v>0</v>
      </c>
    </row>
    <row r="99" spans="1:19" ht="12" customHeight="1">
      <c r="A99" s="683">
        <v>2024</v>
      </c>
      <c r="B99" s="683"/>
      <c r="C99" s="705" t="s">
        <v>1111</v>
      </c>
      <c r="D99" s="706">
        <v>0</v>
      </c>
      <c r="E99" s="707"/>
      <c r="F99" s="911"/>
      <c r="G99" s="911"/>
      <c r="H99" s="911"/>
      <c r="I99" s="914"/>
      <c r="J99" s="706">
        <f>+D99</f>
        <v>0</v>
      </c>
      <c r="L99" s="705" t="s">
        <v>1111</v>
      </c>
      <c r="M99" s="706">
        <v>0</v>
      </c>
      <c r="N99" s="707"/>
      <c r="O99" s="911"/>
      <c r="P99" s="911"/>
      <c r="Q99" s="911"/>
      <c r="R99" s="914"/>
      <c r="S99" s="706">
        <f>+M99</f>
        <v>0</v>
      </c>
    </row>
    <row r="100" spans="1:19" ht="12" customHeight="1">
      <c r="A100" s="683" t="s">
        <v>12</v>
      </c>
      <c r="B100" s="683"/>
      <c r="C100" s="1561" t="s">
        <v>1112</v>
      </c>
      <c r="D100" s="1562">
        <f>SUM(D94:D99)</f>
        <v>0</v>
      </c>
      <c r="E100" s="1402">
        <f t="shared" ref="E100:J100" si="20">SUM(E94:E99)</f>
        <v>0</v>
      </c>
      <c r="F100" s="968">
        <f t="shared" si="20"/>
        <v>0</v>
      </c>
      <c r="G100" s="968">
        <f t="shared" si="20"/>
        <v>0</v>
      </c>
      <c r="H100" s="968">
        <f t="shared" si="20"/>
        <v>0</v>
      </c>
      <c r="I100" s="969">
        <f t="shared" si="20"/>
        <v>0</v>
      </c>
      <c r="J100" s="1562">
        <f t="shared" si="20"/>
        <v>0</v>
      </c>
      <c r="L100" s="1561" t="s">
        <v>1112</v>
      </c>
      <c r="M100" s="1562">
        <f t="shared" ref="M100:S100" si="21">SUM(M94:M99)</f>
        <v>0</v>
      </c>
      <c r="N100" s="1402">
        <f t="shared" si="21"/>
        <v>0</v>
      </c>
      <c r="O100" s="968">
        <f t="shared" si="21"/>
        <v>0</v>
      </c>
      <c r="P100" s="968">
        <f t="shared" si="21"/>
        <v>0</v>
      </c>
      <c r="Q100" s="968">
        <f t="shared" si="21"/>
        <v>0</v>
      </c>
      <c r="R100" s="969">
        <f t="shared" si="21"/>
        <v>0</v>
      </c>
      <c r="S100" s="1562">
        <f t="shared" si="21"/>
        <v>0</v>
      </c>
    </row>
    <row r="101" spans="1:19" ht="4.9000000000000004" customHeight="1">
      <c r="A101" s="708"/>
      <c r="B101" s="708"/>
      <c r="C101" s="709"/>
      <c r="D101" s="709"/>
      <c r="E101" s="719"/>
      <c r="F101" s="719"/>
      <c r="G101" s="719"/>
      <c r="H101" s="719"/>
      <c r="I101" s="719"/>
      <c r="J101" s="719"/>
      <c r="L101" s="709"/>
      <c r="M101" s="709"/>
      <c r="N101" s="719"/>
      <c r="O101" s="719"/>
      <c r="P101" s="719"/>
      <c r="Q101" s="719"/>
      <c r="R101" s="719"/>
      <c r="S101" s="719"/>
    </row>
    <row r="102" spans="1:19" ht="12" customHeight="1">
      <c r="A102" s="683">
        <v>2017</v>
      </c>
      <c r="B102" s="683"/>
      <c r="C102" s="1394" t="s">
        <v>1113</v>
      </c>
      <c r="D102" s="1395">
        <v>0</v>
      </c>
      <c r="E102" s="1405">
        <v>0</v>
      </c>
      <c r="F102" s="1406">
        <v>0</v>
      </c>
      <c r="G102" s="1406">
        <v>0</v>
      </c>
      <c r="H102" s="1406">
        <v>0</v>
      </c>
      <c r="I102" s="1407">
        <v>0</v>
      </c>
      <c r="J102" s="1395">
        <f t="shared" ref="J102:J110" si="22">D102-SUM(E102:I102)</f>
        <v>0</v>
      </c>
      <c r="L102" s="1394" t="s">
        <v>1113</v>
      </c>
      <c r="M102" s="1395">
        <v>0</v>
      </c>
      <c r="N102" s="1405">
        <v>0</v>
      </c>
      <c r="O102" s="1406">
        <v>0</v>
      </c>
      <c r="P102" s="1406">
        <v>0</v>
      </c>
      <c r="Q102" s="1406">
        <v>0</v>
      </c>
      <c r="R102" s="1417">
        <v>0</v>
      </c>
      <c r="S102" s="1395">
        <f>M102-SUM(N102:R102)</f>
        <v>0</v>
      </c>
    </row>
    <row r="103" spans="1:19" ht="12" customHeight="1">
      <c r="A103" s="683">
        <v>2018</v>
      </c>
      <c r="B103" s="683"/>
      <c r="C103" s="695" t="s">
        <v>1114</v>
      </c>
      <c r="D103" s="964">
        <v>760</v>
      </c>
      <c r="E103" s="710">
        <v>760</v>
      </c>
      <c r="F103" s="963">
        <v>0</v>
      </c>
      <c r="G103" s="963">
        <v>0</v>
      </c>
      <c r="H103" s="963">
        <v>0</v>
      </c>
      <c r="I103" s="965">
        <v>0</v>
      </c>
      <c r="J103" s="964">
        <f t="shared" si="22"/>
        <v>0</v>
      </c>
      <c r="L103" s="695" t="s">
        <v>1114</v>
      </c>
      <c r="M103" s="964">
        <v>520.78671354940036</v>
      </c>
      <c r="N103" s="710">
        <f>M103</f>
        <v>520.78671354940036</v>
      </c>
      <c r="O103" s="963">
        <v>0</v>
      </c>
      <c r="P103" s="963">
        <v>0</v>
      </c>
      <c r="Q103" s="963">
        <v>0</v>
      </c>
      <c r="R103" s="754">
        <v>0</v>
      </c>
      <c r="S103" s="964">
        <f>M103-SUM(N103:R103)</f>
        <v>0</v>
      </c>
    </row>
    <row r="104" spans="1:19" ht="12" customHeight="1">
      <c r="A104" s="683">
        <v>2019</v>
      </c>
      <c r="B104" s="683"/>
      <c r="C104" s="695" t="s">
        <v>1115</v>
      </c>
      <c r="D104" s="706">
        <v>673.81093071647001</v>
      </c>
      <c r="E104" s="966"/>
      <c r="F104" s="711">
        <v>673.81093071647001</v>
      </c>
      <c r="G104" s="711">
        <v>0</v>
      </c>
      <c r="H104" s="711">
        <v>0</v>
      </c>
      <c r="I104" s="712">
        <v>0</v>
      </c>
      <c r="J104" s="706">
        <f t="shared" si="22"/>
        <v>0</v>
      </c>
      <c r="L104" s="695" t="s">
        <v>1115</v>
      </c>
      <c r="M104" s="706">
        <v>681.75020643362996</v>
      </c>
      <c r="N104" s="966"/>
      <c r="O104" s="711">
        <f>M104</f>
        <v>681.75020643362996</v>
      </c>
      <c r="P104" s="711">
        <v>0</v>
      </c>
      <c r="Q104" s="711">
        <v>0</v>
      </c>
      <c r="R104" s="1418">
        <v>0</v>
      </c>
      <c r="S104" s="706">
        <f>M104-SUM(N104:R104)</f>
        <v>0</v>
      </c>
    </row>
    <row r="105" spans="1:19" ht="12" customHeight="1">
      <c r="A105" s="683" t="s">
        <v>127</v>
      </c>
      <c r="B105" s="683"/>
      <c r="C105" s="1558" t="s">
        <v>1116</v>
      </c>
      <c r="D105" s="1559">
        <f t="shared" ref="D105:J105" si="23">SUM(D102:D104)</f>
        <v>1433.81093071647</v>
      </c>
      <c r="E105" s="1408">
        <f t="shared" si="23"/>
        <v>760</v>
      </c>
      <c r="F105" s="700">
        <f t="shared" si="23"/>
        <v>673.81093071647001</v>
      </c>
      <c r="G105" s="700">
        <f t="shared" si="23"/>
        <v>0</v>
      </c>
      <c r="H105" s="700">
        <f t="shared" si="23"/>
        <v>0</v>
      </c>
      <c r="I105" s="713">
        <f t="shared" si="23"/>
        <v>0</v>
      </c>
      <c r="J105" s="1559">
        <f t="shared" si="23"/>
        <v>0</v>
      </c>
      <c r="L105" s="1558" t="s">
        <v>1116</v>
      </c>
      <c r="M105" s="1559">
        <f t="shared" ref="M105:S105" si="24">SUM(M102:M104)</f>
        <v>1202.5369199830302</v>
      </c>
      <c r="N105" s="1408">
        <f t="shared" si="24"/>
        <v>520.78671354940036</v>
      </c>
      <c r="O105" s="700">
        <f t="shared" si="24"/>
        <v>681.75020643362996</v>
      </c>
      <c r="P105" s="700">
        <f t="shared" si="24"/>
        <v>0</v>
      </c>
      <c r="Q105" s="700">
        <f t="shared" si="24"/>
        <v>0</v>
      </c>
      <c r="R105" s="713">
        <f t="shared" si="24"/>
        <v>0</v>
      </c>
      <c r="S105" s="1559">
        <f t="shared" si="24"/>
        <v>0</v>
      </c>
    </row>
    <row r="106" spans="1:19" ht="12" customHeight="1">
      <c r="A106" s="683" t="s">
        <v>870</v>
      </c>
      <c r="C106" s="695" t="s">
        <v>1117</v>
      </c>
      <c r="D106" s="964">
        <f>(E14+E25+E78+E83+E94+E105+E111+E122+E133+E144+E155)*-('ANSP ERT'!O68/'ERT ANSP'!C104-1)</f>
        <v>-5543.9933181534598</v>
      </c>
      <c r="E106" s="721"/>
      <c r="F106" s="959"/>
      <c r="G106" s="1419">
        <f>D106</f>
        <v>-5543.9933181534598</v>
      </c>
      <c r="H106" s="1419">
        <v>0</v>
      </c>
      <c r="I106" s="1420">
        <v>0</v>
      </c>
      <c r="J106" s="964">
        <f>D106-SUM(E106:I106)</f>
        <v>0</v>
      </c>
      <c r="K106" s="683"/>
      <c r="L106" s="755" t="s">
        <v>1117</v>
      </c>
      <c r="M106" s="964">
        <f>(N14+N25+N78+N83+N94+N105+N111+N122+N133+N144+N155)*-('ANSP TRM'!O68/'TRM ANSP'!C104-1)</f>
        <v>-2758.1343854107445</v>
      </c>
      <c r="N106" s="1421"/>
      <c r="O106" s="1422"/>
      <c r="P106" s="1419">
        <f>M106</f>
        <v>-2758.1343854107445</v>
      </c>
      <c r="Q106" s="1419">
        <v>0</v>
      </c>
      <c r="R106" s="1419">
        <v>0</v>
      </c>
      <c r="S106" s="1395">
        <f>M106-SUM(N106:R106)</f>
        <v>0</v>
      </c>
    </row>
    <row r="107" spans="1:19" ht="12" customHeight="1">
      <c r="A107" s="683" t="s">
        <v>870</v>
      </c>
      <c r="B107" s="683"/>
      <c r="C107" s="695" t="s">
        <v>1118</v>
      </c>
      <c r="D107" s="982">
        <f>(F14+F25+F78+F83+F94+F105+F111+F122+F133+F144+F155)*-('ANSP ERT'!P68/'ERT ANSP'!C105-1)</f>
        <v>-5514.8897242198855</v>
      </c>
      <c r="E107" s="721"/>
      <c r="F107" s="959"/>
      <c r="G107" s="959"/>
      <c r="H107" s="971">
        <f>+D107</f>
        <v>-5514.8897242198855</v>
      </c>
      <c r="I107" s="972">
        <v>0</v>
      </c>
      <c r="J107" s="964">
        <f>D107-SUM(E107:I107)</f>
        <v>0</v>
      </c>
      <c r="L107" s="755" t="s">
        <v>1118</v>
      </c>
      <c r="M107" s="982">
        <f>(O14+O25+O78+O83+O94+O105+O111+O122+O133+O144+O155)*-('ANSP TRM'!P68/'TRM ANSP'!C105-1)</f>
        <v>-2785.0257965586625</v>
      </c>
      <c r="N107" s="722"/>
      <c r="O107" s="909"/>
      <c r="P107" s="723"/>
      <c r="Q107" s="971">
        <f>+M107</f>
        <v>-2785.0257965586625</v>
      </c>
      <c r="R107" s="972">
        <v>0</v>
      </c>
      <c r="S107" s="964">
        <f>M107-SUM(N107:R107)</f>
        <v>0</v>
      </c>
    </row>
    <row r="108" spans="1:19" ht="12" customHeight="1">
      <c r="A108" s="683">
        <v>2022</v>
      </c>
      <c r="B108" s="683"/>
      <c r="C108" s="695" t="s">
        <v>1119</v>
      </c>
      <c r="D108" s="964">
        <f>(G14+G25+G78+G83+G94+G105+G111+G122+G133+G144+G155)*-'ERT ANSP'!D40</f>
        <v>0</v>
      </c>
      <c r="E108" s="722"/>
      <c r="F108" s="909"/>
      <c r="G108" s="723"/>
      <c r="H108" s="724"/>
      <c r="I108" s="972">
        <f>+D108</f>
        <v>0</v>
      </c>
      <c r="J108" s="964">
        <f t="shared" si="22"/>
        <v>0</v>
      </c>
      <c r="L108" s="755" t="s">
        <v>1119</v>
      </c>
      <c r="M108" s="964">
        <f>(N16+N27+N80+N85+N96+N107+N113+N124+N135+N146+N157)*-'TRM ANSP'!D40</f>
        <v>0</v>
      </c>
      <c r="N108" s="722"/>
      <c r="O108" s="909"/>
      <c r="P108" s="723"/>
      <c r="Q108" s="724"/>
      <c r="R108" s="972">
        <f>+M108</f>
        <v>0</v>
      </c>
      <c r="S108" s="964">
        <f>M108-SUM(N108:R108)</f>
        <v>0</v>
      </c>
    </row>
    <row r="109" spans="1:19" ht="12" customHeight="1">
      <c r="A109" s="683">
        <v>2023</v>
      </c>
      <c r="B109" s="683"/>
      <c r="C109" s="695" t="s">
        <v>1120</v>
      </c>
      <c r="D109" s="964">
        <f>(H14+H25+H78+H83+H94+H105+H111+H122+H133+H144+H155)*-'ERT ANSP'!E40</f>
        <v>0</v>
      </c>
      <c r="E109" s="722"/>
      <c r="F109" s="909"/>
      <c r="G109" s="723"/>
      <c r="H109" s="723"/>
      <c r="I109" s="725"/>
      <c r="J109" s="964">
        <f t="shared" si="22"/>
        <v>0</v>
      </c>
      <c r="L109" s="755" t="s">
        <v>1120</v>
      </c>
      <c r="M109" s="964">
        <f>(N17+N28+N81+N86+N97+N108+N114+N125+N136+N147+N158)*-'TRM ANSP'!D41</f>
        <v>0</v>
      </c>
      <c r="N109" s="722"/>
      <c r="O109" s="909"/>
      <c r="P109" s="723"/>
      <c r="Q109" s="723"/>
      <c r="R109" s="725"/>
      <c r="S109" s="964">
        <f>M109-SUM(N109:R109)</f>
        <v>0</v>
      </c>
    </row>
    <row r="110" spans="1:19" ht="12" customHeight="1">
      <c r="A110" s="683">
        <v>2024</v>
      </c>
      <c r="B110" s="683"/>
      <c r="C110" s="705" t="s">
        <v>1121</v>
      </c>
      <c r="D110" s="706">
        <f>(I14+I25+I78+I83+I94+I105+I111+I122+I133+I144+I155)*-'ERT ANSP'!F40</f>
        <v>0</v>
      </c>
      <c r="E110" s="722"/>
      <c r="F110" s="909"/>
      <c r="G110" s="723"/>
      <c r="H110" s="723"/>
      <c r="I110" s="725"/>
      <c r="J110" s="706">
        <f t="shared" si="22"/>
        <v>0</v>
      </c>
      <c r="L110" s="756" t="s">
        <v>1121</v>
      </c>
      <c r="M110" s="706">
        <f>(N18+N29+N82+N87+N98+N109+N115+N126+N137+N148+N159)*-'TRM ANSP'!D42</f>
        <v>0</v>
      </c>
      <c r="N110" s="731"/>
      <c r="O110" s="912"/>
      <c r="P110" s="732"/>
      <c r="Q110" s="732"/>
      <c r="R110" s="757"/>
      <c r="S110" s="706">
        <f>M110-SUM(N110:R110)</f>
        <v>0</v>
      </c>
    </row>
    <row r="111" spans="1:19" ht="12" customHeight="1">
      <c r="A111" s="683" t="s">
        <v>127</v>
      </c>
      <c r="B111" s="683"/>
      <c r="C111" s="1558" t="s">
        <v>1122</v>
      </c>
      <c r="D111" s="1559">
        <f t="shared" ref="D111:J111" si="25">SUM(D106:D110)</f>
        <v>-11058.883042373345</v>
      </c>
      <c r="E111" s="1408">
        <f t="shared" si="25"/>
        <v>0</v>
      </c>
      <c r="F111" s="700">
        <f t="shared" si="25"/>
        <v>0</v>
      </c>
      <c r="G111" s="700">
        <f t="shared" si="25"/>
        <v>-5543.9933181534598</v>
      </c>
      <c r="H111" s="700">
        <f t="shared" si="25"/>
        <v>-5514.8897242198855</v>
      </c>
      <c r="I111" s="713">
        <f t="shared" si="25"/>
        <v>0</v>
      </c>
      <c r="J111" s="1559">
        <f t="shared" si="25"/>
        <v>0</v>
      </c>
      <c r="L111" s="1558" t="s">
        <v>1122</v>
      </c>
      <c r="M111" s="706">
        <f t="shared" ref="M111:S111" si="26">SUM(M106:M110)</f>
        <v>-5543.1601819694069</v>
      </c>
      <c r="N111" s="1408">
        <f t="shared" si="26"/>
        <v>0</v>
      </c>
      <c r="O111" s="700">
        <f t="shared" si="26"/>
        <v>0</v>
      </c>
      <c r="P111" s="700">
        <f t="shared" si="26"/>
        <v>-2758.1343854107445</v>
      </c>
      <c r="Q111" s="700">
        <f t="shared" si="26"/>
        <v>-2785.0257965586625</v>
      </c>
      <c r="R111" s="713">
        <f t="shared" si="26"/>
        <v>0</v>
      </c>
      <c r="S111" s="1559">
        <f t="shared" si="26"/>
        <v>0</v>
      </c>
    </row>
    <row r="112" spans="1:19" ht="12" customHeight="1">
      <c r="A112" s="683" t="s">
        <v>1046</v>
      </c>
      <c r="B112" s="683"/>
      <c r="C112" s="1401"/>
      <c r="D112" s="1401"/>
      <c r="E112" s="1401"/>
      <c r="F112" s="1401"/>
      <c r="G112" s="1401"/>
      <c r="H112" s="1401"/>
      <c r="I112" s="1401"/>
      <c r="J112" s="1401"/>
      <c r="K112" s="683"/>
      <c r="L112" s="1401"/>
      <c r="M112" s="1401"/>
      <c r="N112" s="1401"/>
      <c r="O112" s="1401"/>
      <c r="P112" s="1401"/>
      <c r="Q112" s="1401"/>
      <c r="R112" s="1401"/>
      <c r="S112" s="1401"/>
    </row>
    <row r="113" spans="1:19" ht="12" customHeight="1">
      <c r="A113" s="683" t="s">
        <v>1047</v>
      </c>
      <c r="B113" s="683"/>
      <c r="C113" s="695" t="s">
        <v>1123</v>
      </c>
      <c r="D113" s="964">
        <f t="array" ref="D113:D116">TRANSPOSE('ERT ANSP'!C46:F46)</f>
        <v>0</v>
      </c>
      <c r="E113" s="696"/>
      <c r="F113" s="703"/>
      <c r="G113" s="909"/>
      <c r="H113" s="971">
        <f>D113</f>
        <v>0</v>
      </c>
      <c r="I113" s="963">
        <f>D113-H113</f>
        <v>0</v>
      </c>
      <c r="J113" s="698"/>
      <c r="L113" s="695" t="s">
        <v>1123</v>
      </c>
      <c r="M113" s="964">
        <f t="array" ref="M113:M116">TRANSPOSE('TRM ANSP'!C46:F46)</f>
        <v>0</v>
      </c>
      <c r="N113" s="696"/>
      <c r="O113" s="703"/>
      <c r="P113" s="909"/>
      <c r="Q113" s="971">
        <f>M113</f>
        <v>0</v>
      </c>
      <c r="R113" s="963">
        <f>M113-Q113</f>
        <v>0</v>
      </c>
      <c r="S113" s="698"/>
    </row>
    <row r="114" spans="1:19" ht="12" customHeight="1">
      <c r="A114" s="683">
        <v>2022</v>
      </c>
      <c r="B114" s="683"/>
      <c r="C114" s="695" t="s">
        <v>1124</v>
      </c>
      <c r="D114" s="964">
        <v>0</v>
      </c>
      <c r="E114" s="696"/>
      <c r="F114" s="703"/>
      <c r="G114" s="909"/>
      <c r="H114" s="909"/>
      <c r="I114" s="965">
        <f>D114</f>
        <v>0</v>
      </c>
      <c r="J114" s="698"/>
      <c r="L114" s="695" t="s">
        <v>1124</v>
      </c>
      <c r="M114" s="964">
        <v>0</v>
      </c>
      <c r="N114" s="696"/>
      <c r="O114" s="703"/>
      <c r="P114" s="909"/>
      <c r="Q114" s="909"/>
      <c r="R114" s="965">
        <f>M114</f>
        <v>0</v>
      </c>
      <c r="S114" s="698"/>
    </row>
    <row r="115" spans="1:19" ht="12" customHeight="1">
      <c r="A115" s="683">
        <v>2023</v>
      </c>
      <c r="B115" s="683"/>
      <c r="C115" s="695" t="s">
        <v>1125</v>
      </c>
      <c r="D115" s="964">
        <v>0</v>
      </c>
      <c r="E115" s="696"/>
      <c r="F115" s="703"/>
      <c r="G115" s="909"/>
      <c r="H115" s="909"/>
      <c r="I115" s="913"/>
      <c r="J115" s="964">
        <f>D115</f>
        <v>0</v>
      </c>
      <c r="L115" s="695" t="s">
        <v>1125</v>
      </c>
      <c r="M115" s="964">
        <v>0</v>
      </c>
      <c r="N115" s="696"/>
      <c r="O115" s="703"/>
      <c r="P115" s="909"/>
      <c r="Q115" s="909"/>
      <c r="R115" s="913"/>
      <c r="S115" s="964">
        <f>M115</f>
        <v>0</v>
      </c>
    </row>
    <row r="116" spans="1:19" ht="12" customHeight="1">
      <c r="A116" s="683">
        <v>2024</v>
      </c>
      <c r="B116" s="683"/>
      <c r="C116" s="705" t="s">
        <v>1126</v>
      </c>
      <c r="D116" s="706">
        <v>0</v>
      </c>
      <c r="E116" s="707"/>
      <c r="F116" s="911"/>
      <c r="G116" s="911"/>
      <c r="H116" s="911"/>
      <c r="I116" s="914"/>
      <c r="J116" s="706">
        <f>D116</f>
        <v>0</v>
      </c>
      <c r="L116" s="705" t="s">
        <v>1126</v>
      </c>
      <c r="M116" s="706">
        <v>0</v>
      </c>
      <c r="N116" s="707"/>
      <c r="O116" s="911"/>
      <c r="P116" s="911"/>
      <c r="Q116" s="911"/>
      <c r="R116" s="914"/>
      <c r="S116" s="706">
        <f>M116</f>
        <v>0</v>
      </c>
    </row>
    <row r="117" spans="1:19" ht="12" customHeight="1">
      <c r="A117" s="683" t="s">
        <v>12</v>
      </c>
      <c r="B117" s="683"/>
      <c r="C117" s="1561" t="s">
        <v>1127</v>
      </c>
      <c r="D117" s="1562">
        <f t="shared" ref="D117:J117" si="27">D105+SUM(D111:D116)</f>
        <v>-9625.0721116568748</v>
      </c>
      <c r="E117" s="1402">
        <f t="shared" si="27"/>
        <v>760</v>
      </c>
      <c r="F117" s="968">
        <f t="shared" si="27"/>
        <v>673.81093071647001</v>
      </c>
      <c r="G117" s="968">
        <f t="shared" si="27"/>
        <v>-5543.9933181534598</v>
      </c>
      <c r="H117" s="968">
        <f t="shared" si="27"/>
        <v>-5514.8897242198855</v>
      </c>
      <c r="I117" s="969">
        <f t="shared" si="27"/>
        <v>0</v>
      </c>
      <c r="J117" s="1562">
        <f t="shared" si="27"/>
        <v>0</v>
      </c>
      <c r="L117" s="1561" t="s">
        <v>1127</v>
      </c>
      <c r="M117" s="1562">
        <f t="shared" ref="M117:S117" si="28">M105+SUM(M111:M116)</f>
        <v>-4340.6232619863767</v>
      </c>
      <c r="N117" s="1402">
        <f t="shared" si="28"/>
        <v>520.78671354940036</v>
      </c>
      <c r="O117" s="968">
        <f t="shared" si="28"/>
        <v>681.75020643362996</v>
      </c>
      <c r="P117" s="968">
        <f t="shared" si="28"/>
        <v>-2758.1343854107445</v>
      </c>
      <c r="Q117" s="968">
        <f t="shared" si="28"/>
        <v>-2785.0257965586625</v>
      </c>
      <c r="R117" s="969">
        <f t="shared" si="28"/>
        <v>0</v>
      </c>
      <c r="S117" s="1562">
        <f t="shared" si="28"/>
        <v>0</v>
      </c>
    </row>
    <row r="118" spans="1:19" ht="4.1500000000000004" customHeight="1">
      <c r="A118" s="708"/>
      <c r="B118" s="708"/>
      <c r="C118" s="726"/>
      <c r="L118" s="726"/>
      <c r="O118" s="686"/>
    </row>
    <row r="119" spans="1:19" ht="12" customHeight="1">
      <c r="A119" s="683">
        <v>2017</v>
      </c>
      <c r="B119" s="683"/>
      <c r="C119" s="1394" t="s">
        <v>1128</v>
      </c>
      <c r="D119" s="1423">
        <v>0</v>
      </c>
      <c r="E119" s="1405">
        <v>0</v>
      </c>
      <c r="F119" s="1406">
        <v>0</v>
      </c>
      <c r="G119" s="1419">
        <v>0</v>
      </c>
      <c r="H119" s="1419">
        <v>0</v>
      </c>
      <c r="I119" s="1420">
        <v>0</v>
      </c>
      <c r="J119" s="1395">
        <f t="shared" ref="J119:J127" si="29">D119-SUM(E119:I119)</f>
        <v>0</v>
      </c>
      <c r="L119" s="1394" t="s">
        <v>1128</v>
      </c>
      <c r="M119" s="1420">
        <v>0</v>
      </c>
      <c r="N119" s="1405">
        <v>0</v>
      </c>
      <c r="O119" s="1406">
        <v>0</v>
      </c>
      <c r="P119" s="1419">
        <v>0</v>
      </c>
      <c r="Q119" s="1419">
        <v>0</v>
      </c>
      <c r="R119" s="1420">
        <v>0</v>
      </c>
      <c r="S119" s="1395">
        <f t="shared" ref="S119:S127" si="30">M119-SUM(N119:R119)</f>
        <v>0</v>
      </c>
    </row>
    <row r="120" spans="1:19" ht="12" customHeight="1">
      <c r="A120" s="683">
        <v>2018</v>
      </c>
      <c r="B120" s="683"/>
      <c r="C120" s="695" t="s">
        <v>1129</v>
      </c>
      <c r="D120" s="727">
        <v>0</v>
      </c>
      <c r="E120" s="710">
        <v>0</v>
      </c>
      <c r="F120" s="963">
        <v>0</v>
      </c>
      <c r="G120" s="971">
        <v>0</v>
      </c>
      <c r="H120" s="971">
        <v>0</v>
      </c>
      <c r="I120" s="972">
        <v>0</v>
      </c>
      <c r="J120" s="964">
        <f t="shared" si="29"/>
        <v>0</v>
      </c>
      <c r="L120" s="695" t="s">
        <v>1129</v>
      </c>
      <c r="M120" s="972">
        <v>0</v>
      </c>
      <c r="N120" s="710">
        <f>M120</f>
        <v>0</v>
      </c>
      <c r="O120" s="963">
        <v>0</v>
      </c>
      <c r="P120" s="971">
        <v>0</v>
      </c>
      <c r="Q120" s="971">
        <v>0</v>
      </c>
      <c r="R120" s="972">
        <v>0</v>
      </c>
      <c r="S120" s="964">
        <f t="shared" si="30"/>
        <v>0</v>
      </c>
    </row>
    <row r="121" spans="1:19" ht="12" customHeight="1">
      <c r="A121" s="683">
        <v>2019</v>
      </c>
      <c r="B121" s="683"/>
      <c r="C121" s="695" t="s">
        <v>1130</v>
      </c>
      <c r="D121" s="728">
        <v>0</v>
      </c>
      <c r="E121" s="710">
        <v>0</v>
      </c>
      <c r="F121" s="711">
        <v>0</v>
      </c>
      <c r="G121" s="729">
        <v>0</v>
      </c>
      <c r="H121" s="729">
        <v>0</v>
      </c>
      <c r="I121" s="730">
        <v>0</v>
      </c>
      <c r="J121" s="706">
        <f t="shared" si="29"/>
        <v>0</v>
      </c>
      <c r="L121" s="695" t="s">
        <v>1130</v>
      </c>
      <c r="M121" s="730">
        <v>0</v>
      </c>
      <c r="N121" s="710">
        <v>0</v>
      </c>
      <c r="O121" s="711">
        <f>M121</f>
        <v>0</v>
      </c>
      <c r="P121" s="729">
        <v>0</v>
      </c>
      <c r="Q121" s="729">
        <v>0</v>
      </c>
      <c r="R121" s="730">
        <v>0</v>
      </c>
      <c r="S121" s="706">
        <f t="shared" si="30"/>
        <v>0</v>
      </c>
    </row>
    <row r="122" spans="1:19" ht="11.25" customHeight="1">
      <c r="A122" s="683" t="s">
        <v>127</v>
      </c>
      <c r="B122" s="683"/>
      <c r="C122" s="1558" t="s">
        <v>1131</v>
      </c>
      <c r="D122" s="1559">
        <f>SUM(D119:D121)</f>
        <v>0</v>
      </c>
      <c r="E122" s="1408">
        <f t="shared" ref="E122:J122" si="31">SUM(E119:E121)</f>
        <v>0</v>
      </c>
      <c r="F122" s="700">
        <f t="shared" si="31"/>
        <v>0</v>
      </c>
      <c r="G122" s="700">
        <f t="shared" si="31"/>
        <v>0</v>
      </c>
      <c r="H122" s="700">
        <f t="shared" si="31"/>
        <v>0</v>
      </c>
      <c r="I122" s="713">
        <f t="shared" si="31"/>
        <v>0</v>
      </c>
      <c r="J122" s="1559">
        <f t="shared" si="31"/>
        <v>0</v>
      </c>
      <c r="L122" s="1558" t="s">
        <v>1131</v>
      </c>
      <c r="M122" s="1559">
        <f t="shared" ref="M122:S122" si="32">SUM(M119:M121)</f>
        <v>0</v>
      </c>
      <c r="N122" s="1408">
        <f t="shared" si="32"/>
        <v>0</v>
      </c>
      <c r="O122" s="700">
        <f t="shared" si="32"/>
        <v>0</v>
      </c>
      <c r="P122" s="700">
        <f t="shared" si="32"/>
        <v>0</v>
      </c>
      <c r="Q122" s="700">
        <f t="shared" si="32"/>
        <v>0</v>
      </c>
      <c r="R122" s="713">
        <f t="shared" si="32"/>
        <v>0</v>
      </c>
      <c r="S122" s="1559">
        <f t="shared" si="32"/>
        <v>0</v>
      </c>
    </row>
    <row r="123" spans="1:19" ht="12" customHeight="1">
      <c r="A123" s="683" t="s">
        <v>1046</v>
      </c>
      <c r="B123" s="683"/>
      <c r="C123" s="1401"/>
      <c r="D123" s="1401"/>
      <c r="E123" s="1401"/>
      <c r="F123" s="1401"/>
      <c r="G123" s="1401"/>
      <c r="H123" s="1401"/>
      <c r="I123" s="1401"/>
      <c r="J123" s="1401"/>
      <c r="K123" s="683"/>
      <c r="L123" s="1401"/>
      <c r="M123" s="1401"/>
      <c r="N123" s="1401"/>
      <c r="O123" s="1401"/>
      <c r="P123" s="1401"/>
      <c r="Q123" s="1401"/>
      <c r="R123" s="1401"/>
      <c r="S123" s="1401"/>
    </row>
    <row r="124" spans="1:19" ht="12" customHeight="1">
      <c r="A124" s="683" t="s">
        <v>1047</v>
      </c>
      <c r="B124" s="683"/>
      <c r="C124" s="695" t="s">
        <v>1132</v>
      </c>
      <c r="D124" s="964">
        <f t="array" ref="D124:D127">TRANSPOSE('ERT ANSP'!C69:F69)</f>
        <v>-208.1</v>
      </c>
      <c r="E124" s="710">
        <v>0</v>
      </c>
      <c r="F124" s="963">
        <v>-208.1</v>
      </c>
      <c r="G124" s="971">
        <v>0</v>
      </c>
      <c r="H124" s="971">
        <v>0</v>
      </c>
      <c r="I124" s="972">
        <v>0</v>
      </c>
      <c r="J124" s="964">
        <f t="shared" si="29"/>
        <v>0</v>
      </c>
      <c r="L124" s="695" t="s">
        <v>1132</v>
      </c>
      <c r="M124" s="964">
        <f t="array" ref="M124:M127">TRANSPOSE('TRM ANSP'!C69:F69)</f>
        <v>-106.97597210091274</v>
      </c>
      <c r="N124" s="710">
        <v>-106.97597210091274</v>
      </c>
      <c r="O124" s="963">
        <v>0</v>
      </c>
      <c r="P124" s="971">
        <v>0</v>
      </c>
      <c r="Q124" s="971">
        <v>0</v>
      </c>
      <c r="R124" s="972">
        <v>0</v>
      </c>
      <c r="S124" s="964">
        <f t="shared" si="30"/>
        <v>0</v>
      </c>
    </row>
    <row r="125" spans="1:19" ht="12" customHeight="1">
      <c r="A125" s="683">
        <v>2022</v>
      </c>
      <c r="B125" s="683"/>
      <c r="C125" s="695" t="s">
        <v>1133</v>
      </c>
      <c r="D125" s="964">
        <v>0</v>
      </c>
      <c r="E125" s="722"/>
      <c r="F125" s="909"/>
      <c r="G125" s="971">
        <v>-260.57566919826098</v>
      </c>
      <c r="H125" s="971">
        <v>0</v>
      </c>
      <c r="I125" s="972">
        <v>0</v>
      </c>
      <c r="J125" s="964">
        <f t="shared" si="29"/>
        <v>260.57566919826098</v>
      </c>
      <c r="L125" s="695" t="s">
        <v>1133</v>
      </c>
      <c r="M125" s="964">
        <v>0</v>
      </c>
      <c r="N125" s="722"/>
      <c r="O125" s="909"/>
      <c r="P125" s="735">
        <f>-120782.7367675/1000</f>
        <v>-120.7827367675</v>
      </c>
      <c r="Q125" s="971">
        <v>0</v>
      </c>
      <c r="R125" s="972">
        <v>0</v>
      </c>
      <c r="S125" s="964">
        <f t="shared" si="30"/>
        <v>120.7827367675</v>
      </c>
    </row>
    <row r="126" spans="1:19" ht="12" customHeight="1">
      <c r="A126" s="683">
        <v>2023</v>
      </c>
      <c r="B126" s="683"/>
      <c r="C126" s="695" t="s">
        <v>1134</v>
      </c>
      <c r="D126" s="964">
        <v>0</v>
      </c>
      <c r="E126" s="722"/>
      <c r="F126" s="909"/>
      <c r="G126" s="723"/>
      <c r="H126" s="971">
        <v>0</v>
      </c>
      <c r="I126" s="972">
        <v>0</v>
      </c>
      <c r="J126" s="964">
        <f t="shared" si="29"/>
        <v>0</v>
      </c>
      <c r="L126" s="695" t="s">
        <v>1134</v>
      </c>
      <c r="M126" s="964">
        <v>0</v>
      </c>
      <c r="N126" s="722"/>
      <c r="O126" s="909"/>
      <c r="P126" s="723"/>
      <c r="Q126" s="971">
        <v>0</v>
      </c>
      <c r="R126" s="972">
        <v>0</v>
      </c>
      <c r="S126" s="964">
        <f t="shared" si="30"/>
        <v>0</v>
      </c>
    </row>
    <row r="127" spans="1:19" ht="12" customHeight="1">
      <c r="A127" s="683">
        <v>2024</v>
      </c>
      <c r="B127" s="683"/>
      <c r="C127" s="705" t="s">
        <v>1135</v>
      </c>
      <c r="D127" s="706">
        <v>0</v>
      </c>
      <c r="E127" s="731"/>
      <c r="F127" s="912"/>
      <c r="G127" s="732"/>
      <c r="H127" s="732"/>
      <c r="I127" s="972">
        <v>0</v>
      </c>
      <c r="J127" s="964">
        <f t="shared" si="29"/>
        <v>0</v>
      </c>
      <c r="L127" s="705" t="s">
        <v>1135</v>
      </c>
      <c r="M127" s="706">
        <v>0</v>
      </c>
      <c r="N127" s="731"/>
      <c r="O127" s="912"/>
      <c r="P127" s="732"/>
      <c r="Q127" s="732"/>
      <c r="R127" s="972">
        <v>0</v>
      </c>
      <c r="S127" s="964">
        <f t="shared" si="30"/>
        <v>0</v>
      </c>
    </row>
    <row r="128" spans="1:19" ht="12" customHeight="1">
      <c r="A128" s="683" t="s">
        <v>12</v>
      </c>
      <c r="B128" s="683"/>
      <c r="C128" s="1561" t="s">
        <v>1136</v>
      </c>
      <c r="D128" s="1562">
        <f>SUM(D122:D127)</f>
        <v>-208.1</v>
      </c>
      <c r="E128" s="1402">
        <f t="shared" ref="E128:J128" si="33">SUM(E122:E127)</f>
        <v>0</v>
      </c>
      <c r="F128" s="968">
        <f t="shared" si="33"/>
        <v>-208.1</v>
      </c>
      <c r="G128" s="968">
        <f t="shared" si="33"/>
        <v>-260.57566919826098</v>
      </c>
      <c r="H128" s="968">
        <f t="shared" si="33"/>
        <v>0</v>
      </c>
      <c r="I128" s="969">
        <f t="shared" si="33"/>
        <v>0</v>
      </c>
      <c r="J128" s="1562">
        <f t="shared" si="33"/>
        <v>260.57566919826098</v>
      </c>
      <c r="L128" s="1561" t="s">
        <v>1136</v>
      </c>
      <c r="M128" s="1562">
        <f t="shared" ref="M128:S128" si="34">SUM(M122:M127)</f>
        <v>-106.97597210091274</v>
      </c>
      <c r="N128" s="1402">
        <f t="shared" si="34"/>
        <v>-106.97597210091274</v>
      </c>
      <c r="O128" s="968">
        <f t="shared" si="34"/>
        <v>0</v>
      </c>
      <c r="P128" s="968">
        <f t="shared" si="34"/>
        <v>-120.7827367675</v>
      </c>
      <c r="Q128" s="968">
        <f t="shared" si="34"/>
        <v>0</v>
      </c>
      <c r="R128" s="969">
        <f t="shared" si="34"/>
        <v>0</v>
      </c>
      <c r="S128" s="1562">
        <f t="shared" si="34"/>
        <v>120.7827367675</v>
      </c>
    </row>
    <row r="129" spans="1:19" ht="4.1500000000000004" customHeight="1">
      <c r="A129" s="708"/>
      <c r="B129" s="708"/>
      <c r="C129" s="726"/>
      <c r="L129" s="726"/>
      <c r="O129" s="686"/>
    </row>
    <row r="130" spans="1:19" ht="12" customHeight="1">
      <c r="A130" s="683">
        <v>2017</v>
      </c>
      <c r="B130" s="683"/>
      <c r="C130" s="1394" t="s">
        <v>1137</v>
      </c>
      <c r="D130" s="1423">
        <v>0</v>
      </c>
      <c r="E130" s="1405">
        <v>0</v>
      </c>
      <c r="F130" s="1406">
        <v>0</v>
      </c>
      <c r="G130" s="1419">
        <v>0</v>
      </c>
      <c r="H130" s="1419">
        <v>0</v>
      </c>
      <c r="I130" s="1420">
        <v>0</v>
      </c>
      <c r="J130" s="1395">
        <f>D130-SUM(E130:I130)</f>
        <v>0</v>
      </c>
      <c r="L130" s="1394" t="s">
        <v>1137</v>
      </c>
      <c r="M130" s="1420">
        <v>0</v>
      </c>
      <c r="N130" s="1405">
        <v>0</v>
      </c>
      <c r="O130" s="1406">
        <v>0</v>
      </c>
      <c r="P130" s="1419">
        <v>0</v>
      </c>
      <c r="Q130" s="1419">
        <v>0</v>
      </c>
      <c r="R130" s="1420">
        <v>0</v>
      </c>
      <c r="S130" s="1395">
        <f>M130-SUM(N130:R130)</f>
        <v>0</v>
      </c>
    </row>
    <row r="131" spans="1:19" ht="12" customHeight="1">
      <c r="A131" s="683">
        <v>2018</v>
      </c>
      <c r="B131" s="683"/>
      <c r="C131" s="695" t="s">
        <v>1138</v>
      </c>
      <c r="D131" s="727">
        <v>0</v>
      </c>
      <c r="E131" s="710">
        <v>0</v>
      </c>
      <c r="F131" s="963">
        <v>0</v>
      </c>
      <c r="G131" s="971">
        <v>0</v>
      </c>
      <c r="H131" s="971">
        <v>0</v>
      </c>
      <c r="I131" s="972">
        <v>0</v>
      </c>
      <c r="J131" s="964">
        <f>D131-SUM(E131:I131)</f>
        <v>0</v>
      </c>
      <c r="L131" s="695" t="s">
        <v>1138</v>
      </c>
      <c r="M131" s="972">
        <v>0</v>
      </c>
      <c r="N131" s="710">
        <v>0</v>
      </c>
      <c r="O131" s="963">
        <v>0</v>
      </c>
      <c r="P131" s="971">
        <v>0</v>
      </c>
      <c r="Q131" s="971">
        <v>0</v>
      </c>
      <c r="R131" s="972">
        <v>0</v>
      </c>
      <c r="S131" s="964">
        <f>M131-SUM(N131:R131)</f>
        <v>0</v>
      </c>
    </row>
    <row r="132" spans="1:19" ht="12" customHeight="1">
      <c r="A132" s="683">
        <v>2019</v>
      </c>
      <c r="B132" s="683"/>
      <c r="C132" s="695" t="s">
        <v>1139</v>
      </c>
      <c r="D132" s="728">
        <v>0</v>
      </c>
      <c r="E132" s="710">
        <v>0</v>
      </c>
      <c r="F132" s="711">
        <v>0</v>
      </c>
      <c r="G132" s="729">
        <v>0</v>
      </c>
      <c r="H132" s="729">
        <v>0</v>
      </c>
      <c r="I132" s="730">
        <v>0</v>
      </c>
      <c r="J132" s="706">
        <f>D132-SUM(E132:I132)</f>
        <v>0</v>
      </c>
      <c r="L132" s="695" t="s">
        <v>1139</v>
      </c>
      <c r="M132" s="730">
        <v>0</v>
      </c>
      <c r="N132" s="710">
        <v>0</v>
      </c>
      <c r="O132" s="711">
        <v>0</v>
      </c>
      <c r="P132" s="729">
        <v>0</v>
      </c>
      <c r="Q132" s="729">
        <v>0</v>
      </c>
      <c r="R132" s="730">
        <v>0</v>
      </c>
      <c r="S132" s="706">
        <f>M132-SUM(N132:R132)</f>
        <v>0</v>
      </c>
    </row>
    <row r="133" spans="1:19" ht="12" customHeight="1">
      <c r="A133" s="683" t="s">
        <v>127</v>
      </c>
      <c r="B133" s="683"/>
      <c r="C133" s="1558" t="s">
        <v>1140</v>
      </c>
      <c r="D133" s="1559">
        <f>SUM(D130:D132)</f>
        <v>0</v>
      </c>
      <c r="E133" s="1408">
        <f t="shared" ref="E133:J133" si="35">SUM(E130:E132)</f>
        <v>0</v>
      </c>
      <c r="F133" s="700">
        <f t="shared" si="35"/>
        <v>0</v>
      </c>
      <c r="G133" s="700">
        <f t="shared" si="35"/>
        <v>0</v>
      </c>
      <c r="H133" s="700">
        <f t="shared" si="35"/>
        <v>0</v>
      </c>
      <c r="I133" s="713">
        <f t="shared" si="35"/>
        <v>0</v>
      </c>
      <c r="J133" s="1559">
        <f t="shared" si="35"/>
        <v>0</v>
      </c>
      <c r="L133" s="1558" t="s">
        <v>1140</v>
      </c>
      <c r="M133" s="1559">
        <f>SUM(M130:M132)</f>
        <v>0</v>
      </c>
      <c r="N133" s="1408">
        <f t="shared" ref="N133:S133" si="36">SUM(N130:N132)</f>
        <v>0</v>
      </c>
      <c r="O133" s="700">
        <f t="shared" si="36"/>
        <v>0</v>
      </c>
      <c r="P133" s="700">
        <f t="shared" si="36"/>
        <v>0</v>
      </c>
      <c r="Q133" s="700">
        <f t="shared" si="36"/>
        <v>0</v>
      </c>
      <c r="R133" s="713">
        <f t="shared" si="36"/>
        <v>0</v>
      </c>
      <c r="S133" s="1559">
        <f t="shared" si="36"/>
        <v>0</v>
      </c>
    </row>
    <row r="134" spans="1:19" ht="12" customHeight="1">
      <c r="A134" s="683" t="s">
        <v>1046</v>
      </c>
      <c r="B134" s="683"/>
      <c r="C134" s="1401"/>
      <c r="D134" s="1401"/>
      <c r="E134" s="1401"/>
      <c r="F134" s="1401"/>
      <c r="G134" s="1401"/>
      <c r="H134" s="1401"/>
      <c r="I134" s="1401"/>
      <c r="J134" s="1401"/>
      <c r="K134" s="683"/>
      <c r="L134" s="1401"/>
      <c r="M134" s="1401"/>
      <c r="N134" s="1401"/>
      <c r="O134" s="1401"/>
      <c r="P134" s="1401"/>
      <c r="Q134" s="1401"/>
      <c r="R134" s="1401"/>
      <c r="S134" s="1401"/>
    </row>
    <row r="135" spans="1:19" ht="12" customHeight="1">
      <c r="A135" s="683" t="s">
        <v>1047</v>
      </c>
      <c r="B135" s="683"/>
      <c r="C135" s="695" t="s">
        <v>1141</v>
      </c>
      <c r="D135" s="964">
        <f t="array" ref="D135:D138">TRANSPOSE('ERT ANSP'!C70:F70)</f>
        <v>0</v>
      </c>
      <c r="E135" s="710">
        <v>0</v>
      </c>
      <c r="F135" s="963">
        <v>0</v>
      </c>
      <c r="G135" s="971">
        <v>0</v>
      </c>
      <c r="H135" s="971">
        <v>0</v>
      </c>
      <c r="I135" s="972">
        <v>0</v>
      </c>
      <c r="J135" s="964">
        <f>D135-SUM(E135:I135)</f>
        <v>0</v>
      </c>
      <c r="L135" s="695" t="s">
        <v>1141</v>
      </c>
      <c r="M135" s="964">
        <f t="array" ref="M135:M138">TRANSPOSE('TRM ANSP'!C70:F70)</f>
        <v>-65.863</v>
      </c>
      <c r="N135" s="710">
        <v>0</v>
      </c>
      <c r="O135" s="963">
        <f>M135</f>
        <v>-65.863</v>
      </c>
      <c r="P135" s="971">
        <v>0</v>
      </c>
      <c r="Q135" s="971">
        <v>0</v>
      </c>
      <c r="R135" s="972">
        <v>0</v>
      </c>
      <c r="S135" s="964">
        <f>M135-SUM(N135:R135)</f>
        <v>0</v>
      </c>
    </row>
    <row r="136" spans="1:19" ht="12" customHeight="1">
      <c r="A136" s="683">
        <v>2022</v>
      </c>
      <c r="B136" s="683"/>
      <c r="C136" s="695" t="s">
        <v>1142</v>
      </c>
      <c r="D136" s="964">
        <v>0</v>
      </c>
      <c r="E136" s="722"/>
      <c r="F136" s="909"/>
      <c r="G136" s="971">
        <v>0</v>
      </c>
      <c r="H136" s="971">
        <v>0</v>
      </c>
      <c r="I136" s="972">
        <v>0</v>
      </c>
      <c r="J136" s="964">
        <f>D136-SUM(E136:I136)</f>
        <v>0</v>
      </c>
      <c r="L136" s="695" t="s">
        <v>1142</v>
      </c>
      <c r="M136" s="964">
        <v>0</v>
      </c>
      <c r="N136" s="722"/>
      <c r="O136" s="909"/>
      <c r="P136" s="971">
        <v>0</v>
      </c>
      <c r="Q136" s="971">
        <v>0</v>
      </c>
      <c r="R136" s="972">
        <v>0</v>
      </c>
      <c r="S136" s="964">
        <f>M136-SUM(N136:R136)</f>
        <v>0</v>
      </c>
    </row>
    <row r="137" spans="1:19" ht="12" customHeight="1">
      <c r="A137" s="683">
        <v>2023</v>
      </c>
      <c r="B137" s="683"/>
      <c r="C137" s="695" t="s">
        <v>1143</v>
      </c>
      <c r="D137" s="964">
        <v>0</v>
      </c>
      <c r="E137" s="722"/>
      <c r="F137" s="909"/>
      <c r="G137" s="723"/>
      <c r="H137" s="971">
        <v>0</v>
      </c>
      <c r="I137" s="972">
        <v>0</v>
      </c>
      <c r="J137" s="964">
        <f>D137-SUM(E137:I137)</f>
        <v>0</v>
      </c>
      <c r="L137" s="695" t="s">
        <v>1143</v>
      </c>
      <c r="M137" s="964">
        <v>0</v>
      </c>
      <c r="N137" s="722"/>
      <c r="O137" s="909"/>
      <c r="P137" s="723"/>
      <c r="Q137" s="971">
        <v>0</v>
      </c>
      <c r="R137" s="972">
        <v>0</v>
      </c>
      <c r="S137" s="964">
        <f>M137-SUM(N137:R137)</f>
        <v>0</v>
      </c>
    </row>
    <row r="138" spans="1:19" ht="12" customHeight="1">
      <c r="A138" s="683">
        <v>2024</v>
      </c>
      <c r="B138" s="683"/>
      <c r="C138" s="705" t="s">
        <v>1144</v>
      </c>
      <c r="D138" s="706">
        <v>0</v>
      </c>
      <c r="E138" s="731"/>
      <c r="F138" s="912"/>
      <c r="G138" s="732"/>
      <c r="H138" s="732"/>
      <c r="I138" s="972">
        <v>0</v>
      </c>
      <c r="J138" s="964">
        <f>D138-SUM(E138:I138)</f>
        <v>0</v>
      </c>
      <c r="L138" s="705" t="s">
        <v>1144</v>
      </c>
      <c r="M138" s="706">
        <v>0</v>
      </c>
      <c r="N138" s="731"/>
      <c r="O138" s="912"/>
      <c r="P138" s="732"/>
      <c r="Q138" s="732"/>
      <c r="R138" s="972">
        <v>0</v>
      </c>
      <c r="S138" s="964">
        <f>M138-SUM(N138:R138)</f>
        <v>0</v>
      </c>
    </row>
    <row r="139" spans="1:19" ht="12" customHeight="1">
      <c r="A139" s="683" t="s">
        <v>12</v>
      </c>
      <c r="B139" s="683"/>
      <c r="C139" s="1561" t="s">
        <v>1145</v>
      </c>
      <c r="D139" s="1562">
        <f>SUM(D133:D138)</f>
        <v>0</v>
      </c>
      <c r="E139" s="1402">
        <f t="shared" ref="E139:J139" si="37">SUM(E133:E138)</f>
        <v>0</v>
      </c>
      <c r="F139" s="968">
        <f t="shared" si="37"/>
        <v>0</v>
      </c>
      <c r="G139" s="968">
        <f t="shared" si="37"/>
        <v>0</v>
      </c>
      <c r="H139" s="968">
        <f t="shared" si="37"/>
        <v>0</v>
      </c>
      <c r="I139" s="969">
        <f t="shared" si="37"/>
        <v>0</v>
      </c>
      <c r="J139" s="1562">
        <f t="shared" si="37"/>
        <v>0</v>
      </c>
      <c r="L139" s="1561" t="s">
        <v>1145</v>
      </c>
      <c r="M139" s="1562">
        <f>SUM(M133:M138)</f>
        <v>-65.863</v>
      </c>
      <c r="N139" s="1402">
        <f t="shared" ref="N139:S139" si="38">SUM(N133:N138)</f>
        <v>0</v>
      </c>
      <c r="O139" s="968">
        <f t="shared" si="38"/>
        <v>-65.863</v>
      </c>
      <c r="P139" s="968">
        <f t="shared" si="38"/>
        <v>0</v>
      </c>
      <c r="Q139" s="968">
        <f t="shared" si="38"/>
        <v>0</v>
      </c>
      <c r="R139" s="969">
        <f t="shared" si="38"/>
        <v>0</v>
      </c>
      <c r="S139" s="1562">
        <f t="shared" si="38"/>
        <v>0</v>
      </c>
    </row>
    <row r="140" spans="1:19" ht="4.1500000000000004" customHeight="1">
      <c r="A140" s="708"/>
      <c r="B140" s="708"/>
      <c r="C140" s="726"/>
      <c r="L140" s="726"/>
      <c r="O140" s="686"/>
    </row>
    <row r="141" spans="1:19" ht="12" customHeight="1">
      <c r="A141" s="683">
        <v>2017</v>
      </c>
      <c r="B141" s="683"/>
      <c r="C141" s="1394" t="s">
        <v>1146</v>
      </c>
      <c r="D141" s="1423">
        <v>0</v>
      </c>
      <c r="E141" s="1405">
        <v>0</v>
      </c>
      <c r="F141" s="1406">
        <v>0</v>
      </c>
      <c r="G141" s="1419">
        <v>0</v>
      </c>
      <c r="H141" s="1419">
        <v>0</v>
      </c>
      <c r="I141" s="1420">
        <v>0</v>
      </c>
      <c r="J141" s="1395">
        <f>D141-SUM(E141:I141)</f>
        <v>0</v>
      </c>
      <c r="L141" s="1394" t="s">
        <v>1146</v>
      </c>
      <c r="M141" s="1420">
        <v>0</v>
      </c>
      <c r="N141" s="1405">
        <v>0</v>
      </c>
      <c r="O141" s="1406">
        <v>0</v>
      </c>
      <c r="P141" s="1419">
        <v>0</v>
      </c>
      <c r="Q141" s="1419">
        <v>0</v>
      </c>
      <c r="R141" s="1420">
        <v>0</v>
      </c>
      <c r="S141" s="1395">
        <f>M141-SUM(N141:R141)</f>
        <v>0</v>
      </c>
    </row>
    <row r="142" spans="1:19" ht="12" customHeight="1">
      <c r="A142" s="683">
        <v>2018</v>
      </c>
      <c r="B142" s="683"/>
      <c r="C142" s="695" t="s">
        <v>1147</v>
      </c>
      <c r="D142" s="727">
        <v>0</v>
      </c>
      <c r="E142" s="710">
        <v>0</v>
      </c>
      <c r="F142" s="963">
        <v>0</v>
      </c>
      <c r="G142" s="971">
        <v>0</v>
      </c>
      <c r="H142" s="971">
        <v>0</v>
      </c>
      <c r="I142" s="972">
        <v>0</v>
      </c>
      <c r="J142" s="964">
        <f>D142-SUM(E142:I142)</f>
        <v>0</v>
      </c>
      <c r="L142" s="695" t="s">
        <v>1147</v>
      </c>
      <c r="M142" s="972">
        <v>0</v>
      </c>
      <c r="N142" s="710">
        <v>0</v>
      </c>
      <c r="O142" s="963">
        <v>0</v>
      </c>
      <c r="P142" s="971">
        <v>0</v>
      </c>
      <c r="Q142" s="971">
        <v>0</v>
      </c>
      <c r="R142" s="972">
        <v>0</v>
      </c>
      <c r="S142" s="964">
        <f>M142-SUM(N142:R142)</f>
        <v>0</v>
      </c>
    </row>
    <row r="143" spans="1:19" ht="12" customHeight="1">
      <c r="A143" s="683">
        <v>2019</v>
      </c>
      <c r="B143" s="683"/>
      <c r="C143" s="695" t="s">
        <v>1148</v>
      </c>
      <c r="D143" s="728">
        <v>0</v>
      </c>
      <c r="E143" s="710">
        <v>0</v>
      </c>
      <c r="F143" s="711">
        <v>0</v>
      </c>
      <c r="G143" s="729">
        <v>0</v>
      </c>
      <c r="H143" s="729">
        <v>0</v>
      </c>
      <c r="I143" s="730">
        <v>0</v>
      </c>
      <c r="J143" s="706">
        <f>D143-SUM(E143:I143)</f>
        <v>0</v>
      </c>
      <c r="L143" s="695" t="s">
        <v>1148</v>
      </c>
      <c r="M143" s="730">
        <v>0</v>
      </c>
      <c r="N143" s="710">
        <v>0</v>
      </c>
      <c r="O143" s="711">
        <v>0</v>
      </c>
      <c r="P143" s="729">
        <v>0</v>
      </c>
      <c r="Q143" s="729">
        <v>0</v>
      </c>
      <c r="R143" s="730">
        <v>0</v>
      </c>
      <c r="S143" s="706">
        <f>M143-SUM(N143:R143)</f>
        <v>0</v>
      </c>
    </row>
    <row r="144" spans="1:19" ht="12" customHeight="1">
      <c r="A144" s="683" t="s">
        <v>127</v>
      </c>
      <c r="B144" s="683"/>
      <c r="C144" s="1558" t="s">
        <v>1149</v>
      </c>
      <c r="D144" s="1559">
        <f>SUM(D141:D143)</f>
        <v>0</v>
      </c>
      <c r="E144" s="1408">
        <f t="shared" ref="E144:J144" si="39">SUM(E141:E143)</f>
        <v>0</v>
      </c>
      <c r="F144" s="700">
        <f t="shared" si="39"/>
        <v>0</v>
      </c>
      <c r="G144" s="700">
        <f t="shared" si="39"/>
        <v>0</v>
      </c>
      <c r="H144" s="700">
        <f t="shared" si="39"/>
        <v>0</v>
      </c>
      <c r="I144" s="713">
        <f t="shared" si="39"/>
        <v>0</v>
      </c>
      <c r="J144" s="1559">
        <f t="shared" si="39"/>
        <v>0</v>
      </c>
      <c r="L144" s="1558" t="s">
        <v>1149</v>
      </c>
      <c r="M144" s="1559">
        <f t="shared" ref="M144:S144" si="40">SUM(M141:M143)</f>
        <v>0</v>
      </c>
      <c r="N144" s="1408">
        <f t="shared" si="40"/>
        <v>0</v>
      </c>
      <c r="O144" s="700">
        <f t="shared" si="40"/>
        <v>0</v>
      </c>
      <c r="P144" s="700">
        <f t="shared" si="40"/>
        <v>0</v>
      </c>
      <c r="Q144" s="700">
        <f t="shared" si="40"/>
        <v>0</v>
      </c>
      <c r="R144" s="713">
        <f t="shared" si="40"/>
        <v>0</v>
      </c>
      <c r="S144" s="1559">
        <f t="shared" si="40"/>
        <v>0</v>
      </c>
    </row>
    <row r="145" spans="1:19" ht="12" customHeight="1">
      <c r="A145" s="683" t="s">
        <v>1046</v>
      </c>
      <c r="B145" s="683"/>
      <c r="C145" s="1401"/>
      <c r="D145" s="1401"/>
      <c r="E145" s="1401"/>
      <c r="F145" s="1401"/>
      <c r="G145" s="1401"/>
      <c r="H145" s="1401"/>
      <c r="I145" s="1401"/>
      <c r="J145" s="1401"/>
      <c r="K145" s="683"/>
      <c r="L145" s="1401"/>
      <c r="M145" s="1401"/>
      <c r="N145" s="1401"/>
      <c r="O145" s="1401"/>
      <c r="P145" s="1401"/>
      <c r="Q145" s="1401"/>
      <c r="R145" s="1401"/>
      <c r="S145" s="1401"/>
    </row>
    <row r="146" spans="1:19" ht="12" customHeight="1">
      <c r="A146" s="683" t="s">
        <v>1047</v>
      </c>
      <c r="B146" s="683"/>
      <c r="C146" s="695" t="s">
        <v>1150</v>
      </c>
      <c r="D146" s="964">
        <f t="array" ref="D146:D149">TRANSPOSE('ERT ANSP'!C71:F71)</f>
        <v>-14432.771670257451</v>
      </c>
      <c r="E146" s="733">
        <v>-13807.771670257451</v>
      </c>
      <c r="F146" s="963">
        <v>-625</v>
      </c>
      <c r="G146" s="971">
        <v>0</v>
      </c>
      <c r="H146" s="971">
        <v>0</v>
      </c>
      <c r="I146" s="734"/>
      <c r="J146" s="698"/>
      <c r="L146" s="695" t="s">
        <v>1150</v>
      </c>
      <c r="M146" s="964">
        <f t="array" ref="M146:M149">TRANSPOSE('TRM ANSP'!C71:F71)</f>
        <v>-4650.9845367026901</v>
      </c>
      <c r="N146" s="710">
        <v>-4442.6515367026905</v>
      </c>
      <c r="O146" s="963">
        <v>-208.333</v>
      </c>
      <c r="P146" s="971">
        <v>0</v>
      </c>
      <c r="Q146" s="971">
        <v>0</v>
      </c>
      <c r="R146" s="734"/>
      <c r="S146" s="698"/>
    </row>
    <row r="147" spans="1:19" ht="12" customHeight="1">
      <c r="A147" s="683">
        <v>2022</v>
      </c>
      <c r="B147" s="683"/>
      <c r="C147" s="695" t="s">
        <v>1151</v>
      </c>
      <c r="D147" s="964">
        <v>0</v>
      </c>
      <c r="E147" s="722"/>
      <c r="F147" s="909"/>
      <c r="G147" s="735">
        <f>-312.5</f>
        <v>-312.5</v>
      </c>
      <c r="H147" s="971">
        <v>0</v>
      </c>
      <c r="I147" s="972">
        <v>0</v>
      </c>
      <c r="J147" s="698"/>
      <c r="L147" s="695" t="s">
        <v>1151</v>
      </c>
      <c r="M147" s="964">
        <v>0</v>
      </c>
      <c r="N147" s="722"/>
      <c r="O147" s="909"/>
      <c r="P147" s="735">
        <f>-104166.6675/1000</f>
        <v>-104.1666675</v>
      </c>
      <c r="Q147" s="971">
        <v>0</v>
      </c>
      <c r="R147" s="972">
        <v>0</v>
      </c>
      <c r="S147" s="698"/>
    </row>
    <row r="148" spans="1:19" ht="12" customHeight="1">
      <c r="A148" s="683">
        <v>2023</v>
      </c>
      <c r="B148" s="683"/>
      <c r="C148" s="695" t="s">
        <v>1152</v>
      </c>
      <c r="D148" s="964">
        <v>0</v>
      </c>
      <c r="E148" s="722"/>
      <c r="F148" s="909"/>
      <c r="G148" s="723"/>
      <c r="H148" s="971">
        <v>0</v>
      </c>
      <c r="I148" s="972">
        <v>0</v>
      </c>
      <c r="J148" s="964">
        <f>D148-SUM(E148:I148)</f>
        <v>0</v>
      </c>
      <c r="L148" s="695" t="s">
        <v>1152</v>
      </c>
      <c r="M148" s="964">
        <v>0</v>
      </c>
      <c r="N148" s="722"/>
      <c r="O148" s="909"/>
      <c r="P148" s="723"/>
      <c r="Q148" s="971">
        <v>0</v>
      </c>
      <c r="R148" s="972">
        <v>0</v>
      </c>
      <c r="S148" s="964">
        <f>M148-SUM(N148:R148)</f>
        <v>0</v>
      </c>
    </row>
    <row r="149" spans="1:19" ht="12" customHeight="1">
      <c r="A149" s="683">
        <v>2024</v>
      </c>
      <c r="B149" s="683"/>
      <c r="C149" s="705" t="s">
        <v>1153</v>
      </c>
      <c r="D149" s="706">
        <v>0</v>
      </c>
      <c r="E149" s="731"/>
      <c r="F149" s="912"/>
      <c r="G149" s="732"/>
      <c r="H149" s="732"/>
      <c r="I149" s="972">
        <v>0</v>
      </c>
      <c r="J149" s="964">
        <f>D149-SUM(E149:I149)</f>
        <v>0</v>
      </c>
      <c r="L149" s="705" t="s">
        <v>1153</v>
      </c>
      <c r="M149" s="706">
        <v>0</v>
      </c>
      <c r="N149" s="731"/>
      <c r="O149" s="912"/>
      <c r="P149" s="732"/>
      <c r="Q149" s="732"/>
      <c r="R149" s="972">
        <v>0</v>
      </c>
      <c r="S149" s="964">
        <f>M149-SUM(N149:R149)</f>
        <v>0</v>
      </c>
    </row>
    <row r="150" spans="1:19" ht="12" customHeight="1">
      <c r="A150" s="683" t="s">
        <v>12</v>
      </c>
      <c r="B150" s="683"/>
      <c r="C150" s="1561" t="s">
        <v>1154</v>
      </c>
      <c r="D150" s="1562">
        <f>SUM(D144:D149)</f>
        <v>-14432.771670257451</v>
      </c>
      <c r="E150" s="1402">
        <f t="shared" ref="E150:J150" si="41">SUM(E144:E149)</f>
        <v>-13807.771670257451</v>
      </c>
      <c r="F150" s="968">
        <f t="shared" si="41"/>
        <v>-625</v>
      </c>
      <c r="G150" s="968">
        <f t="shared" si="41"/>
        <v>-312.5</v>
      </c>
      <c r="H150" s="968">
        <f t="shared" si="41"/>
        <v>0</v>
      </c>
      <c r="I150" s="969">
        <f t="shared" si="41"/>
        <v>0</v>
      </c>
      <c r="J150" s="1562">
        <f t="shared" si="41"/>
        <v>0</v>
      </c>
      <c r="L150" s="1561" t="s">
        <v>1154</v>
      </c>
      <c r="M150" s="1562">
        <f t="shared" ref="M150:S150" si="42">SUM(M144:M149)</f>
        <v>-4650.9845367026901</v>
      </c>
      <c r="N150" s="1402">
        <f t="shared" si="42"/>
        <v>-4442.6515367026905</v>
      </c>
      <c r="O150" s="968">
        <f t="shared" si="42"/>
        <v>-208.333</v>
      </c>
      <c r="P150" s="968">
        <f t="shared" si="42"/>
        <v>-104.1666675</v>
      </c>
      <c r="Q150" s="968">
        <f t="shared" si="42"/>
        <v>0</v>
      </c>
      <c r="R150" s="969">
        <f t="shared" si="42"/>
        <v>0</v>
      </c>
      <c r="S150" s="1562">
        <f t="shared" si="42"/>
        <v>0</v>
      </c>
    </row>
    <row r="151" spans="1:19" ht="4.1500000000000004" customHeight="1">
      <c r="A151" s="708"/>
      <c r="B151" s="708"/>
      <c r="C151" s="726"/>
      <c r="L151" s="726"/>
      <c r="O151" s="686"/>
    </row>
    <row r="152" spans="1:19" ht="12" customHeight="1">
      <c r="A152" s="683">
        <v>2017</v>
      </c>
      <c r="B152" s="683"/>
      <c r="C152" s="1394" t="s">
        <v>1155</v>
      </c>
      <c r="D152" s="1400"/>
      <c r="E152" s="1424"/>
      <c r="F152" s="1398"/>
      <c r="G152" s="1398"/>
      <c r="H152" s="1398"/>
      <c r="I152" s="1399"/>
      <c r="J152" s="1400"/>
      <c r="L152" s="1394" t="s">
        <v>1155</v>
      </c>
      <c r="M152" s="1420">
        <v>0</v>
      </c>
      <c r="N152" s="1396">
        <v>0</v>
      </c>
      <c r="O152" s="1425">
        <v>0</v>
      </c>
      <c r="P152" s="1419">
        <v>0</v>
      </c>
      <c r="Q152" s="1419">
        <v>0</v>
      </c>
      <c r="R152" s="1420">
        <v>0</v>
      </c>
      <c r="S152" s="1426">
        <f>M152-SUM(N152:R152)</f>
        <v>0</v>
      </c>
    </row>
    <row r="153" spans="1:19" ht="12" customHeight="1">
      <c r="A153" s="683">
        <v>2018</v>
      </c>
      <c r="B153" s="683"/>
      <c r="C153" s="695" t="s">
        <v>1156</v>
      </c>
      <c r="D153" s="698"/>
      <c r="E153" s="722"/>
      <c r="F153" s="909"/>
      <c r="G153" s="909"/>
      <c r="H153" s="909"/>
      <c r="I153" s="913"/>
      <c r="J153" s="698"/>
      <c r="L153" s="695" t="s">
        <v>1156</v>
      </c>
      <c r="M153" s="972">
        <v>0</v>
      </c>
      <c r="N153" s="758">
        <v>0</v>
      </c>
      <c r="O153" s="697">
        <v>0</v>
      </c>
      <c r="P153" s="971">
        <v>0</v>
      </c>
      <c r="Q153" s="971">
        <v>0</v>
      </c>
      <c r="R153" s="972">
        <v>0</v>
      </c>
      <c r="S153" s="759">
        <f>M153-SUM(N153:R153)</f>
        <v>0</v>
      </c>
    </row>
    <row r="154" spans="1:19" ht="12" customHeight="1">
      <c r="A154" s="683">
        <v>2019</v>
      </c>
      <c r="B154" s="683"/>
      <c r="C154" s="695" t="s">
        <v>1157</v>
      </c>
      <c r="D154" s="698"/>
      <c r="E154" s="722"/>
      <c r="F154" s="909"/>
      <c r="G154" s="909"/>
      <c r="H154" s="909"/>
      <c r="I154" s="910"/>
      <c r="J154" s="698"/>
      <c r="L154" s="695" t="s">
        <v>1157</v>
      </c>
      <c r="M154" s="730">
        <v>0</v>
      </c>
      <c r="N154" s="758">
        <v>0</v>
      </c>
      <c r="O154" s="697">
        <v>0</v>
      </c>
      <c r="P154" s="729">
        <v>0</v>
      </c>
      <c r="Q154" s="729">
        <v>0</v>
      </c>
      <c r="R154" s="730">
        <v>0</v>
      </c>
      <c r="S154" s="759">
        <f>M154-SUM(N154:R154)</f>
        <v>0</v>
      </c>
    </row>
    <row r="155" spans="1:19" ht="12" customHeight="1">
      <c r="A155" s="683" t="s">
        <v>127</v>
      </c>
      <c r="B155" s="683"/>
      <c r="C155" s="1558" t="s">
        <v>1158</v>
      </c>
      <c r="D155" s="1560"/>
      <c r="E155" s="736"/>
      <c r="F155" s="701"/>
      <c r="G155" s="701"/>
      <c r="H155" s="701"/>
      <c r="I155" s="702"/>
      <c r="J155" s="1560"/>
      <c r="L155" s="1558" t="s">
        <v>1158</v>
      </c>
      <c r="M155" s="1565">
        <f t="shared" ref="M155:S155" si="43">SUM(M152:M154)</f>
        <v>0</v>
      </c>
      <c r="N155" s="760">
        <f t="shared" si="43"/>
        <v>0</v>
      </c>
      <c r="O155" s="761">
        <f t="shared" si="43"/>
        <v>0</v>
      </c>
      <c r="P155" s="761">
        <f t="shared" si="43"/>
        <v>0</v>
      </c>
      <c r="Q155" s="761">
        <f t="shared" si="43"/>
        <v>0</v>
      </c>
      <c r="R155" s="762">
        <f t="shared" si="43"/>
        <v>0</v>
      </c>
      <c r="S155" s="1565">
        <f t="shared" si="43"/>
        <v>0</v>
      </c>
    </row>
    <row r="156" spans="1:19" ht="12" customHeight="1">
      <c r="A156" s="683" t="s">
        <v>1046</v>
      </c>
      <c r="B156" s="683"/>
      <c r="C156" s="1401"/>
      <c r="D156" s="1401"/>
      <c r="E156" s="1401"/>
      <c r="F156" s="1401"/>
      <c r="G156" s="1401"/>
      <c r="H156" s="1401"/>
      <c r="I156" s="1401"/>
      <c r="J156" s="1401"/>
      <c r="K156" s="683"/>
      <c r="L156" s="1401"/>
      <c r="M156" s="1401"/>
      <c r="N156" s="1401"/>
      <c r="O156" s="1401"/>
      <c r="P156" s="1401"/>
      <c r="Q156" s="1401"/>
      <c r="R156" s="1401"/>
      <c r="S156" s="1401"/>
    </row>
    <row r="157" spans="1:19" ht="12" customHeight="1">
      <c r="A157" s="683" t="s">
        <v>1047</v>
      </c>
      <c r="B157" s="683"/>
      <c r="C157" s="695" t="s">
        <v>1159</v>
      </c>
      <c r="D157" s="961"/>
      <c r="E157" s="722"/>
      <c r="F157" s="909"/>
      <c r="G157" s="909"/>
      <c r="H157" s="909"/>
      <c r="I157" s="913"/>
      <c r="J157" s="698"/>
      <c r="L157" s="695" t="s">
        <v>1159</v>
      </c>
      <c r="M157" s="964">
        <f t="array" ref="M157:M160">TRANSPOSE('TRM ANSP'!C72:F72)</f>
        <v>0</v>
      </c>
      <c r="N157" s="758">
        <v>0</v>
      </c>
      <c r="O157" s="697">
        <v>0</v>
      </c>
      <c r="P157" s="763">
        <v>0</v>
      </c>
      <c r="Q157" s="763">
        <v>0</v>
      </c>
      <c r="R157" s="973"/>
      <c r="S157" s="698"/>
    </row>
    <row r="158" spans="1:19" ht="12" customHeight="1">
      <c r="A158" s="683">
        <v>2022</v>
      </c>
      <c r="B158" s="683"/>
      <c r="C158" s="695" t="s">
        <v>1160</v>
      </c>
      <c r="D158" s="737"/>
      <c r="E158" s="722"/>
      <c r="F158" s="909"/>
      <c r="G158" s="909"/>
      <c r="H158" s="909"/>
      <c r="I158" s="909"/>
      <c r="J158" s="698"/>
      <c r="L158" s="695" t="s">
        <v>1160</v>
      </c>
      <c r="M158" s="964">
        <v>0</v>
      </c>
      <c r="N158" s="721"/>
      <c r="O158" s="959"/>
      <c r="P158" s="763">
        <v>0</v>
      </c>
      <c r="Q158" s="763">
        <v>0</v>
      </c>
      <c r="R158" s="763">
        <v>0</v>
      </c>
      <c r="S158" s="698"/>
    </row>
    <row r="159" spans="1:19" ht="12" customHeight="1">
      <c r="A159" s="683">
        <v>2023</v>
      </c>
      <c r="B159" s="683"/>
      <c r="C159" s="695" t="s">
        <v>1161</v>
      </c>
      <c r="D159" s="737"/>
      <c r="E159" s="722"/>
      <c r="F159" s="909"/>
      <c r="G159" s="909"/>
      <c r="H159" s="909"/>
      <c r="I159" s="909"/>
      <c r="J159" s="698"/>
      <c r="L159" s="695" t="s">
        <v>1161</v>
      </c>
      <c r="M159" s="964">
        <v>0</v>
      </c>
      <c r="N159" s="721"/>
      <c r="O159" s="959"/>
      <c r="P159" s="959"/>
      <c r="Q159" s="763">
        <v>0</v>
      </c>
      <c r="R159" s="763">
        <v>0</v>
      </c>
      <c r="S159" s="759">
        <f>M159-SUM(N159:R159)</f>
        <v>0</v>
      </c>
    </row>
    <row r="160" spans="1:19" ht="12" customHeight="1">
      <c r="A160" s="683">
        <v>2024</v>
      </c>
      <c r="B160" s="683"/>
      <c r="C160" s="705" t="s">
        <v>1162</v>
      </c>
      <c r="D160" s="738"/>
      <c r="E160" s="731"/>
      <c r="F160" s="912"/>
      <c r="G160" s="912"/>
      <c r="H160" s="912"/>
      <c r="I160" s="912"/>
      <c r="J160" s="718"/>
      <c r="L160" s="705" t="s">
        <v>1162</v>
      </c>
      <c r="M160" s="706">
        <v>0</v>
      </c>
      <c r="N160" s="766"/>
      <c r="O160" s="767"/>
      <c r="P160" s="767"/>
      <c r="Q160" s="767"/>
      <c r="R160" s="768">
        <v>0</v>
      </c>
      <c r="S160" s="769">
        <f>M160-SUM(N160:R160)</f>
        <v>0</v>
      </c>
    </row>
    <row r="161" spans="1:19" ht="12" customHeight="1">
      <c r="A161" s="683" t="s">
        <v>12</v>
      </c>
      <c r="B161" s="683"/>
      <c r="C161" s="1561" t="s">
        <v>1163</v>
      </c>
      <c r="D161" s="1563"/>
      <c r="E161" s="1414"/>
      <c r="F161" s="915"/>
      <c r="G161" s="915"/>
      <c r="H161" s="915"/>
      <c r="I161" s="917"/>
      <c r="J161" s="1563"/>
      <c r="L161" s="1561" t="s">
        <v>1163</v>
      </c>
      <c r="M161" s="1566">
        <f t="shared" ref="M161:S161" si="44">SUM(M155:M160)</f>
        <v>0</v>
      </c>
      <c r="N161" s="1427">
        <f t="shared" si="44"/>
        <v>0</v>
      </c>
      <c r="O161" s="770">
        <f t="shared" si="44"/>
        <v>0</v>
      </c>
      <c r="P161" s="770">
        <f t="shared" si="44"/>
        <v>0</v>
      </c>
      <c r="Q161" s="770">
        <f t="shared" si="44"/>
        <v>0</v>
      </c>
      <c r="R161" s="771">
        <f t="shared" si="44"/>
        <v>0</v>
      </c>
      <c r="S161" s="1566">
        <f t="shared" si="44"/>
        <v>0</v>
      </c>
    </row>
    <row r="162" spans="1:19" ht="4.1500000000000004" customHeight="1">
      <c r="A162" s="708"/>
      <c r="B162" s="708"/>
      <c r="C162" s="726"/>
      <c r="L162" s="726"/>
      <c r="O162" s="686"/>
    </row>
    <row r="163" spans="1:19" ht="12" customHeight="1">
      <c r="A163" s="683" t="s">
        <v>1046</v>
      </c>
      <c r="B163" s="683"/>
      <c r="C163" s="1401"/>
      <c r="D163" s="1401"/>
      <c r="E163" s="1401"/>
      <c r="F163" s="1401"/>
      <c r="G163" s="1401"/>
      <c r="H163" s="1401"/>
      <c r="I163" s="1401"/>
      <c r="J163" s="1401"/>
      <c r="K163" s="683"/>
      <c r="L163" s="1413"/>
      <c r="M163" s="1413"/>
      <c r="N163" s="1413"/>
      <c r="O163" s="1413"/>
      <c r="P163" s="1413"/>
      <c r="Q163" s="1413"/>
      <c r="R163" s="1413"/>
      <c r="S163" s="1413"/>
    </row>
    <row r="164" spans="1:19" ht="12" customHeight="1">
      <c r="A164" s="683" t="s">
        <v>1047</v>
      </c>
      <c r="B164" s="683"/>
      <c r="C164" s="695" t="s">
        <v>1164</v>
      </c>
      <c r="D164" s="964">
        <f t="array" ref="D164:D167">TRANSPOSE('ERT ANSP'!C63:F63)</f>
        <v>57969.80235520011</v>
      </c>
      <c r="E164" s="722"/>
      <c r="F164" s="909"/>
      <c r="G164" s="723"/>
      <c r="H164" s="971">
        <f>$D164/'UR Control'!$C$204</f>
        <v>8281.4003364571581</v>
      </c>
      <c r="I164" s="972">
        <f>$D164/'UR Control'!$C$204</f>
        <v>8281.4003364571581</v>
      </c>
      <c r="J164" s="964">
        <f>D164-SUM(E164:I164)</f>
        <v>41407.001682285794</v>
      </c>
      <c r="L164" s="695" t="s">
        <v>1164</v>
      </c>
      <c r="M164" s="964">
        <f t="array" ref="M164:M167">TRANSPOSE('TRM ANSP'!C63:F63)</f>
        <v>7022.9660049365984</v>
      </c>
      <c r="N164" s="722"/>
      <c r="O164" s="909"/>
      <c r="P164" s="723"/>
      <c r="Q164" s="971">
        <f>$M164/'UR Control'!$C$204</f>
        <v>1003.2808578480855</v>
      </c>
      <c r="R164" s="972">
        <f>$M164/'UR Control'!$C$204</f>
        <v>1003.2808578480855</v>
      </c>
      <c r="S164" s="964">
        <f>M164-SUM(N164:R164)</f>
        <v>5016.4042892404277</v>
      </c>
    </row>
    <row r="165" spans="1:19" ht="12" customHeight="1">
      <c r="A165" s="683">
        <v>2022</v>
      </c>
      <c r="B165" s="683"/>
      <c r="C165" s="695" t="s">
        <v>1165</v>
      </c>
      <c r="D165" s="964">
        <v>0</v>
      </c>
      <c r="E165" s="696"/>
      <c r="F165" s="703"/>
      <c r="G165" s="739"/>
      <c r="H165" s="740">
        <v>0</v>
      </c>
      <c r="I165" s="741">
        <f>D165</f>
        <v>0</v>
      </c>
      <c r="J165" s="742">
        <f>D165-SUM(E165:I165)</f>
        <v>0</v>
      </c>
      <c r="L165" s="695" t="s">
        <v>1165</v>
      </c>
      <c r="M165" s="964">
        <v>0</v>
      </c>
      <c r="N165" s="696"/>
      <c r="O165" s="703"/>
      <c r="P165" s="739"/>
      <c r="Q165" s="971">
        <v>0</v>
      </c>
      <c r="R165" s="972">
        <v>0</v>
      </c>
      <c r="S165" s="964">
        <f>M165-SUM(N165:R165)</f>
        <v>0</v>
      </c>
    </row>
    <row r="166" spans="1:19" ht="12" customHeight="1">
      <c r="A166" s="683">
        <v>2023</v>
      </c>
      <c r="B166" s="683"/>
      <c r="C166" s="695" t="s">
        <v>1166</v>
      </c>
      <c r="D166" s="964">
        <v>0</v>
      </c>
      <c r="E166" s="696"/>
      <c r="F166" s="703"/>
      <c r="G166" s="739"/>
      <c r="H166" s="739"/>
      <c r="I166" s="741">
        <v>0</v>
      </c>
      <c r="J166" s="742">
        <f>D166-SUM(E166:I166)</f>
        <v>0</v>
      </c>
      <c r="L166" s="695" t="s">
        <v>1166</v>
      </c>
      <c r="M166" s="964">
        <v>0</v>
      </c>
      <c r="N166" s="696"/>
      <c r="O166" s="703"/>
      <c r="P166" s="739"/>
      <c r="Q166" s="739"/>
      <c r="R166" s="972">
        <v>0</v>
      </c>
      <c r="S166" s="964">
        <f>M166-SUM(N166:R166)</f>
        <v>0</v>
      </c>
    </row>
    <row r="167" spans="1:19" ht="12" customHeight="1">
      <c r="A167" s="683">
        <v>2024</v>
      </c>
      <c r="B167" s="683"/>
      <c r="C167" s="705" t="s">
        <v>1167</v>
      </c>
      <c r="D167" s="706">
        <v>0</v>
      </c>
      <c r="E167" s="707"/>
      <c r="F167" s="911"/>
      <c r="G167" s="743"/>
      <c r="H167" s="743"/>
      <c r="I167" s="743"/>
      <c r="J167" s="742">
        <f>D167-SUM(E167:I167)</f>
        <v>0</v>
      </c>
      <c r="L167" s="705" t="s">
        <v>1167</v>
      </c>
      <c r="M167" s="706">
        <v>0</v>
      </c>
      <c r="N167" s="707"/>
      <c r="O167" s="911"/>
      <c r="P167" s="743"/>
      <c r="Q167" s="743"/>
      <c r="R167" s="743"/>
      <c r="S167" s="964">
        <f>M167-SUM(N167:R167)</f>
        <v>0</v>
      </c>
    </row>
    <row r="168" spans="1:19" ht="12" customHeight="1">
      <c r="A168" s="683" t="s">
        <v>12</v>
      </c>
      <c r="B168" s="683"/>
      <c r="C168" s="1561" t="s">
        <v>1168</v>
      </c>
      <c r="D168" s="1562">
        <f t="shared" ref="D168:J168" si="45">SUM(D163:D167)</f>
        <v>57969.80235520011</v>
      </c>
      <c r="E168" s="1402">
        <f t="shared" si="45"/>
        <v>0</v>
      </c>
      <c r="F168" s="968">
        <f t="shared" si="45"/>
        <v>0</v>
      </c>
      <c r="G168" s="968">
        <f t="shared" si="45"/>
        <v>0</v>
      </c>
      <c r="H168" s="968">
        <f t="shared" si="45"/>
        <v>8281.4003364571581</v>
      </c>
      <c r="I168" s="969">
        <f t="shared" si="45"/>
        <v>8281.4003364571581</v>
      </c>
      <c r="J168" s="1562">
        <f t="shared" si="45"/>
        <v>41407.001682285794</v>
      </c>
      <c r="L168" s="1561" t="s">
        <v>1168</v>
      </c>
      <c r="M168" s="1562">
        <f t="shared" ref="M168:S168" si="46">SUM(M163:M167)</f>
        <v>7022.9660049365984</v>
      </c>
      <c r="N168" s="1402">
        <f t="shared" si="46"/>
        <v>0</v>
      </c>
      <c r="O168" s="968">
        <f t="shared" si="46"/>
        <v>0</v>
      </c>
      <c r="P168" s="968">
        <f t="shared" si="46"/>
        <v>0</v>
      </c>
      <c r="Q168" s="968">
        <f t="shared" si="46"/>
        <v>1003.2808578480855</v>
      </c>
      <c r="R168" s="969">
        <f t="shared" si="46"/>
        <v>1003.2808578480855</v>
      </c>
      <c r="S168" s="1562">
        <f t="shared" si="46"/>
        <v>5016.4042892404277</v>
      </c>
    </row>
    <row r="169" spans="1:19" ht="3" customHeight="1">
      <c r="B169" s="683"/>
      <c r="C169" s="726"/>
      <c r="L169" s="726"/>
      <c r="O169" s="686"/>
    </row>
    <row r="170" spans="1:19" ht="12" customHeight="1">
      <c r="A170" s="683" t="s">
        <v>1046</v>
      </c>
      <c r="B170" s="683"/>
      <c r="C170" s="1401"/>
      <c r="D170" s="1401"/>
      <c r="E170" s="1401"/>
      <c r="F170" s="1401"/>
      <c r="G170" s="1401"/>
      <c r="H170" s="1401"/>
      <c r="I170" s="1401"/>
      <c r="J170" s="1401"/>
      <c r="K170" s="683"/>
      <c r="L170" s="1413"/>
      <c r="M170" s="1413"/>
      <c r="N170" s="1413"/>
      <c r="O170" s="1413"/>
      <c r="P170" s="1413"/>
      <c r="Q170" s="1413"/>
      <c r="R170" s="1413"/>
      <c r="S170" s="1413"/>
    </row>
    <row r="171" spans="1:19" s="726" customFormat="1" ht="12" customHeight="1">
      <c r="A171" s="683" t="s">
        <v>1047</v>
      </c>
      <c r="B171" s="683"/>
      <c r="C171" s="695" t="s">
        <v>1169</v>
      </c>
      <c r="D171" s="961"/>
      <c r="E171" s="722"/>
      <c r="F171" s="909"/>
      <c r="G171" s="909"/>
      <c r="H171" s="909"/>
      <c r="I171" s="913"/>
      <c r="J171" s="698"/>
      <c r="L171" s="695" t="s">
        <v>1169</v>
      </c>
      <c r="M171" s="961"/>
      <c r="N171" s="721"/>
      <c r="O171" s="959"/>
      <c r="P171" s="959"/>
      <c r="Q171" s="959"/>
      <c r="R171" s="973"/>
      <c r="S171" s="698"/>
    </row>
    <row r="172" spans="1:19" s="726" customFormat="1" ht="12" customHeight="1">
      <c r="A172" s="683">
        <v>2022</v>
      </c>
      <c r="B172" s="683"/>
      <c r="C172" s="695" t="s">
        <v>1170</v>
      </c>
      <c r="D172" s="737"/>
      <c r="E172" s="722"/>
      <c r="F172" s="909"/>
      <c r="G172" s="909"/>
      <c r="H172" s="909"/>
      <c r="I172" s="909"/>
      <c r="J172" s="698"/>
      <c r="L172" s="695" t="s">
        <v>1170</v>
      </c>
      <c r="M172" s="772"/>
      <c r="N172" s="721"/>
      <c r="O172" s="959"/>
      <c r="P172" s="959"/>
      <c r="Q172" s="959"/>
      <c r="R172" s="959"/>
      <c r="S172" s="698"/>
    </row>
    <row r="173" spans="1:19" s="726" customFormat="1" ht="12" customHeight="1">
      <c r="A173" s="683">
        <v>2023</v>
      </c>
      <c r="B173" s="683"/>
      <c r="C173" s="695" t="s">
        <v>1171</v>
      </c>
      <c r="D173" s="737"/>
      <c r="E173" s="722"/>
      <c r="F173" s="909"/>
      <c r="G173" s="909"/>
      <c r="H173" s="909"/>
      <c r="I173" s="909"/>
      <c r="J173" s="698"/>
      <c r="L173" s="695" t="s">
        <v>1171</v>
      </c>
      <c r="M173" s="772"/>
      <c r="N173" s="721"/>
      <c r="O173" s="959"/>
      <c r="P173" s="959"/>
      <c r="Q173" s="959"/>
      <c r="R173" s="959"/>
      <c r="S173" s="698"/>
    </row>
    <row r="174" spans="1:19" s="726" customFormat="1" ht="12" customHeight="1">
      <c r="A174" s="683">
        <v>2024</v>
      </c>
      <c r="B174" s="683"/>
      <c r="C174" s="705" t="s">
        <v>1172</v>
      </c>
      <c r="D174" s="738"/>
      <c r="E174" s="731"/>
      <c r="F174" s="912"/>
      <c r="G174" s="912"/>
      <c r="H174" s="912"/>
      <c r="I174" s="912"/>
      <c r="J174" s="718"/>
      <c r="L174" s="705" t="s">
        <v>1172</v>
      </c>
      <c r="M174" s="773"/>
      <c r="N174" s="766"/>
      <c r="O174" s="767"/>
      <c r="P174" s="767"/>
      <c r="Q174" s="767"/>
      <c r="R174" s="767"/>
      <c r="S174" s="718"/>
    </row>
    <row r="175" spans="1:19" s="726" customFormat="1" ht="12" customHeight="1">
      <c r="A175" s="683" t="s">
        <v>12</v>
      </c>
      <c r="B175" s="683"/>
      <c r="C175" s="1561" t="s">
        <v>1173</v>
      </c>
      <c r="D175" s="1563"/>
      <c r="E175" s="1414"/>
      <c r="F175" s="915"/>
      <c r="G175" s="915"/>
      <c r="H175" s="915"/>
      <c r="I175" s="917"/>
      <c r="J175" s="1563"/>
      <c r="L175" s="1561" t="s">
        <v>1173</v>
      </c>
      <c r="M175" s="1567"/>
      <c r="N175" s="1428"/>
      <c r="O175" s="970"/>
      <c r="P175" s="970"/>
      <c r="Q175" s="970"/>
      <c r="R175" s="774"/>
      <c r="S175" s="1563"/>
    </row>
    <row r="176" spans="1:19" ht="4.1500000000000004" customHeight="1">
      <c r="B176" s="683"/>
      <c r="C176" s="1429"/>
      <c r="D176" s="1429"/>
      <c r="E176" s="1429"/>
      <c r="F176" s="1430"/>
      <c r="G176" s="1429"/>
      <c r="H176" s="1429"/>
      <c r="I176" s="1429"/>
      <c r="J176" s="1429"/>
      <c r="L176" s="1429"/>
      <c r="M176" s="1429"/>
      <c r="N176" s="1429"/>
      <c r="O176" s="1430"/>
      <c r="P176" s="1429"/>
      <c r="Q176" s="1429"/>
      <c r="R176" s="1429"/>
      <c r="S176" s="1429"/>
    </row>
    <row r="177" spans="1:26" ht="3" customHeight="1">
      <c r="B177" s="683"/>
      <c r="O177" s="686"/>
    </row>
    <row r="178" spans="1:26" ht="12" customHeight="1">
      <c r="B178" s="683"/>
      <c r="C178" s="1568" t="s">
        <v>1174</v>
      </c>
      <c r="D178" s="1562">
        <f>D20+D31+D38+D45+D52+D59+D66+D73+D78+D89+D100+D117+D128+D139+D150+D161+D168+D175</f>
        <v>12925.988887917243</v>
      </c>
      <c r="E178" s="1402">
        <f t="shared" ref="E178:J178" si="47">E20+E31+E38+E45+E52+E59+E66+E73+E78+E89+E100+E117+E128+E139+E150+E161+E168+E175</f>
        <v>-23433.245878779107</v>
      </c>
      <c r="F178" s="968">
        <f t="shared" si="47"/>
        <v>-10551.684546130416</v>
      </c>
      <c r="G178" s="968">
        <f t="shared" si="47"/>
        <v>-6117.0689873517204</v>
      </c>
      <c r="H178" s="968">
        <f t="shared" si="47"/>
        <v>2766.5106122372727</v>
      </c>
      <c r="I178" s="969">
        <f t="shared" si="47"/>
        <v>8281.4003364571581</v>
      </c>
      <c r="J178" s="1562">
        <f t="shared" si="47"/>
        <v>41667.577351484055</v>
      </c>
      <c r="L178" s="1568" t="s">
        <v>1174</v>
      </c>
      <c r="M178" s="1562">
        <f>M20+M31+M38+M45+M52+M59+M66+M73+M78+M89+M100+M117+M128+M139+M150+M161+M168+M175</f>
        <v>-12328.401829258815</v>
      </c>
      <c r="N178" s="1402">
        <f t="shared" ref="N178:S178" si="48">N20+N31+N38+N45+N52+N59+N66+N73+N78+N89+N100+N117+N128+N139+N150+N161+N168+N175</f>
        <v>-8940.8325138881155</v>
      </c>
      <c r="O178" s="968">
        <f t="shared" si="48"/>
        <v>-4867.3751383378949</v>
      </c>
      <c r="P178" s="968">
        <f t="shared" si="48"/>
        <v>-2983.0837896782446</v>
      </c>
      <c r="Q178" s="968">
        <f t="shared" si="48"/>
        <v>-1781.7449387105771</v>
      </c>
      <c r="R178" s="969">
        <f>R20+R31+R38+R45+R52+R59+R66+R73+R78+R89+R100+R117+R128+R139+R150+R161+R168+R175</f>
        <v>1003.2808578480855</v>
      </c>
      <c r="S178" s="1562">
        <f t="shared" si="48"/>
        <v>5137.1870260079277</v>
      </c>
    </row>
    <row r="179" spans="1:26" ht="3" customHeight="1">
      <c r="B179" s="683"/>
    </row>
    <row r="180" spans="1:26" ht="12" customHeight="1">
      <c r="B180" s="683"/>
      <c r="C180" s="120" t="s">
        <v>1175</v>
      </c>
      <c r="F180" s="684"/>
    </row>
    <row r="181" spans="1:26" ht="12" customHeight="1">
      <c r="B181" s="683"/>
      <c r="C181" s="120" t="s">
        <v>1176</v>
      </c>
      <c r="D181" s="744"/>
      <c r="E181" s="745"/>
      <c r="F181" s="745"/>
      <c r="G181" s="745"/>
      <c r="H181" s="745"/>
      <c r="I181" s="745"/>
      <c r="J181" s="746"/>
    </row>
    <row r="182" spans="1:26">
      <c r="B182" s="683"/>
      <c r="C182" s="747" t="s">
        <v>1177</v>
      </c>
    </row>
    <row r="184" spans="1:26" ht="17">
      <c r="A184" s="775" t="s">
        <v>5</v>
      </c>
      <c r="B184" s="775"/>
      <c r="C184" s="775"/>
      <c r="D184" s="775"/>
      <c r="E184" s="775"/>
      <c r="F184" s="775"/>
      <c r="G184" s="775"/>
      <c r="H184" s="775"/>
      <c r="I184" s="775"/>
      <c r="J184" s="775"/>
      <c r="K184" s="775"/>
      <c r="L184" s="775"/>
      <c r="M184" s="775"/>
      <c r="N184" s="775"/>
      <c r="O184" s="775"/>
      <c r="P184" s="775"/>
      <c r="Q184" s="775"/>
      <c r="R184" s="775"/>
      <c r="S184" s="775"/>
      <c r="T184" s="775"/>
      <c r="U184" s="775"/>
      <c r="V184" s="775"/>
      <c r="W184" s="775"/>
      <c r="X184" s="775"/>
      <c r="Y184" s="775"/>
      <c r="Z184" s="775"/>
    </row>
    <row r="186" spans="1:26" ht="17">
      <c r="C186" s="750" t="s">
        <v>23</v>
      </c>
      <c r="D186" s="750"/>
      <c r="E186" s="750"/>
      <c r="F186" s="750"/>
      <c r="G186" s="750"/>
      <c r="H186" s="750"/>
      <c r="I186" s="750"/>
      <c r="J186" s="750"/>
      <c r="K186" s="691"/>
      <c r="L186" s="750" t="s">
        <v>24</v>
      </c>
      <c r="M186" s="750"/>
      <c r="N186" s="750"/>
      <c r="O186" s="750"/>
      <c r="P186" s="750"/>
      <c r="Q186" s="750"/>
      <c r="R186" s="750"/>
      <c r="S186" s="750"/>
    </row>
    <row r="187" spans="1:26">
      <c r="A187" s="683" t="s">
        <v>1039</v>
      </c>
      <c r="B187" s="683"/>
      <c r="C187" s="1557" t="s">
        <v>1040</v>
      </c>
      <c r="D187" s="1392" t="s">
        <v>1041</v>
      </c>
      <c r="E187" s="692">
        <v>2020</v>
      </c>
      <c r="F187" s="693">
        <v>2021</v>
      </c>
      <c r="G187" s="693">
        <v>2022</v>
      </c>
      <c r="H187" s="693">
        <v>2023</v>
      </c>
      <c r="I187" s="694">
        <v>2024</v>
      </c>
      <c r="J187" s="1557" t="s">
        <v>1042</v>
      </c>
      <c r="L187" s="1569" t="s">
        <v>1040</v>
      </c>
      <c r="M187" s="1392" t="s">
        <v>1041</v>
      </c>
      <c r="N187" s="692">
        <v>2020</v>
      </c>
      <c r="O187" s="693">
        <v>2021</v>
      </c>
      <c r="P187" s="693">
        <v>2022</v>
      </c>
      <c r="Q187" s="693">
        <v>2023</v>
      </c>
      <c r="R187" s="694">
        <v>2024</v>
      </c>
      <c r="S187" s="1557" t="s">
        <v>1042</v>
      </c>
    </row>
    <row r="188" spans="1:26">
      <c r="B188" s="683"/>
      <c r="C188" s="1393"/>
      <c r="D188" s="1393"/>
      <c r="E188" s="1393"/>
      <c r="F188" s="1393"/>
      <c r="G188" s="1393"/>
      <c r="H188" s="1393"/>
      <c r="I188" s="1393"/>
      <c r="J188" s="1393"/>
      <c r="L188" s="1393"/>
      <c r="M188" s="1393"/>
      <c r="N188" s="1393"/>
      <c r="O188" s="1393"/>
      <c r="P188" s="1393"/>
      <c r="Q188" s="1393"/>
      <c r="R188" s="1393"/>
      <c r="S188" s="1393"/>
    </row>
    <row r="189" spans="1:26">
      <c r="A189" s="683">
        <v>2018</v>
      </c>
      <c r="B189" s="683"/>
      <c r="C189" s="1394" t="s">
        <v>1043</v>
      </c>
      <c r="D189" s="1395">
        <v>-374</v>
      </c>
      <c r="E189" s="1396">
        <f>D189</f>
        <v>-374</v>
      </c>
      <c r="F189" s="1397"/>
      <c r="G189" s="1398"/>
      <c r="H189" s="1398"/>
      <c r="I189" s="1399"/>
      <c r="J189" s="1400"/>
      <c r="L189" s="1394" t="s">
        <v>1043</v>
      </c>
      <c r="M189" s="1395">
        <v>-93.434519669341356</v>
      </c>
      <c r="N189" s="1396">
        <f>M189</f>
        <v>-93.434519669341356</v>
      </c>
      <c r="O189" s="1397"/>
      <c r="P189" s="1398"/>
      <c r="Q189" s="1398"/>
      <c r="R189" s="1399"/>
      <c r="S189" s="1400"/>
    </row>
    <row r="190" spans="1:26">
      <c r="A190" s="683">
        <v>2019</v>
      </c>
      <c r="B190" s="683"/>
      <c r="C190" s="695" t="s">
        <v>1044</v>
      </c>
      <c r="D190" s="964">
        <v>-406.70123746618043</v>
      </c>
      <c r="E190" s="696"/>
      <c r="F190" s="697">
        <f>D190</f>
        <v>-406.70123746618043</v>
      </c>
      <c r="G190" s="909"/>
      <c r="H190" s="909"/>
      <c r="I190" s="910"/>
      <c r="J190" s="698"/>
      <c r="L190" s="695" t="s">
        <v>1044</v>
      </c>
      <c r="M190" s="964">
        <v>-101.65881702114908</v>
      </c>
      <c r="N190" s="696"/>
      <c r="O190" s="697">
        <f>M190</f>
        <v>-101.65881702114908</v>
      </c>
      <c r="P190" s="909"/>
      <c r="Q190" s="909"/>
      <c r="R190" s="910"/>
      <c r="S190" s="698"/>
    </row>
    <row r="191" spans="1:26">
      <c r="A191" s="683" t="s">
        <v>127</v>
      </c>
      <c r="B191" s="683"/>
      <c r="C191" s="1558" t="s">
        <v>1045</v>
      </c>
      <c r="D191" s="1559">
        <f>SUM(D189:D190)</f>
        <v>-780.70123746618037</v>
      </c>
      <c r="E191" s="699">
        <f>SUM(E189:E190)</f>
        <v>-374</v>
      </c>
      <c r="F191" s="700">
        <f>SUM(F189:F190)</f>
        <v>-406.70123746618043</v>
      </c>
      <c r="G191" s="701"/>
      <c r="H191" s="701"/>
      <c r="I191" s="702"/>
      <c r="J191" s="1560"/>
      <c r="L191" s="1558" t="s">
        <v>1045</v>
      </c>
      <c r="M191" s="1559">
        <f>SUM(M189:M190)</f>
        <v>-195.09333669049045</v>
      </c>
      <c r="N191" s="699">
        <f>SUM(N189:N190)</f>
        <v>-93.434519669341356</v>
      </c>
      <c r="O191" s="700">
        <f>SUM(O189:O190)</f>
        <v>-101.65881702114908</v>
      </c>
      <c r="P191" s="701"/>
      <c r="Q191" s="701"/>
      <c r="R191" s="702"/>
      <c r="S191" s="1560"/>
    </row>
    <row r="192" spans="1:26">
      <c r="A192" s="683" t="s">
        <v>1046</v>
      </c>
      <c r="B192" s="683"/>
      <c r="C192" s="1401"/>
      <c r="D192" s="1401"/>
      <c r="E192" s="1401"/>
      <c r="F192" s="1401"/>
      <c r="G192" s="1401"/>
      <c r="H192" s="1401"/>
      <c r="I192" s="1401"/>
      <c r="J192" s="1401"/>
      <c r="L192" s="1401"/>
      <c r="M192" s="1401"/>
      <c r="N192" s="1401"/>
      <c r="O192" s="1401"/>
      <c r="P192" s="1401"/>
      <c r="Q192" s="1401"/>
      <c r="R192" s="1401"/>
      <c r="S192" s="1401"/>
    </row>
    <row r="193" spans="1:19">
      <c r="A193" s="683" t="s">
        <v>1047</v>
      </c>
      <c r="B193" s="683"/>
      <c r="C193" s="695" t="s">
        <v>1048</v>
      </c>
      <c r="D193" s="964">
        <f t="array" ref="D193:D196">TRANSPOSE('ERT MET'!C19:F19)</f>
        <v>0</v>
      </c>
      <c r="E193" s="696"/>
      <c r="F193" s="703"/>
      <c r="G193" s="909"/>
      <c r="H193" s="963">
        <f>D193</f>
        <v>0</v>
      </c>
      <c r="I193" s="910"/>
      <c r="J193" s="698"/>
      <c r="L193" s="695" t="s">
        <v>1048</v>
      </c>
      <c r="M193" s="964">
        <f t="array" ref="M193:M196">TRANSPOSE('TRM MET'!C19:F19)</f>
        <v>0</v>
      </c>
      <c r="N193" s="696"/>
      <c r="O193" s="703"/>
      <c r="P193" s="909"/>
      <c r="Q193" s="963">
        <f>M193</f>
        <v>0</v>
      </c>
      <c r="R193" s="910"/>
      <c r="S193" s="698"/>
    </row>
    <row r="194" spans="1:19">
      <c r="A194" s="683">
        <v>2022</v>
      </c>
      <c r="B194" s="683"/>
      <c r="C194" s="695" t="s">
        <v>1049</v>
      </c>
      <c r="D194" s="964">
        <v>0</v>
      </c>
      <c r="E194" s="696"/>
      <c r="F194" s="703"/>
      <c r="G194" s="909"/>
      <c r="H194" s="909"/>
      <c r="I194" s="704">
        <f>D194</f>
        <v>0</v>
      </c>
      <c r="J194" s="698"/>
      <c r="L194" s="695" t="s">
        <v>1049</v>
      </c>
      <c r="M194" s="964">
        <v>0</v>
      </c>
      <c r="N194" s="696"/>
      <c r="O194" s="703"/>
      <c r="P194" s="909"/>
      <c r="Q194" s="909"/>
      <c r="R194" s="704">
        <f>M194</f>
        <v>0</v>
      </c>
      <c r="S194" s="698"/>
    </row>
    <row r="195" spans="1:19">
      <c r="A195" s="683">
        <v>2023</v>
      </c>
      <c r="B195" s="683"/>
      <c r="C195" s="695" t="s">
        <v>1050</v>
      </c>
      <c r="D195" s="964">
        <v>0</v>
      </c>
      <c r="E195" s="696"/>
      <c r="F195" s="703"/>
      <c r="G195" s="909"/>
      <c r="H195" s="909"/>
      <c r="I195" s="913"/>
      <c r="J195" s="714">
        <f>D195</f>
        <v>0</v>
      </c>
      <c r="L195" s="695" t="s">
        <v>1050</v>
      </c>
      <c r="M195" s="964">
        <v>0</v>
      </c>
      <c r="N195" s="696"/>
      <c r="O195" s="703"/>
      <c r="P195" s="909"/>
      <c r="Q195" s="909"/>
      <c r="R195" s="913"/>
      <c r="S195" s="714">
        <f>M195</f>
        <v>0</v>
      </c>
    </row>
    <row r="196" spans="1:19">
      <c r="A196" s="683">
        <v>2024</v>
      </c>
      <c r="B196" s="683"/>
      <c r="C196" s="705" t="s">
        <v>1051</v>
      </c>
      <c r="D196" s="706">
        <v>0</v>
      </c>
      <c r="E196" s="707"/>
      <c r="F196" s="911"/>
      <c r="G196" s="911"/>
      <c r="H196" s="911"/>
      <c r="I196" s="914"/>
      <c r="J196" s="715">
        <f>D196</f>
        <v>0</v>
      </c>
      <c r="L196" s="705" t="s">
        <v>1051</v>
      </c>
      <c r="M196" s="706">
        <v>0</v>
      </c>
      <c r="N196" s="707"/>
      <c r="O196" s="911"/>
      <c r="P196" s="911"/>
      <c r="Q196" s="911"/>
      <c r="R196" s="914"/>
      <c r="S196" s="715">
        <f>M196</f>
        <v>0</v>
      </c>
    </row>
    <row r="197" spans="1:19">
      <c r="A197" s="683" t="s">
        <v>12</v>
      </c>
      <c r="B197" s="683"/>
      <c r="C197" s="1568" t="s">
        <v>1052</v>
      </c>
      <c r="D197" s="1562">
        <f>SUM(D191:D196)</f>
        <v>-780.70123746618037</v>
      </c>
      <c r="E197" s="1402">
        <f t="shared" ref="E197:J197" si="49">SUM(E191:E196)</f>
        <v>-374</v>
      </c>
      <c r="F197" s="968">
        <f t="shared" si="49"/>
        <v>-406.70123746618043</v>
      </c>
      <c r="G197" s="968">
        <f t="shared" si="49"/>
        <v>0</v>
      </c>
      <c r="H197" s="968">
        <f t="shared" si="49"/>
        <v>0</v>
      </c>
      <c r="I197" s="969">
        <f t="shared" si="49"/>
        <v>0</v>
      </c>
      <c r="J197" s="1562">
        <f t="shared" si="49"/>
        <v>0</v>
      </c>
      <c r="L197" s="1568" t="s">
        <v>1052</v>
      </c>
      <c r="M197" s="1562">
        <f>SUM(M191:M196)</f>
        <v>-195.09333669049045</v>
      </c>
      <c r="N197" s="1402">
        <f t="shared" ref="N197:S197" si="50">SUM(N191:N196)</f>
        <v>-93.434519669341356</v>
      </c>
      <c r="O197" s="968">
        <f t="shared" si="50"/>
        <v>-101.65881702114908</v>
      </c>
      <c r="P197" s="968">
        <f t="shared" si="50"/>
        <v>0</v>
      </c>
      <c r="Q197" s="968">
        <f t="shared" si="50"/>
        <v>0</v>
      </c>
      <c r="R197" s="969">
        <f t="shared" si="50"/>
        <v>0</v>
      </c>
      <c r="S197" s="1562">
        <f t="shared" si="50"/>
        <v>0</v>
      </c>
    </row>
    <row r="198" spans="1:19">
      <c r="A198" s="708"/>
      <c r="B198" s="708"/>
      <c r="C198" s="709"/>
      <c r="D198" s="1403"/>
      <c r="E198" s="1404"/>
      <c r="F198" s="1404"/>
      <c r="G198" s="1404"/>
      <c r="H198" s="1404"/>
      <c r="I198" s="1404"/>
      <c r="J198" s="1404"/>
      <c r="L198" s="709"/>
      <c r="M198" s="1403"/>
      <c r="N198" s="1404"/>
      <c r="O198" s="1404"/>
      <c r="P198" s="1404"/>
      <c r="Q198" s="1404"/>
      <c r="R198" s="1404"/>
      <c r="S198" s="1404"/>
    </row>
    <row r="199" spans="1:19">
      <c r="A199" s="683">
        <v>2017</v>
      </c>
      <c r="B199" s="683"/>
      <c r="C199" s="1394" t="s">
        <v>1053</v>
      </c>
      <c r="D199" s="716"/>
      <c r="E199" s="696"/>
      <c r="F199" s="703"/>
      <c r="G199" s="909"/>
      <c r="H199" s="909"/>
      <c r="I199" s="913"/>
      <c r="J199" s="698"/>
      <c r="L199" s="1394" t="s">
        <v>1053</v>
      </c>
      <c r="M199" s="716"/>
      <c r="N199" s="696"/>
      <c r="O199" s="703"/>
      <c r="P199" s="909"/>
      <c r="Q199" s="909"/>
      <c r="R199" s="913"/>
      <c r="S199" s="698"/>
    </row>
    <row r="200" spans="1:19">
      <c r="A200" s="683">
        <v>2018</v>
      </c>
      <c r="B200" s="683"/>
      <c r="C200" s="695" t="s">
        <v>1054</v>
      </c>
      <c r="D200" s="716"/>
      <c r="E200" s="696"/>
      <c r="F200" s="703"/>
      <c r="G200" s="909"/>
      <c r="H200" s="909"/>
      <c r="I200" s="913"/>
      <c r="J200" s="698"/>
      <c r="L200" s="695" t="s">
        <v>1054</v>
      </c>
      <c r="M200" s="716"/>
      <c r="N200" s="696"/>
      <c r="O200" s="703"/>
      <c r="P200" s="909"/>
      <c r="Q200" s="909"/>
      <c r="R200" s="913"/>
      <c r="S200" s="698"/>
    </row>
    <row r="201" spans="1:19">
      <c r="A201" s="683">
        <v>2019</v>
      </c>
      <c r="B201" s="683"/>
      <c r="C201" s="695" t="s">
        <v>1055</v>
      </c>
      <c r="D201" s="717"/>
      <c r="E201" s="707"/>
      <c r="F201" s="911"/>
      <c r="G201" s="912"/>
      <c r="H201" s="912"/>
      <c r="I201" s="916"/>
      <c r="J201" s="718"/>
      <c r="L201" s="695" t="s">
        <v>1055</v>
      </c>
      <c r="M201" s="717"/>
      <c r="N201" s="707"/>
      <c r="O201" s="911"/>
      <c r="P201" s="912"/>
      <c r="Q201" s="912"/>
      <c r="R201" s="916"/>
      <c r="S201" s="718"/>
    </row>
    <row r="202" spans="1:19">
      <c r="A202" s="683" t="s">
        <v>127</v>
      </c>
      <c r="B202" s="683"/>
      <c r="C202" s="1558" t="s">
        <v>1056</v>
      </c>
      <c r="D202" s="1563"/>
      <c r="E202" s="1414"/>
      <c r="F202" s="915"/>
      <c r="G202" s="915"/>
      <c r="H202" s="915"/>
      <c r="I202" s="917"/>
      <c r="J202" s="1563"/>
      <c r="L202" s="1558" t="s">
        <v>1056</v>
      </c>
      <c r="M202" s="1563"/>
      <c r="N202" s="1414"/>
      <c r="O202" s="915"/>
      <c r="P202" s="915"/>
      <c r="Q202" s="915"/>
      <c r="R202" s="917"/>
      <c r="S202" s="1563"/>
    </row>
    <row r="203" spans="1:19">
      <c r="A203" s="683" t="s">
        <v>1046</v>
      </c>
      <c r="B203" s="683"/>
      <c r="C203" s="1401"/>
      <c r="D203" s="1401"/>
      <c r="E203" s="1401"/>
      <c r="F203" s="1401"/>
      <c r="G203" s="1401"/>
      <c r="H203" s="1401"/>
      <c r="I203" s="1401"/>
      <c r="J203" s="1401"/>
      <c r="L203" s="1401"/>
      <c r="M203" s="1401"/>
      <c r="N203" s="1401"/>
      <c r="O203" s="1401"/>
      <c r="P203" s="1401"/>
      <c r="Q203" s="1401"/>
      <c r="R203" s="1401"/>
      <c r="S203" s="1401"/>
    </row>
    <row r="204" spans="1:19">
      <c r="A204" s="683" t="s">
        <v>1047</v>
      </c>
      <c r="B204" s="683"/>
      <c r="C204" s="695" t="s">
        <v>1057</v>
      </c>
      <c r="D204" s="716"/>
      <c r="E204" s="696"/>
      <c r="F204" s="703"/>
      <c r="G204" s="909"/>
      <c r="H204" s="909"/>
      <c r="I204" s="910"/>
      <c r="J204" s="698"/>
      <c r="L204" s="695" t="s">
        <v>1057</v>
      </c>
      <c r="M204" s="716"/>
      <c r="N204" s="696"/>
      <c r="O204" s="703"/>
      <c r="P204" s="909"/>
      <c r="Q204" s="909"/>
      <c r="R204" s="910"/>
      <c r="S204" s="698"/>
    </row>
    <row r="205" spans="1:19">
      <c r="A205" s="683">
        <v>2022</v>
      </c>
      <c r="B205" s="683"/>
      <c r="C205" s="695" t="s">
        <v>1058</v>
      </c>
      <c r="D205" s="716"/>
      <c r="E205" s="696"/>
      <c r="F205" s="703"/>
      <c r="G205" s="909"/>
      <c r="H205" s="909"/>
      <c r="I205" s="913"/>
      <c r="J205" s="698"/>
      <c r="L205" s="695" t="s">
        <v>1058</v>
      </c>
      <c r="M205" s="716"/>
      <c r="N205" s="696"/>
      <c r="O205" s="703"/>
      <c r="P205" s="909"/>
      <c r="Q205" s="909"/>
      <c r="R205" s="913"/>
      <c r="S205" s="698"/>
    </row>
    <row r="206" spans="1:19">
      <c r="A206" s="683">
        <v>2023</v>
      </c>
      <c r="B206" s="683"/>
      <c r="C206" s="695" t="s">
        <v>1059</v>
      </c>
      <c r="D206" s="716"/>
      <c r="E206" s="696"/>
      <c r="F206" s="703"/>
      <c r="G206" s="909"/>
      <c r="H206" s="909"/>
      <c r="I206" s="913"/>
      <c r="J206" s="698"/>
      <c r="L206" s="695" t="s">
        <v>1059</v>
      </c>
      <c r="M206" s="716"/>
      <c r="N206" s="696"/>
      <c r="O206" s="703"/>
      <c r="P206" s="909"/>
      <c r="Q206" s="909"/>
      <c r="R206" s="913"/>
      <c r="S206" s="698"/>
    </row>
    <row r="207" spans="1:19">
      <c r="A207" s="683">
        <v>2024</v>
      </c>
      <c r="B207" s="683"/>
      <c r="C207" s="705" t="s">
        <v>1060</v>
      </c>
      <c r="D207" s="717"/>
      <c r="E207" s="707"/>
      <c r="F207" s="911"/>
      <c r="G207" s="912"/>
      <c r="H207" s="912"/>
      <c r="I207" s="916"/>
      <c r="J207" s="718"/>
      <c r="L207" s="705" t="s">
        <v>1060</v>
      </c>
      <c r="M207" s="717"/>
      <c r="N207" s="707"/>
      <c r="O207" s="911"/>
      <c r="P207" s="912"/>
      <c r="Q207" s="912"/>
      <c r="R207" s="916"/>
      <c r="S207" s="718"/>
    </row>
    <row r="208" spans="1:19">
      <c r="A208" s="683" t="s">
        <v>12</v>
      </c>
      <c r="B208" s="683"/>
      <c r="C208" s="1568" t="s">
        <v>1061</v>
      </c>
      <c r="D208" s="1563"/>
      <c r="E208" s="1414"/>
      <c r="F208" s="915"/>
      <c r="G208" s="915"/>
      <c r="H208" s="915"/>
      <c r="I208" s="917"/>
      <c r="J208" s="1563"/>
      <c r="L208" s="1568" t="s">
        <v>1061</v>
      </c>
      <c r="M208" s="1563"/>
      <c r="N208" s="1414"/>
      <c r="O208" s="915"/>
      <c r="P208" s="915"/>
      <c r="Q208" s="915"/>
      <c r="R208" s="917"/>
      <c r="S208" s="1563"/>
    </row>
    <row r="209" spans="1:19">
      <c r="A209" s="708"/>
      <c r="B209" s="708"/>
      <c r="C209" s="1409"/>
      <c r="D209" s="1409"/>
      <c r="E209" s="1410"/>
      <c r="F209" s="1410"/>
      <c r="G209" s="1410"/>
      <c r="H209" s="1410"/>
      <c r="I209" s="1410"/>
      <c r="J209" s="1410"/>
      <c r="L209" s="1411"/>
      <c r="M209" s="1411"/>
      <c r="N209" s="1412"/>
      <c r="O209" s="1412"/>
      <c r="P209" s="1412"/>
      <c r="Q209" s="1412"/>
      <c r="R209" s="1412"/>
      <c r="S209" s="1412"/>
    </row>
    <row r="210" spans="1:19">
      <c r="A210" s="683" t="s">
        <v>1046</v>
      </c>
      <c r="B210" s="683"/>
      <c r="C210" s="1401"/>
      <c r="D210" s="1401"/>
      <c r="E210" s="1401"/>
      <c r="F210" s="1401"/>
      <c r="G210" s="1401"/>
      <c r="H210" s="1401"/>
      <c r="I210" s="1401"/>
      <c r="J210" s="1401"/>
      <c r="L210" s="1413"/>
      <c r="M210" s="1413"/>
      <c r="N210" s="1413"/>
      <c r="O210" s="1413"/>
      <c r="P210" s="1413"/>
      <c r="Q210" s="1413"/>
      <c r="R210" s="1413"/>
      <c r="S210" s="1413"/>
    </row>
    <row r="211" spans="1:19">
      <c r="A211" s="683" t="s">
        <v>1047</v>
      </c>
      <c r="B211" s="683"/>
      <c r="C211" s="695" t="s">
        <v>1062</v>
      </c>
      <c r="D211" s="964">
        <f t="array" ref="D211:D214">TRANSPOSE('ERT MET'!C22:F22)</f>
        <v>0</v>
      </c>
      <c r="E211" s="696"/>
      <c r="F211" s="703"/>
      <c r="G211" s="909"/>
      <c r="H211" s="971">
        <f>D211*(1-'UR Control'!$E$29)</f>
        <v>0</v>
      </c>
      <c r="I211" s="910"/>
      <c r="J211" s="964">
        <f>D211-SUM(E211:I211)</f>
        <v>0</v>
      </c>
      <c r="L211" s="695" t="s">
        <v>1062</v>
      </c>
      <c r="M211" s="964">
        <f t="array" ref="M211:M214">TRANSPOSE('TRM MET'!C22:F22)</f>
        <v>0</v>
      </c>
      <c r="N211" s="696"/>
      <c r="O211" s="703"/>
      <c r="P211" s="909"/>
      <c r="Q211" s="971">
        <f>M211*(1-'UR Control'!$E$29)</f>
        <v>0</v>
      </c>
      <c r="R211" s="910"/>
      <c r="S211" s="964">
        <f>M211-SUM(N211:R211)</f>
        <v>0</v>
      </c>
    </row>
    <row r="212" spans="1:19">
      <c r="A212" s="683">
        <v>2022</v>
      </c>
      <c r="B212" s="683"/>
      <c r="C212" s="776" t="s">
        <v>1063</v>
      </c>
      <c r="D212" s="964">
        <v>0</v>
      </c>
      <c r="E212" s="696"/>
      <c r="F212" s="703"/>
      <c r="G212" s="909"/>
      <c r="H212" s="909"/>
      <c r="I212" s="972">
        <f>D212*(1-'UR Control'!$E$29)</f>
        <v>0</v>
      </c>
      <c r="J212" s="964">
        <f>D212-SUM(E212:I212)</f>
        <v>0</v>
      </c>
      <c r="L212" s="776" t="s">
        <v>1063</v>
      </c>
      <c r="M212" s="964">
        <v>0</v>
      </c>
      <c r="N212" s="696"/>
      <c r="O212" s="703"/>
      <c r="P212" s="909"/>
      <c r="Q212" s="909"/>
      <c r="R212" s="972">
        <f>M212*(1-'UR Control'!$E$29)</f>
        <v>0</v>
      </c>
      <c r="S212" s="964">
        <f>M212-SUM(N212:R212)</f>
        <v>0</v>
      </c>
    </row>
    <row r="213" spans="1:19">
      <c r="A213" s="683">
        <v>2023</v>
      </c>
      <c r="B213" s="683"/>
      <c r="C213" s="776" t="s">
        <v>1064</v>
      </c>
      <c r="D213" s="964">
        <v>0</v>
      </c>
      <c r="E213" s="696"/>
      <c r="F213" s="703"/>
      <c r="G213" s="909"/>
      <c r="H213" s="909"/>
      <c r="I213" s="913"/>
      <c r="J213" s="964">
        <f>D213</f>
        <v>0</v>
      </c>
      <c r="L213" s="776" t="s">
        <v>1064</v>
      </c>
      <c r="M213" s="964">
        <v>0</v>
      </c>
      <c r="N213" s="696"/>
      <c r="O213" s="703"/>
      <c r="P213" s="909"/>
      <c r="Q213" s="909"/>
      <c r="R213" s="913"/>
      <c r="S213" s="964">
        <f>M213</f>
        <v>0</v>
      </c>
    </row>
    <row r="214" spans="1:19">
      <c r="A214" s="683">
        <v>2024</v>
      </c>
      <c r="B214" s="683"/>
      <c r="C214" s="777" t="s">
        <v>1065</v>
      </c>
      <c r="D214" s="706">
        <v>0</v>
      </c>
      <c r="E214" s="707"/>
      <c r="F214" s="911"/>
      <c r="G214" s="911"/>
      <c r="H214" s="911"/>
      <c r="I214" s="914"/>
      <c r="J214" s="706">
        <f>D214</f>
        <v>0</v>
      </c>
      <c r="L214" s="777" t="s">
        <v>1065</v>
      </c>
      <c r="M214" s="706">
        <v>0</v>
      </c>
      <c r="N214" s="707"/>
      <c r="O214" s="911"/>
      <c r="P214" s="911"/>
      <c r="Q214" s="911"/>
      <c r="R214" s="914"/>
      <c r="S214" s="706">
        <f>M214</f>
        <v>0</v>
      </c>
    </row>
    <row r="215" spans="1:19">
      <c r="A215" s="683" t="s">
        <v>12</v>
      </c>
      <c r="B215" s="683"/>
      <c r="C215" s="1568" t="s">
        <v>1066</v>
      </c>
      <c r="D215" s="1562">
        <f>SUM(D210:D214)</f>
        <v>0</v>
      </c>
      <c r="E215" s="1414"/>
      <c r="F215" s="915"/>
      <c r="G215" s="915"/>
      <c r="H215" s="968">
        <f>SUM(H210:H214)</f>
        <v>0</v>
      </c>
      <c r="I215" s="969">
        <f>SUM(I210:I214)</f>
        <v>0</v>
      </c>
      <c r="J215" s="1562">
        <f>SUM(J210:J214)</f>
        <v>0</v>
      </c>
      <c r="L215" s="1568" t="s">
        <v>1066</v>
      </c>
      <c r="M215" s="1562">
        <f>SUM(M210:M214)</f>
        <v>0</v>
      </c>
      <c r="N215" s="1414"/>
      <c r="O215" s="915"/>
      <c r="P215" s="915"/>
      <c r="Q215" s="968">
        <f>SUM(Q210:Q214)</f>
        <v>0</v>
      </c>
      <c r="R215" s="969">
        <f>SUM(R210:R214)</f>
        <v>0</v>
      </c>
      <c r="S215" s="1562">
        <f>SUM(S210:S214)</f>
        <v>0</v>
      </c>
    </row>
    <row r="216" spans="1:19">
      <c r="A216" s="708"/>
      <c r="B216" s="708"/>
      <c r="C216" s="1409"/>
      <c r="D216" s="1409"/>
      <c r="E216" s="1410"/>
      <c r="F216" s="1410"/>
      <c r="G216" s="1410"/>
      <c r="H216" s="1410"/>
      <c r="I216" s="1410"/>
      <c r="J216" s="1410"/>
      <c r="L216" s="1411"/>
      <c r="M216" s="1411"/>
      <c r="N216" s="1412"/>
      <c r="O216" s="1412"/>
      <c r="P216" s="1412"/>
      <c r="Q216" s="1410"/>
      <c r="R216" s="1410"/>
      <c r="S216" s="1412"/>
    </row>
    <row r="217" spans="1:19">
      <c r="A217" s="683" t="s">
        <v>1046</v>
      </c>
      <c r="B217" s="683"/>
      <c r="C217" s="1401"/>
      <c r="D217" s="1401"/>
      <c r="E217" s="1401"/>
      <c r="F217" s="1401"/>
      <c r="G217" s="1401"/>
      <c r="H217" s="1401"/>
      <c r="I217" s="1401"/>
      <c r="J217" s="1401"/>
      <c r="L217" s="1413"/>
      <c r="M217" s="1413"/>
      <c r="N217" s="1413"/>
      <c r="O217" s="1413"/>
      <c r="P217" s="1413"/>
      <c r="Q217" s="1401"/>
      <c r="R217" s="1401"/>
      <c r="S217" s="1413"/>
    </row>
    <row r="218" spans="1:19">
      <c r="A218" s="683" t="s">
        <v>1047</v>
      </c>
      <c r="B218" s="683"/>
      <c r="C218" s="695" t="s">
        <v>1067</v>
      </c>
      <c r="D218" s="716"/>
      <c r="E218" s="696"/>
      <c r="F218" s="703"/>
      <c r="G218" s="909"/>
      <c r="H218" s="909"/>
      <c r="I218" s="910"/>
      <c r="J218" s="698"/>
      <c r="L218" s="695" t="s">
        <v>1067</v>
      </c>
      <c r="M218" s="716"/>
      <c r="N218" s="696"/>
      <c r="O218" s="703"/>
      <c r="P218" s="909"/>
      <c r="Q218" s="909"/>
      <c r="R218" s="910"/>
      <c r="S218" s="698"/>
    </row>
    <row r="219" spans="1:19">
      <c r="A219" s="683">
        <v>2022</v>
      </c>
      <c r="B219" s="683"/>
      <c r="C219" s="776" t="s">
        <v>1068</v>
      </c>
      <c r="D219" s="716"/>
      <c r="E219" s="696"/>
      <c r="F219" s="703"/>
      <c r="G219" s="909"/>
      <c r="H219" s="909"/>
      <c r="I219" s="913"/>
      <c r="J219" s="698"/>
      <c r="L219" s="776" t="s">
        <v>1068</v>
      </c>
      <c r="M219" s="716"/>
      <c r="N219" s="696"/>
      <c r="O219" s="703"/>
      <c r="P219" s="909"/>
      <c r="Q219" s="909"/>
      <c r="R219" s="913"/>
      <c r="S219" s="698"/>
    </row>
    <row r="220" spans="1:19">
      <c r="A220" s="683">
        <v>2023</v>
      </c>
      <c r="B220" s="683"/>
      <c r="C220" s="776" t="s">
        <v>1069</v>
      </c>
      <c r="D220" s="716"/>
      <c r="E220" s="696"/>
      <c r="F220" s="703"/>
      <c r="G220" s="909"/>
      <c r="H220" s="909"/>
      <c r="I220" s="913"/>
      <c r="J220" s="698"/>
      <c r="L220" s="776" t="s">
        <v>1069</v>
      </c>
      <c r="M220" s="716"/>
      <c r="N220" s="696"/>
      <c r="O220" s="703"/>
      <c r="P220" s="909"/>
      <c r="Q220" s="909"/>
      <c r="R220" s="913"/>
      <c r="S220" s="698"/>
    </row>
    <row r="221" spans="1:19">
      <c r="A221" s="683">
        <v>2024</v>
      </c>
      <c r="B221" s="683"/>
      <c r="C221" s="777" t="s">
        <v>1070</v>
      </c>
      <c r="D221" s="717"/>
      <c r="E221" s="707"/>
      <c r="F221" s="911"/>
      <c r="G221" s="912"/>
      <c r="H221" s="912"/>
      <c r="I221" s="916"/>
      <c r="J221" s="718"/>
      <c r="L221" s="777" t="s">
        <v>1070</v>
      </c>
      <c r="M221" s="717"/>
      <c r="N221" s="707"/>
      <c r="O221" s="911"/>
      <c r="P221" s="912"/>
      <c r="Q221" s="912"/>
      <c r="R221" s="916"/>
      <c r="S221" s="718"/>
    </row>
    <row r="222" spans="1:19">
      <c r="A222" s="683" t="s">
        <v>12</v>
      </c>
      <c r="B222" s="683"/>
      <c r="C222" s="1568" t="s">
        <v>1071</v>
      </c>
      <c r="D222" s="1563"/>
      <c r="E222" s="1414"/>
      <c r="F222" s="915"/>
      <c r="G222" s="915"/>
      <c r="H222" s="915"/>
      <c r="I222" s="917"/>
      <c r="J222" s="1563"/>
      <c r="L222" s="1568" t="s">
        <v>1071</v>
      </c>
      <c r="M222" s="1563"/>
      <c r="N222" s="1414"/>
      <c r="O222" s="915"/>
      <c r="P222" s="915"/>
      <c r="Q222" s="915"/>
      <c r="R222" s="917"/>
      <c r="S222" s="1563"/>
    </row>
    <row r="223" spans="1:19">
      <c r="A223" s="708"/>
      <c r="B223" s="708"/>
      <c r="C223" s="1409"/>
      <c r="D223" s="1409"/>
      <c r="E223" s="1410"/>
      <c r="F223" s="1410"/>
      <c r="G223" s="1410"/>
      <c r="H223" s="1410"/>
      <c r="I223" s="1410"/>
      <c r="J223" s="1410"/>
      <c r="L223" s="1411"/>
      <c r="M223" s="1411"/>
      <c r="N223" s="1412"/>
      <c r="O223" s="1412"/>
      <c r="P223" s="1412"/>
      <c r="Q223" s="1410"/>
      <c r="R223" s="1410"/>
      <c r="S223" s="1412"/>
    </row>
    <row r="224" spans="1:19">
      <c r="A224" s="683" t="s">
        <v>1046</v>
      </c>
      <c r="B224" s="683"/>
      <c r="C224" s="1401"/>
      <c r="D224" s="1401"/>
      <c r="E224" s="1401"/>
      <c r="F224" s="1401"/>
      <c r="G224" s="1401"/>
      <c r="H224" s="1401"/>
      <c r="I224" s="1401"/>
      <c r="J224" s="1401"/>
      <c r="L224" s="1413"/>
      <c r="M224" s="1413"/>
      <c r="N224" s="1413"/>
      <c r="O224" s="1413"/>
      <c r="P224" s="1413"/>
      <c r="Q224" s="1401"/>
      <c r="R224" s="1401"/>
      <c r="S224" s="1413"/>
    </row>
    <row r="225" spans="1:19">
      <c r="A225" s="683" t="s">
        <v>1047</v>
      </c>
      <c r="B225" s="683"/>
      <c r="C225" s="695" t="s">
        <v>1072</v>
      </c>
      <c r="D225" s="716"/>
      <c r="E225" s="696"/>
      <c r="F225" s="703"/>
      <c r="G225" s="909"/>
      <c r="H225" s="909"/>
      <c r="I225" s="910"/>
      <c r="J225" s="698"/>
      <c r="L225" s="695" t="s">
        <v>1072</v>
      </c>
      <c r="M225" s="716"/>
      <c r="N225" s="696"/>
      <c r="O225" s="703"/>
      <c r="P225" s="909"/>
      <c r="Q225" s="909"/>
      <c r="R225" s="910"/>
      <c r="S225" s="698"/>
    </row>
    <row r="226" spans="1:19">
      <c r="A226" s="683">
        <v>2022</v>
      </c>
      <c r="B226" s="683"/>
      <c r="C226" s="776" t="s">
        <v>1073</v>
      </c>
      <c r="D226" s="716"/>
      <c r="E226" s="696"/>
      <c r="F226" s="703"/>
      <c r="G226" s="909"/>
      <c r="H226" s="909"/>
      <c r="I226" s="913"/>
      <c r="J226" s="698"/>
      <c r="L226" s="776" t="s">
        <v>1073</v>
      </c>
      <c r="M226" s="716"/>
      <c r="N226" s="696"/>
      <c r="O226" s="703"/>
      <c r="P226" s="909"/>
      <c r="Q226" s="909"/>
      <c r="R226" s="913"/>
      <c r="S226" s="698"/>
    </row>
    <row r="227" spans="1:19">
      <c r="A227" s="683">
        <v>2023</v>
      </c>
      <c r="B227" s="683"/>
      <c r="C227" s="776" t="s">
        <v>1074</v>
      </c>
      <c r="D227" s="716"/>
      <c r="E227" s="696"/>
      <c r="F227" s="703"/>
      <c r="G227" s="909"/>
      <c r="H227" s="909"/>
      <c r="I227" s="913"/>
      <c r="J227" s="698"/>
      <c r="L227" s="776" t="s">
        <v>1074</v>
      </c>
      <c r="M227" s="716"/>
      <c r="N227" s="696"/>
      <c r="O227" s="703"/>
      <c r="P227" s="909"/>
      <c r="Q227" s="909"/>
      <c r="R227" s="913"/>
      <c r="S227" s="698"/>
    </row>
    <row r="228" spans="1:19">
      <c r="A228" s="683">
        <v>2024</v>
      </c>
      <c r="B228" s="683"/>
      <c r="C228" s="777" t="s">
        <v>1075</v>
      </c>
      <c r="D228" s="717"/>
      <c r="E228" s="707"/>
      <c r="F228" s="911"/>
      <c r="G228" s="912"/>
      <c r="H228" s="912"/>
      <c r="I228" s="916"/>
      <c r="J228" s="718"/>
      <c r="L228" s="777" t="s">
        <v>1075</v>
      </c>
      <c r="M228" s="717"/>
      <c r="N228" s="707"/>
      <c r="O228" s="911"/>
      <c r="P228" s="912"/>
      <c r="Q228" s="912"/>
      <c r="R228" s="916"/>
      <c r="S228" s="718"/>
    </row>
    <row r="229" spans="1:19">
      <c r="A229" s="683" t="s">
        <v>12</v>
      </c>
      <c r="B229" s="683"/>
      <c r="C229" s="1568" t="s">
        <v>1076</v>
      </c>
      <c r="D229" s="1563"/>
      <c r="E229" s="1414"/>
      <c r="F229" s="915"/>
      <c r="G229" s="915"/>
      <c r="H229" s="915"/>
      <c r="I229" s="917"/>
      <c r="J229" s="1563"/>
      <c r="L229" s="1568" t="s">
        <v>1076</v>
      </c>
      <c r="M229" s="1563"/>
      <c r="N229" s="1414"/>
      <c r="O229" s="915"/>
      <c r="P229" s="915"/>
      <c r="Q229" s="915"/>
      <c r="R229" s="917"/>
      <c r="S229" s="1563"/>
    </row>
    <row r="230" spans="1:19">
      <c r="A230" s="708"/>
      <c r="B230" s="708"/>
      <c r="C230" s="1409"/>
      <c r="D230" s="1409"/>
      <c r="E230" s="1410"/>
      <c r="F230" s="1410"/>
      <c r="G230" s="1410"/>
      <c r="H230" s="1410"/>
      <c r="I230" s="1410"/>
      <c r="J230" s="1410"/>
      <c r="L230" s="1411"/>
      <c r="M230" s="1411"/>
      <c r="N230" s="1412"/>
      <c r="O230" s="1412"/>
      <c r="P230" s="1412"/>
      <c r="Q230" s="1410"/>
      <c r="R230" s="1410"/>
      <c r="S230" s="1412"/>
    </row>
    <row r="231" spans="1:19">
      <c r="A231" s="683" t="s">
        <v>1046</v>
      </c>
      <c r="B231" s="683"/>
      <c r="C231" s="1401"/>
      <c r="D231" s="1401"/>
      <c r="E231" s="1401"/>
      <c r="F231" s="1401"/>
      <c r="G231" s="1401"/>
      <c r="H231" s="1401"/>
      <c r="I231" s="1401"/>
      <c r="J231" s="1401"/>
      <c r="L231" s="1413"/>
      <c r="M231" s="1413"/>
      <c r="N231" s="1413"/>
      <c r="O231" s="1413"/>
      <c r="P231" s="1413"/>
      <c r="Q231" s="1401"/>
      <c r="R231" s="1401"/>
      <c r="S231" s="1413"/>
    </row>
    <row r="232" spans="1:19">
      <c r="A232" s="683" t="s">
        <v>1047</v>
      </c>
      <c r="B232" s="683"/>
      <c r="C232" s="695" t="s">
        <v>1077</v>
      </c>
      <c r="D232" s="964">
        <f t="array" ref="D232:D235">TRANSPOSE('ERT MET'!C25:F25)</f>
        <v>0</v>
      </c>
      <c r="E232" s="696"/>
      <c r="F232" s="703"/>
      <c r="G232" s="909"/>
      <c r="H232" s="971">
        <f>D232*(1-'UR Control'!$E$29)</f>
        <v>0</v>
      </c>
      <c r="I232" s="910"/>
      <c r="J232" s="964">
        <f>D232-SUM(E232:I232)</f>
        <v>0</v>
      </c>
      <c r="L232" s="695" t="s">
        <v>1077</v>
      </c>
      <c r="M232" s="964">
        <f t="array" ref="M232:M235">TRANSPOSE('TRM MET'!C25:F25)</f>
        <v>0</v>
      </c>
      <c r="N232" s="696"/>
      <c r="O232" s="703"/>
      <c r="P232" s="909"/>
      <c r="Q232" s="971">
        <f>M232*(1-'UR Control'!$E$29)</f>
        <v>0</v>
      </c>
      <c r="R232" s="910"/>
      <c r="S232" s="964">
        <f>M232-SUM(N232:R232)</f>
        <v>0</v>
      </c>
    </row>
    <row r="233" spans="1:19">
      <c r="A233" s="683">
        <v>2022</v>
      </c>
      <c r="B233" s="683"/>
      <c r="C233" s="776" t="s">
        <v>1078</v>
      </c>
      <c r="D233" s="964">
        <v>0</v>
      </c>
      <c r="E233" s="696"/>
      <c r="F233" s="703"/>
      <c r="G233" s="909"/>
      <c r="H233" s="909"/>
      <c r="I233" s="972">
        <f>D233*(1-'UR Control'!$E$29)</f>
        <v>0</v>
      </c>
      <c r="J233" s="964">
        <f>D233-SUM(E233:I233)</f>
        <v>0</v>
      </c>
      <c r="L233" s="776" t="s">
        <v>1078</v>
      </c>
      <c r="M233" s="964">
        <v>0</v>
      </c>
      <c r="N233" s="696"/>
      <c r="O233" s="703"/>
      <c r="P233" s="909"/>
      <c r="Q233" s="909"/>
      <c r="R233" s="972">
        <f>M233*(1-'UR Control'!$E$29)</f>
        <v>0</v>
      </c>
      <c r="S233" s="964">
        <f>M233-SUM(N233:R233)</f>
        <v>0</v>
      </c>
    </row>
    <row r="234" spans="1:19">
      <c r="A234" s="683">
        <v>2023</v>
      </c>
      <c r="B234" s="683"/>
      <c r="C234" s="776" t="s">
        <v>1079</v>
      </c>
      <c r="D234" s="964">
        <v>0</v>
      </c>
      <c r="E234" s="696"/>
      <c r="F234" s="703"/>
      <c r="G234" s="909"/>
      <c r="H234" s="909"/>
      <c r="I234" s="913"/>
      <c r="J234" s="964">
        <f>D234</f>
        <v>0</v>
      </c>
      <c r="L234" s="776" t="s">
        <v>1079</v>
      </c>
      <c r="M234" s="964">
        <v>0</v>
      </c>
      <c r="N234" s="696"/>
      <c r="O234" s="703"/>
      <c r="P234" s="909"/>
      <c r="Q234" s="909"/>
      <c r="R234" s="913"/>
      <c r="S234" s="964">
        <f>M234</f>
        <v>0</v>
      </c>
    </row>
    <row r="235" spans="1:19">
      <c r="A235" s="683">
        <v>2024</v>
      </c>
      <c r="B235" s="683"/>
      <c r="C235" s="777" t="s">
        <v>1080</v>
      </c>
      <c r="D235" s="706">
        <v>0</v>
      </c>
      <c r="E235" s="707"/>
      <c r="F235" s="911"/>
      <c r="G235" s="911"/>
      <c r="H235" s="911"/>
      <c r="I235" s="914"/>
      <c r="J235" s="706">
        <f>D235</f>
        <v>0</v>
      </c>
      <c r="L235" s="777" t="s">
        <v>1080</v>
      </c>
      <c r="M235" s="706">
        <v>0</v>
      </c>
      <c r="N235" s="707"/>
      <c r="O235" s="911"/>
      <c r="P235" s="911"/>
      <c r="Q235" s="911"/>
      <c r="R235" s="914"/>
      <c r="S235" s="706">
        <f>M235</f>
        <v>0</v>
      </c>
    </row>
    <row r="236" spans="1:19">
      <c r="A236" s="683" t="s">
        <v>12</v>
      </c>
      <c r="B236" s="683"/>
      <c r="C236" s="1568" t="s">
        <v>1081</v>
      </c>
      <c r="D236" s="1562">
        <f>SUM(D231:D235)</f>
        <v>0</v>
      </c>
      <c r="E236" s="1414"/>
      <c r="F236" s="915"/>
      <c r="G236" s="915"/>
      <c r="H236" s="968">
        <f>SUM(H231:H235)</f>
        <v>0</v>
      </c>
      <c r="I236" s="969">
        <f>SUM(I231:I235)</f>
        <v>0</v>
      </c>
      <c r="J236" s="1562">
        <f>SUM(J231:J235)</f>
        <v>0</v>
      </c>
      <c r="L236" s="1568" t="s">
        <v>1081</v>
      </c>
      <c r="M236" s="1562">
        <f>SUM(M231:M235)</f>
        <v>0</v>
      </c>
      <c r="N236" s="1414"/>
      <c r="O236" s="915"/>
      <c r="P236" s="915"/>
      <c r="Q236" s="968">
        <f>SUM(Q231:Q235)</f>
        <v>0</v>
      </c>
      <c r="R236" s="969">
        <f>SUM(R231:R235)</f>
        <v>0</v>
      </c>
      <c r="S236" s="1562">
        <f>SUM(S231:S235)</f>
        <v>0</v>
      </c>
    </row>
    <row r="237" spans="1:19">
      <c r="A237" s="708"/>
      <c r="B237" s="708"/>
      <c r="C237" s="1409"/>
      <c r="D237" s="1409"/>
      <c r="E237" s="1410"/>
      <c r="F237" s="1410"/>
      <c r="G237" s="1410"/>
      <c r="H237" s="1410"/>
      <c r="I237" s="1410"/>
      <c r="J237" s="1410"/>
      <c r="L237" s="1411"/>
      <c r="M237" s="1411"/>
      <c r="N237" s="1412"/>
      <c r="O237" s="1412"/>
      <c r="P237" s="1412"/>
      <c r="Q237" s="1410"/>
      <c r="R237" s="1410"/>
      <c r="S237" s="1412"/>
    </row>
    <row r="238" spans="1:19">
      <c r="A238" s="683" t="s">
        <v>1046</v>
      </c>
      <c r="B238" s="683"/>
      <c r="C238" s="1401"/>
      <c r="D238" s="1401"/>
      <c r="E238" s="1401"/>
      <c r="F238" s="1401"/>
      <c r="G238" s="1401"/>
      <c r="H238" s="1401"/>
      <c r="I238" s="1401"/>
      <c r="J238" s="1401"/>
      <c r="L238" s="1413"/>
      <c r="M238" s="1413"/>
      <c r="N238" s="1413"/>
      <c r="O238" s="1413"/>
      <c r="P238" s="1413"/>
      <c r="Q238" s="1401"/>
      <c r="R238" s="1401"/>
      <c r="S238" s="1413"/>
    </row>
    <row r="239" spans="1:19">
      <c r="A239" s="683" t="s">
        <v>1047</v>
      </c>
      <c r="B239" s="683"/>
      <c r="C239" s="695" t="s">
        <v>1082</v>
      </c>
      <c r="D239" s="964">
        <f t="array" ref="D239:D242">TRANSPOSE('ERT MET'!C26:F26)</f>
        <v>0</v>
      </c>
      <c r="E239" s="696"/>
      <c r="F239" s="703"/>
      <c r="G239" s="909"/>
      <c r="H239" s="971">
        <f>D239*(1-'UR Control'!$E$29)</f>
        <v>0</v>
      </c>
      <c r="I239" s="910"/>
      <c r="J239" s="964">
        <f>D239-SUM(E239:I239)</f>
        <v>0</v>
      </c>
      <c r="L239" s="695" t="s">
        <v>1082</v>
      </c>
      <c r="M239" s="964">
        <f t="array" ref="M239:M242">TRANSPOSE('TRM MET'!C26:F26)</f>
        <v>0</v>
      </c>
      <c r="N239" s="696"/>
      <c r="O239" s="703"/>
      <c r="P239" s="909"/>
      <c r="Q239" s="971">
        <f>M239*(1-'UR Control'!$E$29)</f>
        <v>0</v>
      </c>
      <c r="R239" s="910"/>
      <c r="S239" s="964">
        <f>M239-SUM(N239:R239)</f>
        <v>0</v>
      </c>
    </row>
    <row r="240" spans="1:19">
      <c r="A240" s="683">
        <v>2022</v>
      </c>
      <c r="B240" s="683"/>
      <c r="C240" s="776" t="s">
        <v>1083</v>
      </c>
      <c r="D240" s="964">
        <v>0</v>
      </c>
      <c r="E240" s="696"/>
      <c r="F240" s="703"/>
      <c r="G240" s="909"/>
      <c r="H240" s="909"/>
      <c r="I240" s="972">
        <f>D240*(1-'UR Control'!$E$29)</f>
        <v>0</v>
      </c>
      <c r="J240" s="964">
        <f>D240-SUM(E240:I240)</f>
        <v>0</v>
      </c>
      <c r="L240" s="776" t="s">
        <v>1083</v>
      </c>
      <c r="M240" s="964">
        <v>0</v>
      </c>
      <c r="N240" s="696"/>
      <c r="O240" s="703"/>
      <c r="P240" s="909"/>
      <c r="Q240" s="909"/>
      <c r="R240" s="972">
        <f>M240*(1-'UR Control'!$E$29)</f>
        <v>0</v>
      </c>
      <c r="S240" s="964">
        <f>M240-SUM(N240:R240)</f>
        <v>0</v>
      </c>
    </row>
    <row r="241" spans="1:19">
      <c r="A241" s="683">
        <v>2023</v>
      </c>
      <c r="B241" s="683"/>
      <c r="C241" s="776" t="s">
        <v>1084</v>
      </c>
      <c r="D241" s="964">
        <v>0</v>
      </c>
      <c r="E241" s="696"/>
      <c r="F241" s="703"/>
      <c r="G241" s="909"/>
      <c r="H241" s="909"/>
      <c r="I241" s="913"/>
      <c r="J241" s="964">
        <f>D241</f>
        <v>0</v>
      </c>
      <c r="L241" s="776" t="s">
        <v>1084</v>
      </c>
      <c r="M241" s="964">
        <v>0</v>
      </c>
      <c r="N241" s="696"/>
      <c r="O241" s="703"/>
      <c r="P241" s="909"/>
      <c r="Q241" s="909"/>
      <c r="R241" s="913"/>
      <c r="S241" s="964">
        <f>M241</f>
        <v>0</v>
      </c>
    </row>
    <row r="242" spans="1:19">
      <c r="A242" s="683">
        <v>2024</v>
      </c>
      <c r="B242" s="683"/>
      <c r="C242" s="777" t="s">
        <v>1085</v>
      </c>
      <c r="D242" s="706">
        <v>0</v>
      </c>
      <c r="E242" s="707"/>
      <c r="F242" s="911"/>
      <c r="G242" s="911"/>
      <c r="H242" s="911"/>
      <c r="I242" s="914"/>
      <c r="J242" s="706">
        <f>D242</f>
        <v>0</v>
      </c>
      <c r="L242" s="777" t="s">
        <v>1085</v>
      </c>
      <c r="M242" s="706">
        <v>0</v>
      </c>
      <c r="N242" s="707"/>
      <c r="O242" s="911"/>
      <c r="P242" s="911"/>
      <c r="Q242" s="911"/>
      <c r="R242" s="914"/>
      <c r="S242" s="706">
        <f>M242</f>
        <v>0</v>
      </c>
    </row>
    <row r="243" spans="1:19">
      <c r="A243" s="683" t="s">
        <v>12</v>
      </c>
      <c r="B243" s="683"/>
      <c r="C243" s="1568" t="s">
        <v>1086</v>
      </c>
      <c r="D243" s="1562">
        <f>SUM(D238:D242)</f>
        <v>0</v>
      </c>
      <c r="E243" s="1414"/>
      <c r="F243" s="915"/>
      <c r="G243" s="915"/>
      <c r="H243" s="968">
        <f>SUM(H238:H242)</f>
        <v>0</v>
      </c>
      <c r="I243" s="969">
        <f>SUM(I238:I242)</f>
        <v>0</v>
      </c>
      <c r="J243" s="1562">
        <f>SUM(J238:J242)</f>
        <v>0</v>
      </c>
      <c r="L243" s="1568" t="s">
        <v>1086</v>
      </c>
      <c r="M243" s="1562">
        <f>SUM(M238:M242)</f>
        <v>0</v>
      </c>
      <c r="N243" s="1414"/>
      <c r="O243" s="915"/>
      <c r="P243" s="915"/>
      <c r="Q243" s="968">
        <f>SUM(Q238:Q242)</f>
        <v>0</v>
      </c>
      <c r="R243" s="969">
        <f>SUM(R238:R242)</f>
        <v>0</v>
      </c>
      <c r="S243" s="1562">
        <f>SUM(S238:S242)</f>
        <v>0</v>
      </c>
    </row>
    <row r="244" spans="1:19">
      <c r="A244" s="708"/>
      <c r="B244" s="708"/>
      <c r="C244" s="1409"/>
      <c r="D244" s="1409"/>
      <c r="E244" s="1410"/>
      <c r="F244" s="1410"/>
      <c r="G244" s="1410"/>
      <c r="H244" s="1410"/>
      <c r="I244" s="1410"/>
      <c r="J244" s="1410"/>
      <c r="L244" s="1411"/>
      <c r="M244" s="1411"/>
      <c r="N244" s="1412"/>
      <c r="O244" s="1412"/>
      <c r="P244" s="1412"/>
      <c r="Q244" s="1410"/>
      <c r="R244" s="1410"/>
      <c r="S244" s="1412"/>
    </row>
    <row r="245" spans="1:19">
      <c r="A245" s="683" t="s">
        <v>1046</v>
      </c>
      <c r="B245" s="683"/>
      <c r="C245" s="1401"/>
      <c r="D245" s="1401"/>
      <c r="E245" s="1401"/>
      <c r="F245" s="1401"/>
      <c r="G245" s="1401"/>
      <c r="H245" s="1401"/>
      <c r="I245" s="1401"/>
      <c r="J245" s="1401"/>
      <c r="L245" s="1413"/>
      <c r="M245" s="1413"/>
      <c r="N245" s="1413"/>
      <c r="O245" s="1413"/>
      <c r="P245" s="1413"/>
      <c r="Q245" s="1401"/>
      <c r="R245" s="1401"/>
      <c r="S245" s="1413"/>
    </row>
    <row r="246" spans="1:19">
      <c r="A246" s="683" t="s">
        <v>1047</v>
      </c>
      <c r="B246" s="683"/>
      <c r="C246" s="695" t="s">
        <v>1087</v>
      </c>
      <c r="D246" s="964">
        <f t="array" ref="D246:D249">TRANSPOSE('ERT MET'!C27:F27)</f>
        <v>0</v>
      </c>
      <c r="E246" s="696"/>
      <c r="F246" s="703"/>
      <c r="G246" s="909"/>
      <c r="H246" s="971">
        <f>D246*(1-'UR Control'!$E$29)</f>
        <v>0</v>
      </c>
      <c r="I246" s="910"/>
      <c r="J246" s="964">
        <f>D246-SUM(E246:I246)</f>
        <v>0</v>
      </c>
      <c r="L246" s="695" t="s">
        <v>1087</v>
      </c>
      <c r="M246" s="964">
        <f t="array" ref="M246:M249">TRANSPOSE('TRM MET'!C27:F27)</f>
        <v>0</v>
      </c>
      <c r="N246" s="696"/>
      <c r="O246" s="703"/>
      <c r="P246" s="909"/>
      <c r="Q246" s="971">
        <f>M246*(1-'UR Control'!$E$29)</f>
        <v>0</v>
      </c>
      <c r="R246" s="910"/>
      <c r="S246" s="964">
        <f>M246-SUM(N246:R246)</f>
        <v>0</v>
      </c>
    </row>
    <row r="247" spans="1:19">
      <c r="A247" s="683">
        <v>2022</v>
      </c>
      <c r="B247" s="683"/>
      <c r="C247" s="776" t="s">
        <v>1088</v>
      </c>
      <c r="D247" s="964">
        <v>0</v>
      </c>
      <c r="E247" s="696"/>
      <c r="F247" s="703"/>
      <c r="G247" s="909"/>
      <c r="H247" s="909"/>
      <c r="I247" s="972">
        <f>D247*(1-'UR Control'!$E$29)</f>
        <v>0</v>
      </c>
      <c r="J247" s="964">
        <f>D247-SUM(E247:I247)</f>
        <v>0</v>
      </c>
      <c r="L247" s="776" t="s">
        <v>1088</v>
      </c>
      <c r="M247" s="964">
        <v>0</v>
      </c>
      <c r="N247" s="696"/>
      <c r="O247" s="703"/>
      <c r="P247" s="909"/>
      <c r="Q247" s="909"/>
      <c r="R247" s="972">
        <f>M247*(1-'UR Control'!$E$29)</f>
        <v>0</v>
      </c>
      <c r="S247" s="964">
        <f>M247-SUM(N247:R247)</f>
        <v>0</v>
      </c>
    </row>
    <row r="248" spans="1:19">
      <c r="A248" s="683">
        <v>2023</v>
      </c>
      <c r="B248" s="683"/>
      <c r="C248" s="776" t="s">
        <v>1089</v>
      </c>
      <c r="D248" s="964">
        <v>0</v>
      </c>
      <c r="E248" s="696"/>
      <c r="F248" s="703"/>
      <c r="G248" s="909"/>
      <c r="H248" s="909"/>
      <c r="I248" s="913"/>
      <c r="J248" s="964">
        <f>D248</f>
        <v>0</v>
      </c>
      <c r="L248" s="776" t="s">
        <v>1089</v>
      </c>
      <c r="M248" s="964">
        <v>0</v>
      </c>
      <c r="N248" s="696"/>
      <c r="O248" s="703"/>
      <c r="P248" s="909"/>
      <c r="Q248" s="909"/>
      <c r="R248" s="913"/>
      <c r="S248" s="964">
        <f>M248</f>
        <v>0</v>
      </c>
    </row>
    <row r="249" spans="1:19">
      <c r="A249" s="683">
        <v>2024</v>
      </c>
      <c r="B249" s="683"/>
      <c r="C249" s="777" t="s">
        <v>1090</v>
      </c>
      <c r="D249" s="706">
        <v>0</v>
      </c>
      <c r="E249" s="707"/>
      <c r="F249" s="911"/>
      <c r="G249" s="911"/>
      <c r="H249" s="911"/>
      <c r="I249" s="914"/>
      <c r="J249" s="706">
        <f>D249</f>
        <v>0</v>
      </c>
      <c r="L249" s="777" t="s">
        <v>1090</v>
      </c>
      <c r="M249" s="706">
        <v>0</v>
      </c>
      <c r="N249" s="707"/>
      <c r="O249" s="911"/>
      <c r="P249" s="911"/>
      <c r="Q249" s="911"/>
      <c r="R249" s="914"/>
      <c r="S249" s="706">
        <f>M249</f>
        <v>0</v>
      </c>
    </row>
    <row r="250" spans="1:19">
      <c r="A250" s="683" t="s">
        <v>12</v>
      </c>
      <c r="B250" s="683"/>
      <c r="C250" s="1568" t="s">
        <v>1091</v>
      </c>
      <c r="D250" s="1562">
        <f>SUM(D245:D249)</f>
        <v>0</v>
      </c>
      <c r="E250" s="1414"/>
      <c r="F250" s="915"/>
      <c r="G250" s="915"/>
      <c r="H250" s="968">
        <f>SUM(H245:H249)</f>
        <v>0</v>
      </c>
      <c r="I250" s="969">
        <f>SUM(I245:I249)</f>
        <v>0</v>
      </c>
      <c r="J250" s="1562">
        <f>SUM(J245:J249)</f>
        <v>0</v>
      </c>
      <c r="L250" s="1568" t="s">
        <v>1091</v>
      </c>
      <c r="M250" s="1562">
        <f>SUM(M245:M249)</f>
        <v>0</v>
      </c>
      <c r="N250" s="1414"/>
      <c r="O250" s="915"/>
      <c r="P250" s="915"/>
      <c r="Q250" s="968">
        <f>SUM(Q245:Q249)</f>
        <v>0</v>
      </c>
      <c r="R250" s="969">
        <f>SUM(R245:R249)</f>
        <v>0</v>
      </c>
      <c r="S250" s="1562">
        <f>SUM(S245:S249)</f>
        <v>0</v>
      </c>
    </row>
    <row r="251" spans="1:19">
      <c r="A251" s="708"/>
      <c r="B251" s="708"/>
      <c r="C251" s="709"/>
      <c r="D251" s="709"/>
      <c r="E251" s="719"/>
      <c r="F251" s="719"/>
      <c r="G251" s="719"/>
      <c r="H251" s="719"/>
      <c r="I251" s="719"/>
      <c r="J251" s="719"/>
      <c r="L251" s="709"/>
      <c r="M251" s="709"/>
      <c r="N251" s="719"/>
      <c r="O251" s="719"/>
      <c r="P251" s="719"/>
      <c r="Q251" s="719"/>
      <c r="R251" s="719"/>
      <c r="S251" s="719"/>
    </row>
    <row r="252" spans="1:19">
      <c r="A252" s="683">
        <v>2017</v>
      </c>
      <c r="B252" s="683"/>
      <c r="C252" s="1394" t="s">
        <v>1092</v>
      </c>
      <c r="D252" s="1395">
        <v>0</v>
      </c>
      <c r="E252" s="1405">
        <v>0</v>
      </c>
      <c r="F252" s="1406">
        <v>0</v>
      </c>
      <c r="G252" s="1406">
        <v>0</v>
      </c>
      <c r="H252" s="1406">
        <v>0</v>
      </c>
      <c r="I252" s="1407">
        <v>0</v>
      </c>
      <c r="J252" s="1395">
        <f>D252-SUM(E252:I252)</f>
        <v>0</v>
      </c>
      <c r="L252" s="1394" t="s">
        <v>1092</v>
      </c>
      <c r="M252" s="1395">
        <v>0</v>
      </c>
      <c r="N252" s="1405">
        <v>0</v>
      </c>
      <c r="O252" s="1406">
        <v>0</v>
      </c>
      <c r="P252" s="1406">
        <v>0</v>
      </c>
      <c r="Q252" s="1406">
        <v>0</v>
      </c>
      <c r="R252" s="1407">
        <v>0</v>
      </c>
      <c r="S252" s="1395">
        <f>M252-SUM(N252:R252)</f>
        <v>0</v>
      </c>
    </row>
    <row r="253" spans="1:19">
      <c r="A253" s="683">
        <v>2018</v>
      </c>
      <c r="B253" s="683"/>
      <c r="C253" s="695" t="s">
        <v>1093</v>
      </c>
      <c r="D253" s="964">
        <v>0</v>
      </c>
      <c r="E253" s="710">
        <v>0</v>
      </c>
      <c r="F253" s="963">
        <v>0</v>
      </c>
      <c r="G253" s="963">
        <v>0</v>
      </c>
      <c r="H253" s="963">
        <v>0</v>
      </c>
      <c r="I253" s="965">
        <v>0</v>
      </c>
      <c r="J253" s="964">
        <f>D253-SUM(E253:I253)</f>
        <v>0</v>
      </c>
      <c r="L253" s="695" t="s">
        <v>1093</v>
      </c>
      <c r="M253" s="964">
        <v>0</v>
      </c>
      <c r="N253" s="710">
        <v>0</v>
      </c>
      <c r="O253" s="963">
        <v>0</v>
      </c>
      <c r="P253" s="963">
        <v>0</v>
      </c>
      <c r="Q253" s="963">
        <v>0</v>
      </c>
      <c r="R253" s="965">
        <v>0</v>
      </c>
      <c r="S253" s="964">
        <f>M253-SUM(N253:R253)</f>
        <v>0</v>
      </c>
    </row>
    <row r="254" spans="1:19">
      <c r="A254" s="683">
        <v>2019</v>
      </c>
      <c r="B254" s="683"/>
      <c r="C254" s="695" t="s">
        <v>1094</v>
      </c>
      <c r="D254" s="706">
        <v>0</v>
      </c>
      <c r="E254" s="966"/>
      <c r="F254" s="711">
        <v>0</v>
      </c>
      <c r="G254" s="711">
        <v>0</v>
      </c>
      <c r="H254" s="711">
        <v>0</v>
      </c>
      <c r="I254" s="712">
        <v>0</v>
      </c>
      <c r="J254" s="706">
        <f>D254-SUM(E254:I254)</f>
        <v>0</v>
      </c>
      <c r="L254" s="695" t="s">
        <v>1094</v>
      </c>
      <c r="M254" s="706">
        <v>0</v>
      </c>
      <c r="N254" s="966"/>
      <c r="O254" s="711">
        <v>0</v>
      </c>
      <c r="P254" s="711">
        <v>0</v>
      </c>
      <c r="Q254" s="711">
        <v>0</v>
      </c>
      <c r="R254" s="712">
        <v>0</v>
      </c>
      <c r="S254" s="706">
        <f>M254-SUM(N254:R254)</f>
        <v>0</v>
      </c>
    </row>
    <row r="255" spans="1:19">
      <c r="A255" s="683" t="s">
        <v>12</v>
      </c>
      <c r="B255" s="683"/>
      <c r="C255" s="1561" t="s">
        <v>1095</v>
      </c>
      <c r="D255" s="1562">
        <f>SUM(D252:D254)</f>
        <v>0</v>
      </c>
      <c r="E255" s="1402">
        <f t="shared" ref="E255:J255" si="51">SUM(E252:E254)</f>
        <v>0</v>
      </c>
      <c r="F255" s="968">
        <f t="shared" si="51"/>
        <v>0</v>
      </c>
      <c r="G255" s="968">
        <f t="shared" si="51"/>
        <v>0</v>
      </c>
      <c r="H255" s="968">
        <f t="shared" si="51"/>
        <v>0</v>
      </c>
      <c r="I255" s="969">
        <f t="shared" si="51"/>
        <v>0</v>
      </c>
      <c r="J255" s="1562">
        <f t="shared" si="51"/>
        <v>0</v>
      </c>
      <c r="L255" s="1561" t="s">
        <v>1095</v>
      </c>
      <c r="M255" s="1562">
        <f>SUM(M252:M254)</f>
        <v>0</v>
      </c>
      <c r="N255" s="1402">
        <f t="shared" ref="N255:S255" si="52">SUM(N252:N254)</f>
        <v>0</v>
      </c>
      <c r="O255" s="968">
        <f t="shared" si="52"/>
        <v>0</v>
      </c>
      <c r="P255" s="968">
        <f t="shared" si="52"/>
        <v>0</v>
      </c>
      <c r="Q255" s="968">
        <f t="shared" si="52"/>
        <v>0</v>
      </c>
      <c r="R255" s="969">
        <f t="shared" si="52"/>
        <v>0</v>
      </c>
      <c r="S255" s="1562">
        <f t="shared" si="52"/>
        <v>0</v>
      </c>
    </row>
    <row r="256" spans="1:19">
      <c r="A256" s="708"/>
      <c r="B256" s="708"/>
      <c r="C256" s="709"/>
      <c r="D256" s="709"/>
      <c r="E256" s="719"/>
      <c r="F256" s="719"/>
      <c r="G256" s="719"/>
      <c r="H256" s="719"/>
      <c r="I256" s="719"/>
      <c r="J256" s="719"/>
      <c r="L256" s="709"/>
      <c r="M256" s="709"/>
      <c r="N256" s="719"/>
      <c r="O256" s="719"/>
      <c r="P256" s="719"/>
      <c r="Q256" s="719"/>
      <c r="R256" s="719"/>
      <c r="S256" s="719"/>
    </row>
    <row r="257" spans="1:19">
      <c r="A257" s="683">
        <v>2017</v>
      </c>
      <c r="B257" s="683"/>
      <c r="C257" s="1394" t="s">
        <v>1096</v>
      </c>
      <c r="D257" s="1431"/>
      <c r="E257" s="1432"/>
      <c r="F257" s="1433"/>
      <c r="G257" s="1434"/>
      <c r="H257" s="1434"/>
      <c r="I257" s="1435"/>
      <c r="J257" s="1431"/>
      <c r="L257" s="1394" t="s">
        <v>1096</v>
      </c>
      <c r="M257" s="1436"/>
      <c r="N257" s="1432"/>
      <c r="O257" s="1433"/>
      <c r="P257" s="1434"/>
      <c r="Q257" s="1434"/>
      <c r="R257" s="1435"/>
      <c r="S257" s="1431"/>
    </row>
    <row r="258" spans="1:19">
      <c r="A258" s="683">
        <v>2018</v>
      </c>
      <c r="B258" s="683"/>
      <c r="C258" s="695" t="s">
        <v>1097</v>
      </c>
      <c r="D258" s="961"/>
      <c r="E258" s="721"/>
      <c r="F258" s="909"/>
      <c r="G258" s="909"/>
      <c r="H258" s="909"/>
      <c r="I258" s="913"/>
      <c r="J258" s="698"/>
      <c r="L258" s="695" t="s">
        <v>1097</v>
      </c>
      <c r="M258" s="782"/>
      <c r="N258" s="721"/>
      <c r="O258" s="909"/>
      <c r="P258" s="909"/>
      <c r="Q258" s="909"/>
      <c r="R258" s="913"/>
      <c r="S258" s="698"/>
    </row>
    <row r="259" spans="1:19">
      <c r="A259" s="683">
        <v>2019</v>
      </c>
      <c r="B259" s="683"/>
      <c r="C259" s="695" t="s">
        <v>1098</v>
      </c>
      <c r="D259" s="778"/>
      <c r="E259" s="766"/>
      <c r="F259" s="767"/>
      <c r="G259" s="909"/>
      <c r="H259" s="909"/>
      <c r="I259" s="910"/>
      <c r="J259" s="698"/>
      <c r="L259" s="695" t="s">
        <v>1098</v>
      </c>
      <c r="M259" s="783"/>
      <c r="N259" s="766"/>
      <c r="O259" s="767"/>
      <c r="P259" s="909"/>
      <c r="Q259" s="909"/>
      <c r="R259" s="910"/>
      <c r="S259" s="698"/>
    </row>
    <row r="260" spans="1:19">
      <c r="A260" s="683" t="s">
        <v>127</v>
      </c>
      <c r="B260" s="683"/>
      <c r="C260" s="1558" t="s">
        <v>1099</v>
      </c>
      <c r="D260" s="1564"/>
      <c r="E260" s="1437"/>
      <c r="F260" s="779"/>
      <c r="G260" s="779"/>
      <c r="H260" s="779"/>
      <c r="I260" s="780"/>
      <c r="J260" s="1564"/>
      <c r="L260" s="1558" t="s">
        <v>1099</v>
      </c>
      <c r="M260" s="1564"/>
      <c r="N260" s="1437"/>
      <c r="O260" s="779"/>
      <c r="P260" s="779"/>
      <c r="Q260" s="779"/>
      <c r="R260" s="780"/>
      <c r="S260" s="1564"/>
    </row>
    <row r="261" spans="1:19">
      <c r="A261" s="683" t="s">
        <v>1046</v>
      </c>
      <c r="B261" s="683"/>
      <c r="C261" s="1401"/>
      <c r="D261" s="1401"/>
      <c r="E261" s="1401"/>
      <c r="F261" s="1401"/>
      <c r="G261" s="1401"/>
      <c r="H261" s="1401"/>
      <c r="I261" s="1401"/>
      <c r="J261" s="1401"/>
      <c r="L261" s="1416"/>
      <c r="M261" s="1416"/>
      <c r="N261" s="1416"/>
      <c r="O261" s="1416"/>
      <c r="P261" s="1416"/>
      <c r="Q261" s="1416"/>
      <c r="R261" s="1416"/>
      <c r="S261" s="1416"/>
    </row>
    <row r="262" spans="1:19">
      <c r="A262" s="683" t="s">
        <v>1046</v>
      </c>
      <c r="B262" s="683"/>
      <c r="C262" s="1401"/>
      <c r="D262" s="1401"/>
      <c r="E262" s="1401"/>
      <c r="F262" s="1401"/>
      <c r="G262" s="1401"/>
      <c r="H262" s="1401"/>
      <c r="I262" s="1401"/>
      <c r="J262" s="1401"/>
      <c r="L262" s="1413"/>
      <c r="M262" s="1413"/>
      <c r="N262" s="1413"/>
      <c r="O262" s="1413"/>
      <c r="P262" s="1413"/>
      <c r="Q262" s="1413"/>
      <c r="R262" s="1413"/>
      <c r="S262" s="1413"/>
    </row>
    <row r="263" spans="1:19">
      <c r="A263" s="683">
        <v>2022</v>
      </c>
      <c r="B263" s="683"/>
      <c r="C263" s="695" t="s">
        <v>1100</v>
      </c>
      <c r="D263" s="716"/>
      <c r="E263" s="696"/>
      <c r="F263" s="703"/>
      <c r="G263" s="909"/>
      <c r="H263" s="909"/>
      <c r="I263" s="913"/>
      <c r="J263" s="698"/>
      <c r="L263" s="695" t="s">
        <v>1100</v>
      </c>
      <c r="M263" s="716"/>
      <c r="N263" s="696"/>
      <c r="O263" s="703"/>
      <c r="P263" s="909"/>
      <c r="Q263" s="909"/>
      <c r="R263" s="913"/>
      <c r="S263" s="698"/>
    </row>
    <row r="264" spans="1:19">
      <c r="A264" s="683">
        <v>2023</v>
      </c>
      <c r="B264" s="683"/>
      <c r="C264" s="695" t="s">
        <v>1101</v>
      </c>
      <c r="D264" s="716"/>
      <c r="E264" s="696"/>
      <c r="F264" s="703"/>
      <c r="G264" s="909"/>
      <c r="H264" s="909"/>
      <c r="I264" s="913"/>
      <c r="J264" s="698"/>
      <c r="L264" s="695" t="s">
        <v>1101</v>
      </c>
      <c r="M264" s="716"/>
      <c r="N264" s="696"/>
      <c r="O264" s="703"/>
      <c r="P264" s="909"/>
      <c r="Q264" s="909"/>
      <c r="R264" s="913"/>
      <c r="S264" s="698"/>
    </row>
    <row r="265" spans="1:19">
      <c r="A265" s="683">
        <v>2024</v>
      </c>
      <c r="B265" s="683"/>
      <c r="C265" s="705" t="s">
        <v>1102</v>
      </c>
      <c r="D265" s="717"/>
      <c r="E265" s="707"/>
      <c r="F265" s="911"/>
      <c r="G265" s="912"/>
      <c r="H265" s="912"/>
      <c r="I265" s="916"/>
      <c r="J265" s="718"/>
      <c r="L265" s="705" t="s">
        <v>1102</v>
      </c>
      <c r="M265" s="717"/>
      <c r="N265" s="707"/>
      <c r="O265" s="911"/>
      <c r="P265" s="912"/>
      <c r="Q265" s="912"/>
      <c r="R265" s="916"/>
      <c r="S265" s="718"/>
    </row>
    <row r="266" spans="1:19">
      <c r="A266" s="683" t="s">
        <v>12</v>
      </c>
      <c r="B266" s="683"/>
      <c r="C266" s="1568" t="s">
        <v>1103</v>
      </c>
      <c r="D266" s="1563"/>
      <c r="E266" s="1414"/>
      <c r="F266" s="915"/>
      <c r="G266" s="915"/>
      <c r="H266" s="915"/>
      <c r="I266" s="917"/>
      <c r="J266" s="1563"/>
      <c r="L266" s="1568" t="s">
        <v>1103</v>
      </c>
      <c r="M266" s="1563"/>
      <c r="N266" s="1414"/>
      <c r="O266" s="915"/>
      <c r="P266" s="915"/>
      <c r="Q266" s="915"/>
      <c r="R266" s="917"/>
      <c r="S266" s="1563"/>
    </row>
    <row r="267" spans="1:19">
      <c r="A267" s="708"/>
      <c r="B267" s="708"/>
      <c r="C267" s="709"/>
      <c r="D267" s="709"/>
      <c r="E267" s="709"/>
      <c r="F267" s="709"/>
      <c r="G267" s="709"/>
      <c r="H267" s="709"/>
      <c r="I267" s="720"/>
      <c r="J267" s="709"/>
      <c r="L267" s="709"/>
      <c r="M267" s="709"/>
      <c r="N267" s="709"/>
      <c r="O267" s="709"/>
      <c r="P267" s="709"/>
      <c r="Q267" s="709"/>
      <c r="R267" s="720"/>
      <c r="S267" s="709"/>
    </row>
    <row r="268" spans="1:19">
      <c r="A268" s="683">
        <v>2017</v>
      </c>
      <c r="B268" s="683"/>
      <c r="C268" s="1394" t="s">
        <v>1104</v>
      </c>
      <c r="D268" s="1395">
        <v>0</v>
      </c>
      <c r="E268" s="1405">
        <v>0</v>
      </c>
      <c r="F268" s="1406">
        <v>0</v>
      </c>
      <c r="G268" s="1406">
        <v>0</v>
      </c>
      <c r="H268" s="1406">
        <v>0</v>
      </c>
      <c r="I268" s="1407">
        <v>0</v>
      </c>
      <c r="J268" s="1400"/>
      <c r="L268" s="1394" t="s">
        <v>1104</v>
      </c>
      <c r="M268" s="1395">
        <v>0</v>
      </c>
      <c r="N268" s="1405">
        <v>0</v>
      </c>
      <c r="O268" s="1406">
        <v>0</v>
      </c>
      <c r="P268" s="1406">
        <v>0</v>
      </c>
      <c r="Q268" s="1406">
        <v>0</v>
      </c>
      <c r="R268" s="1407">
        <v>0</v>
      </c>
      <c r="S268" s="1400"/>
    </row>
    <row r="269" spans="1:19">
      <c r="A269" s="683">
        <v>2018</v>
      </c>
      <c r="B269" s="683"/>
      <c r="C269" s="695" t="s">
        <v>1105</v>
      </c>
      <c r="D269" s="964">
        <v>0</v>
      </c>
      <c r="E269" s="710">
        <v>0</v>
      </c>
      <c r="F269" s="963">
        <v>0</v>
      </c>
      <c r="G269" s="963">
        <v>0</v>
      </c>
      <c r="H269" s="963">
        <v>0</v>
      </c>
      <c r="I269" s="965">
        <v>0</v>
      </c>
      <c r="J269" s="698"/>
      <c r="L269" s="695" t="s">
        <v>1105</v>
      </c>
      <c r="M269" s="964">
        <v>0</v>
      </c>
      <c r="N269" s="710">
        <v>0</v>
      </c>
      <c r="O269" s="963">
        <v>0</v>
      </c>
      <c r="P269" s="963">
        <v>0</v>
      </c>
      <c r="Q269" s="963">
        <v>0</v>
      </c>
      <c r="R269" s="965">
        <v>0</v>
      </c>
      <c r="S269" s="698"/>
    </row>
    <row r="270" spans="1:19">
      <c r="A270" s="683">
        <v>2019</v>
      </c>
      <c r="B270" s="683"/>
      <c r="C270" s="695" t="s">
        <v>1106</v>
      </c>
      <c r="D270" s="706">
        <v>0</v>
      </c>
      <c r="E270" s="966"/>
      <c r="F270" s="711">
        <v>0</v>
      </c>
      <c r="G270" s="711">
        <v>0</v>
      </c>
      <c r="H270" s="711">
        <v>0</v>
      </c>
      <c r="I270" s="712">
        <v>0</v>
      </c>
      <c r="J270" s="698"/>
      <c r="L270" s="695" t="s">
        <v>1106</v>
      </c>
      <c r="M270" s="706">
        <v>0</v>
      </c>
      <c r="N270" s="966"/>
      <c r="O270" s="711">
        <v>0</v>
      </c>
      <c r="P270" s="711">
        <v>0</v>
      </c>
      <c r="Q270" s="711">
        <v>0</v>
      </c>
      <c r="R270" s="712">
        <v>0</v>
      </c>
      <c r="S270" s="698"/>
    </row>
    <row r="271" spans="1:19">
      <c r="A271" s="683" t="s">
        <v>127</v>
      </c>
      <c r="B271" s="683"/>
      <c r="C271" s="1558" t="s">
        <v>1107</v>
      </c>
      <c r="D271" s="1559">
        <f t="shared" ref="D271:I271" si="53">SUM(D268:D270)</f>
        <v>0</v>
      </c>
      <c r="E271" s="1408">
        <f t="shared" si="53"/>
        <v>0</v>
      </c>
      <c r="F271" s="700">
        <f t="shared" si="53"/>
        <v>0</v>
      </c>
      <c r="G271" s="700">
        <f t="shared" si="53"/>
        <v>0</v>
      </c>
      <c r="H271" s="700">
        <f t="shared" si="53"/>
        <v>0</v>
      </c>
      <c r="I271" s="713">
        <f t="shared" si="53"/>
        <v>0</v>
      </c>
      <c r="J271" s="1559"/>
      <c r="L271" s="1558" t="s">
        <v>1107</v>
      </c>
      <c r="M271" s="1559">
        <f t="shared" ref="M271:R271" si="54">SUM(M268:M270)</f>
        <v>0</v>
      </c>
      <c r="N271" s="1408">
        <f t="shared" si="54"/>
        <v>0</v>
      </c>
      <c r="O271" s="700">
        <f t="shared" si="54"/>
        <v>0</v>
      </c>
      <c r="P271" s="700">
        <f t="shared" si="54"/>
        <v>0</v>
      </c>
      <c r="Q271" s="700">
        <f t="shared" si="54"/>
        <v>0</v>
      </c>
      <c r="R271" s="713">
        <f t="shared" si="54"/>
        <v>0</v>
      </c>
      <c r="S271" s="1564"/>
    </row>
    <row r="272" spans="1:19">
      <c r="A272" s="683" t="s">
        <v>1046</v>
      </c>
      <c r="B272" s="683"/>
      <c r="C272" s="1401"/>
      <c r="D272" s="1401"/>
      <c r="E272" s="1401"/>
      <c r="F272" s="1401"/>
      <c r="G272" s="1401"/>
      <c r="H272" s="1401"/>
      <c r="I272" s="1401"/>
      <c r="J272" s="1401"/>
      <c r="L272" s="1401"/>
      <c r="M272" s="1401"/>
      <c r="N272" s="1401"/>
      <c r="O272" s="1401"/>
      <c r="P272" s="1401"/>
      <c r="Q272" s="1401"/>
      <c r="R272" s="1401"/>
      <c r="S272" s="1401"/>
    </row>
    <row r="273" spans="1:19">
      <c r="A273" s="683" t="s">
        <v>1047</v>
      </c>
      <c r="B273" s="683"/>
      <c r="C273" s="695" t="s">
        <v>1108</v>
      </c>
      <c r="D273" s="976">
        <f t="array" ref="D273:D276">TRANSPOSE('ERT MET'!C59:F59)</f>
        <v>0</v>
      </c>
      <c r="E273" s="696"/>
      <c r="F273" s="703"/>
      <c r="G273" s="909"/>
      <c r="H273" s="963">
        <f>+D273</f>
        <v>0</v>
      </c>
      <c r="I273" s="910"/>
      <c r="J273" s="698"/>
      <c r="L273" s="695" t="s">
        <v>1108</v>
      </c>
      <c r="M273" s="976">
        <f t="array" ref="M273:M276">TRANSPOSE('TRM MET'!C59:F59)</f>
        <v>0</v>
      </c>
      <c r="N273" s="696"/>
      <c r="O273" s="703"/>
      <c r="P273" s="909"/>
      <c r="Q273" s="963">
        <f>+M273</f>
        <v>0</v>
      </c>
      <c r="R273" s="910"/>
      <c r="S273" s="698"/>
    </row>
    <row r="274" spans="1:19">
      <c r="A274" s="683">
        <v>2022</v>
      </c>
      <c r="B274" s="683"/>
      <c r="C274" s="695" t="s">
        <v>1109</v>
      </c>
      <c r="D274" s="964">
        <v>0</v>
      </c>
      <c r="E274" s="696"/>
      <c r="F274" s="703"/>
      <c r="G274" s="909"/>
      <c r="H274" s="909"/>
      <c r="I274" s="965">
        <f>+D274</f>
        <v>0</v>
      </c>
      <c r="J274" s="698"/>
      <c r="L274" s="695" t="s">
        <v>1109</v>
      </c>
      <c r="M274" s="964">
        <v>0</v>
      </c>
      <c r="N274" s="696"/>
      <c r="O274" s="703"/>
      <c r="P274" s="909"/>
      <c r="Q274" s="909"/>
      <c r="R274" s="965">
        <f>+M274</f>
        <v>0</v>
      </c>
      <c r="S274" s="698"/>
    </row>
    <row r="275" spans="1:19">
      <c r="A275" s="683">
        <v>2023</v>
      </c>
      <c r="B275" s="683"/>
      <c r="C275" s="695" t="s">
        <v>1110</v>
      </c>
      <c r="D275" s="964">
        <v>0</v>
      </c>
      <c r="E275" s="696"/>
      <c r="F275" s="703"/>
      <c r="G275" s="909"/>
      <c r="H275" s="909"/>
      <c r="I275" s="913"/>
      <c r="J275" s="964">
        <f>+D275</f>
        <v>0</v>
      </c>
      <c r="L275" s="695" t="s">
        <v>1110</v>
      </c>
      <c r="M275" s="964">
        <v>0</v>
      </c>
      <c r="N275" s="696"/>
      <c r="O275" s="703"/>
      <c r="P275" s="909"/>
      <c r="Q275" s="909"/>
      <c r="R275" s="913"/>
      <c r="S275" s="964">
        <f>+M275</f>
        <v>0</v>
      </c>
    </row>
    <row r="276" spans="1:19">
      <c r="A276" s="683">
        <v>2024</v>
      </c>
      <c r="B276" s="683"/>
      <c r="C276" s="705" t="s">
        <v>1111</v>
      </c>
      <c r="D276" s="706">
        <v>0</v>
      </c>
      <c r="E276" s="707"/>
      <c r="F276" s="911"/>
      <c r="G276" s="911"/>
      <c r="H276" s="911"/>
      <c r="I276" s="914"/>
      <c r="J276" s="706">
        <f>+D276</f>
        <v>0</v>
      </c>
      <c r="L276" s="705" t="s">
        <v>1111</v>
      </c>
      <c r="M276" s="706">
        <v>0</v>
      </c>
      <c r="N276" s="707"/>
      <c r="O276" s="911"/>
      <c r="P276" s="911"/>
      <c r="Q276" s="911"/>
      <c r="R276" s="914"/>
      <c r="S276" s="706">
        <f>+M276</f>
        <v>0</v>
      </c>
    </row>
    <row r="277" spans="1:19">
      <c r="A277" s="683" t="s">
        <v>12</v>
      </c>
      <c r="B277" s="683"/>
      <c r="C277" s="1568" t="s">
        <v>1112</v>
      </c>
      <c r="D277" s="1562">
        <f>SUM(D271:D276)</f>
        <v>0</v>
      </c>
      <c r="E277" s="1402">
        <f t="shared" ref="E277:J277" si="55">SUM(E271:E276)</f>
        <v>0</v>
      </c>
      <c r="F277" s="968">
        <f t="shared" si="55"/>
        <v>0</v>
      </c>
      <c r="G277" s="968">
        <f t="shared" si="55"/>
        <v>0</v>
      </c>
      <c r="H277" s="968">
        <f t="shared" si="55"/>
        <v>0</v>
      </c>
      <c r="I277" s="969">
        <f t="shared" si="55"/>
        <v>0</v>
      </c>
      <c r="J277" s="1562">
        <f t="shared" si="55"/>
        <v>0</v>
      </c>
      <c r="L277" s="1568" t="s">
        <v>1112</v>
      </c>
      <c r="M277" s="1562">
        <f>SUM(M271:M276)</f>
        <v>0</v>
      </c>
      <c r="N277" s="1402">
        <f t="shared" ref="N277:S277" si="56">SUM(N271:N276)</f>
        <v>0</v>
      </c>
      <c r="O277" s="968">
        <f t="shared" si="56"/>
        <v>0</v>
      </c>
      <c r="P277" s="968">
        <f t="shared" si="56"/>
        <v>0</v>
      </c>
      <c r="Q277" s="968">
        <f t="shared" si="56"/>
        <v>0</v>
      </c>
      <c r="R277" s="969">
        <f t="shared" si="56"/>
        <v>0</v>
      </c>
      <c r="S277" s="1562">
        <f t="shared" si="56"/>
        <v>0</v>
      </c>
    </row>
    <row r="278" spans="1:19">
      <c r="A278" s="708"/>
      <c r="B278" s="708"/>
      <c r="C278" s="709"/>
      <c r="D278" s="709"/>
      <c r="E278" s="719"/>
      <c r="F278" s="719"/>
      <c r="G278" s="719"/>
      <c r="H278" s="719"/>
      <c r="I278" s="719"/>
      <c r="J278" s="719"/>
      <c r="L278" s="709"/>
      <c r="M278" s="709"/>
      <c r="N278" s="719"/>
      <c r="O278" s="719"/>
      <c r="P278" s="719"/>
      <c r="Q278" s="719"/>
      <c r="R278" s="719"/>
      <c r="S278" s="719"/>
    </row>
    <row r="279" spans="1:19">
      <c r="A279" s="683">
        <v>2017</v>
      </c>
      <c r="B279" s="683"/>
      <c r="C279" s="1394" t="s">
        <v>1113</v>
      </c>
      <c r="D279" s="1395">
        <v>0</v>
      </c>
      <c r="E279" s="1405">
        <v>0</v>
      </c>
      <c r="F279" s="1406">
        <v>0</v>
      </c>
      <c r="G279" s="1406">
        <v>0</v>
      </c>
      <c r="H279" s="1406">
        <v>0</v>
      </c>
      <c r="I279" s="1407">
        <v>0</v>
      </c>
      <c r="J279" s="1395">
        <f t="shared" ref="J279:J287" si="57">D279-SUM(E279:I279)</f>
        <v>0</v>
      </c>
      <c r="L279" s="1394" t="s">
        <v>1113</v>
      </c>
      <c r="M279" s="1395">
        <v>0</v>
      </c>
      <c r="N279" s="1405">
        <v>0</v>
      </c>
      <c r="O279" s="1406">
        <v>0</v>
      </c>
      <c r="P279" s="1406">
        <v>0</v>
      </c>
      <c r="Q279" s="1406">
        <v>0</v>
      </c>
      <c r="R279" s="1407">
        <v>0</v>
      </c>
      <c r="S279" s="1395">
        <f>M279-SUM(N279:R279)</f>
        <v>0</v>
      </c>
    </row>
    <row r="280" spans="1:19">
      <c r="A280" s="683">
        <v>2018</v>
      </c>
      <c r="B280" s="683"/>
      <c r="C280" s="695" t="s">
        <v>1114</v>
      </c>
      <c r="D280" s="964">
        <v>-594</v>
      </c>
      <c r="E280" s="710">
        <v>-594</v>
      </c>
      <c r="F280" s="963">
        <v>0</v>
      </c>
      <c r="G280" s="963">
        <v>0</v>
      </c>
      <c r="H280" s="963">
        <v>0</v>
      </c>
      <c r="I280" s="965">
        <v>0</v>
      </c>
      <c r="J280" s="964">
        <f t="shared" si="57"/>
        <v>0</v>
      </c>
      <c r="L280" s="695" t="s">
        <v>1114</v>
      </c>
      <c r="M280" s="964">
        <v>-321.30514941224965</v>
      </c>
      <c r="N280" s="710">
        <f>M280</f>
        <v>-321.30514941224965</v>
      </c>
      <c r="O280" s="963">
        <v>0</v>
      </c>
      <c r="P280" s="963">
        <v>0</v>
      </c>
      <c r="Q280" s="963">
        <v>0</v>
      </c>
      <c r="R280" s="965">
        <v>0</v>
      </c>
      <c r="S280" s="964">
        <f>M280-SUM(N280:R280)</f>
        <v>0</v>
      </c>
    </row>
    <row r="281" spans="1:19">
      <c r="A281" s="683">
        <v>2019</v>
      </c>
      <c r="B281" s="683"/>
      <c r="C281" s="695" t="s">
        <v>1115</v>
      </c>
      <c r="D281" s="706">
        <v>-568.11062101140203</v>
      </c>
      <c r="E281" s="966"/>
      <c r="F281" s="711">
        <v>-568.11062101140203</v>
      </c>
      <c r="G281" s="711">
        <v>0</v>
      </c>
      <c r="H281" s="711">
        <v>0</v>
      </c>
      <c r="I281" s="712">
        <v>0</v>
      </c>
      <c r="J281" s="706">
        <f t="shared" si="57"/>
        <v>0</v>
      </c>
      <c r="L281" s="695" t="s">
        <v>1115</v>
      </c>
      <c r="M281" s="706">
        <v>-286.00148099076898</v>
      </c>
      <c r="N281" s="966"/>
      <c r="O281" s="711">
        <f>M281</f>
        <v>-286.00148099076898</v>
      </c>
      <c r="P281" s="711">
        <v>0</v>
      </c>
      <c r="Q281" s="711">
        <v>0</v>
      </c>
      <c r="R281" s="712">
        <v>0</v>
      </c>
      <c r="S281" s="706">
        <f>M281-SUM(N281:R281)</f>
        <v>0</v>
      </c>
    </row>
    <row r="282" spans="1:19">
      <c r="A282" s="683" t="s">
        <v>127</v>
      </c>
      <c r="B282" s="683"/>
      <c r="C282" s="1558" t="s">
        <v>1116</v>
      </c>
      <c r="D282" s="1559">
        <f t="shared" ref="D282:J282" si="58">SUM(D279:D281)</f>
        <v>-1162.1106210114021</v>
      </c>
      <c r="E282" s="1408">
        <f t="shared" si="58"/>
        <v>-594</v>
      </c>
      <c r="F282" s="700">
        <f t="shared" si="58"/>
        <v>-568.11062101140203</v>
      </c>
      <c r="G282" s="700">
        <f t="shared" si="58"/>
        <v>0</v>
      </c>
      <c r="H282" s="700">
        <f t="shared" si="58"/>
        <v>0</v>
      </c>
      <c r="I282" s="713">
        <f t="shared" si="58"/>
        <v>0</v>
      </c>
      <c r="J282" s="1559">
        <f t="shared" si="58"/>
        <v>0</v>
      </c>
      <c r="L282" s="1558" t="s">
        <v>1116</v>
      </c>
      <c r="M282" s="1559">
        <f t="shared" ref="M282:S282" si="59">SUM(M279:M281)</f>
        <v>-607.30663040301863</v>
      </c>
      <c r="N282" s="1408">
        <f t="shared" si="59"/>
        <v>-321.30514941224965</v>
      </c>
      <c r="O282" s="700">
        <f t="shared" si="59"/>
        <v>-286.00148099076898</v>
      </c>
      <c r="P282" s="700">
        <f t="shared" si="59"/>
        <v>0</v>
      </c>
      <c r="Q282" s="700">
        <f t="shared" si="59"/>
        <v>0</v>
      </c>
      <c r="R282" s="713">
        <f t="shared" si="59"/>
        <v>0</v>
      </c>
      <c r="S282" s="1559">
        <f t="shared" si="59"/>
        <v>0</v>
      </c>
    </row>
    <row r="283" spans="1:19">
      <c r="A283" s="683" t="s">
        <v>1047</v>
      </c>
      <c r="B283" s="683"/>
      <c r="C283" s="695" t="s">
        <v>1117</v>
      </c>
      <c r="D283" s="964">
        <f>(E191+E202+E255+E260+E271+E282+E288+E299+E310+E321+E332)*-('MET ERT'!O68/'ERT MET'!C104-1)</f>
        <v>-557.53985889042076</v>
      </c>
      <c r="E283" s="721"/>
      <c r="F283" s="959"/>
      <c r="G283" s="1419">
        <f>D283</f>
        <v>-557.53985889042076</v>
      </c>
      <c r="H283" s="1419">
        <v>0</v>
      </c>
      <c r="I283" s="1420">
        <v>0</v>
      </c>
      <c r="J283" s="964">
        <f>D283-SUM(E283:I283)</f>
        <v>0</v>
      </c>
      <c r="L283" s="755" t="s">
        <v>1117</v>
      </c>
      <c r="M283" s="964">
        <f>(N191+N202+N255+N260+N271+N282+N288+N299+N310+N321+N332)*-('MET TRM'!O68/'TRM MET'!C104-1)</f>
        <v>-260.49973548565725</v>
      </c>
      <c r="N283" s="1421"/>
      <c r="O283" s="1422"/>
      <c r="P283" s="1419">
        <f>M283</f>
        <v>-260.49973548565725</v>
      </c>
      <c r="Q283" s="1419">
        <v>0</v>
      </c>
      <c r="R283" s="1419">
        <v>0</v>
      </c>
      <c r="S283" s="1395">
        <f>M283-SUM(N283:R283)</f>
        <v>0</v>
      </c>
    </row>
    <row r="284" spans="1:19">
      <c r="A284" s="683" t="s">
        <v>1047</v>
      </c>
      <c r="B284" s="683"/>
      <c r="C284" s="695" t="s">
        <v>1118</v>
      </c>
      <c r="D284" s="982">
        <f>(F191+F202+F255+F260+F271+F282+F288+F299+F310+F321+F332)*-('MET ERT'!P68/'ERT MET'!C105-1)</f>
        <v>-553.1649054291787</v>
      </c>
      <c r="E284" s="721"/>
      <c r="F284" s="959"/>
      <c r="G284" s="959"/>
      <c r="H284" s="971">
        <f>+D284</f>
        <v>-553.1649054291787</v>
      </c>
      <c r="I284" s="972">
        <v>0</v>
      </c>
      <c r="J284" s="964">
        <f>D284-SUM(E284:I284)</f>
        <v>0</v>
      </c>
      <c r="L284" s="755" t="s">
        <v>1118</v>
      </c>
      <c r="M284" s="982">
        <f>(O191+O202+O255+O260+O271+O282+O288+O299+O310+O321+O332)*-('MET TRM'!P68/'TRM MET'!C105-1)</f>
        <v>-235.05373897859653</v>
      </c>
      <c r="N284" s="722"/>
      <c r="O284" s="909"/>
      <c r="P284" s="723"/>
      <c r="Q284" s="971">
        <f>+M284</f>
        <v>-235.05373897859653</v>
      </c>
      <c r="R284" s="972">
        <v>0</v>
      </c>
      <c r="S284" s="964">
        <f>M284-SUM(N284:R284)</f>
        <v>0</v>
      </c>
    </row>
    <row r="285" spans="1:19">
      <c r="A285" s="683">
        <v>2022</v>
      </c>
      <c r="B285" s="683"/>
      <c r="C285" s="695" t="s">
        <v>1119</v>
      </c>
      <c r="D285" s="964">
        <f>(G191+G202+G255+G260+G271+G282+G288+G299+G310+G321+G332)*-'ERT MET'!D40</f>
        <v>0</v>
      </c>
      <c r="E285" s="722"/>
      <c r="F285" s="909"/>
      <c r="G285" s="723"/>
      <c r="H285" s="724"/>
      <c r="I285" s="972">
        <f>+D285</f>
        <v>0</v>
      </c>
      <c r="J285" s="964">
        <f t="shared" si="57"/>
        <v>0</v>
      </c>
      <c r="L285" s="755" t="s">
        <v>1119</v>
      </c>
      <c r="M285" s="964">
        <f>(P191+P202+P255+P260+P271+P282+P288+P299+P310+P321+P332)*-'TRM MET'!D40</f>
        <v>0</v>
      </c>
      <c r="N285" s="722"/>
      <c r="O285" s="909"/>
      <c r="P285" s="723"/>
      <c r="Q285" s="724"/>
      <c r="R285" s="972">
        <f>+M285</f>
        <v>0</v>
      </c>
      <c r="S285" s="964">
        <f>M285-SUM(N285:R285)</f>
        <v>0</v>
      </c>
    </row>
    <row r="286" spans="1:19">
      <c r="A286" s="683">
        <v>2023</v>
      </c>
      <c r="B286" s="683"/>
      <c r="C286" s="695" t="s">
        <v>1120</v>
      </c>
      <c r="D286" s="964">
        <f>(H191+H202+H255+H260+H271+H282+H288+H299+H310+H321+H332)*-'ERT MET'!E40</f>
        <v>0</v>
      </c>
      <c r="E286" s="722"/>
      <c r="F286" s="909"/>
      <c r="G286" s="723"/>
      <c r="H286" s="723"/>
      <c r="I286" s="725"/>
      <c r="J286" s="964">
        <f t="shared" si="57"/>
        <v>0</v>
      </c>
      <c r="L286" s="755" t="s">
        <v>1120</v>
      </c>
      <c r="M286" s="964">
        <f>(Q191+Q202+Q255+Q260+Q271+Q282+Q288+Q299+Q310+Q321+Q332)*-'TRM MET'!E40</f>
        <v>0</v>
      </c>
      <c r="N286" s="722"/>
      <c r="O286" s="909"/>
      <c r="P286" s="723"/>
      <c r="Q286" s="723"/>
      <c r="R286" s="725"/>
      <c r="S286" s="964">
        <f>M286-SUM(N286:R286)</f>
        <v>0</v>
      </c>
    </row>
    <row r="287" spans="1:19">
      <c r="A287" s="683">
        <v>2024</v>
      </c>
      <c r="B287" s="683"/>
      <c r="C287" s="705" t="s">
        <v>1121</v>
      </c>
      <c r="D287" s="706">
        <f>(I191+I202+I255+I260+I271+I282+I288+I299+I310+I321+I332)*-'ERT MET'!F40</f>
        <v>0</v>
      </c>
      <c r="E287" s="722"/>
      <c r="F287" s="909"/>
      <c r="G287" s="723"/>
      <c r="H287" s="723"/>
      <c r="I287" s="725"/>
      <c r="J287" s="706">
        <f t="shared" si="57"/>
        <v>0</v>
      </c>
      <c r="L287" s="756" t="s">
        <v>1121</v>
      </c>
      <c r="M287" s="706">
        <f>(R191+R202+R255+R260+R271+R282+R288+R299+R310+R321+R332)*-'TRM MET'!F40</f>
        <v>0</v>
      </c>
      <c r="N287" s="731"/>
      <c r="O287" s="912"/>
      <c r="P287" s="732"/>
      <c r="Q287" s="732"/>
      <c r="R287" s="757"/>
      <c r="S287" s="706">
        <f>M287-SUM(N287:R287)</f>
        <v>0</v>
      </c>
    </row>
    <row r="288" spans="1:19">
      <c r="A288" s="683" t="s">
        <v>127</v>
      </c>
      <c r="B288" s="683"/>
      <c r="C288" s="1570" t="s">
        <v>1122</v>
      </c>
      <c r="D288" s="1559">
        <f t="shared" ref="D288:J288" si="60">SUM(D283:D287)</f>
        <v>-1110.7047643195995</v>
      </c>
      <c r="E288" s="1408">
        <f t="shared" si="60"/>
        <v>0</v>
      </c>
      <c r="F288" s="700">
        <f t="shared" si="60"/>
        <v>0</v>
      </c>
      <c r="G288" s="700">
        <f t="shared" si="60"/>
        <v>-557.53985889042076</v>
      </c>
      <c r="H288" s="700">
        <f t="shared" si="60"/>
        <v>-553.1649054291787</v>
      </c>
      <c r="I288" s="713">
        <f t="shared" si="60"/>
        <v>0</v>
      </c>
      <c r="J288" s="1559">
        <f t="shared" si="60"/>
        <v>0</v>
      </c>
      <c r="L288" s="1558" t="s">
        <v>1122</v>
      </c>
      <c r="M288" s="706">
        <f t="shared" ref="M288:S288" si="61">SUM(M283:M287)</f>
        <v>-495.55347446425378</v>
      </c>
      <c r="N288" s="1408">
        <f t="shared" si="61"/>
        <v>0</v>
      </c>
      <c r="O288" s="700">
        <f t="shared" si="61"/>
        <v>0</v>
      </c>
      <c r="P288" s="700">
        <f t="shared" si="61"/>
        <v>-260.49973548565725</v>
      </c>
      <c r="Q288" s="700">
        <f t="shared" si="61"/>
        <v>-235.05373897859653</v>
      </c>
      <c r="R288" s="713">
        <f t="shared" si="61"/>
        <v>0</v>
      </c>
      <c r="S288" s="1559">
        <f t="shared" si="61"/>
        <v>0</v>
      </c>
    </row>
    <row r="289" spans="1:19">
      <c r="A289" s="683" t="s">
        <v>1046</v>
      </c>
      <c r="B289" s="683"/>
      <c r="C289" s="1401"/>
      <c r="D289" s="1401"/>
      <c r="E289" s="1401"/>
      <c r="F289" s="1401"/>
      <c r="G289" s="1401"/>
      <c r="H289" s="1401"/>
      <c r="I289" s="1401"/>
      <c r="J289" s="1401"/>
      <c r="L289" s="1401"/>
      <c r="M289" s="1401"/>
      <c r="N289" s="1401"/>
      <c r="O289" s="1401"/>
      <c r="P289" s="1401"/>
      <c r="Q289" s="1401"/>
      <c r="R289" s="1401"/>
      <c r="S289" s="1401"/>
    </row>
    <row r="290" spans="1:19">
      <c r="A290" s="683" t="s">
        <v>1047</v>
      </c>
      <c r="B290" s="683"/>
      <c r="C290" s="695" t="s">
        <v>1123</v>
      </c>
      <c r="D290" s="964">
        <f t="array" ref="D290:D293">TRANSPOSE('ERT MET'!C46:F46)</f>
        <v>0</v>
      </c>
      <c r="E290" s="696"/>
      <c r="F290" s="703"/>
      <c r="G290" s="909"/>
      <c r="H290" s="971">
        <f>D290</f>
        <v>0</v>
      </c>
      <c r="I290" s="963">
        <f>D290-H290</f>
        <v>0</v>
      </c>
      <c r="J290" s="698"/>
      <c r="L290" s="695" t="s">
        <v>1123</v>
      </c>
      <c r="M290" s="964">
        <f t="array" ref="M290:M293">TRANSPOSE('TRM MET'!C46:F46)</f>
        <v>0</v>
      </c>
      <c r="N290" s="696"/>
      <c r="O290" s="703"/>
      <c r="P290" s="909"/>
      <c r="Q290" s="971">
        <f>M290</f>
        <v>0</v>
      </c>
      <c r="R290" s="963">
        <f>M290-Q290</f>
        <v>0</v>
      </c>
      <c r="S290" s="698"/>
    </row>
    <row r="291" spans="1:19">
      <c r="A291" s="683">
        <v>2022</v>
      </c>
      <c r="B291" s="683"/>
      <c r="C291" s="695" t="s">
        <v>1124</v>
      </c>
      <c r="D291" s="964">
        <v>0</v>
      </c>
      <c r="E291" s="696"/>
      <c r="F291" s="703"/>
      <c r="G291" s="909"/>
      <c r="H291" s="909"/>
      <c r="I291" s="965">
        <f>D291</f>
        <v>0</v>
      </c>
      <c r="J291" s="698"/>
      <c r="L291" s="695" t="s">
        <v>1124</v>
      </c>
      <c r="M291" s="964">
        <v>0</v>
      </c>
      <c r="N291" s="696"/>
      <c r="O291" s="703"/>
      <c r="P291" s="909"/>
      <c r="Q291" s="909"/>
      <c r="R291" s="965">
        <f>M291</f>
        <v>0</v>
      </c>
      <c r="S291" s="698"/>
    </row>
    <row r="292" spans="1:19">
      <c r="A292" s="683">
        <v>2023</v>
      </c>
      <c r="B292" s="683"/>
      <c r="C292" s="695" t="s">
        <v>1125</v>
      </c>
      <c r="D292" s="964">
        <v>0</v>
      </c>
      <c r="E292" s="696"/>
      <c r="F292" s="703"/>
      <c r="G292" s="909"/>
      <c r="H292" s="909"/>
      <c r="I292" s="913"/>
      <c r="J292" s="714">
        <f>D292</f>
        <v>0</v>
      </c>
      <c r="L292" s="695" t="s">
        <v>1125</v>
      </c>
      <c r="M292" s="964">
        <v>0</v>
      </c>
      <c r="N292" s="696"/>
      <c r="O292" s="703"/>
      <c r="P292" s="909"/>
      <c r="Q292" s="909"/>
      <c r="R292" s="913"/>
      <c r="S292" s="714">
        <f>M292</f>
        <v>0</v>
      </c>
    </row>
    <row r="293" spans="1:19">
      <c r="A293" s="683">
        <v>2024</v>
      </c>
      <c r="B293" s="683"/>
      <c r="C293" s="705" t="s">
        <v>1126</v>
      </c>
      <c r="D293" s="706">
        <v>0</v>
      </c>
      <c r="E293" s="707"/>
      <c r="F293" s="911"/>
      <c r="G293" s="911"/>
      <c r="H293" s="911"/>
      <c r="I293" s="914"/>
      <c r="J293" s="715">
        <f>D293</f>
        <v>0</v>
      </c>
      <c r="L293" s="705" t="s">
        <v>1126</v>
      </c>
      <c r="M293" s="706">
        <v>0</v>
      </c>
      <c r="N293" s="707"/>
      <c r="O293" s="911"/>
      <c r="P293" s="911"/>
      <c r="Q293" s="911"/>
      <c r="R293" s="914"/>
      <c r="S293" s="715">
        <f>M293</f>
        <v>0</v>
      </c>
    </row>
    <row r="294" spans="1:19">
      <c r="A294" s="683" t="s">
        <v>12</v>
      </c>
      <c r="B294" s="683"/>
      <c r="C294" s="1568" t="s">
        <v>1127</v>
      </c>
      <c r="D294" s="1562">
        <f>D282+SUM(D288:D293)</f>
        <v>-2272.8153853310014</v>
      </c>
      <c r="E294" s="1402">
        <f t="shared" ref="E294:J294" si="62">E282+SUM(E288:E293)</f>
        <v>-594</v>
      </c>
      <c r="F294" s="968">
        <f t="shared" si="62"/>
        <v>-568.11062101140203</v>
      </c>
      <c r="G294" s="968">
        <f t="shared" si="62"/>
        <v>-557.53985889042076</v>
      </c>
      <c r="H294" s="968">
        <f t="shared" si="62"/>
        <v>-553.1649054291787</v>
      </c>
      <c r="I294" s="969">
        <f t="shared" si="62"/>
        <v>0</v>
      </c>
      <c r="J294" s="1562">
        <f t="shared" si="62"/>
        <v>0</v>
      </c>
      <c r="L294" s="1568" t="s">
        <v>1127</v>
      </c>
      <c r="M294" s="1562">
        <f>M282+SUM(M288:M293)</f>
        <v>-1102.8601048672724</v>
      </c>
      <c r="N294" s="1402">
        <f t="shared" ref="N294:S294" si="63">N282+SUM(N288:N293)</f>
        <v>-321.30514941224965</v>
      </c>
      <c r="O294" s="968">
        <f t="shared" si="63"/>
        <v>-286.00148099076898</v>
      </c>
      <c r="P294" s="968">
        <f t="shared" si="63"/>
        <v>-260.49973548565725</v>
      </c>
      <c r="Q294" s="968">
        <f t="shared" si="63"/>
        <v>-235.05373897859653</v>
      </c>
      <c r="R294" s="969">
        <f t="shared" si="63"/>
        <v>0</v>
      </c>
      <c r="S294" s="1562">
        <f t="shared" si="63"/>
        <v>0</v>
      </c>
    </row>
    <row r="295" spans="1:19">
      <c r="A295" s="708"/>
      <c r="B295" s="708"/>
      <c r="O295" s="686"/>
    </row>
    <row r="296" spans="1:19">
      <c r="A296" s="683">
        <v>2017</v>
      </c>
      <c r="B296" s="683"/>
      <c r="C296" s="1394" t="s">
        <v>1128</v>
      </c>
      <c r="D296" s="1423">
        <v>0</v>
      </c>
      <c r="E296" s="1405">
        <v>0</v>
      </c>
      <c r="F296" s="1406">
        <v>0</v>
      </c>
      <c r="G296" s="1419">
        <v>0</v>
      </c>
      <c r="H296" s="1419">
        <v>0</v>
      </c>
      <c r="I296" s="1420">
        <v>0</v>
      </c>
      <c r="J296" s="1395">
        <f t="shared" ref="J296:J304" si="64">D296-SUM(E296:I296)</f>
        <v>0</v>
      </c>
      <c r="L296" s="1394" t="s">
        <v>1128</v>
      </c>
      <c r="M296" s="1420">
        <v>0</v>
      </c>
      <c r="N296" s="1405">
        <v>0</v>
      </c>
      <c r="O296" s="1406">
        <v>0</v>
      </c>
      <c r="P296" s="1419">
        <v>0</v>
      </c>
      <c r="Q296" s="1419">
        <v>0</v>
      </c>
      <c r="R296" s="1420">
        <v>0</v>
      </c>
      <c r="S296" s="1395">
        <f t="shared" ref="S296:S304" si="65">M296-SUM(N296:R296)</f>
        <v>0</v>
      </c>
    </row>
    <row r="297" spans="1:19">
      <c r="A297" s="683">
        <v>2018</v>
      </c>
      <c r="B297" s="683"/>
      <c r="C297" s="695" t="s">
        <v>1129</v>
      </c>
      <c r="D297" s="727">
        <v>0</v>
      </c>
      <c r="E297" s="710">
        <v>0</v>
      </c>
      <c r="F297" s="963">
        <v>0</v>
      </c>
      <c r="G297" s="971">
        <v>0</v>
      </c>
      <c r="H297" s="971">
        <v>0</v>
      </c>
      <c r="I297" s="972">
        <v>0</v>
      </c>
      <c r="J297" s="964">
        <f t="shared" si="64"/>
        <v>0</v>
      </c>
      <c r="L297" s="695" t="s">
        <v>1129</v>
      </c>
      <c r="M297" s="972">
        <v>0</v>
      </c>
      <c r="N297" s="710">
        <v>0</v>
      </c>
      <c r="O297" s="963">
        <v>0</v>
      </c>
      <c r="P297" s="971">
        <v>0</v>
      </c>
      <c r="Q297" s="971">
        <v>0</v>
      </c>
      <c r="R297" s="972">
        <v>0</v>
      </c>
      <c r="S297" s="964">
        <f t="shared" si="65"/>
        <v>0</v>
      </c>
    </row>
    <row r="298" spans="1:19">
      <c r="A298" s="683">
        <v>2019</v>
      </c>
      <c r="B298" s="683"/>
      <c r="C298" s="695" t="s">
        <v>1130</v>
      </c>
      <c r="D298" s="728">
        <v>0</v>
      </c>
      <c r="E298" s="710">
        <v>0</v>
      </c>
      <c r="F298" s="711">
        <v>0</v>
      </c>
      <c r="G298" s="729">
        <v>0</v>
      </c>
      <c r="H298" s="729">
        <v>0</v>
      </c>
      <c r="I298" s="730">
        <v>0</v>
      </c>
      <c r="J298" s="706">
        <f t="shared" si="64"/>
        <v>0</v>
      </c>
      <c r="L298" s="695" t="s">
        <v>1130</v>
      </c>
      <c r="M298" s="730">
        <v>0</v>
      </c>
      <c r="N298" s="710">
        <v>0</v>
      </c>
      <c r="O298" s="711">
        <v>0</v>
      </c>
      <c r="P298" s="729">
        <v>0</v>
      </c>
      <c r="Q298" s="729">
        <v>0</v>
      </c>
      <c r="R298" s="730">
        <v>0</v>
      </c>
      <c r="S298" s="706">
        <f t="shared" si="65"/>
        <v>0</v>
      </c>
    </row>
    <row r="299" spans="1:19">
      <c r="A299" s="683" t="s">
        <v>127</v>
      </c>
      <c r="B299" s="683"/>
      <c r="C299" s="1558" t="s">
        <v>1131</v>
      </c>
      <c r="D299" s="1559">
        <f>SUM(D296:D298)</f>
        <v>0</v>
      </c>
      <c r="E299" s="1408">
        <f t="shared" ref="E299:J299" si="66">SUM(E296:E298)</f>
        <v>0</v>
      </c>
      <c r="F299" s="700">
        <f t="shared" si="66"/>
        <v>0</v>
      </c>
      <c r="G299" s="700">
        <f t="shared" si="66"/>
        <v>0</v>
      </c>
      <c r="H299" s="700">
        <f t="shared" si="66"/>
        <v>0</v>
      </c>
      <c r="I299" s="713">
        <f t="shared" si="66"/>
        <v>0</v>
      </c>
      <c r="J299" s="1559">
        <f t="shared" si="66"/>
        <v>0</v>
      </c>
      <c r="L299" s="1558" t="s">
        <v>1131</v>
      </c>
      <c r="M299" s="1559">
        <f>SUM(M296:M298)</f>
        <v>0</v>
      </c>
      <c r="N299" s="1408">
        <f t="shared" ref="N299:S299" si="67">SUM(N296:N298)</f>
        <v>0</v>
      </c>
      <c r="O299" s="700">
        <f t="shared" si="67"/>
        <v>0</v>
      </c>
      <c r="P299" s="700">
        <f t="shared" si="67"/>
        <v>0</v>
      </c>
      <c r="Q299" s="700">
        <f t="shared" si="67"/>
        <v>0</v>
      </c>
      <c r="R299" s="713">
        <f t="shared" si="67"/>
        <v>0</v>
      </c>
      <c r="S299" s="1559">
        <f t="shared" si="67"/>
        <v>0</v>
      </c>
    </row>
    <row r="300" spans="1:19">
      <c r="A300" s="683" t="s">
        <v>1046</v>
      </c>
      <c r="B300" s="683"/>
      <c r="C300" s="1401"/>
      <c r="D300" s="1401"/>
      <c r="E300" s="1401"/>
      <c r="F300" s="1401"/>
      <c r="G300" s="1401"/>
      <c r="H300" s="1401"/>
      <c r="I300" s="1401"/>
      <c r="J300" s="1401"/>
      <c r="L300" s="1401"/>
      <c r="M300" s="1401"/>
      <c r="N300" s="1401"/>
      <c r="O300" s="1401"/>
      <c r="P300" s="1401"/>
      <c r="Q300" s="1401"/>
      <c r="R300" s="1401"/>
      <c r="S300" s="1401"/>
    </row>
    <row r="301" spans="1:19">
      <c r="A301" s="683" t="s">
        <v>1047</v>
      </c>
      <c r="B301" s="683"/>
      <c r="C301" s="695" t="s">
        <v>1132</v>
      </c>
      <c r="D301" s="964">
        <f t="array" ref="D301:D304">TRANSPOSE('ERT MET'!C69:F69)</f>
        <v>0</v>
      </c>
      <c r="E301" s="710">
        <v>0</v>
      </c>
      <c r="F301" s="963">
        <v>0</v>
      </c>
      <c r="G301" s="971">
        <v>0</v>
      </c>
      <c r="H301" s="971">
        <v>0</v>
      </c>
      <c r="I301" s="972">
        <v>0</v>
      </c>
      <c r="J301" s="964">
        <f t="shared" si="64"/>
        <v>0</v>
      </c>
      <c r="L301" s="695" t="s">
        <v>1132</v>
      </c>
      <c r="M301" s="964">
        <f t="array" ref="M301:M304">TRANSPOSE('TRM MET'!C69:F69)</f>
        <v>0</v>
      </c>
      <c r="N301" s="710">
        <v>0</v>
      </c>
      <c r="O301" s="963">
        <v>0</v>
      </c>
      <c r="P301" s="971">
        <v>0</v>
      </c>
      <c r="Q301" s="971">
        <v>0</v>
      </c>
      <c r="R301" s="972">
        <v>0</v>
      </c>
      <c r="S301" s="964">
        <f t="shared" si="65"/>
        <v>0</v>
      </c>
    </row>
    <row r="302" spans="1:19">
      <c r="A302" s="683">
        <v>2022</v>
      </c>
      <c r="B302" s="683"/>
      <c r="C302" s="695" t="s">
        <v>1133</v>
      </c>
      <c r="D302" s="964">
        <v>0</v>
      </c>
      <c r="E302" s="722"/>
      <c r="F302" s="909"/>
      <c r="G302" s="971">
        <v>0</v>
      </c>
      <c r="H302" s="971">
        <v>0</v>
      </c>
      <c r="I302" s="972">
        <v>0</v>
      </c>
      <c r="J302" s="964">
        <f t="shared" si="64"/>
        <v>0</v>
      </c>
      <c r="L302" s="695" t="s">
        <v>1133</v>
      </c>
      <c r="M302" s="964">
        <v>0</v>
      </c>
      <c r="N302" s="722"/>
      <c r="O302" s="909"/>
      <c r="P302" s="971">
        <v>0</v>
      </c>
      <c r="Q302" s="971">
        <v>0</v>
      </c>
      <c r="R302" s="972">
        <v>0</v>
      </c>
      <c r="S302" s="964">
        <f t="shared" si="65"/>
        <v>0</v>
      </c>
    </row>
    <row r="303" spans="1:19">
      <c r="A303" s="683">
        <v>2023</v>
      </c>
      <c r="B303" s="683"/>
      <c r="C303" s="695" t="s">
        <v>1134</v>
      </c>
      <c r="D303" s="964">
        <v>0</v>
      </c>
      <c r="E303" s="722"/>
      <c r="F303" s="909"/>
      <c r="G303" s="723"/>
      <c r="H303" s="971">
        <v>0</v>
      </c>
      <c r="I303" s="972">
        <v>0</v>
      </c>
      <c r="J303" s="964">
        <f t="shared" si="64"/>
        <v>0</v>
      </c>
      <c r="L303" s="695" t="s">
        <v>1134</v>
      </c>
      <c r="M303" s="964">
        <v>0</v>
      </c>
      <c r="N303" s="722"/>
      <c r="O303" s="909"/>
      <c r="P303" s="723"/>
      <c r="Q303" s="971">
        <v>0</v>
      </c>
      <c r="R303" s="972">
        <v>0</v>
      </c>
      <c r="S303" s="964">
        <f t="shared" si="65"/>
        <v>0</v>
      </c>
    </row>
    <row r="304" spans="1:19">
      <c r="A304" s="683">
        <v>2024</v>
      </c>
      <c r="B304" s="683"/>
      <c r="C304" s="705" t="s">
        <v>1135</v>
      </c>
      <c r="D304" s="706">
        <v>0</v>
      </c>
      <c r="E304" s="731"/>
      <c r="F304" s="912"/>
      <c r="G304" s="732"/>
      <c r="H304" s="732"/>
      <c r="I304" s="972">
        <v>0</v>
      </c>
      <c r="J304" s="964">
        <f t="shared" si="64"/>
        <v>0</v>
      </c>
      <c r="L304" s="705" t="s">
        <v>1135</v>
      </c>
      <c r="M304" s="706">
        <v>0</v>
      </c>
      <c r="N304" s="731"/>
      <c r="O304" s="912"/>
      <c r="P304" s="732"/>
      <c r="Q304" s="732"/>
      <c r="R304" s="972">
        <v>0</v>
      </c>
      <c r="S304" s="964">
        <f t="shared" si="65"/>
        <v>0</v>
      </c>
    </row>
    <row r="305" spans="1:19">
      <c r="A305" s="683" t="s">
        <v>12</v>
      </c>
      <c r="B305" s="683"/>
      <c r="C305" s="1568" t="s">
        <v>1136</v>
      </c>
      <c r="D305" s="1562">
        <f>SUM(D299:D304)</f>
        <v>0</v>
      </c>
      <c r="E305" s="1402">
        <f t="shared" ref="E305:J305" si="68">SUM(E299:E304)</f>
        <v>0</v>
      </c>
      <c r="F305" s="968">
        <f t="shared" si="68"/>
        <v>0</v>
      </c>
      <c r="G305" s="968">
        <f t="shared" si="68"/>
        <v>0</v>
      </c>
      <c r="H305" s="968">
        <f t="shared" si="68"/>
        <v>0</v>
      </c>
      <c r="I305" s="969">
        <f t="shared" si="68"/>
        <v>0</v>
      </c>
      <c r="J305" s="1562">
        <f t="shared" si="68"/>
        <v>0</v>
      </c>
      <c r="L305" s="1568" t="s">
        <v>1136</v>
      </c>
      <c r="M305" s="1562">
        <f>SUM(M299:M304)</f>
        <v>0</v>
      </c>
      <c r="N305" s="1402">
        <f t="shared" ref="N305:S305" si="69">SUM(N299:N304)</f>
        <v>0</v>
      </c>
      <c r="O305" s="968">
        <f t="shared" si="69"/>
        <v>0</v>
      </c>
      <c r="P305" s="968">
        <f t="shared" si="69"/>
        <v>0</v>
      </c>
      <c r="Q305" s="968">
        <f t="shared" si="69"/>
        <v>0</v>
      </c>
      <c r="R305" s="969">
        <f t="shared" si="69"/>
        <v>0</v>
      </c>
      <c r="S305" s="1562">
        <f t="shared" si="69"/>
        <v>0</v>
      </c>
    </row>
    <row r="306" spans="1:19">
      <c r="A306" s="708"/>
      <c r="B306" s="708"/>
      <c r="O306" s="686"/>
    </row>
    <row r="307" spans="1:19">
      <c r="A307" s="683">
        <v>2017</v>
      </c>
      <c r="B307" s="683"/>
      <c r="C307" s="1394" t="s">
        <v>1137</v>
      </c>
      <c r="D307" s="1423">
        <v>0</v>
      </c>
      <c r="E307" s="1405">
        <v>0</v>
      </c>
      <c r="F307" s="1406">
        <v>0</v>
      </c>
      <c r="G307" s="1419">
        <v>0</v>
      </c>
      <c r="H307" s="1419">
        <v>0</v>
      </c>
      <c r="I307" s="1420">
        <v>0</v>
      </c>
      <c r="J307" s="1395">
        <f>D307-SUM(E307:I307)</f>
        <v>0</v>
      </c>
      <c r="L307" s="1394" t="s">
        <v>1137</v>
      </c>
      <c r="M307" s="1420">
        <v>0</v>
      </c>
      <c r="N307" s="1405">
        <v>0</v>
      </c>
      <c r="O307" s="1406">
        <v>0</v>
      </c>
      <c r="P307" s="1419">
        <v>0</v>
      </c>
      <c r="Q307" s="1419">
        <v>0</v>
      </c>
      <c r="R307" s="1420">
        <v>0</v>
      </c>
      <c r="S307" s="1395">
        <f>M307-SUM(N307:R307)</f>
        <v>0</v>
      </c>
    </row>
    <row r="308" spans="1:19">
      <c r="A308" s="683">
        <v>2018</v>
      </c>
      <c r="B308" s="683"/>
      <c r="C308" s="695" t="s">
        <v>1138</v>
      </c>
      <c r="D308" s="727">
        <v>0</v>
      </c>
      <c r="E308" s="710">
        <v>0</v>
      </c>
      <c r="F308" s="963">
        <v>0</v>
      </c>
      <c r="G308" s="971">
        <v>0</v>
      </c>
      <c r="H308" s="971">
        <v>0</v>
      </c>
      <c r="I308" s="972">
        <v>0</v>
      </c>
      <c r="J308" s="964">
        <f>D308-SUM(E308:I308)</f>
        <v>0</v>
      </c>
      <c r="L308" s="695" t="s">
        <v>1138</v>
      </c>
      <c r="M308" s="972">
        <v>0</v>
      </c>
      <c r="N308" s="710">
        <v>0</v>
      </c>
      <c r="O308" s="963">
        <v>0</v>
      </c>
      <c r="P308" s="971">
        <v>0</v>
      </c>
      <c r="Q308" s="971">
        <v>0</v>
      </c>
      <c r="R308" s="972">
        <v>0</v>
      </c>
      <c r="S308" s="964">
        <f>M308-SUM(N308:R308)</f>
        <v>0</v>
      </c>
    </row>
    <row r="309" spans="1:19">
      <c r="A309" s="683">
        <v>2019</v>
      </c>
      <c r="B309" s="683"/>
      <c r="C309" s="695" t="s">
        <v>1139</v>
      </c>
      <c r="D309" s="728">
        <v>0</v>
      </c>
      <c r="E309" s="710">
        <v>0</v>
      </c>
      <c r="F309" s="711">
        <v>0</v>
      </c>
      <c r="G309" s="729">
        <v>0</v>
      </c>
      <c r="H309" s="729">
        <v>0</v>
      </c>
      <c r="I309" s="730">
        <v>0</v>
      </c>
      <c r="J309" s="706">
        <f>D309-SUM(E309:I309)</f>
        <v>0</v>
      </c>
      <c r="L309" s="695" t="s">
        <v>1139</v>
      </c>
      <c r="M309" s="730">
        <v>0</v>
      </c>
      <c r="N309" s="710">
        <v>0</v>
      </c>
      <c r="O309" s="711">
        <v>0</v>
      </c>
      <c r="P309" s="729">
        <v>0</v>
      </c>
      <c r="Q309" s="729">
        <v>0</v>
      </c>
      <c r="R309" s="730">
        <v>0</v>
      </c>
      <c r="S309" s="706">
        <f>M309-SUM(N309:R309)</f>
        <v>0</v>
      </c>
    </row>
    <row r="310" spans="1:19">
      <c r="A310" s="683" t="s">
        <v>127</v>
      </c>
      <c r="B310" s="683"/>
      <c r="C310" s="1558" t="s">
        <v>1140</v>
      </c>
      <c r="D310" s="1559">
        <f>SUM(D307:D309)</f>
        <v>0</v>
      </c>
      <c r="E310" s="1408">
        <f t="shared" ref="E310:J310" si="70">SUM(E307:E309)</f>
        <v>0</v>
      </c>
      <c r="F310" s="700">
        <f t="shared" si="70"/>
        <v>0</v>
      </c>
      <c r="G310" s="700">
        <f t="shared" si="70"/>
        <v>0</v>
      </c>
      <c r="H310" s="700">
        <f t="shared" si="70"/>
        <v>0</v>
      </c>
      <c r="I310" s="713">
        <f t="shared" si="70"/>
        <v>0</v>
      </c>
      <c r="J310" s="1559">
        <f t="shared" si="70"/>
        <v>0</v>
      </c>
      <c r="L310" s="1558" t="s">
        <v>1140</v>
      </c>
      <c r="M310" s="1559">
        <f>SUM(M307:M309)</f>
        <v>0</v>
      </c>
      <c r="N310" s="1408">
        <f t="shared" ref="N310:S310" si="71">SUM(N307:N309)</f>
        <v>0</v>
      </c>
      <c r="O310" s="700">
        <f t="shared" si="71"/>
        <v>0</v>
      </c>
      <c r="P310" s="700">
        <f t="shared" si="71"/>
        <v>0</v>
      </c>
      <c r="Q310" s="700">
        <f t="shared" si="71"/>
        <v>0</v>
      </c>
      <c r="R310" s="713">
        <f t="shared" si="71"/>
        <v>0</v>
      </c>
      <c r="S310" s="1559">
        <f t="shared" si="71"/>
        <v>0</v>
      </c>
    </row>
    <row r="311" spans="1:19">
      <c r="A311" s="683" t="s">
        <v>1046</v>
      </c>
      <c r="B311" s="683"/>
      <c r="C311" s="1401"/>
      <c r="D311" s="1401"/>
      <c r="E311" s="1401"/>
      <c r="F311" s="1401"/>
      <c r="G311" s="1401"/>
      <c r="H311" s="1401"/>
      <c r="I311" s="1401"/>
      <c r="J311" s="1401"/>
      <c r="L311" s="1401"/>
      <c r="M311" s="1401"/>
      <c r="N311" s="1401"/>
      <c r="O311" s="1401"/>
      <c r="P311" s="1401"/>
      <c r="Q311" s="1401"/>
      <c r="R311" s="1401"/>
      <c r="S311" s="1401"/>
    </row>
    <row r="312" spans="1:19">
      <c r="A312" s="683" t="s">
        <v>1047</v>
      </c>
      <c r="B312" s="683"/>
      <c r="C312" s="695" t="s">
        <v>1141</v>
      </c>
      <c r="D312" s="964">
        <f t="array" ref="D312:D315">TRANSPOSE('ERT MET'!C70:F70)</f>
        <v>0</v>
      </c>
      <c r="E312" s="1405">
        <v>0</v>
      </c>
      <c r="F312" s="963">
        <v>0</v>
      </c>
      <c r="G312" s="971">
        <v>0</v>
      </c>
      <c r="H312" s="971">
        <v>0</v>
      </c>
      <c r="I312" s="972">
        <v>0</v>
      </c>
      <c r="J312" s="964">
        <f>D312-SUM(E312:I312)</f>
        <v>0</v>
      </c>
      <c r="L312" s="695" t="s">
        <v>1141</v>
      </c>
      <c r="M312" s="964">
        <f t="array" ref="M312:M315">TRANSPOSE('TRM MET'!C70:F70)</f>
        <v>0</v>
      </c>
      <c r="N312" s="1405">
        <v>0</v>
      </c>
      <c r="O312" s="963">
        <v>0</v>
      </c>
      <c r="P312" s="971">
        <v>0</v>
      </c>
      <c r="Q312" s="971">
        <v>0</v>
      </c>
      <c r="R312" s="972">
        <v>0</v>
      </c>
      <c r="S312" s="964">
        <f>M312-SUM(N312:R312)</f>
        <v>0</v>
      </c>
    </row>
    <row r="313" spans="1:19">
      <c r="A313" s="683">
        <v>2022</v>
      </c>
      <c r="B313" s="683"/>
      <c r="C313" s="695" t="s">
        <v>1142</v>
      </c>
      <c r="D313" s="964">
        <v>0</v>
      </c>
      <c r="E313" s="722"/>
      <c r="F313" s="909"/>
      <c r="G313" s="971">
        <v>0</v>
      </c>
      <c r="H313" s="971">
        <v>0</v>
      </c>
      <c r="I313" s="972">
        <v>0</v>
      </c>
      <c r="J313" s="964">
        <f>D313-SUM(E313:I313)</f>
        <v>0</v>
      </c>
      <c r="L313" s="695" t="s">
        <v>1142</v>
      </c>
      <c r="M313" s="964">
        <v>0</v>
      </c>
      <c r="N313" s="722"/>
      <c r="O313" s="909"/>
      <c r="P313" s="971">
        <v>0</v>
      </c>
      <c r="Q313" s="971">
        <v>0</v>
      </c>
      <c r="R313" s="972">
        <v>0</v>
      </c>
      <c r="S313" s="964">
        <f>M313-SUM(N313:R313)</f>
        <v>0</v>
      </c>
    </row>
    <row r="314" spans="1:19">
      <c r="A314" s="683">
        <v>2023</v>
      </c>
      <c r="B314" s="683"/>
      <c r="C314" s="695" t="s">
        <v>1143</v>
      </c>
      <c r="D314" s="964">
        <v>0</v>
      </c>
      <c r="E314" s="722"/>
      <c r="F314" s="909"/>
      <c r="G314" s="723"/>
      <c r="H314" s="971">
        <v>0</v>
      </c>
      <c r="I314" s="972">
        <v>0</v>
      </c>
      <c r="J314" s="964">
        <f>D314-SUM(E314:I314)</f>
        <v>0</v>
      </c>
      <c r="L314" s="695" t="s">
        <v>1143</v>
      </c>
      <c r="M314" s="964">
        <v>0</v>
      </c>
      <c r="N314" s="722"/>
      <c r="O314" s="909"/>
      <c r="P314" s="784"/>
      <c r="Q314" s="971">
        <v>0</v>
      </c>
      <c r="R314" s="972">
        <v>0</v>
      </c>
      <c r="S314" s="964">
        <f>M314-SUM(N314:R314)</f>
        <v>0</v>
      </c>
    </row>
    <row r="315" spans="1:19">
      <c r="A315" s="683">
        <v>2024</v>
      </c>
      <c r="B315" s="683"/>
      <c r="C315" s="705" t="s">
        <v>1144</v>
      </c>
      <c r="D315" s="706">
        <v>0</v>
      </c>
      <c r="E315" s="731"/>
      <c r="F315" s="912"/>
      <c r="G315" s="732"/>
      <c r="H315" s="732"/>
      <c r="I315" s="972">
        <v>0</v>
      </c>
      <c r="J315" s="964">
        <f>D315-SUM(E315:I315)</f>
        <v>0</v>
      </c>
      <c r="L315" s="705" t="s">
        <v>1144</v>
      </c>
      <c r="M315" s="706">
        <v>0</v>
      </c>
      <c r="N315" s="731"/>
      <c r="O315" s="912"/>
      <c r="P315" s="785"/>
      <c r="Q315" s="785"/>
      <c r="R315" s="972">
        <v>0</v>
      </c>
      <c r="S315" s="964">
        <f>M315-SUM(N315:R315)</f>
        <v>0</v>
      </c>
    </row>
    <row r="316" spans="1:19">
      <c r="A316" s="683" t="s">
        <v>12</v>
      </c>
      <c r="B316" s="683"/>
      <c r="C316" s="1568" t="s">
        <v>1145</v>
      </c>
      <c r="D316" s="1562">
        <f>SUM(D310:D315)</f>
        <v>0</v>
      </c>
      <c r="E316" s="1402">
        <f t="shared" ref="E316:J316" si="72">SUM(E310:E315)</f>
        <v>0</v>
      </c>
      <c r="F316" s="968">
        <f t="shared" si="72"/>
        <v>0</v>
      </c>
      <c r="G316" s="968">
        <f t="shared" si="72"/>
        <v>0</v>
      </c>
      <c r="H316" s="968">
        <f t="shared" si="72"/>
        <v>0</v>
      </c>
      <c r="I316" s="969">
        <f>SUM(I310:I315)</f>
        <v>0</v>
      </c>
      <c r="J316" s="1562">
        <f t="shared" si="72"/>
        <v>0</v>
      </c>
      <c r="L316" s="1568" t="s">
        <v>1145</v>
      </c>
      <c r="M316" s="1562">
        <f>SUM(M310:M315)</f>
        <v>0</v>
      </c>
      <c r="N316" s="1402">
        <f t="shared" ref="N316:S316" si="73">SUM(N310:N315)</f>
        <v>0</v>
      </c>
      <c r="O316" s="968">
        <f t="shared" si="73"/>
        <v>0</v>
      </c>
      <c r="P316" s="968">
        <f t="shared" si="73"/>
        <v>0</v>
      </c>
      <c r="Q316" s="968">
        <f t="shared" si="73"/>
        <v>0</v>
      </c>
      <c r="R316" s="969">
        <f t="shared" si="73"/>
        <v>0</v>
      </c>
      <c r="S316" s="1562">
        <f t="shared" si="73"/>
        <v>0</v>
      </c>
    </row>
    <row r="317" spans="1:19">
      <c r="A317" s="708"/>
      <c r="B317" s="708"/>
      <c r="O317" s="686"/>
    </row>
    <row r="318" spans="1:19">
      <c r="A318" s="683">
        <v>2017</v>
      </c>
      <c r="B318" s="683"/>
      <c r="C318" s="1394" t="s">
        <v>1146</v>
      </c>
      <c r="D318" s="1423">
        <v>0</v>
      </c>
      <c r="E318" s="1405">
        <v>0</v>
      </c>
      <c r="F318" s="1406">
        <v>0</v>
      </c>
      <c r="G318" s="1419">
        <v>0</v>
      </c>
      <c r="H318" s="1419">
        <v>0</v>
      </c>
      <c r="I318" s="1420">
        <v>0</v>
      </c>
      <c r="J318" s="1395">
        <f>D318-SUM(E318:I318)</f>
        <v>0</v>
      </c>
      <c r="L318" s="1394" t="s">
        <v>1146</v>
      </c>
      <c r="M318" s="1420">
        <v>0</v>
      </c>
      <c r="N318" s="1405">
        <v>0</v>
      </c>
      <c r="O318" s="1406">
        <v>0</v>
      </c>
      <c r="P318" s="1419">
        <v>0</v>
      </c>
      <c r="Q318" s="1419">
        <v>0</v>
      </c>
      <c r="R318" s="1420">
        <v>0</v>
      </c>
      <c r="S318" s="1395">
        <f>M318-SUM(N318:R318)</f>
        <v>0</v>
      </c>
    </row>
    <row r="319" spans="1:19">
      <c r="A319" s="683">
        <v>2018</v>
      </c>
      <c r="B319" s="683"/>
      <c r="C319" s="695" t="s">
        <v>1147</v>
      </c>
      <c r="D319" s="727">
        <v>0</v>
      </c>
      <c r="E319" s="710">
        <v>0</v>
      </c>
      <c r="F319" s="963">
        <v>0</v>
      </c>
      <c r="G319" s="971">
        <v>0</v>
      </c>
      <c r="H319" s="971">
        <v>0</v>
      </c>
      <c r="I319" s="972">
        <v>0</v>
      </c>
      <c r="J319" s="964">
        <f>D319-SUM(E319:I319)</f>
        <v>0</v>
      </c>
      <c r="L319" s="695" t="s">
        <v>1147</v>
      </c>
      <c r="M319" s="972">
        <v>0</v>
      </c>
      <c r="N319" s="710">
        <v>0</v>
      </c>
      <c r="O319" s="963">
        <v>0</v>
      </c>
      <c r="P319" s="971">
        <v>0</v>
      </c>
      <c r="Q319" s="971">
        <v>0</v>
      </c>
      <c r="R319" s="972">
        <v>0</v>
      </c>
      <c r="S319" s="964">
        <f>M319-SUM(N319:R319)</f>
        <v>0</v>
      </c>
    </row>
    <row r="320" spans="1:19">
      <c r="A320" s="683">
        <v>2019</v>
      </c>
      <c r="B320" s="683"/>
      <c r="C320" s="695" t="s">
        <v>1148</v>
      </c>
      <c r="D320" s="728">
        <v>0</v>
      </c>
      <c r="E320" s="710">
        <v>0</v>
      </c>
      <c r="F320" s="711">
        <v>0</v>
      </c>
      <c r="G320" s="729">
        <v>0</v>
      </c>
      <c r="H320" s="729">
        <v>0</v>
      </c>
      <c r="I320" s="730">
        <v>0</v>
      </c>
      <c r="J320" s="706">
        <f>D320-SUM(E320:I320)</f>
        <v>0</v>
      </c>
      <c r="L320" s="695" t="s">
        <v>1148</v>
      </c>
      <c r="M320" s="730">
        <v>0</v>
      </c>
      <c r="N320" s="710">
        <v>0</v>
      </c>
      <c r="O320" s="711">
        <v>0</v>
      </c>
      <c r="P320" s="729">
        <v>0</v>
      </c>
      <c r="Q320" s="729">
        <v>0</v>
      </c>
      <c r="R320" s="730">
        <v>0</v>
      </c>
      <c r="S320" s="706">
        <f>M320-SUM(N320:R320)</f>
        <v>0</v>
      </c>
    </row>
    <row r="321" spans="1:19">
      <c r="A321" s="683" t="s">
        <v>127</v>
      </c>
      <c r="B321" s="683"/>
      <c r="C321" s="1558" t="s">
        <v>1149</v>
      </c>
      <c r="D321" s="1559">
        <f>SUM(D318:D320)</f>
        <v>0</v>
      </c>
      <c r="E321" s="1408">
        <f t="shared" ref="E321:J321" si="74">SUM(E318:E320)</f>
        <v>0</v>
      </c>
      <c r="F321" s="700">
        <f t="shared" si="74"/>
        <v>0</v>
      </c>
      <c r="G321" s="700">
        <f t="shared" si="74"/>
        <v>0</v>
      </c>
      <c r="H321" s="700">
        <f t="shared" si="74"/>
        <v>0</v>
      </c>
      <c r="I321" s="713">
        <f t="shared" si="74"/>
        <v>0</v>
      </c>
      <c r="J321" s="1559">
        <f t="shared" si="74"/>
        <v>0</v>
      </c>
      <c r="L321" s="1558" t="s">
        <v>1149</v>
      </c>
      <c r="M321" s="1559">
        <f t="shared" ref="M321:S321" si="75">SUM(M318:M320)</f>
        <v>0</v>
      </c>
      <c r="N321" s="1408">
        <f t="shared" si="75"/>
        <v>0</v>
      </c>
      <c r="O321" s="700">
        <f t="shared" si="75"/>
        <v>0</v>
      </c>
      <c r="P321" s="700">
        <f t="shared" si="75"/>
        <v>0</v>
      </c>
      <c r="Q321" s="700">
        <f t="shared" si="75"/>
        <v>0</v>
      </c>
      <c r="R321" s="713">
        <f t="shared" si="75"/>
        <v>0</v>
      </c>
      <c r="S321" s="1559">
        <f t="shared" si="75"/>
        <v>0</v>
      </c>
    </row>
    <row r="322" spans="1:19">
      <c r="A322" s="683" t="s">
        <v>1046</v>
      </c>
      <c r="B322" s="683"/>
      <c r="C322" s="1401"/>
      <c r="D322" s="1401"/>
      <c r="E322" s="1401"/>
      <c r="F322" s="1401"/>
      <c r="G322" s="1401"/>
      <c r="H322" s="1401"/>
      <c r="I322" s="1401"/>
      <c r="J322" s="1401"/>
      <c r="L322" s="1401"/>
      <c r="M322" s="1401"/>
      <c r="N322" s="1401"/>
      <c r="O322" s="1401"/>
      <c r="P322" s="1401"/>
      <c r="Q322" s="1401"/>
      <c r="R322" s="1401"/>
      <c r="S322" s="1401"/>
    </row>
    <row r="323" spans="1:19">
      <c r="A323" s="683" t="s">
        <v>1047</v>
      </c>
      <c r="B323" s="683"/>
      <c r="C323" s="695" t="s">
        <v>1150</v>
      </c>
      <c r="D323" s="964">
        <f t="array" ref="D323:D326">TRANSPOSE('ERT MET'!C71:F71)</f>
        <v>0</v>
      </c>
      <c r="E323" s="1405">
        <v>0</v>
      </c>
      <c r="F323" s="963">
        <v>0</v>
      </c>
      <c r="G323" s="971">
        <v>0</v>
      </c>
      <c r="H323" s="971">
        <v>0</v>
      </c>
      <c r="I323" s="734"/>
      <c r="J323" s="698"/>
      <c r="L323" s="695" t="s">
        <v>1150</v>
      </c>
      <c r="M323" s="964">
        <f t="array" ref="M323:M326">TRANSPOSE('TRM MET'!C71:F71)</f>
        <v>0</v>
      </c>
      <c r="N323" s="1405">
        <v>0</v>
      </c>
      <c r="O323" s="963">
        <v>0</v>
      </c>
      <c r="P323" s="971">
        <v>0</v>
      </c>
      <c r="Q323" s="971">
        <v>0</v>
      </c>
      <c r="R323" s="786"/>
      <c r="S323" s="698"/>
    </row>
    <row r="324" spans="1:19">
      <c r="A324" s="683">
        <v>2022</v>
      </c>
      <c r="B324" s="683"/>
      <c r="C324" s="695" t="s">
        <v>1151</v>
      </c>
      <c r="D324" s="964">
        <v>0</v>
      </c>
      <c r="E324" s="722"/>
      <c r="F324" s="909"/>
      <c r="G324" s="971">
        <v>0</v>
      </c>
      <c r="H324" s="971">
        <v>0</v>
      </c>
      <c r="I324" s="972">
        <v>0</v>
      </c>
      <c r="J324" s="698"/>
      <c r="L324" s="695" t="s">
        <v>1151</v>
      </c>
      <c r="M324" s="964">
        <v>0</v>
      </c>
      <c r="N324" s="722"/>
      <c r="O324" s="909"/>
      <c r="P324" s="971">
        <v>0</v>
      </c>
      <c r="Q324" s="971">
        <v>0</v>
      </c>
      <c r="R324" s="972">
        <v>0</v>
      </c>
      <c r="S324" s="698"/>
    </row>
    <row r="325" spans="1:19">
      <c r="A325" s="683">
        <v>2023</v>
      </c>
      <c r="B325" s="683"/>
      <c r="C325" s="695" t="s">
        <v>1152</v>
      </c>
      <c r="D325" s="964">
        <v>0</v>
      </c>
      <c r="E325" s="722"/>
      <c r="F325" s="909"/>
      <c r="G325" s="723"/>
      <c r="H325" s="971">
        <v>0</v>
      </c>
      <c r="I325" s="972">
        <v>0</v>
      </c>
      <c r="J325" s="964">
        <f>D325-SUM(E325:I325)</f>
        <v>0</v>
      </c>
      <c r="L325" s="695" t="s">
        <v>1152</v>
      </c>
      <c r="M325" s="964">
        <v>0</v>
      </c>
      <c r="N325" s="722"/>
      <c r="O325" s="909"/>
      <c r="P325" s="784"/>
      <c r="Q325" s="971">
        <v>0</v>
      </c>
      <c r="R325" s="972">
        <v>0</v>
      </c>
      <c r="S325" s="964">
        <f>M325-SUM(N325:R325)</f>
        <v>0</v>
      </c>
    </row>
    <row r="326" spans="1:19">
      <c r="A326" s="683">
        <v>2024</v>
      </c>
      <c r="B326" s="683"/>
      <c r="C326" s="705" t="s">
        <v>1153</v>
      </c>
      <c r="D326" s="706">
        <v>0</v>
      </c>
      <c r="E326" s="731"/>
      <c r="F326" s="912"/>
      <c r="G326" s="732"/>
      <c r="H326" s="732"/>
      <c r="I326" s="972">
        <v>0</v>
      </c>
      <c r="J326" s="964">
        <f>D326-SUM(E326:I326)</f>
        <v>0</v>
      </c>
      <c r="L326" s="705" t="s">
        <v>1153</v>
      </c>
      <c r="M326" s="706">
        <v>0</v>
      </c>
      <c r="N326" s="731"/>
      <c r="O326" s="912"/>
      <c r="P326" s="785"/>
      <c r="Q326" s="785"/>
      <c r="R326" s="972">
        <v>0</v>
      </c>
      <c r="S326" s="964">
        <f>M326-SUM(N326:R326)</f>
        <v>0</v>
      </c>
    </row>
    <row r="327" spans="1:19">
      <c r="A327" s="683" t="s">
        <v>12</v>
      </c>
      <c r="B327" s="683"/>
      <c r="C327" s="1568" t="s">
        <v>1154</v>
      </c>
      <c r="D327" s="1562">
        <f>SUM(D321:D326)</f>
        <v>0</v>
      </c>
      <c r="E327" s="1402">
        <f t="shared" ref="E327:J327" si="76">SUM(E321:E326)</f>
        <v>0</v>
      </c>
      <c r="F327" s="968">
        <f t="shared" si="76"/>
        <v>0</v>
      </c>
      <c r="G327" s="968">
        <f t="shared" si="76"/>
        <v>0</v>
      </c>
      <c r="H327" s="968">
        <f t="shared" si="76"/>
        <v>0</v>
      </c>
      <c r="I327" s="969">
        <f t="shared" si="76"/>
        <v>0</v>
      </c>
      <c r="J327" s="1562">
        <f t="shared" si="76"/>
        <v>0</v>
      </c>
      <c r="L327" s="1568" t="s">
        <v>1154</v>
      </c>
      <c r="M327" s="1562">
        <f t="shared" ref="M327:S327" si="77">SUM(M321:M326)</f>
        <v>0</v>
      </c>
      <c r="N327" s="1402">
        <f t="shared" si="77"/>
        <v>0</v>
      </c>
      <c r="O327" s="968">
        <f t="shared" si="77"/>
        <v>0</v>
      </c>
      <c r="P327" s="968">
        <f t="shared" si="77"/>
        <v>0</v>
      </c>
      <c r="Q327" s="968">
        <f t="shared" si="77"/>
        <v>0</v>
      </c>
      <c r="R327" s="969">
        <f t="shared" si="77"/>
        <v>0</v>
      </c>
      <c r="S327" s="1562">
        <f t="shared" si="77"/>
        <v>0</v>
      </c>
    </row>
    <row r="328" spans="1:19">
      <c r="A328" s="708"/>
      <c r="B328" s="708"/>
      <c r="O328" s="686"/>
    </row>
    <row r="329" spans="1:19">
      <c r="A329" s="683">
        <v>2017</v>
      </c>
      <c r="B329" s="683"/>
      <c r="C329" s="1394" t="s">
        <v>1155</v>
      </c>
      <c r="D329" s="1400"/>
      <c r="E329" s="1424"/>
      <c r="F329" s="1398"/>
      <c r="G329" s="1398"/>
      <c r="H329" s="1398"/>
      <c r="I329" s="1399"/>
      <c r="J329" s="1400"/>
      <c r="L329" s="1394" t="s">
        <v>1155</v>
      </c>
      <c r="M329" s="1420">
        <v>0</v>
      </c>
      <c r="N329" s="1396">
        <v>0</v>
      </c>
      <c r="O329" s="1425">
        <v>0</v>
      </c>
      <c r="P329" s="1419">
        <v>0</v>
      </c>
      <c r="Q329" s="1419">
        <v>0</v>
      </c>
      <c r="R329" s="1420">
        <v>0</v>
      </c>
      <c r="S329" s="1426">
        <f>M329-SUM(N329:R329)</f>
        <v>0</v>
      </c>
    </row>
    <row r="330" spans="1:19">
      <c r="A330" s="683">
        <v>2018</v>
      </c>
      <c r="B330" s="683"/>
      <c r="C330" s="695" t="s">
        <v>1156</v>
      </c>
      <c r="D330" s="698"/>
      <c r="E330" s="722"/>
      <c r="F330" s="909"/>
      <c r="G330" s="909"/>
      <c r="H330" s="909"/>
      <c r="I330" s="913"/>
      <c r="J330" s="698"/>
      <c r="L330" s="695" t="s">
        <v>1156</v>
      </c>
      <c r="M330" s="972">
        <v>0</v>
      </c>
      <c r="N330" s="758">
        <v>0</v>
      </c>
      <c r="O330" s="697">
        <v>0</v>
      </c>
      <c r="P330" s="971">
        <v>0</v>
      </c>
      <c r="Q330" s="971">
        <v>0</v>
      </c>
      <c r="R330" s="972">
        <v>0</v>
      </c>
      <c r="S330" s="759">
        <f>M330-SUM(N330:R330)</f>
        <v>0</v>
      </c>
    </row>
    <row r="331" spans="1:19">
      <c r="A331" s="683">
        <v>2019</v>
      </c>
      <c r="B331" s="683"/>
      <c r="C331" s="695" t="s">
        <v>1157</v>
      </c>
      <c r="D331" s="698"/>
      <c r="E331" s="722"/>
      <c r="F331" s="909"/>
      <c r="G331" s="909"/>
      <c r="H331" s="909"/>
      <c r="I331" s="910"/>
      <c r="J331" s="698"/>
      <c r="L331" s="695" t="s">
        <v>1157</v>
      </c>
      <c r="M331" s="730">
        <v>0</v>
      </c>
      <c r="N331" s="758">
        <v>0</v>
      </c>
      <c r="O331" s="697">
        <v>0</v>
      </c>
      <c r="P331" s="729">
        <v>0</v>
      </c>
      <c r="Q331" s="729">
        <v>0</v>
      </c>
      <c r="R331" s="730">
        <v>0</v>
      </c>
      <c r="S331" s="759">
        <f>M331-SUM(N331:R331)</f>
        <v>0</v>
      </c>
    </row>
    <row r="332" spans="1:19">
      <c r="A332" s="683" t="s">
        <v>127</v>
      </c>
      <c r="B332" s="683"/>
      <c r="C332" s="1558" t="s">
        <v>1158</v>
      </c>
      <c r="D332" s="1560"/>
      <c r="E332" s="736"/>
      <c r="F332" s="701"/>
      <c r="G332" s="701"/>
      <c r="H332" s="701"/>
      <c r="I332" s="702"/>
      <c r="J332" s="1560"/>
      <c r="L332" s="1558" t="s">
        <v>1158</v>
      </c>
      <c r="M332" s="1565">
        <f t="shared" ref="M332:R332" si="78">SUM(M329:M331)</f>
        <v>0</v>
      </c>
      <c r="N332" s="760">
        <f>SUM(N329:N331)</f>
        <v>0</v>
      </c>
      <c r="O332" s="761">
        <f t="shared" si="78"/>
        <v>0</v>
      </c>
      <c r="P332" s="761">
        <f t="shared" si="78"/>
        <v>0</v>
      </c>
      <c r="Q332" s="761">
        <f>SUM(Q329:Q331)</f>
        <v>0</v>
      </c>
      <c r="R332" s="762">
        <f t="shared" si="78"/>
        <v>0</v>
      </c>
      <c r="S332" s="1565">
        <f>SUM(S329:S331)</f>
        <v>0</v>
      </c>
    </row>
    <row r="333" spans="1:19">
      <c r="A333" s="683" t="s">
        <v>1046</v>
      </c>
      <c r="B333" s="683"/>
      <c r="C333" s="1401"/>
      <c r="D333" s="1401"/>
      <c r="E333" s="1401"/>
      <c r="F333" s="1401"/>
      <c r="G333" s="1401"/>
      <c r="H333" s="1401"/>
      <c r="I333" s="1401"/>
      <c r="J333" s="1401"/>
      <c r="L333" s="1401"/>
      <c r="M333" s="1401"/>
      <c r="N333" s="1401"/>
      <c r="O333" s="1401"/>
      <c r="P333" s="1401"/>
      <c r="Q333" s="1401"/>
      <c r="R333" s="1401"/>
      <c r="S333" s="1401"/>
    </row>
    <row r="334" spans="1:19">
      <c r="A334" s="683" t="s">
        <v>1047</v>
      </c>
      <c r="B334" s="683"/>
      <c r="C334" s="695" t="s">
        <v>1159</v>
      </c>
      <c r="D334" s="737"/>
      <c r="E334" s="722"/>
      <c r="F334" s="909"/>
      <c r="G334" s="909"/>
      <c r="H334" s="909"/>
      <c r="I334" s="913"/>
      <c r="J334" s="698"/>
      <c r="L334" s="695" t="s">
        <v>1159</v>
      </c>
      <c r="M334" s="764">
        <f t="array" ref="M334:M337">TRANSPOSE('TRM MET'!C72:F72)</f>
        <v>0</v>
      </c>
      <c r="N334" s="758">
        <v>0</v>
      </c>
      <c r="O334" s="697">
        <v>0</v>
      </c>
      <c r="P334" s="763">
        <v>0</v>
      </c>
      <c r="Q334" s="763">
        <v>0</v>
      </c>
      <c r="R334" s="913"/>
      <c r="S334" s="698"/>
    </row>
    <row r="335" spans="1:19">
      <c r="A335" s="683">
        <v>2022</v>
      </c>
      <c r="B335" s="683"/>
      <c r="C335" s="695" t="s">
        <v>1160</v>
      </c>
      <c r="D335" s="737"/>
      <c r="E335" s="722"/>
      <c r="F335" s="909"/>
      <c r="G335" s="909"/>
      <c r="H335" s="909"/>
      <c r="I335" s="909"/>
      <c r="J335" s="698"/>
      <c r="L335" s="695" t="s">
        <v>1160</v>
      </c>
      <c r="M335" s="764">
        <v>0</v>
      </c>
      <c r="N335" s="722"/>
      <c r="O335" s="909"/>
      <c r="P335" s="763">
        <v>0</v>
      </c>
      <c r="Q335" s="763">
        <v>0</v>
      </c>
      <c r="R335" s="763">
        <v>0</v>
      </c>
      <c r="S335" s="698"/>
    </row>
    <row r="336" spans="1:19">
      <c r="A336" s="683">
        <v>2023</v>
      </c>
      <c r="B336" s="683"/>
      <c r="C336" s="695" t="s">
        <v>1161</v>
      </c>
      <c r="D336" s="737"/>
      <c r="E336" s="722"/>
      <c r="F336" s="909"/>
      <c r="G336" s="909"/>
      <c r="H336" s="909"/>
      <c r="I336" s="909"/>
      <c r="J336" s="698"/>
      <c r="L336" s="695" t="s">
        <v>1161</v>
      </c>
      <c r="M336" s="764">
        <v>0</v>
      </c>
      <c r="N336" s="722"/>
      <c r="O336" s="909"/>
      <c r="P336" s="909"/>
      <c r="Q336" s="763">
        <v>0</v>
      </c>
      <c r="R336" s="763">
        <v>0</v>
      </c>
      <c r="S336" s="759">
        <f>M336-SUM(N336:R336)</f>
        <v>0</v>
      </c>
    </row>
    <row r="337" spans="1:19">
      <c r="A337" s="683">
        <v>2024</v>
      </c>
      <c r="B337" s="683"/>
      <c r="C337" s="705" t="s">
        <v>1162</v>
      </c>
      <c r="D337" s="738"/>
      <c r="E337" s="731"/>
      <c r="F337" s="912"/>
      <c r="G337" s="912"/>
      <c r="H337" s="912"/>
      <c r="I337" s="912"/>
      <c r="J337" s="718"/>
      <c r="L337" s="705" t="s">
        <v>1162</v>
      </c>
      <c r="M337" s="765">
        <v>0</v>
      </c>
      <c r="N337" s="731"/>
      <c r="O337" s="912"/>
      <c r="P337" s="912"/>
      <c r="Q337" s="912"/>
      <c r="R337" s="768">
        <v>0</v>
      </c>
      <c r="S337" s="769">
        <f>M337-SUM(N337:R337)</f>
        <v>0</v>
      </c>
    </row>
    <row r="338" spans="1:19">
      <c r="A338" s="683" t="s">
        <v>12</v>
      </c>
      <c r="B338" s="683"/>
      <c r="C338" s="1568" t="s">
        <v>1163</v>
      </c>
      <c r="D338" s="1563"/>
      <c r="E338" s="1414"/>
      <c r="F338" s="915"/>
      <c r="G338" s="915"/>
      <c r="H338" s="915"/>
      <c r="I338" s="917"/>
      <c r="J338" s="1563"/>
      <c r="L338" s="1568" t="s">
        <v>1163</v>
      </c>
      <c r="M338" s="1566">
        <f t="shared" ref="M338:S338" si="79">SUM(M332:M337)</f>
        <v>0</v>
      </c>
      <c r="N338" s="1427">
        <f t="shared" si="79"/>
        <v>0</v>
      </c>
      <c r="O338" s="770">
        <f t="shared" si="79"/>
        <v>0</v>
      </c>
      <c r="P338" s="770">
        <f t="shared" si="79"/>
        <v>0</v>
      </c>
      <c r="Q338" s="770">
        <f t="shared" si="79"/>
        <v>0</v>
      </c>
      <c r="R338" s="771">
        <f t="shared" si="79"/>
        <v>0</v>
      </c>
      <c r="S338" s="1566">
        <f t="shared" si="79"/>
        <v>0</v>
      </c>
    </row>
    <row r="339" spans="1:19">
      <c r="A339" s="708"/>
      <c r="B339" s="708"/>
      <c r="O339" s="686"/>
    </row>
    <row r="340" spans="1:19">
      <c r="A340" s="683" t="s">
        <v>1046</v>
      </c>
      <c r="B340" s="683"/>
      <c r="C340" s="1401"/>
      <c r="D340" s="1401"/>
      <c r="E340" s="1401"/>
      <c r="F340" s="1401"/>
      <c r="G340" s="1401"/>
      <c r="H340" s="1401"/>
      <c r="I340" s="1401"/>
      <c r="J340" s="1401"/>
      <c r="L340" s="1413"/>
      <c r="M340" s="1413"/>
      <c r="N340" s="1413"/>
      <c r="O340" s="1413"/>
      <c r="P340" s="1413"/>
      <c r="Q340" s="1413"/>
      <c r="R340" s="1413"/>
      <c r="S340" s="1413"/>
    </row>
    <row r="341" spans="1:19">
      <c r="A341" s="683" t="s">
        <v>1047</v>
      </c>
      <c r="B341" s="683"/>
      <c r="C341" s="695" t="s">
        <v>1164</v>
      </c>
      <c r="D341" s="976">
        <f t="array" ref="D341:D344">TRANSPOSE('ERT MET'!C63:F63)</f>
        <v>7715.4179163641829</v>
      </c>
      <c r="E341" s="722"/>
      <c r="F341" s="909"/>
      <c r="G341" s="723"/>
      <c r="H341" s="971">
        <f>$D341/'UR Control'!$C$204</f>
        <v>1102.2025594805975</v>
      </c>
      <c r="I341" s="972">
        <f>$D341/'UR Control'!$C$204</f>
        <v>1102.2025594805975</v>
      </c>
      <c r="J341" s="964">
        <f>D341-SUM(E341:I341)</f>
        <v>5511.0127974029874</v>
      </c>
      <c r="L341" s="695" t="s">
        <v>1164</v>
      </c>
      <c r="M341" s="976">
        <f t="array" ref="M341:M344">TRANSPOSE('TRM MET'!C63:F63)</f>
        <v>2072.9620929476791</v>
      </c>
      <c r="N341" s="722"/>
      <c r="O341" s="909"/>
      <c r="P341" s="723"/>
      <c r="Q341" s="971">
        <f>$M341/'UR Control'!$C$204</f>
        <v>296.13744184966845</v>
      </c>
      <c r="R341" s="972">
        <f>$M341/'UR Control'!$C$204</f>
        <v>296.13744184966845</v>
      </c>
      <c r="S341" s="964">
        <f>M341-SUM(N341:R341)</f>
        <v>1480.6872092483422</v>
      </c>
    </row>
    <row r="342" spans="1:19">
      <c r="A342" s="683">
        <v>2022</v>
      </c>
      <c r="B342" s="683"/>
      <c r="C342" s="695" t="s">
        <v>1165</v>
      </c>
      <c r="D342" s="964">
        <v>0</v>
      </c>
      <c r="E342" s="696"/>
      <c r="F342" s="703"/>
      <c r="G342" s="739"/>
      <c r="H342" s="740">
        <v>0</v>
      </c>
      <c r="I342" s="741">
        <v>0</v>
      </c>
      <c r="J342" s="742">
        <f>D342-SUM(E342:I342)</f>
        <v>0</v>
      </c>
      <c r="L342" s="695" t="s">
        <v>1165</v>
      </c>
      <c r="M342" s="964">
        <v>0</v>
      </c>
      <c r="N342" s="696"/>
      <c r="O342" s="703"/>
      <c r="P342" s="739"/>
      <c r="Q342" s="971">
        <v>0</v>
      </c>
      <c r="R342" s="972">
        <v>0</v>
      </c>
      <c r="S342" s="964">
        <f>M342-SUM(N342:R342)</f>
        <v>0</v>
      </c>
    </row>
    <row r="343" spans="1:19">
      <c r="A343" s="683">
        <v>2023</v>
      </c>
      <c r="B343" s="683"/>
      <c r="C343" s="695" t="s">
        <v>1166</v>
      </c>
      <c r="D343" s="964">
        <v>0</v>
      </c>
      <c r="E343" s="696"/>
      <c r="F343" s="703"/>
      <c r="G343" s="739"/>
      <c r="H343" s="739"/>
      <c r="I343" s="741">
        <v>0</v>
      </c>
      <c r="J343" s="742">
        <f>D343-SUM(E343:I343)</f>
        <v>0</v>
      </c>
      <c r="L343" s="695" t="s">
        <v>1166</v>
      </c>
      <c r="M343" s="964">
        <v>0</v>
      </c>
      <c r="N343" s="696"/>
      <c r="O343" s="703"/>
      <c r="P343" s="739"/>
      <c r="Q343" s="739"/>
      <c r="R343" s="972">
        <v>0</v>
      </c>
      <c r="S343" s="964">
        <f>M343-SUM(N343:R343)</f>
        <v>0</v>
      </c>
    </row>
    <row r="344" spans="1:19">
      <c r="A344" s="683">
        <v>2024</v>
      </c>
      <c r="B344" s="683"/>
      <c r="C344" s="705" t="s">
        <v>1167</v>
      </c>
      <c r="D344" s="706">
        <v>0</v>
      </c>
      <c r="E344" s="707"/>
      <c r="F344" s="911"/>
      <c r="G344" s="743"/>
      <c r="H344" s="743"/>
      <c r="I344" s="743"/>
      <c r="J344" s="742">
        <f>D344-SUM(E344:I344)</f>
        <v>0</v>
      </c>
      <c r="L344" s="705" t="s">
        <v>1167</v>
      </c>
      <c r="M344" s="706">
        <v>0</v>
      </c>
      <c r="N344" s="707"/>
      <c r="O344" s="911"/>
      <c r="P344" s="743"/>
      <c r="Q344" s="743"/>
      <c r="R344" s="743"/>
      <c r="S344" s="964">
        <f>M344-SUM(N344:R344)</f>
        <v>0</v>
      </c>
    </row>
    <row r="345" spans="1:19">
      <c r="A345" s="683" t="s">
        <v>12</v>
      </c>
      <c r="B345" s="683"/>
      <c r="C345" s="1561" t="s">
        <v>1168</v>
      </c>
      <c r="D345" s="1562">
        <f>SUM(D340:D344)</f>
        <v>7715.4179163641829</v>
      </c>
      <c r="E345" s="1402">
        <f t="shared" ref="E345:J345" si="80">SUM(E340:E344)</f>
        <v>0</v>
      </c>
      <c r="F345" s="968">
        <f t="shared" si="80"/>
        <v>0</v>
      </c>
      <c r="G345" s="968">
        <f t="shared" si="80"/>
        <v>0</v>
      </c>
      <c r="H345" s="968">
        <f t="shared" si="80"/>
        <v>1102.2025594805975</v>
      </c>
      <c r="I345" s="969">
        <f t="shared" si="80"/>
        <v>1102.2025594805975</v>
      </c>
      <c r="J345" s="1562">
        <f t="shared" si="80"/>
        <v>5511.0127974029874</v>
      </c>
      <c r="L345" s="1561" t="s">
        <v>1168</v>
      </c>
      <c r="M345" s="1562">
        <f>SUM(M340:M344)</f>
        <v>2072.9620929476791</v>
      </c>
      <c r="N345" s="1402">
        <f t="shared" ref="N345:S345" si="81">SUM(N340:N344)</f>
        <v>0</v>
      </c>
      <c r="O345" s="968">
        <f t="shared" si="81"/>
        <v>0</v>
      </c>
      <c r="P345" s="968">
        <f t="shared" si="81"/>
        <v>0</v>
      </c>
      <c r="Q345" s="968">
        <f t="shared" si="81"/>
        <v>296.13744184966845</v>
      </c>
      <c r="R345" s="969">
        <f t="shared" si="81"/>
        <v>296.13744184966845</v>
      </c>
      <c r="S345" s="1562">
        <f t="shared" si="81"/>
        <v>1480.6872092483422</v>
      </c>
    </row>
    <row r="346" spans="1:19">
      <c r="B346" s="683"/>
      <c r="O346" s="686"/>
    </row>
    <row r="347" spans="1:19">
      <c r="A347" s="683" t="s">
        <v>1046</v>
      </c>
      <c r="B347" s="683"/>
      <c r="C347" s="1401"/>
      <c r="D347" s="1401"/>
      <c r="E347" s="1401"/>
      <c r="F347" s="1401"/>
      <c r="G347" s="1401"/>
      <c r="H347" s="1401"/>
      <c r="I347" s="1401"/>
      <c r="J347" s="1401"/>
      <c r="L347" s="1413"/>
      <c r="M347" s="1413"/>
      <c r="N347" s="1413"/>
      <c r="O347" s="1413"/>
      <c r="P347" s="1413"/>
      <c r="Q347" s="1413"/>
      <c r="R347" s="1413"/>
      <c r="S347" s="1413"/>
    </row>
    <row r="348" spans="1:19">
      <c r="A348" s="683" t="s">
        <v>1047</v>
      </c>
      <c r="B348" s="683"/>
      <c r="C348" s="695" t="s">
        <v>1169</v>
      </c>
      <c r="D348" s="737"/>
      <c r="E348" s="722"/>
      <c r="F348" s="909"/>
      <c r="G348" s="909"/>
      <c r="H348" s="909"/>
      <c r="I348" s="913"/>
      <c r="J348" s="698"/>
      <c r="L348" s="695" t="s">
        <v>1169</v>
      </c>
      <c r="M348" s="772"/>
      <c r="N348" s="721"/>
      <c r="O348" s="959"/>
      <c r="P348" s="909"/>
      <c r="Q348" s="909"/>
      <c r="R348" s="913"/>
      <c r="S348" s="698"/>
    </row>
    <row r="349" spans="1:19">
      <c r="A349" s="683">
        <v>2022</v>
      </c>
      <c r="B349" s="683"/>
      <c r="C349" s="695" t="s">
        <v>1170</v>
      </c>
      <c r="D349" s="737"/>
      <c r="E349" s="722"/>
      <c r="F349" s="909"/>
      <c r="G349" s="909"/>
      <c r="H349" s="909"/>
      <c r="I349" s="909"/>
      <c r="J349" s="698"/>
      <c r="L349" s="695" t="s">
        <v>1170</v>
      </c>
      <c r="M349" s="772"/>
      <c r="N349" s="722"/>
      <c r="O349" s="909"/>
      <c r="P349" s="959"/>
      <c r="Q349" s="909"/>
      <c r="R349" s="909"/>
      <c r="S349" s="698"/>
    </row>
    <row r="350" spans="1:19">
      <c r="A350" s="683">
        <v>2023</v>
      </c>
      <c r="B350" s="683"/>
      <c r="C350" s="695" t="s">
        <v>1171</v>
      </c>
      <c r="D350" s="737"/>
      <c r="E350" s="722"/>
      <c r="F350" s="909"/>
      <c r="G350" s="909"/>
      <c r="H350" s="909"/>
      <c r="I350" s="909"/>
      <c r="J350" s="698"/>
      <c r="L350" s="695" t="s">
        <v>1171</v>
      </c>
      <c r="M350" s="772"/>
      <c r="N350" s="722"/>
      <c r="O350" s="909"/>
      <c r="P350" s="909"/>
      <c r="Q350" s="959"/>
      <c r="R350" s="909"/>
      <c r="S350" s="698"/>
    </row>
    <row r="351" spans="1:19">
      <c r="A351" s="683">
        <v>2024</v>
      </c>
      <c r="B351" s="683"/>
      <c r="C351" s="705" t="s">
        <v>1172</v>
      </c>
      <c r="D351" s="738"/>
      <c r="E351" s="731"/>
      <c r="F351" s="912"/>
      <c r="G351" s="912"/>
      <c r="H351" s="912"/>
      <c r="I351" s="912"/>
      <c r="J351" s="718"/>
      <c r="L351" s="705" t="s">
        <v>1172</v>
      </c>
      <c r="M351" s="773"/>
      <c r="N351" s="731"/>
      <c r="O351" s="912"/>
      <c r="P351" s="912"/>
      <c r="Q351" s="912"/>
      <c r="R351" s="767"/>
      <c r="S351" s="718"/>
    </row>
    <row r="352" spans="1:19">
      <c r="A352" s="683" t="s">
        <v>12</v>
      </c>
      <c r="B352" s="683"/>
      <c r="C352" s="1561" t="s">
        <v>1173</v>
      </c>
      <c r="D352" s="1563"/>
      <c r="E352" s="1414"/>
      <c r="F352" s="915"/>
      <c r="G352" s="915"/>
      <c r="H352" s="915"/>
      <c r="I352" s="917"/>
      <c r="J352" s="1563"/>
      <c r="L352" s="1561" t="s">
        <v>1173</v>
      </c>
      <c r="M352" s="1567"/>
      <c r="N352" s="1428"/>
      <c r="O352" s="970"/>
      <c r="P352" s="970"/>
      <c r="Q352" s="970"/>
      <c r="R352" s="774"/>
      <c r="S352" s="1563"/>
    </row>
    <row r="353" spans="1:26">
      <c r="B353" s="683"/>
      <c r="C353" s="1429"/>
      <c r="D353" s="1429"/>
      <c r="E353" s="1429"/>
      <c r="F353" s="1430"/>
      <c r="G353" s="1429"/>
      <c r="H353" s="1429"/>
      <c r="I353" s="1429"/>
      <c r="J353" s="1429"/>
      <c r="L353" s="1429"/>
      <c r="M353" s="1429"/>
      <c r="N353" s="1429"/>
      <c r="O353" s="1430"/>
      <c r="P353" s="1429"/>
      <c r="Q353" s="1429"/>
      <c r="R353" s="1429"/>
      <c r="S353" s="1429"/>
    </row>
    <row r="354" spans="1:26">
      <c r="B354" s="683"/>
      <c r="O354" s="686"/>
    </row>
    <row r="355" spans="1:26">
      <c r="B355" s="683"/>
      <c r="C355" s="1568" t="s">
        <v>1174</v>
      </c>
      <c r="D355" s="1562">
        <f>D197+D208+D215+D222+D229+D236+D243+D250+D255+D266+D277+D294+D305+D316+D327+D338+D345+D352</f>
        <v>4661.9012935670016</v>
      </c>
      <c r="E355" s="1402">
        <f t="shared" ref="E355:J355" si="82">E197+E208+E215+E222+E229+E236+E243+E250+E255+E266+E277+E294+E305+E316+E327+E338+E345+E352</f>
        <v>-968</v>
      </c>
      <c r="F355" s="968">
        <f t="shared" si="82"/>
        <v>-974.81185847758252</v>
      </c>
      <c r="G355" s="968">
        <f t="shared" si="82"/>
        <v>-557.53985889042076</v>
      </c>
      <c r="H355" s="968">
        <f>H197+H208+H215+H222+H229+H236+H243+H250+H255+H266+H277+H294+H305+H316+H327+H338+H345+H352</f>
        <v>549.03765405141883</v>
      </c>
      <c r="I355" s="969">
        <f t="shared" si="82"/>
        <v>1102.2025594805975</v>
      </c>
      <c r="J355" s="1562">
        <f t="shared" si="82"/>
        <v>5511.0127974029874</v>
      </c>
      <c r="L355" s="1568" t="s">
        <v>1174</v>
      </c>
      <c r="M355" s="1562">
        <f>M197+M208+M215+M222+M229+M236+M243+M250+M255+M266+M277+M294+M305+M316+M327+M338+M345+M352</f>
        <v>775.00865138991639</v>
      </c>
      <c r="N355" s="1402">
        <f t="shared" ref="N355:S355" si="83">N197+N208+N215+N222+N229+N236+N243+N250+N255+N266+N277+N294+N305+N316+N327+N338+N345+N352</f>
        <v>-414.73966908159099</v>
      </c>
      <c r="O355" s="968">
        <f t="shared" si="83"/>
        <v>-387.66029801191803</v>
      </c>
      <c r="P355" s="968">
        <f t="shared" si="83"/>
        <v>-260.49973548565725</v>
      </c>
      <c r="Q355" s="968">
        <f t="shared" si="83"/>
        <v>61.083702871071921</v>
      </c>
      <c r="R355" s="969">
        <f t="shared" si="83"/>
        <v>296.13744184966845</v>
      </c>
      <c r="S355" s="1562">
        <f t="shared" si="83"/>
        <v>1480.6872092483422</v>
      </c>
    </row>
    <row r="356" spans="1:26">
      <c r="B356" s="683"/>
      <c r="D356" s="749"/>
      <c r="E356" s="749"/>
      <c r="F356" s="781"/>
      <c r="G356" s="749"/>
      <c r="H356" s="749"/>
      <c r="I356" s="749"/>
      <c r="J356" s="749"/>
    </row>
    <row r="357" spans="1:26">
      <c r="B357" s="683"/>
      <c r="C357" s="120" t="s">
        <v>1175</v>
      </c>
    </row>
    <row r="358" spans="1:26">
      <c r="B358" s="683"/>
      <c r="C358" s="120" t="s">
        <v>1176</v>
      </c>
      <c r="D358" s="744"/>
      <c r="E358" s="745"/>
      <c r="F358" s="745"/>
      <c r="G358" s="745"/>
      <c r="H358" s="745"/>
      <c r="I358" s="745"/>
      <c r="J358" s="745"/>
    </row>
    <row r="359" spans="1:26">
      <c r="B359" s="683"/>
      <c r="C359" s="747" t="s">
        <v>1177</v>
      </c>
    </row>
    <row r="361" spans="1:26" ht="17">
      <c r="A361" s="787" t="s">
        <v>105</v>
      </c>
      <c r="B361" s="787"/>
      <c r="C361" s="787"/>
      <c r="D361" s="787"/>
      <c r="E361" s="787"/>
      <c r="F361" s="787"/>
      <c r="G361" s="787"/>
      <c r="H361" s="787"/>
      <c r="I361" s="787"/>
      <c r="J361" s="787"/>
      <c r="K361" s="787"/>
      <c r="L361" s="787"/>
      <c r="M361" s="787"/>
      <c r="N361" s="787"/>
      <c r="O361" s="787"/>
      <c r="P361" s="787"/>
      <c r="Q361" s="787"/>
      <c r="R361" s="787"/>
      <c r="S361" s="787"/>
      <c r="T361" s="787"/>
      <c r="U361" s="787"/>
      <c r="V361" s="787"/>
      <c r="W361" s="787"/>
      <c r="X361" s="787"/>
      <c r="Y361" s="787"/>
      <c r="Z361" s="787"/>
    </row>
    <row r="363" spans="1:26" ht="17">
      <c r="C363" s="750" t="s">
        <v>23</v>
      </c>
      <c r="D363" s="750"/>
      <c r="E363" s="750"/>
      <c r="F363" s="750"/>
      <c r="G363" s="750"/>
      <c r="H363" s="750"/>
      <c r="I363" s="750"/>
      <c r="J363" s="750"/>
      <c r="K363" s="691"/>
      <c r="L363" s="750" t="s">
        <v>24</v>
      </c>
      <c r="M363" s="750"/>
      <c r="N363" s="750"/>
      <c r="O363" s="750"/>
      <c r="P363" s="750"/>
      <c r="Q363" s="750"/>
      <c r="R363" s="750"/>
      <c r="S363" s="750"/>
    </row>
    <row r="364" spans="1:26">
      <c r="A364" s="683" t="s">
        <v>1039</v>
      </c>
      <c r="B364" s="683"/>
      <c r="C364" s="1557" t="s">
        <v>1040</v>
      </c>
      <c r="D364" s="1392" t="s">
        <v>1041</v>
      </c>
      <c r="E364" s="692">
        <v>2020</v>
      </c>
      <c r="F364" s="693">
        <v>2021</v>
      </c>
      <c r="G364" s="693">
        <v>2022</v>
      </c>
      <c r="H364" s="693">
        <v>2023</v>
      </c>
      <c r="I364" s="694">
        <v>2024</v>
      </c>
      <c r="J364" s="1557" t="s">
        <v>1042</v>
      </c>
      <c r="L364" s="1569" t="s">
        <v>1040</v>
      </c>
      <c r="M364" s="1392" t="s">
        <v>1041</v>
      </c>
      <c r="N364" s="692">
        <v>2020</v>
      </c>
      <c r="O364" s="693">
        <v>2021</v>
      </c>
      <c r="P364" s="693">
        <v>2022</v>
      </c>
      <c r="Q364" s="693">
        <v>2023</v>
      </c>
      <c r="R364" s="694">
        <v>2024</v>
      </c>
      <c r="S364" s="1557" t="s">
        <v>1042</v>
      </c>
      <c r="T364"/>
      <c r="U364"/>
    </row>
    <row r="365" spans="1:26">
      <c r="B365" s="683"/>
      <c r="C365" s="1393"/>
      <c r="D365" s="1438"/>
      <c r="E365" s="1438"/>
      <c r="F365" s="1438"/>
      <c r="G365" s="1438"/>
      <c r="H365" s="1438"/>
      <c r="I365" s="1438"/>
      <c r="J365" s="1438"/>
      <c r="L365" s="1393"/>
      <c r="M365" s="1438"/>
      <c r="N365" s="1438"/>
      <c r="O365" s="1438"/>
      <c r="P365" s="1438"/>
      <c r="Q365" s="1438"/>
      <c r="R365" s="1438"/>
      <c r="S365" s="1438"/>
      <c r="T365"/>
      <c r="U365"/>
    </row>
    <row r="366" spans="1:26">
      <c r="A366" s="683">
        <v>2018</v>
      </c>
      <c r="B366" s="683"/>
      <c r="C366" s="1394" t="s">
        <v>1043</v>
      </c>
      <c r="D366" s="1395">
        <v>-552</v>
      </c>
      <c r="E366" s="1396">
        <f>D366</f>
        <v>-552</v>
      </c>
      <c r="F366" s="1439"/>
      <c r="G366" s="1433"/>
      <c r="H366" s="1433"/>
      <c r="I366" s="1440"/>
      <c r="J366" s="1431"/>
      <c r="L366" s="1394" t="s">
        <v>1043</v>
      </c>
      <c r="M366" s="1395">
        <v>-33.493602080878851</v>
      </c>
      <c r="N366" s="1396">
        <f>M366</f>
        <v>-33.493602080878851</v>
      </c>
      <c r="O366" s="1439"/>
      <c r="P366" s="1433"/>
      <c r="Q366" s="1433"/>
      <c r="R366" s="1440"/>
      <c r="S366" s="1431"/>
      <c r="T366"/>
      <c r="U366"/>
    </row>
    <row r="367" spans="1:26">
      <c r="A367" s="683">
        <v>2019</v>
      </c>
      <c r="B367" s="683"/>
      <c r="C367" s="695" t="s">
        <v>1044</v>
      </c>
      <c r="D367" s="964">
        <v>-653.95997709197661</v>
      </c>
      <c r="E367" s="958"/>
      <c r="F367" s="697">
        <f>D367</f>
        <v>-653.95997709197661</v>
      </c>
      <c r="G367" s="959"/>
      <c r="H367" s="959"/>
      <c r="I367" s="960"/>
      <c r="J367" s="961"/>
      <c r="L367" s="695" t="s">
        <v>1044</v>
      </c>
      <c r="M367" s="964">
        <v>-39.438695290380899</v>
      </c>
      <c r="N367" s="958"/>
      <c r="O367" s="697">
        <f>M367</f>
        <v>-39.438695290380899</v>
      </c>
      <c r="P367" s="959"/>
      <c r="Q367" s="959"/>
      <c r="R367" s="960"/>
      <c r="S367" s="961"/>
      <c r="T367"/>
      <c r="U367"/>
    </row>
    <row r="368" spans="1:26">
      <c r="A368" s="683" t="s">
        <v>127</v>
      </c>
      <c r="B368" s="683"/>
      <c r="C368" s="1558" t="s">
        <v>1045</v>
      </c>
      <c r="D368" s="1559">
        <f>SUM(D366:D367)</f>
        <v>-1205.9599770919767</v>
      </c>
      <c r="E368" s="1559">
        <f>SUM(E366:E367)</f>
        <v>-552</v>
      </c>
      <c r="F368" s="1559">
        <f>SUM(F366:F367)</f>
        <v>-653.95997709197661</v>
      </c>
      <c r="G368" s="1571"/>
      <c r="H368" s="1571"/>
      <c r="I368" s="1571"/>
      <c r="J368" s="1571"/>
      <c r="L368" s="1558" t="s">
        <v>1045</v>
      </c>
      <c r="M368" s="1559">
        <f>SUM(M366:M367)</f>
        <v>-72.93229737125975</v>
      </c>
      <c r="N368" s="699">
        <f>SUM(N366:N367)</f>
        <v>-33.493602080878851</v>
      </c>
      <c r="O368" s="700">
        <f>SUM(O366:O367)</f>
        <v>-39.438695290380899</v>
      </c>
      <c r="P368" s="788"/>
      <c r="Q368" s="788"/>
      <c r="R368" s="789"/>
      <c r="S368" s="1571"/>
      <c r="T368"/>
      <c r="U368"/>
    </row>
    <row r="369" spans="1:21">
      <c r="A369" s="683" t="s">
        <v>1046</v>
      </c>
      <c r="B369" s="683"/>
      <c r="C369" s="1401"/>
      <c r="D369" s="1401"/>
      <c r="E369" s="1401"/>
      <c r="F369" s="1401"/>
      <c r="G369" s="1401"/>
      <c r="H369" s="1401"/>
      <c r="I369" s="1401"/>
      <c r="J369" s="1401"/>
      <c r="L369" s="1401"/>
      <c r="M369" s="1401"/>
      <c r="N369" s="1401"/>
      <c r="O369" s="1401"/>
      <c r="P369" s="1401"/>
      <c r="Q369" s="1401"/>
      <c r="R369" s="1401"/>
      <c r="S369" s="1401"/>
      <c r="T369"/>
      <c r="U369"/>
    </row>
    <row r="370" spans="1:21">
      <c r="A370" s="683" t="s">
        <v>1047</v>
      </c>
      <c r="B370" s="683"/>
      <c r="C370" s="695" t="s">
        <v>1048</v>
      </c>
      <c r="D370" s="961"/>
      <c r="E370" s="721"/>
      <c r="F370" s="959"/>
      <c r="G370" s="959"/>
      <c r="H370" s="959"/>
      <c r="I370" s="960"/>
      <c r="J370" s="961"/>
      <c r="L370" s="695" t="s">
        <v>1048</v>
      </c>
      <c r="M370" s="1431"/>
      <c r="N370" s="721"/>
      <c r="O370" s="959"/>
      <c r="P370" s="959"/>
      <c r="Q370" s="959"/>
      <c r="R370" s="960"/>
      <c r="S370" s="961"/>
      <c r="T370"/>
      <c r="U370"/>
    </row>
    <row r="371" spans="1:21">
      <c r="A371" s="683">
        <v>2022</v>
      </c>
      <c r="B371" s="683"/>
      <c r="C371" s="695" t="s">
        <v>1049</v>
      </c>
      <c r="D371" s="961"/>
      <c r="E371" s="721"/>
      <c r="F371" s="959"/>
      <c r="G371" s="959"/>
      <c r="H371" s="959"/>
      <c r="I371" s="973"/>
      <c r="J371" s="961"/>
      <c r="L371" s="695" t="s">
        <v>1049</v>
      </c>
      <c r="M371" s="961"/>
      <c r="N371" s="721"/>
      <c r="O371" s="959"/>
      <c r="P371" s="959"/>
      <c r="Q371" s="959"/>
      <c r="R371" s="973"/>
      <c r="S371" s="961"/>
      <c r="T371"/>
      <c r="U371"/>
    </row>
    <row r="372" spans="1:21">
      <c r="A372" s="683">
        <v>2023</v>
      </c>
      <c r="B372" s="683"/>
      <c r="C372" s="695" t="s">
        <v>1050</v>
      </c>
      <c r="D372" s="961"/>
      <c r="E372" s="721"/>
      <c r="F372" s="959"/>
      <c r="G372" s="959"/>
      <c r="H372" s="959"/>
      <c r="I372" s="973"/>
      <c r="J372" s="961"/>
      <c r="L372" s="695" t="s">
        <v>1050</v>
      </c>
      <c r="M372" s="961"/>
      <c r="N372" s="721"/>
      <c r="O372" s="959"/>
      <c r="P372" s="959"/>
      <c r="Q372" s="959"/>
      <c r="R372" s="973"/>
      <c r="S372" s="961"/>
      <c r="T372"/>
      <c r="U372"/>
    </row>
    <row r="373" spans="1:21">
      <c r="A373" s="683">
        <v>2024</v>
      </c>
      <c r="B373" s="683"/>
      <c r="C373" s="705" t="s">
        <v>1051</v>
      </c>
      <c r="D373" s="961"/>
      <c r="E373" s="766"/>
      <c r="F373" s="767"/>
      <c r="G373" s="767"/>
      <c r="H373" s="767"/>
      <c r="I373" s="790"/>
      <c r="J373" s="778"/>
      <c r="L373" s="705" t="s">
        <v>1051</v>
      </c>
      <c r="M373" s="778"/>
      <c r="N373" s="766"/>
      <c r="O373" s="767"/>
      <c r="P373" s="767"/>
      <c r="Q373" s="767"/>
      <c r="R373" s="790"/>
      <c r="S373" s="778"/>
      <c r="T373"/>
      <c r="U373"/>
    </row>
    <row r="374" spans="1:21">
      <c r="A374" s="683" t="s">
        <v>12</v>
      </c>
      <c r="B374" s="683"/>
      <c r="C374" s="1568" t="s">
        <v>1052</v>
      </c>
      <c r="D374" s="1562">
        <f>SUM(D368:D373)</f>
        <v>-1205.9599770919767</v>
      </c>
      <c r="E374" s="1402">
        <f t="shared" ref="E374:J374" si="84">SUM(E368:E373)</f>
        <v>-552</v>
      </c>
      <c r="F374" s="968">
        <f t="shared" si="84"/>
        <v>-653.95997709197661</v>
      </c>
      <c r="G374" s="968">
        <f t="shared" si="84"/>
        <v>0</v>
      </c>
      <c r="H374" s="968">
        <f t="shared" si="84"/>
        <v>0</v>
      </c>
      <c r="I374" s="969">
        <f t="shared" si="84"/>
        <v>0</v>
      </c>
      <c r="J374" s="1562">
        <f t="shared" si="84"/>
        <v>0</v>
      </c>
      <c r="L374" s="1568" t="s">
        <v>1052</v>
      </c>
      <c r="M374" s="1562">
        <f>SUM(M368:M373)</f>
        <v>-72.93229737125975</v>
      </c>
      <c r="N374" s="1402">
        <f t="shared" ref="N374:S374" si="85">SUM(N368:N373)</f>
        <v>-33.493602080878851</v>
      </c>
      <c r="O374" s="968">
        <f t="shared" si="85"/>
        <v>-39.438695290380899</v>
      </c>
      <c r="P374" s="968">
        <f t="shared" si="85"/>
        <v>0</v>
      </c>
      <c r="Q374" s="968">
        <f t="shared" si="85"/>
        <v>0</v>
      </c>
      <c r="R374" s="969">
        <f t="shared" si="85"/>
        <v>0</v>
      </c>
      <c r="S374" s="1562">
        <f t="shared" si="85"/>
        <v>0</v>
      </c>
      <c r="T374"/>
      <c r="U374"/>
    </row>
    <row r="375" spans="1:21">
      <c r="A375" s="708"/>
      <c r="B375" s="708"/>
      <c r="C375" s="709"/>
      <c r="D375" s="1441"/>
      <c r="E375" s="1442"/>
      <c r="F375" s="1442"/>
      <c r="G375" s="1442"/>
      <c r="H375" s="1442"/>
      <c r="I375" s="1442"/>
      <c r="J375" s="1442"/>
      <c r="L375" s="709"/>
      <c r="M375" s="1441"/>
      <c r="N375" s="1442"/>
      <c r="O375" s="1442"/>
      <c r="P375" s="1442"/>
      <c r="Q375" s="1442"/>
      <c r="R375" s="1442"/>
      <c r="S375" s="1442"/>
      <c r="T375"/>
      <c r="U375"/>
    </row>
    <row r="376" spans="1:21">
      <c r="A376" s="683">
        <v>2017</v>
      </c>
      <c r="B376" s="683"/>
      <c r="C376" s="1394" t="s">
        <v>1053</v>
      </c>
      <c r="D376" s="1443"/>
      <c r="E376" s="1444"/>
      <c r="F376" s="1445"/>
      <c r="G376" s="1445"/>
      <c r="H376" s="1445"/>
      <c r="I376" s="1446"/>
      <c r="J376" s="1431"/>
      <c r="L376" s="1394" t="s">
        <v>1053</v>
      </c>
      <c r="M376" s="1447"/>
      <c r="N376" s="1432"/>
      <c r="O376" s="1433"/>
      <c r="P376" s="1433"/>
      <c r="Q376" s="1433"/>
      <c r="R376" s="1448"/>
      <c r="S376" s="1431"/>
      <c r="T376"/>
      <c r="U376"/>
    </row>
    <row r="377" spans="1:21">
      <c r="A377" s="683">
        <v>2018</v>
      </c>
      <c r="B377" s="683"/>
      <c r="C377" s="695" t="s">
        <v>1054</v>
      </c>
      <c r="D377" s="814"/>
      <c r="E377" s="815"/>
      <c r="F377" s="724"/>
      <c r="G377" s="724"/>
      <c r="H377" s="724"/>
      <c r="I377" s="793"/>
      <c r="J377" s="961"/>
      <c r="L377" s="695" t="s">
        <v>1054</v>
      </c>
      <c r="M377" s="791"/>
      <c r="N377" s="721"/>
      <c r="O377" s="959"/>
      <c r="P377" s="959"/>
      <c r="Q377" s="959"/>
      <c r="R377" s="960"/>
      <c r="S377" s="961"/>
      <c r="T377"/>
      <c r="U377"/>
    </row>
    <row r="378" spans="1:21">
      <c r="A378" s="683">
        <v>2019</v>
      </c>
      <c r="B378" s="683"/>
      <c r="C378" s="695" t="s">
        <v>1055</v>
      </c>
      <c r="D378" s="791"/>
      <c r="E378" s="721"/>
      <c r="F378" s="724"/>
      <c r="G378" s="724"/>
      <c r="H378" s="724"/>
      <c r="I378" s="793"/>
      <c r="J378" s="961"/>
      <c r="L378" s="695" t="s">
        <v>1055</v>
      </c>
      <c r="M378" s="791"/>
      <c r="N378" s="721"/>
      <c r="O378" s="959"/>
      <c r="P378" s="959"/>
      <c r="Q378" s="959"/>
      <c r="R378" s="960"/>
      <c r="S378" s="961"/>
      <c r="T378"/>
      <c r="U378"/>
    </row>
    <row r="379" spans="1:21">
      <c r="A379" s="683" t="s">
        <v>127</v>
      </c>
      <c r="B379" s="683"/>
      <c r="C379" s="1558" t="s">
        <v>1056</v>
      </c>
      <c r="D379" s="1564"/>
      <c r="E379" s="1428"/>
      <c r="F379" s="970"/>
      <c r="G379" s="970"/>
      <c r="H379" s="970"/>
      <c r="I379" s="774"/>
      <c r="J379" s="1564"/>
      <c r="L379" s="1558" t="s">
        <v>1056</v>
      </c>
      <c r="M379" s="1564"/>
      <c r="N379" s="1428"/>
      <c r="O379" s="970"/>
      <c r="P379" s="970"/>
      <c r="Q379" s="970"/>
      <c r="R379" s="774"/>
      <c r="S379" s="1564"/>
      <c r="T379"/>
      <c r="U379"/>
    </row>
    <row r="380" spans="1:21">
      <c r="A380" s="683" t="s">
        <v>1046</v>
      </c>
      <c r="B380" s="683"/>
      <c r="C380" s="1401"/>
      <c r="D380" s="1401"/>
      <c r="E380" s="1401"/>
      <c r="F380" s="1401"/>
      <c r="G380" s="1401"/>
      <c r="H380" s="1401"/>
      <c r="I380" s="1401"/>
      <c r="J380" s="1401"/>
      <c r="L380" s="1401"/>
      <c r="M380" s="1401"/>
      <c r="N380" s="1401"/>
      <c r="O380" s="1401"/>
      <c r="P380" s="1401"/>
      <c r="Q380" s="1401"/>
      <c r="R380" s="1401"/>
      <c r="S380" s="1401"/>
      <c r="T380"/>
      <c r="U380"/>
    </row>
    <row r="381" spans="1:21">
      <c r="A381" s="683" t="s">
        <v>1047</v>
      </c>
      <c r="B381" s="683"/>
      <c r="C381" s="695" t="s">
        <v>1057</v>
      </c>
      <c r="D381" s="961"/>
      <c r="E381" s="721"/>
      <c r="F381" s="959"/>
      <c r="G381" s="959"/>
      <c r="H381" s="959"/>
      <c r="I381" s="960"/>
      <c r="J381" s="961"/>
      <c r="L381" s="695" t="s">
        <v>1057</v>
      </c>
      <c r="M381" s="1431"/>
      <c r="N381" s="721"/>
      <c r="O381" s="959"/>
      <c r="P381" s="959"/>
      <c r="Q381" s="959"/>
      <c r="R381" s="960"/>
      <c r="S381" s="961"/>
      <c r="T381"/>
      <c r="U381"/>
    </row>
    <row r="382" spans="1:21">
      <c r="A382" s="683">
        <v>2022</v>
      </c>
      <c r="B382" s="683"/>
      <c r="C382" s="695" t="s">
        <v>1058</v>
      </c>
      <c r="D382" s="961"/>
      <c r="E382" s="721"/>
      <c r="F382" s="959"/>
      <c r="G382" s="959"/>
      <c r="H382" s="959"/>
      <c r="I382" s="973"/>
      <c r="J382" s="961"/>
      <c r="L382" s="695" t="s">
        <v>1058</v>
      </c>
      <c r="M382" s="961"/>
      <c r="N382" s="721"/>
      <c r="O382" s="959"/>
      <c r="P382" s="959"/>
      <c r="Q382" s="959"/>
      <c r="R382" s="973"/>
      <c r="S382" s="961"/>
      <c r="T382"/>
      <c r="U382"/>
    </row>
    <row r="383" spans="1:21">
      <c r="A383" s="683">
        <v>2023</v>
      </c>
      <c r="B383" s="683"/>
      <c r="C383" s="695" t="s">
        <v>1059</v>
      </c>
      <c r="D383" s="961"/>
      <c r="E383" s="721"/>
      <c r="F383" s="959"/>
      <c r="G383" s="959"/>
      <c r="H383" s="959"/>
      <c r="I383" s="973"/>
      <c r="J383" s="961"/>
      <c r="L383" s="695" t="s">
        <v>1059</v>
      </c>
      <c r="M383" s="961"/>
      <c r="N383" s="721"/>
      <c r="O383" s="959"/>
      <c r="P383" s="959"/>
      <c r="Q383" s="959"/>
      <c r="R383" s="973"/>
      <c r="S383" s="961"/>
      <c r="T383"/>
      <c r="U383"/>
    </row>
    <row r="384" spans="1:21">
      <c r="A384" s="683">
        <v>2024</v>
      </c>
      <c r="B384" s="683"/>
      <c r="C384" s="705" t="s">
        <v>1060</v>
      </c>
      <c r="D384" s="961"/>
      <c r="E384" s="766"/>
      <c r="F384" s="767"/>
      <c r="G384" s="767"/>
      <c r="H384" s="767"/>
      <c r="I384" s="790"/>
      <c r="J384" s="778"/>
      <c r="L384" s="705" t="s">
        <v>1060</v>
      </c>
      <c r="M384" s="778"/>
      <c r="N384" s="766"/>
      <c r="O384" s="767"/>
      <c r="P384" s="767"/>
      <c r="Q384" s="767"/>
      <c r="R384" s="790"/>
      <c r="S384" s="778"/>
      <c r="T384"/>
      <c r="U384"/>
    </row>
    <row r="385" spans="1:21">
      <c r="A385" s="683" t="s">
        <v>12</v>
      </c>
      <c r="B385" s="683"/>
      <c r="C385" s="1568" t="s">
        <v>1061</v>
      </c>
      <c r="D385" s="1567"/>
      <c r="E385" s="1428"/>
      <c r="F385" s="970"/>
      <c r="G385" s="970"/>
      <c r="H385" s="970"/>
      <c r="I385" s="774"/>
      <c r="J385" s="1567"/>
      <c r="L385" s="1568" t="s">
        <v>1061</v>
      </c>
      <c r="M385" s="1567"/>
      <c r="N385" s="1428"/>
      <c r="O385" s="970"/>
      <c r="P385" s="970"/>
      <c r="Q385" s="970"/>
      <c r="R385" s="774"/>
      <c r="S385" s="1567"/>
      <c r="T385"/>
      <c r="U385"/>
    </row>
    <row r="386" spans="1:21">
      <c r="A386" s="708"/>
      <c r="B386" s="708"/>
      <c r="C386" s="1409"/>
      <c r="D386" s="1409"/>
      <c r="E386" s="1410"/>
      <c r="F386" s="1410"/>
      <c r="G386" s="1410"/>
      <c r="H386" s="1410"/>
      <c r="I386" s="1410"/>
      <c r="J386" s="1410"/>
      <c r="L386" s="1411"/>
      <c r="M386" s="1411"/>
      <c r="N386" s="1412"/>
      <c r="O386" s="1412"/>
      <c r="P386" s="1412"/>
      <c r="Q386" s="1412"/>
      <c r="R386" s="1412"/>
      <c r="S386" s="1412"/>
      <c r="T386"/>
      <c r="U386"/>
    </row>
    <row r="387" spans="1:21">
      <c r="A387" s="683" t="s">
        <v>1046</v>
      </c>
      <c r="B387" s="683"/>
      <c r="C387" s="1401"/>
      <c r="D387" s="1401"/>
      <c r="E387" s="1401"/>
      <c r="F387" s="1401"/>
      <c r="G387" s="1401"/>
      <c r="H387" s="1401"/>
      <c r="I387" s="1401"/>
      <c r="J387" s="1401"/>
      <c r="L387" s="1413"/>
      <c r="M387" s="1413"/>
      <c r="N387" s="1413"/>
      <c r="O387" s="1413"/>
      <c r="P387" s="1413"/>
      <c r="Q387" s="1413"/>
      <c r="R387" s="1413"/>
      <c r="S387" s="1413"/>
      <c r="T387"/>
      <c r="U387"/>
    </row>
    <row r="388" spans="1:21">
      <c r="A388" s="683" t="s">
        <v>1047</v>
      </c>
      <c r="B388" s="683"/>
      <c r="C388" s="695" t="s">
        <v>1062</v>
      </c>
      <c r="D388" s="792"/>
      <c r="E388" s="721"/>
      <c r="F388" s="959"/>
      <c r="G388" s="959"/>
      <c r="H388" s="724"/>
      <c r="I388" s="960"/>
      <c r="J388" s="961"/>
      <c r="L388" s="695" t="s">
        <v>1062</v>
      </c>
      <c r="M388" s="792"/>
      <c r="N388" s="721"/>
      <c r="O388" s="959"/>
      <c r="P388" s="959"/>
      <c r="Q388" s="724"/>
      <c r="R388" s="960"/>
      <c r="S388" s="961"/>
      <c r="T388"/>
      <c r="U388"/>
    </row>
    <row r="389" spans="1:21">
      <c r="A389" s="683">
        <v>2022</v>
      </c>
      <c r="B389" s="683"/>
      <c r="C389" s="776" t="s">
        <v>1063</v>
      </c>
      <c r="D389" s="792"/>
      <c r="E389" s="721"/>
      <c r="F389" s="959"/>
      <c r="G389" s="959"/>
      <c r="H389" s="959"/>
      <c r="I389" s="793"/>
      <c r="J389" s="961"/>
      <c r="L389" s="776" t="s">
        <v>1063</v>
      </c>
      <c r="M389" s="792"/>
      <c r="N389" s="721"/>
      <c r="O389" s="959"/>
      <c r="P389" s="959"/>
      <c r="Q389" s="959"/>
      <c r="R389" s="793"/>
      <c r="S389" s="961"/>
      <c r="T389"/>
      <c r="U389"/>
    </row>
    <row r="390" spans="1:21">
      <c r="A390" s="683">
        <v>2023</v>
      </c>
      <c r="B390" s="683"/>
      <c r="C390" s="776" t="s">
        <v>1064</v>
      </c>
      <c r="D390" s="792"/>
      <c r="E390" s="721"/>
      <c r="F390" s="959"/>
      <c r="G390" s="959"/>
      <c r="H390" s="959"/>
      <c r="I390" s="973"/>
      <c r="J390" s="961"/>
      <c r="L390" s="776" t="s">
        <v>1064</v>
      </c>
      <c r="M390" s="792"/>
      <c r="N390" s="721"/>
      <c r="O390" s="959"/>
      <c r="P390" s="959"/>
      <c r="Q390" s="959"/>
      <c r="R390" s="973"/>
      <c r="S390" s="961"/>
      <c r="T390"/>
      <c r="U390"/>
    </row>
    <row r="391" spans="1:21">
      <c r="A391" s="683">
        <v>2024</v>
      </c>
      <c r="B391" s="683"/>
      <c r="C391" s="777" t="s">
        <v>1065</v>
      </c>
      <c r="D391" s="794"/>
      <c r="E391" s="766"/>
      <c r="F391" s="767"/>
      <c r="G391" s="767"/>
      <c r="H391" s="767"/>
      <c r="I391" s="790"/>
      <c r="J391" s="778"/>
      <c r="L391" s="777" t="s">
        <v>1065</v>
      </c>
      <c r="M391" s="794"/>
      <c r="N391" s="766"/>
      <c r="O391" s="767"/>
      <c r="P391" s="767"/>
      <c r="Q391" s="767"/>
      <c r="R391" s="790"/>
      <c r="S391" s="778"/>
      <c r="T391"/>
      <c r="U391"/>
    </row>
    <row r="392" spans="1:21">
      <c r="A392" s="683" t="s">
        <v>12</v>
      </c>
      <c r="B392" s="683"/>
      <c r="C392" s="1568" t="s">
        <v>1066</v>
      </c>
      <c r="D392" s="1567"/>
      <c r="E392" s="1428"/>
      <c r="F392" s="970"/>
      <c r="G392" s="970"/>
      <c r="H392" s="970"/>
      <c r="I392" s="774"/>
      <c r="J392" s="1567"/>
      <c r="L392" s="1568" t="s">
        <v>1066</v>
      </c>
      <c r="M392" s="1567"/>
      <c r="N392" s="1428"/>
      <c r="O392" s="970"/>
      <c r="P392" s="970"/>
      <c r="Q392" s="970"/>
      <c r="R392" s="774"/>
      <c r="S392" s="1567"/>
      <c r="T392"/>
      <c r="U392"/>
    </row>
    <row r="393" spans="1:21">
      <c r="A393" s="708"/>
      <c r="B393" s="708"/>
      <c r="C393" s="1409"/>
      <c r="D393" s="1409"/>
      <c r="E393" s="1410"/>
      <c r="F393" s="1410"/>
      <c r="G393" s="1410"/>
      <c r="H393" s="1410"/>
      <c r="I393" s="1410"/>
      <c r="J393" s="1410"/>
      <c r="L393" s="1411"/>
      <c r="M393" s="1411"/>
      <c r="N393" s="1412"/>
      <c r="O393" s="1412"/>
      <c r="P393" s="1412"/>
      <c r="Q393" s="1412"/>
      <c r="R393" s="1412"/>
      <c r="S393" s="1412"/>
      <c r="T393"/>
      <c r="U393"/>
    </row>
    <row r="394" spans="1:21">
      <c r="A394" s="683" t="s">
        <v>1046</v>
      </c>
      <c r="B394" s="683"/>
      <c r="C394" s="1401"/>
      <c r="D394" s="1401"/>
      <c r="E394" s="1401"/>
      <c r="F394" s="1401"/>
      <c r="G394" s="1401"/>
      <c r="H394" s="1401"/>
      <c r="I394" s="1401"/>
      <c r="J394" s="1401"/>
      <c r="L394" s="1413"/>
      <c r="M394" s="1413"/>
      <c r="N394" s="1413"/>
      <c r="O394" s="1413"/>
      <c r="P394" s="1413"/>
      <c r="Q394" s="1413"/>
      <c r="R394" s="1413"/>
      <c r="S394" s="1413"/>
      <c r="T394"/>
      <c r="U394"/>
    </row>
    <row r="395" spans="1:21">
      <c r="A395" s="683" t="s">
        <v>1047</v>
      </c>
      <c r="B395" s="683"/>
      <c r="C395" s="1394" t="s">
        <v>1067</v>
      </c>
      <c r="D395" s="1395">
        <f t="array" ref="D395:D398">TRANSPOSE('ERT Supervision'!C23:F23)</f>
        <v>0</v>
      </c>
      <c r="E395" s="1449"/>
      <c r="F395" s="1439"/>
      <c r="G395" s="1433"/>
      <c r="H395" s="1406">
        <f>D395</f>
        <v>0</v>
      </c>
      <c r="I395" s="1448"/>
      <c r="J395" s="1431"/>
      <c r="L395" s="1394" t="s">
        <v>1067</v>
      </c>
      <c r="M395" s="1395">
        <f t="array" ref="M395:M398">TRANSPOSE('TRM Supervision'!C23:F23)</f>
        <v>0</v>
      </c>
      <c r="N395" s="1449"/>
      <c r="O395" s="1439"/>
      <c r="P395" s="1433"/>
      <c r="Q395" s="1406">
        <f>M395</f>
        <v>0</v>
      </c>
      <c r="R395" s="1448"/>
      <c r="S395" s="1431"/>
      <c r="T395"/>
      <c r="U395"/>
    </row>
    <row r="396" spans="1:21">
      <c r="A396" s="683">
        <v>2022</v>
      </c>
      <c r="B396" s="683"/>
      <c r="C396" s="776" t="s">
        <v>1068</v>
      </c>
      <c r="D396" s="964">
        <v>0</v>
      </c>
      <c r="E396" s="958"/>
      <c r="F396" s="962"/>
      <c r="G396" s="959"/>
      <c r="H396" s="959"/>
      <c r="I396" s="965">
        <f>D396</f>
        <v>0</v>
      </c>
      <c r="J396" s="961"/>
      <c r="L396" s="776" t="s">
        <v>1068</v>
      </c>
      <c r="M396" s="964">
        <v>0</v>
      </c>
      <c r="N396" s="958"/>
      <c r="O396" s="962"/>
      <c r="P396" s="959"/>
      <c r="Q396" s="959"/>
      <c r="R396" s="965">
        <f>M396</f>
        <v>0</v>
      </c>
      <c r="S396" s="961"/>
      <c r="T396"/>
      <c r="U396"/>
    </row>
    <row r="397" spans="1:21">
      <c r="A397" s="683">
        <v>2023</v>
      </c>
      <c r="B397" s="683"/>
      <c r="C397" s="776" t="s">
        <v>1069</v>
      </c>
      <c r="D397" s="964">
        <v>0</v>
      </c>
      <c r="E397" s="958"/>
      <c r="F397" s="962"/>
      <c r="G397" s="959"/>
      <c r="H397" s="959"/>
      <c r="I397" s="973"/>
      <c r="J397" s="964">
        <f>D397</f>
        <v>0</v>
      </c>
      <c r="L397" s="776" t="s">
        <v>1069</v>
      </c>
      <c r="M397" s="964">
        <v>0</v>
      </c>
      <c r="N397" s="958"/>
      <c r="O397" s="962"/>
      <c r="P397" s="959"/>
      <c r="Q397" s="959"/>
      <c r="R397" s="973"/>
      <c r="S397" s="964">
        <f>M397</f>
        <v>0</v>
      </c>
      <c r="T397"/>
      <c r="U397"/>
    </row>
    <row r="398" spans="1:21">
      <c r="A398" s="683">
        <v>2024</v>
      </c>
      <c r="B398" s="683"/>
      <c r="C398" s="777" t="s">
        <v>1070</v>
      </c>
      <c r="D398" s="706">
        <v>0</v>
      </c>
      <c r="E398" s="966"/>
      <c r="F398" s="967"/>
      <c r="G398" s="967"/>
      <c r="H398" s="967"/>
      <c r="I398" s="974"/>
      <c r="J398" s="706">
        <f>D398</f>
        <v>0</v>
      </c>
      <c r="L398" s="777" t="s">
        <v>1070</v>
      </c>
      <c r="M398" s="706">
        <v>0</v>
      </c>
      <c r="N398" s="966"/>
      <c r="O398" s="967"/>
      <c r="P398" s="967"/>
      <c r="Q398" s="967"/>
      <c r="R398" s="974"/>
      <c r="S398" s="706">
        <f>M398</f>
        <v>0</v>
      </c>
      <c r="T398"/>
      <c r="U398"/>
    </row>
    <row r="399" spans="1:21">
      <c r="A399" s="683" t="s">
        <v>12</v>
      </c>
      <c r="B399" s="683"/>
      <c r="C399" s="1568" t="s">
        <v>1071</v>
      </c>
      <c r="D399" s="1562">
        <f>SUM(D394:D398)</f>
        <v>0</v>
      </c>
      <c r="E399" s="1428"/>
      <c r="F399" s="970"/>
      <c r="G399" s="970"/>
      <c r="H399" s="968">
        <f>SUM(H394:H398)</f>
        <v>0</v>
      </c>
      <c r="I399" s="969">
        <f>SUM(I394:I398)</f>
        <v>0</v>
      </c>
      <c r="J399" s="1562">
        <f>SUM(J394:J398)</f>
        <v>0</v>
      </c>
      <c r="L399" s="1568" t="s">
        <v>1071</v>
      </c>
      <c r="M399" s="1562">
        <f>SUM(M394:M398)</f>
        <v>0</v>
      </c>
      <c r="N399" s="1428"/>
      <c r="O399" s="970"/>
      <c r="P399" s="970"/>
      <c r="Q399" s="968">
        <f>SUM(Q394:Q398)</f>
        <v>0</v>
      </c>
      <c r="R399" s="969">
        <f>SUM(R394:R398)</f>
        <v>0</v>
      </c>
      <c r="S399" s="1562">
        <f>SUM(S394:S398)</f>
        <v>0</v>
      </c>
      <c r="T399"/>
      <c r="U399"/>
    </row>
    <row r="400" spans="1:21">
      <c r="A400" s="708"/>
      <c r="B400" s="708"/>
      <c r="C400" s="1409"/>
      <c r="D400" s="1409"/>
      <c r="E400" s="1410"/>
      <c r="F400" s="1410"/>
      <c r="G400" s="1410"/>
      <c r="H400" s="1410"/>
      <c r="I400" s="1410"/>
      <c r="J400" s="1410"/>
      <c r="L400" s="1411"/>
      <c r="M400" s="1411"/>
      <c r="N400" s="1412"/>
      <c r="O400" s="1412"/>
      <c r="P400" s="1412"/>
      <c r="Q400" s="1412"/>
      <c r="R400" s="1412"/>
      <c r="S400" s="1412"/>
      <c r="T400"/>
      <c r="U400"/>
    </row>
    <row r="401" spans="1:21">
      <c r="A401" s="683" t="s">
        <v>1046</v>
      </c>
      <c r="B401" s="683"/>
      <c r="C401" s="1401"/>
      <c r="D401" s="1401"/>
      <c r="E401" s="1401"/>
      <c r="F401" s="1401"/>
      <c r="G401" s="1401"/>
      <c r="H401" s="1401"/>
      <c r="I401" s="1401"/>
      <c r="J401" s="1401"/>
      <c r="L401" s="1413"/>
      <c r="M401" s="1413"/>
      <c r="N401" s="1413"/>
      <c r="O401" s="1413"/>
      <c r="P401" s="1413"/>
      <c r="Q401" s="1413"/>
      <c r="R401" s="1413"/>
      <c r="S401" s="1413"/>
      <c r="T401"/>
      <c r="U401"/>
    </row>
    <row r="402" spans="1:21">
      <c r="A402" s="683" t="s">
        <v>1047</v>
      </c>
      <c r="B402" s="683"/>
      <c r="C402" s="695" t="s">
        <v>1072</v>
      </c>
      <c r="D402" s="964">
        <f t="array" ref="D402:D405">TRANSPOSE('ERT Supervision'!C24:F24)</f>
        <v>0</v>
      </c>
      <c r="E402" s="958"/>
      <c r="F402" s="962"/>
      <c r="G402" s="959"/>
      <c r="H402" s="963">
        <f>D402</f>
        <v>0</v>
      </c>
      <c r="I402" s="960"/>
      <c r="J402" s="961"/>
      <c r="L402" s="695" t="s">
        <v>1072</v>
      </c>
      <c r="M402" s="964">
        <f t="array" ref="M402:M405">TRANSPOSE('TRM Supervision'!C24:F24)</f>
        <v>0</v>
      </c>
      <c r="N402" s="958"/>
      <c r="O402" s="962"/>
      <c r="P402" s="959"/>
      <c r="Q402" s="963">
        <f>M402</f>
        <v>0</v>
      </c>
      <c r="R402" s="960"/>
      <c r="S402" s="961"/>
      <c r="T402"/>
      <c r="U402"/>
    </row>
    <row r="403" spans="1:21">
      <c r="A403" s="683">
        <v>2022</v>
      </c>
      <c r="B403" s="683"/>
      <c r="C403" s="776" t="s">
        <v>1073</v>
      </c>
      <c r="D403" s="964">
        <v>0</v>
      </c>
      <c r="E403" s="958"/>
      <c r="F403" s="962"/>
      <c r="G403" s="959"/>
      <c r="H403" s="959"/>
      <c r="I403" s="965">
        <f>D403</f>
        <v>0</v>
      </c>
      <c r="J403" s="961"/>
      <c r="L403" s="776" t="s">
        <v>1073</v>
      </c>
      <c r="M403" s="964">
        <v>0</v>
      </c>
      <c r="N403" s="958"/>
      <c r="O403" s="962"/>
      <c r="P403" s="959"/>
      <c r="Q403" s="959"/>
      <c r="R403" s="965">
        <f>M403</f>
        <v>0</v>
      </c>
      <c r="S403" s="961"/>
      <c r="T403"/>
      <c r="U403"/>
    </row>
    <row r="404" spans="1:21">
      <c r="A404" s="683">
        <v>2023</v>
      </c>
      <c r="B404" s="683"/>
      <c r="C404" s="776" t="s">
        <v>1074</v>
      </c>
      <c r="D404" s="964">
        <v>0</v>
      </c>
      <c r="E404" s="958"/>
      <c r="F404" s="962"/>
      <c r="G404" s="959"/>
      <c r="H404" s="959"/>
      <c r="I404" s="973"/>
      <c r="J404" s="964">
        <f>D404</f>
        <v>0</v>
      </c>
      <c r="L404" s="776" t="s">
        <v>1074</v>
      </c>
      <c r="M404" s="964">
        <v>0</v>
      </c>
      <c r="N404" s="958"/>
      <c r="O404" s="962"/>
      <c r="P404" s="959"/>
      <c r="Q404" s="959"/>
      <c r="R404" s="973"/>
      <c r="S404" s="964">
        <f>M404</f>
        <v>0</v>
      </c>
      <c r="T404"/>
      <c r="U404"/>
    </row>
    <row r="405" spans="1:21">
      <c r="A405" s="683">
        <v>2024</v>
      </c>
      <c r="B405" s="683"/>
      <c r="C405" s="777" t="s">
        <v>1075</v>
      </c>
      <c r="D405" s="706">
        <v>0</v>
      </c>
      <c r="E405" s="966"/>
      <c r="F405" s="967"/>
      <c r="G405" s="967"/>
      <c r="H405" s="967"/>
      <c r="I405" s="974"/>
      <c r="J405" s="706">
        <f>D405</f>
        <v>0</v>
      </c>
      <c r="L405" s="777" t="s">
        <v>1075</v>
      </c>
      <c r="M405" s="706">
        <v>0</v>
      </c>
      <c r="N405" s="966"/>
      <c r="O405" s="967"/>
      <c r="P405" s="967"/>
      <c r="Q405" s="967"/>
      <c r="R405" s="974"/>
      <c r="S405" s="706">
        <f>M405</f>
        <v>0</v>
      </c>
      <c r="T405"/>
      <c r="U405"/>
    </row>
    <row r="406" spans="1:21">
      <c r="A406" s="683" t="s">
        <v>12</v>
      </c>
      <c r="B406" s="683"/>
      <c r="C406" s="1568" t="s">
        <v>1076</v>
      </c>
      <c r="D406" s="1562">
        <f t="shared" ref="D406:J406" si="86">SUM(D401:D405)</f>
        <v>0</v>
      </c>
      <c r="E406" s="1428"/>
      <c r="F406" s="970"/>
      <c r="G406" s="970"/>
      <c r="H406" s="968">
        <f t="shared" si="86"/>
        <v>0</v>
      </c>
      <c r="I406" s="969">
        <f t="shared" si="86"/>
        <v>0</v>
      </c>
      <c r="J406" s="1562">
        <f t="shared" si="86"/>
        <v>0</v>
      </c>
      <c r="L406" s="1568" t="s">
        <v>1076</v>
      </c>
      <c r="M406" s="1562">
        <f>SUM(M401:M405)</f>
        <v>0</v>
      </c>
      <c r="N406" s="1428"/>
      <c r="O406" s="970"/>
      <c r="P406" s="970"/>
      <c r="Q406" s="968">
        <f>SUM(Q401:Q405)</f>
        <v>0</v>
      </c>
      <c r="R406" s="969">
        <f>SUM(R401:R405)</f>
        <v>0</v>
      </c>
      <c r="S406" s="1562">
        <f>SUM(S401:S405)</f>
        <v>0</v>
      </c>
      <c r="T406"/>
      <c r="U406"/>
    </row>
    <row r="407" spans="1:21">
      <c r="A407" s="708"/>
      <c r="B407" s="708"/>
      <c r="C407" s="1409"/>
      <c r="D407" s="1409"/>
      <c r="E407" s="1410"/>
      <c r="F407" s="1410"/>
      <c r="G407" s="1410"/>
      <c r="H407" s="1410"/>
      <c r="I407" s="1410"/>
      <c r="J407" s="1410"/>
      <c r="L407" s="1411"/>
      <c r="M407" s="1411"/>
      <c r="N407" s="1412"/>
      <c r="O407" s="1412"/>
      <c r="P407" s="1412"/>
      <c r="Q407" s="1412"/>
      <c r="R407" s="1412"/>
      <c r="S407" s="1412"/>
      <c r="T407"/>
      <c r="U407"/>
    </row>
    <row r="408" spans="1:21">
      <c r="A408" s="683" t="s">
        <v>1046</v>
      </c>
      <c r="B408" s="683"/>
      <c r="C408" s="1401"/>
      <c r="D408" s="1401"/>
      <c r="E408" s="1401"/>
      <c r="F408" s="1401"/>
      <c r="G408" s="1401"/>
      <c r="H408" s="1401"/>
      <c r="I408" s="1401"/>
      <c r="J408" s="1401"/>
      <c r="L408" s="1413"/>
      <c r="M408" s="1413"/>
      <c r="N408" s="1413"/>
      <c r="O408" s="1413"/>
      <c r="P408" s="1413"/>
      <c r="Q408" s="1413"/>
      <c r="R408" s="1413"/>
      <c r="S408" s="1413"/>
      <c r="T408"/>
      <c r="U408"/>
    </row>
    <row r="409" spans="1:21">
      <c r="A409" s="683" t="s">
        <v>1047</v>
      </c>
      <c r="B409" s="683"/>
      <c r="C409" s="695" t="s">
        <v>1077</v>
      </c>
      <c r="D409" s="792"/>
      <c r="E409" s="721"/>
      <c r="F409" s="959"/>
      <c r="G409" s="959"/>
      <c r="H409" s="724"/>
      <c r="I409" s="960"/>
      <c r="J409" s="961"/>
      <c r="L409" s="695" t="s">
        <v>1077</v>
      </c>
      <c r="M409" s="792"/>
      <c r="N409" s="721"/>
      <c r="O409" s="959"/>
      <c r="P409" s="959"/>
      <c r="Q409" s="724"/>
      <c r="R409" s="960"/>
      <c r="S409" s="961"/>
      <c r="T409"/>
      <c r="U409"/>
    </row>
    <row r="410" spans="1:21">
      <c r="A410" s="683">
        <v>2022</v>
      </c>
      <c r="B410" s="683"/>
      <c r="C410" s="776" t="s">
        <v>1078</v>
      </c>
      <c r="D410" s="792"/>
      <c r="E410" s="721"/>
      <c r="F410" s="959"/>
      <c r="G410" s="959"/>
      <c r="H410" s="959"/>
      <c r="I410" s="793"/>
      <c r="J410" s="961"/>
      <c r="L410" s="776" t="s">
        <v>1078</v>
      </c>
      <c r="M410" s="792"/>
      <c r="N410" s="721"/>
      <c r="O410" s="959"/>
      <c r="P410" s="959"/>
      <c r="Q410" s="959"/>
      <c r="R410" s="793"/>
      <c r="S410" s="961"/>
      <c r="T410"/>
      <c r="U410"/>
    </row>
    <row r="411" spans="1:21">
      <c r="A411" s="683">
        <v>2023</v>
      </c>
      <c r="B411" s="683"/>
      <c r="C411" s="776" t="s">
        <v>1079</v>
      </c>
      <c r="D411" s="792"/>
      <c r="E411" s="721"/>
      <c r="F411" s="959"/>
      <c r="G411" s="959"/>
      <c r="H411" s="959"/>
      <c r="I411" s="973"/>
      <c r="J411" s="961"/>
      <c r="L411" s="776" t="s">
        <v>1079</v>
      </c>
      <c r="M411" s="792"/>
      <c r="N411" s="721"/>
      <c r="O411" s="959"/>
      <c r="P411" s="959"/>
      <c r="Q411" s="959"/>
      <c r="R411" s="973"/>
      <c r="S411" s="961"/>
      <c r="T411"/>
      <c r="U411"/>
    </row>
    <row r="412" spans="1:21">
      <c r="A412" s="683">
        <v>2024</v>
      </c>
      <c r="B412" s="683"/>
      <c r="C412" s="777" t="s">
        <v>1080</v>
      </c>
      <c r="D412" s="794"/>
      <c r="E412" s="766"/>
      <c r="F412" s="767"/>
      <c r="G412" s="767"/>
      <c r="H412" s="767"/>
      <c r="I412" s="790"/>
      <c r="J412" s="778"/>
      <c r="L412" s="777" t="s">
        <v>1080</v>
      </c>
      <c r="M412" s="794"/>
      <c r="N412" s="766"/>
      <c r="O412" s="767"/>
      <c r="P412" s="767"/>
      <c r="Q412" s="767"/>
      <c r="R412" s="790"/>
      <c r="S412" s="778"/>
      <c r="T412"/>
      <c r="U412"/>
    </row>
    <row r="413" spans="1:21">
      <c r="A413" s="683" t="s">
        <v>12</v>
      </c>
      <c r="B413" s="683"/>
      <c r="C413" s="1568" t="s">
        <v>1081</v>
      </c>
      <c r="D413" s="1567"/>
      <c r="E413" s="1428"/>
      <c r="F413" s="970"/>
      <c r="G413" s="970"/>
      <c r="H413" s="970"/>
      <c r="I413" s="774"/>
      <c r="J413" s="1567"/>
      <c r="L413" s="1568" t="s">
        <v>1081</v>
      </c>
      <c r="M413" s="1567"/>
      <c r="N413" s="1428"/>
      <c r="O413" s="970"/>
      <c r="P413" s="970"/>
      <c r="Q413" s="970"/>
      <c r="R413" s="774"/>
      <c r="S413" s="1567"/>
      <c r="T413"/>
      <c r="U413"/>
    </row>
    <row r="414" spans="1:21">
      <c r="A414" s="708"/>
      <c r="B414" s="708"/>
      <c r="C414" s="1409"/>
      <c r="D414" s="1409"/>
      <c r="E414" s="1410"/>
      <c r="F414" s="1410"/>
      <c r="G414" s="1410"/>
      <c r="H414" s="1410"/>
      <c r="I414" s="1410"/>
      <c r="J414" s="1410"/>
      <c r="L414" s="1411"/>
      <c r="M414" s="1411"/>
      <c r="N414" s="1412"/>
      <c r="O414" s="1412"/>
      <c r="P414" s="1412"/>
      <c r="Q414" s="1412"/>
      <c r="R414" s="1412"/>
      <c r="S414" s="1412"/>
      <c r="T414"/>
      <c r="U414"/>
    </row>
    <row r="415" spans="1:21">
      <c r="A415" s="683" t="s">
        <v>1046</v>
      </c>
      <c r="B415" s="683"/>
      <c r="C415" s="1401"/>
      <c r="D415" s="1401"/>
      <c r="E415" s="1401"/>
      <c r="F415" s="1401"/>
      <c r="G415" s="1401"/>
      <c r="H415" s="1401"/>
      <c r="I415" s="1401"/>
      <c r="J415" s="1401"/>
      <c r="L415" s="1413"/>
      <c r="M415" s="1413"/>
      <c r="N415" s="1413"/>
      <c r="O415" s="1413"/>
      <c r="P415" s="1413"/>
      <c r="Q415" s="1413"/>
      <c r="R415" s="1413"/>
      <c r="S415" s="1413"/>
      <c r="T415"/>
      <c r="U415"/>
    </row>
    <row r="416" spans="1:21">
      <c r="A416" s="683" t="s">
        <v>1047</v>
      </c>
      <c r="B416" s="683"/>
      <c r="C416" s="695" t="s">
        <v>1082</v>
      </c>
      <c r="D416" s="792"/>
      <c r="E416" s="721"/>
      <c r="F416" s="959"/>
      <c r="G416" s="959"/>
      <c r="H416" s="724"/>
      <c r="I416" s="960"/>
      <c r="J416" s="961"/>
      <c r="L416" s="695" t="s">
        <v>1082</v>
      </c>
      <c r="M416" s="792"/>
      <c r="N416" s="721"/>
      <c r="O416" s="959"/>
      <c r="P416" s="959"/>
      <c r="Q416" s="724"/>
      <c r="R416" s="960"/>
      <c r="S416" s="961"/>
      <c r="T416"/>
      <c r="U416"/>
    </row>
    <row r="417" spans="1:21">
      <c r="A417" s="683">
        <v>2022</v>
      </c>
      <c r="B417" s="683"/>
      <c r="C417" s="776" t="s">
        <v>1083</v>
      </c>
      <c r="D417" s="792"/>
      <c r="E417" s="721"/>
      <c r="F417" s="959"/>
      <c r="G417" s="959"/>
      <c r="H417" s="959"/>
      <c r="I417" s="793"/>
      <c r="J417" s="961"/>
      <c r="L417" s="776" t="s">
        <v>1083</v>
      </c>
      <c r="M417" s="792"/>
      <c r="N417" s="721"/>
      <c r="O417" s="959"/>
      <c r="P417" s="959"/>
      <c r="Q417" s="959"/>
      <c r="R417" s="793"/>
      <c r="S417" s="961"/>
      <c r="T417"/>
      <c r="U417"/>
    </row>
    <row r="418" spans="1:21">
      <c r="A418" s="683">
        <v>2023</v>
      </c>
      <c r="B418" s="683"/>
      <c r="C418" s="776" t="s">
        <v>1084</v>
      </c>
      <c r="D418" s="792"/>
      <c r="E418" s="721"/>
      <c r="F418" s="959"/>
      <c r="G418" s="959"/>
      <c r="H418" s="959"/>
      <c r="I418" s="973"/>
      <c r="J418" s="961"/>
      <c r="L418" s="776" t="s">
        <v>1084</v>
      </c>
      <c r="M418" s="792"/>
      <c r="N418" s="721"/>
      <c r="O418" s="959"/>
      <c r="P418" s="959"/>
      <c r="Q418" s="959"/>
      <c r="R418" s="973"/>
      <c r="S418" s="961"/>
      <c r="T418"/>
      <c r="U418"/>
    </row>
    <row r="419" spans="1:21">
      <c r="A419" s="683">
        <v>2024</v>
      </c>
      <c r="B419" s="683"/>
      <c r="C419" s="777" t="s">
        <v>1085</v>
      </c>
      <c r="D419" s="794"/>
      <c r="E419" s="766"/>
      <c r="F419" s="767"/>
      <c r="G419" s="767"/>
      <c r="H419" s="767"/>
      <c r="I419" s="790"/>
      <c r="J419" s="778"/>
      <c r="L419" s="777" t="s">
        <v>1085</v>
      </c>
      <c r="M419" s="794"/>
      <c r="N419" s="766"/>
      <c r="O419" s="767"/>
      <c r="P419" s="767"/>
      <c r="Q419" s="767"/>
      <c r="R419" s="790"/>
      <c r="S419" s="778"/>
      <c r="T419"/>
      <c r="U419"/>
    </row>
    <row r="420" spans="1:21">
      <c r="A420" s="683" t="s">
        <v>12</v>
      </c>
      <c r="B420" s="683"/>
      <c r="C420" s="1568" t="s">
        <v>1086</v>
      </c>
      <c r="D420" s="1567"/>
      <c r="E420" s="1428"/>
      <c r="F420" s="970"/>
      <c r="G420" s="970"/>
      <c r="H420" s="970"/>
      <c r="I420" s="774"/>
      <c r="J420" s="1567"/>
      <c r="L420" s="1568" t="s">
        <v>1086</v>
      </c>
      <c r="M420" s="1567"/>
      <c r="N420" s="1428"/>
      <c r="O420" s="970"/>
      <c r="P420" s="970"/>
      <c r="Q420" s="970"/>
      <c r="R420" s="774"/>
      <c r="S420" s="1567"/>
      <c r="T420"/>
      <c r="U420"/>
    </row>
    <row r="421" spans="1:21">
      <c r="A421" s="708"/>
      <c r="B421" s="708"/>
      <c r="C421" s="1409"/>
      <c r="D421" s="1409"/>
      <c r="E421" s="1410"/>
      <c r="F421" s="1410"/>
      <c r="G421" s="1410"/>
      <c r="H421" s="1410"/>
      <c r="I421" s="1410"/>
      <c r="J421" s="1410"/>
      <c r="L421" s="1411"/>
      <c r="M421" s="1411"/>
      <c r="N421" s="1412"/>
      <c r="O421" s="1412"/>
      <c r="P421" s="1412"/>
      <c r="Q421" s="1412"/>
      <c r="R421" s="1412"/>
      <c r="S421" s="1412"/>
      <c r="T421"/>
      <c r="U421"/>
    </row>
    <row r="422" spans="1:21">
      <c r="A422" s="683" t="s">
        <v>1046</v>
      </c>
      <c r="B422" s="683"/>
      <c r="C422" s="1401"/>
      <c r="D422" s="1401"/>
      <c r="E422" s="1401"/>
      <c r="F422" s="1401"/>
      <c r="G422" s="1401"/>
      <c r="H422" s="1401"/>
      <c r="I422" s="1401"/>
      <c r="J422" s="1401"/>
      <c r="L422" s="1413"/>
      <c r="M422" s="1413"/>
      <c r="N422" s="1413"/>
      <c r="O422" s="1413"/>
      <c r="P422" s="1413"/>
      <c r="Q422" s="1413"/>
      <c r="R422" s="1413"/>
      <c r="S422" s="1413"/>
      <c r="T422"/>
      <c r="U422"/>
    </row>
    <row r="423" spans="1:21">
      <c r="A423" s="683" t="s">
        <v>1047</v>
      </c>
      <c r="B423" s="683"/>
      <c r="C423" s="695" t="s">
        <v>1087</v>
      </c>
      <c r="D423" s="792"/>
      <c r="E423" s="721"/>
      <c r="F423" s="959"/>
      <c r="G423" s="959"/>
      <c r="H423" s="724"/>
      <c r="I423" s="960"/>
      <c r="J423" s="961"/>
      <c r="L423" s="695" t="s">
        <v>1087</v>
      </c>
      <c r="M423" s="792"/>
      <c r="N423" s="721"/>
      <c r="O423" s="959"/>
      <c r="P423" s="959"/>
      <c r="Q423" s="724"/>
      <c r="R423" s="960"/>
      <c r="S423" s="961"/>
      <c r="T423"/>
      <c r="U423"/>
    </row>
    <row r="424" spans="1:21">
      <c r="A424" s="683">
        <v>2022</v>
      </c>
      <c r="B424" s="683"/>
      <c r="C424" s="776" t="s">
        <v>1088</v>
      </c>
      <c r="D424" s="792"/>
      <c r="E424" s="721"/>
      <c r="F424" s="959"/>
      <c r="G424" s="959"/>
      <c r="H424" s="959"/>
      <c r="I424" s="793"/>
      <c r="J424" s="961"/>
      <c r="L424" s="776" t="s">
        <v>1088</v>
      </c>
      <c r="M424" s="792"/>
      <c r="N424" s="721"/>
      <c r="O424" s="959"/>
      <c r="P424" s="959"/>
      <c r="Q424" s="959"/>
      <c r="R424" s="793"/>
      <c r="S424" s="961"/>
      <c r="T424"/>
      <c r="U424"/>
    </row>
    <row r="425" spans="1:21">
      <c r="A425" s="683">
        <v>2023</v>
      </c>
      <c r="B425" s="683"/>
      <c r="C425" s="776" t="s">
        <v>1089</v>
      </c>
      <c r="D425" s="792"/>
      <c r="E425" s="721"/>
      <c r="F425" s="959"/>
      <c r="G425" s="959"/>
      <c r="H425" s="959"/>
      <c r="I425" s="973"/>
      <c r="J425" s="961"/>
      <c r="L425" s="776" t="s">
        <v>1089</v>
      </c>
      <c r="M425" s="792"/>
      <c r="N425" s="721"/>
      <c r="O425" s="959"/>
      <c r="P425" s="959"/>
      <c r="Q425" s="959"/>
      <c r="R425" s="973"/>
      <c r="S425" s="961"/>
      <c r="T425"/>
      <c r="U425"/>
    </row>
    <row r="426" spans="1:21">
      <c r="A426" s="683">
        <v>2024</v>
      </c>
      <c r="B426" s="683"/>
      <c r="C426" s="777" t="s">
        <v>1090</v>
      </c>
      <c r="D426" s="794"/>
      <c r="E426" s="766"/>
      <c r="F426" s="767"/>
      <c r="G426" s="767"/>
      <c r="H426" s="767"/>
      <c r="I426" s="790"/>
      <c r="J426" s="778"/>
      <c r="L426" s="777" t="s">
        <v>1090</v>
      </c>
      <c r="M426" s="794"/>
      <c r="N426" s="766"/>
      <c r="O426" s="767"/>
      <c r="P426" s="767"/>
      <c r="Q426" s="767"/>
      <c r="R426" s="790"/>
      <c r="S426" s="778"/>
      <c r="T426"/>
      <c r="U426"/>
    </row>
    <row r="427" spans="1:21">
      <c r="A427" s="683" t="s">
        <v>12</v>
      </c>
      <c r="B427" s="683"/>
      <c r="C427" s="1568" t="s">
        <v>1091</v>
      </c>
      <c r="D427" s="1567"/>
      <c r="E427" s="1428"/>
      <c r="F427" s="970"/>
      <c r="G427" s="970"/>
      <c r="H427" s="970"/>
      <c r="I427" s="774"/>
      <c r="J427" s="1567"/>
      <c r="L427" s="1568" t="s">
        <v>1091</v>
      </c>
      <c r="M427" s="1567"/>
      <c r="N427" s="1428"/>
      <c r="O427" s="970"/>
      <c r="P427" s="970"/>
      <c r="Q427" s="970"/>
      <c r="R427" s="774"/>
      <c r="S427" s="1567"/>
      <c r="T427"/>
      <c r="U427"/>
    </row>
    <row r="428" spans="1:21">
      <c r="A428" s="708"/>
      <c r="B428" s="708"/>
      <c r="C428" s="709"/>
      <c r="D428" s="795"/>
      <c r="E428" s="796"/>
      <c r="F428" s="796"/>
      <c r="G428" s="796"/>
      <c r="H428" s="796"/>
      <c r="I428" s="796"/>
      <c r="J428" s="796"/>
      <c r="L428" s="709"/>
      <c r="M428" s="795"/>
      <c r="N428" s="796"/>
      <c r="O428" s="796"/>
      <c r="P428" s="796"/>
      <c r="Q428" s="796"/>
      <c r="R428" s="796"/>
      <c r="S428" s="796"/>
      <c r="T428"/>
      <c r="U428"/>
    </row>
    <row r="429" spans="1:21">
      <c r="A429" s="683">
        <v>2017</v>
      </c>
      <c r="B429" s="683"/>
      <c r="C429" s="1394" t="s">
        <v>1092</v>
      </c>
      <c r="D429" s="1395">
        <v>-1817.9328100000002</v>
      </c>
      <c r="E429" s="1405">
        <v>0</v>
      </c>
      <c r="F429" s="1406">
        <v>-1817.9328100000002</v>
      </c>
      <c r="G429" s="1406">
        <v>0</v>
      </c>
      <c r="H429" s="1406">
        <v>0</v>
      </c>
      <c r="I429" s="1406">
        <v>0</v>
      </c>
      <c r="J429" s="1395">
        <f>D429-SUM(E429:I429)</f>
        <v>0</v>
      </c>
      <c r="L429" s="1394" t="s">
        <v>1092</v>
      </c>
      <c r="M429" s="1395">
        <v>0</v>
      </c>
      <c r="N429" s="1405">
        <v>0</v>
      </c>
      <c r="O429" s="1406">
        <v>0</v>
      </c>
      <c r="P429" s="1406">
        <v>0</v>
      </c>
      <c r="Q429" s="1406">
        <v>0</v>
      </c>
      <c r="R429" s="1406">
        <v>0</v>
      </c>
      <c r="S429" s="1395">
        <f>M429-SUM(N429:R429)</f>
        <v>0</v>
      </c>
      <c r="T429"/>
      <c r="U429"/>
    </row>
    <row r="430" spans="1:21">
      <c r="A430" s="683">
        <v>2018</v>
      </c>
      <c r="B430" s="683"/>
      <c r="C430" s="695" t="s">
        <v>1093</v>
      </c>
      <c r="D430" s="964">
        <v>-778.04572999999982</v>
      </c>
      <c r="E430" s="710">
        <v>0</v>
      </c>
      <c r="F430" s="963">
        <v>-778.04572999999982</v>
      </c>
      <c r="G430" s="963">
        <v>0</v>
      </c>
      <c r="H430" s="963">
        <v>0</v>
      </c>
      <c r="I430" s="963">
        <v>0</v>
      </c>
      <c r="J430" s="964">
        <f>D430-SUM(E430:I430)</f>
        <v>0</v>
      </c>
      <c r="L430" s="695" t="s">
        <v>1093</v>
      </c>
      <c r="M430" s="964">
        <v>0</v>
      </c>
      <c r="N430" s="710">
        <v>0</v>
      </c>
      <c r="O430" s="963">
        <v>0</v>
      </c>
      <c r="P430" s="963">
        <v>0</v>
      </c>
      <c r="Q430" s="963">
        <v>0</v>
      </c>
      <c r="R430" s="963">
        <v>0</v>
      </c>
      <c r="S430" s="964">
        <f>M430-SUM(N430:R430)</f>
        <v>0</v>
      </c>
      <c r="T430"/>
      <c r="U430"/>
    </row>
    <row r="431" spans="1:21">
      <c r="A431" s="683">
        <v>2019</v>
      </c>
      <c r="B431" s="683"/>
      <c r="C431" s="695" t="s">
        <v>1094</v>
      </c>
      <c r="D431" s="964">
        <v>-468.49709999999959</v>
      </c>
      <c r="E431" s="958"/>
      <c r="F431" s="963">
        <v>-468.49709999999959</v>
      </c>
      <c r="G431" s="963">
        <v>0</v>
      </c>
      <c r="H431" s="963">
        <v>0</v>
      </c>
      <c r="I431" s="965">
        <v>0</v>
      </c>
      <c r="J431" s="964">
        <f>D431-SUM(E431:I431)</f>
        <v>0</v>
      </c>
      <c r="L431" s="695" t="s">
        <v>1094</v>
      </c>
      <c r="M431" s="964">
        <v>0</v>
      </c>
      <c r="N431" s="958"/>
      <c r="O431" s="963">
        <v>0</v>
      </c>
      <c r="P431" s="963">
        <v>0</v>
      </c>
      <c r="Q431" s="963">
        <v>0</v>
      </c>
      <c r="R431" s="965">
        <v>0</v>
      </c>
      <c r="S431" s="964">
        <f>M431-SUM(N431:R431)</f>
        <v>0</v>
      </c>
      <c r="T431"/>
      <c r="U431"/>
    </row>
    <row r="432" spans="1:21">
      <c r="A432" s="683" t="s">
        <v>12</v>
      </c>
      <c r="B432" s="683"/>
      <c r="C432" s="1561" t="s">
        <v>1095</v>
      </c>
      <c r="D432" s="1562">
        <f>SUM(D429:D431)</f>
        <v>-3064.4756399999997</v>
      </c>
      <c r="E432" s="1402">
        <f t="shared" ref="E432:J432" si="87">SUM(E429:E431)</f>
        <v>0</v>
      </c>
      <c r="F432" s="968">
        <f t="shared" si="87"/>
        <v>-3064.4756399999997</v>
      </c>
      <c r="G432" s="968">
        <f t="shared" si="87"/>
        <v>0</v>
      </c>
      <c r="H432" s="968">
        <f t="shared" si="87"/>
        <v>0</v>
      </c>
      <c r="I432" s="969">
        <f t="shared" si="87"/>
        <v>0</v>
      </c>
      <c r="J432" s="1562">
        <f t="shared" si="87"/>
        <v>0</v>
      </c>
      <c r="L432" s="1561" t="s">
        <v>1095</v>
      </c>
      <c r="M432" s="1562">
        <f>SUM(M429:M431)</f>
        <v>0</v>
      </c>
      <c r="N432" s="1402">
        <f t="shared" ref="N432:S432" si="88">SUM(N429:N431)</f>
        <v>0</v>
      </c>
      <c r="O432" s="968">
        <f t="shared" si="88"/>
        <v>0</v>
      </c>
      <c r="P432" s="968">
        <f t="shared" si="88"/>
        <v>0</v>
      </c>
      <c r="Q432" s="968">
        <f t="shared" si="88"/>
        <v>0</v>
      </c>
      <c r="R432" s="969">
        <f t="shared" si="88"/>
        <v>0</v>
      </c>
      <c r="S432" s="1562">
        <f t="shared" si="88"/>
        <v>0</v>
      </c>
      <c r="T432"/>
      <c r="U432"/>
    </row>
    <row r="433" spans="1:21">
      <c r="A433" s="708"/>
      <c r="B433" s="708"/>
      <c r="C433" s="709"/>
      <c r="D433" s="795"/>
      <c r="E433" s="796"/>
      <c r="F433" s="796"/>
      <c r="G433" s="796"/>
      <c r="H433" s="796"/>
      <c r="I433" s="796"/>
      <c r="J433" s="796"/>
      <c r="L433" s="709"/>
      <c r="M433" s="795"/>
      <c r="N433" s="796"/>
      <c r="O433" s="796"/>
      <c r="P433" s="796"/>
      <c r="Q433" s="796"/>
      <c r="R433" s="796"/>
      <c r="S433" s="796"/>
      <c r="T433"/>
      <c r="U433"/>
    </row>
    <row r="434" spans="1:21">
      <c r="A434" s="683">
        <v>2017</v>
      </c>
      <c r="B434" s="683"/>
      <c r="C434" s="1394" t="s">
        <v>1096</v>
      </c>
      <c r="D434" s="1450"/>
      <c r="E434" s="1444"/>
      <c r="F434" s="1445"/>
      <c r="G434" s="1445"/>
      <c r="H434" s="1445"/>
      <c r="I434" s="1446"/>
      <c r="J434" s="1431"/>
      <c r="L434" s="1394" t="s">
        <v>1096</v>
      </c>
      <c r="M434" s="1431"/>
      <c r="N434" s="1432"/>
      <c r="O434" s="1433"/>
      <c r="P434" s="1433"/>
      <c r="Q434" s="1433"/>
      <c r="R434" s="1448"/>
      <c r="S434" s="1431"/>
      <c r="T434"/>
      <c r="U434"/>
    </row>
    <row r="435" spans="1:21">
      <c r="A435" s="683">
        <v>2018</v>
      </c>
      <c r="B435" s="683"/>
      <c r="C435" s="695" t="s">
        <v>1097</v>
      </c>
      <c r="D435" s="816"/>
      <c r="E435" s="721"/>
      <c r="F435" s="959"/>
      <c r="G435" s="959"/>
      <c r="H435" s="959"/>
      <c r="I435" s="973"/>
      <c r="J435" s="961"/>
      <c r="L435" s="695" t="s">
        <v>1097</v>
      </c>
      <c r="M435" s="961"/>
      <c r="N435" s="721"/>
      <c r="O435" s="959"/>
      <c r="P435" s="959"/>
      <c r="Q435" s="959"/>
      <c r="R435" s="973"/>
      <c r="S435" s="961"/>
      <c r="T435"/>
      <c r="U435"/>
    </row>
    <row r="436" spans="1:21">
      <c r="A436" s="683">
        <v>2019</v>
      </c>
      <c r="B436" s="683"/>
      <c r="C436" s="695" t="s">
        <v>1098</v>
      </c>
      <c r="D436" s="961"/>
      <c r="E436" s="721"/>
      <c r="F436" s="959"/>
      <c r="G436" s="959"/>
      <c r="H436" s="959"/>
      <c r="I436" s="960"/>
      <c r="J436" s="961"/>
      <c r="L436" s="695" t="s">
        <v>1098</v>
      </c>
      <c r="M436" s="961"/>
      <c r="N436" s="721"/>
      <c r="O436" s="959"/>
      <c r="P436" s="959"/>
      <c r="Q436" s="959"/>
      <c r="R436" s="960"/>
      <c r="S436" s="961"/>
      <c r="T436"/>
      <c r="U436"/>
    </row>
    <row r="437" spans="1:21">
      <c r="A437" s="683" t="s">
        <v>127</v>
      </c>
      <c r="B437" s="683"/>
      <c r="C437" s="1558" t="s">
        <v>1099</v>
      </c>
      <c r="D437" s="1564"/>
      <c r="E437" s="1428"/>
      <c r="F437" s="970"/>
      <c r="G437" s="970"/>
      <c r="H437" s="970"/>
      <c r="I437" s="774"/>
      <c r="J437" s="1564"/>
      <c r="L437" s="1558" t="s">
        <v>1099</v>
      </c>
      <c r="M437" s="1564"/>
      <c r="N437" s="1428"/>
      <c r="O437" s="970"/>
      <c r="P437" s="970"/>
      <c r="Q437" s="970"/>
      <c r="R437" s="774"/>
      <c r="S437" s="1564"/>
      <c r="T437"/>
      <c r="U437"/>
    </row>
    <row r="438" spans="1:21">
      <c r="A438" s="683" t="s">
        <v>1046</v>
      </c>
      <c r="B438" s="683"/>
      <c r="C438" s="1401"/>
      <c r="D438" s="1401"/>
      <c r="E438" s="1401"/>
      <c r="F438" s="1401"/>
      <c r="G438" s="1401"/>
      <c r="H438" s="1401"/>
      <c r="I438" s="1401"/>
      <c r="J438" s="1401"/>
      <c r="L438" s="1416"/>
      <c r="M438" s="1416"/>
      <c r="N438" s="1416"/>
      <c r="O438" s="1416"/>
      <c r="P438" s="1416"/>
      <c r="Q438" s="1416"/>
      <c r="R438" s="1416"/>
      <c r="S438" s="1416"/>
      <c r="T438"/>
      <c r="U438"/>
    </row>
    <row r="439" spans="1:21">
      <c r="A439" s="683" t="s">
        <v>1046</v>
      </c>
      <c r="B439" s="683"/>
      <c r="C439" s="1401"/>
      <c r="D439" s="1401"/>
      <c r="E439" s="1401"/>
      <c r="F439" s="1401"/>
      <c r="G439" s="1401"/>
      <c r="H439" s="1401"/>
      <c r="I439" s="1401"/>
      <c r="J439" s="1401"/>
      <c r="L439" s="1413"/>
      <c r="M439" s="1413"/>
      <c r="N439" s="1413"/>
      <c r="O439" s="1413"/>
      <c r="P439" s="1413"/>
      <c r="Q439" s="1413"/>
      <c r="R439" s="1413"/>
      <c r="S439" s="1413"/>
      <c r="T439"/>
      <c r="U439"/>
    </row>
    <row r="440" spans="1:21">
      <c r="A440" s="683">
        <v>2022</v>
      </c>
      <c r="B440" s="683"/>
      <c r="C440" s="695" t="s">
        <v>1100</v>
      </c>
      <c r="D440" s="797"/>
      <c r="E440" s="721"/>
      <c r="F440" s="959"/>
      <c r="G440" s="959"/>
      <c r="H440" s="959"/>
      <c r="I440" s="960"/>
      <c r="J440" s="961"/>
      <c r="L440" s="695" t="s">
        <v>1100</v>
      </c>
      <c r="M440" s="797"/>
      <c r="N440" s="721"/>
      <c r="O440" s="959"/>
      <c r="P440" s="959"/>
      <c r="Q440" s="959"/>
      <c r="R440" s="960"/>
      <c r="S440" s="961"/>
      <c r="T440"/>
      <c r="U440"/>
    </row>
    <row r="441" spans="1:21">
      <c r="A441" s="683">
        <v>2023</v>
      </c>
      <c r="B441" s="683"/>
      <c r="C441" s="695" t="s">
        <v>1101</v>
      </c>
      <c r="D441" s="797"/>
      <c r="E441" s="721"/>
      <c r="F441" s="959"/>
      <c r="G441" s="959"/>
      <c r="H441" s="959"/>
      <c r="I441" s="973"/>
      <c r="J441" s="961"/>
      <c r="L441" s="695" t="s">
        <v>1101</v>
      </c>
      <c r="M441" s="797"/>
      <c r="N441" s="721"/>
      <c r="O441" s="959"/>
      <c r="P441" s="959"/>
      <c r="Q441" s="959"/>
      <c r="R441" s="973"/>
      <c r="S441" s="961"/>
      <c r="T441"/>
      <c r="U441"/>
    </row>
    <row r="442" spans="1:21">
      <c r="A442" s="683">
        <v>2024</v>
      </c>
      <c r="B442" s="683"/>
      <c r="C442" s="705" t="s">
        <v>1102</v>
      </c>
      <c r="D442" s="798"/>
      <c r="E442" s="766"/>
      <c r="F442" s="767"/>
      <c r="G442" s="767"/>
      <c r="H442" s="767"/>
      <c r="I442" s="790"/>
      <c r="J442" s="778"/>
      <c r="L442" s="705" t="s">
        <v>1102</v>
      </c>
      <c r="M442" s="798"/>
      <c r="N442" s="766"/>
      <c r="O442" s="767"/>
      <c r="P442" s="767"/>
      <c r="Q442" s="767"/>
      <c r="R442" s="790"/>
      <c r="S442" s="778"/>
      <c r="T442"/>
      <c r="U442"/>
    </row>
    <row r="443" spans="1:21">
      <c r="A443" s="683" t="s">
        <v>12</v>
      </c>
      <c r="B443" s="683"/>
      <c r="C443" s="1568" t="s">
        <v>1103</v>
      </c>
      <c r="D443" s="1567"/>
      <c r="E443" s="1428"/>
      <c r="F443" s="970"/>
      <c r="G443" s="970"/>
      <c r="H443" s="970"/>
      <c r="I443" s="774"/>
      <c r="J443" s="1567"/>
      <c r="L443" s="1568" t="s">
        <v>1103</v>
      </c>
      <c r="M443" s="1567"/>
      <c r="N443" s="1428"/>
      <c r="O443" s="970"/>
      <c r="P443" s="970"/>
      <c r="Q443" s="970"/>
      <c r="R443" s="774"/>
      <c r="S443" s="1567"/>
      <c r="T443"/>
      <c r="U443"/>
    </row>
    <row r="444" spans="1:21">
      <c r="A444" s="708"/>
      <c r="B444" s="708"/>
      <c r="C444" s="709"/>
      <c r="D444" s="795"/>
      <c r="E444" s="795"/>
      <c r="F444" s="795"/>
      <c r="G444" s="795"/>
      <c r="H444" s="795"/>
      <c r="I444" s="799"/>
      <c r="J444" s="795"/>
      <c r="L444" s="709"/>
      <c r="M444" s="795"/>
      <c r="N444" s="795"/>
      <c r="O444" s="795"/>
      <c r="P444" s="795"/>
      <c r="Q444" s="795"/>
      <c r="R444" s="799"/>
      <c r="S444" s="795"/>
      <c r="T444"/>
      <c r="U444"/>
    </row>
    <row r="445" spans="1:21">
      <c r="A445" s="683">
        <v>2017</v>
      </c>
      <c r="B445" s="683"/>
      <c r="C445" s="1394" t="s">
        <v>1104</v>
      </c>
      <c r="D445" s="1395">
        <v>0</v>
      </c>
      <c r="E445" s="1405">
        <v>0</v>
      </c>
      <c r="F445" s="1406">
        <v>0</v>
      </c>
      <c r="G445" s="1406">
        <v>0</v>
      </c>
      <c r="H445" s="1406">
        <v>0</v>
      </c>
      <c r="I445" s="1407">
        <v>0</v>
      </c>
      <c r="J445" s="1431"/>
      <c r="L445" s="1394" t="s">
        <v>1104</v>
      </c>
      <c r="M445" s="1395">
        <v>0</v>
      </c>
      <c r="N445" s="1405">
        <v>0</v>
      </c>
      <c r="O445" s="1406">
        <v>0</v>
      </c>
      <c r="P445" s="1406">
        <v>0</v>
      </c>
      <c r="Q445" s="1406">
        <v>0</v>
      </c>
      <c r="R445" s="1407">
        <v>0</v>
      </c>
      <c r="S445" s="1431"/>
      <c r="T445"/>
      <c r="U445"/>
    </row>
    <row r="446" spans="1:21">
      <c r="A446" s="683">
        <v>2018</v>
      </c>
      <c r="B446" s="683"/>
      <c r="C446" s="695" t="s">
        <v>1105</v>
      </c>
      <c r="D446" s="964">
        <v>0</v>
      </c>
      <c r="E446" s="710">
        <v>0</v>
      </c>
      <c r="F446" s="963">
        <v>0</v>
      </c>
      <c r="G446" s="963">
        <v>0</v>
      </c>
      <c r="H446" s="963">
        <v>0</v>
      </c>
      <c r="I446" s="965">
        <v>0</v>
      </c>
      <c r="J446" s="961"/>
      <c r="L446" s="695" t="s">
        <v>1105</v>
      </c>
      <c r="M446" s="964">
        <v>0</v>
      </c>
      <c r="N446" s="710">
        <f>+M446</f>
        <v>0</v>
      </c>
      <c r="O446" s="963">
        <v>0</v>
      </c>
      <c r="P446" s="963">
        <v>0</v>
      </c>
      <c r="Q446" s="963">
        <v>0</v>
      </c>
      <c r="R446" s="965">
        <v>0</v>
      </c>
      <c r="S446" s="961"/>
      <c r="T446"/>
      <c r="U446"/>
    </row>
    <row r="447" spans="1:21">
      <c r="A447" s="683">
        <v>2019</v>
      </c>
      <c r="B447" s="683"/>
      <c r="C447" s="695" t="s">
        <v>1106</v>
      </c>
      <c r="D447" s="964">
        <v>0</v>
      </c>
      <c r="E447" s="958"/>
      <c r="F447" s="963">
        <v>0</v>
      </c>
      <c r="G447" s="963">
        <v>0</v>
      </c>
      <c r="H447" s="963">
        <v>0</v>
      </c>
      <c r="I447" s="965">
        <v>0</v>
      </c>
      <c r="J447" s="961"/>
      <c r="L447" s="695" t="s">
        <v>1106</v>
      </c>
      <c r="M447" s="964">
        <v>0</v>
      </c>
      <c r="N447" s="958"/>
      <c r="O447" s="963">
        <f>+M447</f>
        <v>0</v>
      </c>
      <c r="P447" s="963">
        <v>0</v>
      </c>
      <c r="Q447" s="963">
        <v>0</v>
      </c>
      <c r="R447" s="965">
        <v>0</v>
      </c>
      <c r="S447" s="961"/>
      <c r="T447"/>
      <c r="U447"/>
    </row>
    <row r="448" spans="1:21">
      <c r="A448" s="683" t="s">
        <v>127</v>
      </c>
      <c r="B448" s="683"/>
      <c r="C448" s="1558" t="s">
        <v>1107</v>
      </c>
      <c r="D448" s="700">
        <f t="shared" ref="D448:I448" si="89">SUM(D445:D447)</f>
        <v>0</v>
      </c>
      <c r="E448" s="700">
        <f t="shared" si="89"/>
        <v>0</v>
      </c>
      <c r="F448" s="700">
        <f t="shared" si="89"/>
        <v>0</v>
      </c>
      <c r="G448" s="700">
        <f t="shared" si="89"/>
        <v>0</v>
      </c>
      <c r="H448" s="700">
        <f t="shared" si="89"/>
        <v>0</v>
      </c>
      <c r="I448" s="713">
        <f t="shared" si="89"/>
        <v>0</v>
      </c>
      <c r="J448" s="1564"/>
      <c r="L448" s="1558" t="s">
        <v>1107</v>
      </c>
      <c r="M448" s="700">
        <f t="shared" ref="M448:R448" si="90">SUM(M445:M447)</f>
        <v>0</v>
      </c>
      <c r="N448" s="700">
        <f t="shared" si="90"/>
        <v>0</v>
      </c>
      <c r="O448" s="700">
        <f t="shared" si="90"/>
        <v>0</v>
      </c>
      <c r="P448" s="700">
        <f t="shared" si="90"/>
        <v>0</v>
      </c>
      <c r="Q448" s="700">
        <f t="shared" si="90"/>
        <v>0</v>
      </c>
      <c r="R448" s="713">
        <f t="shared" si="90"/>
        <v>0</v>
      </c>
      <c r="S448" s="1564"/>
      <c r="T448"/>
      <c r="U448"/>
    </row>
    <row r="449" spans="1:21">
      <c r="A449" s="683" t="s">
        <v>1046</v>
      </c>
      <c r="B449" s="683"/>
      <c r="C449" s="1401"/>
      <c r="D449" s="1401"/>
      <c r="E449" s="1401"/>
      <c r="F449" s="1401"/>
      <c r="G449" s="1401"/>
      <c r="H449" s="1401"/>
      <c r="I449" s="1401"/>
      <c r="J449" s="1401"/>
      <c r="L449" s="1401"/>
      <c r="M449" s="1401"/>
      <c r="N449" s="1401"/>
      <c r="O449" s="1401"/>
      <c r="P449" s="1401"/>
      <c r="Q449" s="1401"/>
      <c r="R449" s="1401"/>
      <c r="S449" s="1401"/>
      <c r="T449"/>
      <c r="U449"/>
    </row>
    <row r="450" spans="1:21">
      <c r="A450" s="683" t="s">
        <v>1047</v>
      </c>
      <c r="B450" s="683"/>
      <c r="C450" s="695" t="s">
        <v>1108</v>
      </c>
      <c r="D450" s="976">
        <f t="array" ref="D450:D453">TRANSPOSE('ERT Supervision'!C59:F59)</f>
        <v>0</v>
      </c>
      <c r="E450" s="958"/>
      <c r="F450" s="962"/>
      <c r="G450" s="959"/>
      <c r="H450" s="963">
        <f>+D450</f>
        <v>0</v>
      </c>
      <c r="I450" s="960"/>
      <c r="J450" s="961"/>
      <c r="L450" s="695" t="s">
        <v>1108</v>
      </c>
      <c r="M450" s="976">
        <f t="array" ref="M450:M453">TRANSPOSE('TRM Supervision'!C59:F59)</f>
        <v>0</v>
      </c>
      <c r="N450" s="958"/>
      <c r="O450" s="962"/>
      <c r="P450" s="959"/>
      <c r="Q450" s="963">
        <f>+M450</f>
        <v>0</v>
      </c>
      <c r="R450" s="960"/>
      <c r="S450" s="961"/>
      <c r="T450"/>
      <c r="U450"/>
    </row>
    <row r="451" spans="1:21">
      <c r="A451" s="683">
        <v>2022</v>
      </c>
      <c r="B451" s="683"/>
      <c r="C451" s="695" t="s">
        <v>1109</v>
      </c>
      <c r="D451" s="964">
        <v>0</v>
      </c>
      <c r="E451" s="958"/>
      <c r="F451" s="962"/>
      <c r="G451" s="959"/>
      <c r="H451" s="959"/>
      <c r="I451" s="965">
        <f>+D451</f>
        <v>0</v>
      </c>
      <c r="J451" s="961"/>
      <c r="L451" s="695" t="s">
        <v>1109</v>
      </c>
      <c r="M451" s="964">
        <v>0</v>
      </c>
      <c r="N451" s="958"/>
      <c r="O451" s="962"/>
      <c r="P451" s="959"/>
      <c r="Q451" s="959"/>
      <c r="R451" s="965">
        <f>+M451</f>
        <v>0</v>
      </c>
      <c r="S451" s="961"/>
      <c r="T451"/>
      <c r="U451"/>
    </row>
    <row r="452" spans="1:21">
      <c r="A452" s="683">
        <v>2023</v>
      </c>
      <c r="B452" s="683"/>
      <c r="C452" s="695" t="s">
        <v>1110</v>
      </c>
      <c r="D452" s="964">
        <v>0</v>
      </c>
      <c r="E452" s="958"/>
      <c r="F452" s="962"/>
      <c r="G452" s="959"/>
      <c r="H452" s="959"/>
      <c r="I452" s="973"/>
      <c r="J452" s="964">
        <f>+D452</f>
        <v>0</v>
      </c>
      <c r="L452" s="695" t="s">
        <v>1110</v>
      </c>
      <c r="M452" s="964">
        <v>0</v>
      </c>
      <c r="N452" s="958"/>
      <c r="O452" s="962"/>
      <c r="P452" s="959"/>
      <c r="Q452" s="959"/>
      <c r="R452" s="973"/>
      <c r="S452" s="964">
        <f>+M452</f>
        <v>0</v>
      </c>
      <c r="T452"/>
      <c r="U452"/>
    </row>
    <row r="453" spans="1:21">
      <c r="A453" s="683">
        <v>2024</v>
      </c>
      <c r="B453" s="683"/>
      <c r="C453" s="705" t="s">
        <v>1111</v>
      </c>
      <c r="D453" s="706">
        <v>0</v>
      </c>
      <c r="E453" s="966"/>
      <c r="F453" s="967"/>
      <c r="G453" s="967"/>
      <c r="H453" s="967"/>
      <c r="I453" s="974"/>
      <c r="J453" s="706">
        <f>+D453</f>
        <v>0</v>
      </c>
      <c r="L453" s="705" t="s">
        <v>1111</v>
      </c>
      <c r="M453" s="706">
        <v>0</v>
      </c>
      <c r="N453" s="966"/>
      <c r="O453" s="967"/>
      <c r="P453" s="967"/>
      <c r="Q453" s="967"/>
      <c r="R453" s="974"/>
      <c r="S453" s="706">
        <f>+M453</f>
        <v>0</v>
      </c>
      <c r="T453"/>
      <c r="U453"/>
    </row>
    <row r="454" spans="1:21">
      <c r="A454" s="683" t="s">
        <v>12</v>
      </c>
      <c r="B454" s="683"/>
      <c r="C454" s="1568" t="s">
        <v>1112</v>
      </c>
      <c r="D454" s="1562">
        <f>SUM(D448:D453)</f>
        <v>0</v>
      </c>
      <c r="E454" s="1402">
        <f t="shared" ref="E454:J454" si="91">SUM(E448:E453)</f>
        <v>0</v>
      </c>
      <c r="F454" s="968">
        <f t="shared" si="91"/>
        <v>0</v>
      </c>
      <c r="G454" s="968">
        <f t="shared" si="91"/>
        <v>0</v>
      </c>
      <c r="H454" s="968">
        <f t="shared" si="91"/>
        <v>0</v>
      </c>
      <c r="I454" s="969">
        <f t="shared" si="91"/>
        <v>0</v>
      </c>
      <c r="J454" s="1562">
        <f t="shared" si="91"/>
        <v>0</v>
      </c>
      <c r="L454" s="1568" t="s">
        <v>1112</v>
      </c>
      <c r="M454" s="1562">
        <f t="shared" ref="M454:S454" si="92">SUM(M448:M453)</f>
        <v>0</v>
      </c>
      <c r="N454" s="1402">
        <f t="shared" si="92"/>
        <v>0</v>
      </c>
      <c r="O454" s="968">
        <f t="shared" si="92"/>
        <v>0</v>
      </c>
      <c r="P454" s="968">
        <f t="shared" si="92"/>
        <v>0</v>
      </c>
      <c r="Q454" s="968">
        <f t="shared" si="92"/>
        <v>0</v>
      </c>
      <c r="R454" s="969">
        <f t="shared" si="92"/>
        <v>0</v>
      </c>
      <c r="S454" s="1562">
        <f t="shared" si="92"/>
        <v>0</v>
      </c>
      <c r="T454"/>
      <c r="U454"/>
    </row>
    <row r="455" spans="1:21">
      <c r="A455" s="708"/>
      <c r="B455" s="708"/>
      <c r="C455" s="709"/>
      <c r="D455" s="795"/>
      <c r="E455" s="796"/>
      <c r="F455" s="796"/>
      <c r="G455" s="796"/>
      <c r="H455" s="796"/>
      <c r="I455" s="796"/>
      <c r="J455" s="796"/>
      <c r="L455" s="709"/>
      <c r="M455" s="795"/>
      <c r="N455" s="796"/>
      <c r="O455" s="796"/>
      <c r="P455" s="796"/>
      <c r="Q455" s="796"/>
      <c r="R455" s="796"/>
      <c r="S455" s="796"/>
      <c r="T455"/>
      <c r="U455"/>
    </row>
    <row r="456" spans="1:21">
      <c r="A456" s="683">
        <v>2017</v>
      </c>
      <c r="B456" s="683"/>
      <c r="C456" s="1394" t="s">
        <v>1113</v>
      </c>
      <c r="D456" s="1395">
        <v>0</v>
      </c>
      <c r="E456" s="1405">
        <v>0</v>
      </c>
      <c r="F456" s="1406">
        <v>0</v>
      </c>
      <c r="G456" s="1406">
        <v>0</v>
      </c>
      <c r="H456" s="1406">
        <v>0</v>
      </c>
      <c r="I456" s="1407">
        <v>0</v>
      </c>
      <c r="J456" s="1395">
        <f t="shared" ref="J456:J464" si="93">D456-SUM(E456:I456)</f>
        <v>0</v>
      </c>
      <c r="L456" s="1394" t="s">
        <v>1113</v>
      </c>
      <c r="M456" s="1395">
        <v>0</v>
      </c>
      <c r="N456" s="1405">
        <v>0</v>
      </c>
      <c r="O456" s="1406">
        <v>0</v>
      </c>
      <c r="P456" s="1406">
        <v>0</v>
      </c>
      <c r="Q456" s="1406">
        <v>0</v>
      </c>
      <c r="R456" s="1407">
        <v>0</v>
      </c>
      <c r="S456" s="1395">
        <f>M456-SUM(N456:R456)</f>
        <v>0</v>
      </c>
      <c r="T456"/>
      <c r="U456"/>
    </row>
    <row r="457" spans="1:21">
      <c r="A457" s="683">
        <v>2018</v>
      </c>
      <c r="B457" s="683"/>
      <c r="C457" s="695" t="s">
        <v>1114</v>
      </c>
      <c r="D457" s="964">
        <v>-887</v>
      </c>
      <c r="E457" s="710">
        <v>-887</v>
      </c>
      <c r="F457" s="963">
        <v>0</v>
      </c>
      <c r="G457" s="963">
        <v>0</v>
      </c>
      <c r="H457" s="963">
        <v>0</v>
      </c>
      <c r="I457" s="965">
        <v>0</v>
      </c>
      <c r="J457" s="964">
        <f t="shared" si="93"/>
        <v>0</v>
      </c>
      <c r="L457" s="695" t="s">
        <v>1114</v>
      </c>
      <c r="M457" s="964">
        <v>-116.47037698480686</v>
      </c>
      <c r="N457" s="710">
        <f>M457</f>
        <v>-116.47037698480686</v>
      </c>
      <c r="O457" s="963">
        <v>0</v>
      </c>
      <c r="P457" s="963">
        <v>0</v>
      </c>
      <c r="Q457" s="963">
        <v>0</v>
      </c>
      <c r="R457" s="965">
        <v>0</v>
      </c>
      <c r="S457" s="964">
        <f>M457-SUM(N457:R457)</f>
        <v>0</v>
      </c>
      <c r="T457"/>
      <c r="U457"/>
    </row>
    <row r="458" spans="1:21">
      <c r="A458" s="683">
        <v>2019</v>
      </c>
      <c r="B458" s="683"/>
      <c r="C458" s="695" t="s">
        <v>1115</v>
      </c>
      <c r="D458" s="964">
        <v>-943.75481948542699</v>
      </c>
      <c r="E458" s="958"/>
      <c r="F458" s="963">
        <v>-943.75481948542699</v>
      </c>
      <c r="G458" s="963">
        <v>0</v>
      </c>
      <c r="H458" s="963">
        <v>0</v>
      </c>
      <c r="I458" s="965">
        <v>0</v>
      </c>
      <c r="J458" s="964">
        <f t="shared" si="93"/>
        <v>0</v>
      </c>
      <c r="L458" s="695" t="s">
        <v>1115</v>
      </c>
      <c r="M458" s="964">
        <v>-115.697152615501</v>
      </c>
      <c r="N458" s="958"/>
      <c r="O458" s="963">
        <f>+M458</f>
        <v>-115.697152615501</v>
      </c>
      <c r="P458" s="963">
        <v>0</v>
      </c>
      <c r="Q458" s="963">
        <v>0</v>
      </c>
      <c r="R458" s="965">
        <v>0</v>
      </c>
      <c r="S458" s="964">
        <f>M458-SUM(N458:R458)</f>
        <v>0</v>
      </c>
      <c r="T458"/>
      <c r="U458"/>
    </row>
    <row r="459" spans="1:21">
      <c r="A459" s="683" t="s">
        <v>127</v>
      </c>
      <c r="B459" s="683"/>
      <c r="C459" s="1558" t="s">
        <v>1116</v>
      </c>
      <c r="D459" s="1559">
        <f t="shared" ref="D459:J459" si="94">SUM(D456:D458)</f>
        <v>-1830.7548194854271</v>
      </c>
      <c r="E459" s="1559">
        <f t="shared" si="94"/>
        <v>-887</v>
      </c>
      <c r="F459" s="1559">
        <f t="shared" si="94"/>
        <v>-943.75481948542699</v>
      </c>
      <c r="G459" s="1559">
        <f t="shared" si="94"/>
        <v>0</v>
      </c>
      <c r="H459" s="1559">
        <f t="shared" si="94"/>
        <v>0</v>
      </c>
      <c r="I459" s="1559">
        <f t="shared" si="94"/>
        <v>0</v>
      </c>
      <c r="J459" s="1559">
        <f t="shared" si="94"/>
        <v>0</v>
      </c>
      <c r="L459" s="1558" t="s">
        <v>1116</v>
      </c>
      <c r="M459" s="1559">
        <f t="shared" ref="M459:S459" si="95">SUM(M456:M458)</f>
        <v>-232.16752960030786</v>
      </c>
      <c r="N459" s="699">
        <f t="shared" si="95"/>
        <v>-116.47037698480686</v>
      </c>
      <c r="O459" s="700">
        <f t="shared" si="95"/>
        <v>-115.697152615501</v>
      </c>
      <c r="P459" s="700">
        <f t="shared" si="95"/>
        <v>0</v>
      </c>
      <c r="Q459" s="700">
        <f t="shared" si="95"/>
        <v>0</v>
      </c>
      <c r="R459" s="800">
        <f t="shared" si="95"/>
        <v>0</v>
      </c>
      <c r="S459" s="1559">
        <f t="shared" si="95"/>
        <v>0</v>
      </c>
      <c r="T459"/>
      <c r="U459"/>
    </row>
    <row r="460" spans="1:21">
      <c r="A460" s="683" t="s">
        <v>1047</v>
      </c>
      <c r="B460" s="683"/>
      <c r="C460" s="695" t="s">
        <v>1117</v>
      </c>
      <c r="D460" s="964">
        <f>(E368+E379+E432+E437+E448+E459+E465+E476+E487+E498+E509)*-('Supervision ERT'!O68/'ERT Supervision'!C104-1)</f>
        <v>-828.82216626375566</v>
      </c>
      <c r="E460" s="721"/>
      <c r="F460" s="959"/>
      <c r="G460" s="1419">
        <f>D460</f>
        <v>-828.82216626375566</v>
      </c>
      <c r="H460" s="1419">
        <v>0</v>
      </c>
      <c r="I460" s="1420">
        <v>0</v>
      </c>
      <c r="J460" s="964">
        <f>D460-SUM(E460:I460)</f>
        <v>0</v>
      </c>
      <c r="L460" s="755" t="s">
        <v>1117</v>
      </c>
      <c r="M460" s="964">
        <f>(N368+N379+N432+N437+N448+N459+N465+N476+N487+N498+N509)*-('Supervision TRM'!O68/'TRM Supervision'!C104-1)</f>
        <v>-94.193007786054039</v>
      </c>
      <c r="N460" s="1421"/>
      <c r="O460" s="1422"/>
      <c r="P460" s="1419">
        <f>M460</f>
        <v>-94.193007786054039</v>
      </c>
      <c r="Q460" s="1419">
        <v>0</v>
      </c>
      <c r="R460" s="1419">
        <v>0</v>
      </c>
      <c r="S460" s="1395">
        <f>M460-SUM(N460:R460)</f>
        <v>0</v>
      </c>
      <c r="T460"/>
      <c r="U460"/>
    </row>
    <row r="461" spans="1:21">
      <c r="A461" s="683" t="s">
        <v>1047</v>
      </c>
      <c r="B461" s="683"/>
      <c r="C461" s="695" t="s">
        <v>1118</v>
      </c>
      <c r="D461" s="982">
        <f>(F368+F379+F432+F437+F448+F459+F465+F476+F487+F498+F509)*-('Supervision ERT'!P68/'ERT Supervision'!C105-1)</f>
        <v>-2645.5978243533732</v>
      </c>
      <c r="E461" s="721"/>
      <c r="F461" s="959"/>
      <c r="G461" s="959"/>
      <c r="H461" s="971">
        <f>+D461</f>
        <v>-2645.5978243533732</v>
      </c>
      <c r="I461" s="972">
        <v>0</v>
      </c>
      <c r="J461" s="964">
        <f>D461-SUM(E461:I461)</f>
        <v>0</v>
      </c>
      <c r="L461" s="755" t="s">
        <v>1118</v>
      </c>
      <c r="M461" s="982">
        <f>(O368+O379+O432+O437+O448+O459+O465+O476+O487+O498+O509)*-('Supervision TRM'!P68/'TRM Supervision'!C105-1)</f>
        <v>-94.064987533934527</v>
      </c>
      <c r="N461" s="722"/>
      <c r="O461" s="909"/>
      <c r="P461" s="723"/>
      <c r="Q461" s="971">
        <f>+M461</f>
        <v>-94.064987533934527</v>
      </c>
      <c r="R461" s="972">
        <v>0</v>
      </c>
      <c r="S461" s="964">
        <f>M461-SUM(N461:R461)</f>
        <v>0</v>
      </c>
      <c r="T461"/>
      <c r="U461"/>
    </row>
    <row r="462" spans="1:21">
      <c r="A462" s="683">
        <v>2022</v>
      </c>
      <c r="B462" s="683"/>
      <c r="C462" s="695" t="s">
        <v>1119</v>
      </c>
      <c r="D462" s="964">
        <f>(G368+G379+G432+G437+G448+G459+G465+G476+G487+G498+G509)*-'ERT Supervision'!D40</f>
        <v>0</v>
      </c>
      <c r="E462" s="815"/>
      <c r="F462" s="724"/>
      <c r="G462" s="724"/>
      <c r="H462" s="724"/>
      <c r="I462" s="972">
        <f>+D462</f>
        <v>0</v>
      </c>
      <c r="J462" s="964">
        <f t="shared" si="93"/>
        <v>0</v>
      </c>
      <c r="L462" s="755" t="s">
        <v>1119</v>
      </c>
      <c r="M462" s="964">
        <f>(P368+P379+P432+P437+P448+P459+P465+P476+P487+P498+P509)*-'TRM Supervision'!D40</f>
        <v>0</v>
      </c>
      <c r="N462" s="722"/>
      <c r="O462" s="909"/>
      <c r="P462" s="723"/>
      <c r="Q462" s="724"/>
      <c r="R462" s="972">
        <f>+M462</f>
        <v>0</v>
      </c>
      <c r="S462" s="964">
        <f>M462-SUM(N462:R462)</f>
        <v>0</v>
      </c>
      <c r="T462"/>
      <c r="U462"/>
    </row>
    <row r="463" spans="1:21">
      <c r="A463" s="683">
        <v>2023</v>
      </c>
      <c r="B463" s="683"/>
      <c r="C463" s="695" t="s">
        <v>1120</v>
      </c>
      <c r="D463" s="964">
        <f>(H368+H379+H432+H437+H448+H459+H465+H476+H487+H498+H509)*-'ERT Supervision'!E40</f>
        <v>0</v>
      </c>
      <c r="E463" s="815"/>
      <c r="F463" s="724"/>
      <c r="G463" s="724"/>
      <c r="H463" s="724"/>
      <c r="I463" s="793"/>
      <c r="J463" s="964">
        <f t="shared" si="93"/>
        <v>0</v>
      </c>
      <c r="L463" s="755" t="s">
        <v>1120</v>
      </c>
      <c r="M463" s="964">
        <f>(Q368+Q379+Q432+Q437+Q448+Q459+Q465+Q476+Q487+Q498+Q509)*-'TRM Supervision'!E40</f>
        <v>0</v>
      </c>
      <c r="N463" s="722"/>
      <c r="O463" s="909"/>
      <c r="P463" s="723"/>
      <c r="Q463" s="723"/>
      <c r="R463" s="725"/>
      <c r="S463" s="964">
        <f>M463-SUM(N463:R463)</f>
        <v>0</v>
      </c>
      <c r="T463"/>
      <c r="U463"/>
    </row>
    <row r="464" spans="1:21">
      <c r="A464" s="683">
        <v>2024</v>
      </c>
      <c r="B464" s="683"/>
      <c r="C464" s="705" t="s">
        <v>1121</v>
      </c>
      <c r="D464" s="706">
        <f>(I368+I379+I432+I437+I448+I459+I465+I476+I487+I498+I509)*-'ERT Supervision'!F40</f>
        <v>0</v>
      </c>
      <c r="E464" s="815"/>
      <c r="F464" s="724"/>
      <c r="G464" s="724"/>
      <c r="H464" s="724"/>
      <c r="I464" s="793"/>
      <c r="J464" s="706">
        <f t="shared" si="93"/>
        <v>0</v>
      </c>
      <c r="L464" s="756" t="s">
        <v>1121</v>
      </c>
      <c r="M464" s="706">
        <f>(R368+R379+R432+R437+R448+R459+R465+R476+R487+R498+R509)*-'TRM Supervision'!F40</f>
        <v>0</v>
      </c>
      <c r="N464" s="731"/>
      <c r="O464" s="912"/>
      <c r="P464" s="732"/>
      <c r="Q464" s="732"/>
      <c r="R464" s="757"/>
      <c r="S464" s="706">
        <f>M464-SUM(N464:R464)</f>
        <v>0</v>
      </c>
      <c r="T464"/>
      <c r="U464"/>
    </row>
    <row r="465" spans="1:21">
      <c r="A465" s="683" t="s">
        <v>127</v>
      </c>
      <c r="B465" s="683"/>
      <c r="C465" s="1570" t="s">
        <v>1122</v>
      </c>
      <c r="D465" s="1559">
        <f t="shared" ref="D465:J465" si="96">SUM(D460:D464)</f>
        <v>-3474.4199906171289</v>
      </c>
      <c r="E465" s="1408">
        <f t="shared" si="96"/>
        <v>0</v>
      </c>
      <c r="F465" s="700">
        <f t="shared" si="96"/>
        <v>0</v>
      </c>
      <c r="G465" s="700">
        <f t="shared" si="96"/>
        <v>-828.82216626375566</v>
      </c>
      <c r="H465" s="700">
        <f t="shared" si="96"/>
        <v>-2645.5978243533732</v>
      </c>
      <c r="I465" s="713">
        <f t="shared" si="96"/>
        <v>0</v>
      </c>
      <c r="J465" s="1559">
        <f t="shared" si="96"/>
        <v>0</v>
      </c>
      <c r="L465" s="1558" t="s">
        <v>1122</v>
      </c>
      <c r="M465" s="706">
        <f t="shared" ref="M465:S465" si="97">SUM(M460:M464)</f>
        <v>-188.25799531998857</v>
      </c>
      <c r="N465" s="1408">
        <f t="shared" si="97"/>
        <v>0</v>
      </c>
      <c r="O465" s="700">
        <f t="shared" si="97"/>
        <v>0</v>
      </c>
      <c r="P465" s="700">
        <f t="shared" si="97"/>
        <v>-94.193007786054039</v>
      </c>
      <c r="Q465" s="700">
        <f t="shared" si="97"/>
        <v>-94.064987533934527</v>
      </c>
      <c r="R465" s="713">
        <f>SUM(R460:R464)</f>
        <v>0</v>
      </c>
      <c r="S465" s="1559">
        <f t="shared" si="97"/>
        <v>0</v>
      </c>
      <c r="T465"/>
      <c r="U465"/>
    </row>
    <row r="466" spans="1:21">
      <c r="A466" s="683" t="s">
        <v>1046</v>
      </c>
      <c r="B466" s="683"/>
      <c r="C466" s="1401"/>
      <c r="D466" s="1401"/>
      <c r="E466" s="1401"/>
      <c r="F466" s="1401"/>
      <c r="G466" s="1401"/>
      <c r="H466" s="1401"/>
      <c r="I466" s="1401"/>
      <c r="J466" s="1401"/>
      <c r="L466" s="1401"/>
      <c r="M466" s="1401"/>
      <c r="N466" s="1401"/>
      <c r="O466" s="1401"/>
      <c r="P466" s="1401"/>
      <c r="Q466" s="1401"/>
      <c r="R466" s="1401"/>
      <c r="S466" s="1401"/>
      <c r="T466"/>
      <c r="U466"/>
    </row>
    <row r="467" spans="1:21">
      <c r="A467" s="683" t="s">
        <v>1047</v>
      </c>
      <c r="B467" s="683"/>
      <c r="C467" s="695" t="s">
        <v>1123</v>
      </c>
      <c r="D467" s="964">
        <f t="array" ref="D467:D470">TRANSPOSE('ERT Supervision'!C46:F46)</f>
        <v>0</v>
      </c>
      <c r="E467" s="958"/>
      <c r="F467" s="962"/>
      <c r="G467" s="959"/>
      <c r="H467" s="971">
        <f>D467</f>
        <v>0</v>
      </c>
      <c r="I467" s="963">
        <f>D467-H467</f>
        <v>0</v>
      </c>
      <c r="J467" s="961"/>
      <c r="L467" s="695" t="s">
        <v>1123</v>
      </c>
      <c r="M467" s="964">
        <f t="array" ref="M467:M470">TRANSPOSE('TRM Supervision'!C46:F46)</f>
        <v>0</v>
      </c>
      <c r="N467" s="958"/>
      <c r="O467" s="962"/>
      <c r="P467" s="959"/>
      <c r="Q467" s="971">
        <f>M467</f>
        <v>0</v>
      </c>
      <c r="R467" s="963">
        <f>M467-Q467</f>
        <v>0</v>
      </c>
      <c r="S467" s="961"/>
      <c r="T467"/>
      <c r="U467"/>
    </row>
    <row r="468" spans="1:21">
      <c r="A468" s="683">
        <v>2022</v>
      </c>
      <c r="B468" s="683"/>
      <c r="C468" s="695" t="s">
        <v>1124</v>
      </c>
      <c r="D468" s="964">
        <v>0</v>
      </c>
      <c r="E468" s="958"/>
      <c r="F468" s="962"/>
      <c r="G468" s="959"/>
      <c r="H468" s="959"/>
      <c r="I468" s="965">
        <f>D468</f>
        <v>0</v>
      </c>
      <c r="J468" s="961"/>
      <c r="L468" s="695" t="s">
        <v>1124</v>
      </c>
      <c r="M468" s="964">
        <v>0</v>
      </c>
      <c r="N468" s="958"/>
      <c r="O468" s="962"/>
      <c r="P468" s="959"/>
      <c r="Q468" s="959"/>
      <c r="R468" s="965">
        <f>M468</f>
        <v>0</v>
      </c>
      <c r="S468" s="961"/>
      <c r="T468"/>
      <c r="U468"/>
    </row>
    <row r="469" spans="1:21">
      <c r="A469" s="683">
        <v>2023</v>
      </c>
      <c r="B469" s="683"/>
      <c r="C469" s="695" t="s">
        <v>1125</v>
      </c>
      <c r="D469" s="964">
        <v>0</v>
      </c>
      <c r="E469" s="958"/>
      <c r="F469" s="962"/>
      <c r="G469" s="959"/>
      <c r="H469" s="959"/>
      <c r="I469" s="973"/>
      <c r="J469" s="714">
        <f>D469</f>
        <v>0</v>
      </c>
      <c r="L469" s="695" t="s">
        <v>1125</v>
      </c>
      <c r="M469" s="964">
        <v>0</v>
      </c>
      <c r="N469" s="958"/>
      <c r="O469" s="962"/>
      <c r="P469" s="959"/>
      <c r="Q469" s="959"/>
      <c r="R469" s="973"/>
      <c r="S469" s="714">
        <f>M469</f>
        <v>0</v>
      </c>
      <c r="T469"/>
      <c r="U469"/>
    </row>
    <row r="470" spans="1:21">
      <c r="A470" s="683">
        <v>2024</v>
      </c>
      <c r="B470" s="683"/>
      <c r="C470" s="705" t="s">
        <v>1126</v>
      </c>
      <c r="D470" s="706">
        <v>0</v>
      </c>
      <c r="E470" s="966"/>
      <c r="F470" s="967"/>
      <c r="G470" s="967"/>
      <c r="H470" s="967"/>
      <c r="I470" s="974"/>
      <c r="J470" s="715">
        <f>D470</f>
        <v>0</v>
      </c>
      <c r="L470" s="705" t="s">
        <v>1126</v>
      </c>
      <c r="M470" s="706">
        <v>0</v>
      </c>
      <c r="N470" s="966"/>
      <c r="O470" s="967"/>
      <c r="P470" s="967"/>
      <c r="Q470" s="967"/>
      <c r="R470" s="974"/>
      <c r="S470" s="715">
        <f>M470</f>
        <v>0</v>
      </c>
      <c r="T470"/>
      <c r="U470"/>
    </row>
    <row r="471" spans="1:21">
      <c r="A471" s="683" t="s">
        <v>12</v>
      </c>
      <c r="B471" s="683"/>
      <c r="C471" s="1568" t="s">
        <v>1127</v>
      </c>
      <c r="D471" s="1562">
        <f>D459+SUM(D465:D470)</f>
        <v>-5305.174810102556</v>
      </c>
      <c r="E471" s="1402">
        <f t="shared" ref="E471:J471" si="98">E459+SUM(E465:E470)</f>
        <v>-887</v>
      </c>
      <c r="F471" s="968">
        <f t="shared" si="98"/>
        <v>-943.75481948542699</v>
      </c>
      <c r="G471" s="968">
        <f t="shared" si="98"/>
        <v>-828.82216626375566</v>
      </c>
      <c r="H471" s="968">
        <f t="shared" si="98"/>
        <v>-2645.5978243533732</v>
      </c>
      <c r="I471" s="969">
        <f t="shared" si="98"/>
        <v>0</v>
      </c>
      <c r="J471" s="1562">
        <f t="shared" si="98"/>
        <v>0</v>
      </c>
      <c r="L471" s="1568" t="s">
        <v>1127</v>
      </c>
      <c r="M471" s="1562">
        <f>M459+SUM(M465:M470)</f>
        <v>-420.42552492029643</v>
      </c>
      <c r="N471" s="1402">
        <f t="shared" ref="N471:S471" si="99">N459+SUM(N465:N470)</f>
        <v>-116.47037698480686</v>
      </c>
      <c r="O471" s="968">
        <f t="shared" si="99"/>
        <v>-115.697152615501</v>
      </c>
      <c r="P471" s="968">
        <f t="shared" si="99"/>
        <v>-94.193007786054039</v>
      </c>
      <c r="Q471" s="968">
        <f t="shared" si="99"/>
        <v>-94.064987533934527</v>
      </c>
      <c r="R471" s="969">
        <f t="shared" si="99"/>
        <v>0</v>
      </c>
      <c r="S471" s="1562">
        <f t="shared" si="99"/>
        <v>0</v>
      </c>
      <c r="T471"/>
      <c r="U471"/>
    </row>
    <row r="472" spans="1:21">
      <c r="A472" s="708"/>
      <c r="B472" s="708"/>
      <c r="D472" s="801"/>
      <c r="E472" s="801"/>
      <c r="F472" s="802"/>
      <c r="G472" s="801"/>
      <c r="H472" s="801"/>
      <c r="I472" s="801"/>
      <c r="J472" s="801"/>
      <c r="M472" s="801"/>
      <c r="N472" s="801"/>
      <c r="O472" s="802"/>
      <c r="P472" s="801"/>
      <c r="Q472" s="801"/>
      <c r="R472" s="801"/>
      <c r="S472" s="801"/>
      <c r="T472"/>
      <c r="U472"/>
    </row>
    <row r="473" spans="1:21">
      <c r="A473" s="683">
        <v>2017</v>
      </c>
      <c r="B473" s="683"/>
      <c r="C473" s="1394" t="s">
        <v>1128</v>
      </c>
      <c r="D473" s="1423">
        <v>0</v>
      </c>
      <c r="E473" s="1405">
        <v>0</v>
      </c>
      <c r="F473" s="1406">
        <v>0</v>
      </c>
      <c r="G473" s="1451">
        <v>0</v>
      </c>
      <c r="H473" s="1451">
        <v>0</v>
      </c>
      <c r="I473" s="1452">
        <v>0</v>
      </c>
      <c r="J473" s="1395">
        <f t="shared" ref="J473:J481" si="100">D473-SUM(E473:I473)</f>
        <v>0</v>
      </c>
      <c r="L473" s="1394" t="s">
        <v>1128</v>
      </c>
      <c r="M473" s="1420">
        <v>0</v>
      </c>
      <c r="N473" s="1405">
        <v>0</v>
      </c>
      <c r="O473" s="1406">
        <v>0</v>
      </c>
      <c r="P473" s="1419">
        <v>0</v>
      </c>
      <c r="Q473" s="1419">
        <v>0</v>
      </c>
      <c r="R473" s="1420">
        <v>0</v>
      </c>
      <c r="S473" s="1395">
        <f t="shared" ref="S473:S481" si="101">M473-SUM(N473:R473)</f>
        <v>0</v>
      </c>
      <c r="T473"/>
      <c r="U473"/>
    </row>
    <row r="474" spans="1:21">
      <c r="A474" s="683">
        <v>2018</v>
      </c>
      <c r="B474" s="683"/>
      <c r="C474" s="695" t="s">
        <v>1129</v>
      </c>
      <c r="D474" s="727">
        <v>0</v>
      </c>
      <c r="E474" s="710">
        <v>0</v>
      </c>
      <c r="F474" s="963">
        <v>0</v>
      </c>
      <c r="G474" s="817">
        <v>0</v>
      </c>
      <c r="H474" s="817">
        <v>0</v>
      </c>
      <c r="I474" s="818">
        <v>0</v>
      </c>
      <c r="J474" s="964">
        <f t="shared" si="100"/>
        <v>0</v>
      </c>
      <c r="L474" s="695" t="s">
        <v>1129</v>
      </c>
      <c r="M474" s="972">
        <v>0</v>
      </c>
      <c r="N474" s="710">
        <v>0</v>
      </c>
      <c r="O474" s="963">
        <v>0</v>
      </c>
      <c r="P474" s="971">
        <v>0</v>
      </c>
      <c r="Q474" s="971">
        <v>0</v>
      </c>
      <c r="R474" s="972">
        <v>0</v>
      </c>
      <c r="S474" s="964">
        <f t="shared" si="101"/>
        <v>0</v>
      </c>
      <c r="T474"/>
      <c r="U474"/>
    </row>
    <row r="475" spans="1:21">
      <c r="A475" s="683">
        <v>2019</v>
      </c>
      <c r="B475" s="683"/>
      <c r="C475" s="695" t="s">
        <v>1130</v>
      </c>
      <c r="D475" s="727">
        <v>0</v>
      </c>
      <c r="E475" s="710">
        <v>0</v>
      </c>
      <c r="F475" s="963">
        <v>0</v>
      </c>
      <c r="G475" s="817">
        <v>0</v>
      </c>
      <c r="H475" s="817">
        <v>0</v>
      </c>
      <c r="I475" s="818">
        <v>0</v>
      </c>
      <c r="J475" s="964">
        <f t="shared" si="100"/>
        <v>0</v>
      </c>
      <c r="L475" s="695" t="s">
        <v>1130</v>
      </c>
      <c r="M475" s="730">
        <v>0</v>
      </c>
      <c r="N475" s="710">
        <v>0</v>
      </c>
      <c r="O475" s="963">
        <v>0</v>
      </c>
      <c r="P475" s="729">
        <v>0</v>
      </c>
      <c r="Q475" s="729">
        <v>0</v>
      </c>
      <c r="R475" s="730">
        <v>0</v>
      </c>
      <c r="S475" s="964">
        <f t="shared" si="101"/>
        <v>0</v>
      </c>
      <c r="T475"/>
      <c r="U475"/>
    </row>
    <row r="476" spans="1:21">
      <c r="A476" s="683" t="s">
        <v>127</v>
      </c>
      <c r="B476" s="683"/>
      <c r="C476" s="1558" t="s">
        <v>1131</v>
      </c>
      <c r="D476" s="1559">
        <f>SUM(D473:D475)</f>
        <v>0</v>
      </c>
      <c r="E476" s="1559">
        <f t="shared" ref="E476:J476" si="102">SUM(E473:E475)</f>
        <v>0</v>
      </c>
      <c r="F476" s="1559">
        <f t="shared" si="102"/>
        <v>0</v>
      </c>
      <c r="G476" s="1559">
        <f t="shared" si="102"/>
        <v>0</v>
      </c>
      <c r="H476" s="1559">
        <f t="shared" si="102"/>
        <v>0</v>
      </c>
      <c r="I476" s="1559">
        <f t="shared" si="102"/>
        <v>0</v>
      </c>
      <c r="J476" s="1559">
        <f t="shared" si="102"/>
        <v>0</v>
      </c>
      <c r="L476" s="1558" t="s">
        <v>1131</v>
      </c>
      <c r="M476" s="1559">
        <f>SUM(M473:M475)</f>
        <v>0</v>
      </c>
      <c r="N476" s="699">
        <f t="shared" ref="N476:S476" si="103">SUM(N473:N475)</f>
        <v>0</v>
      </c>
      <c r="O476" s="700">
        <f t="shared" si="103"/>
        <v>0</v>
      </c>
      <c r="P476" s="700">
        <f t="shared" si="103"/>
        <v>0</v>
      </c>
      <c r="Q476" s="700">
        <f t="shared" si="103"/>
        <v>0</v>
      </c>
      <c r="R476" s="800">
        <f t="shared" si="103"/>
        <v>0</v>
      </c>
      <c r="S476" s="1559">
        <f t="shared" si="103"/>
        <v>0</v>
      </c>
      <c r="T476"/>
      <c r="U476"/>
    </row>
    <row r="477" spans="1:21">
      <c r="A477" s="683" t="s">
        <v>1046</v>
      </c>
      <c r="B477" s="683"/>
      <c r="C477" s="1401"/>
      <c r="D477" s="1401"/>
      <c r="E477" s="1401"/>
      <c r="F477" s="1401"/>
      <c r="G477" s="1401"/>
      <c r="H477" s="1401"/>
      <c r="I477" s="1401"/>
      <c r="J477" s="1401"/>
      <c r="L477" s="1401"/>
      <c r="M477" s="1401"/>
      <c r="N477" s="1401"/>
      <c r="O477" s="1401"/>
      <c r="P477" s="1401"/>
      <c r="Q477" s="1401"/>
      <c r="R477" s="1401"/>
      <c r="S477" s="1401"/>
      <c r="T477"/>
      <c r="U477"/>
    </row>
    <row r="478" spans="1:21">
      <c r="A478" s="683" t="s">
        <v>1047</v>
      </c>
      <c r="B478" s="683"/>
      <c r="C478" s="695" t="s">
        <v>1132</v>
      </c>
      <c r="D478" s="964">
        <f t="array" ref="D478:D481">TRANSPOSE('ERT Supervision'!C69:F69)</f>
        <v>0</v>
      </c>
      <c r="E478" s="710">
        <v>0</v>
      </c>
      <c r="F478" s="963">
        <v>0</v>
      </c>
      <c r="G478" s="817">
        <v>0</v>
      </c>
      <c r="H478" s="817">
        <v>0</v>
      </c>
      <c r="I478" s="818">
        <v>0</v>
      </c>
      <c r="J478" s="964">
        <f t="shared" si="100"/>
        <v>0</v>
      </c>
      <c r="L478" s="695" t="s">
        <v>1132</v>
      </c>
      <c r="M478" s="964">
        <f t="array" ref="M478:M481">TRANSPOSE('TRM Supervision'!C69:F69)</f>
        <v>0</v>
      </c>
      <c r="N478" s="710">
        <v>0</v>
      </c>
      <c r="O478" s="963">
        <v>0</v>
      </c>
      <c r="P478" s="971">
        <v>0</v>
      </c>
      <c r="Q478" s="971">
        <v>0</v>
      </c>
      <c r="R478" s="972">
        <v>0</v>
      </c>
      <c r="S478" s="964">
        <f t="shared" si="101"/>
        <v>0</v>
      </c>
      <c r="T478"/>
      <c r="U478"/>
    </row>
    <row r="479" spans="1:21">
      <c r="A479" s="683">
        <v>2022</v>
      </c>
      <c r="B479" s="683"/>
      <c r="C479" s="695" t="s">
        <v>1133</v>
      </c>
      <c r="D479" s="803">
        <v>0</v>
      </c>
      <c r="E479" s="815"/>
      <c r="F479" s="724"/>
      <c r="G479" s="971">
        <v>0</v>
      </c>
      <c r="H479" s="971">
        <v>0</v>
      </c>
      <c r="I479" s="972">
        <v>0</v>
      </c>
      <c r="J479" s="964">
        <f t="shared" si="100"/>
        <v>0</v>
      </c>
      <c r="L479" s="695" t="s">
        <v>1133</v>
      </c>
      <c r="M479" s="803">
        <v>0</v>
      </c>
      <c r="N479" s="721"/>
      <c r="O479" s="959"/>
      <c r="P479" s="971">
        <v>0</v>
      </c>
      <c r="Q479" s="971">
        <v>0</v>
      </c>
      <c r="R479" s="972">
        <v>0</v>
      </c>
      <c r="S479" s="964">
        <f t="shared" si="101"/>
        <v>0</v>
      </c>
      <c r="T479"/>
      <c r="U479"/>
    </row>
    <row r="480" spans="1:21">
      <c r="A480" s="683">
        <v>2023</v>
      </c>
      <c r="B480" s="683"/>
      <c r="C480" s="695" t="s">
        <v>1134</v>
      </c>
      <c r="D480" s="803">
        <v>0</v>
      </c>
      <c r="E480" s="815"/>
      <c r="F480" s="724"/>
      <c r="G480" s="724"/>
      <c r="H480" s="817">
        <v>0</v>
      </c>
      <c r="I480" s="818">
        <v>0</v>
      </c>
      <c r="J480" s="964">
        <f t="shared" si="100"/>
        <v>0</v>
      </c>
      <c r="L480" s="695" t="s">
        <v>1134</v>
      </c>
      <c r="M480" s="803">
        <v>0</v>
      </c>
      <c r="N480" s="721"/>
      <c r="O480" s="959"/>
      <c r="P480" s="724"/>
      <c r="Q480" s="971">
        <v>0</v>
      </c>
      <c r="R480" s="972">
        <v>0</v>
      </c>
      <c r="S480" s="964">
        <f t="shared" si="101"/>
        <v>0</v>
      </c>
      <c r="T480"/>
      <c r="U480"/>
    </row>
    <row r="481" spans="1:21">
      <c r="A481" s="683">
        <v>2024</v>
      </c>
      <c r="B481" s="683"/>
      <c r="C481" s="705" t="s">
        <v>1135</v>
      </c>
      <c r="D481" s="804">
        <v>0</v>
      </c>
      <c r="E481" s="819"/>
      <c r="F481" s="805"/>
      <c r="G481" s="805"/>
      <c r="H481" s="805"/>
      <c r="I481" s="820">
        <v>0</v>
      </c>
      <c r="J481" s="706">
        <f t="shared" si="100"/>
        <v>0</v>
      </c>
      <c r="L481" s="705" t="s">
        <v>1135</v>
      </c>
      <c r="M481" s="804">
        <v>0</v>
      </c>
      <c r="N481" s="766"/>
      <c r="O481" s="767"/>
      <c r="P481" s="805"/>
      <c r="Q481" s="805"/>
      <c r="R481" s="730">
        <v>0</v>
      </c>
      <c r="S481" s="706">
        <f t="shared" si="101"/>
        <v>0</v>
      </c>
      <c r="T481"/>
      <c r="U481"/>
    </row>
    <row r="482" spans="1:21">
      <c r="A482" s="683" t="s">
        <v>12</v>
      </c>
      <c r="B482" s="683"/>
      <c r="C482" s="1568" t="s">
        <v>1136</v>
      </c>
      <c r="D482" s="1562">
        <f>SUM(D476:D481)</f>
        <v>0</v>
      </c>
      <c r="E482" s="1402">
        <f t="shared" ref="E482:J482" si="104">SUM(E476:E481)</f>
        <v>0</v>
      </c>
      <c r="F482" s="968">
        <f t="shared" si="104"/>
        <v>0</v>
      </c>
      <c r="G482" s="968">
        <f t="shared" si="104"/>
        <v>0</v>
      </c>
      <c r="H482" s="968">
        <f t="shared" si="104"/>
        <v>0</v>
      </c>
      <c r="I482" s="969">
        <f t="shared" si="104"/>
        <v>0</v>
      </c>
      <c r="J482" s="1562">
        <f t="shared" si="104"/>
        <v>0</v>
      </c>
      <c r="L482" s="1568" t="s">
        <v>1136</v>
      </c>
      <c r="M482" s="1562">
        <f>SUM(M476:M481)</f>
        <v>0</v>
      </c>
      <c r="N482" s="1402">
        <f t="shared" ref="N482:S482" si="105">SUM(N476:N481)</f>
        <v>0</v>
      </c>
      <c r="O482" s="968">
        <f t="shared" si="105"/>
        <v>0</v>
      </c>
      <c r="P482" s="968">
        <f t="shared" si="105"/>
        <v>0</v>
      </c>
      <c r="Q482" s="968">
        <f t="shared" si="105"/>
        <v>0</v>
      </c>
      <c r="R482" s="969">
        <f t="shared" si="105"/>
        <v>0</v>
      </c>
      <c r="S482" s="1562">
        <f t="shared" si="105"/>
        <v>0</v>
      </c>
      <c r="T482"/>
      <c r="U482"/>
    </row>
    <row r="483" spans="1:21">
      <c r="A483" s="708"/>
      <c r="B483" s="708"/>
      <c r="D483" s="801"/>
      <c r="E483" s="801"/>
      <c r="F483" s="802"/>
      <c r="G483" s="801"/>
      <c r="H483" s="801"/>
      <c r="I483" s="801"/>
      <c r="J483" s="801"/>
      <c r="M483" s="801"/>
      <c r="N483" s="801"/>
      <c r="O483" s="802"/>
      <c r="P483" s="801"/>
      <c r="Q483" s="801"/>
      <c r="R483" s="801"/>
      <c r="S483" s="801"/>
      <c r="T483"/>
      <c r="U483"/>
    </row>
    <row r="484" spans="1:21">
      <c r="A484" s="683">
        <v>2017</v>
      </c>
      <c r="B484" s="683"/>
      <c r="C484" s="1394" t="s">
        <v>1137</v>
      </c>
      <c r="D484" s="1423">
        <v>0</v>
      </c>
      <c r="E484" s="1405">
        <v>0</v>
      </c>
      <c r="F484" s="1406">
        <v>0</v>
      </c>
      <c r="G484" s="1451">
        <v>0</v>
      </c>
      <c r="H484" s="1451">
        <v>0</v>
      </c>
      <c r="I484" s="1452">
        <v>0</v>
      </c>
      <c r="J484" s="1395">
        <f>D484-SUM(E484:I484)</f>
        <v>0</v>
      </c>
      <c r="L484" s="1394" t="s">
        <v>1137</v>
      </c>
      <c r="M484" s="1420">
        <v>0</v>
      </c>
      <c r="N484" s="1405">
        <v>0</v>
      </c>
      <c r="O484" s="1406">
        <v>0</v>
      </c>
      <c r="P484" s="1419">
        <v>0</v>
      </c>
      <c r="Q484" s="1419">
        <v>0</v>
      </c>
      <c r="R484" s="1420">
        <v>0</v>
      </c>
      <c r="S484" s="1395">
        <f>M484-SUM(N484:R484)</f>
        <v>0</v>
      </c>
      <c r="T484"/>
      <c r="U484"/>
    </row>
    <row r="485" spans="1:21">
      <c r="A485" s="683">
        <v>2018</v>
      </c>
      <c r="B485" s="683"/>
      <c r="C485" s="695" t="s">
        <v>1138</v>
      </c>
      <c r="D485" s="727">
        <v>0</v>
      </c>
      <c r="E485" s="710">
        <v>0</v>
      </c>
      <c r="F485" s="963">
        <v>0</v>
      </c>
      <c r="G485" s="817">
        <v>0</v>
      </c>
      <c r="H485" s="817">
        <v>0</v>
      </c>
      <c r="I485" s="818">
        <v>0</v>
      </c>
      <c r="J485" s="964">
        <f>D485-SUM(E485:I485)</f>
        <v>0</v>
      </c>
      <c r="L485" s="695" t="s">
        <v>1138</v>
      </c>
      <c r="M485" s="972">
        <v>0</v>
      </c>
      <c r="N485" s="710">
        <v>0</v>
      </c>
      <c r="O485" s="963">
        <v>0</v>
      </c>
      <c r="P485" s="971">
        <v>0</v>
      </c>
      <c r="Q485" s="971">
        <v>0</v>
      </c>
      <c r="R485" s="972">
        <v>0</v>
      </c>
      <c r="S485" s="964">
        <f>M485-SUM(N485:R485)</f>
        <v>0</v>
      </c>
      <c r="T485"/>
      <c r="U485"/>
    </row>
    <row r="486" spans="1:21">
      <c r="A486" s="683">
        <v>2019</v>
      </c>
      <c r="B486" s="683"/>
      <c r="C486" s="695" t="s">
        <v>1139</v>
      </c>
      <c r="D486" s="727">
        <v>0</v>
      </c>
      <c r="E486" s="710">
        <v>0</v>
      </c>
      <c r="F486" s="963">
        <v>0</v>
      </c>
      <c r="G486" s="817">
        <v>0</v>
      </c>
      <c r="H486" s="817">
        <v>0</v>
      </c>
      <c r="I486" s="818">
        <v>0</v>
      </c>
      <c r="J486" s="964">
        <f>D486-SUM(E486:I486)</f>
        <v>0</v>
      </c>
      <c r="L486" s="695" t="s">
        <v>1139</v>
      </c>
      <c r="M486" s="730">
        <v>0</v>
      </c>
      <c r="N486" s="710">
        <v>0</v>
      </c>
      <c r="O486" s="963">
        <v>0</v>
      </c>
      <c r="P486" s="729">
        <v>0</v>
      </c>
      <c r="Q486" s="729">
        <v>0</v>
      </c>
      <c r="R486" s="730">
        <v>0</v>
      </c>
      <c r="S486" s="964">
        <f>M486-SUM(N486:R486)</f>
        <v>0</v>
      </c>
      <c r="T486"/>
      <c r="U486"/>
    </row>
    <row r="487" spans="1:21">
      <c r="A487" s="683" t="s">
        <v>127</v>
      </c>
      <c r="B487" s="683"/>
      <c r="C487" s="1558" t="s">
        <v>1140</v>
      </c>
      <c r="D487" s="1559">
        <f>SUM(D484:D486)</f>
        <v>0</v>
      </c>
      <c r="E487" s="1559">
        <f t="shared" ref="E487:J487" si="106">SUM(E484:E486)</f>
        <v>0</v>
      </c>
      <c r="F487" s="1559">
        <f t="shared" si="106"/>
        <v>0</v>
      </c>
      <c r="G487" s="1559">
        <f t="shared" si="106"/>
        <v>0</v>
      </c>
      <c r="H487" s="1559">
        <f t="shared" si="106"/>
        <v>0</v>
      </c>
      <c r="I487" s="1559">
        <f t="shared" si="106"/>
        <v>0</v>
      </c>
      <c r="J487" s="1559">
        <f t="shared" si="106"/>
        <v>0</v>
      </c>
      <c r="L487" s="1558" t="s">
        <v>1140</v>
      </c>
      <c r="M487" s="1559">
        <f>SUM(M484:M486)</f>
        <v>0</v>
      </c>
      <c r="N487" s="699">
        <f t="shared" ref="N487:S487" si="107">SUM(N484:N486)</f>
        <v>0</v>
      </c>
      <c r="O487" s="700">
        <f t="shared" si="107"/>
        <v>0</v>
      </c>
      <c r="P487" s="700">
        <f t="shared" si="107"/>
        <v>0</v>
      </c>
      <c r="Q487" s="700">
        <f t="shared" si="107"/>
        <v>0</v>
      </c>
      <c r="R487" s="800">
        <f t="shared" si="107"/>
        <v>0</v>
      </c>
      <c r="S487" s="1559">
        <f t="shared" si="107"/>
        <v>0</v>
      </c>
      <c r="T487"/>
      <c r="U487"/>
    </row>
    <row r="488" spans="1:21">
      <c r="A488" s="683" t="s">
        <v>1046</v>
      </c>
      <c r="B488" s="683"/>
      <c r="C488" s="1401"/>
      <c r="D488" s="1401"/>
      <c r="E488" s="1401"/>
      <c r="F488" s="1401"/>
      <c r="G488" s="1401"/>
      <c r="H488" s="1401"/>
      <c r="I488" s="1401"/>
      <c r="J488" s="1401"/>
      <c r="L488" s="1401"/>
      <c r="M488" s="1401"/>
      <c r="N488" s="1401"/>
      <c r="O488" s="1401"/>
      <c r="P488" s="1401"/>
      <c r="Q488" s="1401"/>
      <c r="R488" s="1401"/>
      <c r="S488" s="1401"/>
      <c r="T488"/>
      <c r="U488"/>
    </row>
    <row r="489" spans="1:21">
      <c r="A489" s="683" t="s">
        <v>1047</v>
      </c>
      <c r="B489" s="683"/>
      <c r="C489" s="695" t="s">
        <v>1141</v>
      </c>
      <c r="D489" s="964">
        <f t="array" ref="D489:D492">TRANSPOSE('ERT Supervision'!C70:F70)</f>
        <v>0</v>
      </c>
      <c r="E489" s="710">
        <v>0</v>
      </c>
      <c r="F489" s="963">
        <v>0</v>
      </c>
      <c r="G489" s="817">
        <v>0</v>
      </c>
      <c r="H489" s="817">
        <v>0</v>
      </c>
      <c r="I489" s="818">
        <v>0</v>
      </c>
      <c r="J489" s="964">
        <f>D489-SUM(E489:I489)</f>
        <v>0</v>
      </c>
      <c r="L489" s="695" t="s">
        <v>1141</v>
      </c>
      <c r="M489" s="964">
        <f t="array" ref="M489:M492">TRANSPOSE('TRM Supervision'!C70:F70)</f>
        <v>0</v>
      </c>
      <c r="N489" s="710">
        <v>0</v>
      </c>
      <c r="O489" s="963">
        <v>0</v>
      </c>
      <c r="P489" s="971">
        <v>0</v>
      </c>
      <c r="Q489" s="971">
        <v>0</v>
      </c>
      <c r="R489" s="972">
        <v>0</v>
      </c>
      <c r="S489" s="964">
        <f>M489-SUM(N489:R489)</f>
        <v>0</v>
      </c>
      <c r="T489"/>
      <c r="U489"/>
    </row>
    <row r="490" spans="1:21">
      <c r="A490" s="683">
        <v>2022</v>
      </c>
      <c r="B490" s="683"/>
      <c r="C490" s="695" t="s">
        <v>1142</v>
      </c>
      <c r="D490" s="803">
        <v>0</v>
      </c>
      <c r="E490" s="815"/>
      <c r="F490" s="724"/>
      <c r="G490" s="971">
        <v>0</v>
      </c>
      <c r="H490" s="971">
        <v>0</v>
      </c>
      <c r="I490" s="972">
        <v>0</v>
      </c>
      <c r="J490" s="964">
        <f>D490-SUM(E490:I490)</f>
        <v>0</v>
      </c>
      <c r="L490" s="695" t="s">
        <v>1142</v>
      </c>
      <c r="M490" s="803">
        <v>0</v>
      </c>
      <c r="N490" s="721"/>
      <c r="O490" s="959"/>
      <c r="P490" s="971">
        <v>0</v>
      </c>
      <c r="Q490" s="971">
        <v>0</v>
      </c>
      <c r="R490" s="972">
        <v>0</v>
      </c>
      <c r="S490" s="964">
        <f>M490-SUM(N490:R490)</f>
        <v>0</v>
      </c>
      <c r="T490"/>
      <c r="U490"/>
    </row>
    <row r="491" spans="1:21">
      <c r="A491" s="683">
        <v>2023</v>
      </c>
      <c r="B491" s="683"/>
      <c r="C491" s="695" t="s">
        <v>1143</v>
      </c>
      <c r="D491" s="803">
        <v>0</v>
      </c>
      <c r="E491" s="815"/>
      <c r="F491" s="724"/>
      <c r="G491" s="724"/>
      <c r="H491" s="817">
        <v>0</v>
      </c>
      <c r="I491" s="818">
        <v>0</v>
      </c>
      <c r="J491" s="964">
        <f>D491-SUM(E491:I491)</f>
        <v>0</v>
      </c>
      <c r="L491" s="695" t="s">
        <v>1143</v>
      </c>
      <c r="M491" s="803">
        <v>0</v>
      </c>
      <c r="N491" s="721"/>
      <c r="O491" s="959"/>
      <c r="P491" s="724"/>
      <c r="Q491" s="971">
        <v>0</v>
      </c>
      <c r="R491" s="972">
        <v>0</v>
      </c>
      <c r="S491" s="964">
        <f>M491-SUM(N491:R491)</f>
        <v>0</v>
      </c>
      <c r="T491"/>
      <c r="U491"/>
    </row>
    <row r="492" spans="1:21">
      <c r="A492" s="683">
        <v>2024</v>
      </c>
      <c r="B492" s="683"/>
      <c r="C492" s="705" t="s">
        <v>1144</v>
      </c>
      <c r="D492" s="804">
        <v>0</v>
      </c>
      <c r="E492" s="819"/>
      <c r="F492" s="805"/>
      <c r="G492" s="805"/>
      <c r="H492" s="805"/>
      <c r="I492" s="820">
        <v>0</v>
      </c>
      <c r="J492" s="706">
        <f>D492-SUM(E492:I492)</f>
        <v>0</v>
      </c>
      <c r="L492" s="705" t="s">
        <v>1144</v>
      </c>
      <c r="M492" s="804">
        <v>0</v>
      </c>
      <c r="N492" s="766"/>
      <c r="O492" s="767"/>
      <c r="P492" s="805"/>
      <c r="Q492" s="805"/>
      <c r="R492" s="730">
        <v>0</v>
      </c>
      <c r="S492" s="706">
        <f>M492-SUM(N492:R492)</f>
        <v>0</v>
      </c>
      <c r="T492"/>
      <c r="U492"/>
    </row>
    <row r="493" spans="1:21">
      <c r="A493" s="683" t="s">
        <v>12</v>
      </c>
      <c r="B493" s="683"/>
      <c r="C493" s="1568" t="s">
        <v>1145</v>
      </c>
      <c r="D493" s="1562">
        <f>SUM(D487:D492)</f>
        <v>0</v>
      </c>
      <c r="E493" s="1402">
        <f t="shared" ref="E493:J493" si="108">SUM(E487:E492)</f>
        <v>0</v>
      </c>
      <c r="F493" s="968">
        <f t="shared" si="108"/>
        <v>0</v>
      </c>
      <c r="G493" s="968">
        <f t="shared" si="108"/>
        <v>0</v>
      </c>
      <c r="H493" s="968">
        <f t="shared" si="108"/>
        <v>0</v>
      </c>
      <c r="I493" s="969">
        <f t="shared" si="108"/>
        <v>0</v>
      </c>
      <c r="J493" s="1562">
        <f t="shared" si="108"/>
        <v>0</v>
      </c>
      <c r="L493" s="1568" t="s">
        <v>1145</v>
      </c>
      <c r="M493" s="1562">
        <f>SUM(M487:M492)</f>
        <v>0</v>
      </c>
      <c r="N493" s="1402">
        <f t="shared" ref="N493:S493" si="109">SUM(N487:N492)</f>
        <v>0</v>
      </c>
      <c r="O493" s="968">
        <f t="shared" si="109"/>
        <v>0</v>
      </c>
      <c r="P493" s="968">
        <f t="shared" si="109"/>
        <v>0</v>
      </c>
      <c r="Q493" s="968">
        <f t="shared" si="109"/>
        <v>0</v>
      </c>
      <c r="R493" s="969">
        <f t="shared" si="109"/>
        <v>0</v>
      </c>
      <c r="S493" s="1562">
        <f t="shared" si="109"/>
        <v>0</v>
      </c>
      <c r="T493"/>
      <c r="U493"/>
    </row>
    <row r="494" spans="1:21">
      <c r="A494" s="708"/>
      <c r="B494" s="708"/>
      <c r="D494" s="801"/>
      <c r="E494" s="801"/>
      <c r="F494" s="802"/>
      <c r="G494" s="801"/>
      <c r="H494" s="801"/>
      <c r="I494" s="801"/>
      <c r="J494" s="801"/>
      <c r="M494" s="801"/>
      <c r="N494" s="801"/>
      <c r="O494" s="802"/>
      <c r="P494" s="801"/>
      <c r="Q494" s="801"/>
      <c r="R494" s="801"/>
      <c r="S494" s="801"/>
      <c r="T494"/>
      <c r="U494"/>
    </row>
    <row r="495" spans="1:21">
      <c r="A495" s="683">
        <v>2017</v>
      </c>
      <c r="B495" s="683"/>
      <c r="C495" s="1394" t="s">
        <v>1146</v>
      </c>
      <c r="D495" s="1423">
        <v>0</v>
      </c>
      <c r="E495" s="1405">
        <v>0</v>
      </c>
      <c r="F495" s="1406">
        <v>0</v>
      </c>
      <c r="G495" s="1451">
        <v>0</v>
      </c>
      <c r="H495" s="1451">
        <v>0</v>
      </c>
      <c r="I495" s="1452">
        <v>0</v>
      </c>
      <c r="J495" s="1395">
        <f>D495-SUM(E495:I495)</f>
        <v>0</v>
      </c>
      <c r="L495" s="1394" t="s">
        <v>1146</v>
      </c>
      <c r="M495" s="1420">
        <v>0</v>
      </c>
      <c r="N495" s="1405">
        <v>0</v>
      </c>
      <c r="O495" s="1406">
        <v>0</v>
      </c>
      <c r="P495" s="1419">
        <v>0</v>
      </c>
      <c r="Q495" s="1419">
        <v>0</v>
      </c>
      <c r="R495" s="1420">
        <v>0</v>
      </c>
      <c r="S495" s="1395">
        <f>M495-SUM(N495:R495)</f>
        <v>0</v>
      </c>
      <c r="T495"/>
      <c r="U495"/>
    </row>
    <row r="496" spans="1:21">
      <c r="A496" s="683">
        <v>2018</v>
      </c>
      <c r="B496" s="683"/>
      <c r="C496" s="695" t="s">
        <v>1147</v>
      </c>
      <c r="D496" s="727">
        <v>0</v>
      </c>
      <c r="E496" s="710">
        <v>0</v>
      </c>
      <c r="F496" s="963">
        <v>0</v>
      </c>
      <c r="G496" s="817">
        <v>0</v>
      </c>
      <c r="H496" s="817">
        <v>0</v>
      </c>
      <c r="I496" s="818">
        <v>0</v>
      </c>
      <c r="J496" s="964">
        <f>D496-SUM(E496:I496)</f>
        <v>0</v>
      </c>
      <c r="L496" s="695" t="s">
        <v>1147</v>
      </c>
      <c r="M496" s="972">
        <v>0</v>
      </c>
      <c r="N496" s="710">
        <v>0</v>
      </c>
      <c r="O496" s="963">
        <v>0</v>
      </c>
      <c r="P496" s="971">
        <v>0</v>
      </c>
      <c r="Q496" s="971">
        <v>0</v>
      </c>
      <c r="R496" s="972">
        <v>0</v>
      </c>
      <c r="S496" s="964">
        <f>M496-SUM(N496:R496)</f>
        <v>0</v>
      </c>
      <c r="T496"/>
      <c r="U496"/>
    </row>
    <row r="497" spans="1:21">
      <c r="A497" s="683">
        <v>2019</v>
      </c>
      <c r="B497" s="683"/>
      <c r="C497" s="695" t="s">
        <v>1148</v>
      </c>
      <c r="D497" s="727">
        <v>0</v>
      </c>
      <c r="E497" s="710">
        <v>0</v>
      </c>
      <c r="F497" s="963">
        <v>0</v>
      </c>
      <c r="G497" s="817">
        <v>0</v>
      </c>
      <c r="H497" s="817">
        <v>0</v>
      </c>
      <c r="I497" s="818">
        <v>0</v>
      </c>
      <c r="J497" s="964">
        <f>D497-SUM(E497:I497)</f>
        <v>0</v>
      </c>
      <c r="L497" s="695" t="s">
        <v>1148</v>
      </c>
      <c r="M497" s="730">
        <v>0</v>
      </c>
      <c r="N497" s="710">
        <v>0</v>
      </c>
      <c r="O497" s="963">
        <v>0</v>
      </c>
      <c r="P497" s="729">
        <v>0</v>
      </c>
      <c r="Q497" s="729">
        <v>0</v>
      </c>
      <c r="R497" s="730">
        <v>0</v>
      </c>
      <c r="S497" s="964">
        <f>M497-SUM(N497:R497)</f>
        <v>0</v>
      </c>
      <c r="T497"/>
      <c r="U497"/>
    </row>
    <row r="498" spans="1:21">
      <c r="A498" s="683" t="s">
        <v>127</v>
      </c>
      <c r="B498" s="683"/>
      <c r="C498" s="1558" t="s">
        <v>1149</v>
      </c>
      <c r="D498" s="1559">
        <f>SUM(D495:D497)</f>
        <v>0</v>
      </c>
      <c r="E498" s="1559">
        <f t="shared" ref="E498:J498" si="110">SUM(E495:E497)</f>
        <v>0</v>
      </c>
      <c r="F498" s="1559">
        <f t="shared" si="110"/>
        <v>0</v>
      </c>
      <c r="G498" s="1559">
        <f t="shared" si="110"/>
        <v>0</v>
      </c>
      <c r="H498" s="1559">
        <f t="shared" si="110"/>
        <v>0</v>
      </c>
      <c r="I498" s="1559">
        <f t="shared" si="110"/>
        <v>0</v>
      </c>
      <c r="J498" s="1559">
        <f t="shared" si="110"/>
        <v>0</v>
      </c>
      <c r="L498" s="1558" t="s">
        <v>1149</v>
      </c>
      <c r="M498" s="1559">
        <f>SUM(M495:M497)</f>
        <v>0</v>
      </c>
      <c r="N498" s="699">
        <f t="shared" ref="N498:S498" si="111">SUM(N495:N497)</f>
        <v>0</v>
      </c>
      <c r="O498" s="700">
        <f t="shared" si="111"/>
        <v>0</v>
      </c>
      <c r="P498" s="700">
        <f t="shared" si="111"/>
        <v>0</v>
      </c>
      <c r="Q498" s="700">
        <f t="shared" si="111"/>
        <v>0</v>
      </c>
      <c r="R498" s="800">
        <f t="shared" si="111"/>
        <v>0</v>
      </c>
      <c r="S498" s="1559">
        <f t="shared" si="111"/>
        <v>0</v>
      </c>
      <c r="T498"/>
      <c r="U498"/>
    </row>
    <row r="499" spans="1:21">
      <c r="A499" s="683" t="s">
        <v>1046</v>
      </c>
      <c r="B499" s="683"/>
      <c r="C499" s="1401"/>
      <c r="D499" s="1401"/>
      <c r="E499" s="1401"/>
      <c r="F499" s="1401"/>
      <c r="G499" s="1401"/>
      <c r="H499" s="1401"/>
      <c r="I499" s="1401"/>
      <c r="J499" s="1401"/>
      <c r="L499" s="1401"/>
      <c r="M499" s="1401"/>
      <c r="N499" s="1401"/>
      <c r="O499" s="1401"/>
      <c r="P499" s="1401"/>
      <c r="Q499" s="1401"/>
      <c r="R499" s="1401"/>
      <c r="S499" s="1401"/>
      <c r="T499"/>
      <c r="U499"/>
    </row>
    <row r="500" spans="1:21">
      <c r="A500" s="683" t="s">
        <v>1047</v>
      </c>
      <c r="B500" s="683"/>
      <c r="C500" s="695" t="s">
        <v>1150</v>
      </c>
      <c r="D500" s="964">
        <f t="array" ref="D500:D503">TRANSPOSE('ERT Supervision'!C71:F71)</f>
        <v>0</v>
      </c>
      <c r="E500" s="710">
        <v>0</v>
      </c>
      <c r="F500" s="963">
        <v>0</v>
      </c>
      <c r="G500" s="817">
        <v>0</v>
      </c>
      <c r="H500" s="817">
        <v>0</v>
      </c>
      <c r="I500" s="806"/>
      <c r="J500" s="961"/>
      <c r="L500" s="695" t="s">
        <v>1150</v>
      </c>
      <c r="M500" s="964">
        <f t="array" ref="M500:M503">TRANSPOSE('TRM Supervision'!C71:F71)</f>
        <v>0</v>
      </c>
      <c r="N500" s="710">
        <v>0</v>
      </c>
      <c r="O500" s="963">
        <v>0</v>
      </c>
      <c r="P500" s="971">
        <v>0</v>
      </c>
      <c r="Q500" s="971">
        <v>0</v>
      </c>
      <c r="R500" s="806"/>
      <c r="S500" s="961"/>
      <c r="T500"/>
      <c r="U500"/>
    </row>
    <row r="501" spans="1:21">
      <c r="A501" s="683">
        <v>2022</v>
      </c>
      <c r="B501" s="683"/>
      <c r="C501" s="695" t="s">
        <v>1151</v>
      </c>
      <c r="D501" s="803">
        <v>0</v>
      </c>
      <c r="E501" s="815"/>
      <c r="F501" s="724"/>
      <c r="G501" s="971">
        <v>0</v>
      </c>
      <c r="H501" s="971">
        <v>0</v>
      </c>
      <c r="I501" s="971">
        <v>0</v>
      </c>
      <c r="J501" s="961"/>
      <c r="L501" s="695" t="s">
        <v>1151</v>
      </c>
      <c r="M501" s="803">
        <v>0</v>
      </c>
      <c r="N501" s="721"/>
      <c r="O501" s="959"/>
      <c r="P501" s="971">
        <v>0</v>
      </c>
      <c r="Q501" s="971">
        <v>0</v>
      </c>
      <c r="R501" s="971">
        <v>0</v>
      </c>
      <c r="S501" s="961"/>
      <c r="T501"/>
      <c r="U501"/>
    </row>
    <row r="502" spans="1:21">
      <c r="A502" s="683">
        <v>2023</v>
      </c>
      <c r="B502" s="683"/>
      <c r="C502" s="695" t="s">
        <v>1152</v>
      </c>
      <c r="D502" s="803">
        <v>0</v>
      </c>
      <c r="E502" s="815"/>
      <c r="F502" s="724"/>
      <c r="G502" s="724"/>
      <c r="H502" s="817">
        <v>0</v>
      </c>
      <c r="I502" s="817">
        <v>0</v>
      </c>
      <c r="J502" s="964">
        <f>D502-SUM(E502:I502)</f>
        <v>0</v>
      </c>
      <c r="L502" s="695" t="s">
        <v>1152</v>
      </c>
      <c r="M502" s="803">
        <v>0</v>
      </c>
      <c r="N502" s="721"/>
      <c r="O502" s="959"/>
      <c r="P502" s="724"/>
      <c r="Q502" s="971">
        <v>0</v>
      </c>
      <c r="R502" s="971">
        <v>0</v>
      </c>
      <c r="S502" s="964">
        <f>M502-SUM(N502:R502)</f>
        <v>0</v>
      </c>
      <c r="T502"/>
      <c r="U502"/>
    </row>
    <row r="503" spans="1:21">
      <c r="A503" s="683">
        <v>2024</v>
      </c>
      <c r="B503" s="683"/>
      <c r="C503" s="705" t="s">
        <v>1153</v>
      </c>
      <c r="D503" s="804">
        <v>0</v>
      </c>
      <c r="E503" s="819"/>
      <c r="F503" s="805"/>
      <c r="G503" s="805"/>
      <c r="H503" s="805"/>
      <c r="I503" s="821">
        <v>0</v>
      </c>
      <c r="J503" s="706">
        <f>D503-SUM(E503:I503)</f>
        <v>0</v>
      </c>
      <c r="L503" s="705" t="s">
        <v>1153</v>
      </c>
      <c r="M503" s="804">
        <v>0</v>
      </c>
      <c r="N503" s="766"/>
      <c r="O503" s="767"/>
      <c r="P503" s="805"/>
      <c r="Q503" s="805"/>
      <c r="R503" s="729">
        <v>0</v>
      </c>
      <c r="S503" s="706">
        <f>M503-SUM(N503:R503)</f>
        <v>0</v>
      </c>
      <c r="T503"/>
      <c r="U503"/>
    </row>
    <row r="504" spans="1:21">
      <c r="A504" s="683" t="s">
        <v>12</v>
      </c>
      <c r="B504" s="683"/>
      <c r="C504" s="1568" t="s">
        <v>1154</v>
      </c>
      <c r="D504" s="1562">
        <f>SUM(D498:D503)</f>
        <v>0</v>
      </c>
      <c r="E504" s="1402">
        <f t="shared" ref="E504:J504" si="112">SUM(E498:E503)</f>
        <v>0</v>
      </c>
      <c r="F504" s="968">
        <f t="shared" si="112"/>
        <v>0</v>
      </c>
      <c r="G504" s="968">
        <f t="shared" si="112"/>
        <v>0</v>
      </c>
      <c r="H504" s="968">
        <f t="shared" si="112"/>
        <v>0</v>
      </c>
      <c r="I504" s="969">
        <f t="shared" si="112"/>
        <v>0</v>
      </c>
      <c r="J504" s="1562">
        <f t="shared" si="112"/>
        <v>0</v>
      </c>
      <c r="L504" s="1568" t="s">
        <v>1154</v>
      </c>
      <c r="M504" s="1562">
        <f>SUM(M498:M503)</f>
        <v>0</v>
      </c>
      <c r="N504" s="1402">
        <f t="shared" ref="N504:S504" si="113">SUM(N498:N503)</f>
        <v>0</v>
      </c>
      <c r="O504" s="968">
        <f t="shared" si="113"/>
        <v>0</v>
      </c>
      <c r="P504" s="968">
        <f t="shared" si="113"/>
        <v>0</v>
      </c>
      <c r="Q504" s="968">
        <f t="shared" si="113"/>
        <v>0</v>
      </c>
      <c r="R504" s="969">
        <f t="shared" si="113"/>
        <v>0</v>
      </c>
      <c r="S504" s="1562">
        <f t="shared" si="113"/>
        <v>0</v>
      </c>
      <c r="T504"/>
      <c r="U504"/>
    </row>
    <row r="505" spans="1:21">
      <c r="A505" s="708"/>
      <c r="B505" s="708"/>
      <c r="D505" s="801"/>
      <c r="E505" s="801"/>
      <c r="F505" s="802"/>
      <c r="G505" s="801"/>
      <c r="H505" s="801"/>
      <c r="I505" s="801"/>
      <c r="J505" s="801"/>
      <c r="M505" s="801"/>
      <c r="N505" s="801"/>
      <c r="O505" s="802"/>
      <c r="P505" s="801"/>
      <c r="Q505" s="801"/>
      <c r="R505" s="801"/>
      <c r="S505" s="801"/>
      <c r="T505"/>
      <c r="U505"/>
    </row>
    <row r="506" spans="1:21">
      <c r="A506" s="683">
        <v>2017</v>
      </c>
      <c r="B506" s="683"/>
      <c r="C506" s="1394" t="s">
        <v>1155</v>
      </c>
      <c r="D506" s="1431"/>
      <c r="E506" s="1432"/>
      <c r="F506" s="1433"/>
      <c r="G506" s="1433"/>
      <c r="H506" s="1433"/>
      <c r="I506" s="1440"/>
      <c r="J506" s="1431"/>
      <c r="L506" s="1394" t="s">
        <v>1155</v>
      </c>
      <c r="M506" s="1420">
        <v>0</v>
      </c>
      <c r="N506" s="1396">
        <v>0</v>
      </c>
      <c r="O506" s="1425">
        <v>0</v>
      </c>
      <c r="P506" s="1419">
        <v>0</v>
      </c>
      <c r="Q506" s="1419">
        <v>0</v>
      </c>
      <c r="R506" s="1420">
        <v>0</v>
      </c>
      <c r="S506" s="1426">
        <f>M506-SUM(N506:R506)</f>
        <v>0</v>
      </c>
      <c r="T506"/>
      <c r="U506"/>
    </row>
    <row r="507" spans="1:21">
      <c r="A507" s="683">
        <v>2018</v>
      </c>
      <c r="B507" s="683"/>
      <c r="C507" s="695" t="s">
        <v>1156</v>
      </c>
      <c r="D507" s="961"/>
      <c r="E507" s="721"/>
      <c r="F507" s="959"/>
      <c r="G507" s="959"/>
      <c r="H507" s="959"/>
      <c r="I507" s="973"/>
      <c r="J507" s="961"/>
      <c r="L507" s="695" t="s">
        <v>1156</v>
      </c>
      <c r="M507" s="972">
        <v>0</v>
      </c>
      <c r="N507" s="758">
        <v>0</v>
      </c>
      <c r="O507" s="697">
        <v>0</v>
      </c>
      <c r="P507" s="971">
        <v>0</v>
      </c>
      <c r="Q507" s="971">
        <v>0</v>
      </c>
      <c r="R507" s="972">
        <v>0</v>
      </c>
      <c r="S507" s="759">
        <f>M507-SUM(N507:R507)</f>
        <v>0</v>
      </c>
      <c r="T507"/>
      <c r="U507"/>
    </row>
    <row r="508" spans="1:21">
      <c r="A508" s="683">
        <v>2019</v>
      </c>
      <c r="B508" s="683"/>
      <c r="C508" s="695" t="s">
        <v>1157</v>
      </c>
      <c r="D508" s="961"/>
      <c r="E508" s="721"/>
      <c r="F508" s="959"/>
      <c r="G508" s="959"/>
      <c r="H508" s="959"/>
      <c r="I508" s="960"/>
      <c r="J508" s="961"/>
      <c r="L508" s="695" t="s">
        <v>1157</v>
      </c>
      <c r="M508" s="730">
        <v>0</v>
      </c>
      <c r="N508" s="758">
        <v>0</v>
      </c>
      <c r="O508" s="697">
        <v>0</v>
      </c>
      <c r="P508" s="729">
        <v>0</v>
      </c>
      <c r="Q508" s="729">
        <v>0</v>
      </c>
      <c r="R508" s="730">
        <v>0</v>
      </c>
      <c r="S508" s="759">
        <f>M508-SUM(N508:R508)</f>
        <v>0</v>
      </c>
      <c r="T508"/>
      <c r="U508"/>
    </row>
    <row r="509" spans="1:21">
      <c r="A509" s="683" t="s">
        <v>127</v>
      </c>
      <c r="B509" s="683"/>
      <c r="C509" s="1558" t="s">
        <v>1158</v>
      </c>
      <c r="D509" s="1564"/>
      <c r="E509" s="1428"/>
      <c r="F509" s="970"/>
      <c r="G509" s="970"/>
      <c r="H509" s="970"/>
      <c r="I509" s="774"/>
      <c r="J509" s="1564"/>
      <c r="L509" s="1558" t="s">
        <v>1158</v>
      </c>
      <c r="M509" s="1565">
        <f t="shared" ref="M509:S509" si="114">SUM(M506:M508)</f>
        <v>0</v>
      </c>
      <c r="N509" s="760">
        <f t="shared" si="114"/>
        <v>0</v>
      </c>
      <c r="O509" s="761">
        <f t="shared" si="114"/>
        <v>0</v>
      </c>
      <c r="P509" s="761">
        <f t="shared" si="114"/>
        <v>0</v>
      </c>
      <c r="Q509" s="761">
        <f t="shared" si="114"/>
        <v>0</v>
      </c>
      <c r="R509" s="762">
        <f t="shared" si="114"/>
        <v>0</v>
      </c>
      <c r="S509" s="1565">
        <f t="shared" si="114"/>
        <v>0</v>
      </c>
      <c r="T509"/>
      <c r="U509"/>
    </row>
    <row r="510" spans="1:21">
      <c r="A510" s="683" t="s">
        <v>1046</v>
      </c>
      <c r="B510" s="683"/>
      <c r="C510" s="1401"/>
      <c r="D510" s="1401"/>
      <c r="E510" s="1401"/>
      <c r="F510" s="1401"/>
      <c r="G510" s="1401"/>
      <c r="H510" s="1401"/>
      <c r="I510" s="1401"/>
      <c r="J510" s="1401"/>
      <c r="L510" s="1401"/>
      <c r="M510" s="1401"/>
      <c r="N510" s="1401"/>
      <c r="O510" s="1401"/>
      <c r="P510" s="1401"/>
      <c r="Q510" s="1401"/>
      <c r="R510" s="1401"/>
      <c r="S510" s="1401"/>
      <c r="T510"/>
      <c r="U510"/>
    </row>
    <row r="511" spans="1:21">
      <c r="A511" s="683" t="s">
        <v>1047</v>
      </c>
      <c r="B511" s="683"/>
      <c r="C511" s="695" t="s">
        <v>1159</v>
      </c>
      <c r="D511" s="822"/>
      <c r="E511" s="721"/>
      <c r="F511" s="959"/>
      <c r="G511" s="959"/>
      <c r="H511" s="959"/>
      <c r="I511" s="973"/>
      <c r="J511" s="961"/>
      <c r="L511" s="695" t="s">
        <v>1159</v>
      </c>
      <c r="M511" s="764">
        <f t="array" ref="M511:M514">TRANSPOSE('TRM Supervision'!C72:F72)</f>
        <v>0</v>
      </c>
      <c r="N511" s="758">
        <v>0</v>
      </c>
      <c r="O511" s="697">
        <v>0</v>
      </c>
      <c r="P511" s="763">
        <v>0</v>
      </c>
      <c r="Q511" s="763">
        <v>0</v>
      </c>
      <c r="R511" s="913"/>
      <c r="S511" s="698"/>
      <c r="T511"/>
      <c r="U511"/>
    </row>
    <row r="512" spans="1:21">
      <c r="A512" s="683">
        <v>2022</v>
      </c>
      <c r="B512" s="683"/>
      <c r="C512" s="695" t="s">
        <v>1160</v>
      </c>
      <c r="D512" s="822"/>
      <c r="E512" s="721"/>
      <c r="F512" s="959"/>
      <c r="G512" s="959"/>
      <c r="H512" s="959"/>
      <c r="I512" s="959"/>
      <c r="J512" s="961"/>
      <c r="L512" s="695" t="s">
        <v>1160</v>
      </c>
      <c r="M512" s="764">
        <v>0</v>
      </c>
      <c r="N512" s="722"/>
      <c r="O512" s="909"/>
      <c r="P512" s="763">
        <v>0</v>
      </c>
      <c r="Q512" s="763">
        <v>0</v>
      </c>
      <c r="R512" s="763">
        <v>0</v>
      </c>
      <c r="S512" s="698"/>
      <c r="T512"/>
      <c r="U512"/>
    </row>
    <row r="513" spans="1:21">
      <c r="A513" s="683">
        <v>2023</v>
      </c>
      <c r="B513" s="683"/>
      <c r="C513" s="695" t="s">
        <v>1161</v>
      </c>
      <c r="D513" s="822"/>
      <c r="E513" s="721"/>
      <c r="F513" s="959"/>
      <c r="G513" s="959"/>
      <c r="H513" s="959"/>
      <c r="I513" s="959"/>
      <c r="J513" s="961"/>
      <c r="L513" s="695" t="s">
        <v>1161</v>
      </c>
      <c r="M513" s="764">
        <v>0</v>
      </c>
      <c r="N513" s="722"/>
      <c r="O513" s="909"/>
      <c r="P513" s="909"/>
      <c r="Q513" s="763">
        <v>0</v>
      </c>
      <c r="R513" s="763">
        <v>0</v>
      </c>
      <c r="S513" s="759">
        <f>M513-SUM(N513:R513)</f>
        <v>0</v>
      </c>
      <c r="T513"/>
      <c r="U513"/>
    </row>
    <row r="514" spans="1:21">
      <c r="A514" s="683">
        <v>2024</v>
      </c>
      <c r="B514" s="683"/>
      <c r="C514" s="705" t="s">
        <v>1162</v>
      </c>
      <c r="D514" s="823"/>
      <c r="E514" s="766"/>
      <c r="F514" s="767"/>
      <c r="G514" s="767"/>
      <c r="H514" s="767"/>
      <c r="I514" s="767"/>
      <c r="J514" s="778"/>
      <c r="L514" s="705" t="s">
        <v>1162</v>
      </c>
      <c r="M514" s="765">
        <v>0</v>
      </c>
      <c r="N514" s="731"/>
      <c r="O514" s="912"/>
      <c r="P514" s="912"/>
      <c r="Q514" s="912"/>
      <c r="R514" s="768">
        <v>0</v>
      </c>
      <c r="S514" s="769">
        <f>M514-SUM(N514:R514)</f>
        <v>0</v>
      </c>
      <c r="T514"/>
      <c r="U514"/>
    </row>
    <row r="515" spans="1:21">
      <c r="A515" s="683" t="s">
        <v>12</v>
      </c>
      <c r="B515" s="683"/>
      <c r="C515" s="1568" t="s">
        <v>1163</v>
      </c>
      <c r="D515" s="1567"/>
      <c r="E515" s="1428"/>
      <c r="F515" s="970"/>
      <c r="G515" s="970"/>
      <c r="H515" s="970"/>
      <c r="I515" s="774"/>
      <c r="J515" s="1567"/>
      <c r="L515" s="1568" t="s">
        <v>1163</v>
      </c>
      <c r="M515" s="1566">
        <f t="shared" ref="M515:S515" si="115">SUM(M509:M514)</f>
        <v>0</v>
      </c>
      <c r="N515" s="1427">
        <f t="shared" si="115"/>
        <v>0</v>
      </c>
      <c r="O515" s="770">
        <f t="shared" si="115"/>
        <v>0</v>
      </c>
      <c r="P515" s="770">
        <f t="shared" si="115"/>
        <v>0</v>
      </c>
      <c r="Q515" s="770">
        <f t="shared" si="115"/>
        <v>0</v>
      </c>
      <c r="R515" s="771">
        <f t="shared" si="115"/>
        <v>0</v>
      </c>
      <c r="S515" s="1566">
        <f t="shared" si="115"/>
        <v>0</v>
      </c>
      <c r="T515"/>
      <c r="U515"/>
    </row>
    <row r="516" spans="1:21">
      <c r="A516" s="708"/>
      <c r="B516" s="708"/>
      <c r="D516" s="801"/>
      <c r="E516" s="801"/>
      <c r="F516" s="802"/>
      <c r="G516" s="801"/>
      <c r="H516" s="801"/>
      <c r="I516" s="801"/>
      <c r="J516" s="801"/>
      <c r="M516" s="801"/>
      <c r="N516" s="801"/>
      <c r="O516" s="802"/>
      <c r="P516" s="801"/>
      <c r="Q516" s="801"/>
      <c r="R516" s="801"/>
      <c r="S516" s="801"/>
      <c r="T516"/>
      <c r="U516"/>
    </row>
    <row r="517" spans="1:21">
      <c r="A517" s="683" t="s">
        <v>1046</v>
      </c>
      <c r="B517" s="683"/>
      <c r="C517" s="1401"/>
      <c r="D517" s="1401"/>
      <c r="E517" s="1401"/>
      <c r="F517" s="1401"/>
      <c r="G517" s="1401"/>
      <c r="H517" s="1401"/>
      <c r="I517" s="1401"/>
      <c r="J517" s="1401"/>
      <c r="L517" s="1413"/>
      <c r="M517" s="1413"/>
      <c r="N517" s="1413"/>
      <c r="O517" s="1413"/>
      <c r="P517" s="1413"/>
      <c r="Q517" s="1413"/>
      <c r="R517" s="1413"/>
      <c r="S517" s="1413"/>
      <c r="T517"/>
      <c r="U517"/>
    </row>
    <row r="518" spans="1:21">
      <c r="A518" s="683" t="s">
        <v>1047</v>
      </c>
      <c r="B518" s="683"/>
      <c r="C518" s="695" t="s">
        <v>1164</v>
      </c>
      <c r="D518" s="964">
        <f t="array" ref="D518:D521">TRANSPOSE('ERT Supervision'!C63:F63)</f>
        <v>12662.769070324577</v>
      </c>
      <c r="E518" s="815"/>
      <c r="F518" s="724"/>
      <c r="G518" s="724"/>
      <c r="H518" s="971">
        <f>$D518/'UR Control'!$C$204</f>
        <v>1808.9670100463682</v>
      </c>
      <c r="I518" s="972">
        <f>$D518/'UR Control'!$C$204</f>
        <v>1808.9670100463682</v>
      </c>
      <c r="J518" s="964">
        <f>D518-SUM(E518:I518)</f>
        <v>9044.8350502318408</v>
      </c>
      <c r="L518" s="695" t="s">
        <v>1164</v>
      </c>
      <c r="M518" s="964">
        <f t="array" ref="M518:M521">TRANSPOSE('TRM Supervision'!C63:F63)</f>
        <v>341.63112407452479</v>
      </c>
      <c r="N518" s="721"/>
      <c r="O518" s="959"/>
      <c r="P518" s="724"/>
      <c r="Q518" s="971">
        <f>$M518/'UR Control'!$C$204</f>
        <v>48.804446296360688</v>
      </c>
      <c r="R518" s="972">
        <f>$M518/'UR Control'!$C$204</f>
        <v>48.804446296360688</v>
      </c>
      <c r="S518" s="1395">
        <f>M518-SUM(N518:R518)</f>
        <v>244.02223148180343</v>
      </c>
      <c r="T518"/>
      <c r="U518"/>
    </row>
    <row r="519" spans="1:21">
      <c r="A519" s="683">
        <v>2022</v>
      </c>
      <c r="B519" s="683"/>
      <c r="C519" s="695" t="s">
        <v>1165</v>
      </c>
      <c r="D519" s="964">
        <v>0</v>
      </c>
      <c r="E519" s="824"/>
      <c r="F519" s="807"/>
      <c r="G519" s="807"/>
      <c r="H519" s="740">
        <v>0</v>
      </c>
      <c r="I519" s="741">
        <v>0</v>
      </c>
      <c r="J519" s="742">
        <f>D519-SUM(E519:I519)</f>
        <v>0</v>
      </c>
      <c r="L519" s="695" t="s">
        <v>1165</v>
      </c>
      <c r="M519" s="964">
        <v>0</v>
      </c>
      <c r="N519" s="958"/>
      <c r="O519" s="962"/>
      <c r="P519" s="807"/>
      <c r="Q519" s="971">
        <v>0</v>
      </c>
      <c r="R519" s="972">
        <v>0</v>
      </c>
      <c r="S519" s="964">
        <f>M519-SUM(N519:R519)</f>
        <v>0</v>
      </c>
      <c r="T519"/>
      <c r="U519"/>
    </row>
    <row r="520" spans="1:21">
      <c r="A520" s="683">
        <v>2023</v>
      </c>
      <c r="B520" s="683"/>
      <c r="C520" s="695" t="s">
        <v>1166</v>
      </c>
      <c r="D520" s="964">
        <v>0</v>
      </c>
      <c r="E520" s="824"/>
      <c r="F520" s="807"/>
      <c r="G520" s="807"/>
      <c r="H520" s="807"/>
      <c r="I520" s="741">
        <v>0</v>
      </c>
      <c r="J520" s="742">
        <f>D520-SUM(E520:I520)</f>
        <v>0</v>
      </c>
      <c r="L520" s="695" t="s">
        <v>1166</v>
      </c>
      <c r="M520" s="964">
        <v>0</v>
      </c>
      <c r="N520" s="958"/>
      <c r="O520" s="962"/>
      <c r="P520" s="807"/>
      <c r="Q520" s="807"/>
      <c r="R520" s="972">
        <v>0</v>
      </c>
      <c r="S520" s="964">
        <f>M520-SUM(N520:R520)</f>
        <v>0</v>
      </c>
      <c r="T520"/>
      <c r="U520"/>
    </row>
    <row r="521" spans="1:21">
      <c r="A521" s="683">
        <v>2024</v>
      </c>
      <c r="B521" s="683"/>
      <c r="C521" s="705" t="s">
        <v>1167</v>
      </c>
      <c r="D521" s="706">
        <v>0</v>
      </c>
      <c r="E521" s="825"/>
      <c r="F521" s="808"/>
      <c r="G521" s="808"/>
      <c r="H521" s="808"/>
      <c r="I521" s="808"/>
      <c r="J521" s="742">
        <f>D521-SUM(E521:I521)</f>
        <v>0</v>
      </c>
      <c r="L521" s="705" t="s">
        <v>1167</v>
      </c>
      <c r="M521" s="706">
        <v>0</v>
      </c>
      <c r="N521" s="966"/>
      <c r="O521" s="967"/>
      <c r="P521" s="808"/>
      <c r="Q521" s="808"/>
      <c r="R521" s="808"/>
      <c r="S521" s="706">
        <f>M521-SUM(N521:R521)</f>
        <v>0</v>
      </c>
      <c r="T521"/>
      <c r="U521"/>
    </row>
    <row r="522" spans="1:21">
      <c r="A522" s="683" t="s">
        <v>12</v>
      </c>
      <c r="B522" s="683"/>
      <c r="C522" s="1561" t="s">
        <v>1168</v>
      </c>
      <c r="D522" s="1562">
        <f>SUM(D517:D521)</f>
        <v>12662.769070324577</v>
      </c>
      <c r="E522" s="1402">
        <f t="shared" ref="E522:J522" si="116">SUM(E517:E521)</f>
        <v>0</v>
      </c>
      <c r="F522" s="968">
        <f t="shared" si="116"/>
        <v>0</v>
      </c>
      <c r="G522" s="968">
        <f t="shared" si="116"/>
        <v>0</v>
      </c>
      <c r="H522" s="968">
        <f t="shared" si="116"/>
        <v>1808.9670100463682</v>
      </c>
      <c r="I522" s="969">
        <f t="shared" si="116"/>
        <v>1808.9670100463682</v>
      </c>
      <c r="J522" s="1562">
        <f t="shared" si="116"/>
        <v>9044.8350502318408</v>
      </c>
      <c r="L522" s="1561" t="s">
        <v>1168</v>
      </c>
      <c r="M522" s="1562">
        <f>SUM(M517:M521)</f>
        <v>341.63112407452479</v>
      </c>
      <c r="N522" s="1402">
        <f t="shared" ref="N522:S522" si="117">SUM(N517:N521)</f>
        <v>0</v>
      </c>
      <c r="O522" s="968">
        <f t="shared" si="117"/>
        <v>0</v>
      </c>
      <c r="P522" s="968">
        <f t="shared" si="117"/>
        <v>0</v>
      </c>
      <c r="Q522" s="968">
        <f t="shared" si="117"/>
        <v>48.804446296360688</v>
      </c>
      <c r="R522" s="969">
        <f t="shared" si="117"/>
        <v>48.804446296360688</v>
      </c>
      <c r="S522" s="1562">
        <f t="shared" si="117"/>
        <v>244.02223148180343</v>
      </c>
      <c r="T522"/>
      <c r="U522"/>
    </row>
    <row r="523" spans="1:21">
      <c r="B523" s="683"/>
      <c r="D523" s="801"/>
      <c r="E523" s="801"/>
      <c r="F523" s="802"/>
      <c r="G523" s="801"/>
      <c r="H523" s="801"/>
      <c r="I523" s="801"/>
      <c r="J523" s="801"/>
      <c r="M523" s="801"/>
      <c r="N523" s="801"/>
      <c r="O523" s="802"/>
      <c r="P523" s="801"/>
      <c r="Q523" s="801"/>
      <c r="R523" s="801"/>
      <c r="S523" s="801"/>
      <c r="T523"/>
      <c r="U523"/>
    </row>
    <row r="524" spans="1:21">
      <c r="A524" s="683" t="s">
        <v>1046</v>
      </c>
      <c r="B524" s="683"/>
      <c r="C524" s="1401"/>
      <c r="D524" s="1401"/>
      <c r="E524" s="1401"/>
      <c r="F524" s="1401"/>
      <c r="G524" s="1401"/>
      <c r="H524" s="1401"/>
      <c r="I524" s="1401"/>
      <c r="J524" s="1401"/>
      <c r="L524" s="1413"/>
      <c r="M524" s="1413"/>
      <c r="N524" s="1413"/>
      <c r="O524" s="1413"/>
      <c r="P524" s="1413"/>
      <c r="Q524" s="1413"/>
      <c r="R524" s="1413"/>
      <c r="S524" s="1413"/>
      <c r="T524"/>
      <c r="U524"/>
    </row>
    <row r="525" spans="1:21">
      <c r="A525" s="683" t="s">
        <v>1047</v>
      </c>
      <c r="B525" s="683"/>
      <c r="C525" s="695" t="s">
        <v>1169</v>
      </c>
      <c r="D525" s="797"/>
      <c r="E525" s="721"/>
      <c r="F525" s="959"/>
      <c r="G525" s="959"/>
      <c r="H525" s="959"/>
      <c r="I525" s="960"/>
      <c r="J525" s="961"/>
      <c r="L525" s="695" t="s">
        <v>1169</v>
      </c>
      <c r="M525" s="797"/>
      <c r="N525" s="721"/>
      <c r="O525" s="959"/>
      <c r="P525" s="959"/>
      <c r="Q525" s="959"/>
      <c r="R525" s="960"/>
      <c r="S525" s="961"/>
      <c r="T525"/>
      <c r="U525"/>
    </row>
    <row r="526" spans="1:21">
      <c r="A526" s="683">
        <v>2022</v>
      </c>
      <c r="B526" s="683"/>
      <c r="C526" s="695" t="s">
        <v>1170</v>
      </c>
      <c r="D526" s="797"/>
      <c r="E526" s="721"/>
      <c r="F526" s="959"/>
      <c r="G526" s="959"/>
      <c r="H526" s="959"/>
      <c r="I526" s="960"/>
      <c r="J526" s="961"/>
      <c r="L526" s="695" t="s">
        <v>1170</v>
      </c>
      <c r="M526" s="797"/>
      <c r="N526" s="721"/>
      <c r="O526" s="959"/>
      <c r="P526" s="959"/>
      <c r="Q526" s="959"/>
      <c r="R526" s="960"/>
      <c r="S526" s="961"/>
      <c r="T526"/>
      <c r="U526"/>
    </row>
    <row r="527" spans="1:21">
      <c r="A527" s="683">
        <v>2023</v>
      </c>
      <c r="B527" s="683"/>
      <c r="C527" s="695" t="s">
        <v>1171</v>
      </c>
      <c r="D527" s="797"/>
      <c r="E527" s="721"/>
      <c r="F527" s="959"/>
      <c r="G527" s="959"/>
      <c r="H527" s="959"/>
      <c r="I527" s="960"/>
      <c r="J527" s="961"/>
      <c r="L527" s="695" t="s">
        <v>1171</v>
      </c>
      <c r="M527" s="797"/>
      <c r="N527" s="721"/>
      <c r="O527" s="959"/>
      <c r="P527" s="959"/>
      <c r="Q527" s="959"/>
      <c r="R527" s="960"/>
      <c r="S527" s="961"/>
      <c r="T527"/>
      <c r="U527"/>
    </row>
    <row r="528" spans="1:21">
      <c r="A528" s="683">
        <v>2024</v>
      </c>
      <c r="B528" s="683"/>
      <c r="C528" s="705" t="s">
        <v>1172</v>
      </c>
      <c r="D528" s="798"/>
      <c r="E528" s="766"/>
      <c r="F528" s="767"/>
      <c r="G528" s="767"/>
      <c r="H528" s="767"/>
      <c r="I528" s="809"/>
      <c r="J528" s="778"/>
      <c r="L528" s="705" t="s">
        <v>1172</v>
      </c>
      <c r="M528" s="798"/>
      <c r="N528" s="766"/>
      <c r="O528" s="767"/>
      <c r="P528" s="767"/>
      <c r="Q528" s="767"/>
      <c r="R528" s="809"/>
      <c r="S528" s="778"/>
      <c r="T528"/>
      <c r="U528"/>
    </row>
    <row r="529" spans="1:21">
      <c r="A529" s="683" t="s">
        <v>12</v>
      </c>
      <c r="B529" s="683"/>
      <c r="C529" s="1561" t="s">
        <v>1173</v>
      </c>
      <c r="D529" s="1567"/>
      <c r="E529" s="810"/>
      <c r="F529" s="970"/>
      <c r="G529" s="970"/>
      <c r="H529" s="970"/>
      <c r="I529" s="811"/>
      <c r="J529" s="1567"/>
      <c r="L529" s="1561" t="s">
        <v>1173</v>
      </c>
      <c r="M529" s="1567"/>
      <c r="N529" s="810"/>
      <c r="O529" s="970"/>
      <c r="P529" s="970"/>
      <c r="Q529" s="970"/>
      <c r="R529" s="811"/>
      <c r="S529" s="1567"/>
      <c r="T529"/>
      <c r="U529"/>
    </row>
    <row r="530" spans="1:21">
      <c r="B530" s="683"/>
      <c r="C530" s="1429"/>
      <c r="D530" s="1453"/>
      <c r="E530" s="1453"/>
      <c r="F530" s="1454"/>
      <c r="G530" s="1453"/>
      <c r="H530" s="1453"/>
      <c r="I530" s="1453"/>
      <c r="J530" s="1453"/>
      <c r="L530" s="1429"/>
      <c r="M530" s="1453"/>
      <c r="N530" s="1453"/>
      <c r="O530" s="1454"/>
      <c r="P530" s="1453"/>
      <c r="Q530" s="1453"/>
      <c r="R530" s="1453"/>
      <c r="S530" s="1453"/>
      <c r="T530"/>
      <c r="U530"/>
    </row>
    <row r="531" spans="1:21">
      <c r="B531" s="683"/>
      <c r="D531" s="801"/>
      <c r="E531" s="801"/>
      <c r="F531" s="802"/>
      <c r="G531" s="801"/>
      <c r="H531" s="801"/>
      <c r="I531" s="801"/>
      <c r="J531" s="801"/>
      <c r="M531" s="801"/>
      <c r="N531" s="801"/>
      <c r="O531" s="802"/>
      <c r="P531" s="801"/>
      <c r="Q531" s="801"/>
      <c r="R531" s="801"/>
      <c r="S531" s="801"/>
      <c r="T531"/>
      <c r="U531"/>
    </row>
    <row r="532" spans="1:21">
      <c r="B532" s="683"/>
      <c r="C532" s="1568" t="s">
        <v>1174</v>
      </c>
      <c r="D532" s="1562">
        <f>D374+D385+D392+D399+D406+D413+D420+D427+D432+D443+D454+D471+D482+D493+D504+D515+D522+D529</f>
        <v>3087.1586431300439</v>
      </c>
      <c r="E532" s="812">
        <f t="shared" ref="E532:J532" si="118">E374+E385+E392+E399+E406+E413+E420+E427+E432+E443+E454+E471+E482+E493+E504+E515+E522+E529</f>
        <v>-1439</v>
      </c>
      <c r="F532" s="968">
        <f t="shared" si="118"/>
        <v>-4662.1904365774035</v>
      </c>
      <c r="G532" s="968">
        <f t="shared" si="118"/>
        <v>-828.82216626375566</v>
      </c>
      <c r="H532" s="968">
        <f t="shared" si="118"/>
        <v>-836.63081430700504</v>
      </c>
      <c r="I532" s="813">
        <f t="shared" si="118"/>
        <v>1808.9670100463682</v>
      </c>
      <c r="J532" s="1562">
        <f t="shared" si="118"/>
        <v>9044.8350502318408</v>
      </c>
      <c r="L532" s="1568" t="s">
        <v>1174</v>
      </c>
      <c r="M532" s="1562">
        <f>M374+M385+M392+M399+M406+M413+M420+M427+M432+M443+M454+M471+M482+M493+M504+M515+M522+M529</f>
        <v>-151.72669821703141</v>
      </c>
      <c r="N532" s="812">
        <f t="shared" ref="N532:S532" si="119">N374+N385+N392+N399+N406+N413+N420+N427+N432+N443+N454+N471+N482+N493+N504+N515+N522+N529</f>
        <v>-149.96397906568572</v>
      </c>
      <c r="O532" s="968">
        <f t="shared" si="119"/>
        <v>-155.13584790588189</v>
      </c>
      <c r="P532" s="968">
        <f t="shared" si="119"/>
        <v>-94.193007786054039</v>
      </c>
      <c r="Q532" s="968">
        <f t="shared" si="119"/>
        <v>-45.26054123757384</v>
      </c>
      <c r="R532" s="813">
        <f t="shared" si="119"/>
        <v>48.804446296360688</v>
      </c>
      <c r="S532" s="1562">
        <f t="shared" si="119"/>
        <v>244.02223148180343</v>
      </c>
      <c r="T532"/>
      <c r="U532"/>
    </row>
    <row r="533" spans="1:21">
      <c r="B533" s="683"/>
    </row>
    <row r="534" spans="1:21">
      <c r="B534" s="683"/>
      <c r="C534" s="120" t="s">
        <v>1175</v>
      </c>
    </row>
    <row r="535" spans="1:21">
      <c r="B535" s="683"/>
      <c r="C535" s="120" t="s">
        <v>1176</v>
      </c>
      <c r="D535" s="744"/>
      <c r="E535" s="745"/>
      <c r="F535" s="745"/>
      <c r="G535" s="745"/>
      <c r="H535" s="745"/>
      <c r="I535" s="745"/>
      <c r="J535" s="745"/>
    </row>
    <row r="536" spans="1:21">
      <c r="B536" s="683"/>
      <c r="C536" s="747" t="s">
        <v>1177</v>
      </c>
    </row>
  </sheetData>
  <mergeCells count="1">
    <mergeCell ref="C1:J1"/>
  </mergeCells>
  <pageMargins left="0.7" right="0.7" top="0.75" bottom="0.75" header="0.3" footer="0.3"/>
  <pageSetup paperSize="9" scale="72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7477-59CB-45C0-8288-A8DD63959F2B}">
  <sheetPr>
    <tabColor theme="9" tint="-0.499984740745262"/>
    <pageSetUpPr fitToPage="1"/>
  </sheetPr>
  <dimension ref="A1:J106"/>
  <sheetViews>
    <sheetView topLeftCell="A60" zoomScaleNormal="100" workbookViewId="0">
      <selection activeCell="D87" sqref="D87"/>
    </sheetView>
  </sheetViews>
  <sheetFormatPr defaultColWidth="8.81640625" defaultRowHeight="13"/>
  <cols>
    <col min="1" max="1" width="24" style="528" customWidth="1"/>
    <col min="2" max="2" width="49.54296875" style="528" customWidth="1"/>
    <col min="3" max="6" width="12.54296875" style="528" customWidth="1"/>
    <col min="7" max="16384" width="8.81640625" style="194"/>
  </cols>
  <sheetData>
    <row r="1" spans="1:10">
      <c r="A1" s="1680" t="s">
        <v>1178</v>
      </c>
      <c r="B1" s="1680"/>
      <c r="C1" s="1680"/>
      <c r="D1" s="1680"/>
      <c r="E1" s="1680"/>
      <c r="F1" s="1680"/>
    </row>
    <row r="2" spans="1:10">
      <c r="A2" s="1654"/>
      <c r="B2" s="1654"/>
      <c r="C2" s="903"/>
      <c r="D2" s="903"/>
      <c r="E2" s="903"/>
      <c r="F2" s="529"/>
    </row>
    <row r="3" spans="1:10">
      <c r="A3" s="1455" t="s">
        <v>985</v>
      </c>
      <c r="B3" s="530"/>
      <c r="C3" s="194"/>
      <c r="D3" s="195"/>
      <c r="E3" s="194"/>
      <c r="F3" s="194"/>
    </row>
    <row r="4" spans="1:10">
      <c r="A4" s="531" t="s">
        <v>986</v>
      </c>
      <c r="B4" s="530"/>
      <c r="C4" s="194"/>
      <c r="D4" s="195"/>
      <c r="E4" s="194"/>
      <c r="F4" s="194"/>
    </row>
    <row r="5" spans="1:10">
      <c r="A5" s="532" t="s">
        <v>1038</v>
      </c>
      <c r="B5" s="533"/>
      <c r="C5" s="1681" t="s">
        <v>1179</v>
      </c>
      <c r="D5" s="1681"/>
      <c r="E5" s="1681"/>
      <c r="F5" s="1682"/>
    </row>
    <row r="6" spans="1:10">
      <c r="A6" s="530"/>
      <c r="B6" s="530"/>
      <c r="C6" s="903"/>
      <c r="D6" s="903"/>
      <c r="E6" s="903"/>
      <c r="F6" s="903"/>
    </row>
    <row r="7" spans="1:10">
      <c r="A7" s="1683" t="s">
        <v>1180</v>
      </c>
      <c r="B7" s="1684"/>
      <c r="C7" s="196" t="s">
        <v>870</v>
      </c>
      <c r="D7" s="196">
        <v>2022</v>
      </c>
      <c r="E7" s="196">
        <v>2023</v>
      </c>
      <c r="F7" s="1456">
        <v>2024</v>
      </c>
    </row>
    <row r="8" spans="1:10">
      <c r="A8" s="904"/>
      <c r="B8" s="904"/>
      <c r="C8" s="904"/>
      <c r="D8" s="904"/>
      <c r="E8" s="904"/>
      <c r="F8" s="904"/>
    </row>
    <row r="9" spans="1:10" s="197" customFormat="1">
      <c r="A9" s="534" t="s">
        <v>992</v>
      </c>
      <c r="B9" s="534"/>
      <c r="C9" s="535"/>
      <c r="D9" s="535"/>
      <c r="E9" s="535"/>
      <c r="F9" s="535"/>
    </row>
    <row r="10" spans="1:10" ht="3" customHeight="1">
      <c r="A10" s="904"/>
      <c r="B10" s="904"/>
      <c r="C10" s="904"/>
      <c r="D10" s="904"/>
      <c r="E10" s="904"/>
      <c r="F10" s="904"/>
    </row>
    <row r="11" spans="1:10">
      <c r="A11" s="1457" t="s">
        <v>1181</v>
      </c>
      <c r="B11" s="1458"/>
      <c r="C11" s="536"/>
      <c r="D11" s="536"/>
      <c r="E11" s="536"/>
      <c r="F11" s="1459"/>
    </row>
    <row r="12" spans="1:10">
      <c r="A12" s="537" t="s">
        <v>1182</v>
      </c>
      <c r="B12" s="986"/>
      <c r="C12" s="538">
        <f>'ANSP ERT'!J61</f>
        <v>170159.21561270312</v>
      </c>
      <c r="D12" s="538">
        <f>'ANSP ERT'!K61</f>
        <v>100148.89614797206</v>
      </c>
      <c r="E12" s="538">
        <f>'ANSP ERT'!L61</f>
        <v>105020.09652605237</v>
      </c>
      <c r="F12" s="538">
        <f>'ANSP ERT'!M61</f>
        <v>107530.0039097227</v>
      </c>
    </row>
    <row r="13" spans="1:10" ht="3" customHeight="1">
      <c r="A13" s="904"/>
      <c r="B13" s="904"/>
      <c r="C13" s="539"/>
      <c r="D13" s="539"/>
      <c r="E13" s="539"/>
      <c r="F13" s="539"/>
    </row>
    <row r="14" spans="1:10">
      <c r="A14" s="1460" t="s">
        <v>1183</v>
      </c>
      <c r="B14" s="1461"/>
      <c r="C14" s="540"/>
      <c r="D14" s="540"/>
      <c r="E14" s="540"/>
      <c r="F14" s="1462"/>
    </row>
    <row r="15" spans="1:10">
      <c r="A15" s="1463" t="s">
        <v>1184</v>
      </c>
      <c r="B15" s="1464"/>
      <c r="C15" s="541">
        <f>C12-'ANSP ERT'!J15-'ANSP ERT'!J16</f>
        <v>152610.37009342102</v>
      </c>
      <c r="D15" s="541">
        <f>D12-'ANSP ERT'!K15-'ANSP ERT'!K16</f>
        <v>88726.60081301161</v>
      </c>
      <c r="E15" s="541">
        <f>E12-'ANSP ERT'!L15-'ANSP ERT'!L16</f>
        <v>92774.147709551224</v>
      </c>
      <c r="F15" s="542">
        <f>F12-'ANSP ERT'!M15-'ANSP ERT'!M16</f>
        <v>96167.973465444273</v>
      </c>
      <c r="G15" s="198"/>
      <c r="H15" s="198"/>
      <c r="I15" s="198"/>
      <c r="J15" s="198"/>
    </row>
    <row r="16" spans="1:10">
      <c r="A16" s="543" t="s">
        <v>1185</v>
      </c>
      <c r="B16" s="544"/>
      <c r="C16" s="545"/>
      <c r="D16" s="541">
        <f>'ANSP ERT'!K65</f>
        <v>105.19340881519997</v>
      </c>
      <c r="E16" s="541">
        <f>'ANSP ERT'!L65</f>
        <v>107.29727699150398</v>
      </c>
      <c r="F16" s="542">
        <f>'ANSP ERT'!M65</f>
        <v>109.44322253133406</v>
      </c>
    </row>
    <row r="17" spans="1:6">
      <c r="A17" s="546" t="s">
        <v>1186</v>
      </c>
      <c r="B17" s="547"/>
      <c r="C17" s="205"/>
      <c r="D17" s="905">
        <f>'UR Control'!T23</f>
        <v>105.19340881519997</v>
      </c>
      <c r="E17" s="905">
        <f>'UR Control'!U23</f>
        <v>107.29727699150398</v>
      </c>
      <c r="F17" s="548">
        <f>'UR Control'!V23</f>
        <v>109.44322253133406</v>
      </c>
    </row>
    <row r="18" spans="1:6">
      <c r="A18" s="549" t="s">
        <v>1187</v>
      </c>
      <c r="B18" s="989"/>
      <c r="C18" s="204"/>
      <c r="D18" s="550">
        <f>D17/D16-1</f>
        <v>0</v>
      </c>
      <c r="E18" s="550">
        <f>E17/E16-1</f>
        <v>0</v>
      </c>
      <c r="F18" s="551">
        <f>F17/F16-1</f>
        <v>0</v>
      </c>
    </row>
    <row r="19" spans="1:6">
      <c r="A19" s="552" t="s">
        <v>1188</v>
      </c>
      <c r="B19" s="990"/>
      <c r="C19" s="553"/>
      <c r="D19" s="831">
        <f>D12*D18</f>
        <v>0</v>
      </c>
      <c r="E19" s="555">
        <f>E12*E18</f>
        <v>0</v>
      </c>
      <c r="F19" s="556">
        <f>F12*F18</f>
        <v>0</v>
      </c>
    </row>
    <row r="20" spans="1:6" ht="3" customHeight="1">
      <c r="A20" s="904"/>
      <c r="B20" s="904"/>
      <c r="C20" s="904"/>
      <c r="D20" s="904"/>
      <c r="E20" s="904"/>
      <c r="F20" s="904"/>
    </row>
    <row r="21" spans="1:6">
      <c r="A21" s="1457" t="s">
        <v>1189</v>
      </c>
      <c r="B21" s="1458"/>
      <c r="C21" s="536"/>
      <c r="D21" s="536"/>
      <c r="E21" s="536"/>
      <c r="F21" s="1459"/>
    </row>
    <row r="22" spans="1:6">
      <c r="A22" s="1465" t="s">
        <v>1190</v>
      </c>
      <c r="B22" s="1466"/>
      <c r="C22" s="1467">
        <f>SUMIFS('UR Control'!$M$64:$V$64,'UR Control'!$M$8:$V$8,C$7)+SUMIFS('UR Control'!$M$65:$V$65,'UR Control'!$M$8:$V$8,C$7)</f>
        <v>0</v>
      </c>
      <c r="D22" s="1468">
        <f>SUMIFS('UR Control'!$M$64:$V$64,'UR Control'!$M$8:$V$8,D$7)+SUMIFS('UR Control'!$M$65:$V$65,'UR Control'!$M$8:$V$8,D$7)</f>
        <v>0</v>
      </c>
      <c r="E22" s="1469">
        <f>SUMIFS('UR Control'!$M$64:$V$64,'UR Control'!$M$8:$V$8,E$7)+SUMIFS('UR Control'!$M$65:$V$65,'UR Control'!$M$8:$V$8,E$7)</f>
        <v>0</v>
      </c>
      <c r="F22" s="1470">
        <f>SUMIFS('UR Control'!$M$64:$V$64,'UR Control'!$M$8:$V$8,F$7)+SUMIFS('UR Control'!$M$65:$V$65,'UR Control'!$M$8:$V$8,F$7)</f>
        <v>0</v>
      </c>
    </row>
    <row r="23" spans="1:6">
      <c r="A23" s="557" t="s">
        <v>1191</v>
      </c>
      <c r="B23" s="558"/>
      <c r="C23" s="205"/>
      <c r="D23" s="559"/>
      <c r="E23" s="207"/>
      <c r="F23" s="208"/>
    </row>
    <row r="24" spans="1:6">
      <c r="A24" s="557" t="s">
        <v>1192</v>
      </c>
      <c r="B24" s="558"/>
      <c r="C24" s="205"/>
      <c r="D24" s="205"/>
      <c r="E24" s="207"/>
      <c r="F24" s="208"/>
    </row>
    <row r="25" spans="1:6">
      <c r="A25" s="560" t="s">
        <v>1193</v>
      </c>
      <c r="B25" s="558"/>
      <c r="C25" s="905">
        <f>SUMIFS('UR Control'!$M83:$V83,'UR Control'!$M$8:$V$8,C$7)</f>
        <v>0</v>
      </c>
      <c r="D25" s="561">
        <f>SUMIFS('UR Control'!$M83:$V83,'UR Control'!$M$8:$V$8,D$7)</f>
        <v>0</v>
      </c>
      <c r="E25" s="562">
        <f>SUMIFS('UR Control'!$M83:$V83,'UR Control'!$M$8:$V$8,E$7)</f>
        <v>0</v>
      </c>
      <c r="F25" s="563">
        <f>SUMIFS('UR Control'!$M83:$V83,'UR Control'!$M$8:$V$8,F$7)</f>
        <v>0</v>
      </c>
    </row>
    <row r="26" spans="1:6">
      <c r="A26" s="560" t="s">
        <v>1194</v>
      </c>
      <c r="B26" s="558"/>
      <c r="C26" s="905">
        <f>SUMIFS('UR Control'!$M84:$V84,'UR Control'!$M$8:$V$8,C$7)</f>
        <v>0</v>
      </c>
      <c r="D26" s="561">
        <f>SUMIFS('UR Control'!$M84:$V84,'UR Control'!$M$8:$V$8,D$7)</f>
        <v>0</v>
      </c>
      <c r="E26" s="562">
        <f>SUMIFS('UR Control'!$M84:$V84,'UR Control'!$M$8:$V$8,E$7)</f>
        <v>0</v>
      </c>
      <c r="F26" s="563">
        <f>SUMIFS('UR Control'!$M84:$V84,'UR Control'!$M$8:$V$8,F$7)</f>
        <v>0</v>
      </c>
    </row>
    <row r="27" spans="1:6">
      <c r="A27" s="560" t="s">
        <v>1195</v>
      </c>
      <c r="B27" s="558"/>
      <c r="C27" s="905">
        <f>SUMIFS('UR Control'!$M85:$V85,'UR Control'!$M$8:$V$8,C$7)</f>
        <v>0</v>
      </c>
      <c r="D27" s="561">
        <f>SUMIFS('UR Control'!$M85:$V85,'UR Control'!$M$8:$V$8,D$7)</f>
        <v>0</v>
      </c>
      <c r="E27" s="562">
        <f>SUMIFS('UR Control'!$M85:$V85,'UR Control'!$M$8:$V$8,E$7)</f>
        <v>0</v>
      </c>
      <c r="F27" s="563">
        <f>SUMIFS('UR Control'!$M85:$V85,'UR Control'!$M$8:$V$8,F$7)</f>
        <v>0</v>
      </c>
    </row>
    <row r="28" spans="1:6">
      <c r="A28" s="1471" t="s">
        <v>1196</v>
      </c>
      <c r="B28" s="1472"/>
      <c r="C28" s="553">
        <f>SUM(C22:C27)</f>
        <v>0</v>
      </c>
      <c r="D28" s="554">
        <f>SUM(D22:D27)</f>
        <v>0</v>
      </c>
      <c r="E28" s="555">
        <f>SUM(E22:E27)</f>
        <v>0</v>
      </c>
      <c r="F28" s="556">
        <f>SUM(F22:F27)</f>
        <v>0</v>
      </c>
    </row>
    <row r="29" spans="1:6" ht="10.9" customHeight="1">
      <c r="A29" s="903"/>
      <c r="B29" s="903"/>
      <c r="C29" s="903"/>
      <c r="D29" s="903"/>
      <c r="E29" s="903"/>
      <c r="F29" s="903"/>
    </row>
    <row r="30" spans="1:6" s="197" customFormat="1">
      <c r="A30" s="534" t="s">
        <v>1010</v>
      </c>
      <c r="B30" s="534"/>
      <c r="C30" s="535"/>
      <c r="D30" s="535"/>
      <c r="E30" s="535"/>
      <c r="F30" s="535"/>
    </row>
    <row r="31" spans="1:6" ht="1.9" customHeight="1">
      <c r="A31" s="904"/>
      <c r="B31" s="904"/>
      <c r="C31" s="904"/>
      <c r="D31" s="904"/>
      <c r="E31" s="904"/>
      <c r="F31" s="904"/>
    </row>
    <row r="32" spans="1:6">
      <c r="A32" s="1457" t="s">
        <v>1197</v>
      </c>
      <c r="B32" s="1458"/>
      <c r="C32" s="536"/>
      <c r="D32" s="536"/>
      <c r="E32" s="536"/>
      <c r="F32" s="1459"/>
    </row>
    <row r="33" spans="1:6">
      <c r="A33" s="564" t="s">
        <v>1198</v>
      </c>
      <c r="B33" s="565"/>
      <c r="C33" s="541">
        <f>C12-'ANSP ERT'!J28</f>
        <v>170159.21561270312</v>
      </c>
      <c r="D33" s="541">
        <f>D12-'ANSP ERT'!K28</f>
        <v>100148.89614797206</v>
      </c>
      <c r="E33" s="541">
        <f>E12-'ANSP ERT'!L28</f>
        <v>105020.09652605237</v>
      </c>
      <c r="F33" s="542">
        <f>F12-'ANSP ERT'!M28</f>
        <v>107530.0039097227</v>
      </c>
    </row>
    <row r="34" spans="1:6">
      <c r="A34" s="566" t="s">
        <v>1199</v>
      </c>
      <c r="B34" s="567"/>
      <c r="C34" s="199">
        <v>0.02</v>
      </c>
      <c r="D34" s="199">
        <v>0.02</v>
      </c>
      <c r="E34" s="199">
        <v>0.02</v>
      </c>
      <c r="F34" s="200">
        <v>0.02</v>
      </c>
    </row>
    <row r="35" spans="1:6">
      <c r="A35" s="566" t="s">
        <v>1200</v>
      </c>
      <c r="B35" s="567"/>
      <c r="C35" s="199">
        <v>0.7</v>
      </c>
      <c r="D35" s="199">
        <v>0.7</v>
      </c>
      <c r="E35" s="199">
        <v>0.7</v>
      </c>
      <c r="F35" s="200">
        <v>0.7</v>
      </c>
    </row>
    <row r="36" spans="1:6">
      <c r="A36" s="566" t="s">
        <v>1201</v>
      </c>
      <c r="B36" s="567"/>
      <c r="C36" s="199">
        <v>0.7</v>
      </c>
      <c r="D36" s="199">
        <v>0.7</v>
      </c>
      <c r="E36" s="199">
        <v>0.7</v>
      </c>
      <c r="F36" s="200">
        <v>0.7</v>
      </c>
    </row>
    <row r="37" spans="1:6">
      <c r="A37" s="566" t="s">
        <v>1202</v>
      </c>
      <c r="B37" s="567"/>
      <c r="C37" s="568">
        <v>0.1</v>
      </c>
      <c r="D37" s="568">
        <v>0.1</v>
      </c>
      <c r="E37" s="568">
        <v>0.1</v>
      </c>
      <c r="F37" s="569">
        <v>0.1</v>
      </c>
    </row>
    <row r="38" spans="1:6">
      <c r="A38" s="546" t="s">
        <v>1203</v>
      </c>
      <c r="B38" s="547"/>
      <c r="C38" s="826">
        <f>'ANSP ERT'!J68</f>
        <v>4060.2902946000004</v>
      </c>
      <c r="D38" s="826">
        <f>'ANSP ERT'!K68</f>
        <v>3202</v>
      </c>
      <c r="E38" s="826">
        <f>'ANSP ERT'!L68</f>
        <v>4039</v>
      </c>
      <c r="F38" s="827">
        <f>'ANSP ERT'!M68</f>
        <v>4726</v>
      </c>
    </row>
    <row r="39" spans="1:6">
      <c r="A39" s="566" t="s">
        <v>1204</v>
      </c>
      <c r="B39" s="567"/>
      <c r="C39" s="589">
        <f>SUMIFS('UR Control'!$M$115:$V$115,'UR Control'!$M$8:$V$8,C7)</f>
        <v>4060.2902946000004</v>
      </c>
      <c r="D39" s="589">
        <f>SUMIFS('UR Control'!$M$115:$V$115,'UR Control'!$M$8:$V$8,D7)</f>
        <v>3202</v>
      </c>
      <c r="E39" s="589">
        <f>SUMIFS('UR Control'!$M$115:$V$115,'UR Control'!$M$8:$V$8,E7)</f>
        <v>4039</v>
      </c>
      <c r="F39" s="827">
        <f>SUMIFS('UR Control'!$M$115:$V$115,'UR Control'!$M$8:$V$8,F7)</f>
        <v>4726</v>
      </c>
    </row>
    <row r="40" spans="1:6">
      <c r="A40" s="570" t="s">
        <v>1205</v>
      </c>
      <c r="B40" s="994"/>
      <c r="C40" s="201">
        <f>C39/C38-1</f>
        <v>0</v>
      </c>
      <c r="D40" s="201">
        <f>D39/D38-1</f>
        <v>0</v>
      </c>
      <c r="E40" s="571">
        <f>E39/E38-1</f>
        <v>0</v>
      </c>
      <c r="F40" s="996">
        <f>F39/F38-1</f>
        <v>0</v>
      </c>
    </row>
    <row r="41" spans="1:6">
      <c r="A41" s="552" t="s">
        <v>1206</v>
      </c>
      <c r="B41" s="990"/>
      <c r="C41" s="580">
        <f>C33*IF(AND(C40&lt;=C34,C40&gt;=-C34),0,IF(OR(AND(C40&gt;C34,C40&lt;=C37),AND(C40&lt;-C34,C40&gt;=-C37)),(C40-C34)*C35,((C37-C34)*C35)+(C40-C37)))</f>
        <v>0</v>
      </c>
      <c r="D41" s="832">
        <f>D33*IF(AND(D40&lt;=D34,D40&gt;=-D34),0,IF(OR(AND(D40&gt;D34,D40&lt;=D37),AND(D40&lt;-D34,D40&gt;=-D37)),(D40-D34)*D35,((D37-D34)*D35)+(D40-D37)))</f>
        <v>0</v>
      </c>
      <c r="E41" s="584">
        <f>E33*IF(AND(E40&lt;=E34,E40&gt;=-E34),0,IF(OR(AND(E40&gt;E34,E40&lt;=E37),AND(E40&lt;-E34,E40&gt;=-E37)),(E40-E34)*E35,((E37-E34)*E35)+(E40-E37)))</f>
        <v>0</v>
      </c>
      <c r="F41" s="833">
        <f>F33*IF(AND(F40&lt;=F34,F40&gt;=-F34),0,IF(OR(AND(F40&gt;F34,F40&lt;=F37),AND(F40&lt;-F34,F40&gt;=-F37)),(F40-F34)*F35,((F37-F34)*F35)+(F40-F37)))</f>
        <v>0</v>
      </c>
    </row>
    <row r="42" spans="1:6" ht="3" customHeight="1">
      <c r="A42" s="904"/>
      <c r="B42" s="904"/>
      <c r="C42" s="904"/>
      <c r="D42" s="904"/>
      <c r="E42" s="904"/>
      <c r="F42" s="904"/>
    </row>
    <row r="43" spans="1:6">
      <c r="A43" s="1460" t="s">
        <v>1207</v>
      </c>
      <c r="B43" s="1461"/>
      <c r="C43" s="536"/>
      <c r="D43" s="536"/>
      <c r="E43" s="536"/>
      <c r="F43" s="1459"/>
    </row>
    <row r="44" spans="1:6">
      <c r="A44" s="1473" t="s">
        <v>1208</v>
      </c>
      <c r="B44" s="1474"/>
      <c r="C44" s="572"/>
      <c r="D44" s="572"/>
      <c r="E44" s="572"/>
      <c r="F44" s="573"/>
    </row>
    <row r="45" spans="1:6">
      <c r="A45" s="574" t="s">
        <v>1209</v>
      </c>
      <c r="B45" s="575"/>
      <c r="C45" s="838">
        <f>IF('ANSP ERT'!Q68=0,0,(('T3'!E20+'T3'!E31+'T3'!E89+'T3'!E100+'T3'!E117+'T3'!E128+'T3'!E139+'T3'!E150+'T3'!E161)+('T3'!F20+'T3'!F31+'T3'!F89+'T3'!F100+'T3'!F117+'T3'!F128+'T3'!F139+'T3'!F150+'T3'!F161))*-(('ANSP ERT'!Q68)/'ANSP ERT'!J68-1))</f>
        <v>0</v>
      </c>
      <c r="D45" s="890">
        <f>IF('ANSP ERT'!R68=0,0,('T3'!G20+'T3'!G31+'T3'!G89+'T3'!G100+'T3'!G117+'T3'!G128+'T3'!G139+'T3'!G150+'T3'!G161)*-('ANSP ERT'!R68/'ANSP ERT'!K68-1))</f>
        <v>0</v>
      </c>
      <c r="E45" s="890">
        <f>IF('ANSP ERT'!S68=0,0,('T3'!H20+'T3'!H31+'T3'!H89+'T3'!H100+'T3'!H117+'T3'!H128+'T3'!H139+'T3'!H150+'T3'!H161)*-('ANSP ERT'!S68/'ANSP ERT'!L68-1))</f>
        <v>0</v>
      </c>
      <c r="F45" s="839">
        <f>IF('ANSP ERT'!T68=0,0,('T3'!I20+'T3'!I31+'T3'!I89+'T3'!I100+'T3'!I117+'T3'!I128+'T3'!I139+'T3'!I150+'T3'!I161)*-('ANSP ERT'!T68/'ANSP ERT'!M68-1))</f>
        <v>0</v>
      </c>
    </row>
    <row r="46" spans="1:6">
      <c r="A46" s="1471" t="s">
        <v>1210</v>
      </c>
      <c r="B46" s="1472"/>
      <c r="C46" s="553">
        <f>SUM(C44:C45)</f>
        <v>0</v>
      </c>
      <c r="D46" s="553">
        <f>SUM(D44:D45)</f>
        <v>0</v>
      </c>
      <c r="E46" s="555">
        <f>SUM(E44:E45)</f>
        <v>0</v>
      </c>
      <c r="F46" s="556">
        <f>SUM(F44:F45)</f>
        <v>0</v>
      </c>
    </row>
    <row r="47" spans="1:6" ht="10.9" customHeight="1">
      <c r="A47" s="903"/>
      <c r="B47" s="903"/>
      <c r="C47" s="903"/>
      <c r="D47" s="903"/>
      <c r="E47" s="903"/>
      <c r="F47" s="903"/>
    </row>
    <row r="48" spans="1:6" s="197" customFormat="1">
      <c r="A48" s="534" t="s">
        <v>1016</v>
      </c>
      <c r="B48" s="534"/>
      <c r="C48" s="535"/>
      <c r="D48" s="535"/>
      <c r="E48" s="535"/>
      <c r="F48" s="535"/>
    </row>
    <row r="49" spans="1:10" ht="3.65" customHeight="1">
      <c r="A49" s="904"/>
      <c r="B49" s="904"/>
      <c r="C49" s="904"/>
      <c r="D49" s="904"/>
      <c r="E49" s="904"/>
      <c r="F49" s="904"/>
    </row>
    <row r="50" spans="1:10">
      <c r="A50" s="1457" t="s">
        <v>1211</v>
      </c>
      <c r="B50" s="1458"/>
      <c r="C50" s="536"/>
      <c r="D50" s="536"/>
      <c r="E50" s="536"/>
      <c r="F50" s="1459"/>
      <c r="H50" s="197"/>
      <c r="I50" s="197"/>
      <c r="J50" s="197"/>
    </row>
    <row r="51" spans="1:10">
      <c r="A51" s="566" t="s">
        <v>1212</v>
      </c>
      <c r="B51" s="567"/>
      <c r="C51" s="559"/>
      <c r="D51" s="1468">
        <f>'UR Control'!T131*D12</f>
        <v>0</v>
      </c>
      <c r="E51" s="1469">
        <f>'UR Control'!U131*E12</f>
        <v>0</v>
      </c>
      <c r="F51" s="1470">
        <f>'UR Control'!V131*F12</f>
        <v>0</v>
      </c>
    </row>
    <row r="52" spans="1:10">
      <c r="A52" s="566" t="s">
        <v>1213</v>
      </c>
      <c r="B52" s="567"/>
      <c r="C52" s="559"/>
      <c r="D52" s="561"/>
      <c r="E52" s="199"/>
      <c r="F52" s="200"/>
      <c r="H52" s="197"/>
      <c r="I52" s="197"/>
      <c r="J52" s="197"/>
    </row>
    <row r="53" spans="1:10">
      <c r="A53" s="564" t="s">
        <v>1214</v>
      </c>
      <c r="B53" s="565"/>
      <c r="C53" s="559"/>
      <c r="D53" s="561"/>
      <c r="E53" s="576"/>
      <c r="F53" s="577"/>
    </row>
    <row r="54" spans="1:10" s="202" customFormat="1">
      <c r="A54" s="1471" t="s">
        <v>1215</v>
      </c>
      <c r="B54" s="1472"/>
      <c r="C54" s="206"/>
      <c r="D54" s="554">
        <f>SUM(D51:D53)</f>
        <v>0</v>
      </c>
      <c r="E54" s="555">
        <f>SUM(E51:E53)</f>
        <v>0</v>
      </c>
      <c r="F54" s="556">
        <f>SUM(F51:F53)</f>
        <v>0</v>
      </c>
      <c r="H54" s="197"/>
      <c r="I54" s="197"/>
      <c r="J54" s="197"/>
    </row>
    <row r="55" spans="1:10" ht="12" customHeight="1">
      <c r="A55" s="904"/>
      <c r="B55" s="904"/>
      <c r="C55" s="904"/>
      <c r="D55" s="904"/>
      <c r="E55" s="904"/>
      <c r="F55" s="904"/>
    </row>
    <row r="56" spans="1:10" s="197" customFormat="1">
      <c r="A56" s="534" t="s">
        <v>1026</v>
      </c>
      <c r="B56" s="534"/>
      <c r="C56" s="578"/>
      <c r="D56" s="578"/>
      <c r="E56" s="535"/>
      <c r="F56" s="535"/>
    </row>
    <row r="57" spans="1:10" ht="3.65" customHeight="1">
      <c r="A57" s="904"/>
      <c r="B57" s="904"/>
      <c r="C57" s="904"/>
      <c r="D57" s="904"/>
      <c r="E57" s="904"/>
      <c r="F57" s="904"/>
    </row>
    <row r="58" spans="1:10">
      <c r="A58" s="1457" t="s">
        <v>1216</v>
      </c>
      <c r="B58" s="1458"/>
      <c r="C58" s="536"/>
      <c r="D58" s="536"/>
      <c r="E58" s="536"/>
      <c r="F58" s="1459"/>
    </row>
    <row r="59" spans="1:10" s="203" customFormat="1">
      <c r="A59" s="1471" t="s">
        <v>1217</v>
      </c>
      <c r="B59" s="1472"/>
      <c r="C59" s="555">
        <f>SUMIFS('UR Control'!$M$148:$V$148,'UR Control'!$M$8:$V$8,C7)</f>
        <v>0</v>
      </c>
      <c r="D59" s="579">
        <f>SUMIFS('UR Control'!$M$148:$V$148,'UR Control'!$M$8:$V$8,D7)</f>
        <v>0</v>
      </c>
      <c r="E59" s="580">
        <f>SUMIFS('UR Control'!$M$148:$V$148,'UR Control'!$M$8:$V$8,E7)</f>
        <v>0</v>
      </c>
      <c r="F59" s="1475">
        <f>SUMIFS('UR Control'!$M$148:$V$148,'UR Control'!$M$8:$V$8,F7)</f>
        <v>0</v>
      </c>
    </row>
    <row r="60" spans="1:10" ht="3.65" customHeight="1">
      <c r="A60" s="904"/>
      <c r="B60" s="904"/>
      <c r="C60" s="904"/>
      <c r="D60" s="904"/>
      <c r="E60" s="904"/>
      <c r="F60" s="904"/>
    </row>
    <row r="61" spans="1:10">
      <c r="A61" s="1457" t="s">
        <v>1218</v>
      </c>
      <c r="B61" s="1458"/>
      <c r="C61" s="536"/>
      <c r="D61" s="536"/>
      <c r="E61" s="536"/>
      <c r="F61" s="1459"/>
    </row>
    <row r="62" spans="1:10">
      <c r="A62" s="1476" t="s">
        <v>1219</v>
      </c>
      <c r="B62" s="1477"/>
      <c r="C62" s="581" t="s">
        <v>1220</v>
      </c>
      <c r="D62" s="579"/>
      <c r="E62" s="582"/>
      <c r="F62" s="1478"/>
    </row>
    <row r="63" spans="1:10">
      <c r="A63" s="1479" t="s">
        <v>1221</v>
      </c>
      <c r="B63" s="1480"/>
      <c r="C63" s="981">
        <f>C93*'ANSP ERT'!J68-(C100*'ANSP ERT'!O68+C101*'ANSP ERT'!P68) -'T3'!D106-'T3'!D107-(('T3'!D106/-('ANSP ERT'!O68/C104-1)+'T3'!D107/-('ANSP ERT'!P68/C105-1))*C40)</f>
        <v>57969.80235520011</v>
      </c>
      <c r="D63" s="583"/>
      <c r="E63" s="584"/>
      <c r="F63" s="1481"/>
    </row>
    <row r="64" spans="1:10" ht="3" customHeight="1">
      <c r="A64" s="904"/>
      <c r="B64" s="904"/>
      <c r="C64" s="904"/>
      <c r="D64" s="904"/>
      <c r="E64" s="904"/>
      <c r="F64" s="904"/>
    </row>
    <row r="65" spans="1:6">
      <c r="A65" s="1457" t="s">
        <v>1222</v>
      </c>
      <c r="B65" s="1458"/>
      <c r="C65" s="536"/>
      <c r="D65" s="536"/>
      <c r="E65" s="536"/>
      <c r="F65" s="1459"/>
    </row>
    <row r="66" spans="1:6">
      <c r="A66" s="1479" t="s">
        <v>1223</v>
      </c>
      <c r="B66" s="1480"/>
      <c r="C66" s="585"/>
      <c r="D66" s="586"/>
      <c r="E66" s="587"/>
      <c r="F66" s="1482"/>
    </row>
    <row r="67" spans="1:6" ht="3" customHeight="1">
      <c r="A67" s="904"/>
      <c r="B67" s="904"/>
      <c r="C67" s="904"/>
      <c r="D67" s="904"/>
      <c r="E67" s="904"/>
      <c r="F67" s="904"/>
    </row>
    <row r="68" spans="1:6">
      <c r="A68" s="1457" t="s">
        <v>1224</v>
      </c>
      <c r="B68" s="1458"/>
      <c r="C68" s="1483"/>
      <c r="D68" s="1483"/>
      <c r="E68" s="1483"/>
      <c r="F68" s="1484"/>
    </row>
    <row r="69" spans="1:6">
      <c r="A69" s="1485" t="s">
        <v>1225</v>
      </c>
      <c r="B69" s="1486"/>
      <c r="C69" s="1487">
        <f>'UR Control'!S160</f>
        <v>-208.1</v>
      </c>
      <c r="D69" s="1487">
        <f>'UR Control'!T160</f>
        <v>0</v>
      </c>
      <c r="E69" s="1488">
        <f>'UR Control'!U160</f>
        <v>0</v>
      </c>
      <c r="F69" s="1489">
        <f>'UR Control'!V160</f>
        <v>0</v>
      </c>
    </row>
    <row r="70" spans="1:6">
      <c r="A70" s="566" t="s">
        <v>1226</v>
      </c>
      <c r="B70" s="567"/>
      <c r="C70" s="588">
        <f>'UR Control'!S161</f>
        <v>0</v>
      </c>
      <c r="D70" s="588">
        <f>'UR Control'!T161</f>
        <v>0</v>
      </c>
      <c r="E70" s="589">
        <f>'UR Control'!U161</f>
        <v>0</v>
      </c>
      <c r="F70" s="590">
        <f>'UR Control'!V161</f>
        <v>0</v>
      </c>
    </row>
    <row r="71" spans="1:6">
      <c r="A71" s="566" t="s">
        <v>1227</v>
      </c>
      <c r="B71" s="567"/>
      <c r="C71" s="588">
        <f>'UR Control'!S162</f>
        <v>-14432.771670257451</v>
      </c>
      <c r="D71" s="588">
        <f>'UR Control'!T162</f>
        <v>0</v>
      </c>
      <c r="E71" s="589">
        <f>'UR Control'!U162</f>
        <v>0</v>
      </c>
      <c r="F71" s="590">
        <f>'UR Control'!V162</f>
        <v>0</v>
      </c>
    </row>
    <row r="72" spans="1:6">
      <c r="A72" s="566" t="s">
        <v>1228</v>
      </c>
      <c r="B72" s="567"/>
      <c r="C72" s="591"/>
      <c r="D72" s="591"/>
      <c r="E72" s="592"/>
      <c r="F72" s="593"/>
    </row>
    <row r="73" spans="1:6">
      <c r="A73" s="1490" t="s">
        <v>1229</v>
      </c>
      <c r="B73" s="1491"/>
      <c r="C73" s="553">
        <f>SUM(C69:C72)</f>
        <v>-14640.871670257451</v>
      </c>
      <c r="D73" s="553">
        <f>SUM(D69:D72)</f>
        <v>0</v>
      </c>
      <c r="E73" s="553">
        <f>SUM(E69:E72)</f>
        <v>0</v>
      </c>
      <c r="F73" s="594">
        <f>SUM(F69:F72)</f>
        <v>0</v>
      </c>
    </row>
    <row r="74" spans="1:6" ht="4" customHeight="1">
      <c r="A74" s="595"/>
      <c r="B74" s="595"/>
      <c r="C74" s="596"/>
      <c r="D74" s="596"/>
      <c r="E74" s="596"/>
      <c r="F74" s="596"/>
    </row>
    <row r="75" spans="1:6">
      <c r="A75" s="1457" t="s">
        <v>1230</v>
      </c>
      <c r="B75" s="1458"/>
      <c r="C75" s="1492" t="s">
        <v>1231</v>
      </c>
      <c r="D75" s="1483"/>
      <c r="E75" s="1483"/>
      <c r="F75" s="1484"/>
    </row>
    <row r="76" spans="1:6" s="203" customFormat="1">
      <c r="A76" s="1479" t="s">
        <v>1232</v>
      </c>
      <c r="B76" s="1480"/>
      <c r="C76" s="555"/>
      <c r="D76" s="597"/>
      <c r="E76" s="598"/>
      <c r="F76" s="599"/>
    </row>
    <row r="77" spans="1:6" ht="10" customHeight="1">
      <c r="A77" s="595"/>
      <c r="B77" s="595"/>
      <c r="C77" s="600"/>
      <c r="D77" s="600"/>
      <c r="E77" s="596"/>
      <c r="F77" s="596"/>
    </row>
    <row r="78" spans="1:6">
      <c r="A78" s="1493" t="s">
        <v>1233</v>
      </c>
      <c r="B78" s="1494"/>
      <c r="C78" s="601">
        <f>C19+C28+C41+C46+C54+C59+C63+C66+C73+C76</f>
        <v>43328.930684942658</v>
      </c>
      <c r="D78" s="601">
        <f>D19+D28+D41+D46+D54+D59+D63+D66+D73+D76</f>
        <v>0</v>
      </c>
      <c r="E78" s="601">
        <f>E19+E28+E41+E46+E54+E59+E63+E66+E73+E76</f>
        <v>0</v>
      </c>
      <c r="F78" s="602">
        <f>F19+F28+F41+F46+F54+F59+F63+F66+F73+F76</f>
        <v>0</v>
      </c>
    </row>
    <row r="79" spans="1:6" ht="26.15" customHeight="1">
      <c r="A79" s="603"/>
      <c r="B79" s="904"/>
      <c r="C79" s="604"/>
      <c r="D79" s="604"/>
      <c r="E79" s="604"/>
      <c r="F79" s="604"/>
    </row>
    <row r="80" spans="1:6">
      <c r="A80" s="1683" t="s">
        <v>1234</v>
      </c>
      <c r="B80" s="1684"/>
      <c r="C80" s="196" t="s">
        <v>870</v>
      </c>
      <c r="D80" s="196">
        <v>2022</v>
      </c>
      <c r="E80" s="196">
        <v>2023</v>
      </c>
      <c r="F80" s="1456">
        <v>2024</v>
      </c>
    </row>
    <row r="81" spans="1:6">
      <c r="A81" s="1465" t="s">
        <v>1235</v>
      </c>
      <c r="B81" s="1466"/>
      <c r="C81" s="1495">
        <f>+C12</f>
        <v>170159.21561270312</v>
      </c>
      <c r="D81" s="1495">
        <f>+D12</f>
        <v>100148.89614797206</v>
      </c>
      <c r="E81" s="1495">
        <f>+E12</f>
        <v>105020.09652605237</v>
      </c>
      <c r="F81" s="1496">
        <f>+F12</f>
        <v>107530.0039097227</v>
      </c>
    </row>
    <row r="82" spans="1:6">
      <c r="A82" s="546" t="s">
        <v>1236</v>
      </c>
      <c r="B82" s="547"/>
      <c r="C82" s="572">
        <f>'T3'!E20+'T3'!F20</f>
        <v>-11345.310127559353</v>
      </c>
      <c r="D82" s="572">
        <f>'T3'!G20</f>
        <v>0</v>
      </c>
      <c r="E82" s="572">
        <f>'T3'!H20</f>
        <v>0</v>
      </c>
      <c r="F82" s="573">
        <f>'T3'!I20</f>
        <v>0</v>
      </c>
    </row>
    <row r="83" spans="1:6">
      <c r="A83" s="546" t="s">
        <v>1237</v>
      </c>
      <c r="B83" s="547"/>
      <c r="C83" s="572">
        <f>'T3'!E31+'T3'!F31</f>
        <v>-10542.64455780919</v>
      </c>
      <c r="D83" s="572">
        <f>'T3'!G31</f>
        <v>0</v>
      </c>
      <c r="E83" s="572">
        <f>'T3'!H31</f>
        <v>0</v>
      </c>
      <c r="F83" s="573">
        <f>'T3'!I31</f>
        <v>0</v>
      </c>
    </row>
    <row r="84" spans="1:6">
      <c r="A84" s="605" t="s">
        <v>1238</v>
      </c>
      <c r="B84" s="567"/>
      <c r="C84" s="572">
        <f>'T3'!E38+'T3'!E45+'T3'!E52+'T3'!E59+'T3'!E66+'T3'!E73+'T3'!E78+'T3'!F38+'T3'!F45+'T3'!F52+'T3'!F59+'T3'!F66+'T3'!F73+'T3'!F78</f>
        <v>0</v>
      </c>
      <c r="D84" s="572">
        <f>'T3'!G38+'T3'!G45+'T3'!G52+'T3'!G59+'T3'!G66+'T3'!G73+'T3'!G78</f>
        <v>0</v>
      </c>
      <c r="E84" s="572">
        <f>'T3'!H38+'T3'!H45+'T3'!H52+'T3'!H59+'T3'!H66+'T3'!H73+'T3'!H78</f>
        <v>0</v>
      </c>
      <c r="F84" s="573">
        <f>'T3'!I38+'T3'!I45+'T3'!I52+'T3'!I59+'T3'!I66+'T3'!I73+'T3'!I78</f>
        <v>0</v>
      </c>
    </row>
    <row r="85" spans="1:6">
      <c r="A85" s="605" t="s">
        <v>1239</v>
      </c>
      <c r="B85" s="567"/>
      <c r="C85" s="572">
        <f>'T3'!E89+'T3'!F89</f>
        <v>1110.085</v>
      </c>
      <c r="D85" s="572">
        <f>'T3'!G89</f>
        <v>0</v>
      </c>
      <c r="E85" s="572">
        <f>'T3'!H89</f>
        <v>0</v>
      </c>
      <c r="F85" s="573">
        <f>'T3'!I89</f>
        <v>0</v>
      </c>
    </row>
    <row r="86" spans="1:6">
      <c r="A86" s="605" t="s">
        <v>1240</v>
      </c>
      <c r="B86" s="567"/>
      <c r="C86" s="572">
        <f>'T3'!E100+'T3'!F100</f>
        <v>0</v>
      </c>
      <c r="D86" s="572">
        <f>'T3'!G100</f>
        <v>0</v>
      </c>
      <c r="E86" s="572">
        <f>'T3'!H100</f>
        <v>0</v>
      </c>
      <c r="F86" s="573">
        <f>'T3'!I100</f>
        <v>0</v>
      </c>
    </row>
    <row r="87" spans="1:6">
      <c r="A87" s="605" t="s">
        <v>1241</v>
      </c>
      <c r="B87" s="567"/>
      <c r="C87" s="572">
        <f>'T3'!E117+'T3'!F117</f>
        <v>1433.81093071647</v>
      </c>
      <c r="D87" s="572">
        <f>'T3'!G117</f>
        <v>-5543.9933181534598</v>
      </c>
      <c r="E87" s="890">
        <f>'T3'!H117</f>
        <v>-5514.8897242198855</v>
      </c>
      <c r="F87" s="573">
        <f>'T3'!I117</f>
        <v>0</v>
      </c>
    </row>
    <row r="88" spans="1:6">
      <c r="A88" s="564" t="s">
        <v>1242</v>
      </c>
      <c r="B88" s="565"/>
      <c r="C88" s="572">
        <f>'T3'!E128+'T3'!E139+'T3'!E150+'T3'!E161+'T3'!F128+'T3'!F139+'T3'!F150+'T3'!F161</f>
        <v>-14640.871670257451</v>
      </c>
      <c r="D88" s="572">
        <f>'T3'!G128+'T3'!G139+'T3'!G150+'T3'!G161</f>
        <v>-573.07566919826104</v>
      </c>
      <c r="E88" s="572">
        <f>'T3'!H128+'T3'!H139+'T3'!H150+'T3'!H161</f>
        <v>0</v>
      </c>
      <c r="F88" s="573">
        <f>'T3'!I128+'T3'!I139+'T3'!I150+'T3'!I161</f>
        <v>0</v>
      </c>
    </row>
    <row r="89" spans="1:6">
      <c r="A89" s="564" t="s">
        <v>1243</v>
      </c>
      <c r="B89" s="565"/>
      <c r="C89" s="572">
        <f>'T3'!E175+'T3'!F175</f>
        <v>0</v>
      </c>
      <c r="D89" s="572">
        <f>'T3'!G175</f>
        <v>0</v>
      </c>
      <c r="E89" s="572">
        <f>'T3'!H175</f>
        <v>0</v>
      </c>
      <c r="F89" s="573">
        <f>'T3'!I175</f>
        <v>0</v>
      </c>
    </row>
    <row r="90" spans="1:6">
      <c r="A90" s="605" t="s">
        <v>1244</v>
      </c>
      <c r="B90" s="606"/>
      <c r="C90" s="607">
        <f>'T3'!E168+'T3'!F168</f>
        <v>0</v>
      </c>
      <c r="D90" s="607">
        <f>'T3'!G168</f>
        <v>0</v>
      </c>
      <c r="E90" s="607">
        <f>'T3'!H168</f>
        <v>8281.4003364571581</v>
      </c>
      <c r="F90" s="608">
        <f>'T3'!I168</f>
        <v>8281.4003364571581</v>
      </c>
    </row>
    <row r="91" spans="1:6">
      <c r="A91" s="1497" t="s">
        <v>1245</v>
      </c>
      <c r="B91" s="1498"/>
      <c r="C91" s="1499">
        <f>SUM(C81:C90)</f>
        <v>136174.28518779358</v>
      </c>
      <c r="D91" s="1499">
        <f>SUM(D81:D90)</f>
        <v>94031.827160620334</v>
      </c>
      <c r="E91" s="1499">
        <f>SUM(E81:E90)</f>
        <v>107786.60713828963</v>
      </c>
      <c r="F91" s="1499">
        <f>SUM(F81:F90)</f>
        <v>115811.40424617985</v>
      </c>
    </row>
    <row r="92" spans="1:6">
      <c r="A92" s="1500" t="s">
        <v>1246</v>
      </c>
      <c r="B92" s="1501"/>
      <c r="C92" s="1502">
        <f>'ANSP ERT'!J68</f>
        <v>4060.2902946000004</v>
      </c>
      <c r="D92" s="1502">
        <f>'ANSP ERT'!K68</f>
        <v>3202</v>
      </c>
      <c r="E92" s="1502">
        <f>'ANSP ERT'!L68</f>
        <v>4039</v>
      </c>
      <c r="F92" s="1502">
        <f>'ANSP ERT'!M68</f>
        <v>4726</v>
      </c>
    </row>
    <row r="93" spans="1:6">
      <c r="A93" s="1500" t="s">
        <v>1247</v>
      </c>
      <c r="B93" s="1501"/>
      <c r="C93" s="1503">
        <f>C91/C92</f>
        <v>33.538066322228026</v>
      </c>
      <c r="D93" s="1503">
        <f>D91/D92</f>
        <v>29.366591867776496</v>
      </c>
      <c r="E93" s="1503">
        <f>E91/E92</f>
        <v>26.686458811163565</v>
      </c>
      <c r="F93" s="1503">
        <f>F91/F92</f>
        <v>24.505163826952995</v>
      </c>
    </row>
    <row r="94" spans="1:6">
      <c r="A94" s="1500" t="s">
        <v>1248</v>
      </c>
      <c r="B94" s="1501"/>
      <c r="C94" s="1504"/>
      <c r="D94" s="1504"/>
      <c r="E94" s="1505"/>
      <c r="F94" s="1506"/>
    </row>
    <row r="95" spans="1:6" ht="10" customHeight="1">
      <c r="A95" s="595"/>
      <c r="B95" s="595"/>
      <c r="C95" s="600"/>
      <c r="D95" s="600"/>
      <c r="E95" s="600"/>
      <c r="F95" s="600"/>
    </row>
    <row r="96" spans="1:6">
      <c r="A96" s="1507" t="s">
        <v>1249</v>
      </c>
      <c r="B96" s="1494"/>
      <c r="C96" s="609">
        <f>C93+C94</f>
        <v>33.538066322228026</v>
      </c>
      <c r="D96" s="609">
        <f>+D93+D94</f>
        <v>29.366591867776496</v>
      </c>
      <c r="E96" s="609">
        <f>+E93+E94</f>
        <v>26.686458811163565</v>
      </c>
      <c r="F96" s="1572">
        <f>+F93+F94</f>
        <v>24.505163826952995</v>
      </c>
    </row>
    <row r="97" spans="1:9" s="198" customFormat="1">
      <c r="A97" s="603"/>
      <c r="B97" s="904"/>
      <c r="C97" s="610"/>
      <c r="D97" s="610"/>
      <c r="E97" s="610"/>
      <c r="F97" s="610"/>
      <c r="G97" s="194"/>
      <c r="H97" s="194"/>
      <c r="I97" s="194"/>
    </row>
    <row r="98" spans="1:9" s="197" customFormat="1">
      <c r="A98" s="903" t="s">
        <v>1250</v>
      </c>
      <c r="B98" s="906"/>
      <c r="C98" s="907"/>
      <c r="D98" s="907"/>
      <c r="E98" s="907"/>
      <c r="F98" s="907"/>
    </row>
    <row r="99" spans="1:9" s="197" customFormat="1" ht="13" customHeight="1">
      <c r="A99" s="908" t="s">
        <v>1251</v>
      </c>
      <c r="B99" s="906"/>
      <c r="C99" s="886"/>
      <c r="D99" s="907"/>
      <c r="E99" s="907"/>
      <c r="F99" s="886"/>
    </row>
    <row r="100" spans="1:9" s="197" customFormat="1" ht="13" customHeight="1">
      <c r="A100" s="957" t="s">
        <v>1252</v>
      </c>
      <c r="B100" s="906"/>
      <c r="C100" s="611">
        <v>20.000833031755242</v>
      </c>
      <c r="D100" s="907"/>
      <c r="E100" s="907"/>
      <c r="F100" s="612"/>
    </row>
    <row r="101" spans="1:9" s="197" customFormat="1" ht="13" customHeight="1">
      <c r="A101" s="957" t="s">
        <v>1253</v>
      </c>
      <c r="B101" s="906"/>
      <c r="C101" s="611">
        <v>23.887984398654805</v>
      </c>
      <c r="D101" s="907"/>
      <c r="E101" s="907"/>
      <c r="F101" s="612"/>
    </row>
    <row r="102" spans="1:9" s="197" customFormat="1">
      <c r="A102" s="957" t="s">
        <v>1254</v>
      </c>
      <c r="B102" s="904"/>
      <c r="C102" s="611">
        <v>0</v>
      </c>
      <c r="D102" s="886"/>
      <c r="E102" s="886"/>
      <c r="F102" s="904"/>
    </row>
    <row r="103" spans="1:9" s="197" customFormat="1">
      <c r="A103" s="957" t="s">
        <v>1255</v>
      </c>
      <c r="B103" s="904"/>
      <c r="C103" s="611">
        <v>0</v>
      </c>
      <c r="D103" s="904"/>
      <c r="E103" s="904"/>
      <c r="F103" s="904"/>
    </row>
    <row r="104" spans="1:9" s="197" customFormat="1">
      <c r="A104" s="957" t="s">
        <v>1256</v>
      </c>
      <c r="B104" s="904"/>
      <c r="C104" s="611">
        <v>4689.0424000000003</v>
      </c>
      <c r="D104" s="904"/>
      <c r="E104" s="604"/>
      <c r="F104" s="904"/>
    </row>
    <row r="105" spans="1:9" s="197" customFormat="1">
      <c r="A105" s="957" t="s">
        <v>1257</v>
      </c>
      <c r="B105" s="904"/>
      <c r="C105" s="611">
        <v>4790.2876000000006</v>
      </c>
      <c r="D105" s="904"/>
      <c r="E105" s="904"/>
      <c r="F105" s="904"/>
    </row>
    <row r="106" spans="1:9" s="197" customFormat="1">
      <c r="A106" s="903" t="s">
        <v>1177</v>
      </c>
      <c r="B106" s="906"/>
      <c r="C106" s="907"/>
      <c r="D106" s="907"/>
      <c r="E106" s="907"/>
      <c r="F106" s="907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9F6A5-CEDF-4357-BFA3-8C2C8336AAF1}">
  <sheetPr>
    <tabColor theme="9" tint="-0.499984740745262"/>
    <pageSetUpPr fitToPage="1"/>
  </sheetPr>
  <dimension ref="A1:J106"/>
  <sheetViews>
    <sheetView topLeftCell="A58" zoomScale="85" zoomScaleNormal="85" workbookViewId="0">
      <selection activeCell="H63" sqref="H63"/>
    </sheetView>
  </sheetViews>
  <sheetFormatPr defaultColWidth="8.81640625" defaultRowHeight="13"/>
  <cols>
    <col min="1" max="1" width="24" style="528" customWidth="1"/>
    <col min="2" max="2" width="49.54296875" style="528" customWidth="1"/>
    <col min="3" max="6" width="12.54296875" style="528" customWidth="1"/>
    <col min="7" max="16384" width="8.81640625" style="194"/>
  </cols>
  <sheetData>
    <row r="1" spans="1:10">
      <c r="A1" s="1680" t="s">
        <v>1178</v>
      </c>
      <c r="B1" s="1680"/>
      <c r="C1" s="1680"/>
      <c r="D1" s="1680"/>
      <c r="E1" s="1680"/>
      <c r="F1" s="1680"/>
    </row>
    <row r="2" spans="1:10">
      <c r="A2" s="1654"/>
      <c r="B2" s="1654"/>
      <c r="C2" s="903"/>
      <c r="D2" s="903"/>
      <c r="E2" s="903"/>
      <c r="F2" s="529"/>
    </row>
    <row r="3" spans="1:10">
      <c r="A3" s="1455" t="s">
        <v>985</v>
      </c>
      <c r="B3" s="530"/>
      <c r="C3" s="194"/>
      <c r="D3" s="195"/>
      <c r="E3" s="194"/>
      <c r="F3" s="194"/>
    </row>
    <row r="4" spans="1:10">
      <c r="A4" s="531" t="s">
        <v>986</v>
      </c>
      <c r="B4" s="530"/>
      <c r="C4" s="194"/>
      <c r="D4" s="195"/>
      <c r="E4" s="194"/>
      <c r="F4" s="194"/>
    </row>
    <row r="5" spans="1:10">
      <c r="A5" s="532" t="s">
        <v>1038</v>
      </c>
      <c r="B5" s="533"/>
      <c r="C5" s="1681" t="s">
        <v>1179</v>
      </c>
      <c r="D5" s="1681"/>
      <c r="E5" s="1681"/>
      <c r="F5" s="1682"/>
    </row>
    <row r="6" spans="1:10">
      <c r="A6" s="530"/>
      <c r="B6" s="530"/>
      <c r="C6" s="903"/>
      <c r="D6" s="903"/>
      <c r="E6" s="903"/>
      <c r="F6" s="903"/>
    </row>
    <row r="7" spans="1:10">
      <c r="A7" s="1683" t="s">
        <v>1180</v>
      </c>
      <c r="B7" s="1684"/>
      <c r="C7" s="196" t="s">
        <v>870</v>
      </c>
      <c r="D7" s="196">
        <v>2022</v>
      </c>
      <c r="E7" s="196">
        <v>2023</v>
      </c>
      <c r="F7" s="1456">
        <v>2024</v>
      </c>
    </row>
    <row r="8" spans="1:10">
      <c r="A8" s="904"/>
      <c r="B8" s="904"/>
      <c r="C8" s="904"/>
      <c r="D8" s="904"/>
      <c r="E8" s="904"/>
      <c r="F8" s="904"/>
    </row>
    <row r="9" spans="1:10" s="197" customFormat="1">
      <c r="A9" s="534" t="s">
        <v>992</v>
      </c>
      <c r="B9" s="534"/>
      <c r="C9" s="535"/>
      <c r="D9" s="535"/>
      <c r="E9" s="535"/>
      <c r="F9" s="535"/>
    </row>
    <row r="10" spans="1:10" ht="3" customHeight="1">
      <c r="A10" s="904"/>
      <c r="B10" s="904"/>
      <c r="C10" s="904"/>
      <c r="D10" s="904"/>
      <c r="E10" s="904"/>
      <c r="F10" s="904"/>
    </row>
    <row r="11" spans="1:10">
      <c r="A11" s="1457" t="s">
        <v>1181</v>
      </c>
      <c r="B11" s="1458"/>
      <c r="C11" s="536"/>
      <c r="D11" s="536"/>
      <c r="E11" s="536"/>
      <c r="F11" s="1459"/>
    </row>
    <row r="12" spans="1:10">
      <c r="A12" s="537" t="s">
        <v>1182</v>
      </c>
      <c r="B12" s="986"/>
      <c r="C12" s="538">
        <f>'ANSP TRM'!J61</f>
        <v>34820.312361026365</v>
      </c>
      <c r="D12" s="538">
        <f>'ANSP TRM'!K61</f>
        <v>25016.967687916425</v>
      </c>
      <c r="E12" s="538">
        <f>'ANSP TRM'!L61</f>
        <v>27350.97450096687</v>
      </c>
      <c r="F12" s="538">
        <f>'ANSP TRM'!M61</f>
        <v>28911.614177628253</v>
      </c>
    </row>
    <row r="13" spans="1:10" ht="3" customHeight="1">
      <c r="A13" s="904"/>
      <c r="B13" s="904"/>
      <c r="C13" s="539"/>
      <c r="D13" s="539"/>
      <c r="E13" s="539"/>
      <c r="F13" s="539"/>
    </row>
    <row r="14" spans="1:10">
      <c r="A14" s="1460" t="s">
        <v>1183</v>
      </c>
      <c r="B14" s="1461"/>
      <c r="C14" s="540"/>
      <c r="D14" s="540"/>
      <c r="E14" s="540"/>
      <c r="F14" s="1462"/>
    </row>
    <row r="15" spans="1:10">
      <c r="A15" s="1463" t="s">
        <v>1184</v>
      </c>
      <c r="B15" s="1464"/>
      <c r="C15" s="541">
        <f>C12-'ANSP TRM'!J15-'ANSP TRM'!J16</f>
        <v>27575.425681745666</v>
      </c>
      <c r="D15" s="541">
        <f>D12-'ANSP TRM'!K15-'ANSP TRM'!K16</f>
        <v>15906.188304581206</v>
      </c>
      <c r="E15" s="541">
        <f>E12-'ANSP TRM'!L15-'ANSP TRM'!L16</f>
        <v>17080.162088550896</v>
      </c>
      <c r="F15" s="541">
        <f>F12-'ANSP TRM'!M15-'ANSP TRM'!M16</f>
        <v>18653.356866346359</v>
      </c>
      <c r="G15" s="198"/>
      <c r="H15" s="198"/>
      <c r="I15" s="198"/>
      <c r="J15" s="198"/>
    </row>
    <row r="16" spans="1:10">
      <c r="A16" s="543" t="s">
        <v>1185</v>
      </c>
      <c r="B16" s="544"/>
      <c r="C16" s="545"/>
      <c r="D16" s="541">
        <f>'ANSP TRM'!K65</f>
        <v>105.19340881519997</v>
      </c>
      <c r="E16" s="541">
        <f>'ANSP TRM'!L65</f>
        <v>107.29727699150398</v>
      </c>
      <c r="F16" s="541">
        <f>'ANSP TRM'!M65</f>
        <v>109.44322253133406</v>
      </c>
    </row>
    <row r="17" spans="1:6">
      <c r="A17" s="546" t="s">
        <v>1186</v>
      </c>
      <c r="B17" s="547"/>
      <c r="C17" s="205"/>
      <c r="D17" s="905">
        <f>'UR Control'!T23</f>
        <v>105.19340881519997</v>
      </c>
      <c r="E17" s="905">
        <f>'UR Control'!U23</f>
        <v>107.29727699150398</v>
      </c>
      <c r="F17" s="548">
        <f>'UR Control'!V23</f>
        <v>109.44322253133406</v>
      </c>
    </row>
    <row r="18" spans="1:6">
      <c r="A18" s="549" t="s">
        <v>1187</v>
      </c>
      <c r="B18" s="989"/>
      <c r="C18" s="204"/>
      <c r="D18" s="550">
        <f>D17/D16-1</f>
        <v>0</v>
      </c>
      <c r="E18" s="550">
        <f>E17/E16-1</f>
        <v>0</v>
      </c>
      <c r="F18" s="551">
        <f>F17/F16-1</f>
        <v>0</v>
      </c>
    </row>
    <row r="19" spans="1:6">
      <c r="A19" s="552" t="s">
        <v>1188</v>
      </c>
      <c r="B19" s="990"/>
      <c r="C19" s="553"/>
      <c r="D19" s="831">
        <f>D12*D18</f>
        <v>0</v>
      </c>
      <c r="E19" s="555">
        <f>E12*E18</f>
        <v>0</v>
      </c>
      <c r="F19" s="556">
        <f>F12*F18</f>
        <v>0</v>
      </c>
    </row>
    <row r="20" spans="1:6" ht="3" customHeight="1">
      <c r="A20" s="904"/>
      <c r="B20" s="904"/>
      <c r="C20" s="904"/>
      <c r="D20" s="904"/>
      <c r="E20" s="904"/>
      <c r="F20" s="904"/>
    </row>
    <row r="21" spans="1:6">
      <c r="A21" s="1457" t="s">
        <v>1189</v>
      </c>
      <c r="B21" s="1458"/>
      <c r="C21" s="536"/>
      <c r="D21" s="536"/>
      <c r="E21" s="536"/>
      <c r="F21" s="1459"/>
    </row>
    <row r="22" spans="1:6">
      <c r="A22" s="1465" t="s">
        <v>1190</v>
      </c>
      <c r="B22" s="1466"/>
      <c r="C22" s="1467">
        <f>SUMIFS('UR Control'!$M$67:$V$67,'UR Control'!$M$8:$V$8,C$7)+SUMIFS('UR Control'!$M$68:$V$68,'UR Control'!$M$8:$V$8,C$7)</f>
        <v>0</v>
      </c>
      <c r="D22" s="1468">
        <f>SUMIFS('UR Control'!$M$67:$V$67,'UR Control'!$M$8:$V$8,D$7)+SUMIFS('UR Control'!$M$68:$V$68,'UR Control'!$M$8:$V$8,D$7)</f>
        <v>0</v>
      </c>
      <c r="E22" s="1467">
        <f>SUMIFS('UR Control'!$M$67:$V$67,'UR Control'!$M$8:$V$8,E$7)+SUMIFS('UR Control'!$M$68:$V$68,'UR Control'!$M$8:$V$8,E$7)</f>
        <v>0</v>
      </c>
      <c r="F22" s="1508">
        <f>SUMIFS('UR Control'!$M$67:$V$67,'UR Control'!$M$8:$V$8,F$7)+SUMIFS('UR Control'!$M$68:$V$68,'UR Control'!$M$8:$V$8,F$7)</f>
        <v>0</v>
      </c>
    </row>
    <row r="23" spans="1:6">
      <c r="A23" s="557" t="s">
        <v>1191</v>
      </c>
      <c r="B23" s="558"/>
      <c r="C23" s="205"/>
      <c r="D23" s="559"/>
      <c r="E23" s="207"/>
      <c r="F23" s="840"/>
    </row>
    <row r="24" spans="1:6">
      <c r="A24" s="557" t="s">
        <v>1192</v>
      </c>
      <c r="B24" s="558"/>
      <c r="C24" s="205"/>
      <c r="D24" s="205"/>
      <c r="E24" s="207"/>
      <c r="F24" s="840"/>
    </row>
    <row r="25" spans="1:6">
      <c r="A25" s="560" t="s">
        <v>1193</v>
      </c>
      <c r="B25" s="558"/>
      <c r="C25" s="905">
        <f>SUMIFS('UR Control'!$M87:$V87,'UR Control'!$M$8:$V$8,C$7)</f>
        <v>0</v>
      </c>
      <c r="D25" s="561">
        <f>SUMIFS('UR Control'!$M87:$V87,'UR Control'!$M$8:$V$8,D$7)</f>
        <v>0</v>
      </c>
      <c r="E25" s="905">
        <f>SUMIFS('UR Control'!$M87:$V87,'UR Control'!$M$8:$V$8,E$7)</f>
        <v>0</v>
      </c>
      <c r="F25" s="841">
        <f>SUMIFS('UR Control'!$M87:$V87,'UR Control'!$M$8:$V$8,F$7)</f>
        <v>0</v>
      </c>
    </row>
    <row r="26" spans="1:6">
      <c r="A26" s="560" t="s">
        <v>1194</v>
      </c>
      <c r="B26" s="558"/>
      <c r="C26" s="905">
        <f>SUMIFS('UR Control'!$M88:$V88,'UR Control'!$M$8:$V$8,C$7)</f>
        <v>0</v>
      </c>
      <c r="D26" s="561">
        <f>SUMIFS('UR Control'!$M88:$V88,'UR Control'!$M$8:$V$8,D$7)</f>
        <v>0</v>
      </c>
      <c r="E26" s="905">
        <f>SUMIFS('UR Control'!$M88:$V88,'UR Control'!$M$8:$V$8,E$7)</f>
        <v>0</v>
      </c>
      <c r="F26" s="841">
        <f>SUMIFS('UR Control'!$M88:$V88,'UR Control'!$M$8:$V$8,F$7)</f>
        <v>0</v>
      </c>
    </row>
    <row r="27" spans="1:6">
      <c r="A27" s="560" t="s">
        <v>1195</v>
      </c>
      <c r="B27" s="558"/>
      <c r="C27" s="905">
        <f>SUMIFS('UR Control'!$M89:$V89,'UR Control'!$M$8:$V$8,C$7)</f>
        <v>0</v>
      </c>
      <c r="D27" s="561">
        <f>SUMIFS('UR Control'!$M89:$V89,'UR Control'!$M$8:$V$8,D$7)</f>
        <v>0</v>
      </c>
      <c r="E27" s="905">
        <f>SUMIFS('UR Control'!$M89:$V89,'UR Control'!$M$8:$V$8,E$7)</f>
        <v>0</v>
      </c>
      <c r="F27" s="842">
        <f>SUMIFS('UR Control'!$M89:$V89,'UR Control'!$M$8:$V$8,F$7)</f>
        <v>0</v>
      </c>
    </row>
    <row r="28" spans="1:6">
      <c r="A28" s="1471" t="s">
        <v>1196</v>
      </c>
      <c r="B28" s="1472"/>
      <c r="C28" s="553">
        <f>SUM(C22:C27)</f>
        <v>0</v>
      </c>
      <c r="D28" s="554">
        <f>SUM(D22:D27)</f>
        <v>0</v>
      </c>
      <c r="E28" s="553">
        <f>SUM(E22:E27)</f>
        <v>0</v>
      </c>
      <c r="F28" s="594">
        <f>SUM(F22:F27)</f>
        <v>0</v>
      </c>
    </row>
    <row r="29" spans="1:6" ht="10.9" customHeight="1">
      <c r="A29" s="903"/>
      <c r="B29" s="903"/>
      <c r="C29" s="903"/>
      <c r="D29" s="903"/>
      <c r="E29" s="903"/>
      <c r="F29" s="903"/>
    </row>
    <row r="30" spans="1:6" s="197" customFormat="1">
      <c r="A30" s="534" t="s">
        <v>1010</v>
      </c>
      <c r="B30" s="534"/>
      <c r="C30" s="535"/>
      <c r="D30" s="535"/>
      <c r="E30" s="535"/>
      <c r="F30" s="535"/>
    </row>
    <row r="31" spans="1:6" ht="1.9" customHeight="1">
      <c r="A31" s="904"/>
      <c r="B31" s="904"/>
      <c r="C31" s="904"/>
      <c r="D31" s="904"/>
      <c r="E31" s="904"/>
      <c r="F31" s="904"/>
    </row>
    <row r="32" spans="1:6">
      <c r="A32" s="1457" t="s">
        <v>1197</v>
      </c>
      <c r="B32" s="1458"/>
      <c r="C32" s="536"/>
      <c r="D32" s="536"/>
      <c r="E32" s="536"/>
      <c r="F32" s="1459"/>
    </row>
    <row r="33" spans="1:6">
      <c r="A33" s="564" t="s">
        <v>1198</v>
      </c>
      <c r="B33" s="565"/>
      <c r="C33" s="541">
        <f>C12-'ANSP TRM'!J28</f>
        <v>34820.312361026365</v>
      </c>
      <c r="D33" s="541">
        <f>D12-'ANSP TRM'!K28</f>
        <v>25016.967687916425</v>
      </c>
      <c r="E33" s="541">
        <f>E12-'ANSP TRM'!L28</f>
        <v>27350.97450096687</v>
      </c>
      <c r="F33" s="1509">
        <f>F12-'ANSP TRM'!M28</f>
        <v>28911.614177628253</v>
      </c>
    </row>
    <row r="34" spans="1:6">
      <c r="A34" s="566" t="s">
        <v>1199</v>
      </c>
      <c r="B34" s="567"/>
      <c r="C34" s="199">
        <v>0.02</v>
      </c>
      <c r="D34" s="199">
        <v>0.02</v>
      </c>
      <c r="E34" s="199">
        <v>0.02</v>
      </c>
      <c r="F34" s="843">
        <v>0.02</v>
      </c>
    </row>
    <row r="35" spans="1:6">
      <c r="A35" s="566" t="s">
        <v>1200</v>
      </c>
      <c r="B35" s="567"/>
      <c r="C35" s="199">
        <v>0.7</v>
      </c>
      <c r="D35" s="199">
        <v>0.7</v>
      </c>
      <c r="E35" s="199">
        <v>0.7</v>
      </c>
      <c r="F35" s="843">
        <v>0.7</v>
      </c>
    </row>
    <row r="36" spans="1:6">
      <c r="A36" s="566" t="s">
        <v>1201</v>
      </c>
      <c r="B36" s="567"/>
      <c r="C36" s="199">
        <v>0.7</v>
      </c>
      <c r="D36" s="199">
        <v>0.7</v>
      </c>
      <c r="E36" s="199">
        <v>0.7</v>
      </c>
      <c r="F36" s="843">
        <v>0.7</v>
      </c>
    </row>
    <row r="37" spans="1:6">
      <c r="A37" s="566" t="s">
        <v>1202</v>
      </c>
      <c r="B37" s="567"/>
      <c r="C37" s="568">
        <v>0.1</v>
      </c>
      <c r="D37" s="568">
        <v>0.1</v>
      </c>
      <c r="E37" s="568">
        <v>0.1</v>
      </c>
      <c r="F37" s="844">
        <v>0.1</v>
      </c>
    </row>
    <row r="38" spans="1:6">
      <c r="A38" s="546" t="s">
        <v>1203</v>
      </c>
      <c r="B38" s="547"/>
      <c r="C38" s="826">
        <f>'ANSP TRM'!J68</f>
        <v>147.51144028384689</v>
      </c>
      <c r="D38" s="826">
        <f>'ANSP TRM'!K68</f>
        <v>136</v>
      </c>
      <c r="E38" s="826">
        <f>'ANSP TRM'!L68</f>
        <v>163</v>
      </c>
      <c r="F38" s="590">
        <f>'ANSP TRM'!M68</f>
        <v>188</v>
      </c>
    </row>
    <row r="39" spans="1:6">
      <c r="A39" s="566" t="s">
        <v>1204</v>
      </c>
      <c r="B39" s="567"/>
      <c r="C39" s="589">
        <f>SUMIFS('UR Control'!$M$116:$V$116,'UR Control'!$M$8:$V$8,C7)</f>
        <v>147.51144028384689</v>
      </c>
      <c r="D39" s="589">
        <f>SUMIFS('UR Control'!$M$116:$V$116,'UR Control'!$M$8:$V$8,D7)</f>
        <v>136</v>
      </c>
      <c r="E39" s="589">
        <f>SUMIFS('UR Control'!$M$116:$V$116,'UR Control'!$M$8:$V$8,E7)</f>
        <v>163</v>
      </c>
      <c r="F39" s="590">
        <f>SUMIFS('UR Control'!$M$116:$V$116,'UR Control'!$M$8:$V$8,F7)</f>
        <v>188</v>
      </c>
    </row>
    <row r="40" spans="1:6">
      <c r="A40" s="570" t="s">
        <v>1205</v>
      </c>
      <c r="B40" s="994"/>
      <c r="C40" s="201">
        <f>C39/C38-1</f>
        <v>0</v>
      </c>
      <c r="D40" s="201">
        <f>D39/D38-1</f>
        <v>0</v>
      </c>
      <c r="E40" s="571">
        <f>E39/E38-1</f>
        <v>0</v>
      </c>
      <c r="F40" s="845">
        <f>F39/F38-1</f>
        <v>0</v>
      </c>
    </row>
    <row r="41" spans="1:6">
      <c r="A41" s="552" t="s">
        <v>1206</v>
      </c>
      <c r="B41" s="990"/>
      <c r="C41" s="580">
        <f>C33*IF(AND(C40&lt;=C34,C40&gt;=-C34),0,IF(OR(AND(C40&gt;C34,C40&lt;=C37),AND(C40&lt;-C34,C40&gt;=-C37)),(C40-C34)*C35,((C37-C34)*C35)+(C40-C37)))</f>
        <v>0</v>
      </c>
      <c r="D41" s="832">
        <f>D33*IF(AND(D40&lt;=D34,D40&gt;=-D34),0,IF(OR(AND(D40&gt;D34,D40&lt;=D37),AND(D40&lt;-D34,D40&gt;=-D37)),(D40-D34)*D35,((D37-D34)*D35)+(D40-D37)))</f>
        <v>0</v>
      </c>
      <c r="E41" s="580">
        <f>E33*IF(AND(E40&lt;=E34,E40&gt;=-E34),0,IF(OR(AND(E40&gt;E34,E40&lt;=E37),AND(E40&lt;-E34,E40&gt;=-E37)),(E40-E34)*E35,((E37-E34)*E35)+(E40-E37)))</f>
        <v>0</v>
      </c>
      <c r="F41" s="846">
        <f>F33*IF(AND(F40&lt;=F34,F40&gt;=-F34),0,IF(OR(AND(F40&gt;F34,F40&lt;=F37),AND(F40&lt;-F34,F40&gt;=-F37)),(F40-F34)*F35,((F37-F34)*F35)+(F40-F37)))</f>
        <v>0</v>
      </c>
    </row>
    <row r="42" spans="1:6" ht="3" customHeight="1">
      <c r="A42" s="904"/>
      <c r="B42" s="904"/>
      <c r="C42" s="904"/>
      <c r="D42" s="904"/>
      <c r="E42" s="904"/>
      <c r="F42" s="904"/>
    </row>
    <row r="43" spans="1:6">
      <c r="A43" s="1460" t="s">
        <v>1207</v>
      </c>
      <c r="B43" s="1461"/>
      <c r="C43" s="536"/>
      <c r="D43" s="536"/>
      <c r="E43" s="536"/>
      <c r="F43" s="1459"/>
    </row>
    <row r="44" spans="1:6">
      <c r="A44" s="1473" t="s">
        <v>1208</v>
      </c>
      <c r="B44" s="1474"/>
      <c r="C44" s="572"/>
      <c r="D44" s="572"/>
      <c r="E44" s="572"/>
      <c r="F44" s="1496"/>
    </row>
    <row r="45" spans="1:6">
      <c r="A45" s="574" t="s">
        <v>1209</v>
      </c>
      <c r="B45" s="575"/>
      <c r="C45" s="838">
        <f>IF('ANSP TRM'!Q68=0,0,(('T3'!N20+'T3'!N31+'T3'!N89+'T3'!N100+'T3'!N117+'T3'!N128+'T3'!N139+'T3'!N150+'T3'!N161)+('T3'!O20+'T3'!O31+'T3'!O89+'T3'!O100+'T3'!O117+'T3'!O128+'T3'!O139+'T3'!O150+'T3'!O161))*-(('ANSP TRM'!Q68)/'ANSP TRM'!J68-1))</f>
        <v>0</v>
      </c>
      <c r="D45" s="838">
        <f>IF('ANSP TRM'!R68=0,0,(('T3'!P20+'T3'!P31+'T3'!P89+'T3'!P100+'T3'!P117+'T3'!P128+'T3'!P139+'T3'!P150+'T3'!P161))*-(('ANSP TRM'!R68)/'ANSP TRM'!K68-1))</f>
        <v>0</v>
      </c>
      <c r="E45" s="838">
        <f>IF('ANSP TRM'!S68=0,0,(('T3'!Q20+'T3'!Q31+'T3'!Q89+'T3'!Q100+'T3'!Q117+'T3'!Q128+'T3'!Q139+'T3'!Q150+'T3'!Q161))*-(('ANSP TRM'!S68)/'ANSP TRM'!L68-1))</f>
        <v>0</v>
      </c>
      <c r="F45" s="847">
        <f>IF('ANSP TRM'!T68=0,0,(('T3'!R20+'T3'!R31+'T3'!R89+'T3'!R100+'T3'!R117+'T3'!R128+'T3'!R139+'T3'!R150+'T3'!R161))*-(('ANSP TRM'!T68)/'ANSP TRM'!M68-1))</f>
        <v>0</v>
      </c>
    </row>
    <row r="46" spans="1:6">
      <c r="A46" s="1471" t="s">
        <v>1210</v>
      </c>
      <c r="B46" s="1472"/>
      <c r="C46" s="553">
        <f>SUM(C44:C45)</f>
        <v>0</v>
      </c>
      <c r="D46" s="553">
        <f>SUM(D44:D45)</f>
        <v>0</v>
      </c>
      <c r="E46" s="553">
        <f>SUM(E44:E45)</f>
        <v>0</v>
      </c>
      <c r="F46" s="594">
        <f>SUM(F44:F45)</f>
        <v>0</v>
      </c>
    </row>
    <row r="47" spans="1:6" ht="10.9" customHeight="1">
      <c r="A47" s="903"/>
      <c r="B47" s="903"/>
      <c r="C47" s="903"/>
      <c r="D47" s="903"/>
      <c r="E47" s="903"/>
      <c r="F47" s="903"/>
    </row>
    <row r="48" spans="1:6" s="197" customFormat="1">
      <c r="A48" s="534" t="s">
        <v>1016</v>
      </c>
      <c r="B48" s="534"/>
      <c r="C48" s="535"/>
      <c r="D48" s="535"/>
      <c r="E48" s="535"/>
      <c r="F48" s="535"/>
    </row>
    <row r="49" spans="1:10" ht="3.65" customHeight="1">
      <c r="A49" s="904"/>
      <c r="B49" s="904"/>
      <c r="C49" s="904"/>
      <c r="D49" s="904"/>
      <c r="E49" s="904"/>
      <c r="F49" s="904"/>
    </row>
    <row r="50" spans="1:10">
      <c r="A50" s="1457" t="s">
        <v>1211</v>
      </c>
      <c r="B50" s="1458"/>
      <c r="C50" s="536"/>
      <c r="D50" s="536"/>
      <c r="E50" s="536"/>
      <c r="F50" s="1459"/>
      <c r="H50" s="197"/>
      <c r="I50" s="197"/>
      <c r="J50" s="197"/>
    </row>
    <row r="51" spans="1:10">
      <c r="A51" s="566" t="s">
        <v>1212</v>
      </c>
      <c r="B51" s="567"/>
      <c r="C51" s="559"/>
      <c r="D51" s="1468">
        <f>'UR Control'!T142*D12</f>
        <v>0</v>
      </c>
      <c r="E51" s="1467">
        <f>'UR Control'!U142*E12</f>
        <v>0</v>
      </c>
      <c r="F51" s="1508">
        <f>'UR Control'!V142*F12</f>
        <v>0</v>
      </c>
    </row>
    <row r="52" spans="1:10">
      <c r="A52" s="566" t="s">
        <v>1213</v>
      </c>
      <c r="B52" s="567"/>
      <c r="C52" s="559"/>
      <c r="D52" s="561"/>
      <c r="E52" s="199"/>
      <c r="F52" s="200"/>
      <c r="H52" s="197"/>
      <c r="I52" s="197"/>
      <c r="J52" s="197"/>
    </row>
    <row r="53" spans="1:10">
      <c r="A53" s="564" t="s">
        <v>1214</v>
      </c>
      <c r="B53" s="565"/>
      <c r="C53" s="559"/>
      <c r="D53" s="561"/>
      <c r="E53" s="576"/>
      <c r="F53" s="577"/>
    </row>
    <row r="54" spans="1:10" s="202" customFormat="1">
      <c r="A54" s="1471" t="s">
        <v>1215</v>
      </c>
      <c r="B54" s="1472"/>
      <c r="C54" s="206"/>
      <c r="D54" s="554">
        <f>SUM(D51:D53)</f>
        <v>0</v>
      </c>
      <c r="E54" s="553">
        <f>SUM(E51:E53)</f>
        <v>0</v>
      </c>
      <c r="F54" s="594">
        <f>SUM(F51:F53)</f>
        <v>0</v>
      </c>
      <c r="H54" s="197"/>
      <c r="I54" s="197"/>
      <c r="J54" s="197"/>
    </row>
    <row r="55" spans="1:10" ht="12" customHeight="1">
      <c r="A55" s="904"/>
      <c r="B55" s="904"/>
      <c r="C55" s="904"/>
      <c r="D55" s="904"/>
      <c r="E55" s="904"/>
      <c r="F55" s="904"/>
    </row>
    <row r="56" spans="1:10" s="197" customFormat="1">
      <c r="A56" s="534" t="s">
        <v>1026</v>
      </c>
      <c r="B56" s="534"/>
      <c r="C56" s="578"/>
      <c r="D56" s="578"/>
      <c r="E56" s="535"/>
      <c r="F56" s="535"/>
    </row>
    <row r="57" spans="1:10" ht="3.65" customHeight="1">
      <c r="A57" s="904"/>
      <c r="B57" s="904"/>
      <c r="C57" s="904"/>
      <c r="D57" s="904"/>
      <c r="E57" s="904"/>
      <c r="F57" s="904"/>
    </row>
    <row r="58" spans="1:10">
      <c r="A58" s="1457" t="s">
        <v>1216</v>
      </c>
      <c r="B58" s="1458"/>
      <c r="C58" s="536"/>
      <c r="D58" s="536"/>
      <c r="E58" s="536"/>
      <c r="F58" s="1459"/>
    </row>
    <row r="59" spans="1:10" s="203" customFormat="1">
      <c r="A59" s="1471" t="s">
        <v>1217</v>
      </c>
      <c r="B59" s="1472"/>
      <c r="C59" s="555">
        <f>SUMIFS('UR Control'!$M$149:$V$149,'UR Control'!$M$8:$V$8,C7)</f>
        <v>0</v>
      </c>
      <c r="D59" s="848">
        <f>SUMIFS('UR Control'!$M$149:$V$149,'UR Control'!$M$8:$V$8,D7)</f>
        <v>0</v>
      </c>
      <c r="E59" s="555">
        <f>SUMIFS('UR Control'!$M$149:$V$149,'UR Control'!$M$8:$V$8,E7)</f>
        <v>0</v>
      </c>
      <c r="F59" s="556">
        <f>SUMIFS('UR Control'!$M$149:$V$149,'UR Control'!$M$8:$V$8,F7)</f>
        <v>0</v>
      </c>
    </row>
    <row r="60" spans="1:10" ht="3.65" customHeight="1">
      <c r="A60" s="904"/>
      <c r="B60" s="904"/>
      <c r="C60" s="904"/>
      <c r="D60" s="904"/>
      <c r="E60" s="904"/>
      <c r="F60" s="904"/>
    </row>
    <row r="61" spans="1:10">
      <c r="A61" s="1457" t="s">
        <v>1218</v>
      </c>
      <c r="B61" s="1458"/>
      <c r="C61" s="536"/>
      <c r="D61" s="536"/>
      <c r="E61" s="536"/>
      <c r="F61" s="1459"/>
    </row>
    <row r="62" spans="1:10">
      <c r="A62" s="1476" t="s">
        <v>1219</v>
      </c>
      <c r="B62" s="1477"/>
      <c r="C62" s="581" t="s">
        <v>1220</v>
      </c>
      <c r="D62" s="579"/>
      <c r="E62" s="582"/>
      <c r="F62" s="1478"/>
    </row>
    <row r="63" spans="1:10">
      <c r="A63" s="1479" t="s">
        <v>1221</v>
      </c>
      <c r="B63" s="1480"/>
      <c r="C63" s="981">
        <f>C93*'ANSP TRM'!J68-(C100*'ANSP TRM'!O68+C101*'ANSP TRM'!P68) -'T3'!M106-'T3'!M107-(('T3'!M106/-('ANSP TRM'!O68/C104-1)+'T3'!M107/-('ANSP TRM'!P68/C105-1))*C40)</f>
        <v>7022.9660049365984</v>
      </c>
      <c r="D63" s="848"/>
      <c r="E63" s="555"/>
      <c r="F63" s="556"/>
    </row>
    <row r="64" spans="1:10" ht="3" customHeight="1">
      <c r="A64" s="904"/>
      <c r="B64" s="904"/>
      <c r="C64" s="904"/>
      <c r="D64" s="904"/>
      <c r="E64" s="904"/>
      <c r="F64" s="904"/>
    </row>
    <row r="65" spans="1:6">
      <c r="A65" s="1457" t="s">
        <v>1222</v>
      </c>
      <c r="B65" s="1458"/>
      <c r="C65" s="536"/>
      <c r="D65" s="536"/>
      <c r="E65" s="536"/>
      <c r="F65" s="1459"/>
    </row>
    <row r="66" spans="1:6">
      <c r="A66" s="1479" t="s">
        <v>1223</v>
      </c>
      <c r="B66" s="1480"/>
      <c r="C66" s="585"/>
      <c r="D66" s="586"/>
      <c r="E66" s="587"/>
      <c r="F66" s="1482"/>
    </row>
    <row r="67" spans="1:6" ht="3" customHeight="1">
      <c r="A67" s="904"/>
      <c r="B67" s="904"/>
      <c r="C67" s="904"/>
      <c r="D67" s="904"/>
      <c r="E67" s="904"/>
      <c r="F67" s="904"/>
    </row>
    <row r="68" spans="1:6">
      <c r="A68" s="1457" t="s">
        <v>1224</v>
      </c>
      <c r="B68" s="1458"/>
      <c r="C68" s="1483"/>
      <c r="D68" s="1483"/>
      <c r="E68" s="1483"/>
      <c r="F68" s="1484"/>
    </row>
    <row r="69" spans="1:6">
      <c r="A69" s="1485" t="s">
        <v>1225</v>
      </c>
      <c r="B69" s="1486"/>
      <c r="C69" s="1487">
        <f>'UR Control'!S166</f>
        <v>-106.97597210091274</v>
      </c>
      <c r="D69" s="1487">
        <f>'UR Control'!T166</f>
        <v>0</v>
      </c>
      <c r="E69" s="1510">
        <f>'UR Control'!U166</f>
        <v>0</v>
      </c>
      <c r="F69" s="1511">
        <f>'UR Control'!V166</f>
        <v>0</v>
      </c>
    </row>
    <row r="70" spans="1:6">
      <c r="A70" s="566" t="s">
        <v>1226</v>
      </c>
      <c r="B70" s="567"/>
      <c r="C70" s="588">
        <f>'UR Control'!S167</f>
        <v>-65.863</v>
      </c>
      <c r="D70" s="588">
        <f>'UR Control'!T167</f>
        <v>0</v>
      </c>
      <c r="E70" s="849">
        <f>'UR Control'!U167</f>
        <v>0</v>
      </c>
      <c r="F70" s="850">
        <f>'UR Control'!V167</f>
        <v>0</v>
      </c>
    </row>
    <row r="71" spans="1:6">
      <c r="A71" s="566" t="s">
        <v>1227</v>
      </c>
      <c r="B71" s="567"/>
      <c r="C71" s="588">
        <f>'UR Control'!S168</f>
        <v>-4650.9845367026901</v>
      </c>
      <c r="D71" s="588">
        <f>'UR Control'!T168</f>
        <v>0</v>
      </c>
      <c r="E71" s="849">
        <f>'UR Control'!U168</f>
        <v>0</v>
      </c>
      <c r="F71" s="850">
        <f>'UR Control'!V168</f>
        <v>0</v>
      </c>
    </row>
    <row r="72" spans="1:6">
      <c r="A72" s="566" t="s">
        <v>1228</v>
      </c>
      <c r="B72" s="567"/>
      <c r="C72" s="899">
        <v>0</v>
      </c>
      <c r="D72" s="899">
        <v>0</v>
      </c>
      <c r="E72" s="900">
        <v>0</v>
      </c>
      <c r="F72" s="901">
        <v>0</v>
      </c>
    </row>
    <row r="73" spans="1:6">
      <c r="A73" s="1490" t="s">
        <v>1229</v>
      </c>
      <c r="B73" s="1491"/>
      <c r="C73" s="553">
        <f>SUM(C69:C72)</f>
        <v>-4823.8235088036026</v>
      </c>
      <c r="D73" s="553">
        <f>SUM(D69:D72)</f>
        <v>0</v>
      </c>
      <c r="E73" s="553">
        <f>SUM(E69:E72)</f>
        <v>0</v>
      </c>
      <c r="F73" s="594">
        <f>SUM(F69:F72)</f>
        <v>0</v>
      </c>
    </row>
    <row r="74" spans="1:6" ht="4" customHeight="1">
      <c r="A74" s="595"/>
      <c r="B74" s="595"/>
      <c r="C74" s="596"/>
      <c r="D74" s="596"/>
      <c r="E74" s="596"/>
      <c r="F74" s="596"/>
    </row>
    <row r="75" spans="1:6">
      <c r="A75" s="1457" t="s">
        <v>1230</v>
      </c>
      <c r="B75" s="1458"/>
      <c r="C75" s="1492" t="s">
        <v>1231</v>
      </c>
      <c r="D75" s="1483"/>
      <c r="E75" s="1483"/>
      <c r="F75" s="1484"/>
    </row>
    <row r="76" spans="1:6" s="203" customFormat="1">
      <c r="A76" s="1479" t="s">
        <v>1232</v>
      </c>
      <c r="B76" s="1480"/>
      <c r="C76" s="555"/>
      <c r="D76" s="597"/>
      <c r="E76" s="598"/>
      <c r="F76" s="599"/>
    </row>
    <row r="77" spans="1:6" ht="10" customHeight="1">
      <c r="A77" s="595"/>
      <c r="B77" s="595"/>
      <c r="C77" s="600"/>
      <c r="D77" s="600"/>
      <c r="E77" s="596"/>
      <c r="F77" s="596"/>
    </row>
    <row r="78" spans="1:6">
      <c r="A78" s="1493" t="s">
        <v>1233</v>
      </c>
      <c r="B78" s="1494"/>
      <c r="C78" s="601">
        <f>C19+C28+C41+C46+C54+C59+C63+C66+C73+C76</f>
        <v>2199.1424961329958</v>
      </c>
      <c r="D78" s="601">
        <f>D19+D28+D41+D46+D54+D59+D63+D66+D73+D76</f>
        <v>0</v>
      </c>
      <c r="E78" s="601">
        <f>E19+E28+E41+E46+E54+E59+E63+E66+E73+E76</f>
        <v>0</v>
      </c>
      <c r="F78" s="602">
        <f>F19+F28+F41+F46+F54+F59+F63+F66+F73+F76</f>
        <v>0</v>
      </c>
    </row>
    <row r="79" spans="1:6" ht="26.15" customHeight="1">
      <c r="A79" s="603"/>
      <c r="B79" s="904"/>
      <c r="C79" s="604"/>
      <c r="D79" s="604"/>
      <c r="E79" s="604"/>
      <c r="F79" s="604"/>
    </row>
    <row r="80" spans="1:6">
      <c r="A80" s="1683" t="s">
        <v>1234</v>
      </c>
      <c r="B80" s="1684"/>
      <c r="C80" s="196" t="s">
        <v>870</v>
      </c>
      <c r="D80" s="196">
        <v>2022</v>
      </c>
      <c r="E80" s="196">
        <v>2023</v>
      </c>
      <c r="F80" s="1456">
        <v>2024</v>
      </c>
    </row>
    <row r="81" spans="1:6">
      <c r="A81" s="1465" t="s">
        <v>1235</v>
      </c>
      <c r="B81" s="1466"/>
      <c r="C81" s="1512">
        <f>+C12</f>
        <v>34820.312361026365</v>
      </c>
      <c r="D81" s="1495">
        <f>+D12</f>
        <v>25016.967687916425</v>
      </c>
      <c r="E81" s="1495">
        <f>+E12</f>
        <v>27350.97450096687</v>
      </c>
      <c r="F81" s="1496">
        <f>+F12</f>
        <v>28911.614177628253</v>
      </c>
    </row>
    <row r="82" spans="1:6">
      <c r="A82" s="546" t="s">
        <v>1236</v>
      </c>
      <c r="B82" s="547"/>
      <c r="C82" s="851">
        <f>'T3'!N20+'T3'!O20</f>
        <v>-2573.8605390118073</v>
      </c>
      <c r="D82" s="572">
        <f>'T3'!P20</f>
        <v>0</v>
      </c>
      <c r="E82" s="572">
        <f>'T3'!Q20</f>
        <v>0</v>
      </c>
      <c r="F82" s="573">
        <f>'T3'!R20</f>
        <v>0</v>
      </c>
    </row>
    <row r="83" spans="1:6">
      <c r="A83" s="546" t="s">
        <v>1237</v>
      </c>
      <c r="B83" s="547"/>
      <c r="C83" s="851">
        <f>'T3'!N31+'T3'!O31</f>
        <v>-7613.0605243936307</v>
      </c>
      <c r="D83" s="572">
        <f>'T3'!P31</f>
        <v>0</v>
      </c>
      <c r="E83" s="572">
        <f>'T3'!Q31</f>
        <v>0</v>
      </c>
      <c r="F83" s="573">
        <f>'T3'!R31</f>
        <v>0</v>
      </c>
    </row>
    <row r="84" spans="1:6">
      <c r="A84" s="605" t="s">
        <v>1238</v>
      </c>
      <c r="B84" s="567"/>
      <c r="C84" s="851">
        <f>'T3'!N38+'T3'!N45+'T3'!N52+'T3'!N59+'T3'!N66+'T3'!N73+'T3'!N78+'T3'!O38+'T3'!O45+'T3'!O52+'T3'!O59+'T3'!O66+'T3'!O73+'T3'!O78</f>
        <v>0</v>
      </c>
      <c r="D84" s="572">
        <f>'T3'!P38+'T3'!P45+'T3'!P52+'T3'!P59+'T3'!P66+'T3'!P73+'T3'!P78</f>
        <v>0</v>
      </c>
      <c r="E84" s="572">
        <f>'T3'!Q38+'T3'!Q45+'T3'!Q52+'T3'!Q59+'T3'!Q66+'T3'!Q73+'T3'!Q78</f>
        <v>0</v>
      </c>
      <c r="F84" s="573">
        <f>'T3'!R38+'T3'!R45+'T3'!R52+'T3'!R59+'T3'!R66+'T3'!R73+'T3'!R78</f>
        <v>0</v>
      </c>
    </row>
    <row r="85" spans="1:6">
      <c r="A85" s="605" t="s">
        <v>1239</v>
      </c>
      <c r="B85" s="567"/>
      <c r="C85" s="851">
        <f>'T3'!N89+'T3'!O89</f>
        <v>0</v>
      </c>
      <c r="D85" s="572">
        <f>'T3'!P89</f>
        <v>0</v>
      </c>
      <c r="E85" s="572">
        <f>'T3'!Q89</f>
        <v>0</v>
      </c>
      <c r="F85" s="573">
        <f>'T3'!R89</f>
        <v>0</v>
      </c>
    </row>
    <row r="86" spans="1:6">
      <c r="A86" s="605" t="s">
        <v>1240</v>
      </c>
      <c r="B86" s="567"/>
      <c r="C86" s="851">
        <f>'T3'!N100+'T3'!O100</f>
        <v>0</v>
      </c>
      <c r="D86" s="572">
        <f>'T3'!P100</f>
        <v>0</v>
      </c>
      <c r="E86" s="572">
        <f>'T3'!Q100</f>
        <v>0</v>
      </c>
      <c r="F86" s="573">
        <f>'T3'!R100</f>
        <v>0</v>
      </c>
    </row>
    <row r="87" spans="1:6">
      <c r="A87" s="605" t="s">
        <v>1241</v>
      </c>
      <c r="B87" s="567"/>
      <c r="C87" s="851">
        <f>'T3'!N117+'T3'!O117</f>
        <v>1202.5369199830302</v>
      </c>
      <c r="D87" s="572">
        <f>'T3'!P117</f>
        <v>-2758.1343854107445</v>
      </c>
      <c r="E87" s="890">
        <f>'T3'!Q117</f>
        <v>-2785.0257965586625</v>
      </c>
      <c r="F87" s="573">
        <f>'T3'!R117</f>
        <v>0</v>
      </c>
    </row>
    <row r="88" spans="1:6">
      <c r="A88" s="564" t="s">
        <v>1242</v>
      </c>
      <c r="B88" s="565"/>
      <c r="C88" s="851">
        <f>'T3'!N128+'T3'!N139+'T3'!N150+'T3'!N161+'T3'!O128+'T3'!O139+'T3'!O150+'T3'!O161</f>
        <v>-4823.8235088036035</v>
      </c>
      <c r="D88" s="572">
        <f>'T3'!P128+'T3'!P139+'T3'!P150+'T3'!P161</f>
        <v>-224.9494042675</v>
      </c>
      <c r="E88" s="572">
        <f>'T3'!Q128+'T3'!Q139+'T3'!Q150+'T3'!Q161</f>
        <v>0</v>
      </c>
      <c r="F88" s="573">
        <f>'T3'!R128+'T3'!R139+'T3'!R150+'T3'!R161</f>
        <v>0</v>
      </c>
    </row>
    <row r="89" spans="1:6">
      <c r="A89" s="564" t="s">
        <v>1243</v>
      </c>
      <c r="B89" s="565"/>
      <c r="C89" s="851">
        <f>'T3'!N175+'T3'!O175</f>
        <v>0</v>
      </c>
      <c r="D89" s="572">
        <f>'T3'!P175</f>
        <v>0</v>
      </c>
      <c r="E89" s="572">
        <f>'T3'!Q175</f>
        <v>0</v>
      </c>
      <c r="F89" s="573">
        <f>'T3'!R175</f>
        <v>0</v>
      </c>
    </row>
    <row r="90" spans="1:6">
      <c r="A90" s="605" t="s">
        <v>1244</v>
      </c>
      <c r="B90" s="606"/>
      <c r="C90" s="852">
        <f>'T3'!N168+'T3'!O168</f>
        <v>0</v>
      </c>
      <c r="D90" s="607">
        <f>'T3'!P168</f>
        <v>0</v>
      </c>
      <c r="E90" s="607">
        <f>'T3'!Q168</f>
        <v>1003.2808578480855</v>
      </c>
      <c r="F90" s="608">
        <f>'T3'!R168</f>
        <v>1003.2808578480855</v>
      </c>
    </row>
    <row r="91" spans="1:6">
      <c r="A91" s="1497" t="s">
        <v>1245</v>
      </c>
      <c r="B91" s="1498"/>
      <c r="C91" s="1499">
        <f>SUM(C81:C90)</f>
        <v>21012.104708800354</v>
      </c>
      <c r="D91" s="1499">
        <f>SUM(D81:D90)</f>
        <v>22033.883898238182</v>
      </c>
      <c r="E91" s="1499">
        <f>SUM(E81:E90)</f>
        <v>25569.229562256292</v>
      </c>
      <c r="F91" s="1513">
        <f>SUM(F81:F90)</f>
        <v>29914.89503547634</v>
      </c>
    </row>
    <row r="92" spans="1:6">
      <c r="A92" s="1500" t="s">
        <v>1246</v>
      </c>
      <c r="B92" s="1501"/>
      <c r="C92" s="1502">
        <f>'ANSP TRM'!J68</f>
        <v>147.51144028384689</v>
      </c>
      <c r="D92" s="1502">
        <f>'ANSP TRM'!K68</f>
        <v>136</v>
      </c>
      <c r="E92" s="1502">
        <f>'ANSP TRM'!L68</f>
        <v>163</v>
      </c>
      <c r="F92" s="1573">
        <f>'ANSP TRM'!M68</f>
        <v>188</v>
      </c>
    </row>
    <row r="93" spans="1:6">
      <c r="A93" s="1500" t="s">
        <v>1247</v>
      </c>
      <c r="B93" s="1501"/>
      <c r="C93" s="1503">
        <f>C91/C92</f>
        <v>142.44389905195214</v>
      </c>
      <c r="D93" s="1503">
        <f>D91/D92</f>
        <v>162.0138521929278</v>
      </c>
      <c r="E93" s="1503">
        <f>E91/E92</f>
        <v>156.8664390322472</v>
      </c>
      <c r="F93" s="1574">
        <f>F91/F92</f>
        <v>159.12178210359755</v>
      </c>
    </row>
    <row r="94" spans="1:6">
      <c r="A94" s="1500" t="s">
        <v>1248</v>
      </c>
      <c r="B94" s="1501"/>
      <c r="C94" s="1504"/>
      <c r="D94" s="1504"/>
      <c r="E94" s="1505"/>
      <c r="F94" s="1506"/>
    </row>
    <row r="95" spans="1:6" ht="10" customHeight="1">
      <c r="A95" s="595"/>
      <c r="B95" s="595"/>
      <c r="C95" s="600"/>
      <c r="D95" s="600"/>
      <c r="E95" s="600"/>
      <c r="F95" s="600"/>
    </row>
    <row r="96" spans="1:6">
      <c r="A96" s="1507" t="s">
        <v>1249</v>
      </c>
      <c r="B96" s="1494"/>
      <c r="C96" s="609">
        <f>C93+C94</f>
        <v>142.44389905195214</v>
      </c>
      <c r="D96" s="609">
        <f>+D93+D94</f>
        <v>162.0138521929278</v>
      </c>
      <c r="E96" s="609">
        <f>+E93+E94</f>
        <v>156.8664390322472</v>
      </c>
      <c r="F96" s="1572">
        <f>+F93+F94</f>
        <v>159.12178210359755</v>
      </c>
    </row>
    <row r="97" spans="1:9" s="198" customFormat="1">
      <c r="A97" s="603"/>
      <c r="B97" s="904"/>
      <c r="C97" s="610"/>
      <c r="D97" s="610"/>
      <c r="E97" s="610"/>
      <c r="F97" s="610"/>
      <c r="G97" s="194"/>
      <c r="H97" s="194"/>
      <c r="I97" s="194"/>
    </row>
    <row r="98" spans="1:9" s="197" customFormat="1">
      <c r="A98" s="888" t="s">
        <v>1250</v>
      </c>
      <c r="B98" s="906"/>
      <c r="C98" s="907"/>
      <c r="D98" s="907"/>
      <c r="E98" s="907"/>
      <c r="F98" s="907"/>
    </row>
    <row r="99" spans="1:9" s="197" customFormat="1" ht="13" customHeight="1">
      <c r="A99" s="908" t="s">
        <v>1251</v>
      </c>
      <c r="B99" s="906"/>
      <c r="C99" s="886"/>
      <c r="D99" s="907"/>
      <c r="E99" s="907"/>
      <c r="F99" s="886"/>
    </row>
    <row r="100" spans="1:9" s="197" customFormat="1" ht="13" customHeight="1">
      <c r="A100" s="957" t="s">
        <v>1252</v>
      </c>
      <c r="B100" s="906"/>
      <c r="C100" s="975">
        <v>111.67809855544245</v>
      </c>
      <c r="D100" s="907"/>
      <c r="E100" s="907"/>
      <c r="F100" s="612"/>
    </row>
    <row r="101" spans="1:9" s="197" customFormat="1" ht="13" customHeight="1">
      <c r="A101" s="957" t="s">
        <v>1258</v>
      </c>
      <c r="B101" s="906"/>
      <c r="C101" s="975">
        <v>151.39890011074695</v>
      </c>
      <c r="D101" s="907"/>
      <c r="E101" s="907"/>
      <c r="F101" s="612"/>
    </row>
    <row r="102" spans="1:9" s="197" customFormat="1">
      <c r="A102" s="957" t="s">
        <v>1259</v>
      </c>
      <c r="B102" s="904"/>
      <c r="C102" s="887">
        <v>0</v>
      </c>
      <c r="D102" s="886"/>
      <c r="E102" s="886"/>
      <c r="F102" s="904"/>
    </row>
    <row r="103" spans="1:9" s="197" customFormat="1">
      <c r="A103" s="957" t="s">
        <v>1260</v>
      </c>
      <c r="B103" s="904"/>
      <c r="C103" s="887">
        <v>0</v>
      </c>
      <c r="D103" s="904"/>
      <c r="E103" s="904"/>
      <c r="F103" s="904"/>
    </row>
    <row r="104" spans="1:9" s="197" customFormat="1">
      <c r="A104" s="957" t="s">
        <v>1256</v>
      </c>
      <c r="B104" s="904"/>
      <c r="C104" s="889">
        <v>189.6</v>
      </c>
      <c r="D104" s="904"/>
      <c r="E104" s="604"/>
      <c r="F104" s="904"/>
    </row>
    <row r="105" spans="1:9" s="197" customFormat="1">
      <c r="A105" s="957" t="s">
        <v>1257</v>
      </c>
      <c r="B105" s="904"/>
      <c r="C105" s="889">
        <v>195.6</v>
      </c>
      <c r="D105" s="904"/>
      <c r="E105" s="904"/>
      <c r="F105" s="904"/>
    </row>
    <row r="106" spans="1:9" s="197" customFormat="1">
      <c r="A106" s="888" t="s">
        <v>1177</v>
      </c>
      <c r="B106" s="906"/>
      <c r="C106" s="907"/>
      <c r="D106" s="907"/>
      <c r="E106" s="907"/>
      <c r="F106" s="907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24601-8B2D-489D-9312-A91CFFF93509}">
  <sheetPr>
    <tabColor theme="5" tint="-0.249977111117893"/>
    <pageSetUpPr fitToPage="1"/>
  </sheetPr>
  <dimension ref="A1:J106"/>
  <sheetViews>
    <sheetView topLeftCell="A59" zoomScaleNormal="100" workbookViewId="0">
      <selection activeCell="E90" sqref="E90"/>
    </sheetView>
  </sheetViews>
  <sheetFormatPr defaultColWidth="8.81640625" defaultRowHeight="13"/>
  <cols>
    <col min="1" max="1" width="24" style="528" customWidth="1"/>
    <col min="2" max="2" width="49.54296875" style="528" customWidth="1"/>
    <col min="3" max="6" width="12.54296875" style="528" customWidth="1"/>
    <col min="7" max="16384" width="8.81640625" style="194"/>
  </cols>
  <sheetData>
    <row r="1" spans="1:10">
      <c r="A1" s="1680" t="s">
        <v>1178</v>
      </c>
      <c r="B1" s="1680"/>
      <c r="C1" s="1680"/>
      <c r="D1" s="1680"/>
      <c r="E1" s="1680"/>
      <c r="F1" s="1680"/>
    </row>
    <row r="2" spans="1:10">
      <c r="A2" s="1654"/>
      <c r="B2" s="1654"/>
      <c r="C2" s="903"/>
      <c r="D2" s="903"/>
      <c r="E2" s="903"/>
      <c r="F2" s="529"/>
    </row>
    <row r="3" spans="1:10">
      <c r="A3" s="1455" t="s">
        <v>985</v>
      </c>
      <c r="B3" s="530"/>
      <c r="C3" s="194"/>
      <c r="D3" s="195"/>
      <c r="E3" s="194"/>
      <c r="F3" s="194"/>
    </row>
    <row r="4" spans="1:10">
      <c r="A4" s="531" t="s">
        <v>986</v>
      </c>
      <c r="B4" s="530"/>
      <c r="C4" s="194"/>
      <c r="D4" s="195"/>
      <c r="E4" s="194"/>
      <c r="F4" s="194"/>
    </row>
    <row r="5" spans="1:10">
      <c r="A5" s="532" t="s">
        <v>1038</v>
      </c>
      <c r="B5" s="533"/>
      <c r="C5" s="1681" t="s">
        <v>1179</v>
      </c>
      <c r="D5" s="1681"/>
      <c r="E5" s="1681"/>
      <c r="F5" s="1682"/>
    </row>
    <row r="6" spans="1:10">
      <c r="A6" s="530"/>
      <c r="B6" s="530"/>
      <c r="C6" s="903"/>
      <c r="D6" s="903"/>
      <c r="E6" s="903"/>
      <c r="F6" s="903"/>
    </row>
    <row r="7" spans="1:10">
      <c r="A7" s="1683" t="s">
        <v>1180</v>
      </c>
      <c r="B7" s="1684"/>
      <c r="C7" s="196" t="s">
        <v>870</v>
      </c>
      <c r="D7" s="196">
        <v>2022</v>
      </c>
      <c r="E7" s="196">
        <v>2023</v>
      </c>
      <c r="F7" s="1456">
        <v>2024</v>
      </c>
    </row>
    <row r="8" spans="1:10">
      <c r="A8" s="904"/>
      <c r="B8" s="904"/>
      <c r="C8" s="904"/>
      <c r="D8" s="904"/>
      <c r="E8" s="904"/>
      <c r="F8" s="904"/>
    </row>
    <row r="9" spans="1:10" s="197" customFormat="1">
      <c r="A9" s="534" t="s">
        <v>992</v>
      </c>
      <c r="B9" s="534"/>
      <c r="C9" s="535"/>
      <c r="D9" s="535"/>
      <c r="E9" s="535"/>
      <c r="F9" s="535"/>
    </row>
    <row r="10" spans="1:10" ht="3" customHeight="1">
      <c r="A10" s="904"/>
      <c r="B10" s="904"/>
      <c r="C10" s="904"/>
      <c r="D10" s="904"/>
      <c r="E10" s="904"/>
      <c r="F10" s="904"/>
    </row>
    <row r="11" spans="1:10">
      <c r="A11" s="1457" t="s">
        <v>1181</v>
      </c>
      <c r="B11" s="1458"/>
      <c r="C11" s="536"/>
      <c r="D11" s="536"/>
      <c r="E11" s="536"/>
      <c r="F11" s="1459"/>
    </row>
    <row r="12" spans="1:10">
      <c r="A12" s="537" t="s">
        <v>1182</v>
      </c>
      <c r="B12" s="986"/>
      <c r="C12" s="538">
        <f>'MET ERT'!J61</f>
        <v>13160.968225616001</v>
      </c>
      <c r="D12" s="538">
        <f>'MET ERT'!K61</f>
        <v>6826.2122961827572</v>
      </c>
      <c r="E12" s="538">
        <f>'MET ERT'!L61</f>
        <v>7278.11458713924</v>
      </c>
      <c r="F12" s="853">
        <f>'MET ERT'!M61</f>
        <v>6936.6179380744779</v>
      </c>
    </row>
    <row r="13" spans="1:10" ht="3" customHeight="1">
      <c r="A13" s="904"/>
      <c r="B13" s="904"/>
      <c r="C13" s="539"/>
      <c r="D13" s="539"/>
      <c r="E13" s="539"/>
      <c r="F13" s="539"/>
    </row>
    <row r="14" spans="1:10">
      <c r="A14" s="1460" t="s">
        <v>1183</v>
      </c>
      <c r="B14" s="1461"/>
      <c r="C14" s="540"/>
      <c r="D14" s="540"/>
      <c r="E14" s="540"/>
      <c r="F14" s="1462"/>
    </row>
    <row r="15" spans="1:10">
      <c r="A15" s="1463" t="s">
        <v>1184</v>
      </c>
      <c r="B15" s="1464"/>
      <c r="C15" s="541">
        <f>C12-'MET ERT'!J15-'MET ERT'!J16</f>
        <v>12303.280471616001</v>
      </c>
      <c r="D15" s="541">
        <f>D12-'MET ERT'!K15-'MET ERT'!K16</f>
        <v>6144.6472331827572</v>
      </c>
      <c r="E15" s="541">
        <f>E12-'MET ERT'!L15-'MET ERT'!L16</f>
        <v>6307.7143241392396</v>
      </c>
      <c r="F15" s="541">
        <f>F12-'MET ERT'!M15-'MET ERT'!M16</f>
        <v>6308.4499380744783</v>
      </c>
      <c r="G15" s="198"/>
      <c r="H15" s="198"/>
      <c r="I15" s="198"/>
      <c r="J15" s="198"/>
    </row>
    <row r="16" spans="1:10">
      <c r="A16" s="543" t="s">
        <v>1185</v>
      </c>
      <c r="B16" s="544"/>
      <c r="C16" s="545"/>
      <c r="D16" s="541">
        <f>'MET ERT'!K65</f>
        <v>105.19340881519997</v>
      </c>
      <c r="E16" s="541">
        <f>'MET ERT'!L65</f>
        <v>107.29727699150398</v>
      </c>
      <c r="F16" s="541">
        <f>'MET ERT'!M65</f>
        <v>109.44322253133406</v>
      </c>
    </row>
    <row r="17" spans="1:6">
      <c r="A17" s="546" t="s">
        <v>1186</v>
      </c>
      <c r="B17" s="547"/>
      <c r="C17" s="205"/>
      <c r="D17" s="905">
        <f>'UR Control'!T23</f>
        <v>105.19340881519997</v>
      </c>
      <c r="E17" s="905">
        <f>'UR Control'!U23</f>
        <v>107.29727699150398</v>
      </c>
      <c r="F17" s="548">
        <f>'UR Control'!V23</f>
        <v>109.44322253133406</v>
      </c>
    </row>
    <row r="18" spans="1:6">
      <c r="A18" s="549" t="s">
        <v>1187</v>
      </c>
      <c r="B18" s="989"/>
      <c r="C18" s="204"/>
      <c r="D18" s="550">
        <f>D17/D16-1</f>
        <v>0</v>
      </c>
      <c r="E18" s="550">
        <f>E17/E16-1</f>
        <v>0</v>
      </c>
      <c r="F18" s="551">
        <f>F17/F16-1</f>
        <v>0</v>
      </c>
    </row>
    <row r="19" spans="1:6">
      <c r="A19" s="552" t="s">
        <v>1188</v>
      </c>
      <c r="B19" s="990"/>
      <c r="C19" s="553"/>
      <c r="D19" s="831">
        <f>D12*D18</f>
        <v>0</v>
      </c>
      <c r="E19" s="555">
        <f>E12*E18</f>
        <v>0</v>
      </c>
      <c r="F19" s="556">
        <f>F12*F18</f>
        <v>0</v>
      </c>
    </row>
    <row r="20" spans="1:6" ht="3" customHeight="1">
      <c r="A20" s="904"/>
      <c r="B20" s="904"/>
      <c r="C20" s="904"/>
      <c r="D20" s="904"/>
      <c r="E20" s="904"/>
      <c r="F20" s="904"/>
    </row>
    <row r="21" spans="1:6">
      <c r="A21" s="1457" t="s">
        <v>1189</v>
      </c>
      <c r="B21" s="1458"/>
      <c r="C21" s="536"/>
      <c r="D21" s="536"/>
      <c r="E21" s="536"/>
      <c r="F21" s="1459"/>
    </row>
    <row r="22" spans="1:6">
      <c r="A22" s="1465" t="s">
        <v>1190</v>
      </c>
      <c r="B22" s="1466"/>
      <c r="C22" s="1467">
        <f>SUMIFS('UR Control'!$M$70:$V$70,'UR Control'!$M$8:$V$8,C$7)</f>
        <v>0</v>
      </c>
      <c r="D22" s="1468">
        <f>SUMIFS('UR Control'!$M$70:$V$70,'UR Control'!$M$8:$V$8,D$7)</f>
        <v>0</v>
      </c>
      <c r="E22" s="1467">
        <f>SUMIFS('UR Control'!$M$70:$V$70,'UR Control'!$M$8:$V$8,E$7)</f>
        <v>0</v>
      </c>
      <c r="F22" s="1508">
        <f>SUMIFS('UR Control'!$M$70:$V$70,'UR Control'!$M$8:$V$8,F$7)</f>
        <v>0</v>
      </c>
    </row>
    <row r="23" spans="1:6">
      <c r="A23" s="557" t="s">
        <v>1191</v>
      </c>
      <c r="B23" s="558"/>
      <c r="C23" s="205"/>
      <c r="D23" s="854"/>
      <c r="E23" s="205"/>
      <c r="F23" s="855"/>
    </row>
    <row r="24" spans="1:6">
      <c r="A24" s="557" t="s">
        <v>1192</v>
      </c>
      <c r="B24" s="558"/>
      <c r="C24" s="205"/>
      <c r="D24" s="854"/>
      <c r="E24" s="205"/>
      <c r="F24" s="855"/>
    </row>
    <row r="25" spans="1:6">
      <c r="A25" s="560" t="s">
        <v>1193</v>
      </c>
      <c r="B25" s="558"/>
      <c r="C25" s="905">
        <f>SUMIFS('UR Control'!$M91:$V91,'UR Control'!$M$8:$V$8,C$7)</f>
        <v>0</v>
      </c>
      <c r="D25" s="561">
        <f>SUMIFS('UR Control'!$M91:$V91,'UR Control'!$M$8:$V$8,D$7)</f>
        <v>0</v>
      </c>
      <c r="E25" s="905">
        <f>SUMIFS('UR Control'!$M91:$V91,'UR Control'!$M$8:$V$8,E$7)</f>
        <v>0</v>
      </c>
      <c r="F25" s="841">
        <f>SUMIFS('UR Control'!$M91:$V91,'UR Control'!$M$8:$V$8,F$7)</f>
        <v>0</v>
      </c>
    </row>
    <row r="26" spans="1:6">
      <c r="A26" s="560" t="s">
        <v>1194</v>
      </c>
      <c r="B26" s="558"/>
      <c r="C26" s="905">
        <f>SUMIFS('UR Control'!$M92:$V92,'UR Control'!$M$8:$V$8,C$7)</f>
        <v>0</v>
      </c>
      <c r="D26" s="561">
        <f>SUMIFS('UR Control'!$M92:$V92,'UR Control'!$M$8:$V$8,D$7)</f>
        <v>0</v>
      </c>
      <c r="E26" s="905">
        <f>SUMIFS('UR Control'!$M92:$V92,'UR Control'!$M$8:$V$8,E$7)</f>
        <v>0</v>
      </c>
      <c r="F26" s="841">
        <f>SUMIFS('UR Control'!$M92:$V92,'UR Control'!$M$8:$V$8,F$7)</f>
        <v>0</v>
      </c>
    </row>
    <row r="27" spans="1:6">
      <c r="A27" s="560" t="s">
        <v>1195</v>
      </c>
      <c r="B27" s="558"/>
      <c r="C27" s="905">
        <f>SUMIFS('UR Control'!$M93:$V93,'UR Control'!$M$8:$V$8,C$7)</f>
        <v>0</v>
      </c>
      <c r="D27" s="561">
        <f>SUMIFS('UR Control'!$M93:$V93,'UR Control'!$M$8:$V$8,D$7)</f>
        <v>0</v>
      </c>
      <c r="E27" s="905">
        <f>SUMIFS('UR Control'!$M93:$V93,'UR Control'!$M$8:$V$8,E$7)</f>
        <v>0</v>
      </c>
      <c r="F27" s="842">
        <f>SUMIFS('UR Control'!$M93:$V93,'UR Control'!$M$8:$V$8,F$7)</f>
        <v>0</v>
      </c>
    </row>
    <row r="28" spans="1:6">
      <c r="A28" s="1471" t="s">
        <v>1196</v>
      </c>
      <c r="B28" s="1472"/>
      <c r="C28" s="553">
        <f>SUM(C22:C27)</f>
        <v>0</v>
      </c>
      <c r="D28" s="554">
        <f>SUM(D22:D27)</f>
        <v>0</v>
      </c>
      <c r="E28" s="553">
        <f>SUM(E22:E27)</f>
        <v>0</v>
      </c>
      <c r="F28" s="594">
        <f>SUM(F22:F27)</f>
        <v>0</v>
      </c>
    </row>
    <row r="29" spans="1:6" ht="10.9" customHeight="1">
      <c r="A29" s="903"/>
      <c r="B29" s="903"/>
      <c r="C29" s="903"/>
      <c r="D29" s="903"/>
      <c r="E29" s="903"/>
      <c r="F29" s="903"/>
    </row>
    <row r="30" spans="1:6" s="197" customFormat="1">
      <c r="A30" s="534" t="s">
        <v>1010</v>
      </c>
      <c r="B30" s="534"/>
      <c r="C30" s="535"/>
      <c r="D30" s="535"/>
      <c r="E30" s="535"/>
      <c r="F30" s="535"/>
    </row>
    <row r="31" spans="1:6" ht="1.9" customHeight="1">
      <c r="A31" s="904"/>
      <c r="B31" s="904"/>
      <c r="C31" s="904"/>
      <c r="D31" s="904"/>
      <c r="E31" s="904"/>
      <c r="F31" s="904"/>
    </row>
    <row r="32" spans="1:6">
      <c r="A32" s="1457" t="s">
        <v>1197</v>
      </c>
      <c r="B32" s="1458"/>
      <c r="C32" s="536"/>
      <c r="D32" s="536"/>
      <c r="E32" s="536"/>
      <c r="F32" s="1459"/>
    </row>
    <row r="33" spans="1:6">
      <c r="A33" s="564" t="s">
        <v>1198</v>
      </c>
      <c r="B33" s="565"/>
      <c r="C33" s="545"/>
      <c r="D33" s="545"/>
      <c r="E33" s="545"/>
      <c r="F33" s="1514"/>
    </row>
    <row r="34" spans="1:6">
      <c r="A34" s="566" t="s">
        <v>1199</v>
      </c>
      <c r="B34" s="567"/>
      <c r="C34" s="859"/>
      <c r="D34" s="859"/>
      <c r="E34" s="859"/>
      <c r="F34" s="866"/>
    </row>
    <row r="35" spans="1:6">
      <c r="A35" s="566" t="s">
        <v>1200</v>
      </c>
      <c r="B35" s="567"/>
      <c r="C35" s="859"/>
      <c r="D35" s="859"/>
      <c r="E35" s="859"/>
      <c r="F35" s="866"/>
    </row>
    <row r="36" spans="1:6">
      <c r="A36" s="566" t="s">
        <v>1201</v>
      </c>
      <c r="B36" s="567"/>
      <c r="C36" s="859"/>
      <c r="D36" s="859"/>
      <c r="E36" s="859"/>
      <c r="F36" s="866"/>
    </row>
    <row r="37" spans="1:6">
      <c r="A37" s="566" t="s">
        <v>1202</v>
      </c>
      <c r="B37" s="567"/>
      <c r="C37" s="861"/>
      <c r="D37" s="861"/>
      <c r="E37" s="861"/>
      <c r="F37" s="867"/>
    </row>
    <row r="38" spans="1:6">
      <c r="A38" s="546" t="s">
        <v>1203</v>
      </c>
      <c r="B38" s="547"/>
      <c r="C38" s="826">
        <f>'MET ERT'!J68</f>
        <v>4060.2902946000004</v>
      </c>
      <c r="D38" s="826">
        <f>'MET ERT'!K68</f>
        <v>3202</v>
      </c>
      <c r="E38" s="826">
        <f>'MET ERT'!L68</f>
        <v>4039</v>
      </c>
      <c r="F38" s="590">
        <f>'MET ERT'!M68</f>
        <v>4726</v>
      </c>
    </row>
    <row r="39" spans="1:6">
      <c r="A39" s="566" t="s">
        <v>1204</v>
      </c>
      <c r="B39" s="567"/>
      <c r="C39" s="207"/>
      <c r="D39" s="207"/>
      <c r="E39" s="207"/>
      <c r="F39" s="840"/>
    </row>
    <row r="40" spans="1:6">
      <c r="A40" s="570" t="s">
        <v>1205</v>
      </c>
      <c r="B40" s="994"/>
      <c r="C40" s="862"/>
      <c r="D40" s="862"/>
      <c r="E40" s="863"/>
      <c r="F40" s="868"/>
    </row>
    <row r="41" spans="1:6">
      <c r="A41" s="552" t="s">
        <v>1206</v>
      </c>
      <c r="B41" s="990"/>
      <c r="C41" s="864"/>
      <c r="D41" s="864"/>
      <c r="E41" s="864"/>
      <c r="F41" s="865"/>
    </row>
    <row r="42" spans="1:6" ht="3" customHeight="1">
      <c r="A42" s="904"/>
      <c r="B42" s="904"/>
      <c r="C42" s="904"/>
      <c r="D42" s="904"/>
      <c r="E42" s="904"/>
      <c r="F42" s="904"/>
    </row>
    <row r="43" spans="1:6">
      <c r="A43" s="1460" t="s">
        <v>1207</v>
      </c>
      <c r="B43" s="1461"/>
      <c r="C43" s="536"/>
      <c r="D43" s="536"/>
      <c r="E43" s="536"/>
      <c r="F43" s="1459"/>
    </row>
    <row r="44" spans="1:6">
      <c r="A44" s="1473" t="s">
        <v>1208</v>
      </c>
      <c r="B44" s="1474"/>
      <c r="C44" s="572"/>
      <c r="D44" s="572"/>
      <c r="E44" s="572"/>
      <c r="F44" s="573"/>
    </row>
    <row r="45" spans="1:6">
      <c r="A45" s="574" t="s">
        <v>1209</v>
      </c>
      <c r="B45" s="575"/>
      <c r="C45" s="838">
        <f>IF('MET ERT'!Q68=0,0,(('T3'!E197+'T3'!E208+'T3'!E266+'T3'!E277+'T3'!E294+'T3'!E305+'T3'!E316+'T3'!E327+'T3'!E338)+('T3'!F197+'T3'!F208+'T3'!F266+'T3'!F277+'T3'!F294+'T3'!F305+'T3'!F316+'T3'!F327+'T3'!F338))*-(('MET ERT'!Q68)/'MET ERT'!J68-1))</f>
        <v>0</v>
      </c>
      <c r="D45" s="838">
        <f>IF('MET ERT'!R68=0,0,(('T3'!G197+'T3'!G208+'T3'!G266+'T3'!G277+'T3'!G294+'T3'!G305+'T3'!G316+'T3'!G327+'T3'!G338))*-(('MET ERT'!R68)/'MET ERT'!K68-1))</f>
        <v>0</v>
      </c>
      <c r="E45" s="838">
        <f>IF('MET ERT'!S68=0,0,(('T3'!H197+'T3'!H208+'T3'!H266+'T3'!H277+'T3'!H294+'T3'!H305+'T3'!H316+'T3'!H327+'T3'!H338))*-(('MET ERT'!S68)/'MET ERT'!L68-1))</f>
        <v>0</v>
      </c>
      <c r="F45" s="847">
        <f>IF('MET ERT'!T68=0,0,(('T3'!I197+'T3'!I208+'T3'!I266+'T3'!I277+'T3'!I294+'T3'!I305+'T3'!I316+'T3'!I327+'T3'!I338))*-(('MET ERT'!T68)/'MET ERT'!M68-1))</f>
        <v>0</v>
      </c>
    </row>
    <row r="46" spans="1:6">
      <c r="A46" s="1471" t="s">
        <v>1210</v>
      </c>
      <c r="B46" s="1472"/>
      <c r="C46" s="553">
        <f>SUM(C44:C45)</f>
        <v>0</v>
      </c>
      <c r="D46" s="553">
        <f>SUM(D44:D45)</f>
        <v>0</v>
      </c>
      <c r="E46" s="555">
        <f>SUM(E44:E45)</f>
        <v>0</v>
      </c>
      <c r="F46" s="556">
        <f>SUM(F44:F45)</f>
        <v>0</v>
      </c>
    </row>
    <row r="47" spans="1:6" ht="10.9" customHeight="1">
      <c r="A47" s="903"/>
      <c r="B47" s="903"/>
      <c r="C47" s="903"/>
      <c r="D47" s="903"/>
      <c r="E47" s="903"/>
      <c r="F47" s="903"/>
    </row>
    <row r="48" spans="1:6" s="197" customFormat="1">
      <c r="A48" s="534" t="s">
        <v>1016</v>
      </c>
      <c r="B48" s="534"/>
      <c r="C48" s="535"/>
      <c r="D48" s="535"/>
      <c r="E48" s="535"/>
      <c r="F48" s="535"/>
    </row>
    <row r="49" spans="1:10" ht="3.65" customHeight="1">
      <c r="A49" s="904"/>
      <c r="B49" s="904"/>
      <c r="C49" s="904"/>
      <c r="D49" s="904"/>
      <c r="E49" s="904"/>
      <c r="F49" s="904"/>
    </row>
    <row r="50" spans="1:10">
      <c r="A50" s="1457" t="s">
        <v>1211</v>
      </c>
      <c r="B50" s="1458"/>
      <c r="C50" s="536"/>
      <c r="D50" s="536"/>
      <c r="E50" s="536"/>
      <c r="F50" s="1459"/>
      <c r="H50" s="197"/>
      <c r="I50" s="197"/>
      <c r="J50" s="197"/>
    </row>
    <row r="51" spans="1:10">
      <c r="A51" s="566" t="s">
        <v>1212</v>
      </c>
      <c r="B51" s="567"/>
      <c r="C51" s="1515"/>
      <c r="D51" s="1516"/>
      <c r="E51" s="1516"/>
      <c r="F51" s="1517"/>
    </row>
    <row r="52" spans="1:10">
      <c r="A52" s="566" t="s">
        <v>1213</v>
      </c>
      <c r="B52" s="567"/>
      <c r="C52" s="869"/>
      <c r="D52" s="559"/>
      <c r="E52" s="559"/>
      <c r="F52" s="870"/>
      <c r="H52" s="197"/>
      <c r="I52" s="197"/>
      <c r="J52" s="197"/>
    </row>
    <row r="53" spans="1:10">
      <c r="A53" s="564" t="s">
        <v>1214</v>
      </c>
      <c r="B53" s="565"/>
      <c r="C53" s="869"/>
      <c r="D53" s="559"/>
      <c r="E53" s="559"/>
      <c r="F53" s="870"/>
    </row>
    <row r="54" spans="1:10" s="202" customFormat="1">
      <c r="A54" s="1471" t="s">
        <v>1215</v>
      </c>
      <c r="B54" s="1472"/>
      <c r="C54" s="871"/>
      <c r="D54" s="206"/>
      <c r="E54" s="206"/>
      <c r="F54" s="872"/>
      <c r="H54" s="197"/>
      <c r="I54" s="197"/>
      <c r="J54" s="197"/>
    </row>
    <row r="55" spans="1:10" ht="12" customHeight="1">
      <c r="A55" s="904"/>
      <c r="B55" s="904"/>
      <c r="C55" s="904"/>
      <c r="D55" s="904"/>
      <c r="E55" s="904"/>
      <c r="F55" s="904"/>
    </row>
    <row r="56" spans="1:10" s="197" customFormat="1">
      <c r="A56" s="534" t="s">
        <v>1026</v>
      </c>
      <c r="B56" s="534"/>
      <c r="C56" s="578"/>
      <c r="D56" s="578"/>
      <c r="E56" s="535"/>
      <c r="F56" s="535"/>
    </row>
    <row r="57" spans="1:10" ht="3.65" customHeight="1">
      <c r="A57" s="904"/>
      <c r="B57" s="904"/>
      <c r="C57" s="904"/>
      <c r="D57" s="904"/>
      <c r="E57" s="904"/>
      <c r="F57" s="904"/>
    </row>
    <row r="58" spans="1:10">
      <c r="A58" s="1457" t="s">
        <v>1216</v>
      </c>
      <c r="B58" s="1458"/>
      <c r="C58" s="536"/>
      <c r="D58" s="536"/>
      <c r="E58" s="536"/>
      <c r="F58" s="1459"/>
    </row>
    <row r="59" spans="1:10" s="203" customFormat="1">
      <c r="A59" s="1471" t="s">
        <v>1217</v>
      </c>
      <c r="B59" s="1472"/>
      <c r="C59" s="555">
        <f>SUMIFS('UR Control'!$M$150:$V$150,'UR Control'!$M$8:$V$8,C7)</f>
        <v>0</v>
      </c>
      <c r="D59" s="848">
        <f>SUMIFS('UR Control'!$M$150:$V$150,'UR Control'!$M$8:$V$8,D7)</f>
        <v>0</v>
      </c>
      <c r="E59" s="555">
        <f>SUMIFS('UR Control'!$M$150:$V$150,'UR Control'!$M$8:$V$8,E7)</f>
        <v>0</v>
      </c>
      <c r="F59" s="556">
        <f>SUMIFS('UR Control'!$M$150:$V$150,'UR Control'!$M$8:$V$8,F7)</f>
        <v>0</v>
      </c>
    </row>
    <row r="60" spans="1:10" ht="3.65" customHeight="1">
      <c r="A60" s="904"/>
      <c r="B60" s="904"/>
      <c r="C60" s="904"/>
      <c r="D60" s="904"/>
      <c r="E60" s="904"/>
      <c r="F60" s="904"/>
    </row>
    <row r="61" spans="1:10">
      <c r="A61" s="1457" t="s">
        <v>1218</v>
      </c>
      <c r="B61" s="1458"/>
      <c r="C61" s="536"/>
      <c r="D61" s="536"/>
      <c r="E61" s="536"/>
      <c r="F61" s="1459"/>
    </row>
    <row r="62" spans="1:10">
      <c r="A62" s="1476" t="s">
        <v>1219</v>
      </c>
      <c r="B62" s="1477"/>
      <c r="C62" s="581" t="s">
        <v>1220</v>
      </c>
      <c r="D62" s="579"/>
      <c r="E62" s="582"/>
      <c r="F62" s="1478"/>
    </row>
    <row r="63" spans="1:10">
      <c r="A63" s="1479" t="s">
        <v>1221</v>
      </c>
      <c r="B63" s="1480"/>
      <c r="C63" s="981">
        <f>C93*'MET ERT'!J68-(C100*'MET ERT'!O68+C101*'MET ERT'!P68) -'T3'!D283-'T3'!D284-(('T3'!D283/-('MET ERT'!O68/C104-1)+'T3'!D284/-('MET ERT'!P68/C105-1))*C40)</f>
        <v>7715.4179163641829</v>
      </c>
      <c r="D63" s="848"/>
      <c r="E63" s="555"/>
      <c r="F63" s="556"/>
    </row>
    <row r="64" spans="1:10" ht="3" customHeight="1">
      <c r="A64" s="904"/>
      <c r="B64" s="904"/>
      <c r="C64" s="904"/>
      <c r="D64" s="904"/>
      <c r="E64" s="904"/>
      <c r="F64" s="904"/>
    </row>
    <row r="65" spans="1:6">
      <c r="A65" s="1457" t="s">
        <v>1222</v>
      </c>
      <c r="B65" s="1458"/>
      <c r="C65" s="536"/>
      <c r="D65" s="536"/>
      <c r="E65" s="536"/>
      <c r="F65" s="1459"/>
    </row>
    <row r="66" spans="1:6">
      <c r="A66" s="1479" t="s">
        <v>1223</v>
      </c>
      <c r="B66" s="1480"/>
      <c r="C66" s="585"/>
      <c r="D66" s="586"/>
      <c r="E66" s="587"/>
      <c r="F66" s="1482"/>
    </row>
    <row r="67" spans="1:6" ht="3" customHeight="1">
      <c r="A67" s="904"/>
      <c r="B67" s="904"/>
      <c r="C67" s="904"/>
      <c r="D67" s="904"/>
      <c r="E67" s="904"/>
      <c r="F67" s="904"/>
    </row>
    <row r="68" spans="1:6">
      <c r="A68" s="1457" t="s">
        <v>1224</v>
      </c>
      <c r="B68" s="1458"/>
      <c r="C68" s="1483"/>
      <c r="D68" s="1483"/>
      <c r="E68" s="1483"/>
      <c r="F68" s="1484"/>
    </row>
    <row r="69" spans="1:6">
      <c r="A69" s="1485" t="s">
        <v>1225</v>
      </c>
      <c r="B69" s="1486"/>
      <c r="C69" s="1487">
        <f>'UR Control'!S174</f>
        <v>0</v>
      </c>
      <c r="D69" s="1487">
        <f>'UR Control'!T174</f>
        <v>0</v>
      </c>
      <c r="E69" s="1510">
        <f>'UR Control'!U174</f>
        <v>0</v>
      </c>
      <c r="F69" s="1511">
        <f>'UR Control'!V174</f>
        <v>0</v>
      </c>
    </row>
    <row r="70" spans="1:6">
      <c r="A70" s="566" t="s">
        <v>1226</v>
      </c>
      <c r="B70" s="567"/>
      <c r="C70" s="588">
        <f>'UR Control'!S175</f>
        <v>0</v>
      </c>
      <c r="D70" s="588">
        <f>'UR Control'!T175</f>
        <v>0</v>
      </c>
      <c r="E70" s="849">
        <f>'UR Control'!U175</f>
        <v>0</v>
      </c>
      <c r="F70" s="850">
        <f>'UR Control'!V175</f>
        <v>0</v>
      </c>
    </row>
    <row r="71" spans="1:6">
      <c r="A71" s="566" t="s">
        <v>1227</v>
      </c>
      <c r="B71" s="567"/>
      <c r="C71" s="588">
        <f>'UR Control'!S176</f>
        <v>0</v>
      </c>
      <c r="D71" s="588">
        <f>'UR Control'!T176</f>
        <v>0</v>
      </c>
      <c r="E71" s="849">
        <f>'UR Control'!U176</f>
        <v>0</v>
      </c>
      <c r="F71" s="850">
        <f>'UR Control'!V176</f>
        <v>0</v>
      </c>
    </row>
    <row r="72" spans="1:6">
      <c r="A72" s="566" t="s">
        <v>1228</v>
      </c>
      <c r="B72" s="567"/>
      <c r="C72" s="591"/>
      <c r="D72" s="591"/>
      <c r="E72" s="592"/>
      <c r="F72" s="593"/>
    </row>
    <row r="73" spans="1:6">
      <c r="A73" s="1490" t="s">
        <v>1229</v>
      </c>
      <c r="B73" s="1491"/>
      <c r="C73" s="553">
        <f>SUM(C69:C72)</f>
        <v>0</v>
      </c>
      <c r="D73" s="553">
        <f>SUM(D69:D72)</f>
        <v>0</v>
      </c>
      <c r="E73" s="553">
        <f>SUM(E69:E72)</f>
        <v>0</v>
      </c>
      <c r="F73" s="594">
        <f>SUM(F69:F72)</f>
        <v>0</v>
      </c>
    </row>
    <row r="74" spans="1:6" ht="4" customHeight="1">
      <c r="A74" s="595"/>
      <c r="B74" s="595"/>
      <c r="C74" s="596"/>
      <c r="D74" s="596"/>
      <c r="E74" s="596"/>
      <c r="F74" s="596"/>
    </row>
    <row r="75" spans="1:6">
      <c r="A75" s="1457" t="s">
        <v>1230</v>
      </c>
      <c r="B75" s="1458"/>
      <c r="C75" s="1492" t="s">
        <v>1231</v>
      </c>
      <c r="D75" s="1483"/>
      <c r="E75" s="1483"/>
      <c r="F75" s="1484"/>
    </row>
    <row r="76" spans="1:6" s="203" customFormat="1">
      <c r="A76" s="1479" t="s">
        <v>1232</v>
      </c>
      <c r="B76" s="1480"/>
      <c r="C76" s="555"/>
      <c r="D76" s="597"/>
      <c r="E76" s="598"/>
      <c r="F76" s="599"/>
    </row>
    <row r="77" spans="1:6" ht="10" customHeight="1">
      <c r="A77" s="595"/>
      <c r="B77" s="595"/>
      <c r="C77" s="600"/>
      <c r="D77" s="600"/>
      <c r="E77" s="596"/>
      <c r="F77" s="596"/>
    </row>
    <row r="78" spans="1:6">
      <c r="A78" s="1493" t="s">
        <v>1233</v>
      </c>
      <c r="B78" s="1494"/>
      <c r="C78" s="601">
        <f>C19+C28+C41+C46+C54+C59+C63+C66+C73+C76</f>
        <v>7715.4179163641829</v>
      </c>
      <c r="D78" s="601">
        <f>D19+D28+D41+D46+D54+D59+D63+D66+D73+D76</f>
        <v>0</v>
      </c>
      <c r="E78" s="601">
        <f>E19+E28+E41+E46+E54+E59+E63+E66+E73+E76</f>
        <v>0</v>
      </c>
      <c r="F78" s="602">
        <f>F19+F28+F41+F46+F54+F59+F63+F66+F73+F76</f>
        <v>0</v>
      </c>
    </row>
    <row r="79" spans="1:6" ht="26.15" customHeight="1">
      <c r="A79" s="603"/>
      <c r="B79" s="904"/>
      <c r="C79" s="604"/>
      <c r="D79" s="604"/>
      <c r="E79" s="604"/>
      <c r="F79" s="604"/>
    </row>
    <row r="80" spans="1:6">
      <c r="A80" s="1683" t="s">
        <v>1234</v>
      </c>
      <c r="B80" s="1684"/>
      <c r="C80" s="196" t="s">
        <v>870</v>
      </c>
      <c r="D80" s="196">
        <v>2022</v>
      </c>
      <c r="E80" s="196">
        <v>2023</v>
      </c>
      <c r="F80" s="1456">
        <v>2024</v>
      </c>
    </row>
    <row r="81" spans="1:6">
      <c r="A81" s="1465" t="s">
        <v>1235</v>
      </c>
      <c r="B81" s="1466"/>
      <c r="C81" s="1495">
        <f>+C12</f>
        <v>13160.968225616001</v>
      </c>
      <c r="D81" s="1495">
        <f>+D12</f>
        <v>6826.2122961827572</v>
      </c>
      <c r="E81" s="1495">
        <f>+E12</f>
        <v>7278.11458713924</v>
      </c>
      <c r="F81" s="1496">
        <f>+F12</f>
        <v>6936.6179380744779</v>
      </c>
    </row>
    <row r="82" spans="1:6">
      <c r="A82" s="546" t="s">
        <v>1236</v>
      </c>
      <c r="B82" s="547"/>
      <c r="C82" s="572">
        <f>'T3'!E197+'T3'!F197</f>
        <v>-780.70123746618037</v>
      </c>
      <c r="D82" s="572">
        <f>'T3'!G197</f>
        <v>0</v>
      </c>
      <c r="E82" s="572">
        <f>'T3'!H197</f>
        <v>0</v>
      </c>
      <c r="F82" s="572">
        <f>'T3'!I197</f>
        <v>0</v>
      </c>
    </row>
    <row r="83" spans="1:6">
      <c r="A83" s="546" t="s">
        <v>1237</v>
      </c>
      <c r="B83" s="547"/>
      <c r="C83" s="572">
        <f>'T3'!E208+'T3'!F208</f>
        <v>0</v>
      </c>
      <c r="D83" s="572">
        <f>'T3'!G208</f>
        <v>0</v>
      </c>
      <c r="E83" s="572">
        <f>'T3'!H208</f>
        <v>0</v>
      </c>
      <c r="F83" s="572">
        <f>'T3'!I208</f>
        <v>0</v>
      </c>
    </row>
    <row r="84" spans="1:6">
      <c r="A84" s="605" t="s">
        <v>1238</v>
      </c>
      <c r="B84" s="567"/>
      <c r="C84" s="572">
        <f>'T3'!E215+'T3'!E222+'T3'!E229+'T3'!E236+'T3'!E243+'T3'!E250+'T3'!E255+'T3'!F215+'T3'!F222+'T3'!F229+'T3'!F236+'T3'!F243+'T3'!F250+'T3'!F255</f>
        <v>0</v>
      </c>
      <c r="D84" s="572">
        <f>'T3'!G215+'T3'!G222+'T3'!G229+'T3'!G236+'T3'!G243+'T3'!G250+'T3'!G255</f>
        <v>0</v>
      </c>
      <c r="E84" s="572">
        <f>'T3'!H215+'T3'!H222+'T3'!H229+'T3'!H236+'T3'!H243+'T3'!H250+'T3'!H255</f>
        <v>0</v>
      </c>
      <c r="F84" s="572">
        <f>'T3'!I215+'T3'!I222+'T3'!I229+'T3'!I236+'T3'!I243+'T3'!I250+'T3'!I255</f>
        <v>0</v>
      </c>
    </row>
    <row r="85" spans="1:6">
      <c r="A85" s="605" t="s">
        <v>1239</v>
      </c>
      <c r="B85" s="567"/>
      <c r="C85" s="572">
        <f>'T3'!E266+'T3'!F266</f>
        <v>0</v>
      </c>
      <c r="D85" s="572">
        <f>'T3'!G266</f>
        <v>0</v>
      </c>
      <c r="E85" s="572">
        <f>'T3'!H266</f>
        <v>0</v>
      </c>
      <c r="F85" s="572">
        <f>'T3'!I266</f>
        <v>0</v>
      </c>
    </row>
    <row r="86" spans="1:6">
      <c r="A86" s="605" t="s">
        <v>1240</v>
      </c>
      <c r="B86" s="567"/>
      <c r="C86" s="572">
        <f>'T3'!E277+'T3'!F277</f>
        <v>0</v>
      </c>
      <c r="D86" s="572">
        <f>'T3'!G277</f>
        <v>0</v>
      </c>
      <c r="E86" s="572">
        <f>'T3'!H277</f>
        <v>0</v>
      </c>
      <c r="F86" s="572">
        <f>'T3'!I277</f>
        <v>0</v>
      </c>
    </row>
    <row r="87" spans="1:6">
      <c r="A87" s="605" t="s">
        <v>1241</v>
      </c>
      <c r="B87" s="567"/>
      <c r="C87" s="572">
        <f>'T3'!E294+'T3'!F294</f>
        <v>-1162.1106210114021</v>
      </c>
      <c r="D87" s="572">
        <f>'T3'!G294</f>
        <v>-557.53985889042076</v>
      </c>
      <c r="E87" s="890">
        <f>'T3'!H294</f>
        <v>-553.1649054291787</v>
      </c>
      <c r="F87" s="572">
        <f>'T3'!I294</f>
        <v>0</v>
      </c>
    </row>
    <row r="88" spans="1:6">
      <c r="A88" s="564" t="s">
        <v>1242</v>
      </c>
      <c r="B88" s="565"/>
      <c r="C88" s="572">
        <f>'T3'!E305+'T3'!E316+'T3'!E327+'T3'!E338+'T3'!F305+'T3'!F316+'T3'!F327+'T3'!F338</f>
        <v>0</v>
      </c>
      <c r="D88" s="572">
        <f>'T3'!G305+'T3'!G316+'T3'!G327+'T3'!G338</f>
        <v>0</v>
      </c>
      <c r="E88" s="572">
        <f>'T3'!H305+'T3'!H316+'T3'!H327+'T3'!H338</f>
        <v>0</v>
      </c>
      <c r="F88" s="572">
        <f>'T3'!I305+'T3'!I316+'T3'!I327+'T3'!I338</f>
        <v>0</v>
      </c>
    </row>
    <row r="89" spans="1:6">
      <c r="A89" s="564" t="s">
        <v>1243</v>
      </c>
      <c r="B89" s="565"/>
      <c r="C89" s="572">
        <f>'T3'!E352+'T3'!F352</f>
        <v>0</v>
      </c>
      <c r="D89" s="572">
        <f>'T3'!G352</f>
        <v>0</v>
      </c>
      <c r="E89" s="572">
        <f>'T3'!H352</f>
        <v>0</v>
      </c>
      <c r="F89" s="572">
        <f>'T3'!I352</f>
        <v>0</v>
      </c>
    </row>
    <row r="90" spans="1:6">
      <c r="A90" s="605" t="s">
        <v>1244</v>
      </c>
      <c r="B90" s="606"/>
      <c r="C90" s="607">
        <f>'T3'!E345+'T3'!F345</f>
        <v>0</v>
      </c>
      <c r="D90" s="607">
        <f>'T3'!G345</f>
        <v>0</v>
      </c>
      <c r="E90" s="607">
        <f>'T3'!H345</f>
        <v>1102.2025594805975</v>
      </c>
      <c r="F90" s="607">
        <f>'T3'!I345</f>
        <v>1102.2025594805975</v>
      </c>
    </row>
    <row r="91" spans="1:6">
      <c r="A91" s="1497" t="s">
        <v>1245</v>
      </c>
      <c r="B91" s="1498"/>
      <c r="C91" s="1499">
        <f>SUM(C81:C90)</f>
        <v>11218.156367138417</v>
      </c>
      <c r="D91" s="1499">
        <f>SUM(D81:D90)</f>
        <v>6268.6724372923363</v>
      </c>
      <c r="E91" s="1499">
        <f>SUM(E81:E90)</f>
        <v>7827.152241190659</v>
      </c>
      <c r="F91" s="1499">
        <f>SUM(F81:F90)</f>
        <v>8038.8204975550752</v>
      </c>
    </row>
    <row r="92" spans="1:6">
      <c r="A92" s="1500" t="s">
        <v>1246</v>
      </c>
      <c r="B92" s="1501"/>
      <c r="C92" s="1502">
        <f>'MET ERT'!J68</f>
        <v>4060.2902946000004</v>
      </c>
      <c r="D92" s="1502">
        <f>'MET ERT'!K68</f>
        <v>3202</v>
      </c>
      <c r="E92" s="1502">
        <f>'MET ERT'!L68</f>
        <v>4039</v>
      </c>
      <c r="F92" s="1502">
        <f>'MET ERT'!M68</f>
        <v>4726</v>
      </c>
    </row>
    <row r="93" spans="1:6">
      <c r="A93" s="1500" t="s">
        <v>1247</v>
      </c>
      <c r="B93" s="1501"/>
      <c r="C93" s="1503">
        <f>C91/C92</f>
        <v>2.7628951511319402</v>
      </c>
      <c r="D93" s="1503">
        <f>D91/D92</f>
        <v>1.9577365513092868</v>
      </c>
      <c r="E93" s="1503">
        <f>E91/E92</f>
        <v>1.9378935977198957</v>
      </c>
      <c r="F93" s="1503">
        <f>F91/F92</f>
        <v>1.7009776761648487</v>
      </c>
    </row>
    <row r="94" spans="1:6">
      <c r="A94" s="1500" t="s">
        <v>1248</v>
      </c>
      <c r="B94" s="1501"/>
      <c r="C94" s="1504"/>
      <c r="D94" s="1504"/>
      <c r="E94" s="1505"/>
      <c r="F94" s="1506"/>
    </row>
    <row r="95" spans="1:6" ht="10" customHeight="1">
      <c r="A95" s="595"/>
      <c r="B95" s="595"/>
      <c r="C95" s="600"/>
      <c r="D95" s="600"/>
      <c r="E95" s="600"/>
      <c r="F95" s="600"/>
    </row>
    <row r="96" spans="1:6">
      <c r="A96" s="1507" t="s">
        <v>1249</v>
      </c>
      <c r="B96" s="1494"/>
      <c r="C96" s="609">
        <f>C93+C94</f>
        <v>2.7628951511319402</v>
      </c>
      <c r="D96" s="609">
        <f>+D93+D94</f>
        <v>1.9577365513092868</v>
      </c>
      <c r="E96" s="609">
        <f>+E93+E94</f>
        <v>1.9378935977198957</v>
      </c>
      <c r="F96" s="1572">
        <f>+F93+F94</f>
        <v>1.7009776761648487</v>
      </c>
    </row>
    <row r="97" spans="1:9" s="198" customFormat="1">
      <c r="A97" s="603"/>
      <c r="B97" s="904"/>
      <c r="C97" s="610"/>
      <c r="D97" s="610"/>
      <c r="E97" s="610"/>
      <c r="F97" s="610"/>
      <c r="G97" s="194"/>
      <c r="H97" s="194"/>
      <c r="I97" s="194"/>
    </row>
    <row r="98" spans="1:9" s="197" customFormat="1">
      <c r="A98" s="903" t="s">
        <v>1250</v>
      </c>
      <c r="B98" s="906"/>
      <c r="C98" s="907"/>
      <c r="D98" s="907"/>
      <c r="E98" s="907"/>
      <c r="F98" s="907"/>
    </row>
    <row r="99" spans="1:9" s="197" customFormat="1" ht="13" customHeight="1">
      <c r="A99" s="908" t="s">
        <v>1251</v>
      </c>
      <c r="B99" s="906"/>
      <c r="C99" s="886"/>
      <c r="D99" s="907"/>
      <c r="E99" s="907"/>
      <c r="F99" s="886"/>
    </row>
    <row r="100" spans="1:9" s="197" customFormat="1" ht="13" customHeight="1">
      <c r="A100" s="957" t="s">
        <v>1252</v>
      </c>
      <c r="B100" s="906"/>
      <c r="C100" s="611">
        <v>1.1627107487874282</v>
      </c>
      <c r="D100" s="907"/>
      <c r="E100" s="907"/>
      <c r="F100" s="612"/>
    </row>
    <row r="101" spans="1:9" s="197" customFormat="1" ht="13" customHeight="1">
      <c r="A101" s="957" t="s">
        <v>1253</v>
      </c>
      <c r="B101" s="906"/>
      <c r="C101" s="611">
        <v>1.1108285317821871</v>
      </c>
      <c r="D101" s="907"/>
      <c r="E101" s="907"/>
      <c r="F101" s="612"/>
    </row>
    <row r="102" spans="1:9" s="197" customFormat="1">
      <c r="A102" s="957" t="s">
        <v>1254</v>
      </c>
      <c r="B102" s="904"/>
      <c r="C102" s="611">
        <v>0</v>
      </c>
      <c r="D102" s="886"/>
      <c r="E102" s="886"/>
      <c r="F102" s="904"/>
    </row>
    <row r="103" spans="1:9" s="197" customFormat="1">
      <c r="A103" s="957" t="s">
        <v>1255</v>
      </c>
      <c r="B103" s="904"/>
      <c r="C103" s="611">
        <v>0</v>
      </c>
      <c r="D103" s="904"/>
      <c r="E103" s="904"/>
      <c r="F103" s="904"/>
    </row>
    <row r="104" spans="1:9" s="197" customFormat="1">
      <c r="A104" s="957" t="s">
        <v>1256</v>
      </c>
      <c r="B104" s="904"/>
      <c r="C104" s="611">
        <v>4689.0424000000003</v>
      </c>
      <c r="D104" s="904"/>
      <c r="E104" s="604"/>
      <c r="F104" s="904"/>
    </row>
    <row r="105" spans="1:9" s="197" customFormat="1">
      <c r="A105" s="957" t="s">
        <v>1257</v>
      </c>
      <c r="B105" s="904"/>
      <c r="C105" s="611">
        <v>4790.2876000000006</v>
      </c>
      <c r="D105" s="904"/>
      <c r="E105" s="904"/>
      <c r="F105" s="904"/>
    </row>
    <row r="106" spans="1:9" s="197" customFormat="1">
      <c r="A106" s="903" t="s">
        <v>1177</v>
      </c>
      <c r="B106" s="906"/>
      <c r="C106" s="907"/>
      <c r="D106" s="907"/>
      <c r="E106" s="907"/>
      <c r="F106" s="907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82744-E8A6-41B4-A641-0C1361E00B6E}">
  <sheetPr>
    <tabColor theme="5" tint="-0.249977111117893"/>
    <pageSetUpPr fitToPage="1"/>
  </sheetPr>
  <dimension ref="A1:J106"/>
  <sheetViews>
    <sheetView topLeftCell="A58" zoomScaleNormal="100" workbookViewId="0">
      <selection activeCell="A3" sqref="A3:A5"/>
    </sheetView>
  </sheetViews>
  <sheetFormatPr defaultColWidth="8.81640625" defaultRowHeight="13"/>
  <cols>
    <col min="1" max="1" width="24" style="528" customWidth="1"/>
    <col min="2" max="2" width="49.54296875" style="528" customWidth="1"/>
    <col min="3" max="6" width="12.54296875" style="528" customWidth="1"/>
    <col min="7" max="16384" width="8.81640625" style="194"/>
  </cols>
  <sheetData>
    <row r="1" spans="1:10">
      <c r="A1" s="1680" t="s">
        <v>1178</v>
      </c>
      <c r="B1" s="1680"/>
      <c r="C1" s="1680"/>
      <c r="D1" s="1680"/>
      <c r="E1" s="1680"/>
      <c r="F1" s="1680"/>
    </row>
    <row r="2" spans="1:10">
      <c r="A2" s="1654"/>
      <c r="B2" s="1654"/>
      <c r="C2" s="903"/>
      <c r="D2" s="903"/>
      <c r="E2" s="903"/>
      <c r="F2" s="529"/>
    </row>
    <row r="3" spans="1:10">
      <c r="A3" s="1455" t="s">
        <v>985</v>
      </c>
      <c r="B3" s="530"/>
      <c r="C3" s="194"/>
      <c r="D3" s="195"/>
      <c r="E3" s="194"/>
      <c r="F3" s="194"/>
    </row>
    <row r="4" spans="1:10">
      <c r="A4" s="531" t="s">
        <v>986</v>
      </c>
      <c r="B4" s="530"/>
      <c r="C4" s="194"/>
      <c r="D4" s="195"/>
      <c r="E4" s="194"/>
      <c r="F4" s="194"/>
    </row>
    <row r="5" spans="1:10">
      <c r="A5" s="532" t="s">
        <v>1038</v>
      </c>
      <c r="B5" s="533"/>
      <c r="C5" s="1681" t="s">
        <v>1179</v>
      </c>
      <c r="D5" s="1681"/>
      <c r="E5" s="1681"/>
      <c r="F5" s="1682"/>
    </row>
    <row r="6" spans="1:10">
      <c r="A6" s="530"/>
      <c r="B6" s="530"/>
      <c r="C6" s="903"/>
      <c r="D6" s="903"/>
      <c r="E6" s="903"/>
      <c r="F6" s="903"/>
    </row>
    <row r="7" spans="1:10">
      <c r="A7" s="1683" t="s">
        <v>1180</v>
      </c>
      <c r="B7" s="1684"/>
      <c r="C7" s="196" t="s">
        <v>870</v>
      </c>
      <c r="D7" s="196">
        <v>2022</v>
      </c>
      <c r="E7" s="196">
        <v>2023</v>
      </c>
      <c r="F7" s="1456">
        <v>2024</v>
      </c>
    </row>
    <row r="8" spans="1:10">
      <c r="A8" s="904"/>
      <c r="B8" s="904"/>
      <c r="C8" s="904"/>
      <c r="D8" s="904"/>
      <c r="E8" s="904"/>
      <c r="F8" s="904"/>
    </row>
    <row r="9" spans="1:10" s="197" customFormat="1">
      <c r="A9" s="534" t="s">
        <v>992</v>
      </c>
      <c r="B9" s="534"/>
      <c r="C9" s="535"/>
      <c r="D9" s="535"/>
      <c r="E9" s="535"/>
      <c r="F9" s="535"/>
    </row>
    <row r="10" spans="1:10" ht="3" customHeight="1">
      <c r="A10" s="904"/>
      <c r="B10" s="904"/>
      <c r="C10" s="904"/>
      <c r="D10" s="904"/>
      <c r="E10" s="904"/>
      <c r="F10" s="904"/>
    </row>
    <row r="11" spans="1:10">
      <c r="A11" s="1457" t="s">
        <v>1181</v>
      </c>
      <c r="B11" s="1458"/>
      <c r="C11" s="536"/>
      <c r="D11" s="536"/>
      <c r="E11" s="536"/>
      <c r="F11" s="1459"/>
    </row>
    <row r="12" spans="1:10">
      <c r="A12" s="537" t="s">
        <v>1182</v>
      </c>
      <c r="B12" s="986"/>
      <c r="C12" s="538">
        <f>'MET TRM'!J61</f>
        <v>3290.242056403999</v>
      </c>
      <c r="D12" s="538">
        <f>'MET TRM'!K61</f>
        <v>1706.5530740456886</v>
      </c>
      <c r="E12" s="538">
        <f>'MET TRM'!L61</f>
        <v>1819.5286467848096</v>
      </c>
      <c r="F12" s="538">
        <f>'MET TRM'!M61</f>
        <v>1734.154484518619</v>
      </c>
    </row>
    <row r="13" spans="1:10" ht="3" customHeight="1">
      <c r="A13" s="904"/>
      <c r="B13" s="904"/>
      <c r="C13" s="539"/>
      <c r="D13" s="539"/>
      <c r="E13" s="539"/>
      <c r="F13" s="539"/>
    </row>
    <row r="14" spans="1:10">
      <c r="A14" s="1460" t="s">
        <v>1183</v>
      </c>
      <c r="B14" s="1461"/>
      <c r="C14" s="540"/>
      <c r="D14" s="540"/>
      <c r="E14" s="540"/>
      <c r="F14" s="1462"/>
    </row>
    <row r="15" spans="1:10">
      <c r="A15" s="1463" t="s">
        <v>1184</v>
      </c>
      <c r="B15" s="1464"/>
      <c r="C15" s="541">
        <f>C12-'MET TRM'!J15-'MET TRM'!J16</f>
        <v>3075.8201179039988</v>
      </c>
      <c r="D15" s="541">
        <f>D12-'MET TRM'!K15-'MET TRM'!K16</f>
        <v>1536.1618082956886</v>
      </c>
      <c r="E15" s="541">
        <f>E12-'MET TRM'!L15-'MET TRM'!L16</f>
        <v>1576.9285810348097</v>
      </c>
      <c r="F15" s="541">
        <f>F12-'MET TRM'!M15-'MET TRM'!M16</f>
        <v>1577.1124845186191</v>
      </c>
      <c r="G15" s="198"/>
      <c r="H15" s="198"/>
      <c r="I15" s="198"/>
      <c r="J15" s="198"/>
    </row>
    <row r="16" spans="1:10">
      <c r="A16" s="543" t="s">
        <v>1185</v>
      </c>
      <c r="B16" s="544"/>
      <c r="C16" s="545"/>
      <c r="D16" s="541">
        <f>'MET TRM'!K65</f>
        <v>105.19340881519997</v>
      </c>
      <c r="E16" s="541">
        <f>'MET TRM'!L65</f>
        <v>107.29727699150398</v>
      </c>
      <c r="F16" s="541">
        <f>'MET TRM'!M65</f>
        <v>109.44322253133406</v>
      </c>
    </row>
    <row r="17" spans="1:6">
      <c r="A17" s="546" t="s">
        <v>1186</v>
      </c>
      <c r="B17" s="547"/>
      <c r="C17" s="205"/>
      <c r="D17" s="905">
        <f>'UR Control'!T23</f>
        <v>105.19340881519997</v>
      </c>
      <c r="E17" s="905">
        <f>'UR Control'!U23</f>
        <v>107.29727699150398</v>
      </c>
      <c r="F17" s="548">
        <f>'UR Control'!V23</f>
        <v>109.44322253133406</v>
      </c>
    </row>
    <row r="18" spans="1:6">
      <c r="A18" s="549" t="s">
        <v>1187</v>
      </c>
      <c r="B18" s="989"/>
      <c r="C18" s="204"/>
      <c r="D18" s="550">
        <f>D17/D16-1</f>
        <v>0</v>
      </c>
      <c r="E18" s="550">
        <f>E17/E16-1</f>
        <v>0</v>
      </c>
      <c r="F18" s="551">
        <f>F17/F16-1</f>
        <v>0</v>
      </c>
    </row>
    <row r="19" spans="1:6">
      <c r="A19" s="552" t="s">
        <v>1188</v>
      </c>
      <c r="B19" s="990"/>
      <c r="C19" s="553"/>
      <c r="D19" s="831">
        <f>D12*D18</f>
        <v>0</v>
      </c>
      <c r="E19" s="555">
        <f>E12*E18</f>
        <v>0</v>
      </c>
      <c r="F19" s="556">
        <f>F12*F18</f>
        <v>0</v>
      </c>
    </row>
    <row r="20" spans="1:6" ht="3" customHeight="1">
      <c r="A20" s="904"/>
      <c r="B20" s="904"/>
      <c r="C20" s="904"/>
      <c r="D20" s="904"/>
      <c r="E20" s="904"/>
      <c r="F20" s="904"/>
    </row>
    <row r="21" spans="1:6">
      <c r="A21" s="1457" t="s">
        <v>1189</v>
      </c>
      <c r="B21" s="1458"/>
      <c r="C21" s="536"/>
      <c r="D21" s="536"/>
      <c r="E21" s="536"/>
      <c r="F21" s="1459"/>
    </row>
    <row r="22" spans="1:6">
      <c r="A22" s="1465" t="s">
        <v>1190</v>
      </c>
      <c r="B22" s="1466"/>
      <c r="C22" s="1467">
        <f>SUMIFS('UR Control'!$M$72:$V$72,'UR Control'!$M$8:$V$8,C$7)</f>
        <v>0</v>
      </c>
      <c r="D22" s="1468">
        <f>SUMIFS('UR Control'!$M$72:$V$72,'UR Control'!$M$8:$V$8,D$7)</f>
        <v>0</v>
      </c>
      <c r="E22" s="1467">
        <f>SUMIFS('UR Control'!$M$72:$V$72,'UR Control'!$M$8:$V$8,E$7)</f>
        <v>0</v>
      </c>
      <c r="F22" s="1508">
        <f>SUMIFS('UR Control'!$M$72:$V$72,'UR Control'!$M$8:$V$8,F$7)</f>
        <v>0</v>
      </c>
    </row>
    <row r="23" spans="1:6">
      <c r="A23" s="557" t="s">
        <v>1191</v>
      </c>
      <c r="B23" s="558"/>
      <c r="C23" s="205"/>
      <c r="D23" s="559"/>
      <c r="E23" s="207"/>
      <c r="F23" s="840"/>
    </row>
    <row r="24" spans="1:6">
      <c r="A24" s="557" t="s">
        <v>1192</v>
      </c>
      <c r="B24" s="558"/>
      <c r="C24" s="205"/>
      <c r="D24" s="205"/>
      <c r="E24" s="207"/>
      <c r="F24" s="840"/>
    </row>
    <row r="25" spans="1:6">
      <c r="A25" s="560" t="s">
        <v>1193</v>
      </c>
      <c r="B25" s="558"/>
      <c r="C25" s="905">
        <f>SUMIFS('UR Control'!$M95:$V95,'UR Control'!$M$8:$V$8,C$7)</f>
        <v>0</v>
      </c>
      <c r="D25" s="561">
        <f>SUMIFS('UR Control'!$M95:$V95,'UR Control'!$M$8:$V$8,D$7)</f>
        <v>0</v>
      </c>
      <c r="E25" s="905">
        <f>SUMIFS('UR Control'!$M95:$V95,'UR Control'!$M$8:$V$8,E$7)</f>
        <v>0</v>
      </c>
      <c r="F25" s="841">
        <f>SUMIFS('UR Control'!$M95:$V95,'UR Control'!$M$8:$V$8,F$7)</f>
        <v>0</v>
      </c>
    </row>
    <row r="26" spans="1:6">
      <c r="A26" s="560" t="s">
        <v>1194</v>
      </c>
      <c r="B26" s="558"/>
      <c r="C26" s="905">
        <f>SUMIFS('UR Control'!$M96:$V96,'UR Control'!$M$8:$V$8,C$7)</f>
        <v>0</v>
      </c>
      <c r="D26" s="561">
        <f>SUMIFS('UR Control'!$M96:$V96,'UR Control'!$M$8:$V$8,D$7)</f>
        <v>0</v>
      </c>
      <c r="E26" s="905">
        <f>SUMIFS('UR Control'!$M96:$V96,'UR Control'!$M$8:$V$8,E$7)</f>
        <v>0</v>
      </c>
      <c r="F26" s="841">
        <f>SUMIFS('UR Control'!$M96:$V96,'UR Control'!$M$8:$V$8,F$7)</f>
        <v>0</v>
      </c>
    </row>
    <row r="27" spans="1:6">
      <c r="A27" s="560" t="s">
        <v>1195</v>
      </c>
      <c r="B27" s="558"/>
      <c r="C27" s="905">
        <f>SUMIFS('UR Control'!$M97:$V97,'UR Control'!$M$8:$V$8,C$7)</f>
        <v>0</v>
      </c>
      <c r="D27" s="561">
        <f>SUMIFS('UR Control'!$M97:$V97,'UR Control'!$M$8:$V$8,D$7)</f>
        <v>0</v>
      </c>
      <c r="E27" s="905">
        <f>SUMIFS('UR Control'!$M97:$V97,'UR Control'!$M$8:$V$8,E$7)</f>
        <v>0</v>
      </c>
      <c r="F27" s="842">
        <f>SUMIFS('UR Control'!$M97:$V97,'UR Control'!$M$8:$V$8,F$7)</f>
        <v>0</v>
      </c>
    </row>
    <row r="28" spans="1:6">
      <c r="A28" s="1471" t="s">
        <v>1196</v>
      </c>
      <c r="B28" s="1472"/>
      <c r="C28" s="553">
        <f>SUM(C22:C27)</f>
        <v>0</v>
      </c>
      <c r="D28" s="554">
        <f>SUM(D22:D27)</f>
        <v>0</v>
      </c>
      <c r="E28" s="553">
        <f>SUM(E22:E27)</f>
        <v>0</v>
      </c>
      <c r="F28" s="594">
        <f>SUM(F22:F27)</f>
        <v>0</v>
      </c>
    </row>
    <row r="29" spans="1:6" ht="10.9" customHeight="1">
      <c r="A29" s="903"/>
      <c r="B29" s="903"/>
      <c r="C29" s="903"/>
      <c r="D29" s="903"/>
      <c r="E29" s="903"/>
      <c r="F29" s="903"/>
    </row>
    <row r="30" spans="1:6" s="197" customFormat="1">
      <c r="A30" s="534" t="s">
        <v>1010</v>
      </c>
      <c r="B30" s="534"/>
      <c r="C30" s="535"/>
      <c r="D30" s="535"/>
      <c r="E30" s="535"/>
      <c r="F30" s="535"/>
    </row>
    <row r="31" spans="1:6" ht="1.9" customHeight="1">
      <c r="A31" s="904"/>
      <c r="B31" s="904"/>
      <c r="C31" s="904"/>
      <c r="D31" s="904"/>
      <c r="E31" s="904"/>
      <c r="F31" s="904"/>
    </row>
    <row r="32" spans="1:6">
      <c r="A32" s="1457" t="s">
        <v>1197</v>
      </c>
      <c r="B32" s="1458"/>
      <c r="C32" s="536"/>
      <c r="D32" s="536"/>
      <c r="E32" s="536"/>
      <c r="F32" s="1459"/>
    </row>
    <row r="33" spans="1:6">
      <c r="A33" s="564" t="s">
        <v>1198</v>
      </c>
      <c r="B33" s="565"/>
      <c r="C33" s="545"/>
      <c r="D33" s="545"/>
      <c r="E33" s="545"/>
      <c r="F33" s="1514"/>
    </row>
    <row r="34" spans="1:6">
      <c r="A34" s="566" t="s">
        <v>1199</v>
      </c>
      <c r="B34" s="567"/>
      <c r="C34" s="859"/>
      <c r="D34" s="859"/>
      <c r="E34" s="859"/>
      <c r="F34" s="866"/>
    </row>
    <row r="35" spans="1:6">
      <c r="A35" s="566" t="s">
        <v>1200</v>
      </c>
      <c r="B35" s="567"/>
      <c r="C35" s="859"/>
      <c r="D35" s="859"/>
      <c r="E35" s="859"/>
      <c r="F35" s="866"/>
    </row>
    <row r="36" spans="1:6">
      <c r="A36" s="566" t="s">
        <v>1201</v>
      </c>
      <c r="B36" s="567"/>
      <c r="C36" s="859"/>
      <c r="D36" s="859"/>
      <c r="E36" s="859"/>
      <c r="F36" s="866"/>
    </row>
    <row r="37" spans="1:6">
      <c r="A37" s="566" t="s">
        <v>1202</v>
      </c>
      <c r="B37" s="567"/>
      <c r="C37" s="861"/>
      <c r="D37" s="861"/>
      <c r="E37" s="861"/>
      <c r="F37" s="867"/>
    </row>
    <row r="38" spans="1:6">
      <c r="A38" s="546" t="s">
        <v>1203</v>
      </c>
      <c r="B38" s="547"/>
      <c r="C38" s="826">
        <f>'MET TRM'!J68</f>
        <v>147.51144028384689</v>
      </c>
      <c r="D38" s="826">
        <f>'MET TRM'!K68</f>
        <v>136</v>
      </c>
      <c r="E38" s="826">
        <f>'MET TRM'!L68</f>
        <v>163</v>
      </c>
      <c r="F38" s="590">
        <f>'MET TRM'!M68</f>
        <v>188</v>
      </c>
    </row>
    <row r="39" spans="1:6">
      <c r="A39" s="566" t="s">
        <v>1204</v>
      </c>
      <c r="B39" s="567"/>
      <c r="C39" s="207"/>
      <c r="D39" s="207"/>
      <c r="E39" s="207"/>
      <c r="F39" s="840"/>
    </row>
    <row r="40" spans="1:6">
      <c r="A40" s="570" t="s">
        <v>1205</v>
      </c>
      <c r="B40" s="994"/>
      <c r="C40" s="862"/>
      <c r="D40" s="862"/>
      <c r="E40" s="863"/>
      <c r="F40" s="868"/>
    </row>
    <row r="41" spans="1:6">
      <c r="A41" s="552" t="s">
        <v>1206</v>
      </c>
      <c r="B41" s="990"/>
      <c r="C41" s="864"/>
      <c r="D41" s="864"/>
      <c r="E41" s="864"/>
      <c r="F41" s="865"/>
    </row>
    <row r="42" spans="1:6" ht="3" customHeight="1">
      <c r="A42" s="904"/>
      <c r="B42" s="904"/>
      <c r="C42" s="904"/>
      <c r="D42" s="904"/>
      <c r="E42" s="904"/>
      <c r="F42" s="904"/>
    </row>
    <row r="43" spans="1:6">
      <c r="A43" s="1460" t="s">
        <v>1207</v>
      </c>
      <c r="B43" s="1461"/>
      <c r="C43" s="536"/>
      <c r="D43" s="536"/>
      <c r="E43" s="536"/>
      <c r="F43" s="1459"/>
    </row>
    <row r="44" spans="1:6">
      <c r="A44" s="1473" t="s">
        <v>1208</v>
      </c>
      <c r="B44" s="1474"/>
      <c r="C44" s="572"/>
      <c r="D44" s="572"/>
      <c r="E44" s="572"/>
      <c r="F44" s="1496"/>
    </row>
    <row r="45" spans="1:6">
      <c r="A45" s="574" t="s">
        <v>1209</v>
      </c>
      <c r="B45" s="575"/>
      <c r="C45" s="838">
        <f>IF('MET TRM'!Q68=0,0,(('T3'!N197+'T3'!N208+'T3'!N266+'T3'!N277+'T3'!N294+'T3'!N305+'T3'!N316+'T3'!N327+'T3'!N338)+('T3'!O197+'T3'!O208+'T3'!O266+'T3'!O277+'T3'!O294+'T3'!O305+'T3'!O316+'T3'!O327+'T3'!O338))*-(('MET TRM'!Q68)/'MET TRM'!J68-1))</f>
        <v>0</v>
      </c>
      <c r="D45" s="838">
        <f>IF('MET TRM'!R68=0,0,(('T3'!P197+'T3'!P208+'T3'!P266+'T3'!P277+'T3'!P294+'T3'!P305+'T3'!P316+'T3'!P327+'T3'!P338))*-(('MET TRM'!R68)/'MET TRM'!K68-1))</f>
        <v>0</v>
      </c>
      <c r="E45" s="838">
        <f>IF('MET TRM'!S68=0,0,(('T3'!Q197+'T3'!Q208+'T3'!Q266+'T3'!Q277+'T3'!Q294+'T3'!Q305+'T3'!Q316+'T3'!Q327+'T3'!Q338))*-(('MET TRM'!S68)/'MET TRM'!L68-1))</f>
        <v>0</v>
      </c>
      <c r="F45" s="847">
        <f>IF('MET TRM'!T68=0,0,(('T3'!R197+'T3'!R208+'T3'!R266+'T3'!R277+'T3'!R294+'T3'!R305+'T3'!R316+'T3'!R327+'T3'!R338))*-(('MET TRM'!T68)/'MET TRM'!M68-1))</f>
        <v>0</v>
      </c>
    </row>
    <row r="46" spans="1:6">
      <c r="A46" s="1471" t="s">
        <v>1210</v>
      </c>
      <c r="B46" s="1472"/>
      <c r="C46" s="553">
        <f>SUM(C44:C45)</f>
        <v>0</v>
      </c>
      <c r="D46" s="553">
        <f>SUM(D44:D45)</f>
        <v>0</v>
      </c>
      <c r="E46" s="553">
        <f>SUM(E44:E45)</f>
        <v>0</v>
      </c>
      <c r="F46" s="594">
        <f>SUM(F44:F45)</f>
        <v>0</v>
      </c>
    </row>
    <row r="47" spans="1:6" ht="10.9" customHeight="1">
      <c r="A47" s="903"/>
      <c r="B47" s="903"/>
      <c r="C47" s="903"/>
      <c r="D47" s="903"/>
      <c r="E47" s="903"/>
      <c r="F47" s="903"/>
    </row>
    <row r="48" spans="1:6" s="197" customFormat="1">
      <c r="A48" s="534" t="s">
        <v>1016</v>
      </c>
      <c r="B48" s="534"/>
      <c r="C48" s="535"/>
      <c r="D48" s="535"/>
      <c r="E48" s="535"/>
      <c r="F48" s="535"/>
    </row>
    <row r="49" spans="1:10" ht="3.65" customHeight="1">
      <c r="A49" s="904"/>
      <c r="B49" s="904"/>
      <c r="C49" s="904"/>
      <c r="D49" s="904"/>
      <c r="E49" s="904"/>
      <c r="F49" s="904"/>
    </row>
    <row r="50" spans="1:10">
      <c r="A50" s="1457" t="s">
        <v>1211</v>
      </c>
      <c r="B50" s="1458"/>
      <c r="C50" s="536"/>
      <c r="D50" s="536"/>
      <c r="E50" s="536"/>
      <c r="F50" s="1459"/>
      <c r="H50" s="197"/>
      <c r="I50" s="197"/>
      <c r="J50" s="197"/>
    </row>
    <row r="51" spans="1:10">
      <c r="A51" s="566" t="s">
        <v>1212</v>
      </c>
      <c r="B51" s="567"/>
      <c r="C51" s="1515"/>
      <c r="D51" s="1516"/>
      <c r="E51" s="1516"/>
      <c r="F51" s="1517"/>
    </row>
    <row r="52" spans="1:10">
      <c r="A52" s="566" t="s">
        <v>1213</v>
      </c>
      <c r="B52" s="567"/>
      <c r="C52" s="869"/>
      <c r="D52" s="559"/>
      <c r="E52" s="559"/>
      <c r="F52" s="870"/>
      <c r="H52" s="197"/>
      <c r="I52" s="197"/>
      <c r="J52" s="197"/>
    </row>
    <row r="53" spans="1:10">
      <c r="A53" s="564" t="s">
        <v>1214</v>
      </c>
      <c r="B53" s="565"/>
      <c r="C53" s="869"/>
      <c r="D53" s="559"/>
      <c r="E53" s="559"/>
      <c r="F53" s="870"/>
    </row>
    <row r="54" spans="1:10" s="202" customFormat="1">
      <c r="A54" s="1471" t="s">
        <v>1215</v>
      </c>
      <c r="B54" s="1472"/>
      <c r="C54" s="871"/>
      <c r="D54" s="206"/>
      <c r="E54" s="206"/>
      <c r="F54" s="872"/>
      <c r="H54" s="197"/>
      <c r="I54" s="197"/>
      <c r="J54" s="197"/>
    </row>
    <row r="55" spans="1:10" ht="12" customHeight="1">
      <c r="A55" s="904"/>
      <c r="B55" s="904"/>
      <c r="C55" s="904"/>
      <c r="D55" s="904"/>
      <c r="E55" s="904"/>
      <c r="F55" s="904"/>
    </row>
    <row r="56" spans="1:10" s="197" customFormat="1">
      <c r="A56" s="534" t="s">
        <v>1026</v>
      </c>
      <c r="B56" s="534"/>
      <c r="C56" s="578"/>
      <c r="D56" s="578"/>
      <c r="E56" s="535"/>
      <c r="F56" s="535"/>
    </row>
    <row r="57" spans="1:10" ht="3.65" customHeight="1">
      <c r="A57" s="904"/>
      <c r="B57" s="904"/>
      <c r="C57" s="904"/>
      <c r="D57" s="904"/>
      <c r="E57" s="904"/>
      <c r="F57" s="904"/>
    </row>
    <row r="58" spans="1:10">
      <c r="A58" s="1457" t="s">
        <v>1216</v>
      </c>
      <c r="B58" s="1458"/>
      <c r="C58" s="536"/>
      <c r="D58" s="536"/>
      <c r="E58" s="536"/>
      <c r="F58" s="1459"/>
    </row>
    <row r="59" spans="1:10" s="203" customFormat="1">
      <c r="A59" s="1471" t="s">
        <v>1217</v>
      </c>
      <c r="B59" s="1472"/>
      <c r="C59" s="555">
        <f>SUMIFS('UR Control'!$M$151:$V$151,'UR Control'!$M$8:$V$8,C7)</f>
        <v>0</v>
      </c>
      <c r="D59" s="848">
        <f>SUMIFS('UR Control'!$M$151:$V$151,'UR Control'!$M$8:$V$8,D7)</f>
        <v>0</v>
      </c>
      <c r="E59" s="555">
        <f>SUMIFS('UR Control'!$M$151:$V$151,'UR Control'!$M$8:$V$8,E7)</f>
        <v>0</v>
      </c>
      <c r="F59" s="556">
        <f>SUMIFS('UR Control'!$M$151:$V$151,'UR Control'!$M$8:$V$8,F7)</f>
        <v>0</v>
      </c>
    </row>
    <row r="60" spans="1:10" ht="3.65" customHeight="1">
      <c r="A60" s="904"/>
      <c r="B60" s="904"/>
      <c r="C60" s="904"/>
      <c r="D60" s="904"/>
      <c r="E60" s="904"/>
      <c r="F60" s="904"/>
    </row>
    <row r="61" spans="1:10">
      <c r="A61" s="1457" t="s">
        <v>1218</v>
      </c>
      <c r="B61" s="1458"/>
      <c r="C61" s="536"/>
      <c r="D61" s="536"/>
      <c r="E61" s="536"/>
      <c r="F61" s="1459"/>
    </row>
    <row r="62" spans="1:10">
      <c r="A62" s="1476" t="s">
        <v>1219</v>
      </c>
      <c r="B62" s="1477"/>
      <c r="C62" s="581" t="s">
        <v>1220</v>
      </c>
      <c r="D62" s="579"/>
      <c r="E62" s="582"/>
      <c r="F62" s="1478"/>
    </row>
    <row r="63" spans="1:10">
      <c r="A63" s="1479" t="s">
        <v>1221</v>
      </c>
      <c r="B63" s="1480"/>
      <c r="C63" s="981">
        <f>C93*'MET TRM'!J68-(C100*'MET TRM'!O68+C101*'MET TRM'!P68) -'T3'!M283-'T3'!M284-(('T3'!M283/-('MET TRM'!O68/C104-1)+'T3'!M284/-('MET TRM'!P68/C105-1))*C40)</f>
        <v>2072.9620929476791</v>
      </c>
      <c r="D63" s="848"/>
      <c r="E63" s="555"/>
      <c r="F63" s="556"/>
    </row>
    <row r="64" spans="1:10" ht="3" customHeight="1">
      <c r="A64" s="904"/>
      <c r="B64" s="904"/>
      <c r="C64" s="904"/>
      <c r="D64" s="904"/>
      <c r="E64" s="904"/>
      <c r="F64" s="904"/>
    </row>
    <row r="65" spans="1:6">
      <c r="A65" s="1457" t="s">
        <v>1222</v>
      </c>
      <c r="B65" s="1458"/>
      <c r="C65" s="536"/>
      <c r="D65" s="536"/>
      <c r="E65" s="536"/>
      <c r="F65" s="1459"/>
    </row>
    <row r="66" spans="1:6">
      <c r="A66" s="1479" t="s">
        <v>1223</v>
      </c>
      <c r="B66" s="1480"/>
      <c r="C66" s="585"/>
      <c r="D66" s="586"/>
      <c r="E66" s="587"/>
      <c r="F66" s="1482"/>
    </row>
    <row r="67" spans="1:6" ht="3" customHeight="1">
      <c r="A67" s="904"/>
      <c r="B67" s="904"/>
      <c r="C67" s="904"/>
      <c r="D67" s="904"/>
      <c r="E67" s="904"/>
      <c r="F67" s="904"/>
    </row>
    <row r="68" spans="1:6">
      <c r="A68" s="1457" t="s">
        <v>1224</v>
      </c>
      <c r="B68" s="1458"/>
      <c r="C68" s="1483"/>
      <c r="D68" s="1483"/>
      <c r="E68" s="1483"/>
      <c r="F68" s="1484"/>
    </row>
    <row r="69" spans="1:6">
      <c r="A69" s="1485" t="s">
        <v>1225</v>
      </c>
      <c r="B69" s="1486"/>
      <c r="C69" s="1487">
        <f>'UR Control'!S180</f>
        <v>0</v>
      </c>
      <c r="D69" s="1487">
        <f>'UR Control'!T180</f>
        <v>0</v>
      </c>
      <c r="E69" s="1510">
        <f>'UR Control'!U180</f>
        <v>0</v>
      </c>
      <c r="F69" s="1511">
        <f>'UR Control'!V180</f>
        <v>0</v>
      </c>
    </row>
    <row r="70" spans="1:6">
      <c r="A70" s="566" t="s">
        <v>1226</v>
      </c>
      <c r="B70" s="567"/>
      <c r="C70" s="588">
        <f>'UR Control'!S181</f>
        <v>0</v>
      </c>
      <c r="D70" s="588">
        <f>'UR Control'!T181</f>
        <v>0</v>
      </c>
      <c r="E70" s="849">
        <f>'UR Control'!U181</f>
        <v>0</v>
      </c>
      <c r="F70" s="850">
        <f>'UR Control'!V181</f>
        <v>0</v>
      </c>
    </row>
    <row r="71" spans="1:6">
      <c r="A71" s="566" t="s">
        <v>1227</v>
      </c>
      <c r="B71" s="567"/>
      <c r="C71" s="588">
        <f>'UR Control'!S182</f>
        <v>0</v>
      </c>
      <c r="D71" s="588">
        <f>'UR Control'!T182</f>
        <v>0</v>
      </c>
      <c r="E71" s="849">
        <f>'UR Control'!U182</f>
        <v>0</v>
      </c>
      <c r="F71" s="850">
        <f>'UR Control'!V182</f>
        <v>0</v>
      </c>
    </row>
    <row r="72" spans="1:6">
      <c r="A72" s="566" t="s">
        <v>1228</v>
      </c>
      <c r="B72" s="567"/>
      <c r="C72" s="905">
        <f>SUMIFS('UR Control'!$M142:$V142,'UR Control'!$M$8:$V$8,C$7)</f>
        <v>0</v>
      </c>
      <c r="D72" s="905">
        <f>SUMIFS('UR Control'!$M142:$V142,'UR Control'!$M$8:$V$8,D$7)</f>
        <v>0</v>
      </c>
      <c r="E72" s="905">
        <f>SUMIFS('UR Control'!$M142:$V142,'UR Control'!$M$8:$V$8,E$7)</f>
        <v>0</v>
      </c>
      <c r="F72" s="842">
        <f>SUMIFS('UR Control'!$M142:$V142,'UR Control'!$M$8:$V$8,F$7)</f>
        <v>0</v>
      </c>
    </row>
    <row r="73" spans="1:6">
      <c r="A73" s="1490" t="s">
        <v>1229</v>
      </c>
      <c r="B73" s="1491"/>
      <c r="C73" s="553">
        <f>SUM(C69:C72)</f>
        <v>0</v>
      </c>
      <c r="D73" s="553">
        <f>SUM(D69:D72)</f>
        <v>0</v>
      </c>
      <c r="E73" s="553">
        <f>SUM(E69:E72)</f>
        <v>0</v>
      </c>
      <c r="F73" s="594">
        <f>SUM(F69:F72)</f>
        <v>0</v>
      </c>
    </row>
    <row r="74" spans="1:6" ht="4" customHeight="1">
      <c r="A74" s="595"/>
      <c r="B74" s="595"/>
      <c r="C74" s="596"/>
      <c r="D74" s="596"/>
      <c r="E74" s="596"/>
      <c r="F74" s="596"/>
    </row>
    <row r="75" spans="1:6">
      <c r="A75" s="1457" t="s">
        <v>1230</v>
      </c>
      <c r="B75" s="1458"/>
      <c r="C75" s="1492" t="s">
        <v>1231</v>
      </c>
      <c r="D75" s="1483"/>
      <c r="E75" s="1483"/>
      <c r="F75" s="1484"/>
    </row>
    <row r="76" spans="1:6" s="203" customFormat="1">
      <c r="A76" s="1479" t="s">
        <v>1232</v>
      </c>
      <c r="B76" s="1480"/>
      <c r="C76" s="555"/>
      <c r="D76" s="597"/>
      <c r="E76" s="598"/>
      <c r="F76" s="599"/>
    </row>
    <row r="77" spans="1:6" ht="10" customHeight="1">
      <c r="A77" s="595"/>
      <c r="B77" s="595"/>
      <c r="C77" s="600"/>
      <c r="D77" s="600"/>
      <c r="E77" s="596"/>
      <c r="F77" s="596"/>
    </row>
    <row r="78" spans="1:6">
      <c r="A78" s="1493" t="s">
        <v>1233</v>
      </c>
      <c r="B78" s="1494"/>
      <c r="C78" s="601">
        <f>C19+C28+C41+C46+C54+C59+C63+C66+C73+C76</f>
        <v>2072.9620929476791</v>
      </c>
      <c r="D78" s="601">
        <f>D19+D28+D41+D46+D54+D59+D63+D66+D73+D76</f>
        <v>0</v>
      </c>
      <c r="E78" s="601">
        <f>E19+E28+E41+E46+E54+E59+E63+E66+E73+E76</f>
        <v>0</v>
      </c>
      <c r="F78" s="602">
        <f>F19+F28+F41+F46+F54+F59+F63+F66+F73+F76</f>
        <v>0</v>
      </c>
    </row>
    <row r="79" spans="1:6" ht="26.15" customHeight="1">
      <c r="A79" s="603"/>
      <c r="B79" s="904"/>
      <c r="C79" s="604"/>
      <c r="D79" s="604"/>
      <c r="E79" s="604"/>
      <c r="F79" s="604"/>
    </row>
    <row r="80" spans="1:6">
      <c r="A80" s="1683" t="s">
        <v>1234</v>
      </c>
      <c r="B80" s="1684"/>
      <c r="C80" s="196" t="s">
        <v>870</v>
      </c>
      <c r="D80" s="196">
        <v>2022</v>
      </c>
      <c r="E80" s="196">
        <v>2023</v>
      </c>
      <c r="F80" s="1456">
        <v>2024</v>
      </c>
    </row>
    <row r="81" spans="1:8">
      <c r="A81" s="1465" t="s">
        <v>1235</v>
      </c>
      <c r="B81" s="1466"/>
      <c r="C81" s="1512">
        <f>+C12</f>
        <v>3290.242056403999</v>
      </c>
      <c r="D81" s="1495">
        <f>+D12</f>
        <v>1706.5530740456886</v>
      </c>
      <c r="E81" s="1495">
        <f>+E12</f>
        <v>1819.5286467848096</v>
      </c>
      <c r="F81" s="1496">
        <f>+F12</f>
        <v>1734.154484518619</v>
      </c>
    </row>
    <row r="82" spans="1:8">
      <c r="A82" s="546" t="s">
        <v>1236</v>
      </c>
      <c r="B82" s="547"/>
      <c r="C82" s="851">
        <f>'T3'!N197+'T3'!O197</f>
        <v>-195.09333669049045</v>
      </c>
      <c r="D82" s="851">
        <f>'T3'!P197</f>
        <v>0</v>
      </c>
      <c r="E82" s="851">
        <f>'T3'!Q197</f>
        <v>0</v>
      </c>
      <c r="F82" s="857">
        <f>'T3'!R197</f>
        <v>0</v>
      </c>
      <c r="H82" s="856"/>
    </row>
    <row r="83" spans="1:8">
      <c r="A83" s="546" t="s">
        <v>1237</v>
      </c>
      <c r="B83" s="547"/>
      <c r="C83" s="851">
        <f>'T3'!N208+'T3'!O208</f>
        <v>0</v>
      </c>
      <c r="D83" s="851">
        <f>'T3'!P208</f>
        <v>0</v>
      </c>
      <c r="E83" s="851">
        <f>'T3'!Q208</f>
        <v>0</v>
      </c>
      <c r="F83" s="857">
        <f>'T3'!R208</f>
        <v>0</v>
      </c>
      <c r="H83" s="856"/>
    </row>
    <row r="84" spans="1:8">
      <c r="A84" s="605" t="s">
        <v>1238</v>
      </c>
      <c r="B84" s="567"/>
      <c r="C84" s="851">
        <f>'T3'!N215+'T3'!N222+'T3'!N229+'T3'!N236+'T3'!N243+'T3'!N250+'T3'!N255+'T3'!O215+'T3'!O222+'T3'!O229+'T3'!O236+'T3'!O243+'T3'!O250+'T3'!N255</f>
        <v>0</v>
      </c>
      <c r="D84" s="851">
        <f>'T3'!P215+'T3'!P222+'T3'!P229+'T3'!P236+'T3'!P243+'T3'!P250+'T3'!P255</f>
        <v>0</v>
      </c>
      <c r="E84" s="851">
        <f>'T3'!Q215+'T3'!Q222+'T3'!Q229+'T3'!Q236+'T3'!Q243+'T3'!Q250+'T3'!Q255</f>
        <v>0</v>
      </c>
      <c r="F84" s="857">
        <f>'T3'!R215+'T3'!R222+'T3'!R229+'T3'!R236+'T3'!R243+'T3'!R250+'T3'!R255</f>
        <v>0</v>
      </c>
    </row>
    <row r="85" spans="1:8">
      <c r="A85" s="605" t="s">
        <v>1239</v>
      </c>
      <c r="B85" s="567"/>
      <c r="C85" s="851">
        <f>'T3'!N266+'T3'!O266</f>
        <v>0</v>
      </c>
      <c r="D85" s="851">
        <f>'T3'!P266</f>
        <v>0</v>
      </c>
      <c r="E85" s="851">
        <f>'T3'!Q266</f>
        <v>0</v>
      </c>
      <c r="F85" s="857">
        <f>'T3'!R266</f>
        <v>0</v>
      </c>
    </row>
    <row r="86" spans="1:8">
      <c r="A86" s="605" t="s">
        <v>1240</v>
      </c>
      <c r="B86" s="567"/>
      <c r="C86" s="851">
        <f>'T3'!N277+'T3'!O277</f>
        <v>0</v>
      </c>
      <c r="D86" s="851">
        <f>'T3'!P277</f>
        <v>0</v>
      </c>
      <c r="E86" s="851">
        <f>'T3'!Q277</f>
        <v>0</v>
      </c>
      <c r="F86" s="857">
        <f>'T3'!R277</f>
        <v>0</v>
      </c>
    </row>
    <row r="87" spans="1:8">
      <c r="A87" s="605" t="s">
        <v>1241</v>
      </c>
      <c r="B87" s="567"/>
      <c r="C87" s="851">
        <f>'T3'!N294+'T3'!O294</f>
        <v>-607.30663040301863</v>
      </c>
      <c r="D87" s="851">
        <f>'T3'!P294</f>
        <v>-260.49973548565725</v>
      </c>
      <c r="E87" s="893">
        <f>'T3'!Q294</f>
        <v>-235.05373897859653</v>
      </c>
      <c r="F87" s="857">
        <f>'T3'!R294</f>
        <v>0</v>
      </c>
    </row>
    <row r="88" spans="1:8">
      <c r="A88" s="564" t="s">
        <v>1242</v>
      </c>
      <c r="B88" s="565"/>
      <c r="C88" s="851">
        <f>'T3'!N305+'T3'!N316+'T3'!N327+'T3'!N338+'T3'!O305+'T3'!O316+'T3'!O327+'T3'!O338</f>
        <v>0</v>
      </c>
      <c r="D88" s="851">
        <f>'T3'!P305+'T3'!P316+'T3'!P327+'T3'!P338</f>
        <v>0</v>
      </c>
      <c r="E88" s="851">
        <f>'T3'!Q305+'T3'!Q316+'T3'!Q327+'T3'!Q338</f>
        <v>0</v>
      </c>
      <c r="F88" s="857">
        <f>'T3'!R305+'T3'!R316+'T3'!R327+'T3'!R338</f>
        <v>0</v>
      </c>
    </row>
    <row r="89" spans="1:8">
      <c r="A89" s="564" t="s">
        <v>1243</v>
      </c>
      <c r="B89" s="565"/>
      <c r="C89" s="851">
        <f>'T3'!N352+'T3'!O352</f>
        <v>0</v>
      </c>
      <c r="D89" s="851">
        <f>'T3'!P352</f>
        <v>0</v>
      </c>
      <c r="E89" s="851">
        <f>'T3'!Q352</f>
        <v>0</v>
      </c>
      <c r="F89" s="857">
        <f>'T3'!R352</f>
        <v>0</v>
      </c>
    </row>
    <row r="90" spans="1:8">
      <c r="A90" s="605" t="s">
        <v>1244</v>
      </c>
      <c r="B90" s="606"/>
      <c r="C90" s="852">
        <f>'T3'!N345+'T3'!O345</f>
        <v>0</v>
      </c>
      <c r="D90" s="852">
        <f>'T3'!P345</f>
        <v>0</v>
      </c>
      <c r="E90" s="852">
        <f>'T3'!Q345</f>
        <v>296.13744184966845</v>
      </c>
      <c r="F90" s="858">
        <f>'T3'!R345</f>
        <v>296.13744184966845</v>
      </c>
    </row>
    <row r="91" spans="1:8">
      <c r="A91" s="1497" t="s">
        <v>1245</v>
      </c>
      <c r="B91" s="1498"/>
      <c r="C91" s="1499">
        <f>SUM(C81:C90)</f>
        <v>2487.8420893104899</v>
      </c>
      <c r="D91" s="1499">
        <f>SUM(D81:D90)</f>
        <v>1446.0533385600313</v>
      </c>
      <c r="E91" s="1499">
        <f>SUM(E81:E90)</f>
        <v>1880.6123496558814</v>
      </c>
      <c r="F91" s="1513">
        <f>SUM(F81:F90)</f>
        <v>2030.2919263682875</v>
      </c>
    </row>
    <row r="92" spans="1:8">
      <c r="A92" s="1500" t="s">
        <v>1246</v>
      </c>
      <c r="B92" s="1501"/>
      <c r="C92" s="1502">
        <f>'MET TRM'!J68</f>
        <v>147.51144028384689</v>
      </c>
      <c r="D92" s="1502">
        <f>'MET TRM'!K68</f>
        <v>136</v>
      </c>
      <c r="E92" s="1502">
        <f>'MET TRM'!L68</f>
        <v>163</v>
      </c>
      <c r="F92" s="1502">
        <f>'MET TRM'!M68</f>
        <v>188</v>
      </c>
    </row>
    <row r="93" spans="1:8">
      <c r="A93" s="1500" t="s">
        <v>1247</v>
      </c>
      <c r="B93" s="1501"/>
      <c r="C93" s="1503">
        <f>C91/C92</f>
        <v>16.865417926387902</v>
      </c>
      <c r="D93" s="1503">
        <f>D91/D92</f>
        <v>10.632745136470819</v>
      </c>
      <c r="E93" s="1503">
        <f>E91/E92</f>
        <v>11.537499077643444</v>
      </c>
      <c r="F93" s="1574">
        <f>F91/F92</f>
        <v>10.799425140256849</v>
      </c>
    </row>
    <row r="94" spans="1:8">
      <c r="A94" s="1500" t="s">
        <v>1248</v>
      </c>
      <c r="B94" s="1501"/>
      <c r="C94" s="1504"/>
      <c r="D94" s="1504"/>
      <c r="E94" s="1505"/>
      <c r="F94" s="1506"/>
    </row>
    <row r="95" spans="1:8" ht="10" customHeight="1">
      <c r="A95" s="595"/>
      <c r="B95" s="595"/>
      <c r="C95" s="600"/>
      <c r="D95" s="600"/>
      <c r="E95" s="600"/>
      <c r="F95" s="600"/>
    </row>
    <row r="96" spans="1:8">
      <c r="A96" s="1507" t="s">
        <v>1249</v>
      </c>
      <c r="B96" s="1494"/>
      <c r="C96" s="609">
        <f>C93+C94</f>
        <v>16.865417926387902</v>
      </c>
      <c r="D96" s="609">
        <f>+D93+D94</f>
        <v>10.632745136470819</v>
      </c>
      <c r="E96" s="609">
        <f>+E93+E94</f>
        <v>11.537499077643444</v>
      </c>
      <c r="F96" s="1572">
        <f>+F93+F94</f>
        <v>10.799425140256849</v>
      </c>
    </row>
    <row r="97" spans="1:9" s="198" customFormat="1">
      <c r="A97" s="603"/>
      <c r="B97" s="904"/>
      <c r="C97" s="610"/>
      <c r="D97" s="610"/>
      <c r="E97" s="610"/>
      <c r="F97" s="610"/>
      <c r="G97" s="194"/>
      <c r="H97" s="194"/>
      <c r="I97" s="194"/>
    </row>
    <row r="98" spans="1:9" s="197" customFormat="1">
      <c r="A98" s="903" t="s">
        <v>1250</v>
      </c>
      <c r="B98" s="906"/>
      <c r="C98" s="907"/>
      <c r="D98" s="907"/>
      <c r="E98" s="907"/>
      <c r="F98" s="907"/>
    </row>
    <row r="99" spans="1:9" s="197" customFormat="1" ht="13" customHeight="1">
      <c r="A99" s="908" t="s">
        <v>1251</v>
      </c>
      <c r="B99" s="906"/>
      <c r="C99" s="886"/>
      <c r="D99" s="907"/>
      <c r="E99" s="907"/>
      <c r="F99" s="886"/>
    </row>
    <row r="100" spans="1:9" s="197" customFormat="1" ht="13" customHeight="1">
      <c r="A100" s="957" t="s">
        <v>1252</v>
      </c>
      <c r="B100" s="906"/>
      <c r="C100" s="891">
        <v>6.283018622987389</v>
      </c>
      <c r="D100" s="907"/>
      <c r="E100" s="907"/>
      <c r="F100" s="612"/>
    </row>
    <row r="101" spans="1:9" s="197" customFormat="1" ht="13" customHeight="1">
      <c r="A101" s="957" t="s">
        <v>1258</v>
      </c>
      <c r="B101" s="906"/>
      <c r="C101" s="891">
        <v>6.0702438751946923</v>
      </c>
      <c r="D101" s="907"/>
      <c r="E101" s="907"/>
      <c r="F101" s="612"/>
    </row>
    <row r="102" spans="1:9" s="197" customFormat="1">
      <c r="A102" s="957" t="s">
        <v>1259</v>
      </c>
      <c r="B102" s="904"/>
      <c r="C102" s="891">
        <v>0</v>
      </c>
      <c r="D102" s="886"/>
      <c r="E102" s="886"/>
      <c r="F102" s="904"/>
    </row>
    <row r="103" spans="1:9" s="197" customFormat="1">
      <c r="A103" s="957" t="s">
        <v>1260</v>
      </c>
      <c r="B103" s="904"/>
      <c r="C103" s="891">
        <v>0</v>
      </c>
      <c r="D103" s="904"/>
      <c r="E103" s="904"/>
      <c r="F103" s="904"/>
    </row>
    <row r="104" spans="1:9" s="197" customFormat="1">
      <c r="A104" s="957" t="s">
        <v>1256</v>
      </c>
      <c r="B104" s="904"/>
      <c r="C104" s="889">
        <v>189.6</v>
      </c>
      <c r="D104" s="904"/>
      <c r="E104" s="604"/>
      <c r="F104" s="904"/>
    </row>
    <row r="105" spans="1:9" s="197" customFormat="1">
      <c r="A105" s="957" t="s">
        <v>1257</v>
      </c>
      <c r="B105" s="904"/>
      <c r="C105" s="889">
        <v>195.6</v>
      </c>
      <c r="D105" s="904"/>
      <c r="E105" s="904"/>
      <c r="F105" s="904"/>
    </row>
    <row r="106" spans="1:9" s="197" customFormat="1">
      <c r="A106" s="903" t="s">
        <v>1177</v>
      </c>
      <c r="B106" s="906"/>
      <c r="C106" s="907"/>
      <c r="D106" s="907"/>
      <c r="E106" s="907"/>
      <c r="F106" s="907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A663-9494-41D0-8ACD-F0E4708925A5}">
  <sheetPr>
    <tabColor theme="7"/>
    <pageSetUpPr fitToPage="1"/>
  </sheetPr>
  <dimension ref="A1:J106"/>
  <sheetViews>
    <sheetView topLeftCell="A58" zoomScaleNormal="100" workbookViewId="0">
      <selection activeCell="H98" sqref="H98"/>
    </sheetView>
  </sheetViews>
  <sheetFormatPr defaultColWidth="8.81640625" defaultRowHeight="13"/>
  <cols>
    <col min="1" max="1" width="24" style="528" customWidth="1"/>
    <col min="2" max="2" width="49.54296875" style="528" customWidth="1"/>
    <col min="3" max="6" width="12.54296875" style="528" customWidth="1"/>
    <col min="7" max="16384" width="8.81640625" style="194"/>
  </cols>
  <sheetData>
    <row r="1" spans="1:10">
      <c r="A1" s="1680" t="s">
        <v>1178</v>
      </c>
      <c r="B1" s="1680"/>
      <c r="C1" s="1680"/>
      <c r="D1" s="1680"/>
      <c r="E1" s="1680"/>
      <c r="F1" s="1680"/>
    </row>
    <row r="2" spans="1:10">
      <c r="A2" s="1654"/>
      <c r="B2" s="1654"/>
      <c r="C2" s="903"/>
      <c r="D2" s="903"/>
      <c r="E2" s="903"/>
      <c r="F2" s="529"/>
    </row>
    <row r="3" spans="1:10">
      <c r="A3" s="1455" t="s">
        <v>985</v>
      </c>
      <c r="B3" s="530"/>
      <c r="C3" s="194"/>
      <c r="D3" s="195"/>
      <c r="E3" s="194"/>
      <c r="F3" s="194"/>
    </row>
    <row r="4" spans="1:10">
      <c r="A4" s="531" t="s">
        <v>986</v>
      </c>
      <c r="B4" s="530"/>
      <c r="C4" s="194"/>
      <c r="D4" s="195"/>
      <c r="E4" s="194"/>
      <c r="F4" s="194"/>
    </row>
    <row r="5" spans="1:10">
      <c r="A5" s="532" t="s">
        <v>1038</v>
      </c>
      <c r="B5" s="533"/>
      <c r="C5" s="1681" t="s">
        <v>1179</v>
      </c>
      <c r="D5" s="1681"/>
      <c r="E5" s="1681"/>
      <c r="F5" s="1682"/>
    </row>
    <row r="6" spans="1:10">
      <c r="A6" s="530"/>
      <c r="B6" s="530"/>
      <c r="C6" s="903"/>
      <c r="D6" s="903"/>
      <c r="E6" s="903"/>
      <c r="F6" s="903"/>
    </row>
    <row r="7" spans="1:10">
      <c r="A7" s="1683" t="s">
        <v>1180</v>
      </c>
      <c r="B7" s="1684"/>
      <c r="C7" s="196" t="s">
        <v>870</v>
      </c>
      <c r="D7" s="196">
        <v>2022</v>
      </c>
      <c r="E7" s="196">
        <v>2023</v>
      </c>
      <c r="F7" s="1456">
        <v>2024</v>
      </c>
    </row>
    <row r="8" spans="1:10">
      <c r="A8" s="904"/>
      <c r="B8" s="904"/>
      <c r="C8" s="904"/>
      <c r="D8" s="904"/>
      <c r="E8" s="904"/>
      <c r="F8" s="904"/>
    </row>
    <row r="9" spans="1:10" s="197" customFormat="1">
      <c r="A9" s="534" t="s">
        <v>992</v>
      </c>
      <c r="B9" s="534"/>
      <c r="C9" s="535"/>
      <c r="D9" s="535"/>
      <c r="E9" s="535"/>
      <c r="F9" s="535"/>
    </row>
    <row r="10" spans="1:10" ht="3" customHeight="1">
      <c r="A10" s="904"/>
      <c r="B10" s="904"/>
      <c r="C10" s="904"/>
      <c r="D10" s="904"/>
      <c r="E10" s="904"/>
      <c r="F10" s="904"/>
    </row>
    <row r="11" spans="1:10">
      <c r="A11" s="1457" t="s">
        <v>1181</v>
      </c>
      <c r="B11" s="1458"/>
      <c r="C11" s="536"/>
      <c r="D11" s="536"/>
      <c r="E11" s="536"/>
      <c r="F11" s="1459"/>
    </row>
    <row r="12" spans="1:10">
      <c r="A12" s="537" t="s">
        <v>1182</v>
      </c>
      <c r="B12" s="986"/>
      <c r="C12" s="538">
        <f>'Supervision ERT'!J61</f>
        <v>27226.671989588565</v>
      </c>
      <c r="D12" s="538">
        <f>'Supervision ERT'!K61</f>
        <v>14852.594956313955</v>
      </c>
      <c r="E12" s="538">
        <f>'Supervision ERT'!L61</f>
        <v>15330.941597345885</v>
      </c>
      <c r="F12" s="538">
        <f>'Supervision ERT'!M61</f>
        <v>15654.581970577146</v>
      </c>
    </row>
    <row r="13" spans="1:10" ht="3" customHeight="1">
      <c r="A13" s="904"/>
      <c r="B13" s="904"/>
      <c r="C13" s="539"/>
      <c r="D13" s="539"/>
      <c r="E13" s="539"/>
      <c r="F13" s="539"/>
    </row>
    <row r="14" spans="1:10">
      <c r="A14" s="1460" t="s">
        <v>1183</v>
      </c>
      <c r="B14" s="1461"/>
      <c r="C14" s="540"/>
      <c r="D14" s="540"/>
      <c r="E14" s="540"/>
      <c r="F14" s="1462"/>
    </row>
    <row r="15" spans="1:10">
      <c r="A15" s="1463" t="s">
        <v>1184</v>
      </c>
      <c r="B15" s="1464"/>
      <c r="C15" s="545"/>
      <c r="D15" s="1518"/>
      <c r="E15" s="1518"/>
      <c r="F15" s="1519"/>
      <c r="G15" s="198"/>
      <c r="H15" s="198"/>
      <c r="I15" s="198"/>
      <c r="J15" s="198"/>
    </row>
    <row r="16" spans="1:10">
      <c r="A16" s="543" t="s">
        <v>1185</v>
      </c>
      <c r="B16" s="544"/>
      <c r="C16" s="545"/>
      <c r="D16" s="873"/>
      <c r="E16" s="873"/>
      <c r="F16" s="874"/>
    </row>
    <row r="17" spans="1:6">
      <c r="A17" s="546" t="s">
        <v>1186</v>
      </c>
      <c r="B17" s="547"/>
      <c r="C17" s="205"/>
      <c r="D17" s="875"/>
      <c r="E17" s="875"/>
      <c r="F17" s="876"/>
    </row>
    <row r="18" spans="1:6">
      <c r="A18" s="549" t="s">
        <v>1187</v>
      </c>
      <c r="B18" s="989"/>
      <c r="C18" s="204"/>
      <c r="D18" s="204"/>
      <c r="E18" s="875"/>
      <c r="F18" s="876"/>
    </row>
    <row r="19" spans="1:6">
      <c r="A19" s="552" t="s">
        <v>1188</v>
      </c>
      <c r="B19" s="990"/>
      <c r="C19" s="877"/>
      <c r="D19" s="877"/>
      <c r="E19" s="877"/>
      <c r="F19" s="878"/>
    </row>
    <row r="20" spans="1:6" ht="3" customHeight="1">
      <c r="A20" s="904"/>
      <c r="B20" s="904"/>
      <c r="C20" s="904"/>
      <c r="D20" s="904"/>
      <c r="E20" s="904"/>
      <c r="F20" s="904"/>
    </row>
    <row r="21" spans="1:6">
      <c r="A21" s="1457" t="s">
        <v>1189</v>
      </c>
      <c r="B21" s="1458"/>
      <c r="C21" s="536"/>
      <c r="D21" s="536"/>
      <c r="E21" s="536"/>
      <c r="F21" s="1459"/>
    </row>
    <row r="22" spans="1:6">
      <c r="A22" s="1465" t="s">
        <v>1190</v>
      </c>
      <c r="B22" s="1466"/>
      <c r="C22" s="205"/>
      <c r="D22" s="854"/>
      <c r="E22" s="205"/>
      <c r="F22" s="1520"/>
    </row>
    <row r="23" spans="1:6">
      <c r="A23" s="557" t="s">
        <v>1191</v>
      </c>
      <c r="B23" s="558"/>
      <c r="C23" s="905">
        <f>SUMIFS('UR Control'!$M77:$V77,'UR Control'!$M$8:$V$8,C$7)</f>
        <v>0</v>
      </c>
      <c r="D23" s="905">
        <f>SUMIFS('UR Control'!$M77:$V77,'UR Control'!$M$8:$V$8,D$7)</f>
        <v>0</v>
      </c>
      <c r="E23" s="905">
        <f>SUMIFS('UR Control'!$M77:$V77,'UR Control'!$M$8:$V$8,E$7)</f>
        <v>0</v>
      </c>
      <c r="F23" s="841">
        <f>SUMIFS('UR Control'!$M77:$V77,'UR Control'!$M$8:$V$8,F$7)</f>
        <v>0</v>
      </c>
    </row>
    <row r="24" spans="1:6">
      <c r="A24" s="557" t="s">
        <v>1192</v>
      </c>
      <c r="B24" s="558"/>
      <c r="C24" s="905">
        <f>SUMIFS('UR Control'!$M78:$V78,'UR Control'!$M$8:$V$8,C$7)</f>
        <v>0</v>
      </c>
      <c r="D24" s="905">
        <f>SUMIFS('UR Control'!$M78:$V78,'UR Control'!$M$8:$V$8,D$7)</f>
        <v>0</v>
      </c>
      <c r="E24" s="905">
        <f>SUMIFS('UR Control'!$M78:$V78,'UR Control'!$M$8:$V$8,E$7)</f>
        <v>0</v>
      </c>
      <c r="F24" s="841">
        <f>SUMIFS('UR Control'!$M78:$V78,'UR Control'!$M$8:$V$8,F$7)</f>
        <v>0</v>
      </c>
    </row>
    <row r="25" spans="1:6">
      <c r="A25" s="560" t="s">
        <v>1193</v>
      </c>
      <c r="B25" s="558"/>
      <c r="C25" s="205"/>
      <c r="D25" s="854"/>
      <c r="E25" s="205"/>
      <c r="F25" s="855"/>
    </row>
    <row r="26" spans="1:6">
      <c r="A26" s="560" t="s">
        <v>1194</v>
      </c>
      <c r="B26" s="558"/>
      <c r="C26" s="205"/>
      <c r="D26" s="854"/>
      <c r="E26" s="205"/>
      <c r="F26" s="855"/>
    </row>
    <row r="27" spans="1:6">
      <c r="A27" s="560" t="s">
        <v>1195</v>
      </c>
      <c r="B27" s="558"/>
      <c r="C27" s="205"/>
      <c r="D27" s="854"/>
      <c r="E27" s="205"/>
      <c r="F27" s="879"/>
    </row>
    <row r="28" spans="1:6">
      <c r="A28" s="1471" t="s">
        <v>1196</v>
      </c>
      <c r="B28" s="1472"/>
      <c r="C28" s="553">
        <f>SUM(C22:C27)</f>
        <v>0</v>
      </c>
      <c r="D28" s="554">
        <f>SUM(D22:D27)</f>
        <v>0</v>
      </c>
      <c r="E28" s="553">
        <f>SUM(E22:E27)</f>
        <v>0</v>
      </c>
      <c r="F28" s="594">
        <f>SUM(F22:F27)</f>
        <v>0</v>
      </c>
    </row>
    <row r="29" spans="1:6" ht="10.9" customHeight="1">
      <c r="A29" s="903"/>
      <c r="B29" s="903"/>
      <c r="C29" s="903"/>
      <c r="D29" s="903"/>
      <c r="E29" s="903"/>
      <c r="F29" s="903"/>
    </row>
    <row r="30" spans="1:6" s="197" customFormat="1">
      <c r="A30" s="534" t="s">
        <v>1010</v>
      </c>
      <c r="B30" s="534"/>
      <c r="C30" s="535"/>
      <c r="D30" s="535"/>
      <c r="E30" s="535"/>
      <c r="F30" s="535"/>
    </row>
    <row r="31" spans="1:6" ht="1.9" customHeight="1">
      <c r="A31" s="904"/>
      <c r="B31" s="904"/>
      <c r="C31" s="904"/>
      <c r="D31" s="904"/>
      <c r="E31" s="904"/>
      <c r="F31" s="904"/>
    </row>
    <row r="32" spans="1:6">
      <c r="A32" s="1457" t="s">
        <v>1197</v>
      </c>
      <c r="B32" s="1458"/>
      <c r="C32" s="536"/>
      <c r="D32" s="536"/>
      <c r="E32" s="536"/>
      <c r="F32" s="1459"/>
    </row>
    <row r="33" spans="1:6">
      <c r="A33" s="564" t="s">
        <v>1198</v>
      </c>
      <c r="B33" s="565"/>
      <c r="C33" s="545"/>
      <c r="D33" s="545"/>
      <c r="E33" s="880"/>
      <c r="F33" s="881"/>
    </row>
    <row r="34" spans="1:6">
      <c r="A34" s="566" t="s">
        <v>1199</v>
      </c>
      <c r="B34" s="567"/>
      <c r="C34" s="882"/>
      <c r="D34" s="882"/>
      <c r="E34" s="859"/>
      <c r="F34" s="860"/>
    </row>
    <row r="35" spans="1:6">
      <c r="A35" s="566" t="s">
        <v>1200</v>
      </c>
      <c r="B35" s="567"/>
      <c r="C35" s="882"/>
      <c r="D35" s="882"/>
      <c r="E35" s="859"/>
      <c r="F35" s="860"/>
    </row>
    <row r="36" spans="1:6">
      <c r="A36" s="566" t="s">
        <v>1201</v>
      </c>
      <c r="B36" s="567"/>
      <c r="C36" s="882"/>
      <c r="D36" s="882"/>
      <c r="E36" s="859"/>
      <c r="F36" s="860"/>
    </row>
    <row r="37" spans="1:6">
      <c r="A37" s="566" t="s">
        <v>1202</v>
      </c>
      <c r="B37" s="567"/>
      <c r="C37" s="883"/>
      <c r="D37" s="883"/>
      <c r="E37" s="859"/>
      <c r="F37" s="860"/>
    </row>
    <row r="38" spans="1:6">
      <c r="A38" s="546" t="s">
        <v>1203</v>
      </c>
      <c r="B38" s="547"/>
      <c r="C38" s="826">
        <f>'Supervision ERT'!J68</f>
        <v>4060.2902946000004</v>
      </c>
      <c r="D38" s="826">
        <f>'Supervision ERT'!K68</f>
        <v>3202</v>
      </c>
      <c r="E38" s="826">
        <f>'Supervision ERT'!L68</f>
        <v>4039</v>
      </c>
      <c r="F38" s="826">
        <f>'Supervision ERT'!M68</f>
        <v>4726</v>
      </c>
    </row>
    <row r="39" spans="1:6">
      <c r="A39" s="566" t="s">
        <v>1204</v>
      </c>
      <c r="B39" s="567"/>
      <c r="C39" s="207"/>
      <c r="D39" s="207"/>
      <c r="E39" s="207"/>
      <c r="F39" s="840"/>
    </row>
    <row r="40" spans="1:6">
      <c r="A40" s="570" t="s">
        <v>1205</v>
      </c>
      <c r="B40" s="994"/>
      <c r="C40" s="862"/>
      <c r="D40" s="862"/>
      <c r="E40" s="863"/>
      <c r="F40" s="868"/>
    </row>
    <row r="41" spans="1:6">
      <c r="A41" s="552" t="s">
        <v>1206</v>
      </c>
      <c r="B41" s="990"/>
      <c r="C41" s="864"/>
      <c r="D41" s="864"/>
      <c r="E41" s="864"/>
      <c r="F41" s="865"/>
    </row>
    <row r="42" spans="1:6" ht="3" customHeight="1">
      <c r="A42" s="904"/>
      <c r="B42" s="904"/>
      <c r="C42" s="904"/>
      <c r="D42" s="904"/>
      <c r="E42" s="904"/>
      <c r="F42" s="904"/>
    </row>
    <row r="43" spans="1:6">
      <c r="A43" s="1460" t="s">
        <v>1207</v>
      </c>
      <c r="B43" s="1461"/>
      <c r="C43" s="536"/>
      <c r="D43" s="536"/>
      <c r="E43" s="536"/>
      <c r="F43" s="1459"/>
    </row>
    <row r="44" spans="1:6">
      <c r="A44" s="1473" t="s">
        <v>1208</v>
      </c>
      <c r="B44" s="1474"/>
      <c r="C44" s="572"/>
      <c r="D44" s="572"/>
      <c r="E44" s="572"/>
      <c r="F44" s="573"/>
    </row>
    <row r="45" spans="1:6">
      <c r="A45" s="574" t="s">
        <v>1209</v>
      </c>
      <c r="B45" s="575"/>
      <c r="C45" s="838">
        <f>IF('Supervision ERT'!Q68=0,0,(('T3'!E374+'T3'!E385+'T3'!E443+'T3'!E454+'T3'!E471+'T3'!E482+'T3'!E493+'T3'!E504+'T3'!E515)+('T3'!F374+'T3'!F385+'T3'!F443+'T3'!F454+'T3'!F471+'T3'!F482+'T3'!F493+'T3'!F504+'T3'!F515))*-(('Supervision ERT'!Q68)/'Supervision ERT'!J68-1))</f>
        <v>0</v>
      </c>
      <c r="D45" s="838">
        <f>IF('Supervision ERT'!R68=0,0,(('T3'!G374+'T3'!G385+'T3'!G443+'T3'!G454+'T3'!G471+'T3'!G482+'T3'!G493+'T3'!G504+'T3'!G515))*-(('Supervision ERT'!R68)/'Supervision ERT'!K68-1))</f>
        <v>0</v>
      </c>
      <c r="E45" s="838">
        <f>IF('Supervision ERT'!S68=0,0,(('T3'!H374+'T3'!H385+'T3'!H443+'T3'!H454+'T3'!H471+'T3'!H482+'T3'!H493+'T3'!H504+'T3'!H515))*-(('Supervision ERT'!S68)/'Supervision ERT'!L68-1))</f>
        <v>0</v>
      </c>
      <c r="F45" s="847">
        <f>IF('Supervision ERT'!T68=0,0,(('T3'!I374+'T3'!I385+'T3'!I443+'T3'!I454+'T3'!I471+'T3'!I482+'T3'!I493+'T3'!I504+'T3'!I515))*-(('Supervision ERT'!T68)/'Supervision ERT'!M68-1))</f>
        <v>0</v>
      </c>
    </row>
    <row r="46" spans="1:6">
      <c r="A46" s="1471" t="s">
        <v>1210</v>
      </c>
      <c r="B46" s="1472"/>
      <c r="C46" s="553">
        <f>SUM(C44:C45)</f>
        <v>0</v>
      </c>
      <c r="D46" s="553">
        <f>SUM(D44:D45)</f>
        <v>0</v>
      </c>
      <c r="E46" s="553">
        <f>SUM(E44:E45)</f>
        <v>0</v>
      </c>
      <c r="F46" s="594">
        <f>SUM(F44:F45)</f>
        <v>0</v>
      </c>
    </row>
    <row r="47" spans="1:6" ht="10.9" customHeight="1">
      <c r="A47" s="903"/>
      <c r="B47" s="903"/>
      <c r="C47" s="903"/>
      <c r="D47" s="903"/>
      <c r="E47" s="903"/>
      <c r="F47" s="903"/>
    </row>
    <row r="48" spans="1:6" s="197" customFormat="1">
      <c r="A48" s="534" t="s">
        <v>1016</v>
      </c>
      <c r="B48" s="534"/>
      <c r="C48" s="535"/>
      <c r="D48" s="535"/>
      <c r="E48" s="535"/>
      <c r="F48" s="535"/>
    </row>
    <row r="49" spans="1:10" ht="3.65" customHeight="1">
      <c r="A49" s="904"/>
      <c r="B49" s="904"/>
      <c r="C49" s="904"/>
      <c r="D49" s="904"/>
      <c r="E49" s="904"/>
      <c r="F49" s="904"/>
    </row>
    <row r="50" spans="1:10">
      <c r="A50" s="1457" t="s">
        <v>1211</v>
      </c>
      <c r="B50" s="1458"/>
      <c r="C50" s="536"/>
      <c r="D50" s="536"/>
      <c r="E50" s="536"/>
      <c r="F50" s="1459"/>
      <c r="H50" s="197"/>
      <c r="I50" s="197"/>
      <c r="J50" s="197"/>
    </row>
    <row r="51" spans="1:10">
      <c r="A51" s="566" t="s">
        <v>1212</v>
      </c>
      <c r="B51" s="567"/>
      <c r="C51" s="559"/>
      <c r="D51" s="884"/>
      <c r="E51" s="859"/>
      <c r="F51" s="860"/>
    </row>
    <row r="52" spans="1:10">
      <c r="A52" s="566" t="s">
        <v>1213</v>
      </c>
      <c r="B52" s="567"/>
      <c r="C52" s="559"/>
      <c r="D52" s="884"/>
      <c r="E52" s="859"/>
      <c r="F52" s="860"/>
      <c r="H52" s="197"/>
      <c r="I52" s="197"/>
      <c r="J52" s="197"/>
    </row>
    <row r="53" spans="1:10">
      <c r="A53" s="564" t="s">
        <v>1214</v>
      </c>
      <c r="B53" s="565"/>
      <c r="C53" s="559"/>
      <c r="D53" s="884"/>
      <c r="E53" s="880"/>
      <c r="F53" s="881"/>
    </row>
    <row r="54" spans="1:10" s="202" customFormat="1">
      <c r="A54" s="1471" t="s">
        <v>1215</v>
      </c>
      <c r="B54" s="1472"/>
      <c r="C54" s="206"/>
      <c r="D54" s="1521"/>
      <c r="E54" s="1521"/>
      <c r="F54" s="1522"/>
      <c r="H54" s="197"/>
      <c r="I54" s="197"/>
      <c r="J54" s="197"/>
    </row>
    <row r="55" spans="1:10" ht="12" customHeight="1">
      <c r="A55" s="904"/>
      <c r="B55" s="904"/>
      <c r="C55" s="904"/>
      <c r="D55" s="904"/>
      <c r="E55" s="904"/>
      <c r="F55" s="904"/>
    </row>
    <row r="56" spans="1:10" s="197" customFormat="1">
      <c r="A56" s="534" t="s">
        <v>1026</v>
      </c>
      <c r="B56" s="534"/>
      <c r="C56" s="578"/>
      <c r="D56" s="578"/>
      <c r="E56" s="535"/>
      <c r="F56" s="535"/>
    </row>
    <row r="57" spans="1:10" ht="3.65" customHeight="1">
      <c r="A57" s="904"/>
      <c r="B57" s="904"/>
      <c r="C57" s="904"/>
      <c r="D57" s="904"/>
      <c r="E57" s="904"/>
      <c r="F57" s="904"/>
    </row>
    <row r="58" spans="1:10">
      <c r="A58" s="1457" t="s">
        <v>1216</v>
      </c>
      <c r="B58" s="1458"/>
      <c r="C58" s="536"/>
      <c r="D58" s="536"/>
      <c r="E58" s="536"/>
      <c r="F58" s="1459"/>
    </row>
    <row r="59" spans="1:10" s="203" customFormat="1">
      <c r="A59" s="1471" t="s">
        <v>1217</v>
      </c>
      <c r="B59" s="1472"/>
      <c r="C59" s="555">
        <f>SUMIFS('UR Control'!$M$152:$V$152,'UR Control'!$M$8:$V$8,C7)</f>
        <v>0</v>
      </c>
      <c r="D59" s="848">
        <f>SUMIFS('UR Control'!$M$152:$V$152,'UR Control'!$M$8:$V$8,D7)</f>
        <v>0</v>
      </c>
      <c r="E59" s="555">
        <f>SUMIFS('UR Control'!$M$152:$V$152,'UR Control'!$M$8:$V$8,E7)</f>
        <v>0</v>
      </c>
      <c r="F59" s="556">
        <f>SUMIFS('UR Control'!$M$152:$V$152,'UR Control'!$M$8:$V$8,F7)</f>
        <v>0</v>
      </c>
    </row>
    <row r="60" spans="1:10" ht="3.65" customHeight="1">
      <c r="A60" s="904"/>
      <c r="B60" s="904"/>
      <c r="C60" s="904"/>
      <c r="D60" s="904"/>
      <c r="E60" s="904"/>
      <c r="F60" s="565"/>
    </row>
    <row r="61" spans="1:10">
      <c r="A61" s="1457" t="s">
        <v>1218</v>
      </c>
      <c r="B61" s="1458"/>
      <c r="C61" s="536"/>
      <c r="D61" s="536"/>
      <c r="E61" s="536"/>
      <c r="F61" s="1459"/>
    </row>
    <row r="62" spans="1:10">
      <c r="A62" s="1476" t="s">
        <v>1219</v>
      </c>
      <c r="B62" s="1477"/>
      <c r="C62" s="581" t="s">
        <v>1220</v>
      </c>
      <c r="D62" s="579"/>
      <c r="E62" s="582"/>
      <c r="F62" s="1478"/>
    </row>
    <row r="63" spans="1:10">
      <c r="A63" s="1479" t="s">
        <v>1221</v>
      </c>
      <c r="B63" s="1480"/>
      <c r="C63" s="981">
        <f>C93*'Supervision ERT'!J68-(C100*'Supervision ERT'!O68+C101*'Supervision ERT'!P68) -'T3'!D460-'T3'!D461-(('T3'!D460/-('Supervision ERT'!O68/C104-1)+'T3'!D261/-('Supervision ERT'!P68/C105-1))*C40)</f>
        <v>12662.769070324577</v>
      </c>
      <c r="D63" s="848"/>
      <c r="E63" s="555"/>
      <c r="F63" s="556"/>
    </row>
    <row r="64" spans="1:10" ht="3" customHeight="1">
      <c r="A64" s="904"/>
      <c r="B64" s="904"/>
      <c r="C64" s="904"/>
      <c r="D64" s="904"/>
      <c r="E64" s="904"/>
      <c r="F64" s="904"/>
    </row>
    <row r="65" spans="1:6">
      <c r="A65" s="1457" t="s">
        <v>1222</v>
      </c>
      <c r="B65" s="1458"/>
      <c r="C65" s="536"/>
      <c r="D65" s="536"/>
      <c r="E65" s="536"/>
      <c r="F65" s="1459"/>
    </row>
    <row r="66" spans="1:6">
      <c r="A66" s="1479" t="s">
        <v>1223</v>
      </c>
      <c r="B66" s="1480"/>
      <c r="C66" s="585"/>
      <c r="D66" s="586"/>
      <c r="E66" s="587"/>
      <c r="F66" s="1482"/>
    </row>
    <row r="67" spans="1:6" ht="3" customHeight="1">
      <c r="A67" s="904"/>
      <c r="B67" s="904"/>
      <c r="C67" s="904"/>
      <c r="D67" s="904"/>
      <c r="E67" s="904"/>
      <c r="F67" s="904"/>
    </row>
    <row r="68" spans="1:6">
      <c r="A68" s="1457" t="s">
        <v>1224</v>
      </c>
      <c r="B68" s="1458"/>
      <c r="C68" s="1483"/>
      <c r="D68" s="1483"/>
      <c r="E68" s="1483"/>
      <c r="F68" s="1484"/>
    </row>
    <row r="69" spans="1:6">
      <c r="A69" s="1485" t="s">
        <v>1225</v>
      </c>
      <c r="B69" s="1486"/>
      <c r="C69" s="1487">
        <f>'UR Control'!S188</f>
        <v>0</v>
      </c>
      <c r="D69" s="1487">
        <f>'UR Control'!T188</f>
        <v>0</v>
      </c>
      <c r="E69" s="1510">
        <f>'UR Control'!U188</f>
        <v>0</v>
      </c>
      <c r="F69" s="1511">
        <f>'UR Control'!V188</f>
        <v>0</v>
      </c>
    </row>
    <row r="70" spans="1:6">
      <c r="A70" s="566" t="s">
        <v>1226</v>
      </c>
      <c r="B70" s="567"/>
      <c r="C70" s="588">
        <f>'UR Control'!S189</f>
        <v>0</v>
      </c>
      <c r="D70" s="588">
        <f>'UR Control'!T189</f>
        <v>0</v>
      </c>
      <c r="E70" s="849">
        <f>'UR Control'!U189</f>
        <v>0</v>
      </c>
      <c r="F70" s="850">
        <f>'UR Control'!V189</f>
        <v>0</v>
      </c>
    </row>
    <row r="71" spans="1:6">
      <c r="A71" s="566" t="s">
        <v>1227</v>
      </c>
      <c r="B71" s="567"/>
      <c r="C71" s="588">
        <f>'UR Control'!S190</f>
        <v>0</v>
      </c>
      <c r="D71" s="588">
        <f>'UR Control'!T190</f>
        <v>0</v>
      </c>
      <c r="E71" s="849">
        <f>'UR Control'!U190</f>
        <v>0</v>
      </c>
      <c r="F71" s="850">
        <f>'UR Control'!V190</f>
        <v>0</v>
      </c>
    </row>
    <row r="72" spans="1:6">
      <c r="A72" s="566" t="s">
        <v>1228</v>
      </c>
      <c r="B72" s="567"/>
      <c r="C72" s="591"/>
      <c r="D72" s="591"/>
      <c r="E72" s="592"/>
      <c r="F72" s="593"/>
    </row>
    <row r="73" spans="1:6">
      <c r="A73" s="1490" t="s">
        <v>1229</v>
      </c>
      <c r="B73" s="1491"/>
      <c r="C73" s="553">
        <f>SUM(C69:C72)</f>
        <v>0</v>
      </c>
      <c r="D73" s="553">
        <f>SUM(D69:D72)</f>
        <v>0</v>
      </c>
      <c r="E73" s="553">
        <f>SUM(E69:E72)</f>
        <v>0</v>
      </c>
      <c r="F73" s="594">
        <f>SUM(F69:F72)</f>
        <v>0</v>
      </c>
    </row>
    <row r="74" spans="1:6" ht="4" customHeight="1">
      <c r="A74" s="595"/>
      <c r="B74" s="595"/>
      <c r="C74" s="596"/>
      <c r="D74" s="596"/>
      <c r="E74" s="596"/>
      <c r="F74" s="596"/>
    </row>
    <row r="75" spans="1:6">
      <c r="A75" s="1457" t="s">
        <v>1230</v>
      </c>
      <c r="B75" s="1458"/>
      <c r="C75" s="1492" t="s">
        <v>1231</v>
      </c>
      <c r="D75" s="1483"/>
      <c r="E75" s="1483"/>
      <c r="F75" s="1484"/>
    </row>
    <row r="76" spans="1:6" s="203" customFormat="1">
      <c r="A76" s="1479" t="s">
        <v>1232</v>
      </c>
      <c r="B76" s="1480"/>
      <c r="C76" s="555"/>
      <c r="D76" s="597"/>
      <c r="E76" s="598"/>
      <c r="F76" s="599"/>
    </row>
    <row r="77" spans="1:6" ht="10" customHeight="1">
      <c r="A77" s="595"/>
      <c r="B77" s="595"/>
      <c r="C77" s="600"/>
      <c r="D77" s="600"/>
      <c r="E77" s="596"/>
      <c r="F77" s="596"/>
    </row>
    <row r="78" spans="1:6">
      <c r="A78" s="1493" t="s">
        <v>1233</v>
      </c>
      <c r="B78" s="1494"/>
      <c r="C78" s="601">
        <f>C19+C28+C41+C46+C54+C59+C63+C66+C73+C76</f>
        <v>12662.769070324577</v>
      </c>
      <c r="D78" s="601">
        <f>D19+D28+D41+D46+D54+D59+D63+D66+D73+D76</f>
        <v>0</v>
      </c>
      <c r="E78" s="601">
        <f>E19+E28+E41+E46+E54+E59+E63+E66+E73+E76</f>
        <v>0</v>
      </c>
      <c r="F78" s="602">
        <f>F19+F28+F41+F46+F54+F59+F63+F66+F73+F76</f>
        <v>0</v>
      </c>
    </row>
    <row r="79" spans="1:6" ht="26.15" customHeight="1">
      <c r="A79" s="603"/>
      <c r="B79" s="904"/>
      <c r="C79" s="604"/>
      <c r="D79" s="604"/>
      <c r="E79" s="604"/>
      <c r="F79" s="604"/>
    </row>
    <row r="80" spans="1:6">
      <c r="A80" s="1683" t="s">
        <v>1234</v>
      </c>
      <c r="B80" s="1684"/>
      <c r="C80" s="196" t="s">
        <v>870</v>
      </c>
      <c r="D80" s="196">
        <v>2022</v>
      </c>
      <c r="E80" s="196">
        <v>2023</v>
      </c>
      <c r="F80" s="1456">
        <v>2024</v>
      </c>
    </row>
    <row r="81" spans="1:6">
      <c r="A81" s="1465" t="s">
        <v>1235</v>
      </c>
      <c r="B81" s="1466"/>
      <c r="C81" s="1495">
        <f>+C12</f>
        <v>27226.671989588565</v>
      </c>
      <c r="D81" s="1495">
        <f>+D12</f>
        <v>14852.594956313955</v>
      </c>
      <c r="E81" s="1495">
        <f>+E12</f>
        <v>15330.941597345885</v>
      </c>
      <c r="F81" s="1496">
        <f>+F12</f>
        <v>15654.581970577146</v>
      </c>
    </row>
    <row r="82" spans="1:6">
      <c r="A82" s="546" t="s">
        <v>1236</v>
      </c>
      <c r="B82" s="547"/>
      <c r="C82" s="572">
        <f>'T3'!E374+'T3'!F374</f>
        <v>-1205.9599770919767</v>
      </c>
      <c r="D82" s="572">
        <f>'T3'!G374</f>
        <v>0</v>
      </c>
      <c r="E82" s="572">
        <f>'T3'!H374</f>
        <v>0</v>
      </c>
      <c r="F82" s="573">
        <f>'T3'!I374</f>
        <v>0</v>
      </c>
    </row>
    <row r="83" spans="1:6">
      <c r="A83" s="546" t="s">
        <v>1237</v>
      </c>
      <c r="B83" s="547"/>
      <c r="C83" s="572">
        <f>'T3'!E385+'T3'!F385</f>
        <v>0</v>
      </c>
      <c r="D83" s="572">
        <f>'T3'!G385</f>
        <v>0</v>
      </c>
      <c r="E83" s="572">
        <f>'T3'!G385+'T3'!H385</f>
        <v>0</v>
      </c>
      <c r="F83" s="573">
        <f>'T3'!H385+'T3'!I385</f>
        <v>0</v>
      </c>
    </row>
    <row r="84" spans="1:6">
      <c r="A84" s="605" t="s">
        <v>1238</v>
      </c>
      <c r="B84" s="567"/>
      <c r="C84" s="572">
        <f>'T3'!E392+'T3'!E399+'T3'!E406+'T3'!E413+'T3'!E420+'T3'!E427+'T3'!E432+'T3'!F392+'T3'!F399+'T3'!F406+'T3'!F413+'T3'!F420+'T3'!F427+'T3'!F432</f>
        <v>-3064.4756399999997</v>
      </c>
      <c r="D84" s="572">
        <f>'T3'!G392+'T3'!G399+'T3'!G406+'T3'!G413+'T3'!G420+'T3'!G427++'T3'!G432</f>
        <v>0</v>
      </c>
      <c r="E84" s="572">
        <f>'T3'!H392+'T3'!H399+'T3'!H406+'T3'!H413+'T3'!H420+'T3'!H427++'T3'!H432</f>
        <v>0</v>
      </c>
      <c r="F84" s="573">
        <f>'T3'!I392+'T3'!I399+'T3'!I406+'T3'!I413+'T3'!I420+'T3'!I427++'T3'!I432</f>
        <v>0</v>
      </c>
    </row>
    <row r="85" spans="1:6">
      <c r="A85" s="605" t="s">
        <v>1239</v>
      </c>
      <c r="B85" s="567"/>
      <c r="C85" s="572">
        <f>'T3'!E443+'T3'!F443</f>
        <v>0</v>
      </c>
      <c r="D85" s="572">
        <f>'T3'!G443</f>
        <v>0</v>
      </c>
      <c r="E85" s="572">
        <f>'T3'!H443</f>
        <v>0</v>
      </c>
      <c r="F85" s="573">
        <f>'T3'!I443</f>
        <v>0</v>
      </c>
    </row>
    <row r="86" spans="1:6">
      <c r="A86" s="605" t="s">
        <v>1240</v>
      </c>
      <c r="B86" s="567"/>
      <c r="C86" s="572">
        <f>'T3'!E454+'T3'!F454</f>
        <v>0</v>
      </c>
      <c r="D86" s="572">
        <f>'T3'!G454</f>
        <v>0</v>
      </c>
      <c r="E86" s="572">
        <f>'T3'!H454</f>
        <v>0</v>
      </c>
      <c r="F86" s="573">
        <f>'T3'!I454</f>
        <v>0</v>
      </c>
    </row>
    <row r="87" spans="1:6">
      <c r="A87" s="605" t="s">
        <v>1241</v>
      </c>
      <c r="B87" s="567"/>
      <c r="C87" s="572">
        <f>'T3'!E471+'T3'!F471</f>
        <v>-1830.7548194854271</v>
      </c>
      <c r="D87" s="572">
        <f>'T3'!G471</f>
        <v>-828.82216626375566</v>
      </c>
      <c r="E87" s="890">
        <f>'T3'!H471</f>
        <v>-2645.5978243533732</v>
      </c>
      <c r="F87" s="573">
        <f>'T3'!I471</f>
        <v>0</v>
      </c>
    </row>
    <row r="88" spans="1:6">
      <c r="A88" s="564" t="s">
        <v>1242</v>
      </c>
      <c r="B88" s="565"/>
      <c r="C88" s="572">
        <f>'T3'!E482+'T3'!E493+'T3'!E504+'T3'!E515+'T3'!F482+'T3'!F493+'T3'!F504+'T3'!F515</f>
        <v>0</v>
      </c>
      <c r="D88" s="572">
        <f>'T3'!G482+'T3'!G493+'T3'!G504+'T3'!G515</f>
        <v>0</v>
      </c>
      <c r="E88" s="572">
        <f>'T3'!H482+'T3'!H493+'T3'!H504+'T3'!H515</f>
        <v>0</v>
      </c>
      <c r="F88" s="573">
        <f>'T3'!I482+'T3'!I493+'T3'!I504+'T3'!I515</f>
        <v>0</v>
      </c>
    </row>
    <row r="89" spans="1:6">
      <c r="A89" s="564" t="s">
        <v>1243</v>
      </c>
      <c r="B89" s="565"/>
      <c r="C89" s="572">
        <f>'T3'!E529+'T3'!F529</f>
        <v>0</v>
      </c>
      <c r="D89" s="572">
        <f>'T3'!G529</f>
        <v>0</v>
      </c>
      <c r="E89" s="572">
        <f>'T3'!H529</f>
        <v>0</v>
      </c>
      <c r="F89" s="573">
        <f>'T3'!I529</f>
        <v>0</v>
      </c>
    </row>
    <row r="90" spans="1:6">
      <c r="A90" s="605" t="s">
        <v>1244</v>
      </c>
      <c r="B90" s="606"/>
      <c r="C90" s="607">
        <f>'T3'!E522+'T3'!F522</f>
        <v>0</v>
      </c>
      <c r="D90" s="892">
        <f>'T3'!G522</f>
        <v>0</v>
      </c>
      <c r="E90" s="607">
        <f>'T3'!H522</f>
        <v>1808.9670100463682</v>
      </c>
      <c r="F90" s="608">
        <f>'T3'!I522</f>
        <v>1808.9670100463682</v>
      </c>
    </row>
    <row r="91" spans="1:6">
      <c r="A91" s="1497" t="s">
        <v>1245</v>
      </c>
      <c r="B91" s="1498"/>
      <c r="C91" s="1499">
        <f>SUM(C81:C90)</f>
        <v>21125.481553011159</v>
      </c>
      <c r="D91" s="1499">
        <f>SUM(D81:D90)</f>
        <v>14023.7727900502</v>
      </c>
      <c r="E91" s="1499">
        <f>SUM(E81:E90)</f>
        <v>14494.31078303888</v>
      </c>
      <c r="F91" s="1499">
        <f>SUM(F81:F90)</f>
        <v>17463.548980623513</v>
      </c>
    </row>
    <row r="92" spans="1:6">
      <c r="A92" s="1500" t="s">
        <v>1246</v>
      </c>
      <c r="B92" s="1501"/>
      <c r="C92" s="1502">
        <f>'Supervision ERT'!J68</f>
        <v>4060.2902946000004</v>
      </c>
      <c r="D92" s="1502">
        <f>'Supervision ERT'!K68</f>
        <v>3202</v>
      </c>
      <c r="E92" s="1502">
        <f>'Supervision ERT'!L68</f>
        <v>4039</v>
      </c>
      <c r="F92" s="1502">
        <f>'Supervision ERT'!M68</f>
        <v>4726</v>
      </c>
    </row>
    <row r="93" spans="1:6">
      <c r="A93" s="1500" t="s">
        <v>1247</v>
      </c>
      <c r="B93" s="1501"/>
      <c r="C93" s="1503">
        <f>C91/C92</f>
        <v>5.202948562842189</v>
      </c>
      <c r="D93" s="1503">
        <f>D91/D92</f>
        <v>4.3796916895846971</v>
      </c>
      <c r="E93" s="1503">
        <f>E91/E92</f>
        <v>3.5885889534634514</v>
      </c>
      <c r="F93" s="1503">
        <f>F91/F92</f>
        <v>3.6952071478255424</v>
      </c>
    </row>
    <row r="94" spans="1:6">
      <c r="A94" s="1500" t="s">
        <v>1248</v>
      </c>
      <c r="B94" s="1501"/>
      <c r="C94" s="1504"/>
      <c r="D94" s="1504"/>
      <c r="E94" s="1505"/>
      <c r="F94" s="1506"/>
    </row>
    <row r="95" spans="1:6" ht="10" customHeight="1">
      <c r="A95" s="595"/>
      <c r="B95" s="595"/>
      <c r="C95" s="600"/>
      <c r="D95" s="600"/>
      <c r="E95" s="600"/>
      <c r="F95" s="600"/>
    </row>
    <row r="96" spans="1:6">
      <c r="A96" s="1507" t="s">
        <v>1249</v>
      </c>
      <c r="B96" s="1494"/>
      <c r="C96" s="609">
        <f>C93+C94</f>
        <v>5.202948562842189</v>
      </c>
      <c r="D96" s="609">
        <f>+D93+D94</f>
        <v>4.3796916895846971</v>
      </c>
      <c r="E96" s="609">
        <f>+E93+E94</f>
        <v>3.5885889534634514</v>
      </c>
      <c r="F96" s="1572">
        <f>+F93+F94</f>
        <v>3.6952071478255424</v>
      </c>
    </row>
    <row r="97" spans="1:9" s="198" customFormat="1">
      <c r="A97" s="603"/>
      <c r="B97" s="904"/>
      <c r="C97" s="610"/>
      <c r="D97" s="610"/>
      <c r="E97" s="610"/>
      <c r="F97" s="610"/>
      <c r="G97" s="194"/>
      <c r="H97" s="194"/>
      <c r="I97" s="194"/>
    </row>
    <row r="98" spans="1:9" s="197" customFormat="1">
      <c r="A98" s="903" t="s">
        <v>1250</v>
      </c>
      <c r="B98" s="906"/>
      <c r="C98" s="907"/>
      <c r="D98" s="907"/>
      <c r="E98" s="907"/>
      <c r="F98" s="907"/>
    </row>
    <row r="99" spans="1:9" s="197" customFormat="1" ht="13" customHeight="1">
      <c r="A99" s="908" t="s">
        <v>1251</v>
      </c>
      <c r="B99" s="906"/>
      <c r="C99" s="886"/>
      <c r="D99" s="907"/>
      <c r="E99" s="907"/>
      <c r="F99" s="886"/>
    </row>
    <row r="100" spans="1:9" s="197" customFormat="1" ht="13" customHeight="1">
      <c r="A100" s="957" t="s">
        <v>1252</v>
      </c>
      <c r="B100" s="906"/>
      <c r="C100" s="611">
        <v>3.3177349814537824</v>
      </c>
      <c r="D100" s="907"/>
      <c r="E100" s="907"/>
      <c r="F100" s="612"/>
    </row>
    <row r="101" spans="1:9" s="197" customFormat="1" ht="13" customHeight="1">
      <c r="A101" s="957" t="s">
        <v>1253</v>
      </c>
      <c r="B101" s="906"/>
      <c r="C101" s="611">
        <v>2.5774672826371838</v>
      </c>
      <c r="D101" s="907"/>
      <c r="E101" s="907"/>
      <c r="F101" s="612"/>
    </row>
    <row r="102" spans="1:9" s="197" customFormat="1">
      <c r="A102" s="957" t="s">
        <v>1254</v>
      </c>
      <c r="B102" s="904"/>
      <c r="C102" s="611">
        <v>0</v>
      </c>
      <c r="D102" s="886"/>
      <c r="E102" s="886"/>
      <c r="F102" s="904"/>
    </row>
    <row r="103" spans="1:9" s="197" customFormat="1">
      <c r="A103" s="957" t="s">
        <v>1255</v>
      </c>
      <c r="B103" s="904"/>
      <c r="C103" s="611">
        <v>0</v>
      </c>
      <c r="D103" s="904"/>
      <c r="E103" s="904"/>
      <c r="F103" s="904"/>
    </row>
    <row r="104" spans="1:9" s="197" customFormat="1">
      <c r="A104" s="957" t="s">
        <v>1256</v>
      </c>
      <c r="B104" s="904"/>
      <c r="C104" s="611">
        <v>4689.0424000000003</v>
      </c>
      <c r="D104" s="904"/>
      <c r="E104" s="604"/>
      <c r="F104" s="904"/>
    </row>
    <row r="105" spans="1:9" s="197" customFormat="1">
      <c r="A105" s="957" t="s">
        <v>1257</v>
      </c>
      <c r="B105" s="904"/>
      <c r="C105" s="611">
        <v>4790.2876000000006</v>
      </c>
      <c r="D105" s="904"/>
      <c r="E105" s="904"/>
      <c r="F105" s="904"/>
    </row>
    <row r="106" spans="1:9" s="197" customFormat="1">
      <c r="A106" s="903" t="s">
        <v>1177</v>
      </c>
      <c r="B106" s="906"/>
      <c r="C106" s="907"/>
      <c r="D106" s="907"/>
      <c r="E106" s="907"/>
      <c r="F106" s="907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C5CED-3AFD-4531-BB0B-26CBE400B912}">
  <sheetPr>
    <tabColor theme="7"/>
    <pageSetUpPr fitToPage="1"/>
  </sheetPr>
  <dimension ref="A1:J106"/>
  <sheetViews>
    <sheetView topLeftCell="A54" zoomScaleNormal="100" workbookViewId="0">
      <selection activeCell="H32" sqref="H32"/>
    </sheetView>
  </sheetViews>
  <sheetFormatPr defaultColWidth="8.81640625" defaultRowHeight="13"/>
  <cols>
    <col min="1" max="1" width="24" style="528" customWidth="1"/>
    <col min="2" max="2" width="49.54296875" style="528" customWidth="1"/>
    <col min="3" max="6" width="12.54296875" style="528" customWidth="1"/>
    <col min="7" max="16384" width="8.81640625" style="194"/>
  </cols>
  <sheetData>
    <row r="1" spans="1:10">
      <c r="A1" s="1680" t="s">
        <v>1178</v>
      </c>
      <c r="B1" s="1680"/>
      <c r="C1" s="1680"/>
      <c r="D1" s="1680"/>
      <c r="E1" s="1680"/>
      <c r="F1" s="1680"/>
    </row>
    <row r="2" spans="1:10">
      <c r="A2" s="1654"/>
      <c r="B2" s="1654"/>
      <c r="C2" s="903"/>
      <c r="D2" s="903"/>
      <c r="E2" s="903"/>
      <c r="F2" s="529"/>
    </row>
    <row r="3" spans="1:10">
      <c r="A3" s="1455" t="s">
        <v>985</v>
      </c>
      <c r="B3" s="530"/>
      <c r="C3" s="194"/>
      <c r="D3" s="195"/>
      <c r="E3" s="194"/>
      <c r="F3" s="194"/>
    </row>
    <row r="4" spans="1:10">
      <c r="A4" s="531" t="s">
        <v>986</v>
      </c>
      <c r="B4" s="530"/>
      <c r="C4" s="194"/>
      <c r="D4" s="195"/>
      <c r="E4" s="194"/>
      <c r="F4" s="194"/>
    </row>
    <row r="5" spans="1:10">
      <c r="A5" s="532" t="s">
        <v>1038</v>
      </c>
      <c r="B5" s="533"/>
      <c r="C5" s="1681" t="s">
        <v>1179</v>
      </c>
      <c r="D5" s="1681"/>
      <c r="E5" s="1681"/>
      <c r="F5" s="1682"/>
    </row>
    <row r="6" spans="1:10">
      <c r="A6" s="530"/>
      <c r="B6" s="530"/>
      <c r="C6" s="903"/>
      <c r="D6" s="903"/>
      <c r="E6" s="903"/>
      <c r="F6" s="903"/>
    </row>
    <row r="7" spans="1:10">
      <c r="A7" s="1683" t="s">
        <v>1180</v>
      </c>
      <c r="B7" s="1684"/>
      <c r="C7" s="196" t="s">
        <v>870</v>
      </c>
      <c r="D7" s="196">
        <v>2022</v>
      </c>
      <c r="E7" s="196">
        <v>2023</v>
      </c>
      <c r="F7" s="1456">
        <v>2024</v>
      </c>
    </row>
    <row r="8" spans="1:10">
      <c r="A8" s="904"/>
      <c r="B8" s="904"/>
      <c r="C8" s="904"/>
      <c r="D8" s="904"/>
      <c r="E8" s="904"/>
      <c r="F8" s="904"/>
    </row>
    <row r="9" spans="1:10" s="197" customFormat="1">
      <c r="A9" s="534" t="s">
        <v>992</v>
      </c>
      <c r="B9" s="534"/>
      <c r="C9" s="535"/>
      <c r="D9" s="535"/>
      <c r="E9" s="535"/>
      <c r="F9" s="535"/>
    </row>
    <row r="10" spans="1:10" ht="3" customHeight="1">
      <c r="A10" s="904"/>
      <c r="B10" s="904"/>
      <c r="C10" s="904"/>
      <c r="D10" s="904"/>
      <c r="E10" s="904"/>
      <c r="F10" s="904"/>
    </row>
    <row r="11" spans="1:10">
      <c r="A11" s="1457" t="s">
        <v>1181</v>
      </c>
      <c r="B11" s="1458"/>
      <c r="C11" s="536"/>
      <c r="D11" s="536"/>
      <c r="E11" s="536"/>
      <c r="F11" s="1459"/>
    </row>
    <row r="12" spans="1:10">
      <c r="A12" s="537" t="s">
        <v>1182</v>
      </c>
      <c r="B12" s="986"/>
      <c r="C12" s="538">
        <f>'Supervision TRM'!J61</f>
        <v>1198.5280514458032</v>
      </c>
      <c r="D12" s="538">
        <f>'Supervision TRM'!K61</f>
        <v>798.64299126279059</v>
      </c>
      <c r="E12" s="538">
        <f>'Supervision TRM'!L61</f>
        <v>867.27271946917676</v>
      </c>
      <c r="F12" s="538">
        <f>'Supervision TRM'!M61</f>
        <v>892.56639411542926</v>
      </c>
    </row>
    <row r="13" spans="1:10" ht="3" customHeight="1">
      <c r="A13" s="904"/>
      <c r="B13" s="904"/>
      <c r="C13" s="539"/>
      <c r="D13" s="539"/>
      <c r="E13" s="539"/>
      <c r="F13" s="539"/>
    </row>
    <row r="14" spans="1:10">
      <c r="A14" s="1460" t="s">
        <v>1183</v>
      </c>
      <c r="B14" s="1461"/>
      <c r="C14" s="540"/>
      <c r="D14" s="540"/>
      <c r="E14" s="540"/>
      <c r="F14" s="1462"/>
    </row>
    <row r="15" spans="1:10">
      <c r="A15" s="1463" t="s">
        <v>1184</v>
      </c>
      <c r="B15" s="1464"/>
      <c r="C15" s="545"/>
      <c r="D15" s="1518"/>
      <c r="E15" s="1518"/>
      <c r="F15" s="1519"/>
      <c r="G15" s="198"/>
      <c r="H15" s="198"/>
      <c r="I15" s="198"/>
      <c r="J15" s="198"/>
    </row>
    <row r="16" spans="1:10">
      <c r="A16" s="543" t="s">
        <v>1185</v>
      </c>
      <c r="B16" s="544"/>
      <c r="C16" s="545"/>
      <c r="D16" s="873"/>
      <c r="E16" s="873"/>
      <c r="F16" s="874"/>
    </row>
    <row r="17" spans="1:6">
      <c r="A17" s="546" t="s">
        <v>1186</v>
      </c>
      <c r="B17" s="547"/>
      <c r="C17" s="205"/>
      <c r="D17" s="875"/>
      <c r="E17" s="875"/>
      <c r="F17" s="876"/>
    </row>
    <row r="18" spans="1:6">
      <c r="A18" s="549" t="s">
        <v>1187</v>
      </c>
      <c r="B18" s="989"/>
      <c r="C18" s="204"/>
      <c r="D18" s="204"/>
      <c r="E18" s="875"/>
      <c r="F18" s="876"/>
    </row>
    <row r="19" spans="1:6">
      <c r="A19" s="552" t="s">
        <v>1188</v>
      </c>
      <c r="B19" s="990"/>
      <c r="C19" s="877"/>
      <c r="D19" s="877"/>
      <c r="E19" s="877"/>
      <c r="F19" s="878"/>
    </row>
    <row r="20" spans="1:6" ht="3" customHeight="1">
      <c r="A20" s="904"/>
      <c r="B20" s="904"/>
      <c r="C20" s="904"/>
      <c r="D20" s="904"/>
      <c r="E20" s="904"/>
      <c r="F20" s="904"/>
    </row>
    <row r="21" spans="1:6">
      <c r="A21" s="1457" t="s">
        <v>1189</v>
      </c>
      <c r="B21" s="1458"/>
      <c r="C21" s="536"/>
      <c r="D21" s="536"/>
      <c r="E21" s="536"/>
      <c r="F21" s="1459"/>
    </row>
    <row r="22" spans="1:6">
      <c r="A22" s="1465" t="s">
        <v>1190</v>
      </c>
      <c r="B22" s="1466"/>
      <c r="C22" s="205"/>
      <c r="D22" s="854"/>
      <c r="E22" s="205"/>
      <c r="F22" s="1520"/>
    </row>
    <row r="23" spans="1:6">
      <c r="A23" s="557" t="s">
        <v>1191</v>
      </c>
      <c r="B23" s="558"/>
      <c r="C23" s="905">
        <f>SUMIFS('UR Control'!$M80:$V80,'UR Control'!$M$8:$V$8,C$7)</f>
        <v>0</v>
      </c>
      <c r="D23" s="905">
        <f>SUMIFS('UR Control'!$M80:$V80,'UR Control'!$M$8:$V$8,D$7)</f>
        <v>0</v>
      </c>
      <c r="E23" s="905">
        <f>SUMIFS('UR Control'!$M80:$V80,'UR Control'!$M$8:$V$8,E$7)</f>
        <v>0</v>
      </c>
      <c r="F23" s="841">
        <f>SUMIFS('UR Control'!$M80:$V80,'UR Control'!$M$8:$V$8,F$7)</f>
        <v>0</v>
      </c>
    </row>
    <row r="24" spans="1:6">
      <c r="A24" s="557" t="s">
        <v>1192</v>
      </c>
      <c r="B24" s="558"/>
      <c r="C24" s="905">
        <f>SUMIFS('UR Control'!$M81:$V81,'UR Control'!$M$8:$V$8,C$7)</f>
        <v>0</v>
      </c>
      <c r="D24" s="905">
        <f>SUMIFS('UR Control'!$M81:$V81,'UR Control'!$M$8:$V$8,D$7)</f>
        <v>0</v>
      </c>
      <c r="E24" s="905">
        <f>SUMIFS('UR Control'!$M81:$V81,'UR Control'!$M$8:$V$8,E$7)</f>
        <v>0</v>
      </c>
      <c r="F24" s="841">
        <f>SUMIFS('UR Control'!$M81:$V81,'UR Control'!$M$8:$V$8,F$7)</f>
        <v>0</v>
      </c>
    </row>
    <row r="25" spans="1:6">
      <c r="A25" s="560" t="s">
        <v>1193</v>
      </c>
      <c r="B25" s="558"/>
      <c r="C25" s="205"/>
      <c r="D25" s="854"/>
      <c r="E25" s="205"/>
      <c r="F25" s="855"/>
    </row>
    <row r="26" spans="1:6">
      <c r="A26" s="560" t="s">
        <v>1194</v>
      </c>
      <c r="B26" s="558"/>
      <c r="C26" s="205"/>
      <c r="D26" s="854"/>
      <c r="E26" s="205"/>
      <c r="F26" s="855"/>
    </row>
    <row r="27" spans="1:6">
      <c r="A27" s="560" t="s">
        <v>1195</v>
      </c>
      <c r="B27" s="558"/>
      <c r="C27" s="205"/>
      <c r="D27" s="854"/>
      <c r="E27" s="205"/>
      <c r="F27" s="879"/>
    </row>
    <row r="28" spans="1:6">
      <c r="A28" s="1471" t="s">
        <v>1196</v>
      </c>
      <c r="B28" s="1472"/>
      <c r="C28" s="553">
        <f>SUM(C22:C27)</f>
        <v>0</v>
      </c>
      <c r="D28" s="554">
        <f>SUM(D22:D27)</f>
        <v>0</v>
      </c>
      <c r="E28" s="553">
        <f>SUM(E22:E27)</f>
        <v>0</v>
      </c>
      <c r="F28" s="594">
        <f>SUM(F22:F27)</f>
        <v>0</v>
      </c>
    </row>
    <row r="29" spans="1:6" ht="10.9" customHeight="1">
      <c r="A29" s="903"/>
      <c r="B29" s="903"/>
      <c r="C29" s="903"/>
      <c r="D29" s="903"/>
      <c r="E29" s="903"/>
      <c r="F29" s="903"/>
    </row>
    <row r="30" spans="1:6" s="197" customFormat="1">
      <c r="A30" s="534" t="s">
        <v>1010</v>
      </c>
      <c r="B30" s="534"/>
      <c r="C30" s="535"/>
      <c r="D30" s="535"/>
      <c r="E30" s="535"/>
      <c r="F30" s="535"/>
    </row>
    <row r="31" spans="1:6" ht="1.9" customHeight="1">
      <c r="A31" s="904"/>
      <c r="B31" s="904"/>
      <c r="C31" s="904"/>
      <c r="D31" s="904"/>
      <c r="E31" s="904"/>
      <c r="F31" s="904"/>
    </row>
    <row r="32" spans="1:6">
      <c r="A32" s="1457" t="s">
        <v>1197</v>
      </c>
      <c r="B32" s="1458"/>
      <c r="C32" s="536"/>
      <c r="D32" s="536"/>
      <c r="E32" s="536"/>
      <c r="F32" s="1459"/>
    </row>
    <row r="33" spans="1:6">
      <c r="A33" s="564" t="s">
        <v>1198</v>
      </c>
      <c r="B33" s="565"/>
      <c r="C33" s="545"/>
      <c r="D33" s="545"/>
      <c r="E33" s="545"/>
      <c r="F33" s="1514"/>
    </row>
    <row r="34" spans="1:6">
      <c r="A34" s="566" t="s">
        <v>1199</v>
      </c>
      <c r="B34" s="567"/>
      <c r="C34" s="859"/>
      <c r="D34" s="859"/>
      <c r="E34" s="859"/>
      <c r="F34" s="866"/>
    </row>
    <row r="35" spans="1:6">
      <c r="A35" s="566" t="s">
        <v>1200</v>
      </c>
      <c r="B35" s="567"/>
      <c r="C35" s="859"/>
      <c r="D35" s="859"/>
      <c r="E35" s="859"/>
      <c r="F35" s="866"/>
    </row>
    <row r="36" spans="1:6">
      <c r="A36" s="566" t="s">
        <v>1201</v>
      </c>
      <c r="B36" s="567"/>
      <c r="C36" s="859"/>
      <c r="D36" s="859"/>
      <c r="E36" s="859"/>
      <c r="F36" s="866"/>
    </row>
    <row r="37" spans="1:6">
      <c r="A37" s="566" t="s">
        <v>1202</v>
      </c>
      <c r="B37" s="567"/>
      <c r="C37" s="861"/>
      <c r="D37" s="861"/>
      <c r="E37" s="861"/>
      <c r="F37" s="867"/>
    </row>
    <row r="38" spans="1:6">
      <c r="A38" s="546" t="s">
        <v>1203</v>
      </c>
      <c r="B38" s="547"/>
      <c r="C38" s="885">
        <f>'Supervision TRM'!J68</f>
        <v>147.51144028384689</v>
      </c>
      <c r="D38" s="826">
        <f>'Supervision TRM'!K68</f>
        <v>136</v>
      </c>
      <c r="E38" s="826">
        <f>'Supervision TRM'!L68</f>
        <v>163</v>
      </c>
      <c r="F38" s="827">
        <f>'Supervision TRM'!M68</f>
        <v>188</v>
      </c>
    </row>
    <row r="39" spans="1:6">
      <c r="A39" s="566" t="s">
        <v>1204</v>
      </c>
      <c r="B39" s="567"/>
      <c r="C39" s="207"/>
      <c r="D39" s="207"/>
      <c r="E39" s="207"/>
      <c r="F39" s="840"/>
    </row>
    <row r="40" spans="1:6">
      <c r="A40" s="570" t="s">
        <v>1205</v>
      </c>
      <c r="B40" s="994"/>
      <c r="C40" s="862"/>
      <c r="D40" s="862"/>
      <c r="E40" s="863"/>
      <c r="F40" s="868"/>
    </row>
    <row r="41" spans="1:6">
      <c r="A41" s="552" t="s">
        <v>1206</v>
      </c>
      <c r="B41" s="990"/>
      <c r="C41" s="864"/>
      <c r="D41" s="864"/>
      <c r="E41" s="864"/>
      <c r="F41" s="865"/>
    </row>
    <row r="42" spans="1:6" ht="3" customHeight="1">
      <c r="A42" s="904"/>
      <c r="B42" s="904"/>
      <c r="C42" s="904"/>
      <c r="D42" s="904"/>
      <c r="E42" s="904"/>
      <c r="F42" s="904"/>
    </row>
    <row r="43" spans="1:6">
      <c r="A43" s="1460" t="s">
        <v>1207</v>
      </c>
      <c r="B43" s="1461"/>
      <c r="C43" s="536"/>
      <c r="D43" s="536"/>
      <c r="E43" s="536"/>
      <c r="F43" s="1459"/>
    </row>
    <row r="44" spans="1:6">
      <c r="A44" s="1473" t="s">
        <v>1208</v>
      </c>
      <c r="B44" s="1474"/>
      <c r="C44" s="572"/>
      <c r="D44" s="572"/>
      <c r="E44" s="572"/>
      <c r="F44" s="1496"/>
    </row>
    <row r="45" spans="1:6">
      <c r="A45" s="574" t="s">
        <v>1209</v>
      </c>
      <c r="B45" s="575"/>
      <c r="C45" s="838">
        <f>IF('Supervision TRM'!Q68=0,0,(('T3'!N374+'T3'!N385+'T3'!N443+'T3'!N454+'T3'!N471+'T3'!N482+'T3'!N493+'T3'!N504+'T3'!N515)+('T3'!O374+'T3'!O385+'T3'!O443+'T3'!O454+'T3'!O471+'T3'!O482+'T3'!O493+'T3'!O504+'T3'!O515))*-(('Supervision TRM'!Q68)/'Supervision TRM'!J68-1))</f>
        <v>0</v>
      </c>
      <c r="D45" s="838">
        <f>IF('Supervision TRM'!R68=0,0,(('T3'!P374+'T3'!P385+'T3'!P443+'T3'!P454+'T3'!P471+'T3'!P482+'T3'!P493+'T3'!P504+'T3'!P515))*-(('Supervision TRM'!R68)/'Supervision TRM'!K68-1))</f>
        <v>0</v>
      </c>
      <c r="E45" s="838">
        <f>IF('Supervision TRM'!S68=0,0,(('T3'!Q374+'T3'!Q385+'T3'!Q443+'T3'!Q454+'T3'!Q471+'T3'!Q482+'T3'!Q493+'T3'!Q504+'T3'!Q515))*-(('Supervision TRM'!S68)/'Supervision TRM'!L68-1))</f>
        <v>0</v>
      </c>
      <c r="F45" s="847">
        <f>IF('Supervision TRM'!T68=0,0,(('T3'!R374+'T3'!R385+'T3'!R443+'T3'!R454+'T3'!R471+'T3'!R482+'T3'!R493+'T3'!R504+'T3'!R515))*-(('Supervision TRM'!T68)/'Supervision TRM'!M68-1))</f>
        <v>0</v>
      </c>
    </row>
    <row r="46" spans="1:6">
      <c r="A46" s="1471" t="s">
        <v>1210</v>
      </c>
      <c r="B46" s="1472"/>
      <c r="C46" s="553">
        <f>SUM(C44:C45)</f>
        <v>0</v>
      </c>
      <c r="D46" s="553">
        <f>SUM(D44:D45)</f>
        <v>0</v>
      </c>
      <c r="E46" s="553">
        <f>SUM(E44:E45)</f>
        <v>0</v>
      </c>
      <c r="F46" s="594">
        <f>SUM(F44:F45)</f>
        <v>0</v>
      </c>
    </row>
    <row r="47" spans="1:6" ht="10.9" customHeight="1">
      <c r="A47" s="903"/>
      <c r="B47" s="903"/>
      <c r="C47" s="903"/>
      <c r="D47" s="903"/>
      <c r="E47" s="903"/>
      <c r="F47" s="903"/>
    </row>
    <row r="48" spans="1:6" s="197" customFormat="1">
      <c r="A48" s="534" t="s">
        <v>1016</v>
      </c>
      <c r="B48" s="534"/>
      <c r="C48" s="535"/>
      <c r="D48" s="535"/>
      <c r="E48" s="535"/>
      <c r="F48" s="535"/>
    </row>
    <row r="49" spans="1:10" ht="3.65" customHeight="1">
      <c r="A49" s="904"/>
      <c r="B49" s="904"/>
      <c r="C49" s="904"/>
      <c r="D49" s="904"/>
      <c r="E49" s="904"/>
      <c r="F49" s="904"/>
    </row>
    <row r="50" spans="1:10">
      <c r="A50" s="1457" t="s">
        <v>1211</v>
      </c>
      <c r="B50" s="1458"/>
      <c r="C50" s="536"/>
      <c r="D50" s="536"/>
      <c r="E50" s="536"/>
      <c r="F50" s="1459"/>
      <c r="H50" s="197"/>
      <c r="I50" s="197"/>
      <c r="J50" s="197"/>
    </row>
    <row r="51" spans="1:10">
      <c r="A51" s="566" t="s">
        <v>1212</v>
      </c>
      <c r="B51" s="567"/>
      <c r="C51" s="1515"/>
      <c r="D51" s="1516"/>
      <c r="E51" s="1516"/>
      <c r="F51" s="1517"/>
    </row>
    <row r="52" spans="1:10">
      <c r="A52" s="566" t="s">
        <v>1213</v>
      </c>
      <c r="B52" s="567"/>
      <c r="C52" s="869"/>
      <c r="D52" s="559"/>
      <c r="E52" s="559"/>
      <c r="F52" s="870"/>
      <c r="H52" s="197"/>
      <c r="I52" s="197"/>
      <c r="J52" s="197"/>
    </row>
    <row r="53" spans="1:10">
      <c r="A53" s="564" t="s">
        <v>1214</v>
      </c>
      <c r="B53" s="565"/>
      <c r="C53" s="869"/>
      <c r="D53" s="559"/>
      <c r="E53" s="559"/>
      <c r="F53" s="870"/>
    </row>
    <row r="54" spans="1:10" s="202" customFormat="1">
      <c r="A54" s="1471" t="s">
        <v>1215</v>
      </c>
      <c r="B54" s="1472"/>
      <c r="C54" s="871"/>
      <c r="D54" s="206"/>
      <c r="E54" s="206"/>
      <c r="F54" s="872"/>
      <c r="H54" s="197"/>
      <c r="I54" s="197"/>
      <c r="J54" s="197"/>
    </row>
    <row r="55" spans="1:10" ht="12" customHeight="1">
      <c r="A55" s="904"/>
      <c r="B55" s="904"/>
      <c r="C55" s="904"/>
      <c r="D55" s="904"/>
      <c r="E55" s="904"/>
      <c r="F55" s="904"/>
    </row>
    <row r="56" spans="1:10" s="197" customFormat="1">
      <c r="A56" s="534" t="s">
        <v>1026</v>
      </c>
      <c r="B56" s="534"/>
      <c r="C56" s="578"/>
      <c r="D56" s="578"/>
      <c r="E56" s="535"/>
      <c r="F56" s="535"/>
    </row>
    <row r="57" spans="1:10" ht="3.65" customHeight="1">
      <c r="A57" s="904"/>
      <c r="B57" s="904"/>
      <c r="C57" s="904"/>
      <c r="D57" s="904"/>
      <c r="E57" s="904"/>
      <c r="F57" s="904"/>
    </row>
    <row r="58" spans="1:10">
      <c r="A58" s="1457" t="s">
        <v>1216</v>
      </c>
      <c r="B58" s="1458"/>
      <c r="C58" s="536"/>
      <c r="D58" s="536"/>
      <c r="E58" s="536"/>
      <c r="F58" s="1459"/>
    </row>
    <row r="59" spans="1:10" s="203" customFormat="1">
      <c r="A59" s="1471" t="s">
        <v>1217</v>
      </c>
      <c r="B59" s="1472"/>
      <c r="C59" s="555">
        <f>SUMIFS('UR Control'!$M$153:$V$153,'UR Control'!$M$8:$V$8,C7)</f>
        <v>0</v>
      </c>
      <c r="D59" s="848">
        <f>SUMIFS('UR Control'!$M$153:$V$153,'UR Control'!$M$8:$V$8,D7)</f>
        <v>0</v>
      </c>
      <c r="E59" s="555">
        <f>SUMIFS('UR Control'!$M$153:$V$153,'UR Control'!$M$8:$V$8,E7)</f>
        <v>0</v>
      </c>
      <c r="F59" s="556">
        <f>SUMIFS('UR Control'!$M$153:$V$153,'UR Control'!$M$8:$V$8,F7)</f>
        <v>0</v>
      </c>
    </row>
    <row r="60" spans="1:10" ht="3.65" customHeight="1">
      <c r="A60" s="904"/>
      <c r="B60" s="904"/>
      <c r="C60" s="904"/>
      <c r="D60" s="904"/>
      <c r="E60" s="904"/>
      <c r="F60" s="904"/>
    </row>
    <row r="61" spans="1:10">
      <c r="A61" s="1457" t="s">
        <v>1218</v>
      </c>
      <c r="B61" s="1458"/>
      <c r="C61" s="536"/>
      <c r="D61" s="536"/>
      <c r="E61" s="536"/>
      <c r="F61" s="1459"/>
    </row>
    <row r="62" spans="1:10">
      <c r="A62" s="1476" t="s">
        <v>1219</v>
      </c>
      <c r="B62" s="1477"/>
      <c r="C62" s="581" t="s">
        <v>1220</v>
      </c>
      <c r="D62" s="579"/>
      <c r="E62" s="582"/>
      <c r="F62" s="1478"/>
    </row>
    <row r="63" spans="1:10">
      <c r="A63" s="1479" t="s">
        <v>1221</v>
      </c>
      <c r="B63" s="1480"/>
      <c r="C63" s="981">
        <f>C93*'Supervision TRM'!J68-(C100*'Supervision TRM'!O68+C101*'Supervision TRM'!P68) -'T3'!M460-'T3'!M461-(('T3'!M460/-('Supervision TRM'!O68/C104-1)+'T3'!M261/-('Supervision TRM'!P68/C105-1))*C40)</f>
        <v>341.63112407452479</v>
      </c>
      <c r="D63" s="848"/>
      <c r="E63" s="555"/>
      <c r="F63" s="555"/>
    </row>
    <row r="64" spans="1:10" ht="3" customHeight="1">
      <c r="A64" s="904"/>
      <c r="B64" s="904"/>
      <c r="C64" s="904"/>
      <c r="D64" s="904"/>
      <c r="E64" s="904"/>
      <c r="F64" s="904"/>
    </row>
    <row r="65" spans="1:6">
      <c r="A65" s="1457" t="s">
        <v>1222</v>
      </c>
      <c r="B65" s="1458"/>
      <c r="C65" s="536"/>
      <c r="D65" s="536"/>
      <c r="E65" s="536"/>
      <c r="F65" s="1459"/>
    </row>
    <row r="66" spans="1:6">
      <c r="A66" s="1479" t="s">
        <v>1223</v>
      </c>
      <c r="B66" s="1480"/>
      <c r="C66" s="585"/>
      <c r="D66" s="586"/>
      <c r="E66" s="587"/>
      <c r="F66" s="1482"/>
    </row>
    <row r="67" spans="1:6" ht="3" customHeight="1">
      <c r="A67" s="904"/>
      <c r="B67" s="904"/>
      <c r="C67" s="904"/>
      <c r="D67" s="904"/>
      <c r="E67" s="904"/>
      <c r="F67" s="904"/>
    </row>
    <row r="68" spans="1:6">
      <c r="A68" s="1457" t="s">
        <v>1224</v>
      </c>
      <c r="B68" s="1458"/>
      <c r="C68" s="1483"/>
      <c r="D68" s="1483"/>
      <c r="E68" s="1483"/>
      <c r="F68" s="1484"/>
    </row>
    <row r="69" spans="1:6">
      <c r="A69" s="1485" t="s">
        <v>1225</v>
      </c>
      <c r="B69" s="1486"/>
      <c r="C69" s="1487">
        <f>'UR Control'!S194</f>
        <v>0</v>
      </c>
      <c r="D69" s="1487">
        <f>'UR Control'!T194</f>
        <v>0</v>
      </c>
      <c r="E69" s="1510">
        <f>'UR Control'!U194</f>
        <v>0</v>
      </c>
      <c r="F69" s="1511">
        <f>'UR Control'!V194</f>
        <v>0</v>
      </c>
    </row>
    <row r="70" spans="1:6">
      <c r="A70" s="566" t="s">
        <v>1226</v>
      </c>
      <c r="B70" s="567"/>
      <c r="C70" s="588">
        <f>'UR Control'!S195</f>
        <v>0</v>
      </c>
      <c r="D70" s="588">
        <f>'UR Control'!T195</f>
        <v>0</v>
      </c>
      <c r="E70" s="849">
        <f>'UR Control'!U195</f>
        <v>0</v>
      </c>
      <c r="F70" s="850">
        <f>'UR Control'!V195</f>
        <v>0</v>
      </c>
    </row>
    <row r="71" spans="1:6">
      <c r="A71" s="566" t="s">
        <v>1227</v>
      </c>
      <c r="B71" s="567"/>
      <c r="C71" s="588">
        <f>'UR Control'!S196</f>
        <v>0</v>
      </c>
      <c r="D71" s="588">
        <f>'UR Control'!T196</f>
        <v>0</v>
      </c>
      <c r="E71" s="849">
        <f>'UR Control'!U196</f>
        <v>0</v>
      </c>
      <c r="F71" s="850">
        <f>'UR Control'!V196</f>
        <v>0</v>
      </c>
    </row>
    <row r="72" spans="1:6">
      <c r="A72" s="566" t="s">
        <v>1228</v>
      </c>
      <c r="B72" s="567"/>
      <c r="C72" s="905">
        <f>SUMIFS('UR Control'!$M142:$V142,'UR Control'!$M$8:$V$8,C$7)</f>
        <v>0</v>
      </c>
      <c r="D72" s="905">
        <f>SUMIFS('UR Control'!$M142:$V142,'UR Control'!$M$8:$V$8,D$7)</f>
        <v>0</v>
      </c>
      <c r="E72" s="905">
        <f>SUMIFS('UR Control'!$M142:$V142,'UR Control'!$M$8:$V$8,E$7)</f>
        <v>0</v>
      </c>
      <c r="F72" s="842">
        <f>SUMIFS('UR Control'!$M142:$V142,'UR Control'!$M$8:$V$8,F$7)</f>
        <v>0</v>
      </c>
    </row>
    <row r="73" spans="1:6">
      <c r="A73" s="1490" t="s">
        <v>1229</v>
      </c>
      <c r="B73" s="1491"/>
      <c r="C73" s="553">
        <f>SUM(C69:C72)</f>
        <v>0</v>
      </c>
      <c r="D73" s="553">
        <f>SUM(D69:D72)</f>
        <v>0</v>
      </c>
      <c r="E73" s="553">
        <f>SUM(E69:E72)</f>
        <v>0</v>
      </c>
      <c r="F73" s="594">
        <f>SUM(F69:F72)</f>
        <v>0</v>
      </c>
    </row>
    <row r="74" spans="1:6" ht="4" customHeight="1">
      <c r="A74" s="595"/>
      <c r="B74" s="595"/>
      <c r="C74" s="596"/>
      <c r="D74" s="596"/>
      <c r="E74" s="596"/>
      <c r="F74" s="596"/>
    </row>
    <row r="75" spans="1:6">
      <c r="A75" s="1457" t="s">
        <v>1230</v>
      </c>
      <c r="B75" s="1458"/>
      <c r="C75" s="1492" t="s">
        <v>1231</v>
      </c>
      <c r="D75" s="1483"/>
      <c r="E75" s="1483"/>
      <c r="F75" s="1484"/>
    </row>
    <row r="76" spans="1:6" s="203" customFormat="1">
      <c r="A76" s="1479" t="s">
        <v>1232</v>
      </c>
      <c r="B76" s="1480"/>
      <c r="C76" s="555"/>
      <c r="D76" s="597"/>
      <c r="E76" s="598"/>
      <c r="F76" s="599"/>
    </row>
    <row r="77" spans="1:6" ht="10" customHeight="1">
      <c r="A77" s="595"/>
      <c r="B77" s="595"/>
      <c r="C77" s="600"/>
      <c r="D77" s="600"/>
      <c r="E77" s="596"/>
      <c r="F77" s="596"/>
    </row>
    <row r="78" spans="1:6">
      <c r="A78" s="1493" t="s">
        <v>1233</v>
      </c>
      <c r="B78" s="1494"/>
      <c r="C78" s="601">
        <f>C19+C28+C41+C46+C54+C59+C63+C66+C73+C76</f>
        <v>341.63112407452479</v>
      </c>
      <c r="D78" s="601">
        <f>D19+D28+D41+D46+D54+D59+D63+D66+D73+D76</f>
        <v>0</v>
      </c>
      <c r="E78" s="601">
        <f>E19+E28+E41+E46+E54+E59+E63+E66+E73+E76</f>
        <v>0</v>
      </c>
      <c r="F78" s="602">
        <f>F19+F28+F41+F46+F54+F59+F63+F66+F73+F76</f>
        <v>0</v>
      </c>
    </row>
    <row r="79" spans="1:6" ht="26.15" customHeight="1">
      <c r="A79" s="603"/>
      <c r="B79" s="904"/>
      <c r="C79" s="604"/>
      <c r="D79" s="604"/>
      <c r="E79" s="604"/>
      <c r="F79" s="604"/>
    </row>
    <row r="80" spans="1:6">
      <c r="A80" s="1683" t="s">
        <v>1234</v>
      </c>
      <c r="B80" s="1684"/>
      <c r="C80" s="196" t="s">
        <v>870</v>
      </c>
      <c r="D80" s="196">
        <v>2022</v>
      </c>
      <c r="E80" s="196">
        <v>2023</v>
      </c>
      <c r="F80" s="1456">
        <v>2024</v>
      </c>
    </row>
    <row r="81" spans="1:8">
      <c r="A81" s="1465" t="s">
        <v>1235</v>
      </c>
      <c r="B81" s="1466"/>
      <c r="C81" s="1512">
        <f>+C12</f>
        <v>1198.5280514458032</v>
      </c>
      <c r="D81" s="1495">
        <f>+D12</f>
        <v>798.64299126279059</v>
      </c>
      <c r="E81" s="1495">
        <f>+E12</f>
        <v>867.27271946917676</v>
      </c>
      <c r="F81" s="1496">
        <f>+F12</f>
        <v>892.56639411542926</v>
      </c>
    </row>
    <row r="82" spans="1:8">
      <c r="A82" s="546" t="s">
        <v>1236</v>
      </c>
      <c r="B82" s="547"/>
      <c r="C82" s="851">
        <f>'T3'!N374+'T3'!O374</f>
        <v>-72.93229737125975</v>
      </c>
      <c r="D82" s="851">
        <f>'T3'!P374</f>
        <v>0</v>
      </c>
      <c r="E82" s="851">
        <f>'T3'!Q374</f>
        <v>0</v>
      </c>
      <c r="F82" s="857">
        <f>'T3'!R374</f>
        <v>0</v>
      </c>
      <c r="G82" s="856"/>
      <c r="H82" s="856"/>
    </row>
    <row r="83" spans="1:8">
      <c r="A83" s="546" t="s">
        <v>1237</v>
      </c>
      <c r="B83" s="547"/>
      <c r="C83" s="851">
        <f>'T3'!N385+'T3'!O385</f>
        <v>0</v>
      </c>
      <c r="D83" s="851">
        <f>'T3'!P385</f>
        <v>0</v>
      </c>
      <c r="E83" s="851">
        <f>'T3'!Q385</f>
        <v>0</v>
      </c>
      <c r="F83" s="857">
        <f>'T3'!R385</f>
        <v>0</v>
      </c>
      <c r="G83" s="856"/>
      <c r="H83" s="856"/>
    </row>
    <row r="84" spans="1:8">
      <c r="A84" s="605" t="s">
        <v>1238</v>
      </c>
      <c r="B84" s="567"/>
      <c r="C84" s="851">
        <f>'T3'!N392+'T3'!N399+'T3'!N406+'T3'!N413+'T3'!N420+'T3'!N427+'T3'!N432+'T3'!O392+'T3'!O399+'T3'!O406+'T3'!O413+'T3'!O420+'T3'!O427+'T3'!O432</f>
        <v>0</v>
      </c>
      <c r="D84" s="851">
        <f>'T3'!P392+'T3'!P399+'T3'!P406+'T3'!P413+'T3'!P420+'T3'!P427+'T3'!P432</f>
        <v>0</v>
      </c>
      <c r="E84" s="851">
        <f>'T3'!Q392+'T3'!Q399+'T3'!Q406+'T3'!Q413+'T3'!Q420+'T3'!Q427+'T3'!Q432</f>
        <v>0</v>
      </c>
      <c r="F84" s="857">
        <f>'T3'!R392+'T3'!R399+'T3'!R406+'T3'!R413+'T3'!R420+'T3'!R427+'T3'!R432</f>
        <v>0</v>
      </c>
      <c r="G84" s="856"/>
    </row>
    <row r="85" spans="1:8">
      <c r="A85" s="605" t="s">
        <v>1239</v>
      </c>
      <c r="B85" s="567"/>
      <c r="C85" s="851">
        <f>'T3'!N443+'T3'!O443</f>
        <v>0</v>
      </c>
      <c r="D85" s="851">
        <f>'T3'!P443</f>
        <v>0</v>
      </c>
      <c r="E85" s="851">
        <f>'T3'!Q443</f>
        <v>0</v>
      </c>
      <c r="F85" s="857">
        <f>'T3'!R443</f>
        <v>0</v>
      </c>
      <c r="G85" s="856"/>
    </row>
    <row r="86" spans="1:8">
      <c r="A86" s="605" t="s">
        <v>1240</v>
      </c>
      <c r="B86" s="567"/>
      <c r="C86" s="851">
        <f>'T3'!N454+'T3'!O454</f>
        <v>0</v>
      </c>
      <c r="D86" s="851">
        <f>'T3'!P454</f>
        <v>0</v>
      </c>
      <c r="E86" s="851">
        <f>'T3'!Q454</f>
        <v>0</v>
      </c>
      <c r="F86" s="857">
        <f>'T3'!R454</f>
        <v>0</v>
      </c>
      <c r="G86" s="856"/>
    </row>
    <row r="87" spans="1:8">
      <c r="A87" s="605" t="s">
        <v>1241</v>
      </c>
      <c r="B87" s="567"/>
      <c r="C87" s="851">
        <f>'T3'!N471+'T3'!O471</f>
        <v>-232.16752960030786</v>
      </c>
      <c r="D87" s="851">
        <f>'T3'!P471</f>
        <v>-94.193007786054039</v>
      </c>
      <c r="E87" s="893">
        <f>'T3'!Q471</f>
        <v>-94.064987533934527</v>
      </c>
      <c r="F87" s="857">
        <f>'T3'!R471</f>
        <v>0</v>
      </c>
      <c r="G87" s="856"/>
    </row>
    <row r="88" spans="1:8">
      <c r="A88" s="564" t="s">
        <v>1242</v>
      </c>
      <c r="B88" s="565"/>
      <c r="C88" s="851">
        <f>'T3'!N482+'T3'!N493+'T3'!N504+'T3'!N515+'T3'!O482+'T3'!O493+'T3'!O504+'T3'!O515</f>
        <v>0</v>
      </c>
      <c r="D88" s="851">
        <f>'T3'!P482+'T3'!P493+'T3'!P504+'T3'!P515</f>
        <v>0</v>
      </c>
      <c r="E88" s="851">
        <f>'T3'!Q482+'T3'!Q493+'T3'!Q504+'T3'!Q515</f>
        <v>0</v>
      </c>
      <c r="F88" s="857">
        <f>'T3'!R482+'T3'!R493+'T3'!R504+'T3'!R515</f>
        <v>0</v>
      </c>
      <c r="G88" s="856"/>
    </row>
    <row r="89" spans="1:8">
      <c r="A89" s="564" t="s">
        <v>1243</v>
      </c>
      <c r="B89" s="565"/>
      <c r="C89" s="851">
        <f>'T3'!N529+'T3'!O529</f>
        <v>0</v>
      </c>
      <c r="D89" s="851">
        <f>'T3'!P529</f>
        <v>0</v>
      </c>
      <c r="E89" s="851">
        <f>'T3'!Q529</f>
        <v>0</v>
      </c>
      <c r="F89" s="857">
        <f>'T3'!R529</f>
        <v>0</v>
      </c>
      <c r="G89" s="856"/>
    </row>
    <row r="90" spans="1:8">
      <c r="A90" s="605" t="s">
        <v>1244</v>
      </c>
      <c r="B90" s="606"/>
      <c r="C90" s="852">
        <f>'T3'!N522+'T3'!O522</f>
        <v>0</v>
      </c>
      <c r="D90" s="852">
        <f>'T3'!P522</f>
        <v>0</v>
      </c>
      <c r="E90" s="852">
        <f>'T3'!Q522</f>
        <v>48.804446296360688</v>
      </c>
      <c r="F90" s="858">
        <f>'T3'!R522</f>
        <v>48.804446296360688</v>
      </c>
      <c r="G90" s="856"/>
    </row>
    <row r="91" spans="1:8">
      <c r="A91" s="1497" t="s">
        <v>1245</v>
      </c>
      <c r="B91" s="1498"/>
      <c r="C91" s="1499">
        <f>SUM(C81:C90)</f>
        <v>893.42822447423566</v>
      </c>
      <c r="D91" s="1499">
        <f>SUM(D81:D90)</f>
        <v>704.44998347673652</v>
      </c>
      <c r="E91" s="1499">
        <f>SUM(E81:E90)</f>
        <v>822.01217823160289</v>
      </c>
      <c r="F91" s="1513">
        <f>SUM(F81:F90)</f>
        <v>941.37084041178991</v>
      </c>
    </row>
    <row r="92" spans="1:8">
      <c r="A92" s="1500" t="s">
        <v>1246</v>
      </c>
      <c r="B92" s="1501"/>
      <c r="C92" s="1502">
        <f>'Supervision TRM'!J68</f>
        <v>147.51144028384689</v>
      </c>
      <c r="D92" s="1502">
        <f>'Supervision TRM'!K68</f>
        <v>136</v>
      </c>
      <c r="E92" s="1502">
        <f>'Supervision TRM'!L68</f>
        <v>163</v>
      </c>
      <c r="F92" s="1502">
        <f>'Supervision TRM'!M68</f>
        <v>188</v>
      </c>
    </row>
    <row r="93" spans="1:8">
      <c r="A93" s="1500" t="s">
        <v>1247</v>
      </c>
      <c r="B93" s="1501"/>
      <c r="C93" s="1503">
        <f>C91/C92</f>
        <v>6.0566707419781709</v>
      </c>
      <c r="D93" s="1503">
        <f>D91/D92</f>
        <v>5.1797792902701216</v>
      </c>
      <c r="E93" s="1503">
        <f>E91/E92</f>
        <v>5.0430194983533916</v>
      </c>
      <c r="F93" s="1574">
        <f>F91/F92</f>
        <v>5.0072917043180318</v>
      </c>
    </row>
    <row r="94" spans="1:8">
      <c r="A94" s="1500" t="s">
        <v>1248</v>
      </c>
      <c r="B94" s="1501"/>
      <c r="C94" s="1504"/>
      <c r="D94" s="1504"/>
      <c r="E94" s="1505"/>
      <c r="F94" s="1506"/>
    </row>
    <row r="95" spans="1:8" ht="10" customHeight="1">
      <c r="A95" s="595"/>
      <c r="B95" s="595"/>
      <c r="C95" s="600"/>
      <c r="D95" s="600"/>
      <c r="E95" s="600"/>
      <c r="F95" s="600"/>
    </row>
    <row r="96" spans="1:8">
      <c r="A96" s="1507" t="s">
        <v>1249</v>
      </c>
      <c r="B96" s="1494"/>
      <c r="C96" s="609">
        <f>C93+C94</f>
        <v>6.0566707419781709</v>
      </c>
      <c r="D96" s="609">
        <f>+D93+D94</f>
        <v>5.1797792902701216</v>
      </c>
      <c r="E96" s="609">
        <f>+E93+E94</f>
        <v>5.0430194983533916</v>
      </c>
      <c r="F96" s="1572">
        <f>+F93+F94</f>
        <v>5.0072917043180318</v>
      </c>
    </row>
    <row r="97" spans="1:9" s="198" customFormat="1">
      <c r="A97" s="603"/>
      <c r="B97" s="904"/>
      <c r="C97" s="610"/>
      <c r="D97" s="610"/>
      <c r="E97" s="610"/>
      <c r="F97" s="610"/>
      <c r="G97" s="194"/>
      <c r="H97" s="194"/>
      <c r="I97" s="194"/>
    </row>
    <row r="98" spans="1:9" s="197" customFormat="1">
      <c r="A98" s="903" t="s">
        <v>1250</v>
      </c>
      <c r="B98" s="906"/>
      <c r="C98" s="907"/>
      <c r="D98" s="907"/>
      <c r="E98" s="907"/>
      <c r="F98" s="907"/>
    </row>
    <row r="99" spans="1:9" s="197" customFormat="1" ht="13" customHeight="1">
      <c r="A99" s="908" t="s">
        <v>1251</v>
      </c>
      <c r="B99" s="906"/>
      <c r="C99" s="886"/>
      <c r="D99" s="907"/>
      <c r="E99" s="907"/>
      <c r="F99" s="886"/>
    </row>
    <row r="100" spans="1:9" s="197" customFormat="1" ht="13" customHeight="1">
      <c r="A100" s="957" t="s">
        <v>1252</v>
      </c>
      <c r="B100" s="906"/>
      <c r="C100" s="891">
        <v>5.0529325998645271</v>
      </c>
      <c r="D100" s="907"/>
      <c r="E100" s="907"/>
      <c r="F100" s="612"/>
    </row>
    <row r="101" spans="1:9" s="197" customFormat="1" ht="13" customHeight="1">
      <c r="A101" s="957" t="s">
        <v>1258</v>
      </c>
      <c r="B101" s="906"/>
      <c r="C101" s="891">
        <v>4.9839680577408911</v>
      </c>
      <c r="D101" s="907"/>
      <c r="E101" s="907"/>
      <c r="F101" s="612"/>
    </row>
    <row r="102" spans="1:9" s="197" customFormat="1">
      <c r="A102" s="957" t="s">
        <v>1259</v>
      </c>
      <c r="B102" s="904"/>
      <c r="C102" s="891">
        <v>0</v>
      </c>
      <c r="D102" s="886"/>
      <c r="E102" s="886"/>
      <c r="F102" s="904"/>
    </row>
    <row r="103" spans="1:9" s="197" customFormat="1">
      <c r="A103" s="957" t="s">
        <v>1260</v>
      </c>
      <c r="B103" s="904"/>
      <c r="C103" s="891">
        <v>0</v>
      </c>
      <c r="D103" s="904"/>
      <c r="E103" s="904"/>
      <c r="F103" s="904"/>
    </row>
    <row r="104" spans="1:9" s="197" customFormat="1">
      <c r="A104" s="957" t="s">
        <v>1256</v>
      </c>
      <c r="B104" s="904"/>
      <c r="C104" s="889">
        <v>189.6</v>
      </c>
      <c r="D104" s="904"/>
      <c r="E104" s="604"/>
      <c r="F104" s="904"/>
    </row>
    <row r="105" spans="1:9" s="197" customFormat="1">
      <c r="A105" s="957" t="s">
        <v>1257</v>
      </c>
      <c r="B105" s="904"/>
      <c r="C105" s="889">
        <v>195.6</v>
      </c>
      <c r="D105" s="904"/>
      <c r="E105" s="904"/>
      <c r="F105" s="904"/>
    </row>
    <row r="106" spans="1:9" s="197" customFormat="1">
      <c r="A106" s="903" t="s">
        <v>1177</v>
      </c>
      <c r="B106" s="906"/>
      <c r="C106" s="907"/>
      <c r="D106" s="907"/>
      <c r="E106" s="907"/>
      <c r="F106" s="907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7D4CD-00A2-442E-B93E-CBCC4AB4A7F6}">
  <sheetPr>
    <tabColor theme="1"/>
    <pageSetUpPr fitToPage="1"/>
  </sheetPr>
  <dimension ref="A1:L106"/>
  <sheetViews>
    <sheetView topLeftCell="A64" zoomScale="115" zoomScaleNormal="115" workbookViewId="0">
      <selection activeCell="C91" sqref="C91"/>
    </sheetView>
  </sheetViews>
  <sheetFormatPr defaultColWidth="8.81640625" defaultRowHeight="13"/>
  <cols>
    <col min="1" max="1" width="24" style="903" customWidth="1"/>
    <col min="2" max="2" width="49.54296875" style="903" customWidth="1"/>
    <col min="3" max="6" width="12.54296875" style="903" customWidth="1"/>
    <col min="7" max="7" width="8.81640625" style="194" customWidth="1"/>
    <col min="8" max="16384" width="8.81640625" style="194"/>
  </cols>
  <sheetData>
    <row r="1" spans="1:6">
      <c r="A1" s="1680" t="s">
        <v>1178</v>
      </c>
      <c r="B1" s="1680"/>
      <c r="C1" s="1680"/>
      <c r="D1" s="1680"/>
      <c r="E1" s="1680"/>
      <c r="F1" s="1680"/>
    </row>
    <row r="2" spans="1:6">
      <c r="A2" s="1654"/>
      <c r="B2" s="1654"/>
      <c r="F2" s="529"/>
    </row>
    <row r="3" spans="1:6">
      <c r="A3" s="1455" t="s">
        <v>985</v>
      </c>
      <c r="B3" s="530"/>
      <c r="C3" s="194"/>
      <c r="D3" s="195"/>
      <c r="E3" s="194"/>
      <c r="F3" s="194"/>
    </row>
    <row r="4" spans="1:6">
      <c r="A4" s="531" t="s">
        <v>986</v>
      </c>
      <c r="B4" s="530"/>
      <c r="C4" s="194"/>
      <c r="D4" s="195"/>
      <c r="E4" s="194"/>
      <c r="F4" s="194"/>
    </row>
    <row r="5" spans="1:6">
      <c r="A5" s="532" t="s">
        <v>987</v>
      </c>
      <c r="B5" s="533"/>
      <c r="C5" s="1681" t="s">
        <v>1179</v>
      </c>
      <c r="D5" s="1681"/>
      <c r="E5" s="1681"/>
      <c r="F5" s="1682"/>
    </row>
    <row r="6" spans="1:6">
      <c r="A6" s="530"/>
      <c r="B6" s="530"/>
    </row>
    <row r="7" spans="1:6">
      <c r="A7" s="1683" t="s">
        <v>1180</v>
      </c>
      <c r="B7" s="1684"/>
      <c r="C7" s="196" t="s">
        <v>870</v>
      </c>
      <c r="D7" s="196">
        <v>2022</v>
      </c>
      <c r="E7" s="196">
        <v>2023</v>
      </c>
      <c r="F7" s="1456">
        <v>2024</v>
      </c>
    </row>
    <row r="8" spans="1:6">
      <c r="A8" s="904"/>
      <c r="B8" s="904"/>
      <c r="C8" s="904"/>
      <c r="D8" s="904"/>
      <c r="E8" s="904"/>
      <c r="F8" s="904"/>
    </row>
    <row r="9" spans="1:6" s="197" customFormat="1">
      <c r="A9" s="534" t="s">
        <v>992</v>
      </c>
      <c r="B9" s="534"/>
      <c r="C9" s="535"/>
      <c r="D9" s="985"/>
      <c r="E9" s="985"/>
      <c r="F9" s="985"/>
    </row>
    <row r="10" spans="1:6" ht="3" customHeight="1">
      <c r="A10" s="904"/>
      <c r="B10" s="904"/>
      <c r="C10" s="904"/>
      <c r="D10" s="904"/>
      <c r="E10" s="904"/>
      <c r="F10" s="904"/>
    </row>
    <row r="11" spans="1:6">
      <c r="A11" s="1457" t="s">
        <v>1181</v>
      </c>
      <c r="B11" s="1458"/>
      <c r="C11" s="536"/>
      <c r="D11" s="536"/>
      <c r="E11" s="536"/>
      <c r="F11" s="1459"/>
    </row>
    <row r="12" spans="1:6">
      <c r="A12" s="537" t="s">
        <v>1182</v>
      </c>
      <c r="B12" s="986"/>
      <c r="C12" s="538">
        <f>'ERT ANSP'!C12+'ERT MET'!C12+'ERT Supervision'!C12</f>
        <v>210546.85582790768</v>
      </c>
      <c r="D12" s="553">
        <f>'ERT ANSP'!D12+'ERT MET'!D12+'ERT Supervision'!D12</f>
        <v>121827.70340046877</v>
      </c>
      <c r="E12" s="553">
        <f>'ERT ANSP'!E12+'ERT MET'!E12+'ERT Supervision'!E12</f>
        <v>127629.15271053748</v>
      </c>
      <c r="F12" s="594">
        <f>'ERT ANSP'!F12+'ERT MET'!F12+'ERT Supervision'!F12</f>
        <v>130121.20381837431</v>
      </c>
    </row>
    <row r="13" spans="1:6" ht="3" customHeight="1">
      <c r="A13" s="904"/>
      <c r="B13" s="904"/>
      <c r="C13" s="539"/>
      <c r="D13" s="904"/>
      <c r="E13" s="904"/>
      <c r="F13" s="904"/>
    </row>
    <row r="14" spans="1:6">
      <c r="A14" s="1460" t="s">
        <v>1183</v>
      </c>
      <c r="B14" s="1461"/>
      <c r="C14" s="540"/>
      <c r="D14" s="536"/>
      <c r="E14" s="536"/>
      <c r="F14" s="1459"/>
    </row>
    <row r="15" spans="1:6">
      <c r="A15" s="1463" t="s">
        <v>1184</v>
      </c>
      <c r="B15" s="1464"/>
      <c r="C15" s="541">
        <f>'ERT ANSP'!C15+'ERT MET'!C15+'ERT Supervision'!C15</f>
        <v>164913.65056503701</v>
      </c>
      <c r="D15" s="541">
        <f>'ERT ANSP'!D15+'ERT MET'!D15+'ERT Supervision'!D15</f>
        <v>94871.248046194363</v>
      </c>
      <c r="E15" s="541">
        <f>'ERT ANSP'!E15+'ERT MET'!E15+'ERT Supervision'!E15</f>
        <v>99081.862033690457</v>
      </c>
      <c r="F15" s="542">
        <f>'ERT ANSP'!F15+'ERT MET'!F15+'ERT Supervision'!F15</f>
        <v>102476.42340351875</v>
      </c>
    </row>
    <row r="16" spans="1:6">
      <c r="A16" s="543" t="s">
        <v>1185</v>
      </c>
      <c r="B16" s="544"/>
      <c r="C16" s="545"/>
      <c r="D16" s="541">
        <f>'ERT ANSP'!D16</f>
        <v>105.19340881519997</v>
      </c>
      <c r="E16" s="987">
        <f>'ERT ANSP'!E16</f>
        <v>107.29727699150398</v>
      </c>
      <c r="F16" s="988">
        <f>'ERT ANSP'!F16</f>
        <v>109.44322253133406</v>
      </c>
    </row>
    <row r="17" spans="1:6">
      <c r="A17" s="546" t="s">
        <v>1186</v>
      </c>
      <c r="B17" s="547"/>
      <c r="C17" s="205"/>
      <c r="D17" s="541">
        <f>'ERT ANSP'!D17</f>
        <v>105.19340881519997</v>
      </c>
      <c r="E17" s="987">
        <f>'ERT ANSP'!E17</f>
        <v>107.29727699150398</v>
      </c>
      <c r="F17" s="988">
        <f>'ERT ANSP'!F17</f>
        <v>109.44322253133406</v>
      </c>
    </row>
    <row r="18" spans="1:6">
      <c r="A18" s="549" t="s">
        <v>1187</v>
      </c>
      <c r="B18" s="989"/>
      <c r="C18" s="204"/>
      <c r="D18" s="550">
        <f>D17/D16-1</f>
        <v>0</v>
      </c>
      <c r="E18" s="550">
        <f>E17/E16-1</f>
        <v>0</v>
      </c>
      <c r="F18" s="551">
        <f>F17/F16-1</f>
        <v>0</v>
      </c>
    </row>
    <row r="19" spans="1:6">
      <c r="A19" s="552" t="s">
        <v>1188</v>
      </c>
      <c r="B19" s="990"/>
      <c r="C19" s="553">
        <f>'ERT ANSP'!C19+'ERT MET'!C19+'ERT Supervision'!C19</f>
        <v>0</v>
      </c>
      <c r="D19" s="553">
        <f>'ERT ANSP'!D19</f>
        <v>0</v>
      </c>
      <c r="E19" s="555">
        <f>'ERT ANSP'!E19</f>
        <v>0</v>
      </c>
      <c r="F19" s="556">
        <f>'ERT ANSP'!F19</f>
        <v>0</v>
      </c>
    </row>
    <row r="20" spans="1:6" ht="3" customHeight="1">
      <c r="A20" s="904"/>
      <c r="B20" s="904"/>
      <c r="C20" s="904"/>
      <c r="D20" s="904"/>
      <c r="E20" s="904"/>
      <c r="F20" s="904"/>
    </row>
    <row r="21" spans="1:6">
      <c r="A21" s="1457" t="s">
        <v>1189</v>
      </c>
      <c r="B21" s="1458"/>
      <c r="C21" s="536"/>
      <c r="D21" s="536"/>
      <c r="E21" s="536"/>
      <c r="F21" s="1459"/>
    </row>
    <row r="22" spans="1:6">
      <c r="A22" s="1465" t="s">
        <v>1190</v>
      </c>
      <c r="B22" s="1466"/>
      <c r="C22" s="1467">
        <f>'ERT ANSP'!C22+'ERT MET'!C22+'ERT Supervision'!C22</f>
        <v>0</v>
      </c>
      <c r="D22" s="1467">
        <f>'ERT ANSP'!D22+'ERT MET'!D22+'ERT Supervision'!D22</f>
        <v>0</v>
      </c>
      <c r="E22" s="1469">
        <f>'ERT ANSP'!E22+'ERT MET'!E22+'ERT Supervision'!E22</f>
        <v>0</v>
      </c>
      <c r="F22" s="1470">
        <f>'ERT ANSP'!F22+'ERT MET'!F22+'ERT Supervision'!F22</f>
        <v>0</v>
      </c>
    </row>
    <row r="23" spans="1:6">
      <c r="A23" s="557" t="s">
        <v>1191</v>
      </c>
      <c r="B23" s="558"/>
      <c r="C23" s="905">
        <f>'ERT ANSP'!C23+'ERT MET'!C23+'ERT Supervision'!C23</f>
        <v>0</v>
      </c>
      <c r="D23" s="905">
        <f>'ERT ANSP'!D23+'ERT MET'!D23+'ERT Supervision'!D23</f>
        <v>0</v>
      </c>
      <c r="E23" s="562">
        <f>'ERT ANSP'!E23+'ERT MET'!E23+'ERT Supervision'!E23</f>
        <v>0</v>
      </c>
      <c r="F23" s="563">
        <f>'ERT ANSP'!F23+'ERT MET'!F23+'ERT Supervision'!F23</f>
        <v>0</v>
      </c>
    </row>
    <row r="24" spans="1:6">
      <c r="A24" s="557" t="s">
        <v>1192</v>
      </c>
      <c r="B24" s="558"/>
      <c r="C24" s="905">
        <f>'ERT ANSP'!C24+'ERT MET'!C24+'ERT Supervision'!C24</f>
        <v>0</v>
      </c>
      <c r="D24" s="905">
        <f>'ERT ANSP'!D24+'ERT MET'!D24+'ERT Supervision'!D24</f>
        <v>0</v>
      </c>
      <c r="E24" s="562">
        <f>'ERT ANSP'!E24+'ERT MET'!E24+'ERT Supervision'!E24</f>
        <v>0</v>
      </c>
      <c r="F24" s="563">
        <f>'ERT ANSP'!F24+'ERT MET'!F24+'ERT Supervision'!F24</f>
        <v>0</v>
      </c>
    </row>
    <row r="25" spans="1:6">
      <c r="A25" s="560" t="s">
        <v>1193</v>
      </c>
      <c r="B25" s="558"/>
      <c r="C25" s="905">
        <f>'ERT ANSP'!C25+'ERT MET'!C25+'ERT Supervision'!C25</f>
        <v>0</v>
      </c>
      <c r="D25" s="905">
        <f>'ERT ANSP'!D25+'ERT MET'!D25+'ERT Supervision'!D25</f>
        <v>0</v>
      </c>
      <c r="E25" s="562">
        <f>'ERT ANSP'!E25+'ERT MET'!E25+'ERT Supervision'!E25</f>
        <v>0</v>
      </c>
      <c r="F25" s="563">
        <f>'ERT ANSP'!F25+'ERT MET'!F25+'ERT Supervision'!F25</f>
        <v>0</v>
      </c>
    </row>
    <row r="26" spans="1:6">
      <c r="A26" s="560" t="s">
        <v>1194</v>
      </c>
      <c r="B26" s="558"/>
      <c r="C26" s="905">
        <f>'ERT ANSP'!C26+'ERT MET'!C26+'ERT Supervision'!C26</f>
        <v>0</v>
      </c>
      <c r="D26" s="905">
        <f>'ERT ANSP'!D26+'ERT MET'!D26+'ERT Supervision'!D26</f>
        <v>0</v>
      </c>
      <c r="E26" s="562">
        <f>'ERT ANSP'!E26+'ERT MET'!E26+'ERT Supervision'!E26</f>
        <v>0</v>
      </c>
      <c r="F26" s="563">
        <f>'ERT ANSP'!F26+'ERT MET'!F26+'ERT Supervision'!F26</f>
        <v>0</v>
      </c>
    </row>
    <row r="27" spans="1:6">
      <c r="A27" s="560" t="s">
        <v>1195</v>
      </c>
      <c r="B27" s="558"/>
      <c r="C27" s="905">
        <f>'ERT ANSP'!C27+'ERT MET'!C27+'ERT Supervision'!C27</f>
        <v>0</v>
      </c>
      <c r="D27" s="905">
        <f>'ERT ANSP'!D27+'ERT MET'!D27+'ERT Supervision'!D27</f>
        <v>0</v>
      </c>
      <c r="E27" s="562">
        <f>'ERT ANSP'!E27+'ERT MET'!E27+'ERT Supervision'!E27</f>
        <v>0</v>
      </c>
      <c r="F27" s="563">
        <f>'ERT ANSP'!F27+'ERT MET'!F27+'ERT Supervision'!F27</f>
        <v>0</v>
      </c>
    </row>
    <row r="28" spans="1:6">
      <c r="A28" s="1471" t="s">
        <v>1196</v>
      </c>
      <c r="B28" s="1472"/>
      <c r="C28" s="553">
        <f>'ERT ANSP'!C28+'ERT MET'!C28+'ERT Supervision'!C28</f>
        <v>0</v>
      </c>
      <c r="D28" s="553">
        <f>'ERT ANSP'!D28+'ERT MET'!D28+'ERT Supervision'!D28</f>
        <v>0</v>
      </c>
      <c r="E28" s="555">
        <f>'ERT ANSP'!E28+'ERT MET'!E28+'ERT Supervision'!E28</f>
        <v>0</v>
      </c>
      <c r="F28" s="556">
        <f>'ERT ANSP'!F28+'ERT MET'!F28+'ERT Supervision'!F28</f>
        <v>0</v>
      </c>
    </row>
    <row r="30" spans="1:6" s="197" customFormat="1">
      <c r="A30" s="534" t="s">
        <v>1010</v>
      </c>
      <c r="B30" s="534"/>
      <c r="C30" s="535"/>
      <c r="D30" s="535"/>
      <c r="E30" s="535"/>
      <c r="F30" s="535"/>
    </row>
    <row r="31" spans="1:6" ht="3" customHeight="1">
      <c r="A31" s="904"/>
      <c r="B31" s="904"/>
      <c r="C31" s="904"/>
      <c r="D31" s="904"/>
      <c r="E31" s="904"/>
      <c r="F31" s="904"/>
    </row>
    <row r="32" spans="1:6">
      <c r="A32" s="1457" t="s">
        <v>1197</v>
      </c>
      <c r="B32" s="1458"/>
      <c r="C32" s="536"/>
      <c r="D32" s="536"/>
      <c r="E32" s="536"/>
      <c r="F32" s="1459"/>
    </row>
    <row r="33" spans="1:6">
      <c r="A33" s="564" t="s">
        <v>1198</v>
      </c>
      <c r="B33" s="565"/>
      <c r="C33" s="541">
        <f>'ERT ANSP'!C33</f>
        <v>170159.21561270312</v>
      </c>
      <c r="D33" s="541">
        <f>'ERT ANSP'!D33</f>
        <v>100148.89614797206</v>
      </c>
      <c r="E33" s="541">
        <f>'ERT ANSP'!E33</f>
        <v>105020.09652605237</v>
      </c>
      <c r="F33" s="542">
        <f>'ERT ANSP'!F33</f>
        <v>107530.0039097227</v>
      </c>
    </row>
    <row r="34" spans="1:6">
      <c r="A34" s="566" t="s">
        <v>1199</v>
      </c>
      <c r="B34" s="567"/>
      <c r="C34" s="861"/>
      <c r="D34" s="861"/>
      <c r="E34" s="861"/>
      <c r="F34" s="991"/>
    </row>
    <row r="35" spans="1:6">
      <c r="A35" s="566" t="s">
        <v>1200</v>
      </c>
      <c r="B35" s="567"/>
      <c r="C35" s="861"/>
      <c r="D35" s="861"/>
      <c r="E35" s="861"/>
      <c r="F35" s="991"/>
    </row>
    <row r="36" spans="1:6">
      <c r="A36" s="566" t="s">
        <v>1201</v>
      </c>
      <c r="B36" s="567"/>
      <c r="C36" s="861"/>
      <c r="D36" s="861"/>
      <c r="E36" s="861"/>
      <c r="F36" s="991"/>
    </row>
    <row r="37" spans="1:6">
      <c r="A37" s="566" t="s">
        <v>1202</v>
      </c>
      <c r="B37" s="567"/>
      <c r="C37" s="861"/>
      <c r="D37" s="861"/>
      <c r="E37" s="861"/>
      <c r="F37" s="991"/>
    </row>
    <row r="38" spans="1:6">
      <c r="A38" s="546" t="s">
        <v>1203</v>
      </c>
      <c r="B38" s="547"/>
      <c r="C38" s="992">
        <f>'ERT ANSP'!C38</f>
        <v>4060.2902946000004</v>
      </c>
      <c r="D38" s="992">
        <f>'ERT ANSP'!D38</f>
        <v>3202</v>
      </c>
      <c r="E38" s="992">
        <f>'ERT ANSP'!E38</f>
        <v>4039</v>
      </c>
      <c r="F38" s="993">
        <f>'ERT ANSP'!F38</f>
        <v>4726</v>
      </c>
    </row>
    <row r="39" spans="1:6">
      <c r="A39" s="566" t="s">
        <v>1204</v>
      </c>
      <c r="B39" s="567"/>
      <c r="C39" s="992">
        <f>'ERT ANSP'!C39</f>
        <v>4060.2902946000004</v>
      </c>
      <c r="D39" s="849">
        <f>'ERT ANSP'!D39</f>
        <v>3202</v>
      </c>
      <c r="E39" s="849">
        <f>'ERT ANSP'!E39</f>
        <v>4039</v>
      </c>
      <c r="F39" s="993">
        <f>'ERT ANSP'!F39</f>
        <v>4726</v>
      </c>
    </row>
    <row r="40" spans="1:6">
      <c r="A40" s="570" t="s">
        <v>1205</v>
      </c>
      <c r="B40" s="994"/>
      <c r="C40" s="201">
        <f>C39/C38-1</f>
        <v>0</v>
      </c>
      <c r="D40" s="201">
        <f>D39/D38-1</f>
        <v>0</v>
      </c>
      <c r="E40" s="995">
        <f>E39/E38-1</f>
        <v>0</v>
      </c>
      <c r="F40" s="996">
        <f>F39/F38-1</f>
        <v>0</v>
      </c>
    </row>
    <row r="41" spans="1:6">
      <c r="A41" s="552" t="s">
        <v>1206</v>
      </c>
      <c r="B41" s="990"/>
      <c r="C41" s="553">
        <f>'ERT ANSP'!C41</f>
        <v>0</v>
      </c>
      <c r="D41" s="997">
        <f>'ERT ANSP'!D41</f>
        <v>0</v>
      </c>
      <c r="E41" s="555">
        <f>'ERT ANSP'!E41</f>
        <v>0</v>
      </c>
      <c r="F41" s="556">
        <f>'ERT ANSP'!F41</f>
        <v>0</v>
      </c>
    </row>
    <row r="42" spans="1:6" ht="3" customHeight="1">
      <c r="A42" s="904"/>
      <c r="B42" s="904"/>
      <c r="C42" s="904"/>
      <c r="D42" s="904"/>
      <c r="E42" s="904"/>
      <c r="F42" s="904"/>
    </row>
    <row r="43" spans="1:6">
      <c r="A43" s="1460" t="s">
        <v>1207</v>
      </c>
      <c r="B43" s="1461"/>
      <c r="C43" s="536"/>
      <c r="D43" s="1483"/>
      <c r="E43" s="1483"/>
      <c r="F43" s="1484"/>
    </row>
    <row r="44" spans="1:6">
      <c r="A44" s="1473" t="s">
        <v>1208</v>
      </c>
      <c r="B44" s="1474"/>
      <c r="C44" s="572">
        <f>'ERT ANSP'!C44+'ERT MET'!C44+'ERT Supervision'!C44</f>
        <v>0</v>
      </c>
      <c r="D44" s="1510">
        <f>'ERT ANSP'!D44+'ERT MET'!D44+'ERT Supervision'!D44</f>
        <v>0</v>
      </c>
      <c r="E44" s="1523">
        <f>'ERT ANSP'!E44+'ERT MET'!E44+'ERT Supervision'!E44</f>
        <v>0</v>
      </c>
      <c r="F44" s="1524">
        <f>'ERT ANSP'!F44+'ERT MET'!F44+'ERT Supervision'!F44</f>
        <v>0</v>
      </c>
    </row>
    <row r="45" spans="1:6">
      <c r="A45" s="574" t="s">
        <v>1209</v>
      </c>
      <c r="B45" s="575"/>
      <c r="C45" s="572">
        <f>'ERT ANSP'!C45+'ERT MET'!C45+'ERT Supervision'!C45</f>
        <v>0</v>
      </c>
      <c r="D45" s="998">
        <f>'ERT ANSP'!D45+'ERT MET'!D45+'ERT Supervision'!D45</f>
        <v>0</v>
      </c>
      <c r="E45" s="576">
        <f>'ERT ANSP'!E45+'ERT MET'!E45+'ERT Supervision'!E45</f>
        <v>0</v>
      </c>
      <c r="F45" s="999">
        <f>'ERT ANSP'!F45+'ERT MET'!F45+'ERT Supervision'!F45</f>
        <v>0</v>
      </c>
    </row>
    <row r="46" spans="1:6">
      <c r="A46" s="1471" t="s">
        <v>1210</v>
      </c>
      <c r="B46" s="1472"/>
      <c r="C46" s="553">
        <f>'ERT ANSP'!C46+'ERT MET'!C46+'ERT Supervision'!C46</f>
        <v>0</v>
      </c>
      <c r="D46" s="553">
        <f>'ERT ANSP'!D46+'ERT MET'!D46+'ERT Supervision'!D46</f>
        <v>0</v>
      </c>
      <c r="E46" s="555">
        <f>'ERT ANSP'!E46+'ERT MET'!E46+'ERT Supervision'!E46</f>
        <v>0</v>
      </c>
      <c r="F46" s="556">
        <f>'ERT ANSP'!F46+'ERT MET'!F46+'ERT Supervision'!F46</f>
        <v>0</v>
      </c>
    </row>
    <row r="48" spans="1:6" s="197" customFormat="1">
      <c r="A48" s="534" t="s">
        <v>1016</v>
      </c>
      <c r="B48" s="534"/>
      <c r="C48" s="535"/>
      <c r="D48" s="535"/>
      <c r="E48" s="535"/>
      <c r="F48" s="535"/>
    </row>
    <row r="49" spans="1:6" ht="3" customHeight="1">
      <c r="A49" s="904"/>
      <c r="B49" s="904"/>
      <c r="C49" s="904"/>
      <c r="D49" s="904"/>
      <c r="E49" s="904"/>
      <c r="F49" s="904"/>
    </row>
    <row r="50" spans="1:6">
      <c r="A50" s="1457" t="s">
        <v>1211</v>
      </c>
      <c r="B50" s="1458"/>
      <c r="C50" s="536"/>
      <c r="D50" s="536"/>
      <c r="E50" s="536"/>
      <c r="F50" s="1459"/>
    </row>
    <row r="51" spans="1:6">
      <c r="A51" s="566" t="s">
        <v>1212</v>
      </c>
      <c r="B51" s="567"/>
      <c r="C51" s="559"/>
      <c r="D51" s="905">
        <f>'ERT ANSP'!D51</f>
        <v>0</v>
      </c>
      <c r="E51" s="1010">
        <f>'ERT ANSP'!E51</f>
        <v>0</v>
      </c>
      <c r="F51" s="1011">
        <f>'ERT ANSP'!F51</f>
        <v>0</v>
      </c>
    </row>
    <row r="52" spans="1:6">
      <c r="A52" s="566" t="s">
        <v>1213</v>
      </c>
      <c r="B52" s="567"/>
      <c r="C52" s="559"/>
      <c r="D52" s="905"/>
      <c r="E52" s="1010"/>
      <c r="F52" s="1011"/>
    </row>
    <row r="53" spans="1:6">
      <c r="A53" s="564" t="s">
        <v>1214</v>
      </c>
      <c r="B53" s="565"/>
      <c r="C53" s="559"/>
      <c r="D53" s="905"/>
      <c r="E53" s="1012"/>
      <c r="F53" s="1013"/>
    </row>
    <row r="54" spans="1:6" s="202" customFormat="1">
      <c r="A54" s="1471" t="s">
        <v>1215</v>
      </c>
      <c r="B54" s="1472"/>
      <c r="C54" s="206"/>
      <c r="D54" s="1525">
        <f>'ERT ANSP'!D54</f>
        <v>0</v>
      </c>
      <c r="E54" s="1526">
        <f>'ERT ANSP'!E54</f>
        <v>0</v>
      </c>
      <c r="F54" s="1527">
        <f>'ERT ANSP'!F54</f>
        <v>0</v>
      </c>
    </row>
    <row r="55" spans="1:6">
      <c r="A55" s="904"/>
      <c r="B55" s="904"/>
      <c r="C55" s="904"/>
      <c r="D55" s="904"/>
      <c r="E55" s="1014"/>
      <c r="F55" s="1014"/>
    </row>
    <row r="56" spans="1:6" s="197" customFormat="1">
      <c r="A56" s="534" t="s">
        <v>1026</v>
      </c>
      <c r="B56" s="534"/>
      <c r="C56" s="578"/>
      <c r="D56" s="578"/>
      <c r="E56" s="535"/>
      <c r="F56" s="535"/>
    </row>
    <row r="57" spans="1:6" ht="3" customHeight="1">
      <c r="A57" s="904"/>
      <c r="B57" s="904"/>
      <c r="C57" s="904"/>
      <c r="D57" s="904"/>
      <c r="E57" s="904"/>
      <c r="F57" s="904"/>
    </row>
    <row r="58" spans="1:6">
      <c r="A58" s="1457" t="s">
        <v>1216</v>
      </c>
      <c r="B58" s="1458"/>
      <c r="C58" s="536"/>
      <c r="D58" s="536"/>
      <c r="E58" s="536"/>
      <c r="F58" s="1459"/>
    </row>
    <row r="59" spans="1:6" s="203" customFormat="1">
      <c r="A59" s="1471" t="s">
        <v>1217</v>
      </c>
      <c r="B59" s="1472"/>
      <c r="C59" s="555">
        <f>'ERT ANSP'!C59+'ERT MET'!C59+'ERT Supervision'!C59</f>
        <v>0</v>
      </c>
      <c r="D59" s="553">
        <f>'ERT ANSP'!D59+'ERT MET'!D59+'ERT Supervision'!D59</f>
        <v>0</v>
      </c>
      <c r="E59" s="580">
        <f>'ERT ANSP'!E59+'ERT MET'!E59+'ERT Supervision'!E59</f>
        <v>0</v>
      </c>
      <c r="F59" s="1475">
        <f>'ERT ANSP'!F59+'ERT MET'!F59+'ERT Supervision'!F59</f>
        <v>0</v>
      </c>
    </row>
    <row r="60" spans="1:6" ht="3" customHeight="1">
      <c r="A60" s="904"/>
      <c r="B60" s="904"/>
      <c r="C60" s="904"/>
      <c r="D60" s="904"/>
      <c r="E60" s="904"/>
      <c r="F60" s="904"/>
    </row>
    <row r="61" spans="1:6">
      <c r="A61" s="1457" t="s">
        <v>1218</v>
      </c>
      <c r="B61" s="1458"/>
      <c r="C61" s="536"/>
      <c r="D61" s="540"/>
      <c r="E61" s="536"/>
      <c r="F61" s="1459"/>
    </row>
    <row r="62" spans="1:6">
      <c r="A62" s="1476" t="s">
        <v>1219</v>
      </c>
      <c r="B62" s="1477"/>
      <c r="C62" s="581" t="s">
        <v>1220</v>
      </c>
      <c r="D62" s="831"/>
      <c r="E62" s="1528"/>
      <c r="F62" s="1529"/>
    </row>
    <row r="63" spans="1:6">
      <c r="A63" s="1479" t="s">
        <v>1221</v>
      </c>
      <c r="B63" s="1480"/>
      <c r="C63" s="981">
        <f>'ERT ANSP'!C63+'ERT MET'!C63+'ERT Supervision'!C63</f>
        <v>78347.989341888868</v>
      </c>
      <c r="D63" s="831">
        <f>'ERT ANSP'!D63+'ERT MET'!D63+'ERT Supervision'!D63</f>
        <v>0</v>
      </c>
      <c r="E63" s="584">
        <f>'ERT ANSP'!E63+'ERT MET'!E63+'ERT Supervision'!E63</f>
        <v>0</v>
      </c>
      <c r="F63" s="1481">
        <f>'ERT ANSP'!F63+'ERT MET'!F63+'ERT Supervision'!F63</f>
        <v>0</v>
      </c>
    </row>
    <row r="64" spans="1:6" ht="3" customHeight="1">
      <c r="A64" s="904"/>
      <c r="B64" s="904"/>
      <c r="C64" s="904"/>
      <c r="D64" s="904"/>
      <c r="E64" s="904"/>
      <c r="F64" s="904"/>
    </row>
    <row r="65" spans="1:6">
      <c r="A65" s="1457" t="s">
        <v>1222</v>
      </c>
      <c r="B65" s="1458"/>
      <c r="C65" s="536"/>
      <c r="D65" s="540"/>
      <c r="E65" s="536"/>
      <c r="F65" s="1459"/>
    </row>
    <row r="66" spans="1:6">
      <c r="A66" s="1479" t="s">
        <v>1223</v>
      </c>
      <c r="B66" s="1480"/>
      <c r="C66" s="585"/>
      <c r="D66" s="585"/>
      <c r="E66" s="587"/>
      <c r="F66" s="1482"/>
    </row>
    <row r="67" spans="1:6" ht="3" customHeight="1">
      <c r="A67" s="904"/>
      <c r="B67" s="904"/>
      <c r="C67" s="904"/>
      <c r="D67" s="904"/>
      <c r="E67" s="904"/>
      <c r="F67" s="904"/>
    </row>
    <row r="68" spans="1:6">
      <c r="A68" s="1457" t="s">
        <v>1224</v>
      </c>
      <c r="B68" s="1458"/>
      <c r="C68" s="1483"/>
      <c r="D68" s="1530"/>
      <c r="E68" s="1483"/>
      <c r="F68" s="1484"/>
    </row>
    <row r="69" spans="1:6">
      <c r="A69" s="1485" t="s">
        <v>1225</v>
      </c>
      <c r="B69" s="1486"/>
      <c r="C69" s="1531">
        <f>'ERT ANSP'!C69+'ERT MET'!C69+'ERT Supervision'!C69</f>
        <v>-208.1</v>
      </c>
      <c r="D69" s="1510">
        <f>'ERT ANSP'!D69+'ERT MET'!D69+'ERT Supervision'!D69</f>
        <v>0</v>
      </c>
      <c r="E69" s="1510">
        <f>'ERT ANSP'!E69+'ERT MET'!E69+'ERT Supervision'!E69</f>
        <v>0</v>
      </c>
      <c r="F69" s="1511">
        <f>'ERT ANSP'!F69+'ERT MET'!F69+'ERT Supervision'!F69</f>
        <v>0</v>
      </c>
    </row>
    <row r="70" spans="1:6">
      <c r="A70" s="566" t="s">
        <v>1226</v>
      </c>
      <c r="B70" s="567"/>
      <c r="C70" s="1000">
        <f>'ERT ANSP'!C70+'ERT MET'!C70+'ERT Supervision'!C70</f>
        <v>0</v>
      </c>
      <c r="D70" s="849">
        <f>'ERT ANSP'!D70+'ERT MET'!D70+'ERT Supervision'!D70</f>
        <v>0</v>
      </c>
      <c r="E70" s="849">
        <f>'ERT ANSP'!E70+'ERT MET'!E70+'ERT Supervision'!E70</f>
        <v>0</v>
      </c>
      <c r="F70" s="850">
        <f>'ERT ANSP'!F70+'ERT MET'!F70+'ERT Supervision'!F70</f>
        <v>0</v>
      </c>
    </row>
    <row r="71" spans="1:6">
      <c r="A71" s="566" t="s">
        <v>1227</v>
      </c>
      <c r="B71" s="567"/>
      <c r="C71" s="1000">
        <f>'ERT ANSP'!C71+'ERT MET'!C71+'ERT Supervision'!C71</f>
        <v>-14432.771670257451</v>
      </c>
      <c r="D71" s="849">
        <f>'ERT ANSP'!D71+'ERT MET'!D71+'ERT Supervision'!D71</f>
        <v>0</v>
      </c>
      <c r="E71" s="849">
        <f>'ERT ANSP'!E71+'ERT MET'!E71+'ERT Supervision'!E71</f>
        <v>0</v>
      </c>
      <c r="F71" s="850">
        <f>'ERT ANSP'!F71+'ERT MET'!F71+'ERT Supervision'!F71</f>
        <v>0</v>
      </c>
    </row>
    <row r="72" spans="1:6">
      <c r="A72" s="566" t="s">
        <v>1228</v>
      </c>
      <c r="B72" s="567"/>
      <c r="C72" s="1000">
        <f>'ERT ANSP'!C72+'ERT MET'!C72+'ERT Supervision'!C72</f>
        <v>0</v>
      </c>
      <c r="D72" s="849">
        <f>'ERT ANSP'!D72+'ERT MET'!D72+'ERT Supervision'!D72</f>
        <v>0</v>
      </c>
      <c r="E72" s="849">
        <f>'ERT ANSP'!E72+'ERT MET'!E72+'ERT Supervision'!E72</f>
        <v>0</v>
      </c>
      <c r="F72" s="850">
        <f>'ERT ANSP'!F72+'ERT MET'!F72+'ERT Supervision'!F72</f>
        <v>0</v>
      </c>
    </row>
    <row r="73" spans="1:6">
      <c r="A73" s="1490" t="s">
        <v>1229</v>
      </c>
      <c r="B73" s="1491"/>
      <c r="C73" s="553">
        <f>'ERT ANSP'!C73+'ERT MET'!C73+'ERT Supervision'!C73</f>
        <v>-14640.871670257451</v>
      </c>
      <c r="D73" s="554">
        <f>'ERT ANSP'!D73+'ERT MET'!D73+'ERT Supervision'!D73</f>
        <v>0</v>
      </c>
      <c r="E73" s="554">
        <f>'ERT ANSP'!E73+'ERT MET'!E73+'ERT Supervision'!E73</f>
        <v>0</v>
      </c>
      <c r="F73" s="1001">
        <f>'ERT ANSP'!F73+'ERT MET'!F73+'ERT Supervision'!F73</f>
        <v>0</v>
      </c>
    </row>
    <row r="74" spans="1:6" ht="3" customHeight="1">
      <c r="A74" s="595"/>
      <c r="B74" s="595"/>
      <c r="C74" s="596"/>
      <c r="D74" s="904"/>
      <c r="E74" s="904"/>
      <c r="F74" s="904"/>
    </row>
    <row r="75" spans="1:6">
      <c r="A75" s="1457" t="s">
        <v>1230</v>
      </c>
      <c r="B75" s="1458"/>
      <c r="C75" s="1492" t="s">
        <v>1231</v>
      </c>
      <c r="D75" s="1530"/>
      <c r="E75" s="1483"/>
      <c r="F75" s="1484"/>
    </row>
    <row r="76" spans="1:6" s="203" customFormat="1">
      <c r="A76" s="1479" t="s">
        <v>1232</v>
      </c>
      <c r="B76" s="1480"/>
      <c r="C76" s="553">
        <f>'ERT ANSP'!C76+'ERT MET'!C76+'ERT Supervision'!C76</f>
        <v>0</v>
      </c>
      <c r="D76" s="554">
        <f>'ERT ANSP'!D76+'ERT MET'!D76+'ERT Supervision'!D76</f>
        <v>0</v>
      </c>
      <c r="E76" s="554">
        <f>'ERT ANSP'!E76+'ERT MET'!E76+'ERT Supervision'!E76</f>
        <v>0</v>
      </c>
      <c r="F76" s="1001">
        <f>'ERT ANSP'!F76+'ERT MET'!F76+'ERT Supervision'!F76</f>
        <v>0</v>
      </c>
    </row>
    <row r="77" spans="1:6" ht="10" customHeight="1">
      <c r="A77" s="595"/>
      <c r="B77" s="595"/>
      <c r="C77" s="600"/>
      <c r="D77" s="600"/>
      <c r="E77" s="596"/>
      <c r="F77" s="596"/>
    </row>
    <row r="78" spans="1:6">
      <c r="A78" s="1493" t="s">
        <v>1233</v>
      </c>
      <c r="B78" s="1494"/>
      <c r="C78" s="601">
        <f>'ERT ANSP'!C78+'ERT MET'!C78+'ERT Supervision'!C78</f>
        <v>63707.117671631415</v>
      </c>
      <c r="D78" s="601">
        <f>'ERT ANSP'!D78+'ERT MET'!D78+'ERT Supervision'!D78</f>
        <v>0</v>
      </c>
      <c r="E78" s="601">
        <f>'ERT ANSP'!E78+'ERT MET'!E78+'ERT Supervision'!E78</f>
        <v>0</v>
      </c>
      <c r="F78" s="602">
        <f>'ERT ANSP'!F78+'ERT MET'!F78+'ERT Supervision'!F78</f>
        <v>0</v>
      </c>
    </row>
    <row r="79" spans="1:6">
      <c r="A79" s="603"/>
      <c r="B79" s="904"/>
      <c r="C79" s="604"/>
      <c r="D79" s="604"/>
      <c r="E79" s="604"/>
      <c r="F79" s="604"/>
    </row>
    <row r="80" spans="1:6" ht="12.75" customHeight="1">
      <c r="A80" s="1683" t="s">
        <v>1234</v>
      </c>
      <c r="B80" s="1684"/>
      <c r="C80" s="196" t="s">
        <v>870</v>
      </c>
      <c r="D80" s="196">
        <v>2022</v>
      </c>
      <c r="E80" s="196">
        <v>2023</v>
      </c>
      <c r="F80" s="1456">
        <v>2024</v>
      </c>
    </row>
    <row r="81" spans="1:12">
      <c r="A81" s="1465" t="s">
        <v>1235</v>
      </c>
      <c r="B81" s="1466"/>
      <c r="C81" s="1495">
        <f>'ERT ANSP'!C81+'ERT MET'!C81+'ERT Supervision'!C81</f>
        <v>210546.85582790768</v>
      </c>
      <c r="D81" s="1495">
        <f>'ERT ANSP'!D81+'ERT MET'!D81+'ERT Supervision'!D81</f>
        <v>121827.70340046877</v>
      </c>
      <c r="E81" s="1495">
        <f>'ERT ANSP'!E81+'ERT MET'!E81+'ERT Supervision'!E81</f>
        <v>127629.15271053748</v>
      </c>
      <c r="F81" s="1496">
        <f>'ERT ANSP'!F81+'ERT MET'!F81+'ERT Supervision'!F81</f>
        <v>130121.20381837431</v>
      </c>
      <c r="H81" s="1002"/>
      <c r="I81" s="1002"/>
      <c r="J81" s="1002"/>
      <c r="K81" s="1002"/>
      <c r="L81" s="1002"/>
    </row>
    <row r="82" spans="1:12">
      <c r="A82" s="546" t="s">
        <v>1236</v>
      </c>
      <c r="B82" s="547"/>
      <c r="C82" s="572">
        <f>'ERT ANSP'!C82+'ERT MET'!C82+'ERT Supervision'!C82</f>
        <v>-13331.971342117511</v>
      </c>
      <c r="D82" s="572">
        <f>'ERT ANSP'!D82+'ERT MET'!D82+'ERT Supervision'!D82</f>
        <v>0</v>
      </c>
      <c r="E82" s="572">
        <f>'ERT ANSP'!E82+'ERT MET'!E82+'ERT Supervision'!E82</f>
        <v>0</v>
      </c>
      <c r="F82" s="573">
        <f>'ERT ANSP'!F82+'ERT MET'!F82+'ERT Supervision'!F82</f>
        <v>0</v>
      </c>
    </row>
    <row r="83" spans="1:12">
      <c r="A83" s="546" t="s">
        <v>1237</v>
      </c>
      <c r="B83" s="547"/>
      <c r="C83" s="572">
        <f>'ERT ANSP'!C83+'ERT MET'!C83+'ERT Supervision'!C83</f>
        <v>-10542.64455780919</v>
      </c>
      <c r="D83" s="572">
        <f>'ERT ANSP'!D83+'ERT MET'!D83+'ERT Supervision'!D83</f>
        <v>0</v>
      </c>
      <c r="E83" s="572">
        <f>'ERT ANSP'!E83+'ERT MET'!E83+'ERT Supervision'!E83</f>
        <v>0</v>
      </c>
      <c r="F83" s="573">
        <f>'ERT ANSP'!F83+'ERT MET'!F83+'ERT Supervision'!F83</f>
        <v>0</v>
      </c>
    </row>
    <row r="84" spans="1:12">
      <c r="A84" s="605" t="s">
        <v>1238</v>
      </c>
      <c r="B84" s="567"/>
      <c r="C84" s="572">
        <f>'ERT ANSP'!C84+'ERT MET'!C84+'ERT Supervision'!C84</f>
        <v>-3064.4756399999997</v>
      </c>
      <c r="D84" s="572">
        <f>'ERT ANSP'!D84+'ERT MET'!D84+'ERT Supervision'!D84</f>
        <v>0</v>
      </c>
      <c r="E84" s="572">
        <f>'ERT ANSP'!E84+'ERT MET'!E84+'ERT Supervision'!E84</f>
        <v>0</v>
      </c>
      <c r="F84" s="573">
        <f>'ERT ANSP'!F84+'ERT MET'!F84+'ERT Supervision'!F84</f>
        <v>0</v>
      </c>
    </row>
    <row r="85" spans="1:12">
      <c r="A85" s="605" t="s">
        <v>1239</v>
      </c>
      <c r="B85" s="567"/>
      <c r="C85" s="572">
        <f>'ERT ANSP'!C85+'ERT MET'!C85+'ERT Supervision'!C85</f>
        <v>1110.085</v>
      </c>
      <c r="D85" s="572">
        <f>'ERT ANSP'!D85+'ERT MET'!D85+'ERT Supervision'!D85</f>
        <v>0</v>
      </c>
      <c r="E85" s="572">
        <f>'ERT ANSP'!E85+'ERT MET'!E85+'ERT Supervision'!E85</f>
        <v>0</v>
      </c>
      <c r="F85" s="573">
        <f>'ERT ANSP'!F85+'ERT MET'!F85+'ERT Supervision'!F85</f>
        <v>0</v>
      </c>
    </row>
    <row r="86" spans="1:12">
      <c r="A86" s="605" t="s">
        <v>1240</v>
      </c>
      <c r="B86" s="567"/>
      <c r="C86" s="572">
        <f>'ERT ANSP'!C86+'ERT MET'!C86+'ERT Supervision'!C86</f>
        <v>0</v>
      </c>
      <c r="D86" s="572">
        <f>'ERT ANSP'!D86+'ERT MET'!D86+'ERT Supervision'!D86</f>
        <v>0</v>
      </c>
      <c r="E86" s="572">
        <f>'ERT ANSP'!E86+'ERT MET'!E86+'ERT Supervision'!E86</f>
        <v>0</v>
      </c>
      <c r="F86" s="573">
        <f>'ERT ANSP'!F86+'ERT MET'!F86+'ERT Supervision'!F86</f>
        <v>0</v>
      </c>
    </row>
    <row r="87" spans="1:12">
      <c r="A87" s="605" t="s">
        <v>1241</v>
      </c>
      <c r="B87" s="567"/>
      <c r="C87" s="572">
        <f>'ERT ANSP'!C87+'ERT MET'!C87+'ERT Supervision'!C87</f>
        <v>-1559.0545097803592</v>
      </c>
      <c r="D87" s="572">
        <f>'ERT ANSP'!D87+'ERT MET'!D87+'ERT Supervision'!D87</f>
        <v>-6930.3553433076358</v>
      </c>
      <c r="E87" s="890">
        <f>'ERT ANSP'!E87+'ERT MET'!E87+'ERT Supervision'!E87</f>
        <v>-8713.6524540024366</v>
      </c>
      <c r="F87" s="573">
        <f>'ERT ANSP'!F87+'ERT MET'!F87+'ERT Supervision'!F87</f>
        <v>0</v>
      </c>
    </row>
    <row r="88" spans="1:12">
      <c r="A88" s="564" t="s">
        <v>1242</v>
      </c>
      <c r="B88" s="565"/>
      <c r="C88" s="572">
        <f>'ERT ANSP'!C88+'ERT MET'!C88+'ERT Supervision'!C88</f>
        <v>-14640.871670257451</v>
      </c>
      <c r="D88" s="572">
        <f>'ERT ANSP'!D88+'ERT MET'!D88+'ERT Supervision'!D88</f>
        <v>-573.07566919826104</v>
      </c>
      <c r="E88" s="572">
        <f>'ERT ANSP'!E88+'ERT MET'!E88+'ERT Supervision'!E88</f>
        <v>0</v>
      </c>
      <c r="F88" s="573">
        <f>'ERT ANSP'!F88+'ERT MET'!F88+'ERT Supervision'!F88</f>
        <v>0</v>
      </c>
    </row>
    <row r="89" spans="1:12">
      <c r="A89" s="564" t="s">
        <v>1243</v>
      </c>
      <c r="B89" s="565"/>
      <c r="C89" s="572">
        <f>'ERT ANSP'!C89+'ERT MET'!C89+'ERT Supervision'!C89</f>
        <v>0</v>
      </c>
      <c r="D89" s="572">
        <f>'ERT ANSP'!D89+'ERT MET'!D89+'ERT Supervision'!D89</f>
        <v>0</v>
      </c>
      <c r="E89" s="572">
        <f>'ERT ANSP'!E89+'ERT MET'!E89+'ERT Supervision'!E89</f>
        <v>0</v>
      </c>
      <c r="F89" s="573">
        <f>'ERT ANSP'!F89+'ERT MET'!F89+'ERT Supervision'!F89</f>
        <v>0</v>
      </c>
    </row>
    <row r="90" spans="1:12">
      <c r="A90" s="605" t="s">
        <v>1244</v>
      </c>
      <c r="B90" s="606"/>
      <c r="C90" s="607">
        <f>'ERT ANSP'!C90+'ERT MET'!C90+'ERT Supervision'!C90</f>
        <v>0</v>
      </c>
      <c r="D90" s="607">
        <f>'ERT ANSP'!D90+'ERT MET'!D90+'ERT Supervision'!D90</f>
        <v>0</v>
      </c>
      <c r="E90" s="1003">
        <f>'ERT ANSP'!E90+'ERT MET'!E90+'ERT Supervision'!E90</f>
        <v>11192.569905984124</v>
      </c>
      <c r="F90" s="1004">
        <f>'ERT ANSP'!F90+'ERT MET'!F90+'ERT Supervision'!F90</f>
        <v>11192.569905984124</v>
      </c>
    </row>
    <row r="91" spans="1:12">
      <c r="A91" s="1497" t="s">
        <v>1245</v>
      </c>
      <c r="B91" s="1498"/>
      <c r="C91" s="1499">
        <f>'ERT ANSP'!C91+'ERT MET'!C91+'ERT Supervision'!C91</f>
        <v>168517.92310794315</v>
      </c>
      <c r="D91" s="1499">
        <f>'ERT ANSP'!D91+'ERT MET'!D91+'ERT Supervision'!D91</f>
        <v>114324.27238796288</v>
      </c>
      <c r="E91" s="1499">
        <f>'ERT ANSP'!E91+'ERT MET'!E91+'ERT Supervision'!E91</f>
        <v>130108.07016251917</v>
      </c>
      <c r="F91" s="1499">
        <f>'ERT ANSP'!F91+'ERT MET'!F91+'ERT Supervision'!F91</f>
        <v>141313.77372435844</v>
      </c>
    </row>
    <row r="92" spans="1:12">
      <c r="A92" s="1500" t="s">
        <v>1246</v>
      </c>
      <c r="B92" s="1501"/>
      <c r="C92" s="1502">
        <f>'ERT ANSP'!C92</f>
        <v>4060.2902946000004</v>
      </c>
      <c r="D92" s="1502">
        <f>'ERT ANSP'!D92</f>
        <v>3202</v>
      </c>
      <c r="E92" s="1502">
        <f>'ERT ANSP'!E92</f>
        <v>4039</v>
      </c>
      <c r="F92" s="1502">
        <f>'ERT ANSP'!F92</f>
        <v>4726</v>
      </c>
    </row>
    <row r="93" spans="1:12">
      <c r="A93" s="1500" t="s">
        <v>1247</v>
      </c>
      <c r="B93" s="1501"/>
      <c r="C93" s="1503">
        <f>C91/C92</f>
        <v>41.50391003620215</v>
      </c>
      <c r="D93" s="1503">
        <f>D91/D92</f>
        <v>35.704020108670477</v>
      </c>
      <c r="E93" s="1503">
        <f>E91/E92</f>
        <v>32.212941362346911</v>
      </c>
      <c r="F93" s="1503">
        <f>F91/F92</f>
        <v>29.901348650943387</v>
      </c>
    </row>
    <row r="94" spans="1:12">
      <c r="A94" s="1500" t="s">
        <v>1248</v>
      </c>
      <c r="B94" s="1501"/>
      <c r="C94" s="1503">
        <f>'ERT ANSP'!C94+'ERT MET'!C94+'ERT Supervision'!C94</f>
        <v>0</v>
      </c>
      <c r="D94" s="1503">
        <f>'ERT ANSP'!D94+'ERT MET'!D94+'ERT Supervision'!D94</f>
        <v>0</v>
      </c>
      <c r="E94" s="1503">
        <f>'ERT ANSP'!E94+'ERT MET'!E94+'ERT Supervision'!E94</f>
        <v>0</v>
      </c>
      <c r="F94" s="1503">
        <f>'ERT ANSP'!F94+'ERT MET'!F94+'ERT Supervision'!F94</f>
        <v>0</v>
      </c>
    </row>
    <row r="95" spans="1:12">
      <c r="A95" s="595"/>
      <c r="B95" s="595"/>
      <c r="C95" s="600"/>
      <c r="D95" s="596"/>
      <c r="E95" s="596"/>
      <c r="F95" s="596"/>
    </row>
    <row r="96" spans="1:12">
      <c r="A96" s="1507" t="s">
        <v>1249</v>
      </c>
      <c r="B96" s="1494"/>
      <c r="C96" s="609">
        <f>+C93+C94</f>
        <v>41.50391003620215</v>
      </c>
      <c r="D96" s="609">
        <f>+D93+D94</f>
        <v>35.704020108670477</v>
      </c>
      <c r="E96" s="609">
        <f>+E93+E94</f>
        <v>32.212941362346911</v>
      </c>
      <c r="F96" s="1572">
        <f>+F93+F94</f>
        <v>29.901348650943387</v>
      </c>
    </row>
    <row r="97" spans="1:7" s="198" customFormat="1">
      <c r="A97" s="603"/>
      <c r="B97" s="904"/>
      <c r="C97" s="610"/>
      <c r="D97" s="610"/>
      <c r="E97" s="610"/>
      <c r="F97" s="610"/>
      <c r="G97" s="194"/>
    </row>
    <row r="98" spans="1:7" s="197" customFormat="1" ht="14.5">
      <c r="A98" s="888" t="s">
        <v>1250</v>
      </c>
      <c r="B98" s="906"/>
      <c r="C98" s="907"/>
      <c r="D98" s="907"/>
      <c r="E98" s="1532" t="s">
        <v>1261</v>
      </c>
      <c r="F98" s="1533"/>
    </row>
    <row r="99" spans="1:7" s="197" customFormat="1" ht="13" customHeight="1">
      <c r="A99" s="908" t="s">
        <v>1251</v>
      </c>
      <c r="B99" s="906"/>
      <c r="C99" s="886"/>
      <c r="D99" s="907"/>
      <c r="E99" s="1005" t="s">
        <v>1262</v>
      </c>
      <c r="F99" s="1006"/>
    </row>
    <row r="100" spans="1:7" s="197" customFormat="1" ht="13" customHeight="1">
      <c r="A100" s="957" t="s">
        <v>1252</v>
      </c>
      <c r="B100" s="906"/>
      <c r="C100" s="1007">
        <f>'ERT ANSP'!C100+'ERT MET'!C100+'ERT Supervision'!C100</f>
        <v>24.481278761996453</v>
      </c>
      <c r="D100" s="907"/>
      <c r="E100" s="1005" t="s">
        <v>1263</v>
      </c>
      <c r="F100" s="1006"/>
    </row>
    <row r="101" spans="1:7" s="197" customFormat="1" ht="13" customHeight="1">
      <c r="A101" s="957" t="s">
        <v>1253</v>
      </c>
      <c r="B101" s="906"/>
      <c r="C101" s="1007">
        <f>'ERT ANSP'!C101+'ERT MET'!C101+'ERT Supervision'!C101</f>
        <v>27.576280213074174</v>
      </c>
      <c r="D101" s="907"/>
      <c r="E101" s="1008" t="s">
        <v>1264</v>
      </c>
      <c r="F101" s="1009"/>
    </row>
    <row r="102" spans="1:7" s="197" customFormat="1">
      <c r="A102" s="957" t="s">
        <v>1254</v>
      </c>
      <c r="B102" s="904"/>
      <c r="C102" s="1007">
        <f>'ERT ANSP'!C102+'ERT MET'!C102+'ERT Supervision'!C102</f>
        <v>0</v>
      </c>
      <c r="D102" s="886"/>
      <c r="E102" s="886"/>
      <c r="F102" s="904"/>
    </row>
    <row r="103" spans="1:7" s="197" customFormat="1">
      <c r="A103" s="957" t="s">
        <v>1255</v>
      </c>
      <c r="B103" s="904"/>
      <c r="C103" s="1007">
        <f>'ERT ANSP'!C103+'ERT MET'!C103+'ERT Supervision'!C103</f>
        <v>0</v>
      </c>
      <c r="D103" s="904"/>
      <c r="E103" s="904"/>
      <c r="F103" s="904"/>
    </row>
    <row r="104" spans="1:7" s="197" customFormat="1">
      <c r="A104" s="957" t="s">
        <v>1256</v>
      </c>
      <c r="B104" s="904"/>
      <c r="C104" s="1007">
        <f>'ERT ANSP'!C104</f>
        <v>4689.0424000000003</v>
      </c>
      <c r="D104" s="904"/>
      <c r="E104" s="904"/>
      <c r="F104" s="904"/>
    </row>
    <row r="105" spans="1:7" s="197" customFormat="1">
      <c r="A105" s="957" t="s">
        <v>1257</v>
      </c>
      <c r="B105" s="904"/>
      <c r="C105" s="1007">
        <f>'ERT ANSP'!C105</f>
        <v>4790.2876000000006</v>
      </c>
      <c r="D105" s="904"/>
      <c r="E105" s="904"/>
      <c r="F105" s="904"/>
    </row>
    <row r="106" spans="1:7" s="197" customFormat="1">
      <c r="A106" s="888" t="s">
        <v>1177</v>
      </c>
      <c r="B106" s="906"/>
      <c r="C106" s="907"/>
      <c r="D106" s="907"/>
      <c r="E106" s="907"/>
      <c r="F106" s="907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7197B-E3A7-4AD0-855A-0EF1CCBDAC7B}">
  <sheetPr>
    <tabColor theme="1"/>
    <pageSetUpPr fitToPage="1"/>
  </sheetPr>
  <dimension ref="B1:AE92"/>
  <sheetViews>
    <sheetView showGridLines="0" zoomScale="85" zoomScaleNormal="85" workbookViewId="0">
      <pane ySplit="2" topLeftCell="A8" activePane="bottomLeft" state="frozen"/>
      <selection pane="bottomLeft" activeCell="F12" sqref="F12"/>
    </sheetView>
  </sheetViews>
  <sheetFormatPr defaultColWidth="9.1796875" defaultRowHeight="13"/>
  <cols>
    <col min="1" max="1" width="5" style="1018" customWidth="1"/>
    <col min="2" max="4" width="9.1796875" style="1018" customWidth="1"/>
    <col min="5" max="5" width="15.7265625" style="1018" bestFit="1" customWidth="1"/>
    <col min="6" max="18" width="9.1796875" style="1018" customWidth="1"/>
    <col min="19" max="30" width="9.1796875" style="1018"/>
    <col min="31" max="31" width="15" style="1018" customWidth="1"/>
    <col min="32" max="16384" width="9.1796875" style="1018"/>
  </cols>
  <sheetData>
    <row r="1" spans="2:28" ht="13.5" thickBot="1"/>
    <row r="2" spans="2:28" ht="17.5" thickBot="1">
      <c r="B2" s="1019" t="s">
        <v>100</v>
      </c>
      <c r="C2" s="1019"/>
      <c r="D2" s="1019"/>
      <c r="E2" s="1019" t="s">
        <v>9</v>
      </c>
      <c r="F2" s="1019" t="s">
        <v>10</v>
      </c>
      <c r="G2" s="1019"/>
      <c r="H2" s="1025">
        <v>2015</v>
      </c>
      <c r="I2" s="1025">
        <v>2016</v>
      </c>
      <c r="J2" s="1025">
        <v>2017</v>
      </c>
      <c r="K2" s="1025">
        <v>2018</v>
      </c>
      <c r="L2" s="1025">
        <v>2019</v>
      </c>
      <c r="M2" s="1025" t="s">
        <v>16</v>
      </c>
      <c r="N2" s="1025">
        <v>2022</v>
      </c>
      <c r="O2" s="1025">
        <v>2023</v>
      </c>
      <c r="P2" s="1025">
        <v>2024</v>
      </c>
      <c r="Q2" s="1025"/>
      <c r="R2" s="1019" t="s">
        <v>11</v>
      </c>
      <c r="S2" s="1019"/>
      <c r="T2" s="1019"/>
      <c r="U2" s="1644" t="str">
        <f>'DUC &amp; UR'!$F$6</f>
        <v>Base</v>
      </c>
      <c r="V2" s="1025"/>
      <c r="W2" s="1025"/>
      <c r="X2" s="1025"/>
      <c r="Y2" s="1025"/>
      <c r="Z2" s="1025"/>
      <c r="AA2" s="1025"/>
      <c r="AB2" s="1019"/>
    </row>
    <row r="3" spans="2:28">
      <c r="H3" s="1029" t="s">
        <v>18</v>
      </c>
      <c r="I3" s="1029" t="s">
        <v>18</v>
      </c>
      <c r="J3" s="1029" t="s">
        <v>18</v>
      </c>
      <c r="K3" s="1029" t="s">
        <v>18</v>
      </c>
      <c r="L3" s="1029" t="s">
        <v>18</v>
      </c>
      <c r="M3" s="1027" t="s">
        <v>19</v>
      </c>
      <c r="N3" s="1029" t="s">
        <v>19</v>
      </c>
      <c r="O3" s="1029" t="s">
        <v>19</v>
      </c>
      <c r="P3" s="1029" t="s">
        <v>19</v>
      </c>
    </row>
    <row r="4" spans="2:28">
      <c r="E4" s="1018" t="s">
        <v>20</v>
      </c>
      <c r="F4" s="1026">
        <f>'Misc. Items'!$F$26</f>
        <v>2017</v>
      </c>
      <c r="H4" s="1027">
        <f>AVERAGEIFS('Total Costs &amp; Profitability'!$H$5:$Q$5,'Total Costs &amp; Profitability'!$H$3:$Q$3,H$2)</f>
        <v>99.8994</v>
      </c>
      <c r="I4" s="1027">
        <f>AVERAGEIFS('Total Costs &amp; Profitability'!$H$5:$Q$5,'Total Costs &amp; Profitability'!$H$3:$Q$3,I$2)</f>
        <v>99.7</v>
      </c>
      <c r="J4" s="1027">
        <f>AVERAGEIFS('Total Costs &amp; Profitability'!$H$5:$Q$5,'Total Costs &amp; Profitability'!$H$3:$Q$3,J$2)</f>
        <v>100</v>
      </c>
      <c r="K4" s="1027">
        <f>AVERAGEIFS('Total Costs &amp; Profitability'!$H$5:$Q$5,'Total Costs &amp; Profitability'!$H$3:$Q$3,K$2)</f>
        <v>100.69999999999999</v>
      </c>
      <c r="L4" s="1027">
        <f>AVERAGEIFS('Total Costs &amp; Profitability'!$H$5:$Q$5,'Total Costs &amp; Profitability'!$H$3:$Q$3,L$2)</f>
        <v>101.60629999999998</v>
      </c>
      <c r="M4" s="1027">
        <f>AVERAGEIFS('Total Costs &amp; Profitability'!$H$5:$Q$5,'Total Costs &amp; Profitability'!$H$3:$Q$3,M$2)</f>
        <v>102.41915039999998</v>
      </c>
      <c r="N4" s="1027">
        <f>AVERAGEIFS('Total Costs &amp; Profitability'!$H$5:$Q$5,'Total Costs &amp; Profitability'!$H$3:$Q$3,N$2)</f>
        <v>105.19340881519997</v>
      </c>
      <c r="O4" s="1027">
        <f>AVERAGEIFS('Total Costs &amp; Profitability'!$H$5:$Q$5,'Total Costs &amp; Profitability'!$H$3:$Q$3,O$2)</f>
        <v>107.29727699150398</v>
      </c>
      <c r="P4" s="1027">
        <f>AVERAGEIFS('Total Costs &amp; Profitability'!$H$5:$Q$5,'Total Costs &amp; Profitability'!$H$3:$Q$3,P$2)</f>
        <v>109.44322253133406</v>
      </c>
      <c r="Q4" s="1027"/>
    </row>
    <row r="5" spans="2:28">
      <c r="F5" s="1026"/>
      <c r="H5" s="1027"/>
      <c r="I5" s="1027"/>
      <c r="J5" s="1027"/>
      <c r="K5" s="1027"/>
      <c r="L5" s="1027"/>
      <c r="M5" s="1027"/>
      <c r="N5" s="1027"/>
      <c r="O5" s="1027"/>
      <c r="P5" s="1027"/>
      <c r="Q5" s="1027"/>
    </row>
    <row r="6" spans="2:28" ht="15" thickBot="1">
      <c r="B6" s="1020" t="s">
        <v>22</v>
      </c>
      <c r="C6" s="1020"/>
      <c r="D6" s="1020"/>
      <c r="E6" s="1020" t="s">
        <v>101</v>
      </c>
      <c r="F6" s="1539" t="s">
        <v>102</v>
      </c>
      <c r="G6" s="1020"/>
      <c r="H6" s="1020"/>
      <c r="I6" s="1020"/>
      <c r="J6" s="1020"/>
      <c r="K6" s="1020"/>
      <c r="L6" s="1020"/>
      <c r="M6" s="1020"/>
      <c r="N6" s="1020"/>
      <c r="O6" s="1020"/>
      <c r="P6" s="1020"/>
      <c r="Q6" s="1020"/>
      <c r="R6" s="1020"/>
      <c r="S6" s="1020"/>
      <c r="T6" s="1020"/>
      <c r="U6" s="1020"/>
      <c r="V6" s="1020"/>
      <c r="W6" s="1020"/>
      <c r="X6" s="1020"/>
      <c r="Y6" s="1020"/>
      <c r="Z6" s="1020"/>
      <c r="AA6" s="1020"/>
      <c r="AB6" s="1020"/>
    </row>
    <row r="7" spans="2:28" ht="13.5" thickTop="1"/>
    <row r="8" spans="2:28">
      <c r="D8" s="1031"/>
      <c r="E8" s="1031" t="s">
        <v>23</v>
      </c>
      <c r="F8" s="1046" t="s">
        <v>103</v>
      </c>
      <c r="G8" s="1031"/>
      <c r="H8" s="1033">
        <f>SUMIFS('Total Costs &amp; Profitability'!$H9:$Q9,'Total Costs &amp; Profitability'!$H$3:$Q$3,'DUC &amp; UR'!H$2)</f>
        <v>4182.45</v>
      </c>
      <c r="I8" s="1033">
        <f>SUMIFS('Total Costs &amp; Profitability'!$H9:$Q9,'Total Costs &amp; Profitability'!$H$3:$Q$3,'DUC &amp; UR'!I$2)</f>
        <v>4467.5950000000003</v>
      </c>
      <c r="J8" s="1033">
        <f>SUMIFS('Total Costs &amp; Profitability'!$H9:$Q9,'Total Costs &amp; Profitability'!$H$3:$Q$3,'DUC &amp; UR'!J$2)</f>
        <v>4465.2529999999997</v>
      </c>
      <c r="K8" s="1033">
        <f>SUMIFS('Total Costs &amp; Profitability'!$H9:$Q9,'Total Costs &amp; Profitability'!$H$3:$Q$3,'DUC &amp; UR'!K$2)</f>
        <v>4549.8827233000011</v>
      </c>
      <c r="L8" s="1033">
        <f>SUMIFS('Total Costs &amp; Profitability'!$H9:$Q9,'Total Costs &amp; Profitability'!$H$3:$Q$3,'DUC &amp; UR'!L$2)</f>
        <v>4640.8595650000007</v>
      </c>
      <c r="M8" s="1033">
        <f>SUMIFS('Total Costs &amp; Profitability'!$H9:$Q9,'Total Costs &amp; Profitability'!$H$3:$Q$3,'DUC &amp; UR'!M$2)</f>
        <v>4060.2902946000004</v>
      </c>
      <c r="N8" s="1033">
        <f>SUMIFS('Total Costs &amp; Profitability'!$H9:$Q9,'Total Costs &amp; Profitability'!$H$3:$Q$3,'DUC &amp; UR'!N$2)</f>
        <v>3202</v>
      </c>
      <c r="O8" s="1033">
        <f>SUMIFS('Total Costs &amp; Profitability'!$H9:$Q9,'Total Costs &amp; Profitability'!$H$3:$Q$3,'DUC &amp; UR'!O$2)</f>
        <v>4039</v>
      </c>
      <c r="P8" s="1033">
        <f>SUMIFS('Total Costs &amp; Profitability'!$H9:$Q9,'Total Costs &amp; Profitability'!$H$3:$Q$3,'DUC &amp; UR'!P$2)</f>
        <v>4726</v>
      </c>
      <c r="Q8" s="1031"/>
      <c r="R8" s="1031"/>
      <c r="S8" s="1031"/>
      <c r="T8" s="1031"/>
      <c r="U8" s="1031"/>
      <c r="V8" s="1031"/>
      <c r="W8" s="1031"/>
      <c r="X8" s="1031"/>
      <c r="Y8" s="1031"/>
      <c r="Z8" s="1031"/>
      <c r="AA8" s="1031"/>
      <c r="AB8" s="1031"/>
    </row>
    <row r="9" spans="2:28">
      <c r="D9" s="1031"/>
      <c r="E9" s="1031" t="s">
        <v>24</v>
      </c>
      <c r="F9" s="1046" t="s">
        <v>103</v>
      </c>
      <c r="G9" s="1031"/>
      <c r="H9" s="1033">
        <f>SUMIFS('Total Costs &amp; Profitability'!$H10:$Q10,'Total Costs &amp; Profitability'!$H$3:$Q$3,'DUC &amp; UR'!H$2)</f>
        <v>149.863</v>
      </c>
      <c r="I9" s="1033">
        <f>SUMIFS('Total Costs &amp; Profitability'!$H10:$Q10,'Total Costs &amp; Profitability'!$H$3:$Q$3,'DUC &amp; UR'!I$2)</f>
        <v>163.30528635600001</v>
      </c>
      <c r="J9" s="1033">
        <f>SUMIFS('Total Costs &amp; Profitability'!$H10:$Q10,'Total Costs &amp; Profitability'!$H$3:$Q$3,'DUC &amp; UR'!J$2)</f>
        <v>171.66498065517399</v>
      </c>
      <c r="K9" s="1033">
        <f>SUMIFS('Total Costs &amp; Profitability'!$H10:$Q10,'Total Costs &amp; Profitability'!$H$3:$Q$3,'DUC &amp; UR'!K$2)</f>
        <v>182.71100000000001</v>
      </c>
      <c r="L9" s="1033">
        <f>SUMIFS('Total Costs &amp; Profitability'!$H10:$Q10,'Total Costs &amp; Profitability'!$H$3:$Q$3,'DUC &amp; UR'!L$2)</f>
        <v>187.70944677700001</v>
      </c>
      <c r="M9" s="1033">
        <f>SUMIFS('Total Costs &amp; Profitability'!$H10:$Q10,'Total Costs &amp; Profitability'!$H$3:$Q$3,'DUC &amp; UR'!M$2)</f>
        <v>147.51144028384689</v>
      </c>
      <c r="N9" s="1033">
        <f>SUMIFS('Total Costs &amp; Profitability'!$H10:$Q10,'Total Costs &amp; Profitability'!$H$3:$Q$3,'DUC &amp; UR'!N$2)</f>
        <v>136</v>
      </c>
      <c r="O9" s="1033">
        <f>SUMIFS('Total Costs &amp; Profitability'!$H10:$Q10,'Total Costs &amp; Profitability'!$H$3:$Q$3,'DUC &amp; UR'!O$2)</f>
        <v>163</v>
      </c>
      <c r="P9" s="1033">
        <f>SUMIFS('Total Costs &amp; Profitability'!$H10:$Q10,'Total Costs &amp; Profitability'!$H$3:$Q$3,'DUC &amp; UR'!P$2)</f>
        <v>188</v>
      </c>
      <c r="Q9" s="1031"/>
      <c r="R9" s="1031"/>
      <c r="S9" s="1031"/>
      <c r="T9" s="1031"/>
      <c r="U9" s="1031"/>
      <c r="V9" s="1031"/>
      <c r="W9" s="1031"/>
      <c r="X9" s="1031"/>
      <c r="Y9" s="1031"/>
      <c r="Z9" s="1031"/>
      <c r="AA9" s="1031"/>
      <c r="AB9" s="1031"/>
    </row>
    <row r="10" spans="2:28">
      <c r="F10" s="1023"/>
      <c r="H10" s="1028"/>
      <c r="I10" s="1028"/>
      <c r="J10" s="1028"/>
      <c r="K10" s="1028"/>
      <c r="L10" s="1028"/>
      <c r="M10" s="1028"/>
      <c r="N10" s="1028"/>
      <c r="O10" s="1028"/>
      <c r="P10" s="1028"/>
    </row>
    <row r="11" spans="2:28">
      <c r="F11" s="1023"/>
      <c r="H11" s="1028"/>
      <c r="I11" s="1028"/>
      <c r="J11" s="1028"/>
      <c r="K11" s="1028"/>
      <c r="L11" s="1028"/>
      <c r="M11" s="1028"/>
      <c r="N11" s="1028"/>
      <c r="O11" s="1028"/>
      <c r="P11" s="1028"/>
    </row>
    <row r="12" spans="2:28" ht="15" thickBot="1">
      <c r="B12" s="1020" t="s">
        <v>104</v>
      </c>
      <c r="C12" s="1020"/>
      <c r="D12" s="1020"/>
      <c r="E12" s="1020" t="s">
        <v>17</v>
      </c>
      <c r="F12" s="1539" t="s">
        <v>27</v>
      </c>
      <c r="G12" s="1020"/>
      <c r="H12" s="1020"/>
      <c r="I12" s="1020"/>
      <c r="J12" s="1020"/>
      <c r="K12" s="1020"/>
      <c r="L12" s="1020"/>
      <c r="M12" s="1020"/>
      <c r="N12" s="1020"/>
      <c r="O12" s="1020"/>
      <c r="P12" s="1020"/>
      <c r="Q12" s="1020"/>
      <c r="R12" s="1020"/>
      <c r="S12" s="1020"/>
      <c r="T12" s="1020"/>
      <c r="U12" s="1020"/>
      <c r="V12" s="1020"/>
      <c r="W12" s="1020"/>
      <c r="X12" s="1020"/>
      <c r="Y12" s="1020"/>
      <c r="Z12" s="1020"/>
      <c r="AA12" s="1020"/>
      <c r="AB12" s="1020"/>
    </row>
    <row r="13" spans="2:28" ht="13.5" thickTop="1"/>
    <row r="14" spans="2:28">
      <c r="D14" s="1041" t="s">
        <v>23</v>
      </c>
      <c r="E14" s="1042"/>
      <c r="F14" s="1042"/>
      <c r="G14" s="1042"/>
      <c r="H14" s="1042"/>
      <c r="I14" s="1042"/>
      <c r="J14" s="1042"/>
      <c r="K14" s="1042"/>
      <c r="L14" s="1042"/>
      <c r="M14" s="1042"/>
      <c r="N14" s="1042"/>
      <c r="O14" s="1042"/>
      <c r="P14" s="1042"/>
      <c r="Q14" s="1042"/>
      <c r="R14" s="1042"/>
      <c r="S14" s="1042"/>
      <c r="T14" s="1042"/>
      <c r="U14" s="1042"/>
      <c r="V14" s="1042"/>
      <c r="W14" s="1042"/>
      <c r="X14" s="1042"/>
      <c r="Y14" s="1042"/>
      <c r="Z14" s="1042"/>
      <c r="AA14" s="1042"/>
      <c r="AB14" s="1042"/>
    </row>
    <row r="15" spans="2:28">
      <c r="D15" s="1031"/>
      <c r="E15" s="1031" t="s">
        <v>13</v>
      </c>
      <c r="F15" s="14" t="s">
        <v>66</v>
      </c>
      <c r="G15" s="1031"/>
      <c r="H15" s="1627">
        <f>'ANSP ERT'!C70*IF($F$12='Misc. Items'!$C$57,H$4/100,1)</f>
        <v>21.415784071099164</v>
      </c>
      <c r="I15" s="1627">
        <f>'ANSP ERT'!D70*IF($F$12='Misc. Items'!$C$57,I$4/100,1)</f>
        <v>20.178790603498012</v>
      </c>
      <c r="J15" s="1627">
        <f>'ANSP ERT'!E70*IF($F$12='Misc. Items'!$C$57,J$4/100,1)</f>
        <v>21.116608622176617</v>
      </c>
      <c r="K15" s="1627">
        <f>'ANSP ERT'!F70*IF($F$12='Misc. Items'!$C$57,K$4/100,1)</f>
        <v>21.413743337840693</v>
      </c>
      <c r="L15" s="1627">
        <f>'ANSP ERT'!G70*IF($F$12='Misc. Items'!$C$57,L$4/100,1)</f>
        <v>20.218862964401318</v>
      </c>
      <c r="M15" s="1627">
        <f>'ANSP ERT'!J70*IF($F$12='Misc. Items'!$C$57,M$4/100,1)</f>
        <v>41.023390918787698</v>
      </c>
      <c r="N15" s="1627">
        <f>'ANSP ERT'!K70*IF($F$12='Misc. Items'!$C$57,N$4/100,1)</f>
        <v>29.908949170510514</v>
      </c>
      <c r="O15" s="1627">
        <f>'ANSP ERT'!L70*IF($F$12='Misc. Items'!$C$57,O$4/100,1)</f>
        <v>24.43935035724947</v>
      </c>
      <c r="P15" s="1627">
        <f>'ANSP ERT'!M70*IF($F$12='Misc. Items'!$C$57,P$4/100,1)</f>
        <v>20.997085446790255</v>
      </c>
      <c r="Q15" s="1031"/>
      <c r="R15" s="1031"/>
      <c r="S15" s="1031"/>
      <c r="T15" s="1031"/>
      <c r="U15" s="1031"/>
      <c r="V15" s="1031"/>
      <c r="W15" s="1031"/>
      <c r="X15" s="1031"/>
      <c r="Y15" s="1031"/>
      <c r="Z15" s="1031"/>
      <c r="AA15" s="1031"/>
      <c r="AB15" s="1031"/>
    </row>
    <row r="16" spans="2:28">
      <c r="D16" s="1031"/>
      <c r="E16" s="1031" t="s">
        <v>5</v>
      </c>
      <c r="F16" s="14" t="s">
        <v>66</v>
      </c>
      <c r="G16" s="1031"/>
      <c r="H16" s="1628">
        <f>'MET ERT'!C70*IF($F$12='Misc. Items'!$C$57,H$4/100,1)</f>
        <v>1.5537633513261191</v>
      </c>
      <c r="I16" s="1628">
        <f>'MET ERT'!D70*IF($F$12='Misc. Items'!$C$57,I$4/100,1)</f>
        <v>1.7058087377578517</v>
      </c>
      <c r="J16" s="1628">
        <f>'MET ERT'!E70*IF($F$12='Misc. Items'!$C$57,J$4/100,1)</f>
        <v>1.7459257067852596</v>
      </c>
      <c r="K16" s="1628">
        <f>'MET ERT'!F70*IF($F$12='Misc. Items'!$C$57,K$4/100,1)</f>
        <v>1.5673112598090442</v>
      </c>
      <c r="L16" s="1628">
        <f>'MET ERT'!G70*IF($F$12='Misc. Items'!$C$57,L$4/100,1)</f>
        <v>2.1906916762440227</v>
      </c>
      <c r="M16" s="1628">
        <f>'MET ERT'!J70*IF($F$12='Misc. Items'!$C$57,M$4/100,1)</f>
        <v>3.1701784162593367</v>
      </c>
      <c r="N16" s="1628">
        <f>'MET ERT'!K70*IF($F$12='Misc. Items'!$C$57,N$4/100,1)</f>
        <v>2.0371175718877912</v>
      </c>
      <c r="O16" s="1628">
        <f>'MET ERT'!L70*IF($F$12='Misc. Items'!$C$57,O$4/100,1)</f>
        <v>1.6957483465803749</v>
      </c>
      <c r="P16" s="1628">
        <f>'MET ERT'!M70*IF($F$12='Misc. Items'!$C$57,P$4/100,1)</f>
        <v>1.3525811019856353</v>
      </c>
      <c r="Q16" s="1031"/>
      <c r="R16" s="1031"/>
      <c r="S16" s="1031"/>
      <c r="T16" s="1031"/>
      <c r="U16" s="1031"/>
      <c r="V16" s="1031"/>
      <c r="W16" s="1031"/>
      <c r="X16" s="1031"/>
      <c r="Y16" s="1031"/>
      <c r="Z16" s="1031"/>
      <c r="AA16" s="1031"/>
      <c r="AB16" s="1031"/>
    </row>
    <row r="17" spans="4:31">
      <c r="D17" s="1031"/>
      <c r="E17" s="1033" t="s">
        <v>105</v>
      </c>
      <c r="F17" s="14" t="s">
        <v>66</v>
      </c>
      <c r="G17" s="1031"/>
      <c r="H17" s="1628">
        <f>'Supervision ERT'!C70*IF($F$12='Misc. Items'!$C$57,H$4/100,1)</f>
        <v>2.5511362957118435</v>
      </c>
      <c r="I17" s="1628">
        <f>'Supervision ERT'!D70*IF($F$12='Misc. Items'!$C$57,I$4/100,1)</f>
        <v>2.4668753546371143</v>
      </c>
      <c r="J17" s="1628">
        <f>'Supervision ERT'!E70*IF($F$12='Misc. Items'!$C$57,J$4/100,1)</f>
        <v>2.6195604146058469</v>
      </c>
      <c r="K17" s="1628">
        <f>'Supervision ERT'!F70*IF($F$12='Misc. Items'!$C$57,K$4/100,1)</f>
        <v>2.7653460023414307</v>
      </c>
      <c r="L17" s="1628">
        <f>'Supervision ERT'!G70*IF($F$12='Misc. Items'!$C$57,L$4/100,1)</f>
        <v>2.7104892582544671</v>
      </c>
      <c r="M17" s="1628">
        <f>'Supervision ERT'!J70*IF($F$12='Misc. Items'!$C$57,M$4/100,1)</f>
        <v>6.705597386915608</v>
      </c>
      <c r="N17" s="1628">
        <f>'Supervision ERT'!K70*IF($F$12='Misc. Items'!$C$57,N$4/100,1)</f>
        <v>4.6385368383241579</v>
      </c>
      <c r="O17" s="1628">
        <f>'Supervision ERT'!L70*IF($F$12='Misc. Items'!$C$57,O$4/100,1)</f>
        <v>3.7957270604966293</v>
      </c>
      <c r="P17" s="1628">
        <f>'Supervision ERT'!M70*IF($F$12='Misc. Items'!$C$57,P$4/100,1)</f>
        <v>3.3124379963134039</v>
      </c>
      <c r="Q17" s="1031"/>
      <c r="R17" s="1031"/>
      <c r="S17" s="1031"/>
      <c r="T17" s="1031"/>
      <c r="U17" s="1031"/>
      <c r="V17" s="1031"/>
      <c r="W17" s="1031"/>
      <c r="X17" s="1031"/>
      <c r="Y17" s="1031"/>
      <c r="Z17" s="1031"/>
      <c r="AA17" s="1031"/>
      <c r="AB17" s="1031"/>
    </row>
    <row r="18" spans="4:31">
      <c r="D18" s="1031"/>
      <c r="E18" s="1031"/>
      <c r="F18" s="1031"/>
      <c r="G18" s="1031"/>
      <c r="H18" s="1646"/>
      <c r="I18" s="1646"/>
      <c r="J18" s="1646"/>
      <c r="K18" s="1646"/>
      <c r="L18" s="1646"/>
      <c r="M18" s="1646"/>
      <c r="N18" s="1646"/>
      <c r="O18" s="1646"/>
      <c r="P18" s="1646"/>
      <c r="Q18" s="1031"/>
      <c r="R18" s="1031"/>
      <c r="S18" s="1031"/>
      <c r="T18" s="1031"/>
      <c r="U18" s="1031"/>
      <c r="V18" s="1031"/>
      <c r="W18" s="1031"/>
      <c r="X18" s="1031"/>
      <c r="Y18" s="1031"/>
      <c r="Z18" s="1031"/>
      <c r="AA18" s="1031"/>
      <c r="AB18" s="1031"/>
    </row>
    <row r="19" spans="4:31">
      <c r="D19" s="1031"/>
      <c r="E19" s="1030" t="s">
        <v>12</v>
      </c>
      <c r="F19" s="14" t="s">
        <v>66</v>
      </c>
      <c r="G19" s="1031"/>
      <c r="H19" s="1629">
        <f>SUM(H15:H17)</f>
        <v>25.520683718137125</v>
      </c>
      <c r="I19" s="1629">
        <f t="shared" ref="I19:P19" si="0">SUM(I15:I17)</f>
        <v>24.351474695892978</v>
      </c>
      <c r="J19" s="1629">
        <f t="shared" si="0"/>
        <v>25.482094743567725</v>
      </c>
      <c r="K19" s="1629">
        <f t="shared" si="0"/>
        <v>25.746400599991169</v>
      </c>
      <c r="L19" s="1629">
        <f t="shared" si="0"/>
        <v>25.120043898899805</v>
      </c>
      <c r="M19" s="1629">
        <f t="shared" si="0"/>
        <v>50.899166721962644</v>
      </c>
      <c r="N19" s="1629">
        <f t="shared" si="0"/>
        <v>36.584603580722465</v>
      </c>
      <c r="O19" s="1629">
        <f t="shared" si="0"/>
        <v>29.930825764326471</v>
      </c>
      <c r="P19" s="1629">
        <f t="shared" si="0"/>
        <v>25.662104545089292</v>
      </c>
      <c r="Q19" s="1031"/>
      <c r="R19" s="1031"/>
      <c r="S19" s="1031"/>
      <c r="T19" s="1031"/>
      <c r="U19" s="1031"/>
      <c r="V19" s="1031"/>
      <c r="W19" s="1031"/>
      <c r="X19" s="1031"/>
      <c r="Y19" s="1031"/>
      <c r="Z19" s="1031"/>
      <c r="AA19" s="1031"/>
      <c r="AB19" s="1031"/>
      <c r="AE19" s="1655">
        <f>ROUND(IF($F$12='Misc. Items'!$C$57,0,SUM(M19:P19)-SUM('ERT DC'!J70:M70)),5)</f>
        <v>0</v>
      </c>
    </row>
    <row r="20" spans="4:31">
      <c r="D20" s="1031"/>
      <c r="E20" s="1031"/>
      <c r="F20" s="1031"/>
      <c r="G20" s="1031"/>
      <c r="H20" s="1625"/>
      <c r="I20" s="1625"/>
      <c r="J20" s="1625"/>
      <c r="K20" s="1625"/>
      <c r="L20" s="1625"/>
      <c r="M20" s="1625"/>
      <c r="N20" s="1625"/>
      <c r="O20" s="1625"/>
      <c r="P20" s="1625"/>
      <c r="Q20" s="1031"/>
      <c r="R20" s="1031"/>
      <c r="S20" s="1031"/>
      <c r="T20" s="1031"/>
      <c r="U20" s="1031"/>
      <c r="V20" s="1031"/>
      <c r="W20" s="1031"/>
      <c r="X20" s="1031"/>
      <c r="Y20" s="1031"/>
      <c r="Z20" s="1031"/>
      <c r="AA20" s="1031"/>
      <c r="AB20" s="1031"/>
    </row>
    <row r="21" spans="4:31">
      <c r="D21" s="1031"/>
      <c r="E21" s="1031"/>
      <c r="F21" s="1031"/>
      <c r="G21" s="1031"/>
      <c r="H21" s="1031"/>
      <c r="I21" s="1031"/>
      <c r="J21" s="1031"/>
      <c r="K21" s="1031"/>
      <c r="L21" s="1031"/>
      <c r="M21" s="1031"/>
      <c r="N21" s="1031"/>
      <c r="O21" s="1031"/>
      <c r="P21" s="1031"/>
      <c r="Q21" s="1031"/>
      <c r="R21" s="1031"/>
      <c r="S21" s="1031"/>
      <c r="T21" s="1031"/>
      <c r="U21" s="1031"/>
      <c r="V21" s="1031"/>
      <c r="W21" s="1031"/>
      <c r="X21" s="1031"/>
      <c r="Y21" s="1031"/>
      <c r="Z21" s="1031"/>
      <c r="AA21" s="1031"/>
      <c r="AB21" s="1031"/>
    </row>
    <row r="22" spans="4:31">
      <c r="D22" s="1031"/>
      <c r="E22" s="1031" t="s">
        <v>106</v>
      </c>
      <c r="F22" s="1031" t="s">
        <v>43</v>
      </c>
      <c r="G22" s="1031"/>
      <c r="H22" s="1031"/>
      <c r="I22" s="1044">
        <f>I19/H19-1</f>
        <v>-4.5814173129429481E-2</v>
      </c>
      <c r="J22" s="1044">
        <f t="shared" ref="J22:P22" si="1">J19/I19-1</f>
        <v>4.6429222944162518E-2</v>
      </c>
      <c r="K22" s="1044">
        <f t="shared" si="1"/>
        <v>1.0372218574776326E-2</v>
      </c>
      <c r="L22" s="1044">
        <f t="shared" si="1"/>
        <v>-2.4327932701069588E-2</v>
      </c>
      <c r="M22" s="1044">
        <f t="shared" si="1"/>
        <v>1.0262371724673578</v>
      </c>
      <c r="N22" s="1044">
        <f t="shared" si="1"/>
        <v>-0.28123374237998167</v>
      </c>
      <c r="O22" s="1044">
        <f t="shared" si="1"/>
        <v>-0.18187371640407968</v>
      </c>
      <c r="P22" s="1044">
        <f t="shared" si="1"/>
        <v>-0.14261956061115166</v>
      </c>
      <c r="Q22" s="1031"/>
      <c r="R22" s="1031"/>
      <c r="S22" s="1031"/>
      <c r="T22" s="1031"/>
      <c r="U22" s="1031"/>
      <c r="V22" s="1031"/>
      <c r="W22" s="1031"/>
      <c r="X22" s="1031"/>
      <c r="Y22" s="1031"/>
      <c r="Z22" s="1031"/>
      <c r="AA22" s="1031"/>
      <c r="AB22" s="1031"/>
    </row>
    <row r="23" spans="4:31">
      <c r="D23" s="1031"/>
      <c r="E23" s="1031"/>
      <c r="F23" s="1031"/>
      <c r="G23" s="1031"/>
      <c r="H23" s="1031"/>
      <c r="I23" s="1031"/>
      <c r="J23" s="1031"/>
      <c r="K23" s="1031"/>
      <c r="L23" s="1031"/>
      <c r="M23" s="1031"/>
      <c r="N23" s="1031"/>
      <c r="O23" s="1031"/>
      <c r="P23" s="1031"/>
      <c r="Q23" s="1031"/>
      <c r="R23" s="1031"/>
      <c r="S23" s="1031"/>
      <c r="T23" s="1031"/>
      <c r="U23" s="1031"/>
      <c r="V23" s="1031"/>
      <c r="W23" s="1031"/>
      <c r="X23" s="1031"/>
      <c r="Y23" s="1031"/>
      <c r="Z23" s="1031"/>
      <c r="AA23" s="1031"/>
      <c r="AB23" s="1031"/>
    </row>
    <row r="24" spans="4:31">
      <c r="D24" s="1031"/>
      <c r="E24" s="1031" t="s">
        <v>107</v>
      </c>
      <c r="F24" s="1031" t="s">
        <v>43</v>
      </c>
      <c r="G24" s="1031"/>
      <c r="H24" s="1031"/>
      <c r="I24" s="1031"/>
      <c r="J24" s="1031"/>
      <c r="K24" s="1031"/>
      <c r="L24" s="1031"/>
      <c r="M24" s="1044">
        <f>'Misc. Items'!O43+IF($F$12='Misc. Items'!$C$57,M4/L4-1,0)</f>
        <v>1.2009999999999998</v>
      </c>
      <c r="N24" s="1044">
        <f>'Misc. Items'!P43+IF($F$12='Misc. Items'!$C$57,N4/M4-1,0)</f>
        <v>-0.38500000000000001</v>
      </c>
      <c r="O24" s="1044">
        <f>'Misc. Items'!Q43+IF($F$12='Misc. Items'!$C$57,O4/N4-1,0)</f>
        <v>-0.13200000000000001</v>
      </c>
      <c r="P24" s="1044">
        <f>'Misc. Items'!R43+IF($F$12='Misc. Items'!$C$57,P4/O4-1,0)</f>
        <v>-0.115</v>
      </c>
      <c r="Q24" s="1031"/>
      <c r="R24" s="1031"/>
      <c r="S24" s="1031"/>
      <c r="T24" s="1031"/>
      <c r="U24" s="1031"/>
      <c r="V24" s="1031"/>
      <c r="W24" s="1031"/>
      <c r="X24" s="1031"/>
      <c r="Y24" s="1031"/>
      <c r="Z24" s="1031"/>
      <c r="AA24" s="1031"/>
      <c r="AB24" s="1031"/>
    </row>
    <row r="25" spans="4:31">
      <c r="D25" s="1031"/>
      <c r="E25" s="1031"/>
      <c r="F25" s="1031"/>
      <c r="G25" s="1031"/>
      <c r="H25" s="1031"/>
      <c r="I25" s="1031"/>
      <c r="J25" s="1031"/>
      <c r="K25" s="1031"/>
      <c r="L25" s="1031"/>
      <c r="M25" s="1031"/>
      <c r="N25" s="1031"/>
      <c r="O25" s="1031"/>
      <c r="P25" s="1031"/>
      <c r="Q25" s="1031"/>
      <c r="R25" s="1031"/>
      <c r="S25" s="1031"/>
      <c r="T25" s="1031"/>
      <c r="U25" s="1031"/>
      <c r="V25" s="1031"/>
      <c r="W25" s="1031"/>
      <c r="X25" s="1031"/>
      <c r="Y25" s="1031"/>
      <c r="Z25" s="1031"/>
      <c r="AA25" s="1031"/>
      <c r="AB25" s="1031"/>
    </row>
    <row r="26" spans="4:31">
      <c r="D26" s="1031"/>
      <c r="E26" s="1031"/>
      <c r="F26" s="1031"/>
      <c r="G26" s="1031"/>
      <c r="H26" s="1031"/>
      <c r="I26" s="1031"/>
      <c r="J26" s="1031"/>
      <c r="K26" s="1031"/>
      <c r="L26" s="1031"/>
      <c r="M26" s="1031"/>
      <c r="N26" s="1031"/>
      <c r="O26" s="1031"/>
      <c r="P26" s="1031"/>
      <c r="Q26" s="1031"/>
      <c r="R26" s="1031"/>
      <c r="S26" s="1031"/>
      <c r="T26" s="1031"/>
      <c r="U26" s="1031"/>
      <c r="V26" s="1031"/>
      <c r="W26" s="1031"/>
      <c r="X26" s="1031"/>
      <c r="Y26" s="1031"/>
      <c r="Z26" s="1031"/>
      <c r="AA26" s="1031"/>
      <c r="AB26" s="1031"/>
    </row>
    <row r="27" spans="4:31">
      <c r="D27" s="1031"/>
      <c r="E27" s="1031"/>
      <c r="F27" s="1031"/>
      <c r="G27" s="1031"/>
      <c r="H27" s="1031"/>
      <c r="I27" s="1031"/>
      <c r="J27" s="1031"/>
      <c r="K27" s="1031"/>
      <c r="L27" s="1031"/>
      <c r="M27" s="1031"/>
      <c r="N27" s="1031"/>
      <c r="O27" s="1031"/>
      <c r="P27" s="1031"/>
      <c r="Q27" s="1031"/>
      <c r="R27" s="1031"/>
      <c r="S27" s="1031"/>
      <c r="T27" s="1031"/>
      <c r="U27" s="1031"/>
      <c r="V27" s="1031"/>
      <c r="W27" s="1031"/>
      <c r="X27" s="1031"/>
      <c r="Y27" s="1031"/>
      <c r="Z27" s="1031"/>
      <c r="AA27" s="1031"/>
      <c r="AB27" s="1031"/>
    </row>
    <row r="28" spans="4:31">
      <c r="D28" s="1031"/>
      <c r="E28" s="1031" t="s">
        <v>108</v>
      </c>
      <c r="F28" s="1031"/>
      <c r="G28" s="1031"/>
      <c r="H28" s="1646">
        <f t="shared" ref="H28:P28" si="2">H19</f>
        <v>25.520683718137125</v>
      </c>
      <c r="I28" s="1646">
        <f t="shared" si="2"/>
        <v>24.351474695892978</v>
      </c>
      <c r="J28" s="1646">
        <f t="shared" si="2"/>
        <v>25.482094743567725</v>
      </c>
      <c r="K28" s="1646">
        <f t="shared" si="2"/>
        <v>25.746400599991169</v>
      </c>
      <c r="L28" s="1646">
        <f t="shared" si="2"/>
        <v>25.120043898899805</v>
      </c>
      <c r="M28" s="1646">
        <f>M19</f>
        <v>50.899166721962644</v>
      </c>
      <c r="N28" s="1646">
        <f t="shared" si="2"/>
        <v>36.584603580722465</v>
      </c>
      <c r="O28" s="1646">
        <f t="shared" si="2"/>
        <v>29.930825764326471</v>
      </c>
      <c r="P28" s="1646">
        <f t="shared" si="2"/>
        <v>25.662104545089292</v>
      </c>
      <c r="Q28" s="1031"/>
      <c r="R28" s="1031"/>
      <c r="S28" s="1031"/>
      <c r="T28" s="1031"/>
      <c r="U28" s="1031"/>
      <c r="V28" s="1031"/>
      <c r="W28" s="1031"/>
      <c r="X28" s="1031"/>
      <c r="Y28" s="1031"/>
      <c r="Z28" s="1031"/>
      <c r="AA28" s="1031"/>
      <c r="AB28" s="1031"/>
    </row>
    <row r="29" spans="4:31">
      <c r="D29" s="1031"/>
      <c r="E29" s="1031"/>
      <c r="F29" s="1031"/>
      <c r="G29" s="1031"/>
      <c r="H29" s="1646"/>
      <c r="I29" s="1646"/>
      <c r="J29" s="1646"/>
      <c r="K29" s="1646"/>
      <c r="L29" s="1646"/>
      <c r="M29" s="1646"/>
      <c r="N29" s="1646"/>
      <c r="O29" s="1646"/>
      <c r="P29" s="1646"/>
      <c r="Q29" s="1031"/>
      <c r="R29" s="1031"/>
      <c r="S29" s="1031"/>
      <c r="T29" s="1031"/>
      <c r="U29" s="1031"/>
      <c r="V29" s="1031"/>
      <c r="W29" s="1031"/>
      <c r="X29" s="1031"/>
      <c r="Y29" s="1031"/>
      <c r="Z29" s="1031"/>
      <c r="AA29" s="1031"/>
      <c r="AB29" s="1031"/>
    </row>
    <row r="30" spans="4:31">
      <c r="D30" s="1031"/>
      <c r="E30" s="1047" t="s">
        <v>109</v>
      </c>
      <c r="F30" s="1047" t="s">
        <v>66</v>
      </c>
      <c r="G30" s="1031"/>
      <c r="H30" s="1646"/>
      <c r="I30" s="1646"/>
      <c r="J30" s="1646"/>
      <c r="K30" s="1646"/>
      <c r="L30" s="1646">
        <f>L28</f>
        <v>25.120043898899805</v>
      </c>
      <c r="M30" s="1646">
        <f>L30*(1+M24)</f>
        <v>55.28921662147846</v>
      </c>
      <c r="N30" s="1646">
        <f t="shared" ref="N30:P30" si="3">M30*(1+N24)</f>
        <v>34.002868222209251</v>
      </c>
      <c r="O30" s="1646">
        <f t="shared" si="3"/>
        <v>29.514489616877629</v>
      </c>
      <c r="P30" s="1646">
        <f t="shared" si="3"/>
        <v>26.120323310936701</v>
      </c>
      <c r="Q30" s="1031"/>
      <c r="R30" s="1031"/>
      <c r="S30" s="1031"/>
      <c r="T30" s="1031"/>
      <c r="U30" s="1031"/>
      <c r="V30" s="1031"/>
      <c r="W30" s="1031"/>
      <c r="X30" s="1031"/>
      <c r="Y30" s="1031"/>
      <c r="Z30" s="1031"/>
      <c r="AA30" s="1031"/>
      <c r="AB30" s="1031"/>
    </row>
    <row r="31" spans="4:31">
      <c r="D31" s="1031"/>
      <c r="E31" s="1031"/>
      <c r="F31" s="1031"/>
      <c r="G31" s="1031"/>
      <c r="H31" s="1031"/>
      <c r="I31" s="1031"/>
      <c r="J31" s="1031"/>
      <c r="K31" s="1031"/>
      <c r="L31" s="1031"/>
      <c r="M31" s="1031"/>
      <c r="N31" s="1031"/>
      <c r="O31" s="1031"/>
      <c r="P31" s="1031"/>
      <c r="Q31" s="1031"/>
      <c r="R31" s="1031"/>
      <c r="S31" s="1031"/>
      <c r="T31" s="1031"/>
      <c r="U31" s="1031"/>
      <c r="V31" s="1031"/>
      <c r="W31" s="1031"/>
      <c r="X31" s="1031"/>
      <c r="Y31" s="1031"/>
      <c r="Z31" s="1031"/>
      <c r="AA31" s="1031"/>
      <c r="AB31" s="1031"/>
    </row>
    <row r="32" spans="4:31">
      <c r="D32" s="1031"/>
      <c r="E32" s="1031"/>
      <c r="F32" s="1031"/>
      <c r="G32" s="1031"/>
      <c r="H32" s="1031"/>
      <c r="I32" s="1031"/>
      <c r="J32" s="1031"/>
      <c r="K32" s="1031"/>
      <c r="L32" s="1048"/>
      <c r="M32" s="1652"/>
      <c r="N32" s="1652"/>
      <c r="O32" s="1652"/>
      <c r="P32" s="1652"/>
      <c r="Q32" s="1031"/>
      <c r="R32" s="1031"/>
      <c r="S32" s="1031"/>
      <c r="T32" s="1031"/>
      <c r="U32" s="1031"/>
      <c r="V32" s="1031"/>
      <c r="W32" s="1031"/>
      <c r="X32" s="1031"/>
      <c r="Y32" s="1031"/>
      <c r="Z32" s="1031"/>
      <c r="AA32" s="1031"/>
      <c r="AB32" s="1031"/>
    </row>
    <row r="33" spans="4:31">
      <c r="D33" s="1031"/>
      <c r="E33" s="1031"/>
      <c r="F33" s="1031"/>
      <c r="G33" s="1031"/>
      <c r="H33" s="1031"/>
      <c r="I33" s="1031"/>
      <c r="J33" s="1031"/>
      <c r="K33" s="1031"/>
      <c r="L33" s="1031"/>
      <c r="M33" s="1031"/>
      <c r="N33" s="1031"/>
      <c r="O33" s="1031"/>
      <c r="P33" s="1031"/>
      <c r="Q33" s="1031"/>
      <c r="R33" s="1031"/>
      <c r="S33" s="1031"/>
      <c r="T33" s="1031"/>
      <c r="U33" s="1031"/>
      <c r="V33" s="1031"/>
      <c r="W33" s="1031"/>
      <c r="X33" s="1031"/>
      <c r="Y33" s="1031"/>
      <c r="Z33" s="1031"/>
      <c r="AA33" s="1031"/>
      <c r="AB33" s="1031"/>
    </row>
    <row r="34" spans="4:31">
      <c r="D34" s="1031"/>
      <c r="E34" s="1031"/>
      <c r="F34" s="1031"/>
      <c r="G34" s="1031"/>
      <c r="H34" s="1031"/>
      <c r="I34" s="1031"/>
      <c r="J34" s="1031"/>
      <c r="K34" s="1031"/>
      <c r="L34" s="1031"/>
      <c r="M34" s="1652"/>
      <c r="N34" s="1652"/>
      <c r="O34" s="1652"/>
      <c r="P34" s="1652"/>
      <c r="Q34" s="1031"/>
      <c r="R34" s="1031"/>
      <c r="S34" s="1031"/>
      <c r="T34" s="1031"/>
      <c r="U34" s="1031"/>
      <c r="V34" s="1031"/>
      <c r="W34" s="1031"/>
      <c r="X34" s="1031"/>
      <c r="Y34" s="1031"/>
      <c r="Z34" s="1031"/>
      <c r="AA34" s="1031"/>
      <c r="AB34" s="1031"/>
    </row>
    <row r="35" spans="4:31">
      <c r="D35" s="1031"/>
      <c r="E35" s="1031"/>
      <c r="F35" s="1031"/>
      <c r="G35" s="1031"/>
      <c r="H35" s="1031"/>
      <c r="I35" s="1031"/>
      <c r="J35" s="1031"/>
      <c r="K35" s="1031"/>
      <c r="L35" s="1031"/>
      <c r="M35" s="1031"/>
      <c r="N35" s="1031"/>
      <c r="O35" s="1031"/>
      <c r="P35" s="1031"/>
      <c r="Q35" s="1031"/>
      <c r="R35" s="1031"/>
      <c r="S35" s="1031"/>
      <c r="T35" s="1031"/>
      <c r="U35" s="1031"/>
      <c r="V35" s="1031"/>
      <c r="W35" s="1031"/>
      <c r="X35" s="1031"/>
      <c r="Y35" s="1031"/>
      <c r="Z35" s="1031"/>
      <c r="AA35" s="1031"/>
      <c r="AB35" s="1031"/>
    </row>
    <row r="36" spans="4:31">
      <c r="D36" s="1031"/>
      <c r="E36" s="1031"/>
      <c r="F36" s="1031"/>
      <c r="G36" s="1031"/>
      <c r="H36" s="1031"/>
      <c r="I36" s="1031"/>
      <c r="J36" s="1031"/>
      <c r="K36" s="1031"/>
      <c r="L36" s="1031"/>
      <c r="M36" s="1031"/>
      <c r="N36" s="1031"/>
      <c r="O36" s="1031"/>
      <c r="P36" s="1031"/>
      <c r="Q36" s="1031"/>
      <c r="R36" s="1031"/>
      <c r="S36" s="1031"/>
      <c r="T36" s="1031"/>
      <c r="U36" s="1031"/>
      <c r="V36" s="1031"/>
      <c r="W36" s="1031"/>
      <c r="X36" s="1031"/>
      <c r="Y36" s="1031"/>
      <c r="Z36" s="1031"/>
      <c r="AA36" s="1031"/>
      <c r="AB36" s="1031"/>
    </row>
    <row r="37" spans="4:31">
      <c r="D37" s="1031"/>
      <c r="E37" s="1031"/>
      <c r="F37" s="1031"/>
      <c r="G37" s="1031"/>
      <c r="H37" s="1031"/>
      <c r="I37" s="1031"/>
      <c r="J37" s="1031"/>
      <c r="K37" s="1031"/>
      <c r="L37" s="1031"/>
      <c r="M37" s="1031"/>
      <c r="N37" s="1031"/>
      <c r="O37" s="1031"/>
      <c r="P37" s="1031"/>
      <c r="Q37" s="1031"/>
      <c r="R37" s="1031"/>
      <c r="S37" s="1031"/>
      <c r="T37" s="1031"/>
      <c r="U37" s="1031"/>
      <c r="V37" s="1031"/>
      <c r="W37" s="1031"/>
      <c r="X37" s="1031"/>
      <c r="Y37" s="1031"/>
      <c r="Z37" s="1031"/>
      <c r="AA37" s="1031"/>
      <c r="AB37" s="1031"/>
    </row>
    <row r="38" spans="4:31">
      <c r="D38" s="1031"/>
      <c r="E38" s="1031"/>
      <c r="F38" s="1031"/>
      <c r="G38" s="1031"/>
      <c r="H38" s="1031"/>
      <c r="I38" s="1031"/>
      <c r="J38" s="1031"/>
      <c r="K38" s="1031"/>
      <c r="L38" s="1031"/>
      <c r="M38" s="1031"/>
      <c r="N38" s="1031"/>
      <c r="O38" s="1031"/>
      <c r="P38" s="1031"/>
      <c r="Q38" s="1031"/>
      <c r="R38" s="1031"/>
      <c r="S38" s="1031"/>
      <c r="T38" s="1031"/>
      <c r="U38" s="1031"/>
      <c r="V38" s="1031"/>
      <c r="W38" s="1031"/>
      <c r="X38" s="1031"/>
      <c r="Y38" s="1031"/>
      <c r="Z38" s="1031"/>
      <c r="AA38" s="1031"/>
      <c r="AB38" s="1031"/>
    </row>
    <row r="40" spans="4:31">
      <c r="D40" s="1041" t="s">
        <v>24</v>
      </c>
      <c r="E40" s="1042"/>
      <c r="F40" s="1042"/>
      <c r="G40" s="1042"/>
      <c r="H40" s="1042"/>
      <c r="I40" s="1042"/>
      <c r="J40" s="1042"/>
      <c r="K40" s="1042"/>
      <c r="L40" s="1042"/>
      <c r="M40" s="1042"/>
      <c r="N40" s="1042"/>
      <c r="O40" s="1042"/>
      <c r="P40" s="1042"/>
      <c r="Q40" s="1042"/>
      <c r="R40" s="1042"/>
      <c r="S40" s="1042"/>
      <c r="T40" s="1042"/>
      <c r="U40" s="1042"/>
      <c r="V40" s="1042"/>
      <c r="W40" s="1042"/>
      <c r="X40" s="1042"/>
      <c r="Y40" s="1042"/>
      <c r="Z40" s="1042"/>
      <c r="AA40" s="1042"/>
      <c r="AB40" s="1042"/>
    </row>
    <row r="41" spans="4:31">
      <c r="D41" s="1031"/>
      <c r="E41" s="1033" t="s">
        <v>13</v>
      </c>
      <c r="F41" s="14" t="s">
        <v>66</v>
      </c>
      <c r="G41" s="1031"/>
      <c r="H41" s="1628">
        <f>'ANSP TRM'!C70*IF($F$12='Misc. Items'!$C$57,H$4/100,1)</f>
        <v>133.75515778087842</v>
      </c>
      <c r="I41" s="1628">
        <f>'ANSP TRM'!D70*IF($F$12='Misc. Items'!$C$57,I$4/100,1)</f>
        <v>126.78727946185512</v>
      </c>
      <c r="J41" s="1628">
        <f>'ANSP TRM'!E70*IF($F$12='Misc. Items'!$C$57,J$4/100,1)</f>
        <v>123.52548504109176</v>
      </c>
      <c r="K41" s="1628">
        <f>'ANSP TRM'!F70*IF($F$12='Misc. Items'!$C$57,K$4/100,1)</f>
        <v>117.67098052303142</v>
      </c>
      <c r="L41" s="1628">
        <f>'ANSP TRM'!G70*IF($F$12='Misc. Items'!$C$57,L$4/100,1)</f>
        <v>118.69368905944147</v>
      </c>
      <c r="M41" s="1628">
        <f>'ANSP TRM'!J70*IF($F$12='Misc. Items'!$C$57,M$4/100,1)</f>
        <v>231.67804938759571</v>
      </c>
      <c r="N41" s="1628">
        <f>'ANSP TRM'!K70*IF($F$12='Misc. Items'!$C$57,N$4/100,1)</f>
        <v>178.17410018869126</v>
      </c>
      <c r="O41" s="1628">
        <f>'ANSP TRM'!L70*IF($F$12='Misc. Items'!$C$57,O$4/100,1)</f>
        <v>160.67088588456184</v>
      </c>
      <c r="P41" s="1628">
        <f>'ANSP TRM'!M70*IF($F$12='Misc. Items'!$C$57,P$4/100,1)</f>
        <v>145.22406343255747</v>
      </c>
      <c r="Q41" s="1031"/>
      <c r="R41" s="1031"/>
      <c r="S41" s="1031"/>
      <c r="T41" s="1031"/>
      <c r="U41" s="1031"/>
      <c r="V41" s="1031"/>
      <c r="W41" s="1031"/>
      <c r="X41" s="1031"/>
      <c r="Y41" s="1031"/>
      <c r="Z41" s="1031"/>
      <c r="AA41" s="1031"/>
      <c r="AB41" s="1031"/>
    </row>
    <row r="42" spans="4:31">
      <c r="D42" s="1031"/>
      <c r="E42" s="1033" t="s">
        <v>5</v>
      </c>
      <c r="F42" s="14" t="s">
        <v>66</v>
      </c>
      <c r="G42" s="1031"/>
      <c r="H42" s="1628">
        <f>'MET TRM'!C70*IF($F$12='Misc. Items'!$C$57,H$4/100,1)</f>
        <v>10.840797142646828</v>
      </c>
      <c r="I42" s="1628">
        <f>'MET TRM'!D70*IF($F$12='Misc. Items'!$C$57,I$4/100,1)</f>
        <v>11.663517972560113</v>
      </c>
      <c r="J42" s="1628">
        <f>'MET TRM'!E70*IF($F$12='Misc. Items'!$C$57,J$4/100,1)</f>
        <v>11.353509565908409</v>
      </c>
      <c r="K42" s="1628">
        <f>'MET TRM'!F70*IF($F$12='Misc. Items'!$C$57,K$4/100,1)</f>
        <v>9.7559662176597808</v>
      </c>
      <c r="L42" s="1628">
        <f>'MET TRM'!G70*IF($F$12='Misc. Items'!$C$57,L$4/100,1)</f>
        <v>11.8443017850384</v>
      </c>
      <c r="M42" s="1628">
        <f>'MET TRM'!J70*IF($F$12='Misc. Items'!$C$57,M$4/100,1)</f>
        <v>21.81499385898427</v>
      </c>
      <c r="N42" s="1628">
        <f>'MET TRM'!K70*IF($F$12='Misc. Items'!$C$57,N$4/100,1)</f>
        <v>11.990533943354237</v>
      </c>
      <c r="O42" s="1628">
        <f>'MET TRM'!L70*IF($F$12='Misc. Items'!$C$57,O$4/100,1)</f>
        <v>10.504796889322288</v>
      </c>
      <c r="P42" s="1628">
        <f>'MET TRM'!M70*IF($F$12='Misc. Items'!$C$57,P$4/100,1)</f>
        <v>8.5003966595533385</v>
      </c>
      <c r="Q42" s="1031"/>
      <c r="R42" s="1031"/>
      <c r="S42" s="1031"/>
      <c r="T42" s="1031"/>
      <c r="U42" s="1031"/>
      <c r="V42" s="1031"/>
      <c r="W42" s="1031"/>
      <c r="X42" s="1031"/>
      <c r="Y42" s="1031"/>
      <c r="Z42" s="1031"/>
      <c r="AA42" s="1031"/>
      <c r="AB42" s="1031"/>
    </row>
    <row r="43" spans="4:31">
      <c r="D43" s="1031"/>
      <c r="E43" s="1033" t="s">
        <v>105</v>
      </c>
      <c r="F43" s="14" t="s">
        <v>66</v>
      </c>
      <c r="G43" s="1031"/>
      <c r="H43" s="1628">
        <f>'Supervision TRM'!C70*IF($F$12='Misc. Items'!$C$57,H$4/100,1)</f>
        <v>4.5241320405970784</v>
      </c>
      <c r="I43" s="1628">
        <f>'Supervision TRM'!D70*IF($F$12='Misc. Items'!$C$57,I$4/100,1)</f>
        <v>3.9557813125029022</v>
      </c>
      <c r="J43" s="1628">
        <f>'Supervision TRM'!E70*IF($F$12='Misc. Items'!$C$57,J$4/100,1)</f>
        <v>4.2291677500510545</v>
      </c>
      <c r="K43" s="1628">
        <f>'Supervision TRM'!F70*IF($F$12='Misc. Items'!$C$57,K$4/100,1)</f>
        <v>4.6138437204109222</v>
      </c>
      <c r="L43" s="1628">
        <f>'Supervision TRM'!G70*IF($F$12='Misc. Items'!$C$57,L$4/100,1)</f>
        <v>4.2086320830646571</v>
      </c>
      <c r="M43" s="1628">
        <f>'Supervision TRM'!J70*IF($F$12='Misc. Items'!$C$57,M$4/100,1)</f>
        <v>8.1249837242423482</v>
      </c>
      <c r="N43" s="1628">
        <f>'Supervision TRM'!K70*IF($F$12='Misc. Items'!$C$57,N$4/100,1)</f>
        <v>5.872374935755813</v>
      </c>
      <c r="O43" s="1628">
        <f>'Supervision TRM'!L70*IF($F$12='Misc. Items'!$C$57,O$4/100,1)</f>
        <v>5.3206915304857469</v>
      </c>
      <c r="P43" s="1628">
        <f>'Supervision TRM'!M70*IF($F$12='Misc. Items'!$C$57,P$4/100,1)</f>
        <v>4.7476935857203681</v>
      </c>
      <c r="Q43" s="1031"/>
      <c r="R43" s="1031"/>
      <c r="S43" s="1031"/>
      <c r="T43" s="1031"/>
      <c r="U43" s="1031"/>
      <c r="V43" s="1031"/>
      <c r="W43" s="1031"/>
      <c r="X43" s="1031"/>
      <c r="Y43" s="1031"/>
      <c r="Z43" s="1031"/>
      <c r="AA43" s="1031"/>
      <c r="AB43" s="1031"/>
    </row>
    <row r="44" spans="4:31">
      <c r="D44" s="1031"/>
      <c r="E44" s="1031"/>
      <c r="F44" s="1031"/>
      <c r="G44" s="1031"/>
      <c r="H44" s="1646"/>
      <c r="I44" s="1646"/>
      <c r="J44" s="1646"/>
      <c r="K44" s="1646"/>
      <c r="L44" s="1646"/>
      <c r="M44" s="1646"/>
      <c r="N44" s="1646"/>
      <c r="O44" s="1646"/>
      <c r="P44" s="1646"/>
      <c r="Q44" s="1031"/>
      <c r="R44" s="1031"/>
      <c r="S44" s="1031"/>
      <c r="T44" s="1031"/>
      <c r="U44" s="1031"/>
      <c r="V44" s="1031"/>
      <c r="W44" s="1031"/>
      <c r="X44" s="1031"/>
      <c r="Y44" s="1031"/>
      <c r="Z44" s="1031"/>
      <c r="AA44" s="1031"/>
      <c r="AB44" s="1031"/>
    </row>
    <row r="45" spans="4:31">
      <c r="D45" s="1031"/>
      <c r="E45" s="1030" t="s">
        <v>12</v>
      </c>
      <c r="F45" s="14" t="s">
        <v>66</v>
      </c>
      <c r="G45" s="1031"/>
      <c r="H45" s="1629">
        <f>SUM(H41:H43)</f>
        <v>149.12008696412232</v>
      </c>
      <c r="I45" s="1629">
        <f t="shared" ref="I45:P45" si="4">SUM(I41:I43)</f>
        <v>142.40657874691811</v>
      </c>
      <c r="J45" s="1629">
        <f t="shared" si="4"/>
        <v>139.10816235705121</v>
      </c>
      <c r="K45" s="1629">
        <f t="shared" si="4"/>
        <v>132.04079046110212</v>
      </c>
      <c r="L45" s="1629">
        <f t="shared" si="4"/>
        <v>134.74662292754454</v>
      </c>
      <c r="M45" s="1629">
        <f t="shared" si="4"/>
        <v>261.61802697082231</v>
      </c>
      <c r="N45" s="1629">
        <f t="shared" si="4"/>
        <v>196.03700906780128</v>
      </c>
      <c r="O45" s="1629">
        <f t="shared" si="4"/>
        <v>176.49637430436988</v>
      </c>
      <c r="P45" s="1629">
        <f t="shared" si="4"/>
        <v>158.47215367783116</v>
      </c>
      <c r="Q45" s="1031"/>
      <c r="R45" s="1031"/>
      <c r="S45" s="1031"/>
      <c r="T45" s="1031"/>
      <c r="U45" s="1031"/>
      <c r="V45" s="1031"/>
      <c r="W45" s="1031"/>
      <c r="X45" s="1031"/>
      <c r="Y45" s="1031"/>
      <c r="Z45" s="1031"/>
      <c r="AA45" s="1031"/>
      <c r="AB45" s="1031"/>
      <c r="AE45" s="1655">
        <f>ROUND(IF($F$12='Misc. Items'!$C$57,0,SUM(M45:P45)-SUM('TRM DC'!J70:M70)),5)</f>
        <v>0</v>
      </c>
    </row>
    <row r="46" spans="4:31">
      <c r="D46" s="1031"/>
      <c r="E46" s="1031"/>
      <c r="F46" s="1031"/>
      <c r="G46" s="1031"/>
      <c r="H46" s="1630"/>
      <c r="I46" s="1630"/>
      <c r="J46" s="1630"/>
      <c r="K46" s="1630"/>
      <c r="L46" s="1630"/>
      <c r="M46" s="1630"/>
      <c r="N46" s="1630"/>
      <c r="O46" s="1630"/>
      <c r="P46" s="1630"/>
      <c r="Q46" s="1031"/>
      <c r="R46" s="1031"/>
      <c r="S46" s="1031"/>
      <c r="T46" s="1031"/>
      <c r="U46" s="1031"/>
      <c r="V46" s="1031"/>
      <c r="W46" s="1031"/>
      <c r="X46" s="1031"/>
      <c r="Y46" s="1031"/>
      <c r="Z46" s="1031"/>
      <c r="AA46" s="1031"/>
      <c r="AB46" s="1031"/>
    </row>
    <row r="47" spans="4:31">
      <c r="D47" s="1031"/>
      <c r="E47" s="1031"/>
      <c r="F47" s="1031"/>
      <c r="G47" s="1031"/>
      <c r="H47" s="1031"/>
      <c r="I47" s="1031"/>
      <c r="J47" s="1031"/>
      <c r="K47" s="1031"/>
      <c r="L47" s="1031"/>
      <c r="M47" s="1031"/>
      <c r="N47" s="1031"/>
      <c r="O47" s="1031"/>
      <c r="P47" s="1031"/>
      <c r="Q47" s="1031"/>
      <c r="R47" s="1031"/>
      <c r="S47" s="1031"/>
      <c r="T47" s="1031"/>
      <c r="U47" s="1031"/>
      <c r="V47" s="1031"/>
      <c r="W47" s="1031"/>
      <c r="X47" s="1031"/>
      <c r="Y47" s="1031"/>
      <c r="Z47" s="1031"/>
      <c r="AA47" s="1031"/>
      <c r="AB47" s="1031"/>
    </row>
    <row r="48" spans="4:31">
      <c r="D48" s="1031"/>
      <c r="E48" s="1031" t="s">
        <v>106</v>
      </c>
      <c r="F48" s="1031" t="s">
        <v>43</v>
      </c>
      <c r="G48" s="1031"/>
      <c r="H48" s="1031"/>
      <c r="I48" s="1044">
        <f>I45/H45-1</f>
        <v>-4.5020817475914243E-2</v>
      </c>
      <c r="J48" s="1044">
        <f t="shared" ref="J48:P48" si="5">J45/I45-1</f>
        <v>-2.3161966384493859E-2</v>
      </c>
      <c r="K48" s="1044">
        <f t="shared" si="5"/>
        <v>-5.0804868500880285E-2</v>
      </c>
      <c r="L48" s="1044">
        <f t="shared" si="5"/>
        <v>2.0492398273240564E-2</v>
      </c>
      <c r="M48" s="1044">
        <f t="shared" si="5"/>
        <v>0.94155535245954636</v>
      </c>
      <c r="N48" s="1044">
        <f t="shared" si="5"/>
        <v>-0.25067469035815004</v>
      </c>
      <c r="O48" s="1044">
        <f t="shared" si="5"/>
        <v>-9.9678294707470694E-2</v>
      </c>
      <c r="P48" s="1044">
        <f t="shared" si="5"/>
        <v>-0.10212232799443099</v>
      </c>
      <c r="Q48" s="1031"/>
      <c r="R48" s="1031"/>
      <c r="S48" s="1031"/>
      <c r="T48" s="1031"/>
      <c r="U48" s="1031"/>
      <c r="V48" s="1031"/>
      <c r="W48" s="1031"/>
      <c r="X48" s="1031"/>
      <c r="Y48" s="1031"/>
      <c r="Z48" s="1031"/>
      <c r="AA48" s="1031"/>
      <c r="AB48" s="1031"/>
    </row>
    <row r="49" spans="2:28">
      <c r="D49" s="1031"/>
      <c r="E49" s="1031"/>
      <c r="F49" s="1031"/>
      <c r="G49" s="1031"/>
      <c r="H49" s="1031"/>
      <c r="I49" s="1031"/>
      <c r="J49" s="1031"/>
      <c r="K49" s="1031"/>
      <c r="L49" s="1031"/>
      <c r="M49" s="1031"/>
      <c r="N49" s="1031"/>
      <c r="O49" s="1031"/>
      <c r="P49" s="1031"/>
      <c r="Q49" s="1031"/>
      <c r="R49" s="1031"/>
      <c r="S49" s="1031"/>
      <c r="T49" s="1031"/>
      <c r="U49" s="1031"/>
      <c r="V49" s="1031"/>
      <c r="W49" s="1031"/>
      <c r="X49" s="1031"/>
      <c r="Y49" s="1031"/>
      <c r="Z49" s="1031"/>
      <c r="AA49" s="1031"/>
      <c r="AB49" s="1031"/>
    </row>
    <row r="50" spans="2:28">
      <c r="D50" s="1031"/>
      <c r="E50" s="1031"/>
      <c r="F50" s="1031"/>
      <c r="G50" s="1031"/>
      <c r="H50" s="1031"/>
      <c r="I50" s="1031"/>
      <c r="J50" s="1031"/>
      <c r="K50" s="1031"/>
      <c r="L50" s="1031"/>
      <c r="M50" s="1031"/>
      <c r="N50" s="1031"/>
      <c r="O50" s="1031"/>
      <c r="P50" s="1031"/>
      <c r="Q50" s="1031"/>
      <c r="R50" s="1031"/>
      <c r="S50" s="1031"/>
      <c r="T50" s="1031"/>
      <c r="U50" s="1031"/>
      <c r="V50" s="1031"/>
      <c r="W50" s="1031"/>
      <c r="X50" s="1031"/>
      <c r="Y50" s="1031"/>
      <c r="Z50" s="1031"/>
      <c r="AA50" s="1031"/>
      <c r="AB50" s="1031"/>
    </row>
    <row r="51" spans="2:28">
      <c r="D51" s="1031"/>
      <c r="E51" s="1031"/>
      <c r="F51" s="1031"/>
      <c r="G51" s="1031"/>
      <c r="H51" s="1031"/>
      <c r="I51" s="1031"/>
      <c r="J51" s="1031"/>
      <c r="K51" s="1031"/>
      <c r="L51" s="1031"/>
      <c r="M51" s="1031"/>
      <c r="N51" s="1031"/>
      <c r="O51" s="1031"/>
      <c r="P51" s="1626"/>
      <c r="Q51" s="1031"/>
      <c r="R51" s="1031"/>
      <c r="S51" s="1031"/>
      <c r="T51" s="1031"/>
      <c r="U51" s="1031"/>
      <c r="V51" s="1031"/>
      <c r="W51" s="1031"/>
      <c r="X51" s="1031"/>
      <c r="Y51" s="1031"/>
      <c r="Z51" s="1031"/>
      <c r="AA51" s="1031"/>
      <c r="AB51" s="1031"/>
    </row>
    <row r="52" spans="2:28">
      <c r="D52" s="1031"/>
      <c r="E52" s="1031"/>
      <c r="F52" s="1031"/>
      <c r="G52" s="1031"/>
      <c r="H52" s="1031"/>
      <c r="I52" s="1031"/>
      <c r="J52" s="1031"/>
      <c r="K52" s="1031"/>
      <c r="L52" s="1031"/>
      <c r="M52" s="1031"/>
      <c r="N52" s="1031"/>
      <c r="O52" s="1031"/>
      <c r="P52" s="1031"/>
      <c r="Q52" s="1031"/>
      <c r="R52" s="1031"/>
      <c r="S52" s="1031"/>
      <c r="T52" s="1031"/>
      <c r="U52" s="1031"/>
      <c r="V52" s="1031"/>
      <c r="W52" s="1031"/>
      <c r="X52" s="1031"/>
      <c r="Y52" s="1031"/>
      <c r="Z52" s="1031"/>
      <c r="AA52" s="1031"/>
      <c r="AB52" s="1031"/>
    </row>
    <row r="53" spans="2:28">
      <c r="D53" s="1031"/>
      <c r="E53" s="1031"/>
      <c r="F53" s="1031"/>
      <c r="G53" s="1031"/>
      <c r="H53" s="1031"/>
      <c r="I53" s="1031"/>
      <c r="J53" s="1031"/>
      <c r="K53" s="1031"/>
      <c r="L53" s="1031"/>
      <c r="M53" s="1031"/>
      <c r="N53" s="1031"/>
      <c r="O53" s="1031"/>
      <c r="P53" s="1626"/>
      <c r="Q53" s="1031"/>
      <c r="R53" s="1031"/>
      <c r="S53" s="1031"/>
      <c r="T53" s="1031"/>
      <c r="U53" s="1031"/>
      <c r="V53" s="1031"/>
      <c r="W53" s="1031"/>
      <c r="X53" s="1031"/>
      <c r="Y53" s="1031"/>
      <c r="Z53" s="1031"/>
      <c r="AA53" s="1031"/>
      <c r="AB53" s="1031"/>
    </row>
    <row r="54" spans="2:28">
      <c r="D54" s="1031"/>
      <c r="E54" s="1031"/>
      <c r="F54" s="1031"/>
      <c r="G54" s="1031"/>
      <c r="H54" s="1031"/>
      <c r="I54" s="1031"/>
      <c r="J54" s="1031"/>
      <c r="K54" s="1031"/>
      <c r="L54" s="1031"/>
      <c r="M54" s="1031"/>
      <c r="N54" s="1031"/>
      <c r="O54" s="1031"/>
      <c r="P54" s="1031"/>
      <c r="Q54" s="1031"/>
      <c r="R54" s="1031"/>
      <c r="S54" s="1031"/>
      <c r="T54" s="1031"/>
      <c r="U54" s="1031"/>
      <c r="V54" s="1031"/>
      <c r="W54" s="1031"/>
      <c r="X54" s="1031"/>
      <c r="Y54" s="1031"/>
      <c r="Z54" s="1031"/>
      <c r="AA54" s="1031"/>
      <c r="AB54" s="1031"/>
    </row>
    <row r="56" spans="2:28" ht="15" thickBot="1">
      <c r="B56" s="1020" t="s">
        <v>110</v>
      </c>
      <c r="C56" s="1020"/>
      <c r="D56" s="1020"/>
      <c r="E56" s="1020" t="s">
        <v>17</v>
      </c>
      <c r="F56" s="1538" t="str">
        <f>F12</f>
        <v>Real</v>
      </c>
      <c r="G56" s="1020"/>
      <c r="H56" s="1020"/>
      <c r="I56" s="1020"/>
      <c r="J56" s="1020"/>
      <c r="K56" s="1020"/>
      <c r="L56" s="1020"/>
      <c r="M56" s="1020"/>
      <c r="N56" s="1020"/>
      <c r="O56" s="1020"/>
      <c r="P56" s="1020"/>
      <c r="Q56" s="1020"/>
      <c r="R56" s="1020"/>
      <c r="S56" s="1020"/>
      <c r="T56" s="1020"/>
      <c r="U56" s="1020"/>
      <c r="V56" s="1020"/>
      <c r="W56" s="1020"/>
      <c r="X56" s="1020"/>
      <c r="Y56" s="1020"/>
      <c r="Z56" s="1020"/>
      <c r="AA56" s="1020"/>
      <c r="AB56" s="1020"/>
    </row>
    <row r="57" spans="2:28" ht="13.5" thickTop="1"/>
    <row r="58" spans="2:28">
      <c r="D58" s="1039" t="s">
        <v>23</v>
      </c>
      <c r="E58" s="1040"/>
      <c r="F58" s="1040"/>
      <c r="G58" s="1040"/>
      <c r="H58" s="1040"/>
      <c r="I58" s="1040"/>
      <c r="J58" s="1040"/>
      <c r="K58" s="1040"/>
      <c r="L58" s="1040"/>
      <c r="M58" s="1040"/>
      <c r="N58" s="1040"/>
      <c r="O58" s="1040"/>
      <c r="P58" s="1040"/>
      <c r="Q58" s="1040"/>
      <c r="R58" s="1040"/>
      <c r="S58" s="1040"/>
      <c r="T58" s="1040"/>
      <c r="U58" s="1040"/>
      <c r="V58" s="1040"/>
      <c r="W58" s="1040"/>
      <c r="X58" s="1040"/>
      <c r="Y58" s="1040"/>
      <c r="Z58" s="1040"/>
      <c r="AA58" s="1040"/>
      <c r="AB58" s="1042"/>
    </row>
    <row r="59" spans="2:28">
      <c r="D59" s="1031"/>
      <c r="E59" s="1031"/>
      <c r="F59" s="1031"/>
      <c r="G59" s="1031"/>
      <c r="H59" s="1031"/>
      <c r="I59" s="1031"/>
      <c r="J59" s="1031"/>
      <c r="K59" s="1031"/>
      <c r="L59" s="1031"/>
      <c r="M59" s="1031"/>
      <c r="N59" s="1031"/>
      <c r="O59" s="1031"/>
      <c r="P59" s="1031"/>
      <c r="Q59" s="1031"/>
      <c r="R59" s="1031"/>
      <c r="S59" s="1031"/>
      <c r="T59" s="1031"/>
      <c r="U59" s="1031"/>
      <c r="V59" s="1031"/>
      <c r="W59" s="1031"/>
      <c r="X59" s="1031"/>
      <c r="Y59" s="1031"/>
      <c r="Z59" s="1031"/>
      <c r="AA59" s="1031"/>
      <c r="AB59" s="1031"/>
    </row>
    <row r="60" spans="2:28">
      <c r="D60" s="1031"/>
      <c r="E60" s="1032" t="s">
        <v>111</v>
      </c>
      <c r="F60" s="14" t="s">
        <v>29</v>
      </c>
      <c r="G60" s="1031"/>
      <c r="H60" s="1031"/>
      <c r="I60" s="1031"/>
      <c r="J60" s="1031"/>
      <c r="K60" s="1031"/>
      <c r="L60" s="1031"/>
      <c r="M60" s="1033">
        <f>'ERT UR'!C81/IF($F$56='Misc. Items'!$C$57,1,M$4/100)</f>
        <v>205573.71839701154</v>
      </c>
      <c r="N60" s="1033">
        <f>'ERT UR'!D81/IF($F$56='Misc. Items'!$C$57,1,N$4/100)</f>
        <v>115813.05784518433</v>
      </c>
      <c r="O60" s="1033">
        <f>'ERT UR'!E81/IF($F$56='Misc. Items'!$C$57,1,O$4/100)</f>
        <v>118949.10690104785</v>
      </c>
      <c r="P60" s="1033">
        <f>'ERT UR'!F81/IF($F$56='Misc. Items'!$C$57,1,P$4/100)</f>
        <v>118893.79790614267</v>
      </c>
      <c r="Q60" s="1031"/>
      <c r="R60" s="1031"/>
      <c r="S60" s="1031"/>
      <c r="T60" s="1031"/>
      <c r="U60" s="1031"/>
      <c r="V60" s="1031"/>
      <c r="W60" s="1031"/>
      <c r="X60" s="1031"/>
      <c r="Y60" s="1031"/>
      <c r="Z60" s="1031"/>
      <c r="AA60" s="1031"/>
      <c r="AB60" s="1031"/>
    </row>
    <row r="61" spans="2:28">
      <c r="D61" s="1031"/>
      <c r="E61" s="1034" t="s">
        <v>112</v>
      </c>
      <c r="F61" s="14" t="s">
        <v>29</v>
      </c>
      <c r="G61" s="1031"/>
      <c r="H61" s="1031"/>
      <c r="I61" s="1031"/>
      <c r="J61" s="1031"/>
      <c r="K61" s="1031"/>
      <c r="L61" s="1031"/>
      <c r="M61" s="1033">
        <f>'ERT UR'!C82/IF($F$56='Misc. Items'!$C$57,1,M$4/100)</f>
        <v>-13017.068868516521</v>
      </c>
      <c r="N61" s="1033">
        <f>'ERT UR'!D82/IF($F$56='Misc. Items'!$C$57,1,N$4/100)</f>
        <v>0</v>
      </c>
      <c r="O61" s="1033">
        <f>'ERT UR'!E82/IF($F$56='Misc. Items'!$C$57,1,O$4/100)</f>
        <v>0</v>
      </c>
      <c r="P61" s="1033">
        <f>'ERT UR'!F82/IF($F$56='Misc. Items'!$C$57,1,P$4/100)</f>
        <v>0</v>
      </c>
      <c r="Q61" s="1031"/>
      <c r="R61" s="1031"/>
      <c r="S61" s="1031"/>
      <c r="T61" s="1031"/>
      <c r="U61" s="1031"/>
      <c r="V61" s="1031"/>
      <c r="W61" s="1031"/>
      <c r="X61" s="1031"/>
      <c r="Y61" s="1031"/>
      <c r="Z61" s="1031"/>
      <c r="AA61" s="1031"/>
      <c r="AB61" s="1031"/>
    </row>
    <row r="62" spans="2:28">
      <c r="D62" s="1031"/>
      <c r="E62" s="1034" t="s">
        <v>113</v>
      </c>
      <c r="F62" s="14" t="s">
        <v>29</v>
      </c>
      <c r="G62" s="1031"/>
      <c r="H62" s="1031"/>
      <c r="I62" s="1031"/>
      <c r="J62" s="1031"/>
      <c r="K62" s="1031"/>
      <c r="L62" s="1031"/>
      <c r="M62" s="1033">
        <f>'ERT UR'!C83/IF($F$56='Misc. Items'!$C$57,1,M$4/100)</f>
        <v>-10293.626257037562</v>
      </c>
      <c r="N62" s="1033">
        <f>'ERT UR'!D83/IF($F$56='Misc. Items'!$C$57,1,N$4/100)</f>
        <v>0</v>
      </c>
      <c r="O62" s="1033">
        <f>'ERT UR'!E83/IF($F$56='Misc. Items'!$C$57,1,O$4/100)</f>
        <v>0</v>
      </c>
      <c r="P62" s="1033">
        <f>'ERT UR'!F83/IF($F$56='Misc. Items'!$C$57,1,P$4/100)</f>
        <v>0</v>
      </c>
      <c r="Q62" s="1031"/>
      <c r="R62" s="1031"/>
      <c r="S62" s="1031"/>
      <c r="T62" s="1031"/>
      <c r="U62" s="1031"/>
      <c r="V62" s="1031"/>
      <c r="W62" s="1031"/>
      <c r="X62" s="1031"/>
      <c r="Y62" s="1031"/>
      <c r="Z62" s="1031"/>
      <c r="AA62" s="1031"/>
      <c r="AB62" s="1031"/>
    </row>
    <row r="63" spans="2:28">
      <c r="D63" s="1031"/>
      <c r="E63" s="1035" t="s">
        <v>114</v>
      </c>
      <c r="F63" s="14" t="s">
        <v>29</v>
      </c>
      <c r="G63" s="1031"/>
      <c r="H63" s="1031"/>
      <c r="I63" s="1031"/>
      <c r="J63" s="1031"/>
      <c r="K63" s="1031"/>
      <c r="L63" s="1031"/>
      <c r="M63" s="1033">
        <f>'ERT UR'!C84/IF($F$56='Misc. Items'!$C$57,1,M$4/100)</f>
        <v>-2992.0924241527396</v>
      </c>
      <c r="N63" s="1033">
        <f>'ERT UR'!D84/IF($F$56='Misc. Items'!$C$57,1,N$4/100)</f>
        <v>0</v>
      </c>
      <c r="O63" s="1033">
        <f>'ERT UR'!E84/IF($F$56='Misc. Items'!$C$57,1,O$4/100)</f>
        <v>0</v>
      </c>
      <c r="P63" s="1033">
        <f>'ERT UR'!F84/IF($F$56='Misc. Items'!$C$57,1,P$4/100)</f>
        <v>0</v>
      </c>
      <c r="Q63" s="1031"/>
      <c r="R63" s="1031"/>
      <c r="S63" s="1031"/>
      <c r="T63" s="1031"/>
      <c r="U63" s="1031"/>
      <c r="V63" s="1031"/>
      <c r="W63" s="1031"/>
      <c r="X63" s="1031"/>
      <c r="Y63" s="1031"/>
      <c r="Z63" s="1031"/>
      <c r="AA63" s="1031"/>
      <c r="AB63" s="1031"/>
    </row>
    <row r="64" spans="2:28">
      <c r="D64" s="1031"/>
      <c r="E64" s="1035" t="s">
        <v>115</v>
      </c>
      <c r="F64" s="14" t="s">
        <v>29</v>
      </c>
      <c r="G64" s="1031"/>
      <c r="H64" s="1031"/>
      <c r="I64" s="1031"/>
      <c r="J64" s="1031"/>
      <c r="K64" s="1031"/>
      <c r="L64" s="1031"/>
      <c r="M64" s="1033">
        <f>'ERT UR'!C85/IF($F$56='Misc. Items'!$C$57,1,M$4/100)</f>
        <v>1083.8646831813596</v>
      </c>
      <c r="N64" s="1033">
        <f>'ERT UR'!D85/IF($F$56='Misc. Items'!$C$57,1,N$4/100)</f>
        <v>0</v>
      </c>
      <c r="O64" s="1033">
        <f>'ERT UR'!E85/IF($F$56='Misc. Items'!$C$57,1,O$4/100)</f>
        <v>0</v>
      </c>
      <c r="P64" s="1033">
        <f>'ERT UR'!F85/IF($F$56='Misc. Items'!$C$57,1,P$4/100)</f>
        <v>0</v>
      </c>
      <c r="Q64" s="1031"/>
      <c r="R64" s="1031"/>
      <c r="S64" s="1031"/>
      <c r="T64" s="1031"/>
      <c r="U64" s="1031"/>
      <c r="V64" s="1031"/>
      <c r="W64" s="1031"/>
      <c r="X64" s="1031"/>
      <c r="Y64" s="1031"/>
      <c r="Z64" s="1031"/>
      <c r="AA64" s="1031"/>
      <c r="AB64" s="1031"/>
    </row>
    <row r="65" spans="4:31">
      <c r="D65" s="1031"/>
      <c r="E65" s="1035" t="s">
        <v>116</v>
      </c>
      <c r="F65" s="14" t="s">
        <v>29</v>
      </c>
      <c r="G65" s="1031"/>
      <c r="H65" s="1031"/>
      <c r="I65" s="1031"/>
      <c r="J65" s="1031"/>
      <c r="K65" s="1031"/>
      <c r="L65" s="1031"/>
      <c r="M65" s="1033">
        <f>'ERT UR'!C86/IF($F$56='Misc. Items'!$C$57,1,M$4/100)</f>
        <v>0</v>
      </c>
      <c r="N65" s="1033">
        <f>'ERT UR'!D86/IF($F$56='Misc. Items'!$C$57,1,N$4/100)</f>
        <v>0</v>
      </c>
      <c r="O65" s="1033">
        <f>'ERT UR'!E86/IF($F$56='Misc. Items'!$C$57,1,O$4/100)</f>
        <v>0</v>
      </c>
      <c r="P65" s="1033">
        <f>'ERT UR'!F86/IF($F$56='Misc. Items'!$C$57,1,P$4/100)</f>
        <v>0</v>
      </c>
      <c r="Q65" s="1031"/>
      <c r="R65" s="1031"/>
      <c r="S65" s="1031"/>
      <c r="T65" s="1031"/>
      <c r="U65" s="1031"/>
      <c r="V65" s="1031"/>
      <c r="W65" s="1031"/>
      <c r="X65" s="1031"/>
      <c r="Y65" s="1031"/>
      <c r="Z65" s="1031"/>
      <c r="AA65" s="1031"/>
      <c r="AB65" s="1031"/>
    </row>
    <row r="66" spans="4:31">
      <c r="D66" s="1031"/>
      <c r="E66" s="1035" t="s">
        <v>21</v>
      </c>
      <c r="F66" s="14" t="s">
        <v>29</v>
      </c>
      <c r="G66" s="1031"/>
      <c r="H66" s="1031"/>
      <c r="I66" s="1031"/>
      <c r="J66" s="1031"/>
      <c r="K66" s="1031"/>
      <c r="L66" s="1031"/>
      <c r="M66" s="1033">
        <f>'ERT UR'!C87/IF($F$56='Misc. Items'!$C$57,1,M$4/100)</f>
        <v>-1522.2294890081021</v>
      </c>
      <c r="N66" s="1033">
        <f>'ERT UR'!D87/IF($F$56='Misc. Items'!$C$57,1,N$4/100)</f>
        <v>-6588.20302656285</v>
      </c>
      <c r="O66" s="1033">
        <f>'ERT UR'!E87/IF($F$56='Misc. Items'!$C$57,1,O$4/100)</f>
        <v>-8121.0378290330718</v>
      </c>
      <c r="P66" s="1033">
        <f>'ERT UR'!F87/IF($F$56='Misc. Items'!$C$57,1,P$4/100)</f>
        <v>0</v>
      </c>
      <c r="Q66" s="1031"/>
      <c r="R66" s="1031"/>
      <c r="S66" s="1031"/>
      <c r="T66" s="1031"/>
      <c r="U66" s="1031"/>
      <c r="V66" s="1031"/>
      <c r="W66" s="1031"/>
      <c r="X66" s="1031"/>
      <c r="Y66" s="1031"/>
      <c r="Z66" s="1031"/>
      <c r="AA66" s="1031"/>
      <c r="AB66" s="1031"/>
    </row>
    <row r="67" spans="4:31">
      <c r="D67" s="1031"/>
      <c r="E67" s="1034" t="s">
        <v>117</v>
      </c>
      <c r="F67" s="14" t="s">
        <v>29</v>
      </c>
      <c r="G67" s="1031"/>
      <c r="H67" s="1031"/>
      <c r="I67" s="1031"/>
      <c r="J67" s="1031"/>
      <c r="K67" s="1031"/>
      <c r="L67" s="1031"/>
      <c r="M67" s="1033">
        <f>'ERT UR'!C88/IF($F$56='Misc. Items'!$C$57,1,M$4/100)</f>
        <v>-14295.052842244095</v>
      </c>
      <c r="N67" s="1033">
        <f>'ERT UR'!D88/IF($F$56='Misc. Items'!$C$57,1,N$4/100)</f>
        <v>-544.78286772227329</v>
      </c>
      <c r="O67" s="1033">
        <f>'ERT UR'!E88/IF($F$56='Misc. Items'!$C$57,1,O$4/100)</f>
        <v>0</v>
      </c>
      <c r="P67" s="1033">
        <f>'ERT UR'!F88/IF($F$56='Misc. Items'!$C$57,1,P$4/100)</f>
        <v>0</v>
      </c>
      <c r="Q67" s="1031"/>
      <c r="R67" s="1031"/>
      <c r="S67" s="1031"/>
      <c r="T67" s="1031"/>
      <c r="U67" s="1031"/>
      <c r="V67" s="1031"/>
      <c r="W67" s="1031"/>
      <c r="X67" s="1031"/>
      <c r="Y67" s="1031"/>
      <c r="Z67" s="1031"/>
      <c r="AA67" s="1031"/>
      <c r="AB67" s="1031"/>
    </row>
    <row r="68" spans="4:31">
      <c r="D68" s="1031"/>
      <c r="E68" s="1034" t="s">
        <v>118</v>
      </c>
      <c r="F68" s="14" t="s">
        <v>29</v>
      </c>
      <c r="G68" s="1031"/>
      <c r="H68" s="1031"/>
      <c r="I68" s="1031"/>
      <c r="J68" s="1031"/>
      <c r="K68" s="1031"/>
      <c r="L68" s="1031"/>
      <c r="M68" s="1033">
        <f>'ERT UR'!C89/IF($F$56='Misc. Items'!$C$57,1,M$4/100)</f>
        <v>0</v>
      </c>
      <c r="N68" s="1033">
        <f>'ERT UR'!D89/IF($F$56='Misc. Items'!$C$57,1,N$4/100)</f>
        <v>0</v>
      </c>
      <c r="O68" s="1033">
        <f>'ERT UR'!E89/IF($F$56='Misc. Items'!$C$57,1,O$4/100)</f>
        <v>0</v>
      </c>
      <c r="P68" s="1033">
        <f>'ERT UR'!F89/IF($F$56='Misc. Items'!$C$57,1,P$4/100)</f>
        <v>0</v>
      </c>
      <c r="Q68" s="1031"/>
      <c r="R68" s="1031"/>
      <c r="S68" s="1031"/>
      <c r="T68" s="1031"/>
      <c r="U68" s="1031"/>
      <c r="V68" s="1031"/>
      <c r="W68" s="1031"/>
      <c r="X68" s="1031"/>
      <c r="Y68" s="1031"/>
      <c r="Z68" s="1031"/>
      <c r="AA68" s="1031"/>
      <c r="AB68" s="1031"/>
    </row>
    <row r="69" spans="4:31">
      <c r="D69" s="1031"/>
      <c r="E69" s="1035" t="s">
        <v>119</v>
      </c>
      <c r="F69" s="14" t="s">
        <v>29</v>
      </c>
      <c r="G69" s="1031"/>
      <c r="H69" s="1031"/>
      <c r="I69" s="1031"/>
      <c r="J69" s="1031"/>
      <c r="K69" s="1031"/>
      <c r="L69" s="1031"/>
      <c r="M69" s="1033">
        <f>'ERT UR'!C90/IF($F$56='Misc. Items'!$C$57,1,M$4/100)</f>
        <v>0</v>
      </c>
      <c r="N69" s="1033">
        <f>'ERT UR'!D90/IF($F$56='Misc. Items'!$C$57,1,N$4/100)</f>
        <v>0</v>
      </c>
      <c r="O69" s="1033">
        <f>'ERT UR'!E90/IF($F$56='Misc. Items'!$C$57,1,O$4/100)</f>
        <v>10431.364355006303</v>
      </c>
      <c r="P69" s="1033">
        <f>'ERT UR'!F90/IF($F$56='Misc. Items'!$C$57,1,P$4/100)</f>
        <v>10226.827799025787</v>
      </c>
      <c r="Q69" s="1031"/>
      <c r="R69" s="1031"/>
      <c r="S69" s="1031"/>
      <c r="T69" s="1031"/>
      <c r="U69" s="1031"/>
      <c r="V69" s="1031"/>
      <c r="W69" s="1031"/>
      <c r="X69" s="1031"/>
      <c r="Y69" s="1031"/>
      <c r="Z69" s="1031"/>
      <c r="AA69" s="1031"/>
      <c r="AB69" s="1031"/>
    </row>
    <row r="70" spans="4:31">
      <c r="D70" s="1031"/>
      <c r="E70" s="1036" t="s">
        <v>12</v>
      </c>
      <c r="F70" s="1053" t="s">
        <v>29</v>
      </c>
      <c r="G70" s="1031"/>
      <c r="H70" s="1031"/>
      <c r="I70" s="1031"/>
      <c r="J70" s="1031"/>
      <c r="K70" s="1031"/>
      <c r="L70" s="1031"/>
      <c r="M70" s="1037">
        <f>'ERT UR'!C91/IF($F$56='Misc. Items'!$C$57,1,M$4/100)</f>
        <v>164537.51319923386</v>
      </c>
      <c r="N70" s="1037">
        <f>'ERT UR'!D91/IF($F$56='Misc. Items'!$C$57,1,N$4/100)</f>
        <v>108680.07195089922</v>
      </c>
      <c r="O70" s="1037">
        <f>'ERT UR'!E91/IF($F$56='Misc. Items'!$C$57,1,O$4/100)</f>
        <v>121259.43342702108</v>
      </c>
      <c r="P70" s="1037">
        <f>'ERT UR'!F91/IF($F$56='Misc. Items'!$C$57,1,P$4/100)</f>
        <v>129120.62570516847</v>
      </c>
      <c r="Q70" s="1031"/>
      <c r="R70" s="1031"/>
      <c r="S70" s="1031"/>
      <c r="T70" s="1031"/>
      <c r="U70" s="1031"/>
      <c r="V70" s="1031"/>
      <c r="W70" s="1031"/>
      <c r="X70" s="1031"/>
      <c r="Y70" s="1031"/>
      <c r="Z70" s="1031"/>
      <c r="AA70" s="1031"/>
      <c r="AB70" s="1031"/>
    </row>
    <row r="71" spans="4:31">
      <c r="D71" s="1031"/>
      <c r="E71" s="1031"/>
      <c r="F71" s="1031"/>
      <c r="G71" s="1031"/>
      <c r="H71" s="1031"/>
      <c r="I71" s="1031"/>
      <c r="J71" s="1031"/>
      <c r="K71" s="1031"/>
      <c r="L71" s="1031"/>
      <c r="M71" s="1031"/>
      <c r="N71" s="1031"/>
      <c r="O71" s="1031"/>
      <c r="P71" s="1031"/>
      <c r="Q71" s="1031"/>
      <c r="R71" s="1031"/>
      <c r="S71" s="1031"/>
      <c r="T71" s="1031"/>
      <c r="U71" s="1031"/>
      <c r="V71" s="1031"/>
      <c r="W71" s="1031"/>
      <c r="X71" s="1031"/>
      <c r="Y71" s="1031"/>
      <c r="Z71" s="1031"/>
      <c r="AA71" s="1031"/>
      <c r="AB71" s="1031"/>
    </row>
    <row r="72" spans="4:31">
      <c r="D72" s="1031"/>
      <c r="E72" s="1030" t="s">
        <v>110</v>
      </c>
      <c r="F72" s="1031" t="s">
        <v>66</v>
      </c>
      <c r="G72" s="1031"/>
      <c r="H72" s="1661">
        <f>'Misc. Items'!I46/IF($F$56='Misc. Items'!$C$58,H$4/100,1)</f>
        <v>29.659645189492579</v>
      </c>
      <c r="I72" s="1662">
        <f>'Misc. Items'!J46/IF($F$56='Misc. Items'!$C$58,I$4/100,1)</f>
        <v>29.848824306419765</v>
      </c>
      <c r="J72" s="1662">
        <f>'Misc. Items'!K46/IF($F$56='Misc. Items'!$C$58,J$4/100,1)</f>
        <v>29.54</v>
      </c>
      <c r="K72" s="1662">
        <f>'Misc. Items'!L46/IF($F$56='Misc. Items'!$C$58,K$4/100,1)</f>
        <v>27.306372768968764</v>
      </c>
      <c r="L72" s="1663">
        <f>'Misc. Items'!M46/IF($F$56='Misc. Items'!$C$58,L$4/100,1)</f>
        <v>27.237926446056761</v>
      </c>
      <c r="M72" s="1631">
        <f>M70/M8</f>
        <v>40.523583601414209</v>
      </c>
      <c r="N72" s="1631">
        <f>N70/N8</f>
        <v>33.94130916642699</v>
      </c>
      <c r="O72" s="1631">
        <f>O70/O8</f>
        <v>30.022142467695243</v>
      </c>
      <c r="P72" s="1631">
        <f>P70/P8</f>
        <v>27.321334258393666</v>
      </c>
      <c r="Q72" s="1031"/>
      <c r="R72" s="1031"/>
      <c r="S72" s="1031"/>
      <c r="T72" s="1031"/>
      <c r="U72" s="1031"/>
      <c r="V72" s="1031"/>
      <c r="W72" s="1031"/>
      <c r="X72" s="1031"/>
      <c r="Y72" s="1031"/>
      <c r="Z72" s="1031"/>
      <c r="AA72" s="1031"/>
      <c r="AB72" s="1031"/>
      <c r="AE72" s="1655">
        <f>IF($F$12='Misc. Items'!$C$58,0,SUM(M72:P72)-SUM('ERT UR'!C96:F96))</f>
        <v>0</v>
      </c>
    </row>
    <row r="73" spans="4:31">
      <c r="D73" s="1031"/>
      <c r="E73" s="1031"/>
      <c r="F73" s="1031"/>
      <c r="G73" s="1031"/>
      <c r="H73" s="1664"/>
      <c r="I73" s="1664"/>
      <c r="J73" s="1664"/>
      <c r="K73" s="1664"/>
      <c r="L73" s="1667"/>
      <c r="M73" s="1667"/>
      <c r="N73" s="1625"/>
      <c r="O73" s="1625"/>
      <c r="P73" s="1625"/>
      <c r="Q73" s="1031"/>
      <c r="R73" s="1031"/>
      <c r="S73" s="1031"/>
      <c r="T73" s="1031"/>
      <c r="U73" s="1031"/>
      <c r="V73" s="1031"/>
      <c r="W73" s="1031"/>
      <c r="X73" s="1031"/>
      <c r="Y73" s="1031"/>
      <c r="Z73" s="1031"/>
      <c r="AA73" s="1031"/>
      <c r="AB73" s="1031"/>
    </row>
    <row r="74" spans="4:31">
      <c r="H74" s="1665"/>
      <c r="I74" s="1665"/>
      <c r="J74" s="1665"/>
      <c r="K74" s="1665"/>
      <c r="L74" s="1665"/>
    </row>
    <row r="75" spans="4:31">
      <c r="D75" s="1041" t="s">
        <v>24</v>
      </c>
      <c r="E75" s="1042"/>
      <c r="F75" s="1042"/>
      <c r="G75" s="1042"/>
      <c r="H75" s="1666"/>
      <c r="I75" s="1666"/>
      <c r="J75" s="1666"/>
      <c r="K75" s="1666"/>
      <c r="L75" s="1666"/>
      <c r="M75" s="1042"/>
      <c r="N75" s="1042"/>
      <c r="O75" s="1042"/>
      <c r="P75" s="1042"/>
      <c r="Q75" s="1042"/>
      <c r="R75" s="1042"/>
      <c r="S75" s="1042"/>
      <c r="T75" s="1042"/>
      <c r="U75" s="1042"/>
      <c r="V75" s="1042"/>
      <c r="W75" s="1042"/>
      <c r="X75" s="1042"/>
      <c r="Y75" s="1042"/>
      <c r="Z75" s="1042"/>
      <c r="AA75" s="1042"/>
      <c r="AB75" s="1042"/>
    </row>
    <row r="76" spans="4:31">
      <c r="D76" s="1031"/>
      <c r="E76" s="1031"/>
      <c r="F76" s="1031"/>
      <c r="G76" s="1031"/>
      <c r="H76" s="1664"/>
      <c r="I76" s="1664"/>
      <c r="J76" s="1664"/>
      <c r="K76" s="1664"/>
      <c r="L76" s="1664"/>
      <c r="M76" s="1031"/>
      <c r="N76" s="1031"/>
      <c r="O76" s="1031"/>
      <c r="P76" s="1031"/>
      <c r="Q76" s="1031"/>
      <c r="R76" s="1031"/>
      <c r="S76" s="1031"/>
      <c r="T76" s="1031"/>
      <c r="U76" s="1031"/>
      <c r="V76" s="1031"/>
      <c r="W76" s="1031"/>
      <c r="X76" s="1031"/>
      <c r="Y76" s="1031"/>
      <c r="Z76" s="1031"/>
      <c r="AA76" s="1031"/>
      <c r="AB76" s="1031"/>
    </row>
    <row r="77" spans="4:31">
      <c r="D77" s="1031"/>
      <c r="E77" s="1032" t="s">
        <v>111</v>
      </c>
      <c r="F77" s="14" t="s">
        <v>29</v>
      </c>
      <c r="G77" s="1031"/>
      <c r="H77" s="1664"/>
      <c r="I77" s="1664"/>
      <c r="J77" s="1664"/>
      <c r="K77" s="1664"/>
      <c r="L77" s="1664"/>
      <c r="M77" s="1033">
        <f>'TRM UR'!C81/IF($F$56='Misc. Items'!$C$57,1,M$4/100)</f>
        <v>38380.598076974653</v>
      </c>
      <c r="N77" s="1033">
        <f>'TRM UR'!D81/IF($F$56='Misc. Items'!$C$57,1,N$4/100)</f>
        <v>26163.391854307967</v>
      </c>
      <c r="O77" s="1033">
        <f>'TRM UR'!E81/IF($F$56='Misc. Items'!$C$57,1,O$4/100)</f>
        <v>27994.909758613267</v>
      </c>
      <c r="P77" s="1033">
        <f>'TRM UR'!F81/IF($F$56='Misc. Items'!$C$57,1,P$4/100)</f>
        <v>28817.07457694125</v>
      </c>
      <c r="Q77" s="1031"/>
      <c r="R77" s="1031"/>
      <c r="S77" s="1031"/>
      <c r="T77" s="1031"/>
      <c r="U77" s="1031"/>
      <c r="V77" s="1031"/>
      <c r="W77" s="1031"/>
      <c r="X77" s="1031"/>
      <c r="Y77" s="1031"/>
      <c r="Z77" s="1031"/>
      <c r="AA77" s="1031"/>
      <c r="AB77" s="1031"/>
    </row>
    <row r="78" spans="4:31">
      <c r="D78" s="1031"/>
      <c r="E78" s="1034" t="s">
        <v>112</v>
      </c>
      <c r="F78" s="14" t="s">
        <v>29</v>
      </c>
      <c r="G78" s="1031"/>
      <c r="H78" s="1664"/>
      <c r="I78" s="1664"/>
      <c r="J78" s="1664"/>
      <c r="K78" s="1664"/>
      <c r="L78" s="1664"/>
      <c r="M78" s="1033">
        <f>'TRM UR'!C82/IF($F$56='Misc. Items'!$C$57,1,M$4/100)</f>
        <v>-2774.7605423151003</v>
      </c>
      <c r="N78" s="1033">
        <f>'TRM UR'!D82/IF($F$56='Misc. Items'!$C$57,1,N$4/100)</f>
        <v>0</v>
      </c>
      <c r="O78" s="1033">
        <f>'TRM UR'!E82/IF($F$56='Misc. Items'!$C$57,1,O$4/100)</f>
        <v>0</v>
      </c>
      <c r="P78" s="1033">
        <f>'TRM UR'!F82/IF($F$56='Misc. Items'!$C$57,1,P$4/100)</f>
        <v>0</v>
      </c>
      <c r="Q78" s="1031"/>
      <c r="R78" s="1031"/>
      <c r="S78" s="1031"/>
      <c r="T78" s="1031"/>
      <c r="U78" s="1031"/>
      <c r="V78" s="1031"/>
      <c r="W78" s="1031"/>
      <c r="X78" s="1031"/>
      <c r="Y78" s="1031"/>
      <c r="Z78" s="1031"/>
      <c r="AA78" s="1031"/>
      <c r="AB78" s="1031"/>
    </row>
    <row r="79" spans="4:31">
      <c r="D79" s="1031"/>
      <c r="E79" s="1034" t="s">
        <v>113</v>
      </c>
      <c r="F79" s="14" t="s">
        <v>29</v>
      </c>
      <c r="G79" s="1031"/>
      <c r="H79" s="1664"/>
      <c r="I79" s="1664"/>
      <c r="J79" s="1664"/>
      <c r="K79" s="1664"/>
      <c r="L79" s="1664"/>
      <c r="M79" s="1033">
        <f>'TRM UR'!C83/IF($F$56='Misc. Items'!$C$57,1,M$4/100)</f>
        <v>-7433.2392864622243</v>
      </c>
      <c r="N79" s="1033">
        <f>'TRM UR'!D83/IF($F$56='Misc. Items'!$C$57,1,N$4/100)</f>
        <v>0</v>
      </c>
      <c r="O79" s="1033">
        <f>'TRM UR'!E83/IF($F$56='Misc. Items'!$C$57,1,O$4/100)</f>
        <v>0</v>
      </c>
      <c r="P79" s="1033">
        <f>'TRM UR'!F83/IF($F$56='Misc. Items'!$C$57,1,P$4/100)</f>
        <v>0</v>
      </c>
      <c r="Q79" s="1031"/>
      <c r="R79" s="1031"/>
      <c r="S79" s="1031"/>
      <c r="T79" s="1031"/>
      <c r="U79" s="1031"/>
      <c r="V79" s="1031"/>
      <c r="W79" s="1031"/>
      <c r="X79" s="1031"/>
      <c r="Y79" s="1031"/>
      <c r="Z79" s="1031"/>
      <c r="AA79" s="1031"/>
      <c r="AB79" s="1031"/>
    </row>
    <row r="80" spans="4:31">
      <c r="D80" s="1031"/>
      <c r="E80" s="1035" t="s">
        <v>114</v>
      </c>
      <c r="F80" s="14" t="s">
        <v>29</v>
      </c>
      <c r="G80" s="1031"/>
      <c r="H80" s="1664"/>
      <c r="I80" s="1664"/>
      <c r="J80" s="1664"/>
      <c r="K80" s="1664"/>
      <c r="L80" s="1664"/>
      <c r="M80" s="1033">
        <f>'TRM UR'!C84/IF($F$56='Misc. Items'!$C$57,1,M$4/100)</f>
        <v>0</v>
      </c>
      <c r="N80" s="1033">
        <f>'TRM UR'!D84/IF($F$56='Misc. Items'!$C$57,1,N$4/100)</f>
        <v>0</v>
      </c>
      <c r="O80" s="1033">
        <f>'TRM UR'!E84/IF($F$56='Misc. Items'!$C$57,1,O$4/100)</f>
        <v>0</v>
      </c>
      <c r="P80" s="1033">
        <f>'TRM UR'!F84/IF($F$56='Misc. Items'!$C$57,1,P$4/100)</f>
        <v>0</v>
      </c>
      <c r="Q80" s="1031"/>
      <c r="R80" s="1031"/>
      <c r="S80" s="1031"/>
      <c r="T80" s="1031"/>
      <c r="U80" s="1031"/>
      <c r="V80" s="1031"/>
      <c r="W80" s="1031"/>
      <c r="X80" s="1031"/>
      <c r="Y80" s="1031"/>
      <c r="Z80" s="1031"/>
      <c r="AA80" s="1031"/>
      <c r="AB80" s="1031"/>
    </row>
    <row r="81" spans="2:31">
      <c r="D81" s="1031"/>
      <c r="E81" s="1035" t="s">
        <v>115</v>
      </c>
      <c r="F81" s="14" t="s">
        <v>29</v>
      </c>
      <c r="G81" s="1031"/>
      <c r="H81" s="1664"/>
      <c r="I81" s="1664"/>
      <c r="J81" s="1664"/>
      <c r="K81" s="1664"/>
      <c r="L81" s="1664"/>
      <c r="M81" s="1033">
        <f>'TRM UR'!C85/IF($F$56='Misc. Items'!$C$57,1,M$4/100)</f>
        <v>0</v>
      </c>
      <c r="N81" s="1033">
        <f>'TRM UR'!D85/IF($F$56='Misc. Items'!$C$57,1,N$4/100)</f>
        <v>0</v>
      </c>
      <c r="O81" s="1033">
        <f>'TRM UR'!E85/IF($F$56='Misc. Items'!$C$57,1,O$4/100)</f>
        <v>0</v>
      </c>
      <c r="P81" s="1033">
        <f>'TRM UR'!F85/IF($F$56='Misc. Items'!$C$57,1,P$4/100)</f>
        <v>0</v>
      </c>
      <c r="Q81" s="1031"/>
      <c r="R81" s="1031"/>
      <c r="S81" s="1031"/>
      <c r="T81" s="1031"/>
      <c r="U81" s="1031"/>
      <c r="V81" s="1031"/>
      <c r="W81" s="1031"/>
      <c r="X81" s="1031"/>
      <c r="Y81" s="1031"/>
      <c r="Z81" s="1031"/>
      <c r="AA81" s="1031"/>
      <c r="AB81" s="1031"/>
    </row>
    <row r="82" spans="2:31">
      <c r="D82" s="1031"/>
      <c r="E82" s="1035" t="s">
        <v>116</v>
      </c>
      <c r="F82" s="14" t="s">
        <v>29</v>
      </c>
      <c r="G82" s="1031"/>
      <c r="H82" s="1664"/>
      <c r="I82" s="1664"/>
      <c r="J82" s="1664"/>
      <c r="K82" s="1664"/>
      <c r="L82" s="1664"/>
      <c r="M82" s="1033">
        <f>'TRM UR'!C86/IF($F$56='Misc. Items'!$C$57,1,M$4/100)</f>
        <v>0</v>
      </c>
      <c r="N82" s="1033">
        <f>'TRM UR'!D86/IF($F$56='Misc. Items'!$C$57,1,N$4/100)</f>
        <v>0</v>
      </c>
      <c r="O82" s="1033">
        <f>'TRM UR'!E86/IF($F$56='Misc. Items'!$C$57,1,O$4/100)</f>
        <v>0</v>
      </c>
      <c r="P82" s="1033">
        <f>'TRM UR'!F86/IF($F$56='Misc. Items'!$C$57,1,P$4/100)</f>
        <v>0</v>
      </c>
      <c r="Q82" s="1031"/>
      <c r="R82" s="1031"/>
      <c r="S82" s="1031"/>
      <c r="T82" s="1031"/>
      <c r="U82" s="1031"/>
      <c r="V82" s="1031"/>
      <c r="W82" s="1031"/>
      <c r="X82" s="1031"/>
      <c r="Y82" s="1031"/>
      <c r="Z82" s="1031"/>
      <c r="AA82" s="1031"/>
      <c r="AB82" s="1031"/>
    </row>
    <row r="83" spans="2:31">
      <c r="D83" s="1031"/>
      <c r="E83" s="1035" t="s">
        <v>21</v>
      </c>
      <c r="F83" s="14" t="s">
        <v>29</v>
      </c>
      <c r="G83" s="1031"/>
      <c r="H83" s="1664"/>
      <c r="I83" s="1664"/>
      <c r="J83" s="1664"/>
      <c r="K83" s="1664"/>
      <c r="L83" s="1664"/>
      <c r="M83" s="1033">
        <f>'TRM UR'!C87/IF($F$56='Misc. Items'!$C$57,1,M$4/100)</f>
        <v>354.48718190080183</v>
      </c>
      <c r="N83" s="1033">
        <f>'TRM UR'!D87/IF($F$56='Misc. Items'!$C$57,1,N$4/100)</f>
        <v>-2959.1465508556334</v>
      </c>
      <c r="O83" s="1033">
        <f>'TRM UR'!E87/IF($F$56='Misc. Items'!$C$57,1,O$4/100)</f>
        <v>-2902.3518679954736</v>
      </c>
      <c r="P83" s="1033">
        <f>'TRM UR'!F87/IF($F$56='Misc. Items'!$C$57,1,P$4/100)</f>
        <v>0</v>
      </c>
      <c r="Q83" s="1031"/>
      <c r="R83" s="1031"/>
      <c r="S83" s="1031"/>
      <c r="T83" s="1031"/>
      <c r="U83" s="1031"/>
      <c r="V83" s="1031"/>
      <c r="W83" s="1031"/>
      <c r="X83" s="1031"/>
      <c r="Y83" s="1031"/>
      <c r="Z83" s="1031"/>
      <c r="AA83" s="1031"/>
      <c r="AB83" s="1031"/>
    </row>
    <row r="84" spans="2:31">
      <c r="D84" s="1031"/>
      <c r="E84" s="1034" t="s">
        <v>117</v>
      </c>
      <c r="F84" s="14" t="s">
        <v>29</v>
      </c>
      <c r="G84" s="1031"/>
      <c r="H84" s="1664"/>
      <c r="I84" s="1664"/>
      <c r="J84" s="1664"/>
      <c r="K84" s="1664"/>
      <c r="L84" s="1664"/>
      <c r="M84" s="1033">
        <f>'TRM UR'!C88/IF($F$56='Misc. Items'!$C$57,1,M$4/100)</f>
        <v>-4709.8843233556099</v>
      </c>
      <c r="N84" s="1033">
        <f>'TRM UR'!D88/IF($F$56='Misc. Items'!$C$57,1,N$4/100)</f>
        <v>-213.84363031973146</v>
      </c>
      <c r="O84" s="1033">
        <f>'TRM UR'!E88/IF($F$56='Misc. Items'!$C$57,1,O$4/100)</f>
        <v>0</v>
      </c>
      <c r="P84" s="1033">
        <f>'TRM UR'!F88/IF($F$56='Misc. Items'!$C$57,1,P$4/100)</f>
        <v>0</v>
      </c>
      <c r="Q84" s="1031"/>
      <c r="R84" s="1031"/>
      <c r="S84" s="1031"/>
      <c r="T84" s="1031"/>
      <c r="U84" s="1031"/>
      <c r="V84" s="1031"/>
      <c r="W84" s="1031"/>
      <c r="X84" s="1031"/>
      <c r="Y84" s="1031"/>
      <c r="Z84" s="1031"/>
      <c r="AA84" s="1031"/>
      <c r="AB84" s="1031"/>
    </row>
    <row r="85" spans="2:31">
      <c r="D85" s="1031"/>
      <c r="E85" s="1034" t="s">
        <v>118</v>
      </c>
      <c r="F85" s="14" t="s">
        <v>29</v>
      </c>
      <c r="G85" s="1031"/>
      <c r="H85" s="1664"/>
      <c r="I85" s="1664"/>
      <c r="J85" s="1664"/>
      <c r="K85" s="1664"/>
      <c r="L85" s="1664"/>
      <c r="M85" s="1033">
        <f>'TRM UR'!C89/IF($F$56='Misc. Items'!$C$57,1,M$4/100)</f>
        <v>0</v>
      </c>
      <c r="N85" s="1033">
        <f>'TRM UR'!D89/IF($F$56='Misc. Items'!$C$57,1,N$4/100)</f>
        <v>0</v>
      </c>
      <c r="O85" s="1033">
        <f>'TRM UR'!E89/IF($F$56='Misc. Items'!$C$57,1,O$4/100)</f>
        <v>0</v>
      </c>
      <c r="P85" s="1033">
        <f>'TRM UR'!F89/IF($F$56='Misc. Items'!$C$57,1,P$4/100)</f>
        <v>0</v>
      </c>
      <c r="Q85" s="1031"/>
      <c r="R85" s="1031"/>
      <c r="S85" s="1031"/>
      <c r="T85" s="1031"/>
      <c r="U85" s="1031"/>
      <c r="V85" s="1031"/>
      <c r="W85" s="1031"/>
      <c r="X85" s="1031"/>
      <c r="Y85" s="1031"/>
      <c r="Z85" s="1031"/>
      <c r="AA85" s="1031"/>
      <c r="AB85" s="1031"/>
    </row>
    <row r="86" spans="2:31">
      <c r="D86" s="1031"/>
      <c r="E86" s="1035" t="s">
        <v>119</v>
      </c>
      <c r="F86" s="14" t="s">
        <v>29</v>
      </c>
      <c r="G86" s="1031"/>
      <c r="H86" s="1664"/>
      <c r="I86" s="1664"/>
      <c r="J86" s="1664"/>
      <c r="K86" s="1664"/>
      <c r="L86" s="1664"/>
      <c r="M86" s="1033">
        <f>'TRM UR'!C90/IF($F$56='Misc. Items'!$C$57,1,M$4/100)</f>
        <v>0</v>
      </c>
      <c r="N86" s="1033">
        <f>'TRM UR'!D90/IF($F$56='Misc. Items'!$C$57,1,N$4/100)</f>
        <v>0</v>
      </c>
      <c r="O86" s="1033">
        <f>'TRM UR'!E90/IF($F$56='Misc. Items'!$C$57,1,O$4/100)</f>
        <v>1256.5302529540145</v>
      </c>
      <c r="P86" s="1033">
        <f>'TRM UR'!F90/IF($F$56='Misc. Items'!$C$57,1,P$4/100)</f>
        <v>1231.8924048568772</v>
      </c>
      <c r="Q86" s="1031"/>
      <c r="R86" s="1031"/>
      <c r="S86" s="1031"/>
      <c r="T86" s="1031"/>
      <c r="U86" s="1031"/>
      <c r="V86" s="1031"/>
      <c r="W86" s="1031"/>
      <c r="X86" s="1031"/>
      <c r="Y86" s="1031"/>
      <c r="Z86" s="1031"/>
      <c r="AA86" s="1031"/>
      <c r="AB86" s="1031"/>
    </row>
    <row r="87" spans="2:31">
      <c r="D87" s="1031"/>
      <c r="E87" s="1036" t="s">
        <v>12</v>
      </c>
      <c r="F87" s="1053" t="s">
        <v>29</v>
      </c>
      <c r="G87" s="1031"/>
      <c r="H87" s="1664"/>
      <c r="I87" s="1664"/>
      <c r="J87" s="1664"/>
      <c r="K87" s="1664"/>
      <c r="L87" s="1664"/>
      <c r="M87" s="1037">
        <f>'TRM UR'!C91/IF($F$56='Misc. Items'!$C$57,1,M$4/100)</f>
        <v>23817.201106742516</v>
      </c>
      <c r="N87" s="1037">
        <f>'TRM UR'!D91/IF($F$56='Misc. Items'!$C$57,1,N$4/100)</f>
        <v>22990.401673132605</v>
      </c>
      <c r="O87" s="1037">
        <f>'TRM UR'!E91/IF($F$56='Misc. Items'!$C$57,1,O$4/100)</f>
        <v>26349.088143571811</v>
      </c>
      <c r="P87" s="1037">
        <f>'TRM UR'!F91/IF($F$56='Misc. Items'!$C$57,1,P$4/100)</f>
        <v>30048.96698179813</v>
      </c>
      <c r="Q87" s="1031"/>
      <c r="R87" s="1031"/>
      <c r="S87" s="1031"/>
      <c r="T87" s="1031"/>
      <c r="U87" s="1031"/>
      <c r="V87" s="1031"/>
      <c r="W87" s="1031"/>
      <c r="X87" s="1031"/>
      <c r="Y87" s="1031"/>
      <c r="Z87" s="1031"/>
      <c r="AA87" s="1031"/>
      <c r="AB87" s="1031"/>
    </row>
    <row r="88" spans="2:31">
      <c r="D88" s="1031"/>
      <c r="E88" s="1031"/>
      <c r="F88" s="1031"/>
      <c r="G88" s="1031"/>
      <c r="H88" s="1664"/>
      <c r="I88" s="1664"/>
      <c r="J88" s="1664"/>
      <c r="K88" s="1664"/>
      <c r="L88" s="1664"/>
      <c r="M88" s="1031"/>
      <c r="N88" s="1031"/>
      <c r="O88" s="1031"/>
      <c r="P88" s="1031"/>
      <c r="Q88" s="1031"/>
      <c r="R88" s="1031"/>
      <c r="S88" s="1031"/>
      <c r="T88" s="1031"/>
      <c r="U88" s="1031"/>
      <c r="V88" s="1031"/>
      <c r="W88" s="1031"/>
      <c r="X88" s="1031"/>
      <c r="Y88" s="1031"/>
      <c r="Z88" s="1031"/>
      <c r="AA88" s="1031"/>
      <c r="AB88" s="1031"/>
    </row>
    <row r="89" spans="2:31">
      <c r="D89" s="1031"/>
      <c r="E89" s="1030" t="s">
        <v>110</v>
      </c>
      <c r="F89" s="1031" t="s">
        <v>66</v>
      </c>
      <c r="G89" s="1031"/>
      <c r="H89" s="1647">
        <f>'Misc. Items'!I47/IF($F$56='Misc. Items'!$C$58,H$4/100,1)</f>
        <v>157.23802282237094</v>
      </c>
      <c r="I89" s="1648">
        <f>180.177243767313/IF($F$56='Misc. Items'!$C$58,I$4/100,1)</f>
        <v>180.71940197323269</v>
      </c>
      <c r="J89" s="1648">
        <f>171.687047372452/IF($F$56='Misc. Items'!$C$58,J$4/100,1)</f>
        <v>171.68704737245201</v>
      </c>
      <c r="K89" s="1648">
        <f>151.754495387522/IF($F$56='Misc. Items'!$C$58,K$4/100,1)</f>
        <v>150.69959820012119</v>
      </c>
      <c r="L89" s="1651">
        <f>150.439841141293/IF($F$56='Misc. Items'!$C$58,L$4/100,1)</f>
        <v>148.06152880411256</v>
      </c>
      <c r="M89" s="1631">
        <f>M87/M9</f>
        <v>161.46002683529215</v>
      </c>
      <c r="N89" s="1631">
        <f>N87/N9</f>
        <v>169.04707112597504</v>
      </c>
      <c r="O89" s="1631">
        <f>O87/O9</f>
        <v>161.65084750657553</v>
      </c>
      <c r="P89" s="1631">
        <f>P87/P9</f>
        <v>159.83493075424536</v>
      </c>
      <c r="Q89" s="1031"/>
      <c r="R89" s="1031"/>
      <c r="S89" s="1031"/>
      <c r="T89" s="1031"/>
      <c r="U89" s="1031"/>
      <c r="V89" s="1031"/>
      <c r="W89" s="1031"/>
      <c r="X89" s="1031"/>
      <c r="Y89" s="1031"/>
      <c r="Z89" s="1031"/>
      <c r="AA89" s="1031"/>
      <c r="AB89" s="1031"/>
      <c r="AE89" s="1655">
        <f>IF($F$12='Misc. Items'!$C$58,0,SUM(M89:P89)-SUM('TRM UR'!C96:F96))</f>
        <v>0</v>
      </c>
    </row>
    <row r="90" spans="2:31">
      <c r="D90" s="1031"/>
      <c r="E90" s="1030"/>
      <c r="F90" s="1031"/>
      <c r="G90" s="1031"/>
      <c r="H90" s="1038"/>
      <c r="I90" s="1038"/>
      <c r="J90" s="1038"/>
      <c r="K90" s="1038"/>
      <c r="L90" s="1038"/>
      <c r="M90" s="1632"/>
      <c r="N90" s="1632"/>
      <c r="O90" s="1632"/>
      <c r="P90" s="1632"/>
      <c r="Q90" s="1031"/>
      <c r="R90" s="1031"/>
      <c r="S90" s="1031"/>
      <c r="T90" s="1031"/>
      <c r="U90" s="1031"/>
      <c r="V90" s="1031"/>
      <c r="W90" s="1031"/>
      <c r="X90" s="1031"/>
      <c r="Y90" s="1031"/>
      <c r="Z90" s="1031"/>
      <c r="AA90" s="1031"/>
      <c r="AB90" s="1031"/>
    </row>
    <row r="92" spans="2:31" ht="17">
      <c r="B92" s="1019" t="s">
        <v>60</v>
      </c>
      <c r="C92" s="1019"/>
      <c r="D92" s="1019"/>
      <c r="E92" s="1019"/>
      <c r="F92" s="1019"/>
      <c r="G92" s="1019"/>
      <c r="H92" s="1019"/>
      <c r="I92" s="1019"/>
      <c r="J92" s="1019"/>
      <c r="K92" s="1019"/>
      <c r="L92" s="1019"/>
      <c r="M92" s="1019"/>
      <c r="N92" s="1019"/>
      <c r="O92" s="1019"/>
      <c r="P92" s="1019"/>
      <c r="Q92" s="1019"/>
      <c r="R92" s="1019"/>
      <c r="S92" s="1019"/>
      <c r="T92" s="1019"/>
      <c r="U92" s="1019"/>
      <c r="V92" s="1019"/>
      <c r="W92" s="1019"/>
      <c r="X92" s="1019"/>
      <c r="Y92" s="1019"/>
      <c r="Z92" s="1019"/>
      <c r="AA92" s="1019"/>
      <c r="AB92" s="1019"/>
    </row>
  </sheetData>
  <pageMargins left="0.70866141732283472" right="0.70866141732283472" top="0.74803149606299213" bottom="0.74803149606299213" header="0.31496062992125984" footer="0.31496062992125984"/>
  <pageSetup paperSize="9" scale="57" orientation="portrait" r:id="rId1"/>
  <headerFooter>
    <oddHeader xml:space="preserve">&amp;CPage &amp;P&amp;R&amp;G
</oddHeader>
    <oddFooter>&amp;LPrinted on &amp;D at &amp;T&amp;RPage &amp;P of &amp;N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2AEE08B-0213-4FA0-BAB2-CD994C28C934}">
          <x14:formula1>
            <xm:f>'Misc. Items'!$C$57:$C$58</xm:f>
          </x14:formula1>
          <xm:sqref>F12</xm:sqref>
        </x14:dataValidation>
        <x14:dataValidation type="list" allowBlank="1" showInputMessage="1" showErrorMessage="1" xr:uid="{C79FDB3D-04F5-4CE2-ABC5-0EA4C66C1876}">
          <x14:formula1>
            <xm:f>'Misc. Items'!$C$60:$C$62</xm:f>
          </x14:formula1>
          <xm:sqref>F6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45866-75AA-421E-8CA8-61A7989B057D}">
  <sheetPr>
    <tabColor theme="1"/>
    <pageSetUpPr fitToPage="1"/>
  </sheetPr>
  <dimension ref="A1:L106"/>
  <sheetViews>
    <sheetView topLeftCell="A74" zoomScale="115" zoomScaleNormal="115" workbookViewId="0">
      <selection activeCell="D81" sqref="D81"/>
    </sheetView>
  </sheetViews>
  <sheetFormatPr defaultColWidth="8.81640625" defaultRowHeight="13"/>
  <cols>
    <col min="1" max="1" width="24" style="903" customWidth="1"/>
    <col min="2" max="2" width="49.54296875" style="903" customWidth="1"/>
    <col min="3" max="6" width="12.54296875" style="903" customWidth="1"/>
    <col min="7" max="7" width="8.81640625" style="194" customWidth="1"/>
    <col min="8" max="8" width="9.453125" style="194" bestFit="1" customWidth="1"/>
    <col min="9" max="16384" width="8.81640625" style="194"/>
  </cols>
  <sheetData>
    <row r="1" spans="1:6">
      <c r="A1" s="1680" t="s">
        <v>1178</v>
      </c>
      <c r="B1" s="1680"/>
      <c r="C1" s="1680"/>
      <c r="D1" s="1680"/>
      <c r="E1" s="1680"/>
      <c r="F1" s="1680"/>
    </row>
    <row r="2" spans="1:6">
      <c r="A2" s="1654"/>
      <c r="B2" s="1654"/>
      <c r="F2" s="529"/>
    </row>
    <row r="3" spans="1:6">
      <c r="A3" s="1455" t="s">
        <v>985</v>
      </c>
      <c r="B3" s="530"/>
      <c r="C3" s="194"/>
      <c r="D3" s="195"/>
      <c r="E3" s="194"/>
      <c r="F3" s="194"/>
    </row>
    <row r="4" spans="1:6">
      <c r="A4" s="531" t="s">
        <v>986</v>
      </c>
      <c r="B4" s="530"/>
      <c r="C4" s="194"/>
      <c r="D4" s="195"/>
      <c r="E4" s="194"/>
      <c r="F4" s="194"/>
    </row>
    <row r="5" spans="1:6">
      <c r="A5" s="532" t="s">
        <v>987</v>
      </c>
      <c r="B5" s="533"/>
      <c r="C5" s="1681" t="s">
        <v>1179</v>
      </c>
      <c r="D5" s="1681"/>
      <c r="E5" s="1681"/>
      <c r="F5" s="1682"/>
    </row>
    <row r="6" spans="1:6">
      <c r="A6" s="530"/>
      <c r="B6" s="530"/>
    </row>
    <row r="7" spans="1:6">
      <c r="A7" s="1683" t="s">
        <v>1180</v>
      </c>
      <c r="B7" s="1684"/>
      <c r="C7" s="196" t="s">
        <v>870</v>
      </c>
      <c r="D7" s="196">
        <v>2022</v>
      </c>
      <c r="E7" s="196">
        <v>2023</v>
      </c>
      <c r="F7" s="1456">
        <v>2024</v>
      </c>
    </row>
    <row r="8" spans="1:6">
      <c r="A8" s="904"/>
      <c r="B8" s="904"/>
      <c r="C8" s="904"/>
      <c r="D8" s="904"/>
      <c r="E8" s="904"/>
      <c r="F8" s="904"/>
    </row>
    <row r="9" spans="1:6" s="197" customFormat="1">
      <c r="A9" s="534" t="s">
        <v>992</v>
      </c>
      <c r="B9" s="534"/>
      <c r="C9" s="535"/>
      <c r="D9" s="985"/>
      <c r="E9" s="985"/>
      <c r="F9" s="985"/>
    </row>
    <row r="10" spans="1:6" ht="3" customHeight="1">
      <c r="A10" s="904"/>
      <c r="B10" s="904"/>
      <c r="C10" s="904"/>
      <c r="D10" s="904"/>
      <c r="E10" s="904"/>
      <c r="F10" s="904"/>
    </row>
    <row r="11" spans="1:6">
      <c r="A11" s="1457" t="s">
        <v>1181</v>
      </c>
      <c r="B11" s="1458"/>
      <c r="C11" s="536"/>
      <c r="D11" s="536"/>
      <c r="E11" s="536"/>
      <c r="F11" s="1459"/>
    </row>
    <row r="12" spans="1:6">
      <c r="A12" s="537" t="s">
        <v>1182</v>
      </c>
      <c r="B12" s="986"/>
      <c r="C12" s="538">
        <f>'TRM ANSP'!C12+'TRM MET'!C12+'TRM Supervision'!C12</f>
        <v>39309.082468876171</v>
      </c>
      <c r="D12" s="553">
        <f>'TRM ANSP'!D12+'TRM MET'!D12+'TRM Supervision'!D12</f>
        <v>27522.163753224904</v>
      </c>
      <c r="E12" s="553">
        <f>'TRM ANSP'!E12+'TRM MET'!E12+'TRM Supervision'!E12</f>
        <v>30037.775867220855</v>
      </c>
      <c r="F12" s="594">
        <f>'TRM ANSP'!F12+'TRM MET'!F12+'TRM Supervision'!F12</f>
        <v>31538.335056262302</v>
      </c>
    </row>
    <row r="13" spans="1:6" ht="3" customHeight="1">
      <c r="A13" s="904"/>
      <c r="B13" s="904"/>
      <c r="C13" s="539"/>
      <c r="D13" s="904"/>
      <c r="E13" s="904"/>
      <c r="F13" s="904"/>
    </row>
    <row r="14" spans="1:6">
      <c r="A14" s="1460" t="s">
        <v>1183</v>
      </c>
      <c r="B14" s="1461"/>
      <c r="C14" s="540"/>
      <c r="D14" s="536"/>
      <c r="E14" s="536"/>
      <c r="F14" s="1459"/>
    </row>
    <row r="15" spans="1:6">
      <c r="A15" s="1463" t="s">
        <v>1184</v>
      </c>
      <c r="B15" s="1464"/>
      <c r="C15" s="541">
        <f>'TRM ANSP'!C15+'TRM MET'!C15+'TRM Supervision'!C15</f>
        <v>30651.245799649667</v>
      </c>
      <c r="D15" s="541">
        <f>'TRM ANSP'!D15+'TRM MET'!D15+'TRM Supervision'!D15</f>
        <v>17442.350112876895</v>
      </c>
      <c r="E15" s="541">
        <f>'TRM ANSP'!E15+'TRM MET'!E15+'TRM Supervision'!E15</f>
        <v>18657.090669585705</v>
      </c>
      <c r="F15" s="542">
        <f>'TRM ANSP'!F15+'TRM MET'!F15+'TRM Supervision'!F15</f>
        <v>20230.46935086498</v>
      </c>
    </row>
    <row r="16" spans="1:6">
      <c r="A16" s="543" t="s">
        <v>1185</v>
      </c>
      <c r="B16" s="544"/>
      <c r="C16" s="545"/>
      <c r="D16" s="541">
        <f>'TRM ANSP'!D16</f>
        <v>105.19340881519997</v>
      </c>
      <c r="E16" s="987">
        <f>'TRM ANSP'!E16</f>
        <v>107.29727699150398</v>
      </c>
      <c r="F16" s="988">
        <f>'TRM ANSP'!F16</f>
        <v>109.44322253133406</v>
      </c>
    </row>
    <row r="17" spans="1:6">
      <c r="A17" s="546" t="s">
        <v>1186</v>
      </c>
      <c r="B17" s="547"/>
      <c r="C17" s="205"/>
      <c r="D17" s="541">
        <f>'TRM ANSP'!D17</f>
        <v>105.19340881519997</v>
      </c>
      <c r="E17" s="987">
        <f>'TRM ANSP'!E17</f>
        <v>107.29727699150398</v>
      </c>
      <c r="F17" s="988">
        <f>'TRM ANSP'!F17</f>
        <v>109.44322253133406</v>
      </c>
    </row>
    <row r="18" spans="1:6">
      <c r="A18" s="549" t="s">
        <v>1187</v>
      </c>
      <c r="B18" s="989"/>
      <c r="C18" s="204"/>
      <c r="D18" s="550">
        <f>D17/D16-1</f>
        <v>0</v>
      </c>
      <c r="E18" s="550">
        <f>E17/E16-1</f>
        <v>0</v>
      </c>
      <c r="F18" s="551">
        <f>F17/F16-1</f>
        <v>0</v>
      </c>
    </row>
    <row r="19" spans="1:6">
      <c r="A19" s="552" t="s">
        <v>1188</v>
      </c>
      <c r="B19" s="990"/>
      <c r="C19" s="553">
        <f>'TRM ANSP'!C19+'TRM MET'!C19+'TRM Supervision'!C19</f>
        <v>0</v>
      </c>
      <c r="D19" s="553">
        <f>'TRM ANSP'!D19</f>
        <v>0</v>
      </c>
      <c r="E19" s="555">
        <f>'TRM ANSP'!E19</f>
        <v>0</v>
      </c>
      <c r="F19" s="556">
        <f>'TRM ANSP'!F19</f>
        <v>0</v>
      </c>
    </row>
    <row r="20" spans="1:6" ht="3" customHeight="1">
      <c r="A20" s="904"/>
      <c r="B20" s="904"/>
      <c r="C20" s="904"/>
      <c r="D20" s="904"/>
      <c r="E20" s="904"/>
      <c r="F20" s="904"/>
    </row>
    <row r="21" spans="1:6">
      <c r="A21" s="1457" t="s">
        <v>1189</v>
      </c>
      <c r="B21" s="1458"/>
      <c r="C21" s="536"/>
      <c r="D21" s="536"/>
      <c r="E21" s="536"/>
      <c r="F21" s="1459"/>
    </row>
    <row r="22" spans="1:6">
      <c r="A22" s="1465" t="s">
        <v>1190</v>
      </c>
      <c r="B22" s="1466"/>
      <c r="C22" s="1467">
        <f>'TRM ANSP'!C22+'TRM MET'!C22+'TRM Supervision'!C22</f>
        <v>0</v>
      </c>
      <c r="D22" s="1467">
        <f>'TRM ANSP'!D22+'TRM MET'!D22+'TRM Supervision'!D22</f>
        <v>0</v>
      </c>
      <c r="E22" s="1469">
        <f>'TRM ANSP'!E22+'TRM MET'!E22+'TRM Supervision'!E22</f>
        <v>0</v>
      </c>
      <c r="F22" s="1470">
        <f>'TRM ANSP'!F22+'TRM MET'!F22+'TRM Supervision'!F22</f>
        <v>0</v>
      </c>
    </row>
    <row r="23" spans="1:6">
      <c r="A23" s="557" t="s">
        <v>1191</v>
      </c>
      <c r="B23" s="558"/>
      <c r="C23" s="905">
        <f>'TRM ANSP'!C23+'TRM MET'!C23+'TRM Supervision'!C23</f>
        <v>0</v>
      </c>
      <c r="D23" s="905">
        <f>'TRM ANSP'!D23+'TRM MET'!D23+'TRM Supervision'!D23</f>
        <v>0</v>
      </c>
      <c r="E23" s="562">
        <f>'TRM ANSP'!E23+'TRM MET'!E23+'TRM Supervision'!E23</f>
        <v>0</v>
      </c>
      <c r="F23" s="563">
        <f>'TRM ANSP'!F23+'TRM MET'!F23+'TRM Supervision'!F23</f>
        <v>0</v>
      </c>
    </row>
    <row r="24" spans="1:6">
      <c r="A24" s="557" t="s">
        <v>1192</v>
      </c>
      <c r="B24" s="558"/>
      <c r="C24" s="905">
        <f>'TRM ANSP'!C24+'TRM MET'!C24+'TRM Supervision'!C24</f>
        <v>0</v>
      </c>
      <c r="D24" s="905">
        <f>'TRM ANSP'!D24+'TRM MET'!D24+'TRM Supervision'!D24</f>
        <v>0</v>
      </c>
      <c r="E24" s="562">
        <f>'TRM ANSP'!E24+'TRM MET'!E24+'TRM Supervision'!E24</f>
        <v>0</v>
      </c>
      <c r="F24" s="563">
        <f>'TRM ANSP'!F24+'TRM MET'!F24+'TRM Supervision'!F24</f>
        <v>0</v>
      </c>
    </row>
    <row r="25" spans="1:6">
      <c r="A25" s="560" t="s">
        <v>1193</v>
      </c>
      <c r="B25" s="558"/>
      <c r="C25" s="905">
        <f>'TRM ANSP'!C25+'TRM MET'!C25+'TRM Supervision'!C25</f>
        <v>0</v>
      </c>
      <c r="D25" s="905">
        <f>'TRM ANSP'!D25+'TRM MET'!D25+'TRM Supervision'!D25</f>
        <v>0</v>
      </c>
      <c r="E25" s="562">
        <f>'TRM ANSP'!E25+'TRM MET'!E25+'TRM Supervision'!E25</f>
        <v>0</v>
      </c>
      <c r="F25" s="563">
        <f>'TRM ANSP'!F25+'TRM MET'!F25+'TRM Supervision'!F25</f>
        <v>0</v>
      </c>
    </row>
    <row r="26" spans="1:6">
      <c r="A26" s="560" t="s">
        <v>1194</v>
      </c>
      <c r="B26" s="558"/>
      <c r="C26" s="905">
        <f>'TRM ANSP'!C26+'TRM MET'!C26+'TRM Supervision'!C26</f>
        <v>0</v>
      </c>
      <c r="D26" s="905">
        <f>'TRM ANSP'!D26+'TRM MET'!D26+'TRM Supervision'!D26</f>
        <v>0</v>
      </c>
      <c r="E26" s="562">
        <f>'TRM ANSP'!E26+'TRM MET'!E26+'TRM Supervision'!E26</f>
        <v>0</v>
      </c>
      <c r="F26" s="563">
        <f>'TRM ANSP'!F26+'TRM MET'!F26+'TRM Supervision'!F26</f>
        <v>0</v>
      </c>
    </row>
    <row r="27" spans="1:6">
      <c r="A27" s="560" t="s">
        <v>1195</v>
      </c>
      <c r="B27" s="558"/>
      <c r="C27" s="905">
        <f>'TRM ANSP'!C27+'TRM MET'!C27+'TRM Supervision'!C27</f>
        <v>0</v>
      </c>
      <c r="D27" s="905">
        <f>'TRM ANSP'!D27+'TRM MET'!D27+'TRM Supervision'!D27</f>
        <v>0</v>
      </c>
      <c r="E27" s="562">
        <f>'TRM ANSP'!E27+'TRM MET'!E27+'TRM Supervision'!E27</f>
        <v>0</v>
      </c>
      <c r="F27" s="563">
        <f>'TRM ANSP'!F27+'TRM MET'!F27+'TRM Supervision'!F27</f>
        <v>0</v>
      </c>
    </row>
    <row r="28" spans="1:6">
      <c r="A28" s="1471" t="s">
        <v>1196</v>
      </c>
      <c r="B28" s="1472"/>
      <c r="C28" s="553">
        <f>'TRM ANSP'!C28+'TRM MET'!C28+'TRM Supervision'!C28</f>
        <v>0</v>
      </c>
      <c r="D28" s="553">
        <f>'TRM ANSP'!D28+'TRM MET'!D28+'TRM Supervision'!D28</f>
        <v>0</v>
      </c>
      <c r="E28" s="555">
        <f>'TRM ANSP'!E28+'TRM MET'!E28+'TRM Supervision'!E28</f>
        <v>0</v>
      </c>
      <c r="F28" s="556">
        <f>'TRM ANSP'!F28+'TRM MET'!F28+'TRM Supervision'!F28</f>
        <v>0</v>
      </c>
    </row>
    <row r="30" spans="1:6" s="197" customFormat="1">
      <c r="A30" s="534" t="s">
        <v>1010</v>
      </c>
      <c r="B30" s="534"/>
      <c r="C30" s="535"/>
      <c r="D30" s="535"/>
      <c r="E30" s="535"/>
      <c r="F30" s="535"/>
    </row>
    <row r="31" spans="1:6" ht="3" customHeight="1">
      <c r="A31" s="904"/>
      <c r="B31" s="904"/>
      <c r="C31" s="904"/>
      <c r="D31" s="904"/>
      <c r="E31" s="904"/>
      <c r="F31" s="904"/>
    </row>
    <row r="32" spans="1:6">
      <c r="A32" s="1457" t="s">
        <v>1197</v>
      </c>
      <c r="B32" s="1458"/>
      <c r="C32" s="536"/>
      <c r="D32" s="536"/>
      <c r="E32" s="536"/>
      <c r="F32" s="1459"/>
    </row>
    <row r="33" spans="1:6">
      <c r="A33" s="564" t="s">
        <v>1198</v>
      </c>
      <c r="B33" s="565"/>
      <c r="C33" s="541">
        <f>'TRM ANSP'!C33</f>
        <v>34820.312361026365</v>
      </c>
      <c r="D33" s="541">
        <f>'TRM ANSP'!D33</f>
        <v>25016.967687916425</v>
      </c>
      <c r="E33" s="541">
        <f>'TRM ANSP'!E33</f>
        <v>27350.97450096687</v>
      </c>
      <c r="F33" s="542">
        <f>'TRM ANSP'!F33</f>
        <v>28911.614177628253</v>
      </c>
    </row>
    <row r="34" spans="1:6">
      <c r="A34" s="566" t="s">
        <v>1199</v>
      </c>
      <c r="B34" s="567"/>
      <c r="C34" s="861"/>
      <c r="D34" s="861"/>
      <c r="E34" s="861"/>
      <c r="F34" s="991"/>
    </row>
    <row r="35" spans="1:6">
      <c r="A35" s="566" t="s">
        <v>1200</v>
      </c>
      <c r="B35" s="567"/>
      <c r="C35" s="861"/>
      <c r="D35" s="861"/>
      <c r="E35" s="861"/>
      <c r="F35" s="991"/>
    </row>
    <row r="36" spans="1:6">
      <c r="A36" s="566" t="s">
        <v>1201</v>
      </c>
      <c r="B36" s="567"/>
      <c r="C36" s="861"/>
      <c r="D36" s="861"/>
      <c r="E36" s="861"/>
      <c r="F36" s="991"/>
    </row>
    <row r="37" spans="1:6">
      <c r="A37" s="566" t="s">
        <v>1202</v>
      </c>
      <c r="B37" s="567"/>
      <c r="C37" s="861"/>
      <c r="D37" s="861"/>
      <c r="E37" s="861"/>
      <c r="F37" s="991"/>
    </row>
    <row r="38" spans="1:6">
      <c r="A38" s="546" t="s">
        <v>1203</v>
      </c>
      <c r="B38" s="547"/>
      <c r="C38" s="992">
        <f>'TRM ANSP'!C38</f>
        <v>147.51144028384689</v>
      </c>
      <c r="D38" s="992">
        <f>'TRM ANSP'!D38</f>
        <v>136</v>
      </c>
      <c r="E38" s="992">
        <f>'TRM ANSP'!E38</f>
        <v>163</v>
      </c>
      <c r="F38" s="993">
        <f>'TRM ANSP'!F38</f>
        <v>188</v>
      </c>
    </row>
    <row r="39" spans="1:6">
      <c r="A39" s="566" t="s">
        <v>1204</v>
      </c>
      <c r="B39" s="567"/>
      <c r="C39" s="992">
        <f>'TRM ANSP'!C39</f>
        <v>147.51144028384689</v>
      </c>
      <c r="D39" s="849">
        <f>'TRM ANSP'!D39</f>
        <v>136</v>
      </c>
      <c r="E39" s="849">
        <f>'TRM ANSP'!E39</f>
        <v>163</v>
      </c>
      <c r="F39" s="993">
        <f>'TRM ANSP'!F39</f>
        <v>188</v>
      </c>
    </row>
    <row r="40" spans="1:6">
      <c r="A40" s="570" t="s">
        <v>1205</v>
      </c>
      <c r="B40" s="994"/>
      <c r="C40" s="201">
        <f>C39/C38-1</f>
        <v>0</v>
      </c>
      <c r="D40" s="201">
        <f>D39/D38-1</f>
        <v>0</v>
      </c>
      <c r="E40" s="995">
        <f>E39/E38-1</f>
        <v>0</v>
      </c>
      <c r="F40" s="996">
        <f>F39/F38-1</f>
        <v>0</v>
      </c>
    </row>
    <row r="41" spans="1:6">
      <c r="A41" s="552" t="s">
        <v>1206</v>
      </c>
      <c r="B41" s="990"/>
      <c r="C41" s="553">
        <f>'TRM ANSP'!C41</f>
        <v>0</v>
      </c>
      <c r="D41" s="997">
        <f>'TRM ANSP'!D41</f>
        <v>0</v>
      </c>
      <c r="E41" s="555">
        <f>'TRM ANSP'!E41</f>
        <v>0</v>
      </c>
      <c r="F41" s="556">
        <f>'TRM ANSP'!F41</f>
        <v>0</v>
      </c>
    </row>
    <row r="42" spans="1:6" ht="3" customHeight="1">
      <c r="A42" s="904"/>
      <c r="B42" s="904"/>
      <c r="C42" s="904"/>
      <c r="D42" s="904"/>
      <c r="E42" s="904"/>
      <c r="F42" s="904"/>
    </row>
    <row r="43" spans="1:6">
      <c r="A43" s="1460" t="s">
        <v>1207</v>
      </c>
      <c r="B43" s="1461"/>
      <c r="C43" s="536"/>
      <c r="D43" s="1483"/>
      <c r="E43" s="1483"/>
      <c r="F43" s="1484"/>
    </row>
    <row r="44" spans="1:6">
      <c r="A44" s="1473" t="s">
        <v>1208</v>
      </c>
      <c r="B44" s="1474"/>
      <c r="C44" s="572">
        <f>'TRM ANSP'!C44+'TRM MET'!C44+'TRM Supervision'!C44</f>
        <v>0</v>
      </c>
      <c r="D44" s="1510">
        <f>'TRM ANSP'!D44+'TRM MET'!D44+'TRM Supervision'!D44</f>
        <v>0</v>
      </c>
      <c r="E44" s="1523">
        <f>'TRM ANSP'!E44+'TRM MET'!E44+'TRM Supervision'!E44</f>
        <v>0</v>
      </c>
      <c r="F44" s="1524">
        <f>'TRM ANSP'!F44+'TRM MET'!F44+'TRM Supervision'!F44</f>
        <v>0</v>
      </c>
    </row>
    <row r="45" spans="1:6">
      <c r="A45" s="574" t="s">
        <v>1209</v>
      </c>
      <c r="B45" s="575"/>
      <c r="C45" s="572">
        <f>'TRM ANSP'!C45+'TRM MET'!C45+'TRM Supervision'!C45</f>
        <v>0</v>
      </c>
      <c r="D45" s="998">
        <f>'TRM ANSP'!D45+'TRM MET'!D45+'TRM Supervision'!D45</f>
        <v>0</v>
      </c>
      <c r="E45" s="576">
        <f>'TRM ANSP'!E45+'TRM MET'!E45+'TRM Supervision'!E45</f>
        <v>0</v>
      </c>
      <c r="F45" s="999">
        <f>'TRM ANSP'!F45+'TRM MET'!F45+'TRM Supervision'!F45</f>
        <v>0</v>
      </c>
    </row>
    <row r="46" spans="1:6">
      <c r="A46" s="1471" t="s">
        <v>1210</v>
      </c>
      <c r="B46" s="1472"/>
      <c r="C46" s="553">
        <f>'TRM ANSP'!C46+'TRM MET'!C46+'TRM Supervision'!C46</f>
        <v>0</v>
      </c>
      <c r="D46" s="553">
        <f>'TRM ANSP'!D46+'TRM MET'!D46+'TRM Supervision'!D46</f>
        <v>0</v>
      </c>
      <c r="E46" s="555">
        <f>'TRM ANSP'!E46+'TRM MET'!E46+'TRM Supervision'!E46</f>
        <v>0</v>
      </c>
      <c r="F46" s="556">
        <f>'TRM ANSP'!F46+'TRM MET'!F46+'TRM Supervision'!F46</f>
        <v>0</v>
      </c>
    </row>
    <row r="48" spans="1:6" s="197" customFormat="1">
      <c r="A48" s="534" t="s">
        <v>1016</v>
      </c>
      <c r="B48" s="534"/>
      <c r="C48" s="535"/>
      <c r="D48" s="535"/>
      <c r="E48" s="535"/>
      <c r="F48" s="535"/>
    </row>
    <row r="49" spans="1:6" ht="3" customHeight="1">
      <c r="A49" s="904"/>
      <c r="B49" s="904"/>
      <c r="C49" s="904"/>
      <c r="D49" s="904"/>
      <c r="E49" s="904"/>
      <c r="F49" s="904"/>
    </row>
    <row r="50" spans="1:6">
      <c r="A50" s="1457" t="s">
        <v>1211</v>
      </c>
      <c r="B50" s="1458"/>
      <c r="C50" s="536"/>
      <c r="D50" s="536"/>
      <c r="E50" s="536"/>
      <c r="F50" s="1459"/>
    </row>
    <row r="51" spans="1:6">
      <c r="A51" s="566" t="s">
        <v>1212</v>
      </c>
      <c r="B51" s="567"/>
      <c r="C51" s="559"/>
      <c r="D51" s="905">
        <f>'TRM ANSP'!D51</f>
        <v>0</v>
      </c>
      <c r="E51" s="1010">
        <f>'TRM ANSP'!E51</f>
        <v>0</v>
      </c>
      <c r="F51" s="1011">
        <f>'TRM ANSP'!F51</f>
        <v>0</v>
      </c>
    </row>
    <row r="52" spans="1:6">
      <c r="A52" s="566" t="s">
        <v>1213</v>
      </c>
      <c r="B52" s="567"/>
      <c r="C52" s="559"/>
      <c r="D52" s="905"/>
      <c r="E52" s="1010"/>
      <c r="F52" s="1011"/>
    </row>
    <row r="53" spans="1:6">
      <c r="A53" s="564" t="s">
        <v>1214</v>
      </c>
      <c r="B53" s="565"/>
      <c r="C53" s="559"/>
      <c r="D53" s="905"/>
      <c r="E53" s="1012"/>
      <c r="F53" s="1013"/>
    </row>
    <row r="54" spans="1:6" s="202" customFormat="1">
      <c r="A54" s="1471" t="s">
        <v>1215</v>
      </c>
      <c r="B54" s="1472"/>
      <c r="C54" s="206"/>
      <c r="D54" s="1525">
        <f>'TRM ANSP'!D54</f>
        <v>0</v>
      </c>
      <c r="E54" s="1526">
        <f>'TRM ANSP'!E54</f>
        <v>0</v>
      </c>
      <c r="F54" s="1527">
        <f>'TRM ANSP'!F54</f>
        <v>0</v>
      </c>
    </row>
    <row r="55" spans="1:6">
      <c r="A55" s="904"/>
      <c r="B55" s="904"/>
      <c r="C55" s="904"/>
      <c r="D55" s="904"/>
      <c r="E55" s="1014"/>
      <c r="F55" s="1014"/>
    </row>
    <row r="56" spans="1:6" s="197" customFormat="1">
      <c r="A56" s="534" t="s">
        <v>1026</v>
      </c>
      <c r="B56" s="534"/>
      <c r="C56" s="578"/>
      <c r="D56" s="578"/>
      <c r="E56" s="535"/>
      <c r="F56" s="535"/>
    </row>
    <row r="57" spans="1:6" ht="3" customHeight="1">
      <c r="A57" s="904"/>
      <c r="B57" s="904"/>
      <c r="C57" s="904"/>
      <c r="D57" s="904"/>
      <c r="E57" s="904"/>
      <c r="F57" s="904"/>
    </row>
    <row r="58" spans="1:6">
      <c r="A58" s="1457" t="s">
        <v>1216</v>
      </c>
      <c r="B58" s="1458"/>
      <c r="C58" s="536"/>
      <c r="D58" s="536"/>
      <c r="E58" s="536"/>
      <c r="F58" s="1459"/>
    </row>
    <row r="59" spans="1:6" s="203" customFormat="1">
      <c r="A59" s="1471" t="s">
        <v>1217</v>
      </c>
      <c r="B59" s="1472"/>
      <c r="C59" s="555">
        <f>'TRM ANSP'!C59+'TRM MET'!C59+'TRM Supervision'!C59</f>
        <v>0</v>
      </c>
      <c r="D59" s="553">
        <f>'TRM ANSP'!D59+'TRM MET'!D59+'TRM Supervision'!D59</f>
        <v>0</v>
      </c>
      <c r="E59" s="580">
        <f>'TRM ANSP'!E59+'TRM MET'!E59+'TRM Supervision'!E59</f>
        <v>0</v>
      </c>
      <c r="F59" s="1475">
        <f>'TRM ANSP'!F59+'TRM MET'!F59+'TRM Supervision'!F59</f>
        <v>0</v>
      </c>
    </row>
    <row r="60" spans="1:6" ht="3" customHeight="1">
      <c r="A60" s="904"/>
      <c r="B60" s="904"/>
      <c r="C60" s="904"/>
      <c r="D60" s="904"/>
      <c r="E60" s="904"/>
      <c r="F60" s="904"/>
    </row>
    <row r="61" spans="1:6">
      <c r="A61" s="1457" t="s">
        <v>1218</v>
      </c>
      <c r="B61" s="1458"/>
      <c r="C61" s="536"/>
      <c r="D61" s="540"/>
      <c r="E61" s="536"/>
      <c r="F61" s="1459"/>
    </row>
    <row r="62" spans="1:6">
      <c r="A62" s="1476" t="s">
        <v>1219</v>
      </c>
      <c r="B62" s="1477"/>
      <c r="C62" s="581" t="s">
        <v>1220</v>
      </c>
      <c r="D62" s="831"/>
      <c r="E62" s="1528"/>
      <c r="F62" s="1529"/>
    </row>
    <row r="63" spans="1:6">
      <c r="A63" s="1479" t="s">
        <v>1221</v>
      </c>
      <c r="B63" s="1480"/>
      <c r="C63" s="981">
        <f>'TRM ANSP'!C63+'TRM MET'!C63+'TRM Supervision'!C63</f>
        <v>9437.5592219588034</v>
      </c>
      <c r="D63" s="831">
        <f>'TRM ANSP'!D63+'TRM MET'!D63+'TRM Supervision'!D63</f>
        <v>0</v>
      </c>
      <c r="E63" s="584">
        <f>'TRM ANSP'!E63+'TRM MET'!E63+'TRM Supervision'!E63</f>
        <v>0</v>
      </c>
      <c r="F63" s="1481">
        <f>'TRM ANSP'!F63+'TRM MET'!F63+'TRM Supervision'!F63</f>
        <v>0</v>
      </c>
    </row>
    <row r="64" spans="1:6" ht="3" customHeight="1">
      <c r="A64" s="904"/>
      <c r="B64" s="904"/>
      <c r="C64" s="904"/>
      <c r="D64" s="904"/>
      <c r="E64" s="904"/>
      <c r="F64" s="904"/>
    </row>
    <row r="65" spans="1:6">
      <c r="A65" s="1457" t="s">
        <v>1222</v>
      </c>
      <c r="B65" s="1458"/>
      <c r="C65" s="536"/>
      <c r="D65" s="540"/>
      <c r="E65" s="536"/>
      <c r="F65" s="1459"/>
    </row>
    <row r="66" spans="1:6">
      <c r="A66" s="1479" t="s">
        <v>1223</v>
      </c>
      <c r="B66" s="1480"/>
      <c r="C66" s="585"/>
      <c r="D66" s="585"/>
      <c r="E66" s="587"/>
      <c r="F66" s="1482"/>
    </row>
    <row r="67" spans="1:6" ht="3" customHeight="1">
      <c r="A67" s="904"/>
      <c r="B67" s="904"/>
      <c r="C67" s="904"/>
      <c r="D67" s="904"/>
      <c r="E67" s="904"/>
      <c r="F67" s="904"/>
    </row>
    <row r="68" spans="1:6">
      <c r="A68" s="1457" t="s">
        <v>1224</v>
      </c>
      <c r="B68" s="1458"/>
      <c r="C68" s="1483"/>
      <c r="D68" s="1530"/>
      <c r="E68" s="1483"/>
      <c r="F68" s="1484"/>
    </row>
    <row r="69" spans="1:6">
      <c r="A69" s="1485" t="s">
        <v>1225</v>
      </c>
      <c r="B69" s="1486"/>
      <c r="C69" s="1531">
        <f>'TRM ANSP'!C69+'TRM MET'!C69+'TRM Supervision'!C69</f>
        <v>-106.97597210091274</v>
      </c>
      <c r="D69" s="1510">
        <f>'TRM ANSP'!D69+'TRM MET'!D69+'TRM Supervision'!D69</f>
        <v>0</v>
      </c>
      <c r="E69" s="1510">
        <f>'TRM ANSP'!E69+'TRM MET'!E69+'TRM Supervision'!E69</f>
        <v>0</v>
      </c>
      <c r="F69" s="1511">
        <f>'TRM ANSP'!F69+'TRM MET'!F69+'TRM Supervision'!F69</f>
        <v>0</v>
      </c>
    </row>
    <row r="70" spans="1:6">
      <c r="A70" s="566" t="s">
        <v>1226</v>
      </c>
      <c r="B70" s="567"/>
      <c r="C70" s="1000">
        <f>'TRM ANSP'!C70+'TRM MET'!C70+'TRM Supervision'!C70</f>
        <v>-65.863</v>
      </c>
      <c r="D70" s="849">
        <f>'TRM ANSP'!D70+'TRM MET'!D70+'TRM Supervision'!D70</f>
        <v>0</v>
      </c>
      <c r="E70" s="849">
        <f>'TRM ANSP'!E70+'TRM MET'!E70+'TRM Supervision'!E70</f>
        <v>0</v>
      </c>
      <c r="F70" s="850">
        <f>'TRM ANSP'!F70+'TRM MET'!F70+'TRM Supervision'!F70</f>
        <v>0</v>
      </c>
    </row>
    <row r="71" spans="1:6">
      <c r="A71" s="566" t="s">
        <v>1227</v>
      </c>
      <c r="B71" s="567"/>
      <c r="C71" s="1000">
        <f>'TRM ANSP'!C71+'TRM MET'!C71+'TRM Supervision'!C71</f>
        <v>-4650.9845367026901</v>
      </c>
      <c r="D71" s="849">
        <f>'TRM ANSP'!D71+'TRM MET'!D71+'TRM Supervision'!D71</f>
        <v>0</v>
      </c>
      <c r="E71" s="849">
        <f>'TRM ANSP'!E71+'TRM MET'!E71+'TRM Supervision'!E71</f>
        <v>0</v>
      </c>
      <c r="F71" s="850">
        <f>'TRM ANSP'!F71+'TRM MET'!F71+'TRM Supervision'!F71</f>
        <v>0</v>
      </c>
    </row>
    <row r="72" spans="1:6">
      <c r="A72" s="566" t="s">
        <v>1228</v>
      </c>
      <c r="B72" s="567"/>
      <c r="C72" s="1000">
        <f>'TRM ANSP'!C72+'TRM MET'!C72+'TRM Supervision'!C72</f>
        <v>0</v>
      </c>
      <c r="D72" s="849">
        <f>'TRM ANSP'!D72+'TRM MET'!D72+'TRM Supervision'!D72</f>
        <v>0</v>
      </c>
      <c r="E72" s="849">
        <f>'TRM ANSP'!E72+'TRM MET'!E72+'TRM Supervision'!E72</f>
        <v>0</v>
      </c>
      <c r="F72" s="850">
        <f>'TRM ANSP'!F72+'TRM MET'!F72+'TRM Supervision'!F72</f>
        <v>0</v>
      </c>
    </row>
    <row r="73" spans="1:6">
      <c r="A73" s="1490" t="s">
        <v>1229</v>
      </c>
      <c r="B73" s="1491"/>
      <c r="C73" s="553">
        <f>'TRM ANSP'!C73+'TRM MET'!C73+'TRM Supervision'!C73</f>
        <v>-4823.8235088036026</v>
      </c>
      <c r="D73" s="554">
        <f>'TRM ANSP'!D73+'TRM MET'!D73+'TRM Supervision'!D73</f>
        <v>0</v>
      </c>
      <c r="E73" s="554">
        <f>'TRM ANSP'!E73+'TRM MET'!E73+'TRM Supervision'!E73</f>
        <v>0</v>
      </c>
      <c r="F73" s="1001">
        <f>'TRM ANSP'!F73+'TRM MET'!F73+'TRM Supervision'!F73</f>
        <v>0</v>
      </c>
    </row>
    <row r="74" spans="1:6" ht="3" customHeight="1">
      <c r="A74" s="595"/>
      <c r="B74" s="595"/>
      <c r="C74" s="596"/>
      <c r="D74" s="904"/>
      <c r="E74" s="904"/>
      <c r="F74" s="904"/>
    </row>
    <row r="75" spans="1:6">
      <c r="A75" s="1457" t="s">
        <v>1230</v>
      </c>
      <c r="B75" s="1458"/>
      <c r="C75" s="1492" t="s">
        <v>1231</v>
      </c>
      <c r="D75" s="1530"/>
      <c r="E75" s="1483"/>
      <c r="F75" s="1484"/>
    </row>
    <row r="76" spans="1:6" s="203" customFormat="1">
      <c r="A76" s="1479" t="s">
        <v>1232</v>
      </c>
      <c r="B76" s="1480"/>
      <c r="C76" s="553">
        <f>'TRM ANSP'!C76+'TRM MET'!C76+'TRM Supervision'!C76</f>
        <v>0</v>
      </c>
      <c r="D76" s="554">
        <f>'TRM ANSP'!D76+'TRM MET'!D76+'TRM Supervision'!D76</f>
        <v>0</v>
      </c>
      <c r="E76" s="554">
        <f>'TRM ANSP'!E76+'TRM MET'!E76+'TRM Supervision'!E76</f>
        <v>0</v>
      </c>
      <c r="F76" s="1001">
        <f>'TRM ANSP'!F76+'TRM MET'!F76+'TRM Supervision'!F76</f>
        <v>0</v>
      </c>
    </row>
    <row r="77" spans="1:6" ht="10" customHeight="1">
      <c r="A77" s="595"/>
      <c r="B77" s="595"/>
      <c r="C77" s="600"/>
      <c r="D77" s="600"/>
      <c r="E77" s="596"/>
      <c r="F77" s="596"/>
    </row>
    <row r="78" spans="1:6">
      <c r="A78" s="1493" t="s">
        <v>1233</v>
      </c>
      <c r="B78" s="1494"/>
      <c r="C78" s="601">
        <f>'TRM ANSP'!C78+'TRM MET'!C78+'TRM Supervision'!C78</f>
        <v>4613.7357131551989</v>
      </c>
      <c r="D78" s="601">
        <f>'TRM ANSP'!D78+'TRM MET'!D78+'TRM Supervision'!D78</f>
        <v>0</v>
      </c>
      <c r="E78" s="601">
        <f>'TRM ANSP'!E78+'TRM MET'!E78+'TRM Supervision'!E78</f>
        <v>0</v>
      </c>
      <c r="F78" s="602">
        <f>'TRM ANSP'!F78+'TRM MET'!F78+'TRM Supervision'!F78</f>
        <v>0</v>
      </c>
    </row>
    <row r="79" spans="1:6">
      <c r="A79" s="603"/>
      <c r="B79" s="904"/>
      <c r="C79" s="604"/>
      <c r="D79" s="604"/>
      <c r="E79" s="604"/>
      <c r="F79" s="604"/>
    </row>
    <row r="80" spans="1:6" ht="12.75" customHeight="1">
      <c r="A80" s="1683" t="s">
        <v>1234</v>
      </c>
      <c r="B80" s="1684"/>
      <c r="C80" s="196" t="s">
        <v>870</v>
      </c>
      <c r="D80" s="196">
        <v>2022</v>
      </c>
      <c r="E80" s="196">
        <v>2023</v>
      </c>
      <c r="F80" s="1456">
        <v>2024</v>
      </c>
    </row>
    <row r="81" spans="1:12">
      <c r="A81" s="1465" t="s">
        <v>1235</v>
      </c>
      <c r="B81" s="1466"/>
      <c r="C81" s="1495">
        <f>'TRM ANSP'!C81+'TRM MET'!C81+'TRM Supervision'!C81</f>
        <v>39309.082468876171</v>
      </c>
      <c r="D81" s="1495">
        <f>'TRM ANSP'!D81+'TRM MET'!D81+'TRM Supervision'!D81</f>
        <v>27522.163753224904</v>
      </c>
      <c r="E81" s="1495">
        <f>'TRM ANSP'!E81+'TRM MET'!E81+'TRM Supervision'!E81</f>
        <v>30037.775867220855</v>
      </c>
      <c r="F81" s="1496">
        <f>'TRM ANSP'!F81+'TRM MET'!F81+'TRM Supervision'!F81</f>
        <v>31538.335056262302</v>
      </c>
      <c r="H81" s="1002"/>
      <c r="I81" s="1002"/>
      <c r="J81" s="1002"/>
      <c r="K81" s="1002"/>
      <c r="L81" s="1002"/>
    </row>
    <row r="82" spans="1:12">
      <c r="A82" s="546" t="s">
        <v>1236</v>
      </c>
      <c r="B82" s="547"/>
      <c r="C82" s="572">
        <f>'TRM ANSP'!C82+'TRM MET'!C82+'TRM Supervision'!C82</f>
        <v>-2841.8861730735575</v>
      </c>
      <c r="D82" s="572">
        <f>'TRM ANSP'!D82+'TRM MET'!D82+'TRM Supervision'!D82</f>
        <v>0</v>
      </c>
      <c r="E82" s="572">
        <f>'TRM ANSP'!E82+'TRM MET'!E82+'TRM Supervision'!E82</f>
        <v>0</v>
      </c>
      <c r="F82" s="573">
        <f>'TRM ANSP'!F82+'TRM MET'!F82+'TRM Supervision'!F82</f>
        <v>0</v>
      </c>
    </row>
    <row r="83" spans="1:12">
      <c r="A83" s="546" t="s">
        <v>1237</v>
      </c>
      <c r="B83" s="547"/>
      <c r="C83" s="572">
        <f>'TRM ANSP'!C83+'TRM MET'!C83+'TRM Supervision'!C83</f>
        <v>-7613.0605243936307</v>
      </c>
      <c r="D83" s="572">
        <f>'TRM ANSP'!D83+'TRM MET'!D83+'TRM Supervision'!D83</f>
        <v>0</v>
      </c>
      <c r="E83" s="572">
        <f>'TRM ANSP'!E83+'TRM MET'!E83+'TRM Supervision'!E83</f>
        <v>0</v>
      </c>
      <c r="F83" s="573">
        <f>'TRM ANSP'!F83+'TRM MET'!F83+'TRM Supervision'!F83</f>
        <v>0</v>
      </c>
    </row>
    <row r="84" spans="1:12">
      <c r="A84" s="605" t="s">
        <v>1238</v>
      </c>
      <c r="B84" s="567"/>
      <c r="C84" s="572">
        <f>'TRM ANSP'!C84+'TRM MET'!C84+'TRM Supervision'!C84</f>
        <v>0</v>
      </c>
      <c r="D84" s="572">
        <f>'TRM ANSP'!D84+'TRM MET'!D84+'TRM Supervision'!D84</f>
        <v>0</v>
      </c>
      <c r="E84" s="572">
        <f>'TRM ANSP'!E84+'TRM MET'!E84+'TRM Supervision'!E84</f>
        <v>0</v>
      </c>
      <c r="F84" s="573">
        <f>'TRM ANSP'!F84+'TRM MET'!F84+'TRM Supervision'!F84</f>
        <v>0</v>
      </c>
    </row>
    <row r="85" spans="1:12">
      <c r="A85" s="605" t="s">
        <v>1239</v>
      </c>
      <c r="B85" s="567"/>
      <c r="C85" s="572">
        <f>'TRM ANSP'!C85+'TRM MET'!C85+'TRM Supervision'!C85</f>
        <v>0</v>
      </c>
      <c r="D85" s="572">
        <f>'TRM ANSP'!D85+'TRM MET'!D85+'TRM Supervision'!D85</f>
        <v>0</v>
      </c>
      <c r="E85" s="572">
        <f>'TRM ANSP'!E85+'TRM MET'!E85+'TRM Supervision'!E85</f>
        <v>0</v>
      </c>
      <c r="F85" s="573">
        <f>'TRM ANSP'!F85+'TRM MET'!F85+'TRM Supervision'!F85</f>
        <v>0</v>
      </c>
    </row>
    <row r="86" spans="1:12">
      <c r="A86" s="605" t="s">
        <v>1240</v>
      </c>
      <c r="B86" s="567"/>
      <c r="C86" s="572">
        <f>'TRM ANSP'!C86+'TRM MET'!C86+'TRM Supervision'!C86</f>
        <v>0</v>
      </c>
      <c r="D86" s="572">
        <f>'TRM ANSP'!D86+'TRM MET'!D86+'TRM Supervision'!D86</f>
        <v>0</v>
      </c>
      <c r="E86" s="572">
        <f>'TRM ANSP'!E86+'TRM MET'!E86+'TRM Supervision'!E86</f>
        <v>0</v>
      </c>
      <c r="F86" s="573">
        <f>'TRM ANSP'!F86+'TRM MET'!F86+'TRM Supervision'!F86</f>
        <v>0</v>
      </c>
    </row>
    <row r="87" spans="1:12">
      <c r="A87" s="605" t="s">
        <v>1241</v>
      </c>
      <c r="B87" s="567"/>
      <c r="C87" s="572">
        <f>'TRM ANSP'!C87+'TRM MET'!C87+'TRM Supervision'!C87</f>
        <v>363.06275997970374</v>
      </c>
      <c r="D87" s="572">
        <f>'TRM ANSP'!D87+'TRM MET'!D87+'TRM Supervision'!D87</f>
        <v>-3112.8271286824556</v>
      </c>
      <c r="E87" s="890">
        <f>'TRM ANSP'!E87+'TRM MET'!E87+'TRM Supervision'!E87</f>
        <v>-3114.1445230711934</v>
      </c>
      <c r="F87" s="573">
        <f>'TRM ANSP'!F87+'TRM MET'!F87+'TRM Supervision'!F87</f>
        <v>0</v>
      </c>
    </row>
    <row r="88" spans="1:12">
      <c r="A88" s="564" t="s">
        <v>1242</v>
      </c>
      <c r="B88" s="565"/>
      <c r="C88" s="572">
        <f>'TRM ANSP'!C88+'TRM MET'!C88+'TRM Supervision'!C88</f>
        <v>-4823.8235088036035</v>
      </c>
      <c r="D88" s="572">
        <f>'TRM ANSP'!D88+'TRM MET'!D88+'TRM Supervision'!D88</f>
        <v>-224.9494042675</v>
      </c>
      <c r="E88" s="572">
        <f>'TRM ANSP'!E88+'TRM MET'!E88+'TRM Supervision'!E88</f>
        <v>0</v>
      </c>
      <c r="F88" s="573">
        <f>'TRM ANSP'!F88+'TRM MET'!F88+'TRM Supervision'!F88</f>
        <v>0</v>
      </c>
    </row>
    <row r="89" spans="1:12">
      <c r="A89" s="564" t="s">
        <v>1243</v>
      </c>
      <c r="B89" s="565"/>
      <c r="C89" s="572">
        <f>'TRM ANSP'!C89+'TRM MET'!C89+'TRM Supervision'!C89</f>
        <v>0</v>
      </c>
      <c r="D89" s="572">
        <f>'TRM ANSP'!D89+'TRM MET'!D89+'TRM Supervision'!D89</f>
        <v>0</v>
      </c>
      <c r="E89" s="572">
        <f>'TRM ANSP'!E89+'TRM MET'!E89+'TRM Supervision'!E89</f>
        <v>0</v>
      </c>
      <c r="F89" s="573">
        <f>'TRM ANSP'!F89+'TRM MET'!F89+'TRM Supervision'!F89</f>
        <v>0</v>
      </c>
    </row>
    <row r="90" spans="1:12">
      <c r="A90" s="605" t="s">
        <v>1244</v>
      </c>
      <c r="B90" s="606"/>
      <c r="C90" s="607">
        <f>'TRM ANSP'!C90+'TRM MET'!C90+'TRM Supervision'!C90</f>
        <v>0</v>
      </c>
      <c r="D90" s="607">
        <f>'TRM ANSP'!D90+'TRM MET'!D90+'TRM Supervision'!D90</f>
        <v>0</v>
      </c>
      <c r="E90" s="1003">
        <f>'TRM ANSP'!E90+'TRM MET'!E90+'TRM Supervision'!E90</f>
        <v>1348.2227459941146</v>
      </c>
      <c r="F90" s="1004">
        <f>'TRM ANSP'!F90+'TRM MET'!F90+'TRM Supervision'!F90</f>
        <v>1348.2227459941146</v>
      </c>
    </row>
    <row r="91" spans="1:12">
      <c r="A91" s="1497" t="s">
        <v>1245</v>
      </c>
      <c r="B91" s="1498"/>
      <c r="C91" s="1499">
        <f>'TRM ANSP'!C91+'TRM MET'!C91+'TRM Supervision'!C91</f>
        <v>24393.375022585078</v>
      </c>
      <c r="D91" s="1499">
        <f>'TRM ANSP'!D91+'TRM MET'!D91+'TRM Supervision'!D91</f>
        <v>24184.387220274952</v>
      </c>
      <c r="E91" s="1499">
        <f>'TRM ANSP'!E91+'TRM MET'!E91+'TRM Supervision'!E91</f>
        <v>28271.854090143777</v>
      </c>
      <c r="F91" s="1499">
        <f>'TRM ANSP'!F91+'TRM MET'!F91+'TRM Supervision'!F91</f>
        <v>32886.557802256422</v>
      </c>
    </row>
    <row r="92" spans="1:12">
      <c r="A92" s="1500" t="s">
        <v>1246</v>
      </c>
      <c r="B92" s="1501"/>
      <c r="C92" s="1502">
        <f>'TRM ANSP'!C92</f>
        <v>147.51144028384689</v>
      </c>
      <c r="D92" s="1502">
        <f>'TRM ANSP'!D92</f>
        <v>136</v>
      </c>
      <c r="E92" s="1502">
        <f>'TRM ANSP'!E92</f>
        <v>163</v>
      </c>
      <c r="F92" s="1502">
        <f>'TRM ANSP'!F92</f>
        <v>188</v>
      </c>
    </row>
    <row r="93" spans="1:12">
      <c r="A93" s="1500" t="s">
        <v>1247</v>
      </c>
      <c r="B93" s="1501"/>
      <c r="C93" s="1503">
        <f>C91/C92</f>
        <v>165.3659877203182</v>
      </c>
      <c r="D93" s="1503">
        <f>D91/D92</f>
        <v>177.82637661966876</v>
      </c>
      <c r="E93" s="1503">
        <f>E91/E92</f>
        <v>173.44695760824402</v>
      </c>
      <c r="F93" s="1503">
        <f>F91/F92</f>
        <v>174.92849894817246</v>
      </c>
    </row>
    <row r="94" spans="1:12">
      <c r="A94" s="1500" t="s">
        <v>1248</v>
      </c>
      <c r="B94" s="1501"/>
      <c r="C94" s="1503">
        <f>'TRM ANSP'!C94+'TRM MET'!C94+'TRM Supervision'!C94</f>
        <v>0</v>
      </c>
      <c r="D94" s="1503">
        <f>'TRM ANSP'!D94+'TRM MET'!D94+'TRM Supervision'!D94</f>
        <v>0</v>
      </c>
      <c r="E94" s="1503">
        <f>'TRM ANSP'!E94+'TRM MET'!E94+'TRM Supervision'!E94</f>
        <v>0</v>
      </c>
      <c r="F94" s="1503">
        <f>'TRM ANSP'!F94+'TRM MET'!F94+'TRM Supervision'!F94</f>
        <v>0</v>
      </c>
    </row>
    <row r="95" spans="1:12">
      <c r="A95" s="595"/>
      <c r="B95" s="595"/>
      <c r="C95" s="600"/>
      <c r="D95" s="596"/>
      <c r="E95" s="596"/>
      <c r="F95" s="596"/>
    </row>
    <row r="96" spans="1:12">
      <c r="A96" s="1507" t="s">
        <v>1249</v>
      </c>
      <c r="B96" s="1494"/>
      <c r="C96" s="609">
        <f>+C93+C94</f>
        <v>165.3659877203182</v>
      </c>
      <c r="D96" s="609">
        <f>+D93+D94</f>
        <v>177.82637661966876</v>
      </c>
      <c r="E96" s="609">
        <f>+E93+E94</f>
        <v>173.44695760824402</v>
      </c>
      <c r="F96" s="1572">
        <f>+F93+F94</f>
        <v>174.92849894817246</v>
      </c>
    </row>
    <row r="97" spans="1:7" s="198" customFormat="1">
      <c r="A97" s="603"/>
      <c r="B97" s="904"/>
      <c r="C97" s="610"/>
      <c r="D97" s="610"/>
      <c r="E97" s="610"/>
      <c r="F97" s="610"/>
      <c r="G97" s="194"/>
    </row>
    <row r="98" spans="1:7" s="197" customFormat="1" ht="14.5">
      <c r="A98" s="888" t="s">
        <v>1250</v>
      </c>
      <c r="B98" s="906"/>
      <c r="C98" s="907"/>
      <c r="D98" s="907"/>
      <c r="E98" s="1532" t="s">
        <v>1261</v>
      </c>
      <c r="F98" s="1533"/>
    </row>
    <row r="99" spans="1:7" s="197" customFormat="1" ht="13" customHeight="1">
      <c r="A99" s="908" t="s">
        <v>1251</v>
      </c>
      <c r="B99" s="906"/>
      <c r="C99" s="886"/>
      <c r="D99" s="907"/>
      <c r="E99" s="1005" t="s">
        <v>1262</v>
      </c>
      <c r="F99" s="1006"/>
    </row>
    <row r="100" spans="1:7" s="197" customFormat="1" ht="13" customHeight="1">
      <c r="A100" s="957" t="s">
        <v>1252</v>
      </c>
      <c r="B100" s="906"/>
      <c r="C100" s="1007">
        <f>'TRM ANSP'!C100+'TRM MET'!C100+'TRM Supervision'!C100</f>
        <v>123.01404977829436</v>
      </c>
      <c r="D100" s="907"/>
      <c r="E100" s="1005" t="s">
        <v>1263</v>
      </c>
      <c r="F100" s="1006"/>
    </row>
    <row r="101" spans="1:7" s="197" customFormat="1" ht="13" customHeight="1">
      <c r="A101" s="957" t="s">
        <v>1253</v>
      </c>
      <c r="B101" s="906"/>
      <c r="C101" s="1007">
        <f>'TRM ANSP'!C101+'TRM MET'!C101+'TRM Supervision'!C101</f>
        <v>162.45311204368255</v>
      </c>
      <c r="D101" s="907"/>
      <c r="E101" s="1008" t="s">
        <v>1264</v>
      </c>
      <c r="F101" s="1009"/>
    </row>
    <row r="102" spans="1:7" s="197" customFormat="1">
      <c r="A102" s="957" t="s">
        <v>1254</v>
      </c>
      <c r="B102" s="904"/>
      <c r="C102" s="1007">
        <f>'TRM ANSP'!C102+'TRM MET'!C102+'TRM Supervision'!C102</f>
        <v>0</v>
      </c>
      <c r="D102" s="886"/>
      <c r="E102" s="886"/>
      <c r="F102" s="904"/>
    </row>
    <row r="103" spans="1:7" s="197" customFormat="1">
      <c r="A103" s="957" t="s">
        <v>1255</v>
      </c>
      <c r="B103" s="904"/>
      <c r="C103" s="1007">
        <f>'TRM ANSP'!C103+'TRM MET'!C103+'TRM Supervision'!C103</f>
        <v>0</v>
      </c>
      <c r="D103" s="904"/>
      <c r="E103" s="904"/>
      <c r="F103" s="904"/>
    </row>
    <row r="104" spans="1:7" s="197" customFormat="1">
      <c r="A104" s="957" t="s">
        <v>1256</v>
      </c>
      <c r="B104" s="904"/>
      <c r="C104" s="1007">
        <f>'TRM ANSP'!C104</f>
        <v>189.6</v>
      </c>
      <c r="D104" s="904"/>
      <c r="E104" s="904"/>
      <c r="F104" s="904"/>
    </row>
    <row r="105" spans="1:7" s="197" customFormat="1">
      <c r="A105" s="957" t="s">
        <v>1257</v>
      </c>
      <c r="B105" s="904"/>
      <c r="C105" s="1007">
        <f>'TRM ANSP'!C105</f>
        <v>195.6</v>
      </c>
      <c r="D105" s="904"/>
      <c r="E105" s="904"/>
      <c r="F105" s="904"/>
    </row>
    <row r="106" spans="1:7" s="197" customFormat="1">
      <c r="A106" s="888" t="s">
        <v>1177</v>
      </c>
      <c r="B106" s="906"/>
      <c r="C106" s="907"/>
      <c r="D106" s="907"/>
      <c r="E106" s="907"/>
      <c r="F106" s="907"/>
    </row>
  </sheetData>
  <mergeCells count="4">
    <mergeCell ref="A1:F1"/>
    <mergeCell ref="C5:F5"/>
    <mergeCell ref="A7:B7"/>
    <mergeCell ref="A80:B8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9FA9-BC1A-4FCC-AA7C-37C4A9F54EE0}">
  <sheetPr>
    <tabColor theme="2" tint="-9.9978637043366805E-2"/>
  </sheetPr>
  <dimension ref="A1:AC64"/>
  <sheetViews>
    <sheetView zoomScale="80" zoomScaleNormal="80" workbookViewId="0">
      <pane xSplit="8" ySplit="6" topLeftCell="I39" activePane="bottomRight" state="frozen"/>
      <selection pane="topRight" activeCell="S70" sqref="S70"/>
      <selection pane="bottomLeft" activeCell="S70" sqref="S70"/>
      <selection pane="bottomRight" activeCell="S14" sqref="S14"/>
    </sheetView>
  </sheetViews>
  <sheetFormatPr defaultColWidth="0" defaultRowHeight="13"/>
  <cols>
    <col min="1" max="1" width="1.453125" style="3" customWidth="1"/>
    <col min="2" max="2" width="3.26953125" style="3" customWidth="1"/>
    <col min="3" max="3" width="26.54296875" style="3" bestFit="1" customWidth="1"/>
    <col min="4" max="5" width="8.81640625" style="3" customWidth="1"/>
    <col min="6" max="6" width="10.54296875" style="3" bestFit="1" customWidth="1"/>
    <col min="7" max="7" width="2.81640625" style="3" customWidth="1"/>
    <col min="8" max="8" width="13.453125" style="3" customWidth="1"/>
    <col min="9" max="28" width="11.54296875" style="23" bestFit="1" customWidth="1"/>
    <col min="29" max="29" width="3.26953125" style="3" customWidth="1"/>
    <col min="30" max="16384" width="0" style="3" hidden="1"/>
  </cols>
  <sheetData>
    <row r="1" spans="2:28" ht="9" customHeight="1"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2:28">
      <c r="B2" s="4"/>
      <c r="C2" s="4"/>
      <c r="D2" s="4"/>
      <c r="E2" s="4"/>
      <c r="F2" s="4"/>
      <c r="G2" s="4"/>
      <c r="H2" s="5" t="s">
        <v>120</v>
      </c>
      <c r="I2" s="10">
        <v>42005</v>
      </c>
      <c r="J2" s="10">
        <v>42370</v>
      </c>
      <c r="K2" s="10">
        <v>42736</v>
      </c>
      <c r="L2" s="10">
        <v>43101</v>
      </c>
      <c r="M2" s="10">
        <v>43466</v>
      </c>
      <c r="N2" s="10">
        <v>43831</v>
      </c>
      <c r="O2" s="10">
        <v>44197</v>
      </c>
      <c r="P2" s="10">
        <v>44562</v>
      </c>
      <c r="Q2" s="10">
        <v>44927</v>
      </c>
      <c r="R2" s="10">
        <v>45292</v>
      </c>
      <c r="S2" s="10">
        <v>45658</v>
      </c>
      <c r="T2" s="10">
        <v>46023</v>
      </c>
      <c r="U2" s="10">
        <v>46388</v>
      </c>
      <c r="V2" s="10">
        <v>46753</v>
      </c>
      <c r="W2" s="10">
        <v>47119</v>
      </c>
      <c r="X2" s="10">
        <v>47484</v>
      </c>
      <c r="Y2" s="10">
        <v>47849</v>
      </c>
      <c r="Z2" s="10">
        <v>48214</v>
      </c>
      <c r="AA2" s="10">
        <v>48580</v>
      </c>
      <c r="AB2" s="10">
        <v>48945</v>
      </c>
    </row>
    <row r="3" spans="2:28">
      <c r="B3" s="4"/>
      <c r="C3" s="215" t="s">
        <v>121</v>
      </c>
      <c r="D3" s="4"/>
      <c r="E3" s="4"/>
      <c r="F3" s="4"/>
      <c r="G3" s="4"/>
      <c r="H3" s="5" t="s">
        <v>122</v>
      </c>
      <c r="I3" s="10">
        <v>42369</v>
      </c>
      <c r="J3" s="10">
        <v>42735</v>
      </c>
      <c r="K3" s="10">
        <v>43100</v>
      </c>
      <c r="L3" s="10">
        <v>43465</v>
      </c>
      <c r="M3" s="10">
        <v>43830</v>
      </c>
      <c r="N3" s="10">
        <v>44196</v>
      </c>
      <c r="O3" s="10">
        <v>44561</v>
      </c>
      <c r="P3" s="10">
        <v>44926</v>
      </c>
      <c r="Q3" s="10">
        <v>45291</v>
      </c>
      <c r="R3" s="10">
        <v>45657</v>
      </c>
      <c r="S3" s="10">
        <v>46022</v>
      </c>
      <c r="T3" s="10">
        <v>46387</v>
      </c>
      <c r="U3" s="10">
        <v>46752</v>
      </c>
      <c r="V3" s="10">
        <v>47118</v>
      </c>
      <c r="W3" s="10">
        <v>47483</v>
      </c>
      <c r="X3" s="10">
        <v>47848</v>
      </c>
      <c r="Y3" s="10">
        <v>48213</v>
      </c>
      <c r="Z3" s="10">
        <v>48579</v>
      </c>
      <c r="AA3" s="10">
        <v>48944</v>
      </c>
      <c r="AB3" s="10">
        <v>49309</v>
      </c>
    </row>
    <row r="4" spans="2:28">
      <c r="B4" s="4"/>
      <c r="C4" s="1540" t="s">
        <v>123</v>
      </c>
      <c r="D4" s="4"/>
      <c r="E4" s="4"/>
      <c r="F4" s="4"/>
      <c r="G4" s="4"/>
      <c r="H4" s="5" t="s">
        <v>124</v>
      </c>
      <c r="I4" s="11">
        <v>2015</v>
      </c>
      <c r="J4" s="11">
        <v>2016</v>
      </c>
      <c r="K4" s="11">
        <v>2017</v>
      </c>
      <c r="L4" s="11">
        <v>2018</v>
      </c>
      <c r="M4" s="11">
        <v>2019</v>
      </c>
      <c r="N4" s="11">
        <v>2020</v>
      </c>
      <c r="O4" s="11">
        <v>2021</v>
      </c>
      <c r="P4" s="11">
        <v>2022</v>
      </c>
      <c r="Q4" s="11">
        <v>2023</v>
      </c>
      <c r="R4" s="11">
        <v>2024</v>
      </c>
      <c r="S4" s="11">
        <v>2025</v>
      </c>
      <c r="T4" s="11">
        <v>2026</v>
      </c>
      <c r="U4" s="11">
        <v>2027</v>
      </c>
      <c r="V4" s="11">
        <v>2028</v>
      </c>
      <c r="W4" s="11">
        <v>2029</v>
      </c>
      <c r="X4" s="11">
        <v>2030</v>
      </c>
      <c r="Y4" s="11">
        <v>2031</v>
      </c>
      <c r="Z4" s="11">
        <v>2032</v>
      </c>
      <c r="AA4" s="11">
        <v>2033</v>
      </c>
      <c r="AB4" s="11">
        <v>2034</v>
      </c>
    </row>
    <row r="5" spans="2:28">
      <c r="B5" s="4"/>
      <c r="C5" s="5" t="str">
        <f>"Price Base: "&amp;'Misc. Items'!$F$26</f>
        <v>Price Base: 2017</v>
      </c>
      <c r="D5" s="4"/>
      <c r="E5" s="4"/>
      <c r="F5" s="4"/>
      <c r="G5" s="4"/>
      <c r="H5" s="5" t="s">
        <v>125</v>
      </c>
      <c r="I5" s="11">
        <v>1</v>
      </c>
      <c r="J5" s="11">
        <v>2</v>
      </c>
      <c r="K5" s="11">
        <v>3</v>
      </c>
      <c r="L5" s="11">
        <v>4</v>
      </c>
      <c r="M5" s="11">
        <v>5</v>
      </c>
      <c r="N5" s="11">
        <v>6</v>
      </c>
      <c r="O5" s="11">
        <v>7</v>
      </c>
      <c r="P5" s="11">
        <v>8</v>
      </c>
      <c r="Q5" s="11">
        <v>9</v>
      </c>
      <c r="R5" s="11">
        <v>10</v>
      </c>
      <c r="S5" s="11">
        <v>11</v>
      </c>
      <c r="T5" s="11">
        <v>12</v>
      </c>
      <c r="U5" s="11">
        <v>13</v>
      </c>
      <c r="V5" s="11">
        <v>14</v>
      </c>
      <c r="W5" s="11">
        <v>15</v>
      </c>
      <c r="X5" s="11">
        <v>16</v>
      </c>
      <c r="Y5" s="11">
        <v>17</v>
      </c>
      <c r="Z5" s="11">
        <v>18</v>
      </c>
      <c r="AA5" s="11">
        <v>19</v>
      </c>
      <c r="AB5" s="11">
        <v>20</v>
      </c>
    </row>
    <row r="6" spans="2:28">
      <c r="B6" s="4"/>
      <c r="C6" s="4"/>
      <c r="D6" s="4"/>
      <c r="E6" s="5"/>
      <c r="F6" s="5"/>
      <c r="G6" s="5"/>
      <c r="H6" s="5" t="s">
        <v>126</v>
      </c>
      <c r="I6" s="11" t="s">
        <v>127</v>
      </c>
      <c r="J6" s="11" t="s">
        <v>127</v>
      </c>
      <c r="K6" s="11" t="s">
        <v>127</v>
      </c>
      <c r="L6" s="11" t="s">
        <v>127</v>
      </c>
      <c r="M6" s="11" t="s">
        <v>127</v>
      </c>
      <c r="N6" s="11" t="s">
        <v>128</v>
      </c>
      <c r="O6" s="11" t="s">
        <v>128</v>
      </c>
      <c r="P6" s="11" t="s">
        <v>128</v>
      </c>
      <c r="Q6" s="11" t="s">
        <v>128</v>
      </c>
      <c r="R6" s="11" t="s">
        <v>128</v>
      </c>
      <c r="S6" s="11" t="s">
        <v>129</v>
      </c>
      <c r="T6" s="11" t="s">
        <v>129</v>
      </c>
      <c r="U6" s="11" t="s">
        <v>129</v>
      </c>
      <c r="V6" s="11" t="s">
        <v>129</v>
      </c>
      <c r="W6" s="11" t="s">
        <v>129</v>
      </c>
      <c r="X6" s="11" t="s">
        <v>130</v>
      </c>
      <c r="Y6" s="11" t="s">
        <v>130</v>
      </c>
      <c r="Z6" s="11" t="s">
        <v>130</v>
      </c>
      <c r="AA6" s="11" t="s">
        <v>130</v>
      </c>
      <c r="AB6" s="11" t="s">
        <v>130</v>
      </c>
    </row>
    <row r="7" spans="2:28"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2:28">
      <c r="B8" s="5" t="s">
        <v>131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2:28"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2:28"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2:28">
      <c r="E11" s="17" t="s">
        <v>13</v>
      </c>
      <c r="F11" s="17"/>
      <c r="H11" s="17"/>
      <c r="I11" s="173" t="s">
        <v>18</v>
      </c>
      <c r="J11" s="173" t="s">
        <v>18</v>
      </c>
      <c r="K11" s="173" t="s">
        <v>18</v>
      </c>
      <c r="L11" s="173" t="s">
        <v>18</v>
      </c>
      <c r="M11" s="173" t="s">
        <v>18</v>
      </c>
      <c r="N11" s="173" t="s">
        <v>18</v>
      </c>
      <c r="O11" s="173" t="s">
        <v>132</v>
      </c>
      <c r="P11" s="173" t="s">
        <v>19</v>
      </c>
      <c r="Q11" s="173" t="s">
        <v>19</v>
      </c>
      <c r="R11" s="173" t="s">
        <v>19</v>
      </c>
      <c r="S11" s="173"/>
      <c r="T11" s="173"/>
      <c r="U11" s="173"/>
      <c r="V11" s="173"/>
      <c r="W11" s="173"/>
      <c r="X11" s="173"/>
      <c r="Y11" s="173"/>
      <c r="Z11" s="173"/>
      <c r="AA11" s="173"/>
      <c r="AB11" s="173"/>
    </row>
    <row r="12" spans="2:28">
      <c r="C12" s="30"/>
      <c r="D12" s="18"/>
      <c r="E12" s="214" t="s">
        <v>133</v>
      </c>
      <c r="F12" s="214" t="s">
        <v>134</v>
      </c>
      <c r="G12" s="18"/>
      <c r="H12" s="18"/>
      <c r="I12" s="217" t="s">
        <v>135</v>
      </c>
      <c r="J12" s="217"/>
      <c r="K12" s="217"/>
      <c r="L12" s="217"/>
      <c r="M12" s="217"/>
      <c r="N12" s="216" t="s">
        <v>136</v>
      </c>
      <c r="O12" s="216"/>
      <c r="P12" s="216"/>
      <c r="Q12" s="216"/>
      <c r="R12" s="216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spans="2:28">
      <c r="C13" s="30"/>
      <c r="D13" s="18"/>
      <c r="E13" s="18"/>
      <c r="F13" s="214" t="s">
        <v>137</v>
      </c>
      <c r="G13" s="18"/>
      <c r="H13" s="18"/>
      <c r="I13" s="217"/>
      <c r="J13" s="217"/>
      <c r="K13" s="217"/>
      <c r="L13" s="217"/>
      <c r="M13" s="217"/>
      <c r="N13" s="216"/>
      <c r="O13" s="216"/>
      <c r="P13" s="216"/>
      <c r="Q13" s="216"/>
      <c r="R13" s="216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2:28">
      <c r="C14" s="30"/>
      <c r="D14" s="18"/>
      <c r="E14" s="18"/>
      <c r="F14" s="214" t="s">
        <v>138</v>
      </c>
      <c r="G14" s="18"/>
      <c r="H14" s="18"/>
      <c r="I14" s="217"/>
      <c r="J14" s="217"/>
      <c r="K14" s="217"/>
      <c r="L14" s="217"/>
      <c r="M14" s="217"/>
      <c r="N14" s="1131" t="s">
        <v>139</v>
      </c>
      <c r="O14" s="1015"/>
      <c r="P14" s="1015"/>
      <c r="Q14" s="1015"/>
      <c r="R14" s="1015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spans="2:28">
      <c r="C15" s="30"/>
      <c r="D15" s="18"/>
      <c r="E15" s="18"/>
      <c r="F15" s="214" t="s">
        <v>96</v>
      </c>
      <c r="G15" s="18"/>
      <c r="H15" s="18"/>
      <c r="I15" s="217"/>
      <c r="J15" s="217"/>
      <c r="K15" s="217"/>
      <c r="L15" s="217"/>
      <c r="M15" s="217"/>
      <c r="N15" s="1132" t="s">
        <v>140</v>
      </c>
      <c r="O15" s="1016"/>
      <c r="P15" s="1016"/>
      <c r="Q15" s="1016"/>
      <c r="R15" s="1016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spans="2:28">
      <c r="C16" s="30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spans="1:29">
      <c r="C17" s="30"/>
      <c r="D17" s="18"/>
      <c r="E17" s="17" t="s">
        <v>5</v>
      </c>
      <c r="F17" s="18"/>
      <c r="G17" s="18"/>
      <c r="H17" s="18"/>
      <c r="I17" s="173" t="s">
        <v>18</v>
      </c>
      <c r="J17" s="173" t="s">
        <v>18</v>
      </c>
      <c r="K17" s="173" t="s">
        <v>18</v>
      </c>
      <c r="L17" s="173" t="s">
        <v>18</v>
      </c>
      <c r="M17" s="173" t="s">
        <v>18</v>
      </c>
      <c r="N17" s="173" t="s">
        <v>19</v>
      </c>
      <c r="O17" s="173" t="s">
        <v>19</v>
      </c>
      <c r="P17" s="173" t="s">
        <v>19</v>
      </c>
      <c r="Q17" s="173" t="s">
        <v>19</v>
      </c>
      <c r="R17" s="173" t="s">
        <v>19</v>
      </c>
      <c r="S17" s="173"/>
      <c r="T17" s="173"/>
      <c r="U17" s="173"/>
      <c r="V17" s="173"/>
      <c r="W17" s="173"/>
      <c r="X17" s="173"/>
      <c r="Y17" s="173"/>
      <c r="Z17" s="173"/>
      <c r="AA17" s="173"/>
      <c r="AB17" s="173"/>
    </row>
    <row r="18" spans="1:29">
      <c r="C18" s="30"/>
      <c r="D18" s="18"/>
      <c r="E18" s="214" t="s">
        <v>133</v>
      </c>
      <c r="F18" s="18"/>
      <c r="G18" s="18"/>
      <c r="H18" s="18"/>
      <c r="I18" s="217" t="s">
        <v>135</v>
      </c>
      <c r="J18" s="217"/>
      <c r="K18" s="217"/>
      <c r="L18" s="217"/>
      <c r="M18" s="217"/>
      <c r="N18" s="216" t="s">
        <v>141</v>
      </c>
      <c r="O18" s="216"/>
      <c r="P18" s="216"/>
      <c r="Q18" s="216"/>
      <c r="R18" s="216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spans="1:29">
      <c r="C19" s="30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214" t="s">
        <v>142</v>
      </c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spans="1:29">
      <c r="C20" s="30"/>
      <c r="D20" s="18"/>
      <c r="E20" s="17" t="s">
        <v>105</v>
      </c>
      <c r="F20" s="18"/>
      <c r="G20" s="18"/>
      <c r="H20" s="18"/>
      <c r="I20" s="173" t="s">
        <v>18</v>
      </c>
      <c r="J20" s="173" t="s">
        <v>18</v>
      </c>
      <c r="K20" s="173" t="s">
        <v>18</v>
      </c>
      <c r="L20" s="173" t="s">
        <v>18</v>
      </c>
      <c r="M20" s="173" t="s">
        <v>18</v>
      </c>
      <c r="N20" s="173" t="s">
        <v>19</v>
      </c>
      <c r="O20" s="173" t="s">
        <v>19</v>
      </c>
      <c r="P20" s="173" t="s">
        <v>19</v>
      </c>
      <c r="Q20" s="173" t="s">
        <v>19</v>
      </c>
      <c r="R20" s="173" t="s">
        <v>19</v>
      </c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spans="1:29">
      <c r="C21" s="30"/>
      <c r="D21" s="18"/>
      <c r="E21" s="214" t="s">
        <v>133</v>
      </c>
      <c r="F21" s="18"/>
      <c r="G21" s="18"/>
      <c r="H21" s="18"/>
      <c r="I21" s="217" t="s">
        <v>135</v>
      </c>
      <c r="J21" s="217"/>
      <c r="K21" s="217"/>
      <c r="L21" s="217"/>
      <c r="M21" s="217"/>
      <c r="N21" s="216" t="s">
        <v>143</v>
      </c>
      <c r="O21" s="216"/>
      <c r="P21" s="216"/>
      <c r="Q21" s="216"/>
      <c r="R21" s="216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spans="1:29"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9">
      <c r="B23" s="5" t="s">
        <v>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9">
      <c r="I24" s="3"/>
      <c r="J24" s="3"/>
      <c r="K24" s="3"/>
      <c r="L24" s="3"/>
      <c r="M24" s="39" t="s">
        <v>144</v>
      </c>
      <c r="N24" s="1580">
        <v>-5.0000000000000001E-3</v>
      </c>
      <c r="O24" s="1580">
        <v>1.6E-2</v>
      </c>
      <c r="P24" s="1580">
        <v>1.9E-2</v>
      </c>
      <c r="Q24" s="1580">
        <v>0.02</v>
      </c>
      <c r="R24" s="1580">
        <v>0.02</v>
      </c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s="7" customFormat="1" ht="13.5" thickBot="1">
      <c r="A25" s="3"/>
      <c r="B25" s="3"/>
      <c r="C25" s="6" t="s">
        <v>112</v>
      </c>
      <c r="F25" s="1179" t="s">
        <v>145</v>
      </c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3"/>
    </row>
    <row r="26" spans="1:29">
      <c r="C26" s="3" t="s">
        <v>146</v>
      </c>
      <c r="E26" s="3" t="s">
        <v>43</v>
      </c>
      <c r="F26" s="1541">
        <v>2017</v>
      </c>
      <c r="I26" s="37">
        <v>0</v>
      </c>
      <c r="J26" s="37">
        <v>-2E-3</v>
      </c>
      <c r="K26" s="37">
        <v>3.0000000000000001E-3</v>
      </c>
      <c r="L26" s="37">
        <v>7.0000000000000001E-3</v>
      </c>
      <c r="M26" s="37">
        <v>8.9999999999999993E-3</v>
      </c>
      <c r="N26" s="37">
        <v>0</v>
      </c>
      <c r="O26" s="37">
        <v>1.6E-2</v>
      </c>
      <c r="P26" s="37">
        <v>1.9E-2</v>
      </c>
      <c r="Q26" s="37">
        <v>0.02</v>
      </c>
      <c r="R26" s="37">
        <v>0.02</v>
      </c>
      <c r="S26" s="37"/>
      <c r="T26" s="37"/>
      <c r="U26" s="37"/>
      <c r="V26" s="37"/>
      <c r="W26" s="37"/>
      <c r="X26" s="37"/>
      <c r="Y26" s="37"/>
      <c r="Z26" s="37"/>
      <c r="AA26" s="37"/>
      <c r="AB26" s="37"/>
    </row>
    <row r="27" spans="1:29">
      <c r="C27" s="3" t="s">
        <v>147</v>
      </c>
      <c r="E27" s="3" t="s">
        <v>64</v>
      </c>
      <c r="I27" s="23">
        <f t="shared" ref="I27:R27" si="0">IF(I$4=$F$26,100,IF(I$4&gt;$F$26,H27*(1+I26),J27*(1-J26)))</f>
        <v>99.8994</v>
      </c>
      <c r="J27" s="23">
        <f t="shared" si="0"/>
        <v>99.7</v>
      </c>
      <c r="K27" s="23">
        <f t="shared" si="0"/>
        <v>100</v>
      </c>
      <c r="L27" s="23">
        <f t="shared" si="0"/>
        <v>100.69999999999999</v>
      </c>
      <c r="M27" s="23">
        <f t="shared" si="0"/>
        <v>101.60629999999998</v>
      </c>
      <c r="N27" s="23">
        <f t="shared" si="0"/>
        <v>101.60629999999998</v>
      </c>
      <c r="O27" s="23">
        <f t="shared" si="0"/>
        <v>103.23200079999998</v>
      </c>
      <c r="P27" s="23">
        <f t="shared" si="0"/>
        <v>105.19340881519997</v>
      </c>
      <c r="Q27" s="23">
        <f t="shared" si="0"/>
        <v>107.29727699150398</v>
      </c>
      <c r="R27" s="23">
        <f t="shared" si="0"/>
        <v>109.44322253133406</v>
      </c>
    </row>
    <row r="29" spans="1:29">
      <c r="C29" s="3" t="s">
        <v>148</v>
      </c>
      <c r="E29" s="3" t="s">
        <v>43</v>
      </c>
      <c r="I29" s="37">
        <v>0</v>
      </c>
      <c r="J29" s="37">
        <v>-2E-3</v>
      </c>
      <c r="K29" s="37">
        <v>3.0000000000000001E-3</v>
      </c>
      <c r="L29" s="37">
        <v>7.0000000000000001E-3</v>
      </c>
      <c r="M29" s="37">
        <v>8.9999999999999993E-3</v>
      </c>
      <c r="N29" s="37">
        <v>-5.0000000000000001E-3</v>
      </c>
      <c r="O29" s="37">
        <v>1.6E-2</v>
      </c>
      <c r="P29" s="37">
        <v>1.9E-2</v>
      </c>
      <c r="Q29" s="37">
        <v>0.02</v>
      </c>
      <c r="R29" s="37">
        <v>0.02</v>
      </c>
      <c r="S29" s="37"/>
      <c r="T29" s="37"/>
      <c r="U29" s="37"/>
      <c r="V29" s="37"/>
      <c r="W29" s="37"/>
      <c r="X29" s="37"/>
      <c r="Y29" s="37"/>
      <c r="Z29" s="37"/>
      <c r="AA29" s="37"/>
      <c r="AB29" s="37"/>
    </row>
    <row r="31" spans="1:29" ht="13.5" thickBot="1">
      <c r="C31" s="6" t="s">
        <v>22</v>
      </c>
      <c r="D31" s="7"/>
      <c r="E31" s="7"/>
      <c r="F31" s="1179" t="s">
        <v>149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9">
      <c r="C32" s="30" t="s">
        <v>102</v>
      </c>
      <c r="D32" s="18"/>
      <c r="E32" s="18"/>
      <c r="F32" s="1641" t="str">
        <f>'DUC &amp; UR'!F6</f>
        <v>Base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</row>
    <row r="33" spans="3:28">
      <c r="C33" s="3" t="s">
        <v>150</v>
      </c>
      <c r="E33" s="154" t="s">
        <v>103</v>
      </c>
      <c r="I33" s="149">
        <v>4182.45</v>
      </c>
      <c r="J33" s="149">
        <v>4467.5950000000003</v>
      </c>
      <c r="K33" s="149">
        <v>4465.2529999999997</v>
      </c>
      <c r="L33" s="149">
        <v>4549.8827233000011</v>
      </c>
      <c r="M33" s="149">
        <v>4640.8595650000007</v>
      </c>
      <c r="N33" s="149">
        <v>1988.2902946000002</v>
      </c>
      <c r="O33" s="149">
        <v>2072</v>
      </c>
      <c r="P33" s="149">
        <v>3202</v>
      </c>
      <c r="Q33" s="149">
        <v>4039</v>
      </c>
      <c r="R33" s="149">
        <v>4726</v>
      </c>
      <c r="S33" s="149"/>
      <c r="T33" s="149"/>
      <c r="U33" s="149"/>
      <c r="V33" s="149"/>
      <c r="W33" s="149"/>
      <c r="X33" s="149"/>
      <c r="Y33" s="149"/>
      <c r="Z33" s="149"/>
      <c r="AA33" s="149"/>
      <c r="AB33" s="149"/>
    </row>
    <row r="34" spans="3:28">
      <c r="C34" s="3" t="s">
        <v>24</v>
      </c>
      <c r="E34" s="154" t="s">
        <v>103</v>
      </c>
      <c r="I34" s="149">
        <v>149.863</v>
      </c>
      <c r="J34" s="149">
        <v>163.30528635600001</v>
      </c>
      <c r="K34" s="149">
        <v>171.66498065517399</v>
      </c>
      <c r="L34" s="149">
        <v>182.71100000000001</v>
      </c>
      <c r="M34" s="149">
        <v>187.70944677700001</v>
      </c>
      <c r="N34" s="149">
        <v>70.511440283846895</v>
      </c>
      <c r="O34" s="149">
        <v>77</v>
      </c>
      <c r="P34" s="149">
        <v>136</v>
      </c>
      <c r="Q34" s="149">
        <v>163</v>
      </c>
      <c r="R34" s="149">
        <v>188</v>
      </c>
      <c r="S34" s="149"/>
      <c r="T34" s="149"/>
      <c r="U34" s="149"/>
      <c r="V34" s="149"/>
      <c r="W34" s="149"/>
      <c r="X34" s="149"/>
      <c r="Y34" s="149"/>
      <c r="Z34" s="149"/>
      <c r="AA34" s="149"/>
      <c r="AB34" s="149"/>
    </row>
    <row r="35" spans="3:28">
      <c r="C35" s="17" t="s">
        <v>151</v>
      </c>
      <c r="E35" s="154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3:28">
      <c r="C36" s="3" t="s">
        <v>150</v>
      </c>
      <c r="E36" s="154" t="s">
        <v>103</v>
      </c>
      <c r="I36" s="149">
        <v>4182.45</v>
      </c>
      <c r="J36" s="149">
        <v>4467.5950000000003</v>
      </c>
      <c r="K36" s="149">
        <v>4465.2529999999997</v>
      </c>
      <c r="L36" s="149">
        <v>4549.8827233000011</v>
      </c>
      <c r="M36" s="149">
        <v>4640.8595650000007</v>
      </c>
      <c r="N36" s="149">
        <v>1988.2902946000002</v>
      </c>
      <c r="O36" s="1633">
        <v>2072</v>
      </c>
      <c r="P36" s="1635">
        <f t="shared" ref="P36:R37" si="1">P33*INDEX($D$60:$D$62,MATCH($F$32,$C$60:$C$62,0))</f>
        <v>3202</v>
      </c>
      <c r="Q36" s="1636">
        <f t="shared" si="1"/>
        <v>4039</v>
      </c>
      <c r="R36" s="1637">
        <f t="shared" si="1"/>
        <v>4726</v>
      </c>
      <c r="S36" s="1634"/>
      <c r="T36" s="149"/>
      <c r="U36" s="149"/>
      <c r="V36" s="149"/>
      <c r="W36" s="149"/>
      <c r="X36" s="149"/>
      <c r="Y36" s="149"/>
      <c r="Z36" s="149"/>
      <c r="AA36" s="149"/>
      <c r="AB36" s="149"/>
    </row>
    <row r="37" spans="3:28">
      <c r="C37" s="3" t="s">
        <v>24</v>
      </c>
      <c r="E37" s="154" t="s">
        <v>103</v>
      </c>
      <c r="I37" s="149">
        <v>149.863</v>
      </c>
      <c r="J37" s="149">
        <v>163.30528635600001</v>
      </c>
      <c r="K37" s="149">
        <v>171.66498065517399</v>
      </c>
      <c r="L37" s="149">
        <v>182.71100000000001</v>
      </c>
      <c r="M37" s="149">
        <v>187.70944677700001</v>
      </c>
      <c r="N37" s="149">
        <v>70.511440283846895</v>
      </c>
      <c r="O37" s="1633">
        <v>77</v>
      </c>
      <c r="P37" s="1638">
        <f t="shared" si="1"/>
        <v>136</v>
      </c>
      <c r="Q37" s="1639">
        <f t="shared" si="1"/>
        <v>163</v>
      </c>
      <c r="R37" s="1640">
        <f t="shared" si="1"/>
        <v>188</v>
      </c>
      <c r="S37" s="1634"/>
      <c r="T37" s="149"/>
      <c r="U37" s="149"/>
      <c r="V37" s="149"/>
      <c r="W37" s="149"/>
      <c r="X37" s="149"/>
      <c r="Y37" s="149"/>
      <c r="Z37" s="149"/>
      <c r="AA37" s="149"/>
      <c r="AB37" s="149"/>
    </row>
    <row r="39" spans="3:28" ht="13.5" thickBot="1">
      <c r="C39" s="6" t="s">
        <v>152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3:28">
      <c r="E40" s="3" t="s">
        <v>153</v>
      </c>
      <c r="I40" s="149">
        <v>127</v>
      </c>
      <c r="J40" s="149">
        <v>127</v>
      </c>
      <c r="K40" s="149">
        <v>127</v>
      </c>
      <c r="L40" s="149">
        <v>127</v>
      </c>
      <c r="M40" s="149">
        <v>127</v>
      </c>
      <c r="N40" s="149">
        <v>127</v>
      </c>
      <c r="O40" s="149">
        <v>127</v>
      </c>
      <c r="P40" s="149">
        <v>127</v>
      </c>
      <c r="Q40" s="149">
        <v>127</v>
      </c>
      <c r="R40" s="149">
        <v>127</v>
      </c>
      <c r="S40" s="192"/>
      <c r="T40" s="192"/>
      <c r="U40" s="192"/>
      <c r="V40" s="192"/>
      <c r="W40" s="192"/>
      <c r="X40" s="192"/>
      <c r="Y40" s="192"/>
      <c r="Z40" s="192"/>
      <c r="AA40" s="192"/>
      <c r="AB40" s="192"/>
    </row>
    <row r="42" spans="3:28" ht="13.5" thickBot="1">
      <c r="C42" s="6" t="s">
        <v>154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1669" t="s">
        <v>16</v>
      </c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3:28">
      <c r="C43" s="3" t="s">
        <v>23</v>
      </c>
      <c r="E43" s="3" t="s">
        <v>43</v>
      </c>
      <c r="O43" s="244">
        <v>1.2009999999999998</v>
      </c>
      <c r="P43" s="244">
        <v>-0.38500000000000001</v>
      </c>
      <c r="Q43" s="244">
        <v>-0.13200000000000001</v>
      </c>
      <c r="R43" s="244">
        <v>-0.115</v>
      </c>
    </row>
    <row r="45" spans="3:28" ht="13.5" thickBot="1">
      <c r="C45" s="6" t="s">
        <v>155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3:28">
      <c r="C46" s="3" t="s">
        <v>23</v>
      </c>
      <c r="E46" s="3" t="s">
        <v>156</v>
      </c>
      <c r="F46" s="3" t="s">
        <v>35</v>
      </c>
      <c r="I46" s="149">
        <v>29.629807586431951</v>
      </c>
      <c r="J46" s="149">
        <v>29.759277833500505</v>
      </c>
      <c r="K46" s="149">
        <v>29.54</v>
      </c>
      <c r="L46" s="149">
        <v>27.497517378351542</v>
      </c>
      <c r="M46" s="149">
        <v>27.675449258559762</v>
      </c>
    </row>
    <row r="47" spans="3:28">
      <c r="C47" s="3" t="s">
        <v>24</v>
      </c>
      <c r="E47" s="3" t="s">
        <v>156</v>
      </c>
      <c r="F47" s="3" t="s">
        <v>35</v>
      </c>
      <c r="I47" s="149">
        <v>157.07984137141165</v>
      </c>
      <c r="J47" s="149">
        <v>180.177243767313</v>
      </c>
      <c r="K47" s="149">
        <v>171.68704737245201</v>
      </c>
      <c r="L47" s="149">
        <v>151.75449538752201</v>
      </c>
      <c r="M47" s="149">
        <v>150.43984114129299</v>
      </c>
    </row>
    <row r="50" spans="2:28">
      <c r="B50" s="5" t="s">
        <v>157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2" spans="2:28">
      <c r="C52" s="173" t="s">
        <v>13</v>
      </c>
      <c r="D52" s="173">
        <v>1</v>
      </c>
    </row>
    <row r="53" spans="2:28">
      <c r="C53" s="173" t="s">
        <v>5</v>
      </c>
      <c r="D53" s="173">
        <v>2</v>
      </c>
    </row>
    <row r="54" spans="2:28">
      <c r="C54" s="173" t="s">
        <v>105</v>
      </c>
      <c r="D54" s="173">
        <v>3</v>
      </c>
    </row>
    <row r="55" spans="2:28">
      <c r="C55" s="173" t="s">
        <v>12</v>
      </c>
      <c r="D55" s="173">
        <v>4</v>
      </c>
    </row>
    <row r="57" spans="2:28">
      <c r="C57" s="173" t="s">
        <v>35</v>
      </c>
    </row>
    <row r="58" spans="2:28">
      <c r="C58" s="173" t="s">
        <v>27</v>
      </c>
    </row>
    <row r="60" spans="2:28">
      <c r="C60" s="173" t="s">
        <v>158</v>
      </c>
      <c r="D60" s="176">
        <v>1.1000000000000001</v>
      </c>
      <c r="E60" s="173">
        <v>3</v>
      </c>
    </row>
    <row r="61" spans="2:28">
      <c r="C61" s="173" t="s">
        <v>102</v>
      </c>
      <c r="D61" s="176">
        <v>1</v>
      </c>
      <c r="E61" s="173">
        <v>2</v>
      </c>
    </row>
    <row r="62" spans="2:28">
      <c r="C62" s="173" t="s">
        <v>159</v>
      </c>
      <c r="D62" s="176">
        <v>0.9</v>
      </c>
      <c r="E62" s="173">
        <v>1</v>
      </c>
    </row>
    <row r="64" spans="2:28">
      <c r="B64" s="5" t="s">
        <v>60</v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</sheetData>
  <dataValidations disablePrompts="1" count="1">
    <dataValidation type="list" allowBlank="1" showInputMessage="1" showErrorMessage="1" sqref="F26" xr:uid="{0E1FA8CB-2E40-4C82-9E6F-1525756EEEE4}">
      <formula1>$I$4:$AB$4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B8"/>
  <sheetViews>
    <sheetView workbookViewId="0">
      <selection activeCell="B8" sqref="B8"/>
    </sheetView>
  </sheetViews>
  <sheetFormatPr defaultColWidth="8.81640625" defaultRowHeight="14.5"/>
  <cols>
    <col min="1" max="16384" width="8.81640625" style="1"/>
  </cols>
  <sheetData>
    <row r="8" spans="2:2" ht="26">
      <c r="B8" s="2" t="s">
        <v>160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DB0D7-E4F3-431E-AD04-79267A89F49A}">
  <sheetPr>
    <tabColor theme="9" tint="0.59999389629810485"/>
  </sheetPr>
  <dimension ref="A1:CT3037"/>
  <sheetViews>
    <sheetView zoomScale="85" zoomScaleNormal="85" workbookViewId="0">
      <pane ySplit="6" topLeftCell="A7" activePane="bottomLeft" state="frozen"/>
      <selection activeCell="L51" sqref="L51"/>
      <selection pane="bottomLeft" activeCell="K649" sqref="K649"/>
    </sheetView>
  </sheetViews>
  <sheetFormatPr defaultColWidth="0" defaultRowHeight="13" zeroHeight="1" outlineLevelRow="2" outlineLevelCol="1"/>
  <cols>
    <col min="1" max="1" width="1.453125" style="1071" customWidth="1"/>
    <col min="2" max="2" width="3.26953125" style="1071" customWidth="1"/>
    <col min="3" max="3" width="36" style="1071" customWidth="1"/>
    <col min="4" max="4" width="38" style="1071" customWidth="1"/>
    <col min="5" max="5" width="10.54296875" style="1071" bestFit="1" customWidth="1"/>
    <col min="6" max="6" width="15.7265625" style="1071" bestFit="1" customWidth="1"/>
    <col min="7" max="7" width="13.7265625" style="1071" bestFit="1" customWidth="1"/>
    <col min="8" max="8" width="13" style="1071" customWidth="1"/>
    <col min="9" max="9" width="11.81640625" style="1071" customWidth="1"/>
    <col min="10" max="10" width="11.54296875" style="1071" bestFit="1" customWidth="1"/>
    <col min="11" max="11" width="11.54296875" style="1071" customWidth="1"/>
    <col min="12" max="12" width="15.26953125" style="1071" bestFit="1" customWidth="1"/>
    <col min="13" max="15" width="5.7265625" style="1071" customWidth="1" outlineLevel="1"/>
    <col min="16" max="16" width="7.1796875" style="1071" customWidth="1" outlineLevel="1"/>
    <col min="17" max="17" width="5.7265625" style="1071" customWidth="1" outlineLevel="1"/>
    <col min="18" max="18" width="5.81640625" style="1071" customWidth="1" outlineLevel="1"/>
    <col min="19" max="19" width="5.7265625" style="1071" customWidth="1" outlineLevel="1"/>
    <col min="20" max="20" width="6.7265625" style="1071" customWidth="1" outlineLevel="1"/>
    <col min="21" max="23" width="5.7265625" style="1071" customWidth="1" outlineLevel="1"/>
    <col min="24" max="24" width="5.81640625" style="1071" customWidth="1" outlineLevel="1"/>
    <col min="25" max="29" width="5.7265625" style="1071" customWidth="1" outlineLevel="1"/>
    <col min="30" max="30" width="5.81640625" style="1071" customWidth="1" outlineLevel="1"/>
    <col min="31" max="35" width="5.7265625" style="1071" customWidth="1" outlineLevel="1"/>
    <col min="36" max="36" width="5.81640625" style="1071" customWidth="1" outlineLevel="1"/>
    <col min="37" max="38" width="5.7265625" style="1071" customWidth="1" outlineLevel="1"/>
    <col min="39" max="39" width="6.453125" style="1071" customWidth="1" outlineLevel="1"/>
    <col min="40" max="40" width="7.453125" style="1071" customWidth="1" outlineLevel="1"/>
    <col min="41" max="41" width="6.453125" style="1071" customWidth="1" outlineLevel="1"/>
    <col min="42" max="44" width="6.81640625" style="1071" customWidth="1" outlineLevel="1"/>
    <col min="45" max="47" width="7.453125" style="1071" customWidth="1" outlineLevel="1"/>
    <col min="48" max="48" width="6.81640625" style="1071" customWidth="1" outlineLevel="1"/>
    <col min="49" max="49" width="11.81640625" style="1071" customWidth="1" outlineLevel="1"/>
    <col min="50" max="50" width="6.26953125" style="1071" customWidth="1" outlineLevel="1"/>
    <col min="51" max="51" width="11.1796875" style="1071" customWidth="1" outlineLevel="1"/>
    <col min="52" max="52" width="11.81640625" style="1071" customWidth="1"/>
    <col min="53" max="61" width="11.54296875" style="1099" bestFit="1" customWidth="1"/>
    <col min="62" max="62" width="14" style="1099" customWidth="1"/>
    <col min="63" max="63" width="3.26953125" style="1071" customWidth="1"/>
    <col min="64" max="66" width="0" style="1071" hidden="1" customWidth="1"/>
    <col min="67" max="67" width="6" style="1071" hidden="1" customWidth="1"/>
    <col min="68" max="68" width="5" style="1071" hidden="1" customWidth="1"/>
    <col min="69" max="69" width="2.54296875" style="1071" hidden="1" customWidth="1"/>
    <col min="70" max="70" width="4.7265625" style="1071" hidden="1" customWidth="1"/>
    <col min="71" max="71" width="3" style="1071" hidden="1" customWidth="1"/>
    <col min="72" max="72" width="6" style="1071" hidden="1" customWidth="1"/>
    <col min="73" max="79" width="0" style="1071" hidden="1" customWidth="1"/>
    <col min="80" max="80" width="6" style="1071" hidden="1" customWidth="1"/>
    <col min="81" max="81" width="5" style="1071" hidden="1" customWidth="1"/>
    <col min="82" max="82" width="2.54296875" style="1071" hidden="1" customWidth="1"/>
    <col min="83" max="83" width="4.7265625" style="1071" hidden="1" customWidth="1"/>
    <col min="84" max="84" width="3" style="1071" hidden="1" customWidth="1"/>
    <col min="85" max="85" width="6" style="1071" hidden="1" customWidth="1"/>
    <col min="86" max="91" width="0" style="1071" hidden="1" customWidth="1"/>
    <col min="92" max="92" width="6" style="1071" hidden="1" customWidth="1"/>
    <col min="93" max="98" width="0" style="1071" hidden="1" customWidth="1"/>
    <col min="99" max="16384" width="8.81640625" style="1071" hidden="1"/>
  </cols>
  <sheetData>
    <row r="1" spans="2:62" ht="9" customHeight="1">
      <c r="BA1" s="1071"/>
      <c r="BB1" s="1071"/>
      <c r="BC1" s="1071"/>
      <c r="BD1" s="1071"/>
      <c r="BE1" s="1071"/>
      <c r="BF1" s="1071"/>
      <c r="BG1" s="1071"/>
      <c r="BH1" s="1071"/>
      <c r="BI1" s="1071"/>
      <c r="BJ1" s="1071"/>
    </row>
    <row r="2" spans="2:62">
      <c r="B2" s="1072"/>
      <c r="C2" s="1072"/>
      <c r="D2" s="1072"/>
      <c r="E2" s="1072"/>
      <c r="F2" s="1072"/>
      <c r="G2" s="1072"/>
      <c r="H2" s="1072"/>
      <c r="I2" s="1072"/>
      <c r="J2" s="1073"/>
      <c r="K2" s="1073"/>
      <c r="L2" s="1073" t="s">
        <v>161</v>
      </c>
      <c r="M2" s="1073"/>
      <c r="N2" s="1073"/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  <c r="AS2" s="1073"/>
      <c r="AT2" s="1073"/>
      <c r="AU2" s="1073"/>
      <c r="AV2" s="1073"/>
      <c r="AW2" s="1073"/>
      <c r="AX2" s="1073"/>
      <c r="AY2" s="1073"/>
      <c r="AZ2" s="1073" t="s">
        <v>120</v>
      </c>
      <c r="BA2" s="1074">
        <v>42005</v>
      </c>
      <c r="BB2" s="1074">
        <v>42370</v>
      </c>
      <c r="BC2" s="1074">
        <v>42736</v>
      </c>
      <c r="BD2" s="1074">
        <v>43101</v>
      </c>
      <c r="BE2" s="1074">
        <v>43466</v>
      </c>
      <c r="BF2" s="1074">
        <v>43831</v>
      </c>
      <c r="BG2" s="1074">
        <v>44197</v>
      </c>
      <c r="BH2" s="1074">
        <v>44562</v>
      </c>
      <c r="BI2" s="1074">
        <v>44927</v>
      </c>
      <c r="BJ2" s="1074">
        <v>45292</v>
      </c>
    </row>
    <row r="3" spans="2:62">
      <c r="B3" s="1072"/>
      <c r="C3" s="1075" t="s">
        <v>121</v>
      </c>
      <c r="D3" s="1072"/>
      <c r="E3" s="1072"/>
      <c r="F3" s="1072"/>
      <c r="G3" s="1072"/>
      <c r="H3" s="1072"/>
      <c r="I3" s="1072"/>
      <c r="J3" s="1073"/>
      <c r="K3" s="1073"/>
      <c r="L3" s="1076" t="s">
        <v>162</v>
      </c>
      <c r="M3" s="1073"/>
      <c r="N3" s="1073"/>
      <c r="O3" s="1073"/>
      <c r="P3" s="1073"/>
      <c r="Q3" s="1073"/>
      <c r="R3" s="1073"/>
      <c r="S3" s="1073"/>
      <c r="T3" s="1073"/>
      <c r="U3" s="1073"/>
      <c r="V3" s="1073"/>
      <c r="W3" s="1073"/>
      <c r="X3" s="1073"/>
      <c r="Y3" s="1073"/>
      <c r="Z3" s="1073"/>
      <c r="AA3" s="1073"/>
      <c r="AB3" s="1073"/>
      <c r="AC3" s="1073"/>
      <c r="AD3" s="1073"/>
      <c r="AE3" s="1073"/>
      <c r="AF3" s="1073"/>
      <c r="AG3" s="1073"/>
      <c r="AH3" s="1073"/>
      <c r="AI3" s="1073"/>
      <c r="AJ3" s="1073"/>
      <c r="AK3" s="1073"/>
      <c r="AL3" s="1073"/>
      <c r="AM3" s="1073"/>
      <c r="AN3" s="1073"/>
      <c r="AO3" s="1073"/>
      <c r="AP3" s="1073"/>
      <c r="AQ3" s="1073"/>
      <c r="AR3" s="1073"/>
      <c r="AS3" s="1073"/>
      <c r="AT3" s="1073"/>
      <c r="AU3" s="1073"/>
      <c r="AV3" s="1073"/>
      <c r="AW3" s="1073"/>
      <c r="AX3" s="1073"/>
      <c r="AY3" s="1073"/>
      <c r="AZ3" s="1073" t="s">
        <v>122</v>
      </c>
      <c r="BA3" s="1074">
        <v>42369</v>
      </c>
      <c r="BB3" s="1074">
        <v>42735</v>
      </c>
      <c r="BC3" s="1074">
        <v>43100</v>
      </c>
      <c r="BD3" s="1074">
        <v>43465</v>
      </c>
      <c r="BE3" s="1074">
        <v>43830</v>
      </c>
      <c r="BF3" s="1074">
        <v>44196</v>
      </c>
      <c r="BG3" s="1074">
        <v>44561</v>
      </c>
      <c r="BH3" s="1074">
        <v>44926</v>
      </c>
      <c r="BI3" s="1074">
        <v>45291</v>
      </c>
      <c r="BJ3" s="1074">
        <v>45657</v>
      </c>
    </row>
    <row r="4" spans="2:62">
      <c r="B4" s="1072"/>
      <c r="C4" s="1542" t="s">
        <v>123</v>
      </c>
      <c r="D4" s="1072"/>
      <c r="E4" s="1072"/>
      <c r="F4" s="1072"/>
      <c r="G4" s="1072"/>
      <c r="H4" s="1072"/>
      <c r="I4" s="1072"/>
      <c r="J4" s="1073"/>
      <c r="K4" s="1073"/>
      <c r="L4" s="1073"/>
      <c r="M4" s="1073" t="s">
        <v>163</v>
      </c>
      <c r="N4" s="1073"/>
      <c r="O4" s="1073"/>
      <c r="P4" s="1073"/>
      <c r="Q4" s="1073"/>
      <c r="R4" s="1073"/>
      <c r="S4" s="1073"/>
      <c r="T4" s="1073"/>
      <c r="U4" s="1073"/>
      <c r="V4" s="1073"/>
      <c r="W4" s="1073"/>
      <c r="X4" s="1073"/>
      <c r="Y4" s="1073"/>
      <c r="Z4" s="1073"/>
      <c r="AA4" s="1073"/>
      <c r="AB4" s="1073"/>
      <c r="AC4" s="1073"/>
      <c r="AD4" s="1073"/>
      <c r="AE4" s="1073"/>
      <c r="AF4" s="1073"/>
      <c r="AG4" s="1073"/>
      <c r="AH4" s="1073"/>
      <c r="AI4" s="1073"/>
      <c r="AJ4" s="1073"/>
      <c r="AK4" s="1073"/>
      <c r="AL4" s="1073"/>
      <c r="AM4" s="1073"/>
      <c r="AN4" s="1073"/>
      <c r="AO4" s="1073"/>
      <c r="AP4" s="1073"/>
      <c r="AQ4" s="1073"/>
      <c r="AR4" s="1073"/>
      <c r="AS4" s="1073"/>
      <c r="AT4" s="1073"/>
      <c r="AU4" s="1073"/>
      <c r="AV4" s="1073"/>
      <c r="AW4" s="1073"/>
      <c r="AX4" s="1073"/>
      <c r="AY4" s="1073"/>
      <c r="AZ4" s="1073" t="s">
        <v>124</v>
      </c>
      <c r="BA4" s="1077">
        <v>2015</v>
      </c>
      <c r="BB4" s="1077">
        <v>2016</v>
      </c>
      <c r="BC4" s="1077">
        <v>2017</v>
      </c>
      <c r="BD4" s="1077">
        <v>2018</v>
      </c>
      <c r="BE4" s="1077">
        <v>2019</v>
      </c>
      <c r="BF4" s="1077">
        <v>2020</v>
      </c>
      <c r="BG4" s="1077">
        <v>2021</v>
      </c>
      <c r="BH4" s="1077">
        <v>2022</v>
      </c>
      <c r="BI4" s="1077">
        <v>2023</v>
      </c>
      <c r="BJ4" s="1077">
        <v>2024</v>
      </c>
    </row>
    <row r="5" spans="2:62">
      <c r="B5" s="1072"/>
      <c r="C5" s="1073" t="s">
        <v>164</v>
      </c>
      <c r="D5" s="1072"/>
      <c r="E5" s="1072"/>
      <c r="F5" s="1072"/>
      <c r="G5" s="1072"/>
      <c r="H5" s="1072"/>
      <c r="I5" s="1072"/>
      <c r="J5" s="1073"/>
      <c r="K5" s="1073"/>
      <c r="L5" s="1073"/>
      <c r="M5" s="1073"/>
      <c r="N5" s="1073"/>
      <c r="O5" s="1073"/>
      <c r="P5" s="1073"/>
      <c r="Q5" s="1073"/>
      <c r="R5" s="1073"/>
      <c r="S5" s="1073"/>
      <c r="T5" s="1073"/>
      <c r="U5" s="1073"/>
      <c r="V5" s="1073"/>
      <c r="W5" s="1073"/>
      <c r="X5" s="1073"/>
      <c r="Y5" s="1073"/>
      <c r="Z5" s="1073"/>
      <c r="AA5" s="1073"/>
      <c r="AB5" s="1073"/>
      <c r="AC5" s="1073"/>
      <c r="AD5" s="1073"/>
      <c r="AE5" s="1073"/>
      <c r="AF5" s="1073"/>
      <c r="AG5" s="1073"/>
      <c r="AH5" s="1073"/>
      <c r="AI5" s="1073"/>
      <c r="AJ5" s="1073"/>
      <c r="AK5" s="1073"/>
      <c r="AL5" s="1073"/>
      <c r="AM5" s="1073"/>
      <c r="AN5" s="1073"/>
      <c r="AO5" s="1073"/>
      <c r="AP5" s="1073"/>
      <c r="AQ5" s="1073"/>
      <c r="AR5" s="1073"/>
      <c r="AS5" s="1073"/>
      <c r="AT5" s="1073"/>
      <c r="AU5" s="1073"/>
      <c r="AV5" s="1073"/>
      <c r="AW5" s="1073"/>
      <c r="AX5" s="1073"/>
      <c r="AY5" s="1073"/>
      <c r="AZ5" s="1073" t="s">
        <v>125</v>
      </c>
      <c r="BA5" s="1077">
        <v>1</v>
      </c>
      <c r="BB5" s="1077">
        <v>2</v>
      </c>
      <c r="BC5" s="1077">
        <v>3</v>
      </c>
      <c r="BD5" s="1077">
        <v>4</v>
      </c>
      <c r="BE5" s="1077">
        <v>5</v>
      </c>
      <c r="BF5" s="1077">
        <v>6</v>
      </c>
      <c r="BG5" s="1077">
        <v>7</v>
      </c>
      <c r="BH5" s="1077">
        <v>8</v>
      </c>
      <c r="BI5" s="1077">
        <v>9</v>
      </c>
      <c r="BJ5" s="1077">
        <v>10</v>
      </c>
    </row>
    <row r="6" spans="2:62">
      <c r="B6" s="1072"/>
      <c r="C6" s="1073" t="s">
        <v>165</v>
      </c>
      <c r="D6" s="1073" t="s">
        <v>166</v>
      </c>
      <c r="E6" s="1073" t="s">
        <v>167</v>
      </c>
      <c r="F6" s="1073" t="s">
        <v>124</v>
      </c>
      <c r="G6" s="1073" t="s">
        <v>67</v>
      </c>
      <c r="H6" s="1073" t="s">
        <v>10</v>
      </c>
      <c r="I6" s="1073" t="s">
        <v>168</v>
      </c>
      <c r="J6" s="1073" t="s">
        <v>169</v>
      </c>
      <c r="K6" s="1073"/>
      <c r="L6" s="1073"/>
      <c r="M6" s="1073" t="s">
        <v>170</v>
      </c>
      <c r="N6" s="1073"/>
      <c r="O6" s="1073"/>
      <c r="P6" s="1073"/>
      <c r="Q6" s="1073"/>
      <c r="R6" s="1073"/>
      <c r="S6" s="1073" t="s">
        <v>171</v>
      </c>
      <c r="T6" s="1073"/>
      <c r="U6" s="1073"/>
      <c r="V6" s="1073"/>
      <c r="W6" s="1073"/>
      <c r="X6" s="1073"/>
      <c r="Y6" s="1073" t="s">
        <v>172</v>
      </c>
      <c r="Z6" s="1073"/>
      <c r="AA6" s="1073"/>
      <c r="AB6" s="1073"/>
      <c r="AC6" s="1073"/>
      <c r="AD6" s="1073"/>
      <c r="AE6" s="1073" t="s">
        <v>173</v>
      </c>
      <c r="AF6" s="1073"/>
      <c r="AG6" s="1073"/>
      <c r="AH6" s="1073"/>
      <c r="AI6" s="1073"/>
      <c r="AJ6" s="1073"/>
      <c r="AK6" s="1073" t="s">
        <v>174</v>
      </c>
      <c r="AL6" s="1073"/>
      <c r="AM6" s="1073"/>
      <c r="AN6" s="1073"/>
      <c r="AO6" s="1073"/>
      <c r="AP6" s="1073"/>
      <c r="AQ6" s="1073" t="s">
        <v>175</v>
      </c>
      <c r="AR6" s="1073"/>
      <c r="AS6" s="1073"/>
      <c r="AT6" s="1073"/>
      <c r="AU6" s="1073"/>
      <c r="AV6" s="1073"/>
      <c r="AW6" s="1073" t="s">
        <v>176</v>
      </c>
      <c r="AX6" s="1073"/>
      <c r="AY6" s="1073" t="s">
        <v>177</v>
      </c>
      <c r="AZ6" s="1073" t="s">
        <v>126</v>
      </c>
      <c r="BA6" s="1077" t="s">
        <v>127</v>
      </c>
      <c r="BB6" s="1077" t="s">
        <v>127</v>
      </c>
      <c r="BC6" s="1077" t="s">
        <v>127</v>
      </c>
      <c r="BD6" s="1077" t="s">
        <v>127</v>
      </c>
      <c r="BE6" s="1077" t="s">
        <v>127</v>
      </c>
      <c r="BF6" s="1077" t="s">
        <v>128</v>
      </c>
      <c r="BG6" s="1077" t="s">
        <v>128</v>
      </c>
      <c r="BH6" s="1077" t="s">
        <v>128</v>
      </c>
      <c r="BI6" s="1077" t="s">
        <v>128</v>
      </c>
      <c r="BJ6" s="1077" t="s">
        <v>128</v>
      </c>
    </row>
    <row r="7" spans="2:62">
      <c r="BA7" s="1078"/>
      <c r="BB7" s="1078"/>
      <c r="BC7" s="1078"/>
      <c r="BD7" s="1078"/>
      <c r="BE7" s="1078"/>
      <c r="BF7" s="1078"/>
      <c r="BG7" s="1078"/>
      <c r="BH7" s="1078"/>
      <c r="BI7" s="1078"/>
      <c r="BJ7" s="1078"/>
    </row>
    <row r="8" spans="2:62">
      <c r="B8" s="1073" t="s">
        <v>178</v>
      </c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2"/>
      <c r="N8" s="1072"/>
      <c r="O8" s="1072"/>
      <c r="P8" s="1072"/>
      <c r="Q8" s="1072"/>
      <c r="R8" s="1072"/>
      <c r="S8" s="1072"/>
      <c r="T8" s="1072"/>
      <c r="U8" s="1072"/>
      <c r="V8" s="1072"/>
      <c r="W8" s="1072"/>
      <c r="X8" s="1072"/>
      <c r="Y8" s="1072"/>
      <c r="Z8" s="1072"/>
      <c r="AA8" s="1072"/>
      <c r="AB8" s="1072"/>
      <c r="AC8" s="1072"/>
      <c r="AD8" s="1072"/>
      <c r="AE8" s="1072"/>
      <c r="AF8" s="1072"/>
      <c r="AG8" s="1072"/>
      <c r="AH8" s="1072"/>
      <c r="AI8" s="1072"/>
      <c r="AJ8" s="1072"/>
      <c r="AK8" s="1072"/>
      <c r="AL8" s="1072"/>
      <c r="AM8" s="1072"/>
      <c r="AN8" s="1072"/>
      <c r="AO8" s="1072"/>
      <c r="AP8" s="1072"/>
      <c r="AQ8" s="1072"/>
      <c r="AR8" s="1072"/>
      <c r="AS8" s="1072"/>
      <c r="AT8" s="1072"/>
      <c r="AU8" s="1072"/>
      <c r="AV8" s="1072"/>
      <c r="AW8" s="1072"/>
      <c r="AX8" s="1072"/>
      <c r="AY8" s="1072"/>
      <c r="AZ8" s="1072"/>
      <c r="BA8" s="1079"/>
      <c r="BB8" s="1079"/>
      <c r="BC8" s="1079"/>
      <c r="BD8" s="1079"/>
      <c r="BE8" s="1079"/>
      <c r="BF8" s="1079"/>
      <c r="BG8" s="1079"/>
      <c r="BH8" s="1079"/>
      <c r="BI8" s="1079"/>
      <c r="BJ8" s="1079"/>
    </row>
    <row r="9" spans="2:62">
      <c r="BA9" s="1080"/>
      <c r="BB9" s="1080"/>
      <c r="BC9" s="1080"/>
      <c r="BD9" s="1080"/>
      <c r="BE9" s="1080"/>
      <c r="BF9" s="1080"/>
      <c r="BG9" s="1080"/>
      <c r="BH9" s="1080"/>
      <c r="BI9" s="1080"/>
      <c r="BJ9" s="1080"/>
    </row>
    <row r="10" spans="2:62" outlineLevel="1">
      <c r="BA10" s="1071"/>
      <c r="BB10" s="1071"/>
      <c r="BC10" s="1071"/>
      <c r="BD10" s="1071"/>
      <c r="BE10" s="1071"/>
      <c r="BF10" s="1071"/>
      <c r="BG10" s="1071"/>
      <c r="BH10" s="1071"/>
      <c r="BI10" s="1071"/>
      <c r="BJ10" s="1071"/>
    </row>
    <row r="11" spans="2:62" outlineLevel="1">
      <c r="C11" s="1136" t="s">
        <v>179</v>
      </c>
      <c r="D11" s="1133"/>
      <c r="E11" s="1133"/>
      <c r="F11" s="1133"/>
      <c r="G11" s="1133"/>
      <c r="H11" s="1133"/>
      <c r="I11" s="1133"/>
      <c r="J11" s="1133"/>
      <c r="K11" s="1133"/>
      <c r="L11" s="1133"/>
      <c r="M11" s="1133"/>
      <c r="N11" s="1133"/>
      <c r="O11" s="1133"/>
      <c r="P11" s="1133"/>
      <c r="Q11" s="1133"/>
      <c r="R11" s="1133"/>
      <c r="S11" s="1133"/>
      <c r="T11" s="1133"/>
      <c r="U11" s="1133"/>
      <c r="V11" s="1133"/>
      <c r="W11" s="1133"/>
      <c r="X11" s="1133"/>
      <c r="Y11" s="1133"/>
      <c r="Z11" s="1133"/>
      <c r="AA11" s="1133"/>
      <c r="AB11" s="1133"/>
      <c r="AC11" s="1133"/>
      <c r="AD11" s="1133"/>
      <c r="AE11" s="1133"/>
      <c r="AF11" s="1133"/>
      <c r="AG11" s="1133"/>
      <c r="AH11" s="1133"/>
      <c r="AI11" s="1133"/>
      <c r="AJ11" s="1133"/>
      <c r="AK11" s="1133"/>
      <c r="AL11" s="1133"/>
      <c r="AM11" s="1133"/>
      <c r="AN11" s="1133"/>
      <c r="AO11" s="1133"/>
      <c r="AP11" s="1133"/>
      <c r="AQ11" s="1133"/>
      <c r="AR11" s="1133"/>
      <c r="AS11" s="1133"/>
      <c r="AT11" s="1133"/>
      <c r="AU11" s="1133"/>
      <c r="AV11" s="1133"/>
      <c r="AW11" s="1133"/>
      <c r="AX11" s="1133"/>
      <c r="AY11" s="1133"/>
      <c r="AZ11" s="1133"/>
      <c r="BA11" s="1134"/>
      <c r="BB11" s="1134"/>
      <c r="BC11" s="1134"/>
      <c r="BD11" s="1134"/>
      <c r="BE11" s="1134"/>
      <c r="BF11" s="1134"/>
      <c r="BG11" s="1134"/>
      <c r="BH11" s="1134"/>
      <c r="BI11" s="1134"/>
      <c r="BJ11" s="1134"/>
    </row>
    <row r="12" spans="2:62" outlineLevel="1">
      <c r="C12" s="1133"/>
      <c r="D12" s="1133"/>
      <c r="E12" s="1133"/>
      <c r="F12" s="1133"/>
      <c r="G12" s="1133"/>
      <c r="H12" s="1133"/>
      <c r="I12" s="1133"/>
      <c r="J12" s="1133"/>
      <c r="K12" s="1133"/>
      <c r="L12" s="1133"/>
      <c r="M12" s="1133"/>
      <c r="N12" s="1133"/>
      <c r="O12" s="1133"/>
      <c r="P12" s="1133"/>
      <c r="Q12" s="1133"/>
      <c r="R12" s="1133"/>
      <c r="S12" s="1133"/>
      <c r="T12" s="1133"/>
      <c r="U12" s="1133"/>
      <c r="V12" s="1133"/>
      <c r="W12" s="1133"/>
      <c r="X12" s="1133"/>
      <c r="Y12" s="1133"/>
      <c r="Z12" s="1133"/>
      <c r="AA12" s="1133"/>
      <c r="AB12" s="1133"/>
      <c r="AC12" s="1133"/>
      <c r="AD12" s="1133"/>
      <c r="AE12" s="1133"/>
      <c r="AF12" s="1133"/>
      <c r="AG12" s="1133"/>
      <c r="AH12" s="1133"/>
      <c r="AI12" s="1133"/>
      <c r="AJ12" s="1133"/>
      <c r="AK12" s="1133"/>
      <c r="AL12" s="1133"/>
      <c r="AM12" s="1133"/>
      <c r="AN12" s="1133"/>
      <c r="AO12" s="1133"/>
      <c r="AP12" s="1133"/>
      <c r="AQ12" s="1133"/>
      <c r="AR12" s="1133"/>
      <c r="AS12" s="1133"/>
      <c r="AT12" s="1133"/>
      <c r="AU12" s="1133"/>
      <c r="AV12" s="1133"/>
      <c r="AW12" s="1133"/>
      <c r="AX12" s="1133"/>
      <c r="AY12" s="1133"/>
      <c r="AZ12" s="1133"/>
      <c r="BA12" s="1134"/>
      <c r="BB12" s="1134"/>
      <c r="BC12" s="1134"/>
      <c r="BD12" s="1134"/>
      <c r="BE12" s="1134"/>
      <c r="BF12" s="1134"/>
      <c r="BG12" s="1134"/>
      <c r="BH12" s="1134"/>
      <c r="BI12" s="1134"/>
      <c r="BJ12" s="1134"/>
    </row>
    <row r="13" spans="2:62" outlineLevel="1">
      <c r="C13" s="1172" t="s">
        <v>180</v>
      </c>
      <c r="D13" s="1081"/>
      <c r="E13" s="1081"/>
      <c r="F13" s="1081"/>
      <c r="G13" s="1081"/>
      <c r="H13" s="1081"/>
      <c r="I13" s="1081"/>
      <c r="J13" s="1081"/>
      <c r="K13" s="1081"/>
      <c r="L13" s="1081"/>
      <c r="M13" s="1081"/>
      <c r="N13" s="1081"/>
      <c r="O13" s="1081"/>
      <c r="P13" s="1081"/>
      <c r="Q13" s="1081"/>
      <c r="R13" s="1081"/>
      <c r="S13" s="1081"/>
      <c r="T13" s="1081"/>
      <c r="U13" s="1081"/>
      <c r="V13" s="1081"/>
      <c r="W13" s="1081"/>
      <c r="X13" s="1081"/>
      <c r="Y13" s="1081"/>
      <c r="Z13" s="1081"/>
      <c r="AA13" s="1081"/>
      <c r="AB13" s="1081"/>
      <c r="AC13" s="1081"/>
      <c r="AD13" s="1081"/>
      <c r="AE13" s="1081"/>
      <c r="AF13" s="1081"/>
      <c r="AG13" s="1081"/>
      <c r="AH13" s="1081"/>
      <c r="AI13" s="1081"/>
      <c r="AJ13" s="1081"/>
      <c r="AK13" s="1081"/>
      <c r="AL13" s="1081"/>
      <c r="AM13" s="1081"/>
      <c r="AN13" s="1081"/>
      <c r="AO13" s="1081"/>
      <c r="AP13" s="1081"/>
      <c r="AQ13" s="1081"/>
      <c r="AR13" s="1081"/>
      <c r="AS13" s="1081"/>
      <c r="AT13" s="1081"/>
      <c r="AU13" s="1081"/>
      <c r="AV13" s="1081"/>
      <c r="AW13" s="1081"/>
      <c r="AX13" s="1081"/>
      <c r="AY13" s="1081"/>
      <c r="AZ13" s="1081"/>
      <c r="BA13" s="1082"/>
      <c r="BB13" s="1082"/>
      <c r="BC13" s="1082"/>
      <c r="BD13" s="1082"/>
      <c r="BE13" s="1082"/>
      <c r="BF13" s="1082"/>
      <c r="BG13" s="1082"/>
      <c r="BH13" s="1082"/>
      <c r="BI13" s="1082"/>
      <c r="BJ13" s="1082"/>
    </row>
    <row r="14" spans="2:62" outlineLevel="1">
      <c r="C14" s="1173" t="s">
        <v>181</v>
      </c>
      <c r="H14" s="1083" t="s">
        <v>29</v>
      </c>
      <c r="BA14" s="1071"/>
      <c r="BB14" s="1071"/>
      <c r="BC14" s="1071"/>
      <c r="BD14" s="1071"/>
      <c r="BE14" s="1085">
        <v>34715.439395620102</v>
      </c>
      <c r="BF14" s="1581">
        <f>BE14-BF15</f>
        <v>26164.867169999969</v>
      </c>
      <c r="BG14" s="1581">
        <f>BF14-BG15</f>
        <v>18184.605129963158</v>
      </c>
      <c r="BH14" s="1581">
        <f>BG14-BH15</f>
        <v>11752.391251593068</v>
      </c>
      <c r="BI14" s="1581">
        <f>BH14-BI15</f>
        <v>7222.9651866396143</v>
      </c>
      <c r="BJ14" s="1581">
        <f>BI14-BJ15</f>
        <v>4807.7874448528273</v>
      </c>
    </row>
    <row r="15" spans="2:62" outlineLevel="1">
      <c r="C15" s="1173" t="s">
        <v>31</v>
      </c>
      <c r="H15" s="1083" t="s">
        <v>29</v>
      </c>
      <c r="BA15" s="1071"/>
      <c r="BB15" s="1071"/>
      <c r="BC15" s="1071"/>
      <c r="BD15" s="1071"/>
      <c r="BE15" s="1071"/>
      <c r="BF15" s="1087">
        <v>8550.5722256201316</v>
      </c>
      <c r="BG15" s="1087">
        <v>7980.2620400368105</v>
      </c>
      <c r="BH15" s="1087">
        <v>6432.2138783700902</v>
      </c>
      <c r="BI15" s="1087">
        <v>4529.4260649534535</v>
      </c>
      <c r="BJ15" s="1087">
        <v>2415.1777417867866</v>
      </c>
    </row>
    <row r="16" spans="2:62" ht="8.25" customHeight="1" outlineLevel="1">
      <c r="C16" s="1173"/>
      <c r="BA16" s="1071"/>
      <c r="BB16" s="1071"/>
      <c r="BC16" s="1071"/>
      <c r="BD16" s="1071"/>
      <c r="BE16" s="1071"/>
      <c r="BF16" s="1084"/>
      <c r="BG16" s="1084"/>
      <c r="BH16" s="1084"/>
      <c r="BI16" s="1084"/>
      <c r="BJ16" s="1084"/>
    </row>
    <row r="17" spans="3:62" outlineLevel="1">
      <c r="C17" s="1172" t="s">
        <v>182</v>
      </c>
      <c r="D17" s="1081"/>
      <c r="E17" s="1081"/>
      <c r="F17" s="1081"/>
      <c r="G17" s="1081"/>
      <c r="H17" s="1081"/>
      <c r="I17" s="1081"/>
      <c r="J17" s="1081"/>
      <c r="K17" s="1081"/>
      <c r="L17" s="1081"/>
      <c r="M17" s="1081"/>
      <c r="N17" s="1081"/>
      <c r="O17" s="1081"/>
      <c r="P17" s="1081"/>
      <c r="Q17" s="1081"/>
      <c r="R17" s="1081"/>
      <c r="S17" s="1081"/>
      <c r="T17" s="1081"/>
      <c r="U17" s="1081"/>
      <c r="V17" s="1081"/>
      <c r="W17" s="1081"/>
      <c r="X17" s="1081"/>
      <c r="Y17" s="1081"/>
      <c r="Z17" s="1081"/>
      <c r="AA17" s="1081"/>
      <c r="AB17" s="1081"/>
      <c r="AC17" s="1081"/>
      <c r="AD17" s="1081"/>
      <c r="AE17" s="1081"/>
      <c r="AF17" s="1081"/>
      <c r="AG17" s="1081"/>
      <c r="AH17" s="1081"/>
      <c r="AI17" s="1081"/>
      <c r="AJ17" s="1081"/>
      <c r="AK17" s="1081"/>
      <c r="AL17" s="1081"/>
      <c r="AM17" s="1081"/>
      <c r="AN17" s="1081"/>
      <c r="AO17" s="1081"/>
      <c r="AP17" s="1081"/>
      <c r="AQ17" s="1081"/>
      <c r="AR17" s="1081"/>
      <c r="AS17" s="1081"/>
      <c r="AT17" s="1081"/>
      <c r="AU17" s="1081"/>
      <c r="AV17" s="1081"/>
      <c r="AW17" s="1081"/>
      <c r="AX17" s="1081"/>
      <c r="AY17" s="1081"/>
      <c r="AZ17" s="1081"/>
      <c r="BA17" s="1081"/>
      <c r="BB17" s="1081"/>
      <c r="BC17" s="1081"/>
      <c r="BD17" s="1081"/>
      <c r="BE17" s="1081"/>
      <c r="BF17" s="1082"/>
      <c r="BG17" s="1082"/>
      <c r="BH17" s="1082"/>
      <c r="BI17" s="1082"/>
      <c r="BJ17" s="1082"/>
    </row>
    <row r="18" spans="3:62" outlineLevel="1">
      <c r="C18" s="1173" t="s">
        <v>181</v>
      </c>
      <c r="H18" s="1083" t="s">
        <v>29</v>
      </c>
      <c r="BA18" s="1071"/>
      <c r="BB18" s="1071"/>
      <c r="BC18" s="1071"/>
      <c r="BD18" s="1071"/>
      <c r="BE18" s="1085">
        <v>23464.723873497602</v>
      </c>
      <c r="BF18" s="1581">
        <f>BE18-BF19</f>
        <v>17345.466655699991</v>
      </c>
      <c r="BG18" s="1581">
        <f>BF18-BG19</f>
        <v>11650.392733198216</v>
      </c>
      <c r="BH18" s="1581">
        <f>BG18-BH19</f>
        <v>7068.5225947048202</v>
      </c>
      <c r="BI18" s="1581">
        <f>BH18-BI19</f>
        <v>3886.7928909797301</v>
      </c>
      <c r="BJ18" s="1581">
        <f>BI18-BJ19</f>
        <v>2409.9491156396407</v>
      </c>
    </row>
    <row r="19" spans="3:62" outlineLevel="1">
      <c r="C19" s="1173" t="s">
        <v>31</v>
      </c>
      <c r="H19" s="1083" t="s">
        <v>29</v>
      </c>
      <c r="BA19" s="1071"/>
      <c r="BB19" s="1071"/>
      <c r="BC19" s="1071"/>
      <c r="BD19" s="1071"/>
      <c r="BE19" s="1071"/>
      <c r="BF19" s="1086">
        <v>6119.2572177976108</v>
      </c>
      <c r="BG19" s="1086">
        <v>5695.073922501776</v>
      </c>
      <c r="BH19" s="1086">
        <v>4581.8701384933956</v>
      </c>
      <c r="BI19" s="1086">
        <v>3181.7297037250901</v>
      </c>
      <c r="BJ19" s="1086">
        <v>1476.8437753400895</v>
      </c>
    </row>
    <row r="20" spans="3:62" ht="9" customHeight="1" outlineLevel="1">
      <c r="C20" s="1173"/>
      <c r="BA20" s="1071"/>
      <c r="BB20" s="1071"/>
      <c r="BC20" s="1071"/>
      <c r="BD20" s="1071"/>
      <c r="BE20" s="1071"/>
      <c r="BF20" s="1084"/>
      <c r="BG20" s="1084"/>
      <c r="BH20" s="1084"/>
      <c r="BI20" s="1084"/>
      <c r="BJ20" s="1084"/>
    </row>
    <row r="21" spans="3:62" outlineLevel="1">
      <c r="C21" s="1172" t="s">
        <v>183</v>
      </c>
      <c r="D21" s="1081"/>
      <c r="E21" s="1081"/>
      <c r="F21" s="1081"/>
      <c r="G21" s="1081"/>
      <c r="H21" s="1081"/>
      <c r="I21" s="1081"/>
      <c r="J21" s="1081"/>
      <c r="K21" s="1081"/>
      <c r="L21" s="1081"/>
      <c r="M21" s="1081"/>
      <c r="N21" s="1081"/>
      <c r="O21" s="1081"/>
      <c r="P21" s="1081"/>
      <c r="Q21" s="1081"/>
      <c r="R21" s="1081"/>
      <c r="S21" s="1081"/>
      <c r="T21" s="1081"/>
      <c r="U21" s="1081"/>
      <c r="V21" s="1081"/>
      <c r="W21" s="1081"/>
      <c r="X21" s="1081"/>
      <c r="Y21" s="1081"/>
      <c r="Z21" s="1081"/>
      <c r="AA21" s="1081"/>
      <c r="AB21" s="1081"/>
      <c r="AC21" s="1081"/>
      <c r="AD21" s="1081"/>
      <c r="AE21" s="1081"/>
      <c r="AF21" s="1081"/>
      <c r="AG21" s="1081"/>
      <c r="AH21" s="1081"/>
      <c r="AI21" s="1081"/>
      <c r="AJ21" s="1081"/>
      <c r="AK21" s="1081"/>
      <c r="AL21" s="1081"/>
      <c r="AM21" s="1081"/>
      <c r="AN21" s="1081"/>
      <c r="AO21" s="1081"/>
      <c r="AP21" s="1081"/>
      <c r="AQ21" s="1081"/>
      <c r="AR21" s="1081"/>
      <c r="AS21" s="1081"/>
      <c r="AT21" s="1081"/>
      <c r="AU21" s="1081"/>
      <c r="AV21" s="1081"/>
      <c r="AW21" s="1081"/>
      <c r="AX21" s="1081"/>
      <c r="AY21" s="1081"/>
      <c r="AZ21" s="1081"/>
      <c r="BA21" s="1081"/>
      <c r="BB21" s="1081"/>
      <c r="BC21" s="1081"/>
      <c r="BD21" s="1081"/>
      <c r="BE21" s="1081"/>
      <c r="BF21" s="1082"/>
      <c r="BG21" s="1082"/>
      <c r="BH21" s="1082"/>
      <c r="BI21" s="1082"/>
      <c r="BJ21" s="1082"/>
    </row>
    <row r="22" spans="3:62" outlineLevel="1">
      <c r="C22" s="1173" t="s">
        <v>181</v>
      </c>
      <c r="H22" s="1083" t="s">
        <v>29</v>
      </c>
      <c r="BA22" s="1071"/>
      <c r="BB22" s="1071"/>
      <c r="BC22" s="1071"/>
      <c r="BD22" s="1071"/>
      <c r="BE22" s="1085">
        <v>11182.0783129425</v>
      </c>
      <c r="BF22" s="1581">
        <f>BE22-BF23</f>
        <v>8781.8918514999787</v>
      </c>
      <c r="BG22" s="1581">
        <f>BF22-BG23</f>
        <v>6517.7977907449449</v>
      </c>
      <c r="BH22" s="1581">
        <f>BG22-BH23</f>
        <v>4679.0080044482502</v>
      </c>
      <c r="BI22" s="1581">
        <f>BH22-BI23</f>
        <v>3336.1407956598869</v>
      </c>
      <c r="BJ22" s="1581">
        <f>BI22-BJ23</f>
        <v>2397.8383292131903</v>
      </c>
    </row>
    <row r="23" spans="3:62" outlineLevel="1">
      <c r="C23" s="1173" t="s">
        <v>31</v>
      </c>
      <c r="H23" s="1083" t="s">
        <v>29</v>
      </c>
      <c r="BA23" s="1071"/>
      <c r="BB23" s="1071"/>
      <c r="BC23" s="1071"/>
      <c r="BD23" s="1071"/>
      <c r="BE23" s="1071"/>
      <c r="BF23" s="1086">
        <v>2400.1864614425212</v>
      </c>
      <c r="BG23" s="1086">
        <v>2264.0940607550338</v>
      </c>
      <c r="BH23" s="1086">
        <v>1838.7897862966947</v>
      </c>
      <c r="BI23" s="1086">
        <v>1342.8672087883633</v>
      </c>
      <c r="BJ23" s="1086">
        <v>938.30246644669683</v>
      </c>
    </row>
    <row r="24" spans="3:62" outlineLevel="1">
      <c r="C24" s="1173"/>
      <c r="H24" s="1083"/>
      <c r="BA24" s="1071"/>
      <c r="BB24" s="1071"/>
      <c r="BC24" s="1071"/>
      <c r="BD24" s="1071"/>
      <c r="BE24" s="1071"/>
      <c r="BF24" s="1071"/>
      <c r="BG24" s="1071"/>
      <c r="BH24" s="1071"/>
      <c r="BI24" s="1071"/>
      <c r="BJ24" s="1071"/>
    </row>
    <row r="25" spans="3:62" outlineLevel="1">
      <c r="C25" s="1136" t="s">
        <v>184</v>
      </c>
      <c r="D25" s="1133"/>
      <c r="E25" s="1133"/>
      <c r="F25" s="1133"/>
      <c r="G25" s="1133"/>
      <c r="H25" s="1133"/>
      <c r="I25" s="1133"/>
      <c r="J25" s="1133"/>
      <c r="K25" s="1133"/>
      <c r="L25" s="1133"/>
      <c r="M25" s="1133"/>
      <c r="N25" s="1133"/>
      <c r="O25" s="1133"/>
      <c r="P25" s="1133"/>
      <c r="Q25" s="1133"/>
      <c r="R25" s="1133"/>
      <c r="S25" s="1133"/>
      <c r="T25" s="1133"/>
      <c r="U25" s="1133"/>
      <c r="V25" s="1133"/>
      <c r="W25" s="1133"/>
      <c r="X25" s="1133"/>
      <c r="Y25" s="1133"/>
      <c r="Z25" s="1133"/>
      <c r="AA25" s="1133"/>
      <c r="AB25" s="1133"/>
      <c r="AC25" s="1133"/>
      <c r="AD25" s="1133"/>
      <c r="AE25" s="1133"/>
      <c r="AF25" s="1133"/>
      <c r="AG25" s="1133"/>
      <c r="AH25" s="1133"/>
      <c r="AI25" s="1133"/>
      <c r="AJ25" s="1133"/>
      <c r="AK25" s="1133"/>
      <c r="AL25" s="1133"/>
      <c r="AM25" s="1133"/>
      <c r="AN25" s="1133"/>
      <c r="AO25" s="1133"/>
      <c r="AP25" s="1133"/>
      <c r="AQ25" s="1133"/>
      <c r="AR25" s="1133"/>
      <c r="AS25" s="1133"/>
      <c r="AT25" s="1133"/>
      <c r="AU25" s="1133"/>
      <c r="AV25" s="1133"/>
      <c r="AW25" s="1133"/>
      <c r="AX25" s="1133"/>
      <c r="AY25" s="1133"/>
      <c r="AZ25" s="1133"/>
      <c r="BA25" s="1133"/>
      <c r="BB25" s="1133"/>
      <c r="BC25" s="1133"/>
      <c r="BD25" s="1133"/>
      <c r="BE25" s="1133"/>
      <c r="BF25" s="1134"/>
      <c r="BG25" s="1134"/>
      <c r="BH25" s="1134"/>
      <c r="BI25" s="1134"/>
      <c r="BJ25" s="1134"/>
    </row>
    <row r="26" spans="3:62" outlineLevel="1">
      <c r="C26" s="1135"/>
      <c r="D26" s="1133"/>
      <c r="E26" s="1133"/>
      <c r="F26" s="1133"/>
      <c r="G26" s="1133"/>
      <c r="H26" s="1133"/>
      <c r="I26" s="1133"/>
      <c r="J26" s="1133"/>
      <c r="K26" s="1133"/>
      <c r="L26" s="1133"/>
      <c r="M26" s="1133"/>
      <c r="N26" s="1133"/>
      <c r="O26" s="1133"/>
      <c r="P26" s="1133"/>
      <c r="Q26" s="1133"/>
      <c r="R26" s="1133"/>
      <c r="S26" s="1133"/>
      <c r="T26" s="1133"/>
      <c r="U26" s="1133"/>
      <c r="V26" s="1133"/>
      <c r="W26" s="1133"/>
      <c r="X26" s="1133"/>
      <c r="Y26" s="1133"/>
      <c r="Z26" s="1133"/>
      <c r="AA26" s="1133"/>
      <c r="AB26" s="1133"/>
      <c r="AC26" s="1133"/>
      <c r="AD26" s="1133"/>
      <c r="AE26" s="1133"/>
      <c r="AF26" s="1133"/>
      <c r="AG26" s="1133"/>
      <c r="AH26" s="1133"/>
      <c r="AI26" s="1133"/>
      <c r="AJ26" s="1133"/>
      <c r="AK26" s="1133"/>
      <c r="AL26" s="1133"/>
      <c r="AM26" s="1133"/>
      <c r="AN26" s="1133"/>
      <c r="AO26" s="1133"/>
      <c r="AP26" s="1133"/>
      <c r="AQ26" s="1133"/>
      <c r="AR26" s="1133"/>
      <c r="AS26" s="1133"/>
      <c r="AT26" s="1133"/>
      <c r="AU26" s="1133"/>
      <c r="AV26" s="1133"/>
      <c r="AW26" s="1133"/>
      <c r="AX26" s="1133"/>
      <c r="AY26" s="1133"/>
      <c r="AZ26" s="1133"/>
      <c r="BA26" s="1133"/>
      <c r="BB26" s="1133"/>
      <c r="BC26" s="1133"/>
      <c r="BD26" s="1133"/>
      <c r="BE26" s="1133"/>
      <c r="BF26" s="1134"/>
      <c r="BG26" s="1134"/>
      <c r="BH26" s="1134"/>
      <c r="BI26" s="1134"/>
      <c r="BJ26" s="1134"/>
    </row>
    <row r="27" spans="3:62" outlineLevel="1">
      <c r="C27" s="1172" t="s">
        <v>180</v>
      </c>
      <c r="D27" s="1081"/>
      <c r="E27" s="1081"/>
      <c r="F27" s="1081"/>
      <c r="G27" s="1081"/>
      <c r="H27" s="1081"/>
      <c r="I27" s="1081"/>
      <c r="J27" s="1081"/>
      <c r="K27" s="1081"/>
      <c r="L27" s="1081"/>
      <c r="M27" s="1081"/>
      <c r="N27" s="1081"/>
      <c r="O27" s="1081"/>
      <c r="P27" s="1081"/>
      <c r="Q27" s="1081"/>
      <c r="R27" s="1081"/>
      <c r="S27" s="1081"/>
      <c r="T27" s="1081"/>
      <c r="U27" s="1081"/>
      <c r="V27" s="1081"/>
      <c r="W27" s="1081"/>
      <c r="X27" s="1081"/>
      <c r="Y27" s="1081"/>
      <c r="Z27" s="1081"/>
      <c r="AA27" s="1081"/>
      <c r="AB27" s="1081"/>
      <c r="AC27" s="1081"/>
      <c r="AD27" s="1081"/>
      <c r="AE27" s="1081"/>
      <c r="AF27" s="1081"/>
      <c r="AG27" s="1081"/>
      <c r="AH27" s="1081"/>
      <c r="AI27" s="1081"/>
      <c r="AJ27" s="1081"/>
      <c r="AK27" s="1081"/>
      <c r="AL27" s="1081"/>
      <c r="AM27" s="1081"/>
      <c r="AN27" s="1081"/>
      <c r="AO27" s="1081"/>
      <c r="AP27" s="1081"/>
      <c r="AQ27" s="1081"/>
      <c r="AR27" s="1081"/>
      <c r="AS27" s="1081"/>
      <c r="AT27" s="1081"/>
      <c r="AU27" s="1081"/>
      <c r="AV27" s="1081"/>
      <c r="AW27" s="1081"/>
      <c r="AX27" s="1081"/>
      <c r="AY27" s="1081"/>
      <c r="AZ27" s="1081"/>
      <c r="BA27" s="1081"/>
      <c r="BB27" s="1081"/>
      <c r="BC27" s="1081"/>
      <c r="BD27" s="1081"/>
      <c r="BE27" s="1081"/>
      <c r="BF27" s="1082"/>
      <c r="BG27" s="1082"/>
      <c r="BH27" s="1082"/>
      <c r="BI27" s="1082"/>
      <c r="BJ27" s="1082"/>
    </row>
    <row r="28" spans="3:62" outlineLevel="1">
      <c r="C28" s="1173" t="s">
        <v>185</v>
      </c>
      <c r="H28" s="1083" t="s">
        <v>29</v>
      </c>
      <c r="BA28" s="1071"/>
      <c r="BB28" s="1071"/>
      <c r="BC28" s="1071"/>
      <c r="BD28" s="1071"/>
      <c r="BE28" s="1071"/>
      <c r="BF28" s="1087">
        <v>635.60573595833341</v>
      </c>
      <c r="BG28" s="1087">
        <v>956.2826670000004</v>
      </c>
      <c r="BH28" s="1087">
        <v>862.4089992083334</v>
      </c>
      <c r="BI28" s="1087">
        <v>674.11780489583339</v>
      </c>
      <c r="BJ28" s="1087">
        <v>438.10182354166659</v>
      </c>
    </row>
    <row r="29" spans="3:62" outlineLevel="1">
      <c r="C29" s="1173"/>
      <c r="BA29" s="1071"/>
      <c r="BB29" s="1071"/>
      <c r="BC29" s="1071"/>
      <c r="BD29" s="1071"/>
      <c r="BE29" s="1071"/>
      <c r="BF29" s="1084"/>
      <c r="BG29" s="1084"/>
      <c r="BH29" s="1084"/>
      <c r="BI29" s="1084"/>
      <c r="BJ29" s="1084"/>
    </row>
    <row r="30" spans="3:62" outlineLevel="1">
      <c r="C30" s="1172" t="s">
        <v>182</v>
      </c>
      <c r="D30" s="1081"/>
      <c r="E30" s="1081"/>
      <c r="F30" s="1081"/>
      <c r="G30" s="1081"/>
      <c r="H30" s="1081"/>
      <c r="I30" s="1081"/>
      <c r="J30" s="1081"/>
      <c r="K30" s="1081"/>
      <c r="L30" s="1081"/>
      <c r="M30" s="1081"/>
      <c r="N30" s="1081"/>
      <c r="O30" s="1081"/>
      <c r="P30" s="1081"/>
      <c r="Q30" s="1081"/>
      <c r="R30" s="1081"/>
      <c r="S30" s="1081"/>
      <c r="T30" s="1081"/>
      <c r="U30" s="1081"/>
      <c r="V30" s="1081"/>
      <c r="W30" s="1081"/>
      <c r="X30" s="1081"/>
      <c r="Y30" s="1081"/>
      <c r="Z30" s="1081"/>
      <c r="AA30" s="1081"/>
      <c r="AB30" s="1081"/>
      <c r="AC30" s="1081"/>
      <c r="AD30" s="1081"/>
      <c r="AE30" s="1081"/>
      <c r="AF30" s="1081"/>
      <c r="AG30" s="1081"/>
      <c r="AH30" s="1081"/>
      <c r="AI30" s="1081"/>
      <c r="AJ30" s="1081"/>
      <c r="AK30" s="1081"/>
      <c r="AL30" s="1081"/>
      <c r="AM30" s="1081"/>
      <c r="AN30" s="1081"/>
      <c r="AO30" s="1081"/>
      <c r="AP30" s="1081"/>
      <c r="AQ30" s="1081"/>
      <c r="AR30" s="1081"/>
      <c r="AS30" s="1081"/>
      <c r="AT30" s="1081"/>
      <c r="AU30" s="1081"/>
      <c r="AV30" s="1081"/>
      <c r="AW30" s="1081"/>
      <c r="AX30" s="1081"/>
      <c r="AY30" s="1081"/>
      <c r="AZ30" s="1081"/>
      <c r="BA30" s="1081"/>
      <c r="BB30" s="1081"/>
      <c r="BC30" s="1081"/>
      <c r="BD30" s="1081"/>
      <c r="BE30" s="1081"/>
      <c r="BF30" s="1082"/>
      <c r="BG30" s="1082"/>
      <c r="BH30" s="1082"/>
      <c r="BI30" s="1082"/>
      <c r="BJ30" s="1082"/>
    </row>
    <row r="31" spans="3:62" outlineLevel="1">
      <c r="C31" s="1173" t="s">
        <v>185</v>
      </c>
      <c r="H31" s="1083" t="s">
        <v>29</v>
      </c>
      <c r="BA31" s="1071"/>
      <c r="BB31" s="1071"/>
      <c r="BC31" s="1071"/>
      <c r="BD31" s="1071"/>
      <c r="BE31" s="1071"/>
      <c r="BF31" s="1086">
        <v>489.84097759895837</v>
      </c>
      <c r="BG31" s="1086">
        <v>813.62077172916656</v>
      </c>
      <c r="BH31" s="1086">
        <v>744.68967503124986</v>
      </c>
      <c r="BI31" s="1086">
        <v>601.7902575052085</v>
      </c>
      <c r="BJ31" s="1086">
        <v>391.44842878125002</v>
      </c>
    </row>
    <row r="32" spans="3:62" outlineLevel="1">
      <c r="C32" s="1173"/>
      <c r="BA32" s="1071"/>
      <c r="BB32" s="1071"/>
      <c r="BC32" s="1071"/>
      <c r="BD32" s="1071"/>
      <c r="BE32" s="1071"/>
      <c r="BF32" s="1084"/>
      <c r="BG32" s="1084"/>
      <c r="BH32" s="1084"/>
      <c r="BI32" s="1084"/>
      <c r="BJ32" s="1084"/>
    </row>
    <row r="33" spans="2:62" outlineLevel="1">
      <c r="C33" s="1172" t="s">
        <v>183</v>
      </c>
      <c r="D33" s="1081"/>
      <c r="E33" s="1081"/>
      <c r="F33" s="1081"/>
      <c r="G33" s="1081"/>
      <c r="H33" s="1081"/>
      <c r="I33" s="1081"/>
      <c r="J33" s="1081"/>
      <c r="K33" s="1081"/>
      <c r="L33" s="1081"/>
      <c r="M33" s="1081"/>
      <c r="N33" s="1081"/>
      <c r="O33" s="1081"/>
      <c r="P33" s="1081"/>
      <c r="Q33" s="1081"/>
      <c r="R33" s="1081"/>
      <c r="S33" s="1081"/>
      <c r="T33" s="1081"/>
      <c r="U33" s="1081"/>
      <c r="V33" s="1081"/>
      <c r="W33" s="1081"/>
      <c r="X33" s="1081"/>
      <c r="Y33" s="1081"/>
      <c r="Z33" s="1081"/>
      <c r="AA33" s="1081"/>
      <c r="AB33" s="1081"/>
      <c r="AC33" s="1081"/>
      <c r="AD33" s="1081"/>
      <c r="AE33" s="1081"/>
      <c r="AF33" s="1081"/>
      <c r="AG33" s="1081"/>
      <c r="AH33" s="1081"/>
      <c r="AI33" s="1081"/>
      <c r="AJ33" s="1081"/>
      <c r="AK33" s="1081"/>
      <c r="AL33" s="1081"/>
      <c r="AM33" s="1081"/>
      <c r="AN33" s="1081"/>
      <c r="AO33" s="1081"/>
      <c r="AP33" s="1081"/>
      <c r="AQ33" s="1081"/>
      <c r="AR33" s="1081"/>
      <c r="AS33" s="1081"/>
      <c r="AT33" s="1081"/>
      <c r="AU33" s="1081"/>
      <c r="AV33" s="1081"/>
      <c r="AW33" s="1081"/>
      <c r="AX33" s="1081"/>
      <c r="AY33" s="1081"/>
      <c r="AZ33" s="1081"/>
      <c r="BA33" s="1081"/>
      <c r="BB33" s="1081"/>
      <c r="BC33" s="1081"/>
      <c r="BD33" s="1081"/>
      <c r="BE33" s="1081"/>
      <c r="BF33" s="1082"/>
      <c r="BG33" s="1082"/>
      <c r="BH33" s="1082"/>
      <c r="BI33" s="1082"/>
      <c r="BJ33" s="1082"/>
    </row>
    <row r="34" spans="2:62" outlineLevel="1">
      <c r="C34" s="1071" t="s">
        <v>185</v>
      </c>
      <c r="H34" s="1083" t="s">
        <v>29</v>
      </c>
      <c r="BA34" s="1071"/>
      <c r="BB34" s="1071"/>
      <c r="BC34" s="1071"/>
      <c r="BD34" s="1071"/>
      <c r="BE34" s="1071"/>
      <c r="BF34" s="1086">
        <v>128.52237419270833</v>
      </c>
      <c r="BG34" s="1086">
        <v>126.15983777083332</v>
      </c>
      <c r="BH34" s="1086">
        <v>101.21726667708332</v>
      </c>
      <c r="BI34" s="1086">
        <v>65.289993848958304</v>
      </c>
      <c r="BJ34" s="1086">
        <v>46.653394760416653</v>
      </c>
    </row>
    <row r="35" spans="2:62" outlineLevel="1">
      <c r="H35" s="1083"/>
      <c r="BA35" s="1071"/>
      <c r="BB35" s="1071"/>
      <c r="BC35" s="1071"/>
      <c r="BD35" s="1071"/>
      <c r="BE35" s="1071"/>
      <c r="BF35" s="1071"/>
      <c r="BG35" s="1071"/>
      <c r="BH35" s="1071"/>
      <c r="BI35" s="1071"/>
      <c r="BJ35" s="1071"/>
    </row>
    <row r="36" spans="2:62">
      <c r="B36" s="1073" t="s">
        <v>186</v>
      </c>
      <c r="C36" s="1072"/>
      <c r="D36" s="1072"/>
      <c r="E36" s="1072"/>
      <c r="F36" s="1072"/>
      <c r="G36" s="1072"/>
      <c r="H36" s="1072"/>
      <c r="I36" s="1072"/>
      <c r="J36" s="1072"/>
      <c r="K36" s="1072"/>
      <c r="L36" s="1072"/>
      <c r="M36" s="1072"/>
      <c r="N36" s="1072"/>
      <c r="O36" s="1072"/>
      <c r="P36" s="1072"/>
      <c r="Q36" s="1072"/>
      <c r="R36" s="1072"/>
      <c r="S36" s="1072"/>
      <c r="T36" s="1072"/>
      <c r="U36" s="1072"/>
      <c r="V36" s="1072"/>
      <c r="W36" s="1072"/>
      <c r="X36" s="1072"/>
      <c r="Y36" s="1072"/>
      <c r="Z36" s="1072"/>
      <c r="AA36" s="1072"/>
      <c r="AB36" s="1072"/>
      <c r="AC36" s="1072"/>
      <c r="AD36" s="1072"/>
      <c r="AE36" s="1072"/>
      <c r="AF36" s="1072"/>
      <c r="AG36" s="1072"/>
      <c r="AH36" s="1072"/>
      <c r="AI36" s="1072"/>
      <c r="AJ36" s="1072"/>
      <c r="AK36" s="1072"/>
      <c r="AL36" s="1072"/>
      <c r="AM36" s="1072"/>
      <c r="AN36" s="1072"/>
      <c r="AO36" s="1072"/>
      <c r="AP36" s="1072"/>
      <c r="AQ36" s="1072"/>
      <c r="AR36" s="1072"/>
      <c r="AS36" s="1072"/>
      <c r="AT36" s="1072"/>
      <c r="AU36" s="1072"/>
      <c r="AV36" s="1072"/>
      <c r="AW36" s="1072"/>
      <c r="AX36" s="1072"/>
      <c r="AY36" s="1072"/>
      <c r="AZ36" s="1072"/>
      <c r="BA36" s="1079"/>
      <c r="BB36" s="1079"/>
      <c r="BC36" s="1079"/>
      <c r="BD36" s="1079"/>
      <c r="BE36" s="1079"/>
      <c r="BF36" s="1079"/>
      <c r="BG36" s="1079"/>
      <c r="BH36" s="1079"/>
      <c r="BI36" s="1079"/>
      <c r="BJ36" s="1079"/>
    </row>
    <row r="37" spans="2:62">
      <c r="BA37" s="1084"/>
      <c r="BB37" s="1084"/>
      <c r="BC37" s="1084"/>
      <c r="BD37" s="1084"/>
      <c r="BE37" s="1084"/>
      <c r="BF37" s="1084"/>
      <c r="BG37" s="1084"/>
      <c r="BH37" s="1084"/>
      <c r="BI37" s="1084"/>
      <c r="BJ37" s="1084"/>
    </row>
    <row r="38" spans="2:62">
      <c r="B38" s="1088" t="s">
        <v>187</v>
      </c>
      <c r="C38" s="1089"/>
      <c r="D38" s="1089"/>
      <c r="E38" s="1089"/>
      <c r="F38" s="1089"/>
      <c r="G38" s="1089"/>
      <c r="H38" s="1089"/>
      <c r="I38" s="1089"/>
      <c r="J38" s="1089"/>
      <c r="K38" s="1089"/>
      <c r="L38" s="1089"/>
      <c r="M38" s="1089"/>
      <c r="N38" s="1089"/>
      <c r="O38" s="1089"/>
      <c r="P38" s="1089"/>
      <c r="Q38" s="1089"/>
      <c r="R38" s="1089"/>
      <c r="S38" s="1089"/>
      <c r="T38" s="1089"/>
      <c r="U38" s="1089"/>
      <c r="V38" s="1089"/>
      <c r="W38" s="1089"/>
      <c r="X38" s="1089"/>
      <c r="Y38" s="1089"/>
      <c r="Z38" s="1089"/>
      <c r="AA38" s="1089"/>
      <c r="AB38" s="1089"/>
      <c r="AC38" s="1089"/>
      <c r="AD38" s="1089"/>
      <c r="AE38" s="1089"/>
      <c r="AF38" s="1089"/>
      <c r="AG38" s="1089"/>
      <c r="AH38" s="1089"/>
      <c r="AI38" s="1089"/>
      <c r="AJ38" s="1089"/>
      <c r="AK38" s="1089"/>
      <c r="AL38" s="1089"/>
      <c r="AM38" s="1089"/>
      <c r="AN38" s="1089"/>
      <c r="AO38" s="1089"/>
      <c r="AP38" s="1089"/>
      <c r="AQ38" s="1089"/>
      <c r="AR38" s="1089"/>
      <c r="AS38" s="1089"/>
      <c r="AT38" s="1089"/>
      <c r="AU38" s="1089"/>
      <c r="AV38" s="1089"/>
      <c r="AW38" s="1089"/>
      <c r="AX38" s="1089"/>
      <c r="AY38" s="1089"/>
      <c r="AZ38" s="1089"/>
      <c r="BA38" s="1090"/>
      <c r="BB38" s="1090"/>
      <c r="BC38" s="1090"/>
      <c r="BD38" s="1090"/>
      <c r="BE38" s="1090"/>
      <c r="BF38" s="1090"/>
      <c r="BG38" s="1090"/>
      <c r="BH38" s="1090"/>
      <c r="BI38" s="1090"/>
      <c r="BJ38" s="1090"/>
    </row>
    <row r="39" spans="2:62">
      <c r="BA39" s="1084"/>
      <c r="BB39" s="1084"/>
      <c r="BC39" s="1084"/>
      <c r="BD39" s="1084"/>
      <c r="BE39" s="1084"/>
      <c r="BF39" s="1084"/>
      <c r="BG39" s="1084"/>
      <c r="BH39" s="1084"/>
      <c r="BI39" s="1084"/>
      <c r="BJ39" s="1084"/>
    </row>
    <row r="40" spans="2:62">
      <c r="B40" s="1091" t="s">
        <v>53</v>
      </c>
      <c r="C40" s="1091"/>
      <c r="D40" s="1091"/>
      <c r="E40" s="1091"/>
      <c r="F40" s="1092"/>
      <c r="G40" s="1091"/>
      <c r="H40" s="1091"/>
      <c r="I40" s="1091"/>
      <c r="J40" s="1093"/>
      <c r="K40" s="1093"/>
      <c r="L40" s="1093"/>
      <c r="M40" s="1093"/>
      <c r="N40" s="1093"/>
      <c r="O40" s="1093"/>
      <c r="P40" s="1093"/>
      <c r="Q40" s="1093"/>
      <c r="R40" s="1093"/>
      <c r="S40" s="1093"/>
      <c r="T40" s="1093"/>
      <c r="U40" s="1093"/>
      <c r="V40" s="1093"/>
      <c r="W40" s="1093"/>
      <c r="X40" s="1093"/>
      <c r="Y40" s="1093"/>
      <c r="Z40" s="1093"/>
      <c r="AA40" s="1093"/>
      <c r="AB40" s="1093"/>
      <c r="AC40" s="1093"/>
      <c r="AD40" s="1093"/>
      <c r="AE40" s="1093"/>
      <c r="AF40" s="1093"/>
      <c r="AG40" s="1093"/>
      <c r="AH40" s="1093"/>
      <c r="AI40" s="1093"/>
      <c r="AJ40" s="1093"/>
      <c r="AK40" s="1093"/>
      <c r="AL40" s="1093"/>
      <c r="AM40" s="1093"/>
      <c r="AN40" s="1093"/>
      <c r="AO40" s="1093"/>
      <c r="AP40" s="1093"/>
      <c r="AQ40" s="1093"/>
      <c r="AR40" s="1093"/>
      <c r="AS40" s="1093"/>
      <c r="AT40" s="1093"/>
      <c r="AU40" s="1093"/>
      <c r="AV40" s="1093"/>
      <c r="AW40" s="1093"/>
      <c r="AX40" s="1093"/>
      <c r="AY40" s="1093"/>
      <c r="AZ40" s="1093"/>
      <c r="BA40" s="1082"/>
      <c r="BB40" s="1082"/>
      <c r="BC40" s="1082"/>
      <c r="BD40" s="1082"/>
      <c r="BE40" s="1082"/>
      <c r="BF40" s="1082"/>
      <c r="BG40" s="1082"/>
      <c r="BH40" s="1082"/>
      <c r="BI40" s="1082"/>
      <c r="BJ40" s="1082"/>
    </row>
    <row r="41" spans="2:62">
      <c r="BA41" s="1084"/>
      <c r="BB41" s="1084"/>
      <c r="BC41" s="1084"/>
      <c r="BD41" s="1084"/>
      <c r="BE41" s="1084"/>
      <c r="BF41" s="1084"/>
      <c r="BG41" s="1084"/>
      <c r="BH41" s="1084"/>
      <c r="BI41" s="1084"/>
      <c r="BJ41" s="1084"/>
    </row>
    <row r="42" spans="2:62">
      <c r="C42" s="1071" t="s">
        <v>188</v>
      </c>
      <c r="H42" s="1083" t="s">
        <v>29</v>
      </c>
      <c r="M42" s="1099"/>
      <c r="N42" s="1099"/>
      <c r="O42" s="1099"/>
      <c r="P42" s="1099"/>
      <c r="Q42" s="1099"/>
      <c r="S42" s="1099"/>
      <c r="T42" s="1099"/>
      <c r="U42" s="1099"/>
      <c r="V42" s="1099"/>
      <c r="W42" s="1099"/>
      <c r="Y42" s="1099"/>
      <c r="Z42" s="1099"/>
      <c r="AA42" s="1099"/>
      <c r="AB42" s="1099"/>
      <c r="AC42" s="1099"/>
      <c r="AE42" s="1099"/>
      <c r="AF42" s="1099"/>
      <c r="AG42" s="1099"/>
      <c r="AH42" s="1099"/>
      <c r="AI42" s="1099"/>
      <c r="AK42" s="1099"/>
      <c r="AL42" s="1099"/>
      <c r="AM42" s="1099"/>
      <c r="AN42" s="1099"/>
      <c r="AO42" s="1099"/>
      <c r="AQ42" s="1099"/>
      <c r="AR42" s="1099"/>
      <c r="AS42" s="1099"/>
      <c r="AT42" s="1099"/>
      <c r="AU42" s="1099"/>
      <c r="BA42" s="1084"/>
      <c r="BB42" s="1084"/>
      <c r="BC42" s="1084"/>
      <c r="BD42" s="1084"/>
      <c r="BE42" s="1084"/>
      <c r="BF42" s="1103">
        <v>14000</v>
      </c>
      <c r="BG42" s="1103">
        <v>27000</v>
      </c>
      <c r="BH42" s="1103">
        <v>29000</v>
      </c>
      <c r="BI42" s="1103">
        <v>28000</v>
      </c>
      <c r="BJ42" s="1103">
        <v>15000</v>
      </c>
    </row>
    <row r="43" spans="2:62">
      <c r="BA43" s="1084"/>
      <c r="BB43" s="1084"/>
      <c r="BC43" s="1084"/>
      <c r="BD43" s="1084"/>
      <c r="BE43" s="1084"/>
      <c r="BF43" s="1084"/>
      <c r="BG43" s="1084"/>
      <c r="BH43" s="1084"/>
      <c r="BI43" s="1084"/>
      <c r="BJ43" s="1084"/>
    </row>
    <row r="44" spans="2:62">
      <c r="B44" s="1091" t="s">
        <v>189</v>
      </c>
      <c r="C44" s="1091"/>
      <c r="D44" s="1091"/>
      <c r="E44" s="1091"/>
      <c r="F44" s="1092" t="s">
        <v>190</v>
      </c>
      <c r="G44" s="1091"/>
      <c r="H44" s="1091"/>
      <c r="I44" s="1091"/>
      <c r="J44" s="1093"/>
      <c r="K44" s="1093" t="s">
        <v>191</v>
      </c>
      <c r="L44" s="1093"/>
      <c r="M44" s="1093">
        <v>2020</v>
      </c>
      <c r="N44" s="1093">
        <v>2021</v>
      </c>
      <c r="O44" s="1093">
        <v>2022</v>
      </c>
      <c r="P44" s="1093">
        <v>2023</v>
      </c>
      <c r="Q44" s="1093">
        <v>2024</v>
      </c>
      <c r="R44" s="1093"/>
      <c r="S44" s="1093">
        <v>2020</v>
      </c>
      <c r="T44" s="1093">
        <v>2021</v>
      </c>
      <c r="U44" s="1093">
        <v>2022</v>
      </c>
      <c r="V44" s="1093">
        <v>2023</v>
      </c>
      <c r="W44" s="1093">
        <v>2024</v>
      </c>
      <c r="X44" s="1093"/>
      <c r="Y44" s="1093">
        <v>2020</v>
      </c>
      <c r="Z44" s="1093">
        <v>2021</v>
      </c>
      <c r="AA44" s="1093">
        <v>2022</v>
      </c>
      <c r="AB44" s="1093">
        <v>2023</v>
      </c>
      <c r="AC44" s="1093">
        <v>2024</v>
      </c>
      <c r="AD44" s="1093"/>
      <c r="AE44" s="1093">
        <v>2020</v>
      </c>
      <c r="AF44" s="1093">
        <v>2021</v>
      </c>
      <c r="AG44" s="1093">
        <v>2022</v>
      </c>
      <c r="AH44" s="1093">
        <v>2023</v>
      </c>
      <c r="AI44" s="1093">
        <v>2024</v>
      </c>
      <c r="AJ44" s="1093"/>
      <c r="AK44" s="1093">
        <v>2020</v>
      </c>
      <c r="AL44" s="1093">
        <v>2021</v>
      </c>
      <c r="AM44" s="1093">
        <v>2022</v>
      </c>
      <c r="AN44" s="1093">
        <v>2023</v>
      </c>
      <c r="AO44" s="1093">
        <v>2024</v>
      </c>
      <c r="AP44" s="1093"/>
      <c r="AQ44" s="1093">
        <v>2020</v>
      </c>
      <c r="AR44" s="1093">
        <v>2021</v>
      </c>
      <c r="AS44" s="1093">
        <v>2022</v>
      </c>
      <c r="AT44" s="1093">
        <v>2023</v>
      </c>
      <c r="AU44" s="1093">
        <v>2024</v>
      </c>
      <c r="AV44" s="1093"/>
      <c r="AW44" s="1093" t="s">
        <v>176</v>
      </c>
      <c r="AX44" s="1093"/>
      <c r="AY44" s="1093" t="s">
        <v>177</v>
      </c>
      <c r="AZ44" s="1093"/>
      <c r="BA44" s="1082"/>
      <c r="BB44" s="1082"/>
      <c r="BC44" s="1082"/>
      <c r="BD44" s="1082"/>
      <c r="BE44" s="1082"/>
      <c r="BF44" s="1082"/>
      <c r="BG44" s="1082"/>
      <c r="BH44" s="1082"/>
      <c r="BI44" s="1082"/>
      <c r="BJ44" s="1082"/>
    </row>
    <row r="45" spans="2:62" hidden="1" outlineLevel="2">
      <c r="B45" s="1094"/>
      <c r="C45" s="1083" t="s">
        <v>192</v>
      </c>
      <c r="D45" s="1062" t="s">
        <v>79</v>
      </c>
      <c r="E45" s="1083" t="s">
        <v>193</v>
      </c>
      <c r="F45" s="1095">
        <v>2020</v>
      </c>
      <c r="G45" s="1096">
        <f>SUM(BA45:BJ45)</f>
        <v>4827.1379400000005</v>
      </c>
      <c r="H45" s="1083" t="s">
        <v>29</v>
      </c>
      <c r="I45" s="1097">
        <v>20</v>
      </c>
      <c r="J45" s="1098">
        <f>I45*12</f>
        <v>240</v>
      </c>
      <c r="K45" s="153">
        <f>IFERROR(1/I45,0)</f>
        <v>0.05</v>
      </c>
      <c r="L45" s="1099"/>
      <c r="M45" s="1100">
        <v>0.9999997638352135</v>
      </c>
      <c r="N45" s="1101">
        <f>IF($BF45=0,0,IF(SUM($M45:M45)&lt;($J45-12),12,$J45-SUM($M45:M45)))</f>
        <v>12</v>
      </c>
      <c r="O45" s="1101">
        <f>IF($BF45=0,0,IF(SUM($M45:N45)&lt;($J45-12),12,$J45-SUM($M45:N45)))</f>
        <v>12</v>
      </c>
      <c r="P45" s="1101">
        <f>IF($BF45=0,0,IF(SUM($M45:O45)&lt;($J45-12),12,$J45-SUM($M45:O45)))</f>
        <v>12</v>
      </c>
      <c r="Q45" s="1101">
        <f>IF($BF45=0,0,IF(SUM($M45:P45)&lt;($J45-12),12,$J45-SUM($M45:P45)))</f>
        <v>12</v>
      </c>
      <c r="S45" s="1100"/>
      <c r="T45" s="1100">
        <v>0</v>
      </c>
      <c r="U45" s="1101">
        <f>IF($BG45=0,0,IF(SUM($S45:T45)&lt;($J45-12),12,$J45-SUM($S45:T45)))</f>
        <v>0</v>
      </c>
      <c r="V45" s="1101">
        <f>IF($BG45=0,0,IF(SUM($S45:U45)&lt;($J45-12),12,$J45-SUM($S45:U45)))</f>
        <v>0</v>
      </c>
      <c r="W45" s="1101">
        <f>IF($BG45=0,0,IF(SUM($S45:V45)&lt;($J45-12),12,$J45-SUM($S45:V45)))</f>
        <v>0</v>
      </c>
      <c r="Y45" s="1100"/>
      <c r="Z45" s="1100"/>
      <c r="AA45" s="1100">
        <v>0</v>
      </c>
      <c r="AB45" s="1101">
        <f>IF($BH45=0,0,IF(SUM($Y45:AA45)&lt;($J45-12),12,$J45-SUM($Y45:AA45)))</f>
        <v>0</v>
      </c>
      <c r="AC45" s="1101">
        <f>IF($BH45=0,0,IF(SUM($Y45:AB45)&lt;($J45-12),12,$J45-SUM($Y45:AB45)))</f>
        <v>0</v>
      </c>
      <c r="AE45" s="1100"/>
      <c r="AF45" s="1100"/>
      <c r="AG45" s="1100"/>
      <c r="AH45" s="1100">
        <v>0</v>
      </c>
      <c r="AI45" s="1101">
        <f>IF($BI45=0,0,IF(SUM($AE45:AH45)&lt;($J45-12),12,$J45-SUM($AE45:AH45)))</f>
        <v>0</v>
      </c>
      <c r="AK45" s="1100"/>
      <c r="AL45" s="1100"/>
      <c r="AM45" s="1100"/>
      <c r="AN45" s="1100"/>
      <c r="AO45" s="1100">
        <v>0</v>
      </c>
      <c r="AQ45" s="153">
        <f>M45/12</f>
        <v>8.3333313652934463E-2</v>
      </c>
      <c r="AR45" s="153">
        <f>T45/12</f>
        <v>0</v>
      </c>
      <c r="AS45" s="153">
        <f>AA45/12</f>
        <v>0</v>
      </c>
      <c r="AT45" s="153">
        <f>AH45/12</f>
        <v>0</v>
      </c>
      <c r="AU45" s="153">
        <f>AO45/12</f>
        <v>0</v>
      </c>
      <c r="AW45" s="1543">
        <v>1</v>
      </c>
      <c r="AX45" s="1102"/>
      <c r="AY45" s="1544">
        <v>0</v>
      </c>
      <c r="BA45" s="1103">
        <v>0</v>
      </c>
      <c r="BB45" s="1103">
        <v>0</v>
      </c>
      <c r="BC45" s="1103">
        <v>0</v>
      </c>
      <c r="BD45" s="1103">
        <v>0</v>
      </c>
      <c r="BE45" s="1103">
        <v>0</v>
      </c>
      <c r="BF45" s="1103">
        <v>4827.1379400000005</v>
      </c>
      <c r="BG45" s="1103">
        <v>0</v>
      </c>
      <c r="BH45" s="1103">
        <v>0</v>
      </c>
      <c r="BI45" s="1103">
        <v>0</v>
      </c>
      <c r="BJ45" s="1103">
        <v>0</v>
      </c>
    </row>
    <row r="46" spans="2:62" hidden="1" outlineLevel="2">
      <c r="B46" s="1094"/>
      <c r="C46" s="1083" t="s">
        <v>194</v>
      </c>
      <c r="D46" s="1062" t="s">
        <v>79</v>
      </c>
      <c r="E46" s="1083" t="s">
        <v>195</v>
      </c>
      <c r="F46" s="1095">
        <v>2020</v>
      </c>
      <c r="G46" s="1096">
        <f t="shared" ref="G46:G109" si="0">SUM(BA46:BJ46)</f>
        <v>578.85391000000004</v>
      </c>
      <c r="H46" s="1083" t="s">
        <v>29</v>
      </c>
      <c r="I46" s="1097">
        <v>8</v>
      </c>
      <c r="J46" s="1098">
        <f t="shared" ref="J46:J109" si="1">I46*12</f>
        <v>96</v>
      </c>
      <c r="K46" s="153">
        <f t="shared" ref="K46:K109" si="2">IFERROR(1/I46,0)</f>
        <v>0.125</v>
      </c>
      <c r="L46" s="1099"/>
      <c r="M46" s="1100">
        <v>1.0000002936837724</v>
      </c>
      <c r="N46" s="1101">
        <f>IF($BF46=0,0,IF(SUM($M46:M46)&lt;($J46-12),12,$J46-SUM($M46:M46)))</f>
        <v>12</v>
      </c>
      <c r="O46" s="1101">
        <f>IF($BF46=0,0,IF(SUM($M46:N46)&lt;($J46-12),12,$J46-SUM($M46:N46)))</f>
        <v>12</v>
      </c>
      <c r="P46" s="1101">
        <f>IF($BF46=0,0,IF(SUM($M46:O46)&lt;($J46-12),12,$J46-SUM($M46:O46)))</f>
        <v>12</v>
      </c>
      <c r="Q46" s="1101">
        <f>IF($BF46=0,0,IF(SUM($M46:P46)&lt;($J46-12),12,$J46-SUM($M46:P46)))</f>
        <v>12</v>
      </c>
      <c r="S46" s="1100"/>
      <c r="T46" s="1100">
        <v>0</v>
      </c>
      <c r="U46" s="1101">
        <f>IF($BG46=0,0,IF(SUM($S46:T46)&lt;($J46-12),12,$J46-SUM($S46:T46)))</f>
        <v>0</v>
      </c>
      <c r="V46" s="1101">
        <f>IF($BG46=0,0,IF(SUM($S46:U46)&lt;($J46-12),12,$J46-SUM($S46:U46)))</f>
        <v>0</v>
      </c>
      <c r="W46" s="1101">
        <f>IF($BG46=0,0,IF(SUM($S46:V46)&lt;($J46-12),12,$J46-SUM($S46:V46)))</f>
        <v>0</v>
      </c>
      <c r="Y46" s="1100"/>
      <c r="Z46" s="1100"/>
      <c r="AA46" s="1100">
        <v>0</v>
      </c>
      <c r="AB46" s="1101">
        <f>IF($BH46=0,0,IF(SUM($Y46:AA46)&lt;($J46-12),12,$J46-SUM($Y46:AA46)))</f>
        <v>0</v>
      </c>
      <c r="AC46" s="1101">
        <f>IF($BH46=0,0,IF(SUM($Y46:AB46)&lt;($J46-12),12,$J46-SUM($Y46:AB46)))</f>
        <v>0</v>
      </c>
      <c r="AE46" s="1100"/>
      <c r="AF46" s="1100"/>
      <c r="AG46" s="1100"/>
      <c r="AH46" s="1100">
        <v>0</v>
      </c>
      <c r="AI46" s="1101">
        <f>IF($BI46=0,0,IF(SUM($AE46:AH46)&lt;($J46-12),12,$J46-SUM($AE46:AH46)))</f>
        <v>0</v>
      </c>
      <c r="AK46" s="1100"/>
      <c r="AL46" s="1100"/>
      <c r="AM46" s="1100"/>
      <c r="AN46" s="1100"/>
      <c r="AO46" s="1100">
        <v>0</v>
      </c>
      <c r="AQ46" s="153">
        <f t="shared" ref="AQ46:AQ109" si="3">M46/12</f>
        <v>8.3333357806981034E-2</v>
      </c>
      <c r="AR46" s="153">
        <f t="shared" ref="AR46:AR109" si="4">T46/12</f>
        <v>0</v>
      </c>
      <c r="AS46" s="153">
        <f t="shared" ref="AS46:AS109" si="5">AA46/12</f>
        <v>0</v>
      </c>
      <c r="AT46" s="153">
        <f t="shared" ref="AT46:AT109" si="6">AH46/12</f>
        <v>0</v>
      </c>
      <c r="AU46" s="153">
        <f t="shared" ref="AU46:AU109" si="7">AO46/12</f>
        <v>0</v>
      </c>
      <c r="AW46" s="1543">
        <v>1</v>
      </c>
      <c r="AX46" s="1102"/>
      <c r="AY46" s="1544">
        <v>0</v>
      </c>
      <c r="BA46" s="1103">
        <v>0</v>
      </c>
      <c r="BB46" s="1103">
        <v>0</v>
      </c>
      <c r="BC46" s="1103">
        <v>0</v>
      </c>
      <c r="BD46" s="1103">
        <v>0</v>
      </c>
      <c r="BE46" s="1103">
        <v>0</v>
      </c>
      <c r="BF46" s="1103">
        <v>578.85391000000004</v>
      </c>
      <c r="BG46" s="1103">
        <v>0</v>
      </c>
      <c r="BH46" s="1103">
        <v>0</v>
      </c>
      <c r="BI46" s="1103">
        <v>0</v>
      </c>
      <c r="BJ46" s="1103">
        <v>0</v>
      </c>
    </row>
    <row r="47" spans="2:62" hidden="1" outlineLevel="2">
      <c r="B47" s="1094"/>
      <c r="C47" s="1083" t="s">
        <v>196</v>
      </c>
      <c r="D47" s="1062" t="s">
        <v>79</v>
      </c>
      <c r="E47" s="1083" t="s">
        <v>197</v>
      </c>
      <c r="F47" s="1095">
        <v>2020</v>
      </c>
      <c r="G47" s="1096">
        <f t="shared" si="0"/>
        <v>3164.89536</v>
      </c>
      <c r="H47" s="1083" t="s">
        <v>29</v>
      </c>
      <c r="I47" s="1097">
        <v>8</v>
      </c>
      <c r="J47" s="1098">
        <f t="shared" si="1"/>
        <v>96</v>
      </c>
      <c r="K47" s="153">
        <f t="shared" si="2"/>
        <v>0.125</v>
      </c>
      <c r="L47" s="1099"/>
      <c r="M47" s="1100">
        <v>1.0000000000000002</v>
      </c>
      <c r="N47" s="1101">
        <f>IF($BF47=0,0,IF(SUM($M47:M47)&lt;($J47-12),12,$J47-SUM($M47:M47)))</f>
        <v>12</v>
      </c>
      <c r="O47" s="1101">
        <f>IF($BF47=0,0,IF(SUM($M47:N47)&lt;($J47-12),12,$J47-SUM($M47:N47)))</f>
        <v>12</v>
      </c>
      <c r="P47" s="1101">
        <f>IF($BF47=0,0,IF(SUM($M47:O47)&lt;($J47-12),12,$J47-SUM($M47:O47)))</f>
        <v>12</v>
      </c>
      <c r="Q47" s="1101">
        <f>IF($BF47=0,0,IF(SUM($M47:P47)&lt;($J47-12),12,$J47-SUM($M47:P47)))</f>
        <v>12</v>
      </c>
      <c r="S47" s="1100"/>
      <c r="T47" s="1100">
        <v>0</v>
      </c>
      <c r="U47" s="1101">
        <f>IF($BG47=0,0,IF(SUM($S47:T47)&lt;($J47-12),12,$J47-SUM($S47:T47)))</f>
        <v>0</v>
      </c>
      <c r="V47" s="1101">
        <f>IF($BG47=0,0,IF(SUM($S47:U47)&lt;($J47-12),12,$J47-SUM($S47:U47)))</f>
        <v>0</v>
      </c>
      <c r="W47" s="1101">
        <f>IF($BG47=0,0,IF(SUM($S47:V47)&lt;($J47-12),12,$J47-SUM($S47:V47)))</f>
        <v>0</v>
      </c>
      <c r="Y47" s="1100"/>
      <c r="Z47" s="1100"/>
      <c r="AA47" s="1100">
        <v>0</v>
      </c>
      <c r="AB47" s="1101">
        <f>IF($BH47=0,0,IF(SUM($Y47:AA47)&lt;($J47-12),12,$J47-SUM($Y47:AA47)))</f>
        <v>0</v>
      </c>
      <c r="AC47" s="1101">
        <f>IF($BH47=0,0,IF(SUM($Y47:AB47)&lt;($J47-12),12,$J47-SUM($Y47:AB47)))</f>
        <v>0</v>
      </c>
      <c r="AE47" s="1100"/>
      <c r="AF47" s="1100"/>
      <c r="AG47" s="1100"/>
      <c r="AH47" s="1100">
        <v>0</v>
      </c>
      <c r="AI47" s="1101">
        <f>IF($BI47=0,0,IF(SUM($AE47:AH47)&lt;($J47-12),12,$J47-SUM($AE47:AH47)))</f>
        <v>0</v>
      </c>
      <c r="AK47" s="1100"/>
      <c r="AL47" s="1100"/>
      <c r="AM47" s="1100"/>
      <c r="AN47" s="1100"/>
      <c r="AO47" s="1100">
        <v>0</v>
      </c>
      <c r="AQ47" s="153">
        <f t="shared" si="3"/>
        <v>8.3333333333333356E-2</v>
      </c>
      <c r="AR47" s="153">
        <f t="shared" si="4"/>
        <v>0</v>
      </c>
      <c r="AS47" s="153">
        <f t="shared" si="5"/>
        <v>0</v>
      </c>
      <c r="AT47" s="153">
        <f t="shared" si="6"/>
        <v>0</v>
      </c>
      <c r="AU47" s="153">
        <f t="shared" si="7"/>
        <v>0</v>
      </c>
      <c r="AW47" s="1543">
        <v>1</v>
      </c>
      <c r="AX47" s="1102"/>
      <c r="AY47" s="1544">
        <v>0</v>
      </c>
      <c r="BA47" s="1103">
        <v>0</v>
      </c>
      <c r="BB47" s="1103">
        <v>0</v>
      </c>
      <c r="BC47" s="1103">
        <v>0</v>
      </c>
      <c r="BD47" s="1103">
        <v>0</v>
      </c>
      <c r="BE47" s="1103">
        <v>0</v>
      </c>
      <c r="BF47" s="1103">
        <v>3164.89536</v>
      </c>
      <c r="BG47" s="1103">
        <v>0</v>
      </c>
      <c r="BH47" s="1103">
        <v>0</v>
      </c>
      <c r="BI47" s="1103">
        <v>0</v>
      </c>
      <c r="BJ47" s="1103">
        <v>0</v>
      </c>
    </row>
    <row r="48" spans="2:62" hidden="1" outlineLevel="2">
      <c r="B48" s="1094"/>
      <c r="C48" s="1083" t="s">
        <v>198</v>
      </c>
      <c r="D48" s="1062" t="s">
        <v>79</v>
      </c>
      <c r="E48" s="1083" t="s">
        <v>199</v>
      </c>
      <c r="F48" s="1095">
        <v>2020</v>
      </c>
      <c r="G48" s="1096">
        <f t="shared" si="0"/>
        <v>2108.4916600000001</v>
      </c>
      <c r="H48" s="1083" t="s">
        <v>29</v>
      </c>
      <c r="I48" s="1097">
        <v>8</v>
      </c>
      <c r="J48" s="1098">
        <f t="shared" si="1"/>
        <v>96</v>
      </c>
      <c r="K48" s="153">
        <f t="shared" si="2"/>
        <v>0.125</v>
      </c>
      <c r="L48" s="1099"/>
      <c r="M48" s="1100">
        <v>0.99999978183456506</v>
      </c>
      <c r="N48" s="1101">
        <f>IF($BF48=0,0,IF(SUM($M48:M48)&lt;($J48-12),12,$J48-SUM($M48:M48)))</f>
        <v>12</v>
      </c>
      <c r="O48" s="1101">
        <f>IF($BF48=0,0,IF(SUM($M48:N48)&lt;($J48-12),12,$J48-SUM($M48:N48)))</f>
        <v>12</v>
      </c>
      <c r="P48" s="1101">
        <f>IF($BF48=0,0,IF(SUM($M48:O48)&lt;($J48-12),12,$J48-SUM($M48:O48)))</f>
        <v>12</v>
      </c>
      <c r="Q48" s="1101">
        <f>IF($BF48=0,0,IF(SUM($M48:P48)&lt;($J48-12),12,$J48-SUM($M48:P48)))</f>
        <v>12</v>
      </c>
      <c r="S48" s="1100"/>
      <c r="T48" s="1100">
        <v>0</v>
      </c>
      <c r="U48" s="1101">
        <f>IF($BG48=0,0,IF(SUM($S48:T48)&lt;($J48-12),12,$J48-SUM($S48:T48)))</f>
        <v>0</v>
      </c>
      <c r="V48" s="1101">
        <f>IF($BG48=0,0,IF(SUM($S48:U48)&lt;($J48-12),12,$J48-SUM($S48:U48)))</f>
        <v>0</v>
      </c>
      <c r="W48" s="1101">
        <f>IF($BG48=0,0,IF(SUM($S48:V48)&lt;($J48-12),12,$J48-SUM($S48:V48)))</f>
        <v>0</v>
      </c>
      <c r="Y48" s="1100"/>
      <c r="Z48" s="1100"/>
      <c r="AA48" s="1100">
        <v>0</v>
      </c>
      <c r="AB48" s="1101">
        <f>IF($BH48=0,0,IF(SUM($Y48:AA48)&lt;($J48-12),12,$J48-SUM($Y48:AA48)))</f>
        <v>0</v>
      </c>
      <c r="AC48" s="1101">
        <f>IF($BH48=0,0,IF(SUM($Y48:AB48)&lt;($J48-12),12,$J48-SUM($Y48:AB48)))</f>
        <v>0</v>
      </c>
      <c r="AE48" s="1100"/>
      <c r="AF48" s="1100"/>
      <c r="AG48" s="1100"/>
      <c r="AH48" s="1100">
        <v>0</v>
      </c>
      <c r="AI48" s="1101">
        <f>IF($BI48=0,0,IF(SUM($AE48:AH48)&lt;($J48-12),12,$J48-SUM($AE48:AH48)))</f>
        <v>0</v>
      </c>
      <c r="AK48" s="1100"/>
      <c r="AL48" s="1100"/>
      <c r="AM48" s="1100"/>
      <c r="AN48" s="1100"/>
      <c r="AO48" s="1100">
        <v>0</v>
      </c>
      <c r="AQ48" s="153">
        <f t="shared" si="3"/>
        <v>8.3333315152880422E-2</v>
      </c>
      <c r="AR48" s="153">
        <f t="shared" si="4"/>
        <v>0</v>
      </c>
      <c r="AS48" s="153">
        <f t="shared" si="5"/>
        <v>0</v>
      </c>
      <c r="AT48" s="153">
        <f t="shared" si="6"/>
        <v>0</v>
      </c>
      <c r="AU48" s="153">
        <f t="shared" si="7"/>
        <v>0</v>
      </c>
      <c r="AW48" s="1543">
        <v>1</v>
      </c>
      <c r="AX48" s="1102"/>
      <c r="AY48" s="1544">
        <v>0</v>
      </c>
      <c r="BA48" s="1103">
        <v>0</v>
      </c>
      <c r="BB48" s="1103">
        <v>0</v>
      </c>
      <c r="BC48" s="1103">
        <v>0</v>
      </c>
      <c r="BD48" s="1103">
        <v>0</v>
      </c>
      <c r="BE48" s="1103">
        <v>0</v>
      </c>
      <c r="BF48" s="1103">
        <v>2108.4916600000001</v>
      </c>
      <c r="BG48" s="1103">
        <v>0</v>
      </c>
      <c r="BH48" s="1103">
        <v>0</v>
      </c>
      <c r="BI48" s="1103">
        <v>0</v>
      </c>
      <c r="BJ48" s="1103">
        <v>0</v>
      </c>
    </row>
    <row r="49" spans="2:62" hidden="1" outlineLevel="2">
      <c r="B49" s="1094"/>
      <c r="C49" s="1083" t="s">
        <v>200</v>
      </c>
      <c r="D49" s="1062" t="s">
        <v>79</v>
      </c>
      <c r="E49" s="1083" t="s">
        <v>201</v>
      </c>
      <c r="F49" s="1095">
        <v>2020</v>
      </c>
      <c r="G49" s="1096">
        <f t="shared" si="0"/>
        <v>782.92196000000001</v>
      </c>
      <c r="H49" s="1083" t="s">
        <v>29</v>
      </c>
      <c r="I49" s="1097">
        <v>8</v>
      </c>
      <c r="J49" s="1098">
        <f t="shared" si="1"/>
        <v>96</v>
      </c>
      <c r="K49" s="153">
        <f t="shared" si="2"/>
        <v>0.125</v>
      </c>
      <c r="L49" s="1099"/>
      <c r="M49" s="1100">
        <v>1.000000357634623</v>
      </c>
      <c r="N49" s="1101">
        <f>IF($BF49=0,0,IF(SUM($M49:M49)&lt;($J49-12),12,$J49-SUM($M49:M49)))</f>
        <v>12</v>
      </c>
      <c r="O49" s="1101">
        <f>IF($BF49=0,0,IF(SUM($M49:N49)&lt;($J49-12),12,$J49-SUM($M49:N49)))</f>
        <v>12</v>
      </c>
      <c r="P49" s="1101">
        <f>IF($BF49=0,0,IF(SUM($M49:O49)&lt;($J49-12),12,$J49-SUM($M49:O49)))</f>
        <v>12</v>
      </c>
      <c r="Q49" s="1101">
        <f>IF($BF49=0,0,IF(SUM($M49:P49)&lt;($J49-12),12,$J49-SUM($M49:P49)))</f>
        <v>12</v>
      </c>
      <c r="S49" s="1100"/>
      <c r="T49" s="1100">
        <v>0</v>
      </c>
      <c r="U49" s="1101">
        <f>IF($BG49=0,0,IF(SUM($S49:T49)&lt;($J49-12),12,$J49-SUM($S49:T49)))</f>
        <v>0</v>
      </c>
      <c r="V49" s="1101">
        <f>IF($BG49=0,0,IF(SUM($S49:U49)&lt;($J49-12),12,$J49-SUM($S49:U49)))</f>
        <v>0</v>
      </c>
      <c r="W49" s="1101">
        <f>IF($BG49=0,0,IF(SUM($S49:V49)&lt;($J49-12),12,$J49-SUM($S49:V49)))</f>
        <v>0</v>
      </c>
      <c r="Y49" s="1100"/>
      <c r="Z49" s="1100"/>
      <c r="AA49" s="1100">
        <v>0</v>
      </c>
      <c r="AB49" s="1101">
        <f>IF($BH49=0,0,IF(SUM($Y49:AA49)&lt;($J49-12),12,$J49-SUM($Y49:AA49)))</f>
        <v>0</v>
      </c>
      <c r="AC49" s="1101">
        <f>IF($BH49=0,0,IF(SUM($Y49:AB49)&lt;($J49-12),12,$J49-SUM($Y49:AB49)))</f>
        <v>0</v>
      </c>
      <c r="AE49" s="1100"/>
      <c r="AF49" s="1100"/>
      <c r="AG49" s="1100"/>
      <c r="AH49" s="1100">
        <v>0</v>
      </c>
      <c r="AI49" s="1101">
        <f>IF($BI49=0,0,IF(SUM($AE49:AH49)&lt;($J49-12),12,$J49-SUM($AE49:AH49)))</f>
        <v>0</v>
      </c>
      <c r="AK49" s="1100"/>
      <c r="AL49" s="1100"/>
      <c r="AM49" s="1100"/>
      <c r="AN49" s="1100"/>
      <c r="AO49" s="1100">
        <v>0</v>
      </c>
      <c r="AQ49" s="153">
        <f t="shared" si="3"/>
        <v>8.3333363136218586E-2</v>
      </c>
      <c r="AR49" s="153">
        <f t="shared" si="4"/>
        <v>0</v>
      </c>
      <c r="AS49" s="153">
        <f t="shared" si="5"/>
        <v>0</v>
      </c>
      <c r="AT49" s="153">
        <f t="shared" si="6"/>
        <v>0</v>
      </c>
      <c r="AU49" s="153">
        <f t="shared" si="7"/>
        <v>0</v>
      </c>
      <c r="AW49" s="1543">
        <v>1</v>
      </c>
      <c r="AX49" s="1102"/>
      <c r="AY49" s="1544">
        <v>0</v>
      </c>
      <c r="BA49" s="1103">
        <v>0</v>
      </c>
      <c r="BB49" s="1103">
        <v>0</v>
      </c>
      <c r="BC49" s="1103">
        <v>0</v>
      </c>
      <c r="BD49" s="1103">
        <v>0</v>
      </c>
      <c r="BE49" s="1103">
        <v>0</v>
      </c>
      <c r="BF49" s="1103">
        <v>782.92196000000001</v>
      </c>
      <c r="BG49" s="1103">
        <v>0</v>
      </c>
      <c r="BH49" s="1103">
        <v>0</v>
      </c>
      <c r="BI49" s="1103">
        <v>0</v>
      </c>
      <c r="BJ49" s="1103">
        <v>0</v>
      </c>
    </row>
    <row r="50" spans="2:62" hidden="1" outlineLevel="2">
      <c r="B50" s="1094"/>
      <c r="C50" s="1083" t="s">
        <v>202</v>
      </c>
      <c r="D50" s="1062" t="s">
        <v>79</v>
      </c>
      <c r="E50" s="1083" t="s">
        <v>203</v>
      </c>
      <c r="F50" s="1095">
        <v>2020</v>
      </c>
      <c r="G50" s="1096">
        <f t="shared" si="0"/>
        <v>263.77555000000001</v>
      </c>
      <c r="H50" s="1083" t="s">
        <v>29</v>
      </c>
      <c r="I50" s="1097">
        <v>8</v>
      </c>
      <c r="J50" s="1098">
        <f t="shared" si="1"/>
        <v>96</v>
      </c>
      <c r="K50" s="153">
        <f t="shared" si="2"/>
        <v>0.125</v>
      </c>
      <c r="L50" s="1099"/>
      <c r="M50" s="1100">
        <v>0.99999927969063085</v>
      </c>
      <c r="N50" s="1101">
        <f>IF($BF50=0,0,IF(SUM($M50:M50)&lt;($J50-12),12,$J50-SUM($M50:M50)))</f>
        <v>12</v>
      </c>
      <c r="O50" s="1101">
        <f>IF($BF50=0,0,IF(SUM($M50:N50)&lt;($J50-12),12,$J50-SUM($M50:N50)))</f>
        <v>12</v>
      </c>
      <c r="P50" s="1101">
        <f>IF($BF50=0,0,IF(SUM($M50:O50)&lt;($J50-12),12,$J50-SUM($M50:O50)))</f>
        <v>12</v>
      </c>
      <c r="Q50" s="1101">
        <f>IF($BF50=0,0,IF(SUM($M50:P50)&lt;($J50-12),12,$J50-SUM($M50:P50)))</f>
        <v>12</v>
      </c>
      <c r="S50" s="1100"/>
      <c r="T50" s="1100">
        <v>0</v>
      </c>
      <c r="U50" s="1101">
        <f>IF($BG50=0,0,IF(SUM($S50:T50)&lt;($J50-12),12,$J50-SUM($S50:T50)))</f>
        <v>0</v>
      </c>
      <c r="V50" s="1101">
        <f>IF($BG50=0,0,IF(SUM($S50:U50)&lt;($J50-12),12,$J50-SUM($S50:U50)))</f>
        <v>0</v>
      </c>
      <c r="W50" s="1101">
        <f>IF($BG50=0,0,IF(SUM($S50:V50)&lt;($J50-12),12,$J50-SUM($S50:V50)))</f>
        <v>0</v>
      </c>
      <c r="Y50" s="1100"/>
      <c r="Z50" s="1100"/>
      <c r="AA50" s="1100">
        <v>0</v>
      </c>
      <c r="AB50" s="1101">
        <f>IF($BH50=0,0,IF(SUM($Y50:AA50)&lt;($J50-12),12,$J50-SUM($Y50:AA50)))</f>
        <v>0</v>
      </c>
      <c r="AC50" s="1101">
        <f>IF($BH50=0,0,IF(SUM($Y50:AB50)&lt;($J50-12),12,$J50-SUM($Y50:AB50)))</f>
        <v>0</v>
      </c>
      <c r="AE50" s="1100"/>
      <c r="AF50" s="1100"/>
      <c r="AG50" s="1100"/>
      <c r="AH50" s="1100">
        <v>0</v>
      </c>
      <c r="AI50" s="1101">
        <f>IF($BI50=0,0,IF(SUM($AE50:AH50)&lt;($J50-12),12,$J50-SUM($AE50:AH50)))</f>
        <v>0</v>
      </c>
      <c r="AK50" s="1100"/>
      <c r="AL50" s="1100"/>
      <c r="AM50" s="1100"/>
      <c r="AN50" s="1100"/>
      <c r="AO50" s="1100">
        <v>0</v>
      </c>
      <c r="AQ50" s="153">
        <f t="shared" si="3"/>
        <v>8.3333273307552566E-2</v>
      </c>
      <c r="AR50" s="153">
        <f t="shared" si="4"/>
        <v>0</v>
      </c>
      <c r="AS50" s="153">
        <f t="shared" si="5"/>
        <v>0</v>
      </c>
      <c r="AT50" s="153">
        <f t="shared" si="6"/>
        <v>0</v>
      </c>
      <c r="AU50" s="153">
        <f t="shared" si="7"/>
        <v>0</v>
      </c>
      <c r="AW50" s="1543">
        <v>1</v>
      </c>
      <c r="AX50" s="1102"/>
      <c r="AY50" s="1544">
        <v>0</v>
      </c>
      <c r="BA50" s="1103">
        <v>0</v>
      </c>
      <c r="BB50" s="1103">
        <v>0</v>
      </c>
      <c r="BC50" s="1103">
        <v>0</v>
      </c>
      <c r="BD50" s="1103">
        <v>0</v>
      </c>
      <c r="BE50" s="1103">
        <v>0</v>
      </c>
      <c r="BF50" s="1103">
        <v>263.77555000000001</v>
      </c>
      <c r="BG50" s="1103">
        <v>0</v>
      </c>
      <c r="BH50" s="1103">
        <v>0</v>
      </c>
      <c r="BI50" s="1103">
        <v>0</v>
      </c>
      <c r="BJ50" s="1103">
        <v>0</v>
      </c>
    </row>
    <row r="51" spans="2:62" hidden="1" outlineLevel="2">
      <c r="B51" s="1094"/>
      <c r="C51" s="1083" t="s">
        <v>204</v>
      </c>
      <c r="D51" s="1062" t="s">
        <v>79</v>
      </c>
      <c r="E51" s="1083" t="s">
        <v>205</v>
      </c>
      <c r="F51" s="1095">
        <v>2020</v>
      </c>
      <c r="G51" s="1096">
        <f t="shared" si="0"/>
        <v>135.51599999999999</v>
      </c>
      <c r="H51" s="1083" t="s">
        <v>29</v>
      </c>
      <c r="I51" s="1097">
        <v>8</v>
      </c>
      <c r="J51" s="1098">
        <f t="shared" si="1"/>
        <v>96</v>
      </c>
      <c r="K51" s="153">
        <f t="shared" si="2"/>
        <v>0.125</v>
      </c>
      <c r="L51" s="1099"/>
      <c r="M51" s="1100">
        <v>1.0000035420171789</v>
      </c>
      <c r="N51" s="1101">
        <f>IF($BF51=0,0,IF(SUM($M51:M51)&lt;($J51-12),12,$J51-SUM($M51:M51)))</f>
        <v>12</v>
      </c>
      <c r="O51" s="1101">
        <f>IF($BF51=0,0,IF(SUM($M51:N51)&lt;($J51-12),12,$J51-SUM($M51:N51)))</f>
        <v>12</v>
      </c>
      <c r="P51" s="1101">
        <f>IF($BF51=0,0,IF(SUM($M51:O51)&lt;($J51-12),12,$J51-SUM($M51:O51)))</f>
        <v>12</v>
      </c>
      <c r="Q51" s="1101">
        <f>IF($BF51=0,0,IF(SUM($M51:P51)&lt;($J51-12),12,$J51-SUM($M51:P51)))</f>
        <v>12</v>
      </c>
      <c r="S51" s="1100"/>
      <c r="T51" s="1100">
        <v>0</v>
      </c>
      <c r="U51" s="1101">
        <f>IF($BG51=0,0,IF(SUM($S51:T51)&lt;($J51-12),12,$J51-SUM($S51:T51)))</f>
        <v>0</v>
      </c>
      <c r="V51" s="1101">
        <f>IF($BG51=0,0,IF(SUM($S51:U51)&lt;($J51-12),12,$J51-SUM($S51:U51)))</f>
        <v>0</v>
      </c>
      <c r="W51" s="1101">
        <f>IF($BG51=0,0,IF(SUM($S51:V51)&lt;($J51-12),12,$J51-SUM($S51:V51)))</f>
        <v>0</v>
      </c>
      <c r="Y51" s="1100"/>
      <c r="Z51" s="1100"/>
      <c r="AA51" s="1100">
        <v>0</v>
      </c>
      <c r="AB51" s="1101">
        <f>IF($BH51=0,0,IF(SUM($Y51:AA51)&lt;($J51-12),12,$J51-SUM($Y51:AA51)))</f>
        <v>0</v>
      </c>
      <c r="AC51" s="1101">
        <f>IF($BH51=0,0,IF(SUM($Y51:AB51)&lt;($J51-12),12,$J51-SUM($Y51:AB51)))</f>
        <v>0</v>
      </c>
      <c r="AE51" s="1100"/>
      <c r="AF51" s="1100"/>
      <c r="AG51" s="1100"/>
      <c r="AH51" s="1100">
        <v>0</v>
      </c>
      <c r="AI51" s="1101">
        <f>IF($BI51=0,0,IF(SUM($AE51:AH51)&lt;($J51-12),12,$J51-SUM($AE51:AH51)))</f>
        <v>0</v>
      </c>
      <c r="AK51" s="1100"/>
      <c r="AL51" s="1100"/>
      <c r="AM51" s="1100"/>
      <c r="AN51" s="1100"/>
      <c r="AO51" s="1100">
        <v>0</v>
      </c>
      <c r="AQ51" s="153">
        <f t="shared" si="3"/>
        <v>8.333362850143157E-2</v>
      </c>
      <c r="AR51" s="153">
        <f t="shared" si="4"/>
        <v>0</v>
      </c>
      <c r="AS51" s="153">
        <f t="shared" si="5"/>
        <v>0</v>
      </c>
      <c r="AT51" s="153">
        <f t="shared" si="6"/>
        <v>0</v>
      </c>
      <c r="AU51" s="153">
        <f t="shared" si="7"/>
        <v>0</v>
      </c>
      <c r="AW51" s="1543">
        <v>1</v>
      </c>
      <c r="AX51" s="1102"/>
      <c r="AY51" s="1544">
        <v>0</v>
      </c>
      <c r="BA51" s="1103">
        <v>0</v>
      </c>
      <c r="BB51" s="1103">
        <v>0</v>
      </c>
      <c r="BC51" s="1103">
        <v>0</v>
      </c>
      <c r="BD51" s="1103">
        <v>0</v>
      </c>
      <c r="BE51" s="1103">
        <v>0</v>
      </c>
      <c r="BF51" s="1103">
        <v>135.51599999999999</v>
      </c>
      <c r="BG51" s="1103">
        <v>0</v>
      </c>
      <c r="BH51" s="1103">
        <v>0</v>
      </c>
      <c r="BI51" s="1103">
        <v>0</v>
      </c>
      <c r="BJ51" s="1103">
        <v>0</v>
      </c>
    </row>
    <row r="52" spans="2:62" hidden="1" outlineLevel="2">
      <c r="B52" s="1094"/>
      <c r="C52" s="1083" t="s">
        <v>206</v>
      </c>
      <c r="D52" s="1062" t="s">
        <v>79</v>
      </c>
      <c r="E52" s="1083" t="s">
        <v>207</v>
      </c>
      <c r="F52" s="1095">
        <v>2020</v>
      </c>
      <c r="G52" s="1096">
        <f t="shared" si="0"/>
        <v>393.89095000000003</v>
      </c>
      <c r="H52" s="1083" t="s">
        <v>29</v>
      </c>
      <c r="I52" s="1097">
        <v>8</v>
      </c>
      <c r="J52" s="1098">
        <f t="shared" si="1"/>
        <v>96</v>
      </c>
      <c r="K52" s="153">
        <f t="shared" si="2"/>
        <v>0.125</v>
      </c>
      <c r="L52" s="1099"/>
      <c r="M52" s="1100">
        <v>0.99999982228583817</v>
      </c>
      <c r="N52" s="1101">
        <f>IF($BF52=0,0,IF(SUM($M52:M52)&lt;($J52-12),12,$J52-SUM($M52:M52)))</f>
        <v>12</v>
      </c>
      <c r="O52" s="1101">
        <f>IF($BF52=0,0,IF(SUM($M52:N52)&lt;($J52-12),12,$J52-SUM($M52:N52)))</f>
        <v>12</v>
      </c>
      <c r="P52" s="1101">
        <f>IF($BF52=0,0,IF(SUM($M52:O52)&lt;($J52-12),12,$J52-SUM($M52:O52)))</f>
        <v>12</v>
      </c>
      <c r="Q52" s="1101">
        <f>IF($BF52=0,0,IF(SUM($M52:P52)&lt;($J52-12),12,$J52-SUM($M52:P52)))</f>
        <v>12</v>
      </c>
      <c r="S52" s="1100"/>
      <c r="T52" s="1100">
        <v>0</v>
      </c>
      <c r="U52" s="1101">
        <f>IF($BG52=0,0,IF(SUM($S52:T52)&lt;($J52-12),12,$J52-SUM($S52:T52)))</f>
        <v>0</v>
      </c>
      <c r="V52" s="1101">
        <f>IF($BG52=0,0,IF(SUM($S52:U52)&lt;($J52-12),12,$J52-SUM($S52:U52)))</f>
        <v>0</v>
      </c>
      <c r="W52" s="1101">
        <f>IF($BG52=0,0,IF(SUM($S52:V52)&lt;($J52-12),12,$J52-SUM($S52:V52)))</f>
        <v>0</v>
      </c>
      <c r="Y52" s="1100"/>
      <c r="Z52" s="1100"/>
      <c r="AA52" s="1100">
        <v>0</v>
      </c>
      <c r="AB52" s="1101">
        <f>IF($BH52=0,0,IF(SUM($Y52:AA52)&lt;($J52-12),12,$J52-SUM($Y52:AA52)))</f>
        <v>0</v>
      </c>
      <c r="AC52" s="1101">
        <f>IF($BH52=0,0,IF(SUM($Y52:AB52)&lt;($J52-12),12,$J52-SUM($Y52:AB52)))</f>
        <v>0</v>
      </c>
      <c r="AE52" s="1100"/>
      <c r="AF52" s="1100"/>
      <c r="AG52" s="1100"/>
      <c r="AH52" s="1100">
        <v>0</v>
      </c>
      <c r="AI52" s="1101">
        <f>IF($BI52=0,0,IF(SUM($AE52:AH52)&lt;($J52-12),12,$J52-SUM($AE52:AH52)))</f>
        <v>0</v>
      </c>
      <c r="AK52" s="1100"/>
      <c r="AL52" s="1100"/>
      <c r="AM52" s="1100"/>
      <c r="AN52" s="1100"/>
      <c r="AO52" s="1100">
        <v>0</v>
      </c>
      <c r="AQ52" s="153">
        <f t="shared" si="3"/>
        <v>8.3333318523819852E-2</v>
      </c>
      <c r="AR52" s="153">
        <f t="shared" si="4"/>
        <v>0</v>
      </c>
      <c r="AS52" s="153">
        <f t="shared" si="5"/>
        <v>0</v>
      </c>
      <c r="AT52" s="153">
        <f t="shared" si="6"/>
        <v>0</v>
      </c>
      <c r="AU52" s="153">
        <f t="shared" si="7"/>
        <v>0</v>
      </c>
      <c r="AW52" s="1543">
        <v>1</v>
      </c>
      <c r="AX52" s="1102"/>
      <c r="AY52" s="1544">
        <v>0</v>
      </c>
      <c r="BA52" s="1103">
        <v>0</v>
      </c>
      <c r="BB52" s="1103">
        <v>0</v>
      </c>
      <c r="BC52" s="1103">
        <v>0</v>
      </c>
      <c r="BD52" s="1103">
        <v>0</v>
      </c>
      <c r="BE52" s="1103">
        <v>0</v>
      </c>
      <c r="BF52" s="1103">
        <v>393.89095000000003</v>
      </c>
      <c r="BG52" s="1103">
        <v>0</v>
      </c>
      <c r="BH52" s="1103">
        <v>0</v>
      </c>
      <c r="BI52" s="1103">
        <v>0</v>
      </c>
      <c r="BJ52" s="1103">
        <v>0</v>
      </c>
    </row>
    <row r="53" spans="2:62" hidden="1" outlineLevel="2">
      <c r="B53" s="1094"/>
      <c r="C53" s="1083" t="s">
        <v>208</v>
      </c>
      <c r="D53" s="1062" t="s">
        <v>79</v>
      </c>
      <c r="E53" s="1083" t="s">
        <v>209</v>
      </c>
      <c r="F53" s="1095">
        <v>2020</v>
      </c>
      <c r="G53" s="1096">
        <f t="shared" si="0"/>
        <v>179.96229</v>
      </c>
      <c r="H53" s="1083" t="s">
        <v>29</v>
      </c>
      <c r="I53" s="1097">
        <v>8</v>
      </c>
      <c r="J53" s="1098">
        <f t="shared" si="1"/>
        <v>96</v>
      </c>
      <c r="K53" s="153">
        <f t="shared" si="2"/>
        <v>0.125</v>
      </c>
      <c r="L53" s="1099"/>
      <c r="M53" s="1100">
        <v>1.0000015003143159</v>
      </c>
      <c r="N53" s="1101">
        <f>IF($BF53=0,0,IF(SUM($M53:M53)&lt;($J53-12),12,$J53-SUM($M53:M53)))</f>
        <v>12</v>
      </c>
      <c r="O53" s="1101">
        <f>IF($BF53=0,0,IF(SUM($M53:N53)&lt;($J53-12),12,$J53-SUM($M53:N53)))</f>
        <v>12</v>
      </c>
      <c r="P53" s="1101">
        <f>IF($BF53=0,0,IF(SUM($M53:O53)&lt;($J53-12),12,$J53-SUM($M53:O53)))</f>
        <v>12</v>
      </c>
      <c r="Q53" s="1101">
        <f>IF($BF53=0,0,IF(SUM($M53:P53)&lt;($J53-12),12,$J53-SUM($M53:P53)))</f>
        <v>12</v>
      </c>
      <c r="S53" s="1100"/>
      <c r="T53" s="1100">
        <v>0</v>
      </c>
      <c r="U53" s="1101">
        <f>IF($BG53=0,0,IF(SUM($S53:T53)&lt;($J53-12),12,$J53-SUM($S53:T53)))</f>
        <v>0</v>
      </c>
      <c r="V53" s="1101">
        <f>IF($BG53=0,0,IF(SUM($S53:U53)&lt;($J53-12),12,$J53-SUM($S53:U53)))</f>
        <v>0</v>
      </c>
      <c r="W53" s="1101">
        <f>IF($BG53=0,0,IF(SUM($S53:V53)&lt;($J53-12),12,$J53-SUM($S53:V53)))</f>
        <v>0</v>
      </c>
      <c r="Y53" s="1100"/>
      <c r="Z53" s="1100"/>
      <c r="AA53" s="1100">
        <v>0</v>
      </c>
      <c r="AB53" s="1101">
        <f>IF($BH53=0,0,IF(SUM($Y53:AA53)&lt;($J53-12),12,$J53-SUM($Y53:AA53)))</f>
        <v>0</v>
      </c>
      <c r="AC53" s="1101">
        <f>IF($BH53=0,0,IF(SUM($Y53:AB53)&lt;($J53-12),12,$J53-SUM($Y53:AB53)))</f>
        <v>0</v>
      </c>
      <c r="AE53" s="1100"/>
      <c r="AF53" s="1100"/>
      <c r="AG53" s="1100"/>
      <c r="AH53" s="1100">
        <v>0</v>
      </c>
      <c r="AI53" s="1101">
        <f>IF($BI53=0,0,IF(SUM($AE53:AH53)&lt;($J53-12),12,$J53-SUM($AE53:AH53)))</f>
        <v>0</v>
      </c>
      <c r="AK53" s="1100"/>
      <c r="AL53" s="1100"/>
      <c r="AM53" s="1100"/>
      <c r="AN53" s="1100"/>
      <c r="AO53" s="1100">
        <v>0</v>
      </c>
      <c r="AQ53" s="153">
        <f t="shared" si="3"/>
        <v>8.3333458359526325E-2</v>
      </c>
      <c r="AR53" s="153">
        <f t="shared" si="4"/>
        <v>0</v>
      </c>
      <c r="AS53" s="153">
        <f t="shared" si="5"/>
        <v>0</v>
      </c>
      <c r="AT53" s="153">
        <f t="shared" si="6"/>
        <v>0</v>
      </c>
      <c r="AU53" s="153">
        <f t="shared" si="7"/>
        <v>0</v>
      </c>
      <c r="AW53" s="1543">
        <v>1</v>
      </c>
      <c r="AX53" s="1102"/>
      <c r="AY53" s="1544">
        <v>0</v>
      </c>
      <c r="BA53" s="1103">
        <v>0</v>
      </c>
      <c r="BB53" s="1103">
        <v>0</v>
      </c>
      <c r="BC53" s="1103">
        <v>0</v>
      </c>
      <c r="BD53" s="1103">
        <v>0</v>
      </c>
      <c r="BE53" s="1103">
        <v>0</v>
      </c>
      <c r="BF53" s="1103">
        <v>179.96229</v>
      </c>
      <c r="BG53" s="1103">
        <v>0</v>
      </c>
      <c r="BH53" s="1103">
        <v>0</v>
      </c>
      <c r="BI53" s="1103">
        <v>0</v>
      </c>
      <c r="BJ53" s="1103">
        <v>0</v>
      </c>
    </row>
    <row r="54" spans="2:62" hidden="1" outlineLevel="2">
      <c r="B54" s="1094"/>
      <c r="C54" s="1083" t="s">
        <v>210</v>
      </c>
      <c r="D54" s="1062" t="s">
        <v>79</v>
      </c>
      <c r="E54" s="1083" t="s">
        <v>211</v>
      </c>
      <c r="F54" s="1095">
        <v>2020</v>
      </c>
      <c r="G54" s="1096">
        <f t="shared" si="0"/>
        <v>11.512040000000001</v>
      </c>
      <c r="H54" s="1083" t="s">
        <v>29</v>
      </c>
      <c r="I54" s="1097">
        <v>8</v>
      </c>
      <c r="J54" s="1098">
        <f t="shared" si="1"/>
        <v>96</v>
      </c>
      <c r="K54" s="153">
        <f t="shared" si="2"/>
        <v>0.125</v>
      </c>
      <c r="L54" s="1099"/>
      <c r="M54" s="1100">
        <v>1.0000243223616319</v>
      </c>
      <c r="N54" s="1101">
        <f>IF($BF54=0,0,IF(SUM($M54:M54)&lt;($J54-12),12,$J54-SUM($M54:M54)))</f>
        <v>12</v>
      </c>
      <c r="O54" s="1101">
        <f>IF($BF54=0,0,IF(SUM($M54:N54)&lt;($J54-12),12,$J54-SUM($M54:N54)))</f>
        <v>12</v>
      </c>
      <c r="P54" s="1101">
        <f>IF($BF54=0,0,IF(SUM($M54:O54)&lt;($J54-12),12,$J54-SUM($M54:O54)))</f>
        <v>12</v>
      </c>
      <c r="Q54" s="1101">
        <f>IF($BF54=0,0,IF(SUM($M54:P54)&lt;($J54-12),12,$J54-SUM($M54:P54)))</f>
        <v>12</v>
      </c>
      <c r="S54" s="1100"/>
      <c r="T54" s="1100">
        <v>0</v>
      </c>
      <c r="U54" s="1101">
        <f>IF($BG54=0,0,IF(SUM($S54:T54)&lt;($J54-12),12,$J54-SUM($S54:T54)))</f>
        <v>0</v>
      </c>
      <c r="V54" s="1101">
        <f>IF($BG54=0,0,IF(SUM($S54:U54)&lt;($J54-12),12,$J54-SUM($S54:U54)))</f>
        <v>0</v>
      </c>
      <c r="W54" s="1101">
        <f>IF($BG54=0,0,IF(SUM($S54:V54)&lt;($J54-12),12,$J54-SUM($S54:V54)))</f>
        <v>0</v>
      </c>
      <c r="Y54" s="1100"/>
      <c r="Z54" s="1100"/>
      <c r="AA54" s="1100">
        <v>0</v>
      </c>
      <c r="AB54" s="1101">
        <f>IF($BH54=0,0,IF(SUM($Y54:AA54)&lt;($J54-12),12,$J54-SUM($Y54:AA54)))</f>
        <v>0</v>
      </c>
      <c r="AC54" s="1101">
        <f>IF($BH54=0,0,IF(SUM($Y54:AB54)&lt;($J54-12),12,$J54-SUM($Y54:AB54)))</f>
        <v>0</v>
      </c>
      <c r="AE54" s="1100"/>
      <c r="AF54" s="1100"/>
      <c r="AG54" s="1100"/>
      <c r="AH54" s="1100">
        <v>0</v>
      </c>
      <c r="AI54" s="1101">
        <f>IF($BI54=0,0,IF(SUM($AE54:AH54)&lt;($J54-12),12,$J54-SUM($AE54:AH54)))</f>
        <v>0</v>
      </c>
      <c r="AK54" s="1100"/>
      <c r="AL54" s="1100"/>
      <c r="AM54" s="1100"/>
      <c r="AN54" s="1100"/>
      <c r="AO54" s="1100">
        <v>0</v>
      </c>
      <c r="AQ54" s="153">
        <f t="shared" si="3"/>
        <v>8.3335360196802655E-2</v>
      </c>
      <c r="AR54" s="153">
        <f t="shared" si="4"/>
        <v>0</v>
      </c>
      <c r="AS54" s="153">
        <f t="shared" si="5"/>
        <v>0</v>
      </c>
      <c r="AT54" s="153">
        <f t="shared" si="6"/>
        <v>0</v>
      </c>
      <c r="AU54" s="153">
        <f t="shared" si="7"/>
        <v>0</v>
      </c>
      <c r="AW54" s="1543">
        <v>1</v>
      </c>
      <c r="AX54" s="1102"/>
      <c r="AY54" s="1544">
        <v>0</v>
      </c>
      <c r="BA54" s="1103">
        <v>0</v>
      </c>
      <c r="BB54" s="1103">
        <v>0</v>
      </c>
      <c r="BC54" s="1103">
        <v>0</v>
      </c>
      <c r="BD54" s="1103">
        <v>0</v>
      </c>
      <c r="BE54" s="1103">
        <v>0</v>
      </c>
      <c r="BF54" s="1103">
        <v>11.512040000000001</v>
      </c>
      <c r="BG54" s="1103">
        <v>0</v>
      </c>
      <c r="BH54" s="1103">
        <v>0</v>
      </c>
      <c r="BI54" s="1103">
        <v>0</v>
      </c>
      <c r="BJ54" s="1103">
        <v>0</v>
      </c>
    </row>
    <row r="55" spans="2:62" hidden="1" outlineLevel="2">
      <c r="B55" s="1094"/>
      <c r="C55" s="1083" t="s">
        <v>212</v>
      </c>
      <c r="D55" s="1062" t="s">
        <v>79</v>
      </c>
      <c r="E55" s="1083" t="s">
        <v>213</v>
      </c>
      <c r="F55" s="1095">
        <v>2020</v>
      </c>
      <c r="G55" s="1096">
        <f t="shared" si="0"/>
        <v>1049.40912</v>
      </c>
      <c r="H55" s="1083" t="s">
        <v>29</v>
      </c>
      <c r="I55" s="1097">
        <v>8</v>
      </c>
      <c r="J55" s="1098">
        <f t="shared" si="1"/>
        <v>96</v>
      </c>
      <c r="K55" s="153">
        <f t="shared" si="2"/>
        <v>0.125</v>
      </c>
      <c r="L55" s="1099"/>
      <c r="M55" s="1100">
        <v>1.0000004574002559</v>
      </c>
      <c r="N55" s="1101">
        <f>IF($BF55=0,0,IF(SUM($M55:M55)&lt;($J55-12),12,$J55-SUM($M55:M55)))</f>
        <v>12</v>
      </c>
      <c r="O55" s="1101">
        <f>IF($BF55=0,0,IF(SUM($M55:N55)&lt;($J55-12),12,$J55-SUM($M55:N55)))</f>
        <v>12</v>
      </c>
      <c r="P55" s="1101">
        <f>IF($BF55=0,0,IF(SUM($M55:O55)&lt;($J55-12),12,$J55-SUM($M55:O55)))</f>
        <v>12</v>
      </c>
      <c r="Q55" s="1101">
        <f>IF($BF55=0,0,IF(SUM($M55:P55)&lt;($J55-12),12,$J55-SUM($M55:P55)))</f>
        <v>12</v>
      </c>
      <c r="S55" s="1100"/>
      <c r="T55" s="1100">
        <v>0</v>
      </c>
      <c r="U55" s="1101">
        <f>IF($BG55=0,0,IF(SUM($S55:T55)&lt;($J55-12),12,$J55-SUM($S55:T55)))</f>
        <v>0</v>
      </c>
      <c r="V55" s="1101">
        <f>IF($BG55=0,0,IF(SUM($S55:U55)&lt;($J55-12),12,$J55-SUM($S55:U55)))</f>
        <v>0</v>
      </c>
      <c r="W55" s="1101">
        <f>IF($BG55=0,0,IF(SUM($S55:V55)&lt;($J55-12),12,$J55-SUM($S55:V55)))</f>
        <v>0</v>
      </c>
      <c r="Y55" s="1100"/>
      <c r="Z55" s="1100"/>
      <c r="AA55" s="1100">
        <v>0</v>
      </c>
      <c r="AB55" s="1101">
        <f>IF($BH55=0,0,IF(SUM($Y55:AA55)&lt;($J55-12),12,$J55-SUM($Y55:AA55)))</f>
        <v>0</v>
      </c>
      <c r="AC55" s="1101">
        <f>IF($BH55=0,0,IF(SUM($Y55:AB55)&lt;($J55-12),12,$J55-SUM($Y55:AB55)))</f>
        <v>0</v>
      </c>
      <c r="AE55" s="1100"/>
      <c r="AF55" s="1100"/>
      <c r="AG55" s="1100"/>
      <c r="AH55" s="1100">
        <v>0</v>
      </c>
      <c r="AI55" s="1101">
        <f>IF($BI55=0,0,IF(SUM($AE55:AH55)&lt;($J55-12),12,$J55-SUM($AE55:AH55)))</f>
        <v>0</v>
      </c>
      <c r="AK55" s="1100"/>
      <c r="AL55" s="1100"/>
      <c r="AM55" s="1100"/>
      <c r="AN55" s="1100"/>
      <c r="AO55" s="1100">
        <v>0</v>
      </c>
      <c r="AQ55" s="153">
        <f t="shared" si="3"/>
        <v>8.3333371450021329E-2</v>
      </c>
      <c r="AR55" s="153">
        <f t="shared" si="4"/>
        <v>0</v>
      </c>
      <c r="AS55" s="153">
        <f t="shared" si="5"/>
        <v>0</v>
      </c>
      <c r="AT55" s="153">
        <f t="shared" si="6"/>
        <v>0</v>
      </c>
      <c r="AU55" s="153">
        <f t="shared" si="7"/>
        <v>0</v>
      </c>
      <c r="AW55" s="1543">
        <v>1</v>
      </c>
      <c r="AX55" s="1102"/>
      <c r="AY55" s="1544">
        <v>0</v>
      </c>
      <c r="BA55" s="1103">
        <v>0</v>
      </c>
      <c r="BB55" s="1103">
        <v>0</v>
      </c>
      <c r="BC55" s="1103">
        <v>0</v>
      </c>
      <c r="BD55" s="1103">
        <v>0</v>
      </c>
      <c r="BE55" s="1103">
        <v>0</v>
      </c>
      <c r="BF55" s="1103">
        <v>1049.40912</v>
      </c>
      <c r="BG55" s="1103">
        <v>0</v>
      </c>
      <c r="BH55" s="1103">
        <v>0</v>
      </c>
      <c r="BI55" s="1103">
        <v>0</v>
      </c>
      <c r="BJ55" s="1103">
        <v>0</v>
      </c>
    </row>
    <row r="56" spans="2:62" hidden="1" outlineLevel="2">
      <c r="B56" s="1094"/>
      <c r="C56" s="1083" t="s">
        <v>214</v>
      </c>
      <c r="D56" s="1062" t="s">
        <v>79</v>
      </c>
      <c r="E56" s="1083" t="s">
        <v>215</v>
      </c>
      <c r="F56" s="1095">
        <v>2020</v>
      </c>
      <c r="G56" s="1096">
        <f t="shared" si="0"/>
        <v>65.190269999999998</v>
      </c>
      <c r="H56" s="1083" t="s">
        <v>29</v>
      </c>
      <c r="I56" s="1097">
        <v>3.0833333333333335</v>
      </c>
      <c r="J56" s="1098">
        <f t="shared" si="1"/>
        <v>37</v>
      </c>
      <c r="K56" s="153">
        <f t="shared" si="2"/>
        <v>0.32432432432432429</v>
      </c>
      <c r="L56" s="1099"/>
      <c r="M56" s="1100">
        <v>1.0277773048033088</v>
      </c>
      <c r="N56" s="1101">
        <f>IF($BF56=0,0,IF(SUM($M56:M56)&lt;($J56-12),12,$J56-SUM($M56:M56)))</f>
        <v>12</v>
      </c>
      <c r="O56" s="1101">
        <f>IF($BF56=0,0,IF(SUM($M56:N56)&lt;($J56-12),12,$J56-SUM($M56:N56)))</f>
        <v>12</v>
      </c>
      <c r="P56" s="1101">
        <f>IF($BF56=0,0,IF(SUM($M56:O56)&lt;($J56-12),12,$J56-SUM($M56:O56)))</f>
        <v>11.972222695196692</v>
      </c>
      <c r="Q56" s="1101">
        <f>IF($BF56=0,0,IF(SUM($M56:P56)&lt;($J56-12),12,$J56-SUM($M56:P56)))</f>
        <v>0</v>
      </c>
      <c r="S56" s="1100"/>
      <c r="T56" s="1100">
        <v>0</v>
      </c>
      <c r="U56" s="1101">
        <f>IF($BG56=0,0,IF(SUM($S56:T56)&lt;($J56-12),12,$J56-SUM($S56:T56)))</f>
        <v>0</v>
      </c>
      <c r="V56" s="1101">
        <f>IF($BG56=0,0,IF(SUM($S56:U56)&lt;($J56-12),12,$J56-SUM($S56:U56)))</f>
        <v>0</v>
      </c>
      <c r="W56" s="1101">
        <f>IF($BG56=0,0,IF(SUM($S56:V56)&lt;($J56-12),12,$J56-SUM($S56:V56)))</f>
        <v>0</v>
      </c>
      <c r="Y56" s="1100"/>
      <c r="Z56" s="1100"/>
      <c r="AA56" s="1100">
        <v>0</v>
      </c>
      <c r="AB56" s="1101">
        <f>IF($BH56=0,0,IF(SUM($Y56:AA56)&lt;($J56-12),12,$J56-SUM($Y56:AA56)))</f>
        <v>0</v>
      </c>
      <c r="AC56" s="1101">
        <f>IF($BH56=0,0,IF(SUM($Y56:AB56)&lt;($J56-12),12,$J56-SUM($Y56:AB56)))</f>
        <v>0</v>
      </c>
      <c r="AE56" s="1100"/>
      <c r="AF56" s="1100"/>
      <c r="AG56" s="1100"/>
      <c r="AH56" s="1100">
        <v>0</v>
      </c>
      <c r="AI56" s="1101">
        <f>IF($BI56=0,0,IF(SUM($AE56:AH56)&lt;($J56-12),12,$J56-SUM($AE56:AH56)))</f>
        <v>0</v>
      </c>
      <c r="AK56" s="1100"/>
      <c r="AL56" s="1100"/>
      <c r="AM56" s="1100"/>
      <c r="AN56" s="1100"/>
      <c r="AO56" s="1100">
        <v>0</v>
      </c>
      <c r="AQ56" s="153">
        <f t="shared" si="3"/>
        <v>8.5648108733609063E-2</v>
      </c>
      <c r="AR56" s="153">
        <f t="shared" si="4"/>
        <v>0</v>
      </c>
      <c r="AS56" s="153">
        <f t="shared" si="5"/>
        <v>0</v>
      </c>
      <c r="AT56" s="153">
        <f t="shared" si="6"/>
        <v>0</v>
      </c>
      <c r="AU56" s="153">
        <f t="shared" si="7"/>
        <v>0</v>
      </c>
      <c r="AW56" s="1543">
        <v>1</v>
      </c>
      <c r="AX56" s="1102"/>
      <c r="AY56" s="1544">
        <v>0</v>
      </c>
      <c r="BA56" s="1103">
        <v>0</v>
      </c>
      <c r="BB56" s="1103">
        <v>0</v>
      </c>
      <c r="BC56" s="1103">
        <v>0</v>
      </c>
      <c r="BD56" s="1103">
        <v>0</v>
      </c>
      <c r="BE56" s="1103">
        <v>0</v>
      </c>
      <c r="BF56" s="1103">
        <v>65.190269999999998</v>
      </c>
      <c r="BG56" s="1103">
        <v>0</v>
      </c>
      <c r="BH56" s="1103">
        <v>0</v>
      </c>
      <c r="BI56" s="1103">
        <v>0</v>
      </c>
      <c r="BJ56" s="1103">
        <v>0</v>
      </c>
    </row>
    <row r="57" spans="2:62" hidden="1" outlineLevel="2">
      <c r="B57" s="1094"/>
      <c r="C57" s="1083" t="s">
        <v>216</v>
      </c>
      <c r="D57" s="1062" t="s">
        <v>79</v>
      </c>
      <c r="E57" s="1083" t="s">
        <v>217</v>
      </c>
      <c r="F57" s="1095">
        <v>2020</v>
      </c>
      <c r="G57" s="1096">
        <f t="shared" si="0"/>
        <v>4.8657500000000002</v>
      </c>
      <c r="H57" s="1083" t="s">
        <v>29</v>
      </c>
      <c r="I57" s="1097">
        <v>5</v>
      </c>
      <c r="J57" s="1098">
        <f t="shared" si="1"/>
        <v>60</v>
      </c>
      <c r="K57" s="153">
        <f t="shared" si="2"/>
        <v>0.2</v>
      </c>
      <c r="L57" s="1099"/>
      <c r="M57" s="1100">
        <v>1.0000513795406669</v>
      </c>
      <c r="N57" s="1101">
        <f>IF($BF57=0,0,IF(SUM($M57:M57)&lt;($J57-12),12,$J57-SUM($M57:M57)))</f>
        <v>12</v>
      </c>
      <c r="O57" s="1101">
        <f>IF($BF57=0,0,IF(SUM($M57:N57)&lt;($J57-12),12,$J57-SUM($M57:N57)))</f>
        <v>12</v>
      </c>
      <c r="P57" s="1101">
        <f>IF($BF57=0,0,IF(SUM($M57:O57)&lt;($J57-12),12,$J57-SUM($M57:O57)))</f>
        <v>12</v>
      </c>
      <c r="Q57" s="1101">
        <f>IF($BF57=0,0,IF(SUM($M57:P57)&lt;($J57-12),12,$J57-SUM($M57:P57)))</f>
        <v>12</v>
      </c>
      <c r="S57" s="1100"/>
      <c r="T57" s="1100">
        <v>0</v>
      </c>
      <c r="U57" s="1101">
        <f>IF($BG57=0,0,IF(SUM($S57:T57)&lt;($J57-12),12,$J57-SUM($S57:T57)))</f>
        <v>0</v>
      </c>
      <c r="V57" s="1101">
        <f>IF($BG57=0,0,IF(SUM($S57:U57)&lt;($J57-12),12,$J57-SUM($S57:U57)))</f>
        <v>0</v>
      </c>
      <c r="W57" s="1101">
        <f>IF($BG57=0,0,IF(SUM($S57:V57)&lt;($J57-12),12,$J57-SUM($S57:V57)))</f>
        <v>0</v>
      </c>
      <c r="Y57" s="1100"/>
      <c r="Z57" s="1100"/>
      <c r="AA57" s="1100">
        <v>0</v>
      </c>
      <c r="AB57" s="1101">
        <f>IF($BH57=0,0,IF(SUM($Y57:AA57)&lt;($J57-12),12,$J57-SUM($Y57:AA57)))</f>
        <v>0</v>
      </c>
      <c r="AC57" s="1101">
        <f>IF($BH57=0,0,IF(SUM($Y57:AB57)&lt;($J57-12),12,$J57-SUM($Y57:AB57)))</f>
        <v>0</v>
      </c>
      <c r="AE57" s="1100"/>
      <c r="AF57" s="1100"/>
      <c r="AG57" s="1100"/>
      <c r="AH57" s="1100">
        <v>0</v>
      </c>
      <c r="AI57" s="1101">
        <f>IF($BI57=0,0,IF(SUM($AE57:AH57)&lt;($J57-12),12,$J57-SUM($AE57:AH57)))</f>
        <v>0</v>
      </c>
      <c r="AK57" s="1100"/>
      <c r="AL57" s="1100"/>
      <c r="AM57" s="1100"/>
      <c r="AN57" s="1100"/>
      <c r="AO57" s="1100">
        <v>0</v>
      </c>
      <c r="AQ57" s="153">
        <f t="shared" si="3"/>
        <v>8.3337614961722248E-2</v>
      </c>
      <c r="AR57" s="153">
        <f t="shared" si="4"/>
        <v>0</v>
      </c>
      <c r="AS57" s="153">
        <f t="shared" si="5"/>
        <v>0</v>
      </c>
      <c r="AT57" s="153">
        <f t="shared" si="6"/>
        <v>0</v>
      </c>
      <c r="AU57" s="153">
        <f t="shared" si="7"/>
        <v>0</v>
      </c>
      <c r="AW57" s="1543">
        <v>1</v>
      </c>
      <c r="AX57" s="1102"/>
      <c r="AY57" s="1544">
        <v>0</v>
      </c>
      <c r="BA57" s="1103">
        <v>0</v>
      </c>
      <c r="BB57" s="1103">
        <v>0</v>
      </c>
      <c r="BC57" s="1103">
        <v>0</v>
      </c>
      <c r="BD57" s="1103">
        <v>0</v>
      </c>
      <c r="BE57" s="1103">
        <v>0</v>
      </c>
      <c r="BF57" s="1103">
        <v>4.8657500000000002</v>
      </c>
      <c r="BG57" s="1103">
        <v>0</v>
      </c>
      <c r="BH57" s="1103">
        <v>0</v>
      </c>
      <c r="BI57" s="1103">
        <v>0</v>
      </c>
      <c r="BJ57" s="1103">
        <v>0</v>
      </c>
    </row>
    <row r="58" spans="2:62" hidden="1" outlineLevel="2">
      <c r="B58" s="1094"/>
      <c r="C58" s="1083" t="s">
        <v>218</v>
      </c>
      <c r="D58" s="1062" t="s">
        <v>218</v>
      </c>
      <c r="E58" s="1083" t="s">
        <v>219</v>
      </c>
      <c r="F58" s="1095">
        <v>2020</v>
      </c>
      <c r="G58" s="1096">
        <f t="shared" si="0"/>
        <v>348.65758</v>
      </c>
      <c r="H58" s="1083" t="s">
        <v>29</v>
      </c>
      <c r="I58" s="1097">
        <v>8</v>
      </c>
      <c r="J58" s="1098">
        <f t="shared" si="1"/>
        <v>96</v>
      </c>
      <c r="K58" s="153">
        <f t="shared" si="2"/>
        <v>0.125</v>
      </c>
      <c r="L58" s="1099"/>
      <c r="M58" s="1100">
        <v>4.0000002294514863</v>
      </c>
      <c r="N58" s="1101">
        <f>IF($BF58=0,0,IF(SUM($M58:M58)&lt;($J58-12),12,$J58-SUM($M58:M58)))</f>
        <v>12</v>
      </c>
      <c r="O58" s="1101">
        <f>IF($BF58=0,0,IF(SUM($M58:N58)&lt;($J58-12),12,$J58-SUM($M58:N58)))</f>
        <v>12</v>
      </c>
      <c r="P58" s="1101">
        <f>IF($BF58=0,0,IF(SUM($M58:O58)&lt;($J58-12),12,$J58-SUM($M58:O58)))</f>
        <v>12</v>
      </c>
      <c r="Q58" s="1101">
        <f>IF($BF58=0,0,IF(SUM($M58:P58)&lt;($J58-12),12,$J58-SUM($M58:P58)))</f>
        <v>12</v>
      </c>
      <c r="S58" s="1100"/>
      <c r="T58" s="1100">
        <v>0</v>
      </c>
      <c r="U58" s="1101">
        <f>IF($BG58=0,0,IF(SUM($S58:T58)&lt;($J58-12),12,$J58-SUM($S58:T58)))</f>
        <v>0</v>
      </c>
      <c r="V58" s="1101">
        <f>IF($BG58=0,0,IF(SUM($S58:U58)&lt;($J58-12),12,$J58-SUM($S58:U58)))</f>
        <v>0</v>
      </c>
      <c r="W58" s="1101">
        <f>IF($BG58=0,0,IF(SUM($S58:V58)&lt;($J58-12),12,$J58-SUM($S58:V58)))</f>
        <v>0</v>
      </c>
      <c r="Y58" s="1100"/>
      <c r="Z58" s="1100"/>
      <c r="AA58" s="1100">
        <v>0</v>
      </c>
      <c r="AB58" s="1101">
        <f>IF($BH58=0,0,IF(SUM($Y58:AA58)&lt;($J58-12),12,$J58-SUM($Y58:AA58)))</f>
        <v>0</v>
      </c>
      <c r="AC58" s="1101">
        <f>IF($BH58=0,0,IF(SUM($Y58:AB58)&lt;($J58-12),12,$J58-SUM($Y58:AB58)))</f>
        <v>0</v>
      </c>
      <c r="AE58" s="1100"/>
      <c r="AF58" s="1100"/>
      <c r="AG58" s="1100"/>
      <c r="AH58" s="1100">
        <v>0</v>
      </c>
      <c r="AI58" s="1101">
        <f>IF($BI58=0,0,IF(SUM($AE58:AH58)&lt;($J58-12),12,$J58-SUM($AE58:AH58)))</f>
        <v>0</v>
      </c>
      <c r="AK58" s="1100"/>
      <c r="AL58" s="1100"/>
      <c r="AM58" s="1100"/>
      <c r="AN58" s="1100"/>
      <c r="AO58" s="1100">
        <v>0</v>
      </c>
      <c r="AQ58" s="153">
        <f t="shared" si="3"/>
        <v>0.33333335245429052</v>
      </c>
      <c r="AR58" s="153">
        <f t="shared" si="4"/>
        <v>0</v>
      </c>
      <c r="AS58" s="153">
        <f t="shared" si="5"/>
        <v>0</v>
      </c>
      <c r="AT58" s="153">
        <f t="shared" si="6"/>
        <v>0</v>
      </c>
      <c r="AU58" s="153">
        <f t="shared" si="7"/>
        <v>0</v>
      </c>
      <c r="AW58" s="1543">
        <v>0.75</v>
      </c>
      <c r="AX58" s="1102"/>
      <c r="AY58" s="1544">
        <v>0.25</v>
      </c>
      <c r="BA58" s="1103">
        <v>0</v>
      </c>
      <c r="BB58" s="1103">
        <v>0</v>
      </c>
      <c r="BC58" s="1103">
        <v>0</v>
      </c>
      <c r="BD58" s="1103">
        <v>0</v>
      </c>
      <c r="BE58" s="1103">
        <v>0</v>
      </c>
      <c r="BF58" s="1103">
        <v>348.65758</v>
      </c>
      <c r="BG58" s="1103">
        <v>0</v>
      </c>
      <c r="BH58" s="1103">
        <v>0</v>
      </c>
      <c r="BI58" s="1103">
        <v>0</v>
      </c>
      <c r="BJ58" s="1103">
        <v>0</v>
      </c>
    </row>
    <row r="59" spans="2:62" hidden="1" outlineLevel="2">
      <c r="B59" s="1094"/>
      <c r="C59" s="1083" t="s">
        <v>220</v>
      </c>
      <c r="D59" s="1062" t="s">
        <v>221</v>
      </c>
      <c r="E59" s="1083" t="s">
        <v>222</v>
      </c>
      <c r="F59" s="1095">
        <v>2020</v>
      </c>
      <c r="G59" s="1096">
        <f t="shared" si="0"/>
        <v>311.62266</v>
      </c>
      <c r="H59" s="1083" t="s">
        <v>29</v>
      </c>
      <c r="I59" s="1097">
        <v>8</v>
      </c>
      <c r="J59" s="1098">
        <f t="shared" si="1"/>
        <v>96</v>
      </c>
      <c r="K59" s="153">
        <f t="shared" si="2"/>
        <v>0.125</v>
      </c>
      <c r="L59" s="1099"/>
      <c r="M59" s="1100">
        <v>11.000002117946108</v>
      </c>
      <c r="N59" s="1101">
        <f>IF($BF59=0,0,IF(SUM($M59:M59)&lt;($J59-12),12,$J59-SUM($M59:M59)))</f>
        <v>12</v>
      </c>
      <c r="O59" s="1101">
        <f>IF($BF59=0,0,IF(SUM($M59:N59)&lt;($J59-12),12,$J59-SUM($M59:N59)))</f>
        <v>12</v>
      </c>
      <c r="P59" s="1101">
        <f>IF($BF59=0,0,IF(SUM($M59:O59)&lt;($J59-12),12,$J59-SUM($M59:O59)))</f>
        <v>12</v>
      </c>
      <c r="Q59" s="1101">
        <f>IF($BF59=0,0,IF(SUM($M59:P59)&lt;($J59-12),12,$J59-SUM($M59:P59)))</f>
        <v>12</v>
      </c>
      <c r="S59" s="1100"/>
      <c r="T59" s="1100">
        <v>0</v>
      </c>
      <c r="U59" s="1101">
        <f>IF($BG59=0,0,IF(SUM($S59:T59)&lt;($J59-12),12,$J59-SUM($S59:T59)))</f>
        <v>0</v>
      </c>
      <c r="V59" s="1101">
        <f>IF($BG59=0,0,IF(SUM($S59:U59)&lt;($J59-12),12,$J59-SUM($S59:U59)))</f>
        <v>0</v>
      </c>
      <c r="W59" s="1101">
        <f>IF($BG59=0,0,IF(SUM($S59:V59)&lt;($J59-12),12,$J59-SUM($S59:V59)))</f>
        <v>0</v>
      </c>
      <c r="Y59" s="1100"/>
      <c r="Z59" s="1100"/>
      <c r="AA59" s="1100">
        <v>0</v>
      </c>
      <c r="AB59" s="1101">
        <f>IF($BH59=0,0,IF(SUM($Y59:AA59)&lt;($J59-12),12,$J59-SUM($Y59:AA59)))</f>
        <v>0</v>
      </c>
      <c r="AC59" s="1101">
        <f>IF($BH59=0,0,IF(SUM($Y59:AB59)&lt;($J59-12),12,$J59-SUM($Y59:AB59)))</f>
        <v>0</v>
      </c>
      <c r="AE59" s="1100"/>
      <c r="AF59" s="1100"/>
      <c r="AG59" s="1100"/>
      <c r="AH59" s="1100">
        <v>0</v>
      </c>
      <c r="AI59" s="1101">
        <f>IF($BI59=0,0,IF(SUM($AE59:AH59)&lt;($J59-12),12,$J59-SUM($AE59:AH59)))</f>
        <v>0</v>
      </c>
      <c r="AK59" s="1100"/>
      <c r="AL59" s="1100"/>
      <c r="AM59" s="1100"/>
      <c r="AN59" s="1100"/>
      <c r="AO59" s="1100">
        <v>0</v>
      </c>
      <c r="AQ59" s="153">
        <f t="shared" si="3"/>
        <v>0.91666684316217573</v>
      </c>
      <c r="AR59" s="153">
        <f t="shared" si="4"/>
        <v>0</v>
      </c>
      <c r="AS59" s="153">
        <f t="shared" si="5"/>
        <v>0</v>
      </c>
      <c r="AT59" s="153">
        <f t="shared" si="6"/>
        <v>0</v>
      </c>
      <c r="AU59" s="153">
        <f t="shared" si="7"/>
        <v>0</v>
      </c>
      <c r="AW59" s="1543">
        <v>0.75</v>
      </c>
      <c r="AX59" s="1102"/>
      <c r="AY59" s="1544">
        <v>0.25</v>
      </c>
      <c r="BA59" s="1103">
        <v>0</v>
      </c>
      <c r="BB59" s="1103">
        <v>0</v>
      </c>
      <c r="BC59" s="1103">
        <v>0</v>
      </c>
      <c r="BD59" s="1103">
        <v>0</v>
      </c>
      <c r="BE59" s="1103">
        <v>0</v>
      </c>
      <c r="BF59" s="1103">
        <v>311.62266</v>
      </c>
      <c r="BG59" s="1103">
        <v>0</v>
      </c>
      <c r="BH59" s="1103">
        <v>0</v>
      </c>
      <c r="BI59" s="1103">
        <v>0</v>
      </c>
      <c r="BJ59" s="1103">
        <v>0</v>
      </c>
    </row>
    <row r="60" spans="2:62" hidden="1" outlineLevel="2">
      <c r="B60" s="1094"/>
      <c r="C60" s="1083" t="s">
        <v>223</v>
      </c>
      <c r="D60" s="1062" t="s">
        <v>224</v>
      </c>
      <c r="E60" s="1083" t="s">
        <v>225</v>
      </c>
      <c r="F60" s="1095">
        <v>2020</v>
      </c>
      <c r="G60" s="1096">
        <f t="shared" si="0"/>
        <v>309.85399999999998</v>
      </c>
      <c r="H60" s="1083" t="s">
        <v>29</v>
      </c>
      <c r="I60" s="1097">
        <v>8</v>
      </c>
      <c r="J60" s="1098">
        <f t="shared" si="1"/>
        <v>96</v>
      </c>
      <c r="K60" s="153">
        <f t="shared" si="2"/>
        <v>0.125</v>
      </c>
      <c r="L60" s="1099"/>
      <c r="M60" s="1100">
        <v>4.0000051637222693</v>
      </c>
      <c r="N60" s="1101">
        <f>IF($BF60=0,0,IF(SUM($M60:M60)&lt;($J60-12),12,$J60-SUM($M60:M60)))</f>
        <v>12</v>
      </c>
      <c r="O60" s="1101">
        <f>IF($BF60=0,0,IF(SUM($M60:N60)&lt;($J60-12),12,$J60-SUM($M60:N60)))</f>
        <v>12</v>
      </c>
      <c r="P60" s="1101">
        <f>IF($BF60=0,0,IF(SUM($M60:O60)&lt;($J60-12),12,$J60-SUM($M60:O60)))</f>
        <v>12</v>
      </c>
      <c r="Q60" s="1101">
        <f>IF($BF60=0,0,IF(SUM($M60:P60)&lt;($J60-12),12,$J60-SUM($M60:P60)))</f>
        <v>12</v>
      </c>
      <c r="S60" s="1100"/>
      <c r="T60" s="1100">
        <v>0</v>
      </c>
      <c r="U60" s="1101">
        <f>IF($BG60=0,0,IF(SUM($S60:T60)&lt;($J60-12),12,$J60-SUM($S60:T60)))</f>
        <v>0</v>
      </c>
      <c r="V60" s="1101">
        <f>IF($BG60=0,0,IF(SUM($S60:U60)&lt;($J60-12),12,$J60-SUM($S60:U60)))</f>
        <v>0</v>
      </c>
      <c r="W60" s="1101">
        <f>IF($BG60=0,0,IF(SUM($S60:V60)&lt;($J60-12),12,$J60-SUM($S60:V60)))</f>
        <v>0</v>
      </c>
      <c r="Y60" s="1100"/>
      <c r="Z60" s="1100"/>
      <c r="AA60" s="1100">
        <v>0</v>
      </c>
      <c r="AB60" s="1101">
        <f>IF($BH60=0,0,IF(SUM($Y60:AA60)&lt;($J60-12),12,$J60-SUM($Y60:AA60)))</f>
        <v>0</v>
      </c>
      <c r="AC60" s="1101">
        <f>IF($BH60=0,0,IF(SUM($Y60:AB60)&lt;($J60-12),12,$J60-SUM($Y60:AB60)))</f>
        <v>0</v>
      </c>
      <c r="AE60" s="1100"/>
      <c r="AF60" s="1100"/>
      <c r="AG60" s="1100"/>
      <c r="AH60" s="1100">
        <v>0</v>
      </c>
      <c r="AI60" s="1101">
        <f>IF($BI60=0,0,IF(SUM($AE60:AH60)&lt;($J60-12),12,$J60-SUM($AE60:AH60)))</f>
        <v>0</v>
      </c>
      <c r="AK60" s="1100"/>
      <c r="AL60" s="1100"/>
      <c r="AM60" s="1100"/>
      <c r="AN60" s="1100"/>
      <c r="AO60" s="1100">
        <v>0</v>
      </c>
      <c r="AQ60" s="153">
        <f t="shared" si="3"/>
        <v>0.33333376364352246</v>
      </c>
      <c r="AR60" s="153">
        <f t="shared" si="4"/>
        <v>0</v>
      </c>
      <c r="AS60" s="153">
        <f t="shared" si="5"/>
        <v>0</v>
      </c>
      <c r="AT60" s="153">
        <f t="shared" si="6"/>
        <v>0</v>
      </c>
      <c r="AU60" s="153">
        <f t="shared" si="7"/>
        <v>0</v>
      </c>
      <c r="AW60" s="1543">
        <v>0.75</v>
      </c>
      <c r="AX60" s="1102"/>
      <c r="AY60" s="1544">
        <v>0.25</v>
      </c>
      <c r="BA60" s="1103">
        <v>0</v>
      </c>
      <c r="BB60" s="1103">
        <v>0</v>
      </c>
      <c r="BC60" s="1103">
        <v>0</v>
      </c>
      <c r="BD60" s="1103">
        <v>0</v>
      </c>
      <c r="BE60" s="1103">
        <v>0</v>
      </c>
      <c r="BF60" s="1103">
        <v>309.85399999999998</v>
      </c>
      <c r="BG60" s="1103">
        <v>0</v>
      </c>
      <c r="BH60" s="1103">
        <v>0</v>
      </c>
      <c r="BI60" s="1103">
        <v>0</v>
      </c>
      <c r="BJ60" s="1103">
        <v>0</v>
      </c>
    </row>
    <row r="61" spans="2:62" hidden="1" outlineLevel="2">
      <c r="B61" s="1094"/>
      <c r="C61" s="1083" t="s">
        <v>226</v>
      </c>
      <c r="D61" s="1062" t="s">
        <v>227</v>
      </c>
      <c r="E61" s="1083" t="s">
        <v>228</v>
      </c>
      <c r="F61" s="1095">
        <v>2020</v>
      </c>
      <c r="G61" s="1096">
        <f t="shared" si="0"/>
        <v>45.787759999999999</v>
      </c>
      <c r="H61" s="1083" t="s">
        <v>29</v>
      </c>
      <c r="I61" s="1097">
        <v>8</v>
      </c>
      <c r="J61" s="1098">
        <f t="shared" si="1"/>
        <v>96</v>
      </c>
      <c r="K61" s="153">
        <f t="shared" si="2"/>
        <v>0.125</v>
      </c>
      <c r="L61" s="1099"/>
      <c r="M61" s="1100">
        <v>3.8670666571153514</v>
      </c>
      <c r="N61" s="1101">
        <f>IF($BF61=0,0,IF(SUM($M61:M61)&lt;($J61-12),12,$J61-SUM($M61:M61)))</f>
        <v>12</v>
      </c>
      <c r="O61" s="1101">
        <f>IF($BF61=0,0,IF(SUM($M61:N61)&lt;($J61-12),12,$J61-SUM($M61:N61)))</f>
        <v>12</v>
      </c>
      <c r="P61" s="1101">
        <f>IF($BF61=0,0,IF(SUM($M61:O61)&lt;($J61-12),12,$J61-SUM($M61:O61)))</f>
        <v>12</v>
      </c>
      <c r="Q61" s="1101">
        <f>IF($BF61=0,0,IF(SUM($M61:P61)&lt;($J61-12),12,$J61-SUM($M61:P61)))</f>
        <v>12</v>
      </c>
      <c r="S61" s="1100"/>
      <c r="T61" s="1100">
        <v>0</v>
      </c>
      <c r="U61" s="1101">
        <f>IF($BG61=0,0,IF(SUM($S61:T61)&lt;($J61-12),12,$J61-SUM($S61:T61)))</f>
        <v>0</v>
      </c>
      <c r="V61" s="1101">
        <f>IF($BG61=0,0,IF(SUM($S61:U61)&lt;($J61-12),12,$J61-SUM($S61:U61)))</f>
        <v>0</v>
      </c>
      <c r="W61" s="1101">
        <f>IF($BG61=0,0,IF(SUM($S61:V61)&lt;($J61-12),12,$J61-SUM($S61:V61)))</f>
        <v>0</v>
      </c>
      <c r="Y61" s="1100"/>
      <c r="Z61" s="1100"/>
      <c r="AA61" s="1100">
        <v>0</v>
      </c>
      <c r="AB61" s="1101">
        <f>IF($BH61=0,0,IF(SUM($Y61:AA61)&lt;($J61-12),12,$J61-SUM($Y61:AA61)))</f>
        <v>0</v>
      </c>
      <c r="AC61" s="1101">
        <f>IF($BH61=0,0,IF(SUM($Y61:AB61)&lt;($J61-12),12,$J61-SUM($Y61:AB61)))</f>
        <v>0</v>
      </c>
      <c r="AE61" s="1100"/>
      <c r="AF61" s="1100"/>
      <c r="AG61" s="1100"/>
      <c r="AH61" s="1100">
        <v>0</v>
      </c>
      <c r="AI61" s="1101">
        <f>IF($BI61=0,0,IF(SUM($AE61:AH61)&lt;($J61-12),12,$J61-SUM($AE61:AH61)))</f>
        <v>0</v>
      </c>
      <c r="AK61" s="1100"/>
      <c r="AL61" s="1100"/>
      <c r="AM61" s="1100"/>
      <c r="AN61" s="1100"/>
      <c r="AO61" s="1100">
        <v>0</v>
      </c>
      <c r="AQ61" s="153">
        <f t="shared" si="3"/>
        <v>0.32225555475961259</v>
      </c>
      <c r="AR61" s="153">
        <f t="shared" si="4"/>
        <v>0</v>
      </c>
      <c r="AS61" s="153">
        <f t="shared" si="5"/>
        <v>0</v>
      </c>
      <c r="AT61" s="153">
        <f t="shared" si="6"/>
        <v>0</v>
      </c>
      <c r="AU61" s="153">
        <f t="shared" si="7"/>
        <v>0</v>
      </c>
      <c r="AW61" s="1543">
        <v>1</v>
      </c>
      <c r="AX61" s="1102"/>
      <c r="AY61" s="1544">
        <v>0</v>
      </c>
      <c r="BA61" s="1103">
        <v>0</v>
      </c>
      <c r="BB61" s="1103">
        <v>0</v>
      </c>
      <c r="BC61" s="1103">
        <v>0</v>
      </c>
      <c r="BD61" s="1103">
        <v>0</v>
      </c>
      <c r="BE61" s="1103">
        <v>0</v>
      </c>
      <c r="BF61" s="1103">
        <v>45.787759999999999</v>
      </c>
      <c r="BG61" s="1103">
        <v>0</v>
      </c>
      <c r="BH61" s="1103">
        <v>0</v>
      </c>
      <c r="BI61" s="1103">
        <v>0</v>
      </c>
      <c r="BJ61" s="1103">
        <v>0</v>
      </c>
    </row>
    <row r="62" spans="2:62" hidden="1" outlineLevel="2">
      <c r="B62" s="1094"/>
      <c r="C62" s="1083" t="s">
        <v>229</v>
      </c>
      <c r="D62" s="1062" t="s">
        <v>227</v>
      </c>
      <c r="E62" s="1083" t="s">
        <v>230</v>
      </c>
      <c r="F62" s="1095">
        <v>2020</v>
      </c>
      <c r="G62" s="1096">
        <f t="shared" si="0"/>
        <v>32.5</v>
      </c>
      <c r="H62" s="1083" t="s">
        <v>29</v>
      </c>
      <c r="I62" s="1097">
        <v>8</v>
      </c>
      <c r="J62" s="1098">
        <f t="shared" si="1"/>
        <v>96</v>
      </c>
      <c r="K62" s="153">
        <f t="shared" si="2"/>
        <v>0.125</v>
      </c>
      <c r="L62" s="1099"/>
      <c r="M62" s="1100">
        <v>6.9999655384615389</v>
      </c>
      <c r="N62" s="1101">
        <f>IF($BF62=0,0,IF(SUM($M62:M62)&lt;($J62-12),12,$J62-SUM($M62:M62)))</f>
        <v>12</v>
      </c>
      <c r="O62" s="1101">
        <f>IF($BF62=0,0,IF(SUM($M62:N62)&lt;($J62-12),12,$J62-SUM($M62:N62)))</f>
        <v>12</v>
      </c>
      <c r="P62" s="1101">
        <f>IF($BF62=0,0,IF(SUM($M62:O62)&lt;($J62-12),12,$J62-SUM($M62:O62)))</f>
        <v>12</v>
      </c>
      <c r="Q62" s="1101">
        <f>IF($BF62=0,0,IF(SUM($M62:P62)&lt;($J62-12),12,$J62-SUM($M62:P62)))</f>
        <v>12</v>
      </c>
      <c r="S62" s="1100"/>
      <c r="T62" s="1100">
        <v>0</v>
      </c>
      <c r="U62" s="1101">
        <f>IF($BG62=0,0,IF(SUM($S62:T62)&lt;($J62-12),12,$J62-SUM($S62:T62)))</f>
        <v>0</v>
      </c>
      <c r="V62" s="1101">
        <f>IF($BG62=0,0,IF(SUM($S62:U62)&lt;($J62-12),12,$J62-SUM($S62:U62)))</f>
        <v>0</v>
      </c>
      <c r="W62" s="1101">
        <f>IF($BG62=0,0,IF(SUM($S62:V62)&lt;($J62-12),12,$J62-SUM($S62:V62)))</f>
        <v>0</v>
      </c>
      <c r="Y62" s="1100"/>
      <c r="Z62" s="1100"/>
      <c r="AA62" s="1100">
        <v>0</v>
      </c>
      <c r="AB62" s="1101">
        <f>IF($BH62=0,0,IF(SUM($Y62:AA62)&lt;($J62-12),12,$J62-SUM($Y62:AA62)))</f>
        <v>0</v>
      </c>
      <c r="AC62" s="1101">
        <f>IF($BH62=0,0,IF(SUM($Y62:AB62)&lt;($J62-12),12,$J62-SUM($Y62:AB62)))</f>
        <v>0</v>
      </c>
      <c r="AE62" s="1100"/>
      <c r="AF62" s="1100"/>
      <c r="AG62" s="1100"/>
      <c r="AH62" s="1100">
        <v>0</v>
      </c>
      <c r="AI62" s="1101">
        <f>IF($BI62=0,0,IF(SUM($AE62:AH62)&lt;($J62-12),12,$J62-SUM($AE62:AH62)))</f>
        <v>0</v>
      </c>
      <c r="AK62" s="1100"/>
      <c r="AL62" s="1100"/>
      <c r="AM62" s="1100"/>
      <c r="AN62" s="1100"/>
      <c r="AO62" s="1100">
        <v>0</v>
      </c>
      <c r="AQ62" s="153">
        <f t="shared" si="3"/>
        <v>0.58333046153846158</v>
      </c>
      <c r="AR62" s="153">
        <f t="shared" si="4"/>
        <v>0</v>
      </c>
      <c r="AS62" s="153">
        <f t="shared" si="5"/>
        <v>0</v>
      </c>
      <c r="AT62" s="153">
        <f t="shared" si="6"/>
        <v>0</v>
      </c>
      <c r="AU62" s="153">
        <f t="shared" si="7"/>
        <v>0</v>
      </c>
      <c r="AW62" s="1543">
        <v>0</v>
      </c>
      <c r="AX62" s="1102"/>
      <c r="AY62" s="1544">
        <v>1</v>
      </c>
      <c r="BA62" s="1103">
        <v>0</v>
      </c>
      <c r="BB62" s="1103">
        <v>0</v>
      </c>
      <c r="BC62" s="1103">
        <v>0</v>
      </c>
      <c r="BD62" s="1103">
        <v>0</v>
      </c>
      <c r="BE62" s="1103">
        <v>0</v>
      </c>
      <c r="BF62" s="1103">
        <v>32.5</v>
      </c>
      <c r="BG62" s="1103">
        <v>0</v>
      </c>
      <c r="BH62" s="1103">
        <v>0</v>
      </c>
      <c r="BI62" s="1103">
        <v>0</v>
      </c>
      <c r="BJ62" s="1103">
        <v>0</v>
      </c>
    </row>
    <row r="63" spans="2:62" hidden="1" outlineLevel="2">
      <c r="B63" s="1094"/>
      <c r="C63" s="1083" t="s">
        <v>231</v>
      </c>
      <c r="D63" s="1062" t="s">
        <v>227</v>
      </c>
      <c r="E63" s="1083" t="s">
        <v>232</v>
      </c>
      <c r="F63" s="1095">
        <v>2020</v>
      </c>
      <c r="G63" s="1096">
        <f t="shared" si="0"/>
        <v>43.679670000000002</v>
      </c>
      <c r="H63" s="1083" t="s">
        <v>29</v>
      </c>
      <c r="I63" s="1097">
        <v>8</v>
      </c>
      <c r="J63" s="1098">
        <f t="shared" si="1"/>
        <v>96</v>
      </c>
      <c r="K63" s="153">
        <f t="shared" si="2"/>
        <v>0.125</v>
      </c>
      <c r="L63" s="1099"/>
      <c r="M63" s="1100">
        <v>6.0000453300127958</v>
      </c>
      <c r="N63" s="1101">
        <f>IF($BF63=0,0,IF(SUM($M63:M63)&lt;($J63-12),12,$J63-SUM($M63:M63)))</f>
        <v>12</v>
      </c>
      <c r="O63" s="1101">
        <f>IF($BF63=0,0,IF(SUM($M63:N63)&lt;($J63-12),12,$J63-SUM($M63:N63)))</f>
        <v>12</v>
      </c>
      <c r="P63" s="1101">
        <f>IF($BF63=0,0,IF(SUM($M63:O63)&lt;($J63-12),12,$J63-SUM($M63:O63)))</f>
        <v>12</v>
      </c>
      <c r="Q63" s="1101">
        <f>IF($BF63=0,0,IF(SUM($M63:P63)&lt;($J63-12),12,$J63-SUM($M63:P63)))</f>
        <v>12</v>
      </c>
      <c r="S63" s="1100"/>
      <c r="T63" s="1100">
        <v>0</v>
      </c>
      <c r="U63" s="1101">
        <f>IF($BG63=0,0,IF(SUM($S63:T63)&lt;($J63-12),12,$J63-SUM($S63:T63)))</f>
        <v>0</v>
      </c>
      <c r="V63" s="1101">
        <f>IF($BG63=0,0,IF(SUM($S63:U63)&lt;($J63-12),12,$J63-SUM($S63:U63)))</f>
        <v>0</v>
      </c>
      <c r="W63" s="1101">
        <f>IF($BG63=0,0,IF(SUM($S63:V63)&lt;($J63-12),12,$J63-SUM($S63:V63)))</f>
        <v>0</v>
      </c>
      <c r="Y63" s="1100"/>
      <c r="Z63" s="1100"/>
      <c r="AA63" s="1100">
        <v>0</v>
      </c>
      <c r="AB63" s="1101">
        <f>IF($BH63=0,0,IF(SUM($Y63:AA63)&lt;($J63-12),12,$J63-SUM($Y63:AA63)))</f>
        <v>0</v>
      </c>
      <c r="AC63" s="1101">
        <f>IF($BH63=0,0,IF(SUM($Y63:AB63)&lt;($J63-12),12,$J63-SUM($Y63:AB63)))</f>
        <v>0</v>
      </c>
      <c r="AE63" s="1100"/>
      <c r="AF63" s="1100"/>
      <c r="AG63" s="1100"/>
      <c r="AH63" s="1100">
        <v>0</v>
      </c>
      <c r="AI63" s="1101">
        <f>IF($BI63=0,0,IF(SUM($AE63:AH63)&lt;($J63-12),12,$J63-SUM($AE63:AH63)))</f>
        <v>0</v>
      </c>
      <c r="AK63" s="1100"/>
      <c r="AL63" s="1100"/>
      <c r="AM63" s="1100"/>
      <c r="AN63" s="1100"/>
      <c r="AO63" s="1100">
        <v>0</v>
      </c>
      <c r="AQ63" s="153">
        <f t="shared" si="3"/>
        <v>0.50000377750106628</v>
      </c>
      <c r="AR63" s="153">
        <f t="shared" si="4"/>
        <v>0</v>
      </c>
      <c r="AS63" s="153">
        <f t="shared" si="5"/>
        <v>0</v>
      </c>
      <c r="AT63" s="153">
        <f t="shared" si="6"/>
        <v>0</v>
      </c>
      <c r="AU63" s="153">
        <f t="shared" si="7"/>
        <v>0</v>
      </c>
      <c r="AW63" s="1543">
        <v>0.75</v>
      </c>
      <c r="AX63" s="1102"/>
      <c r="AY63" s="1544">
        <v>0.25</v>
      </c>
      <c r="BA63" s="1103">
        <v>0</v>
      </c>
      <c r="BB63" s="1103">
        <v>0</v>
      </c>
      <c r="BC63" s="1103">
        <v>0</v>
      </c>
      <c r="BD63" s="1103">
        <v>0</v>
      </c>
      <c r="BE63" s="1103">
        <v>0</v>
      </c>
      <c r="BF63" s="1103">
        <v>43.679670000000002</v>
      </c>
      <c r="BG63" s="1103">
        <v>0</v>
      </c>
      <c r="BH63" s="1103">
        <v>0</v>
      </c>
      <c r="BI63" s="1103">
        <v>0</v>
      </c>
      <c r="BJ63" s="1103">
        <v>0</v>
      </c>
    </row>
    <row r="64" spans="2:62" hidden="1" outlineLevel="2">
      <c r="B64" s="1094"/>
      <c r="C64" s="1083" t="s">
        <v>233</v>
      </c>
      <c r="D64" s="1062" t="s">
        <v>227</v>
      </c>
      <c r="E64" s="1083" t="s">
        <v>234</v>
      </c>
      <c r="F64" s="1095">
        <v>2020</v>
      </c>
      <c r="G64" s="1096">
        <f t="shared" si="0"/>
        <v>43.679670000000002</v>
      </c>
      <c r="H64" s="1083" t="s">
        <v>29</v>
      </c>
      <c r="I64" s="1097">
        <v>8</v>
      </c>
      <c r="J64" s="1098">
        <f t="shared" si="1"/>
        <v>96</v>
      </c>
      <c r="K64" s="153">
        <f t="shared" si="2"/>
        <v>0.125</v>
      </c>
      <c r="L64" s="1099"/>
      <c r="M64" s="1100">
        <v>6.0000453300127958</v>
      </c>
      <c r="N64" s="1101">
        <f>IF($BF64=0,0,IF(SUM($M64:M64)&lt;($J64-12),12,$J64-SUM($M64:M64)))</f>
        <v>12</v>
      </c>
      <c r="O64" s="1101">
        <f>IF($BF64=0,0,IF(SUM($M64:N64)&lt;($J64-12),12,$J64-SUM($M64:N64)))</f>
        <v>12</v>
      </c>
      <c r="P64" s="1101">
        <f>IF($BF64=0,0,IF(SUM($M64:O64)&lt;($J64-12),12,$J64-SUM($M64:O64)))</f>
        <v>12</v>
      </c>
      <c r="Q64" s="1101">
        <f>IF($BF64=0,0,IF(SUM($M64:P64)&lt;($J64-12),12,$J64-SUM($M64:P64)))</f>
        <v>12</v>
      </c>
      <c r="S64" s="1100"/>
      <c r="T64" s="1100">
        <v>0</v>
      </c>
      <c r="U64" s="1101">
        <f>IF($BG64=0,0,IF(SUM($S64:T64)&lt;($J64-12),12,$J64-SUM($S64:T64)))</f>
        <v>0</v>
      </c>
      <c r="V64" s="1101">
        <f>IF($BG64=0,0,IF(SUM($S64:U64)&lt;($J64-12),12,$J64-SUM($S64:U64)))</f>
        <v>0</v>
      </c>
      <c r="W64" s="1101">
        <f>IF($BG64=0,0,IF(SUM($S64:V64)&lt;($J64-12),12,$J64-SUM($S64:V64)))</f>
        <v>0</v>
      </c>
      <c r="Y64" s="1100"/>
      <c r="Z64" s="1100"/>
      <c r="AA64" s="1100">
        <v>0</v>
      </c>
      <c r="AB64" s="1101">
        <f>IF($BH64=0,0,IF(SUM($Y64:AA64)&lt;($J64-12),12,$J64-SUM($Y64:AA64)))</f>
        <v>0</v>
      </c>
      <c r="AC64" s="1101">
        <f>IF($BH64=0,0,IF(SUM($Y64:AB64)&lt;($J64-12),12,$J64-SUM($Y64:AB64)))</f>
        <v>0</v>
      </c>
      <c r="AE64" s="1100"/>
      <c r="AF64" s="1100"/>
      <c r="AG64" s="1100"/>
      <c r="AH64" s="1100">
        <v>0</v>
      </c>
      <c r="AI64" s="1101">
        <f>IF($BI64=0,0,IF(SUM($AE64:AH64)&lt;($J64-12),12,$J64-SUM($AE64:AH64)))</f>
        <v>0</v>
      </c>
      <c r="AK64" s="1100"/>
      <c r="AL64" s="1100"/>
      <c r="AM64" s="1100"/>
      <c r="AN64" s="1100"/>
      <c r="AO64" s="1100">
        <v>0</v>
      </c>
      <c r="AQ64" s="153">
        <f t="shared" si="3"/>
        <v>0.50000377750106628</v>
      </c>
      <c r="AR64" s="153">
        <f t="shared" si="4"/>
        <v>0</v>
      </c>
      <c r="AS64" s="153">
        <f t="shared" si="5"/>
        <v>0</v>
      </c>
      <c r="AT64" s="153">
        <f t="shared" si="6"/>
        <v>0</v>
      </c>
      <c r="AU64" s="153">
        <f t="shared" si="7"/>
        <v>0</v>
      </c>
      <c r="AW64" s="1543">
        <v>0.5</v>
      </c>
      <c r="AX64" s="1102"/>
      <c r="AY64" s="1544">
        <v>0.5</v>
      </c>
      <c r="BA64" s="1103">
        <v>0</v>
      </c>
      <c r="BB64" s="1103">
        <v>0</v>
      </c>
      <c r="BC64" s="1103">
        <v>0</v>
      </c>
      <c r="BD64" s="1103">
        <v>0</v>
      </c>
      <c r="BE64" s="1103">
        <v>0</v>
      </c>
      <c r="BF64" s="1103">
        <v>43.679670000000002</v>
      </c>
      <c r="BG64" s="1103">
        <v>0</v>
      </c>
      <c r="BH64" s="1103">
        <v>0</v>
      </c>
      <c r="BI64" s="1103">
        <v>0</v>
      </c>
      <c r="BJ64" s="1103">
        <v>0</v>
      </c>
    </row>
    <row r="65" spans="2:62" hidden="1" outlineLevel="2">
      <c r="B65" s="1094"/>
      <c r="C65" s="1083" t="s">
        <v>235</v>
      </c>
      <c r="D65" s="1062" t="s">
        <v>236</v>
      </c>
      <c r="E65" s="1083" t="s">
        <v>237</v>
      </c>
      <c r="F65" s="1095">
        <v>2020</v>
      </c>
      <c r="G65" s="1096">
        <f t="shared" si="0"/>
        <v>23.65869</v>
      </c>
      <c r="H65" s="1083" t="s">
        <v>29</v>
      </c>
      <c r="I65" s="1097">
        <v>3.0833333333333335</v>
      </c>
      <c r="J65" s="1098">
        <f t="shared" si="1"/>
        <v>37</v>
      </c>
      <c r="K65" s="153">
        <f t="shared" si="2"/>
        <v>0.32432432432432429</v>
      </c>
      <c r="L65" s="1099"/>
      <c r="M65" s="1100">
        <v>5.1389214702927335</v>
      </c>
      <c r="N65" s="1101">
        <f>IF($BF65=0,0,IF(SUM($M65:M65)&lt;($J65-12),12,$J65-SUM($M65:M65)))</f>
        <v>12</v>
      </c>
      <c r="O65" s="1101">
        <f>IF($BF65=0,0,IF(SUM($M65:N65)&lt;($J65-12),12,$J65-SUM($M65:N65)))</f>
        <v>12</v>
      </c>
      <c r="P65" s="1101">
        <f>IF($BF65=0,0,IF(SUM($M65:O65)&lt;($J65-12),12,$J65-SUM($M65:O65)))</f>
        <v>7.8610785297072674</v>
      </c>
      <c r="Q65" s="1101">
        <f>IF($BF65=0,0,IF(SUM($M65:P65)&lt;($J65-12),12,$J65-SUM($M65:P65)))</f>
        <v>0</v>
      </c>
      <c r="S65" s="1100"/>
      <c r="T65" s="1100">
        <v>0</v>
      </c>
      <c r="U65" s="1101">
        <f>IF($BG65=0,0,IF(SUM($S65:T65)&lt;($J65-12),12,$J65-SUM($S65:T65)))</f>
        <v>0</v>
      </c>
      <c r="V65" s="1101">
        <f>IF($BG65=0,0,IF(SUM($S65:U65)&lt;($J65-12),12,$J65-SUM($S65:U65)))</f>
        <v>0</v>
      </c>
      <c r="W65" s="1101">
        <f>IF($BG65=0,0,IF(SUM($S65:V65)&lt;($J65-12),12,$J65-SUM($S65:V65)))</f>
        <v>0</v>
      </c>
      <c r="Y65" s="1100"/>
      <c r="Z65" s="1100"/>
      <c r="AA65" s="1100">
        <v>0</v>
      </c>
      <c r="AB65" s="1101">
        <f>IF($BH65=0,0,IF(SUM($Y65:AA65)&lt;($J65-12),12,$J65-SUM($Y65:AA65)))</f>
        <v>0</v>
      </c>
      <c r="AC65" s="1101">
        <f>IF($BH65=0,0,IF(SUM($Y65:AB65)&lt;($J65-12),12,$J65-SUM($Y65:AB65)))</f>
        <v>0</v>
      </c>
      <c r="AE65" s="1100"/>
      <c r="AF65" s="1100"/>
      <c r="AG65" s="1100"/>
      <c r="AH65" s="1100">
        <v>0</v>
      </c>
      <c r="AI65" s="1101">
        <f>IF($BI65=0,0,IF(SUM($AE65:AH65)&lt;($J65-12),12,$J65-SUM($AE65:AH65)))</f>
        <v>0</v>
      </c>
      <c r="AK65" s="1100"/>
      <c r="AL65" s="1100"/>
      <c r="AM65" s="1100"/>
      <c r="AN65" s="1100"/>
      <c r="AO65" s="1100">
        <v>0</v>
      </c>
      <c r="AQ65" s="153">
        <f t="shared" si="3"/>
        <v>0.42824345585772777</v>
      </c>
      <c r="AR65" s="153">
        <f t="shared" si="4"/>
        <v>0</v>
      </c>
      <c r="AS65" s="153">
        <f t="shared" si="5"/>
        <v>0</v>
      </c>
      <c r="AT65" s="153">
        <f t="shared" si="6"/>
        <v>0</v>
      </c>
      <c r="AU65" s="153">
        <f t="shared" si="7"/>
        <v>0</v>
      </c>
      <c r="AW65" s="1543">
        <v>0.73</v>
      </c>
      <c r="AX65" s="1102"/>
      <c r="AY65" s="1544">
        <v>0.15</v>
      </c>
      <c r="BA65" s="1103">
        <v>0</v>
      </c>
      <c r="BB65" s="1103">
        <v>0</v>
      </c>
      <c r="BC65" s="1103">
        <v>0</v>
      </c>
      <c r="BD65" s="1103">
        <v>0</v>
      </c>
      <c r="BE65" s="1103">
        <v>0</v>
      </c>
      <c r="BF65" s="1103">
        <v>23.65869</v>
      </c>
      <c r="BG65" s="1103">
        <v>0</v>
      </c>
      <c r="BH65" s="1103">
        <v>0</v>
      </c>
      <c r="BI65" s="1103">
        <v>0</v>
      </c>
      <c r="BJ65" s="1103">
        <v>0</v>
      </c>
    </row>
    <row r="66" spans="2:62" hidden="1" outlineLevel="2">
      <c r="B66" s="1094"/>
      <c r="C66" s="1083" t="s">
        <v>238</v>
      </c>
      <c r="D66" s="1062" t="s">
        <v>236</v>
      </c>
      <c r="E66" s="1083" t="s">
        <v>239</v>
      </c>
      <c r="F66" s="1095">
        <v>2020</v>
      </c>
      <c r="G66" s="1096">
        <f t="shared" si="0"/>
        <v>19.861369999999997</v>
      </c>
      <c r="H66" s="1083" t="s">
        <v>29</v>
      </c>
      <c r="I66" s="1097">
        <v>3</v>
      </c>
      <c r="J66" s="1098">
        <f t="shared" si="1"/>
        <v>36</v>
      </c>
      <c r="K66" s="153">
        <f t="shared" si="2"/>
        <v>0.33333333333333331</v>
      </c>
      <c r="L66" s="1099"/>
      <c r="M66" s="1100">
        <v>3.999983888321903</v>
      </c>
      <c r="N66" s="1101">
        <f>IF($BF66=0,0,IF(SUM($M66:M66)&lt;($J66-12),12,$J66-SUM($M66:M66)))</f>
        <v>12</v>
      </c>
      <c r="O66" s="1101">
        <f>IF($BF66=0,0,IF(SUM($M66:N66)&lt;($J66-12),12,$J66-SUM($M66:N66)))</f>
        <v>12</v>
      </c>
      <c r="P66" s="1101">
        <f>IF($BF66=0,0,IF(SUM($M66:O66)&lt;($J66-12),12,$J66-SUM($M66:O66)))</f>
        <v>8.0000161116780966</v>
      </c>
      <c r="Q66" s="1101">
        <f>IF($BF66=0,0,IF(SUM($M66:P66)&lt;($J66-12),12,$J66-SUM($M66:P66)))</f>
        <v>0</v>
      </c>
      <c r="S66" s="1100"/>
      <c r="T66" s="1100">
        <v>0</v>
      </c>
      <c r="U66" s="1101">
        <f>IF($BG66=0,0,IF(SUM($S66:T66)&lt;($J66-12),12,$J66-SUM($S66:T66)))</f>
        <v>0</v>
      </c>
      <c r="V66" s="1101">
        <f>IF($BG66=0,0,IF(SUM($S66:U66)&lt;($J66-12),12,$J66-SUM($S66:U66)))</f>
        <v>0</v>
      </c>
      <c r="W66" s="1101">
        <f>IF($BG66=0,0,IF(SUM($S66:V66)&lt;($J66-12),12,$J66-SUM($S66:V66)))</f>
        <v>0</v>
      </c>
      <c r="Y66" s="1100"/>
      <c r="Z66" s="1100"/>
      <c r="AA66" s="1100">
        <v>0</v>
      </c>
      <c r="AB66" s="1101">
        <f>IF($BH66=0,0,IF(SUM($Y66:AA66)&lt;($J66-12),12,$J66-SUM($Y66:AA66)))</f>
        <v>0</v>
      </c>
      <c r="AC66" s="1101">
        <f>IF($BH66=0,0,IF(SUM($Y66:AB66)&lt;($J66-12),12,$J66-SUM($Y66:AB66)))</f>
        <v>0</v>
      </c>
      <c r="AE66" s="1100"/>
      <c r="AF66" s="1100"/>
      <c r="AG66" s="1100"/>
      <c r="AH66" s="1100">
        <v>0</v>
      </c>
      <c r="AI66" s="1101">
        <f>IF($BI66=0,0,IF(SUM($AE66:AH66)&lt;($J66-12),12,$J66-SUM($AE66:AH66)))</f>
        <v>0</v>
      </c>
      <c r="AK66" s="1100"/>
      <c r="AL66" s="1100"/>
      <c r="AM66" s="1100"/>
      <c r="AN66" s="1100"/>
      <c r="AO66" s="1100">
        <v>0</v>
      </c>
      <c r="AQ66" s="153">
        <f t="shared" si="3"/>
        <v>0.3333319906934919</v>
      </c>
      <c r="AR66" s="153">
        <f t="shared" si="4"/>
        <v>0</v>
      </c>
      <c r="AS66" s="153">
        <f t="shared" si="5"/>
        <v>0</v>
      </c>
      <c r="AT66" s="153">
        <f t="shared" si="6"/>
        <v>0</v>
      </c>
      <c r="AU66" s="153">
        <f t="shared" si="7"/>
        <v>0</v>
      </c>
      <c r="AW66" s="1543">
        <v>0.73</v>
      </c>
      <c r="AX66" s="1102"/>
      <c r="AY66" s="1544">
        <v>0.15</v>
      </c>
      <c r="BA66" s="1103">
        <v>0</v>
      </c>
      <c r="BB66" s="1103">
        <v>0</v>
      </c>
      <c r="BC66" s="1103">
        <v>0</v>
      </c>
      <c r="BD66" s="1103">
        <v>0</v>
      </c>
      <c r="BE66" s="1103">
        <v>0</v>
      </c>
      <c r="BF66" s="1103">
        <v>19.861369999999997</v>
      </c>
      <c r="BG66" s="1103">
        <v>0</v>
      </c>
      <c r="BH66" s="1103">
        <v>0</v>
      </c>
      <c r="BI66" s="1103">
        <v>0</v>
      </c>
      <c r="BJ66" s="1103">
        <v>0</v>
      </c>
    </row>
    <row r="67" spans="2:62" hidden="1" outlineLevel="2">
      <c r="B67" s="1094"/>
      <c r="C67" s="1083" t="s">
        <v>240</v>
      </c>
      <c r="D67" s="1062" t="s">
        <v>236</v>
      </c>
      <c r="E67" s="1083" t="s">
        <v>241</v>
      </c>
      <c r="F67" s="1095">
        <v>2020</v>
      </c>
      <c r="G67" s="1096">
        <f t="shared" si="0"/>
        <v>6.7678199999999995</v>
      </c>
      <c r="H67" s="1083" t="s">
        <v>29</v>
      </c>
      <c r="I67" s="1097">
        <v>3.0833333333333335</v>
      </c>
      <c r="J67" s="1098">
        <f t="shared" si="1"/>
        <v>37</v>
      </c>
      <c r="K67" s="153">
        <f t="shared" si="2"/>
        <v>0.32432432432432429</v>
      </c>
      <c r="L67" s="1099"/>
      <c r="M67" s="1100">
        <v>1.0278051130201453</v>
      </c>
      <c r="N67" s="1101">
        <f>IF($BF67=0,0,IF(SUM($M67:M67)&lt;($J67-12),12,$J67-SUM($M67:M67)))</f>
        <v>12</v>
      </c>
      <c r="O67" s="1101">
        <f>IF($BF67=0,0,IF(SUM($M67:N67)&lt;($J67-12),12,$J67-SUM($M67:N67)))</f>
        <v>12</v>
      </c>
      <c r="P67" s="1101">
        <f>IF($BF67=0,0,IF(SUM($M67:O67)&lt;($J67-12),12,$J67-SUM($M67:O67)))</f>
        <v>11.972194886979857</v>
      </c>
      <c r="Q67" s="1101">
        <f>IF($BF67=0,0,IF(SUM($M67:P67)&lt;($J67-12),12,$J67-SUM($M67:P67)))</f>
        <v>0</v>
      </c>
      <c r="S67" s="1100"/>
      <c r="T67" s="1100">
        <v>0</v>
      </c>
      <c r="U67" s="1101">
        <f>IF($BG67=0,0,IF(SUM($S67:T67)&lt;($J67-12),12,$J67-SUM($S67:T67)))</f>
        <v>0</v>
      </c>
      <c r="V67" s="1101">
        <f>IF($BG67=0,0,IF(SUM($S67:U67)&lt;($J67-12),12,$J67-SUM($S67:U67)))</f>
        <v>0</v>
      </c>
      <c r="W67" s="1101">
        <f>IF($BG67=0,0,IF(SUM($S67:V67)&lt;($J67-12),12,$J67-SUM($S67:V67)))</f>
        <v>0</v>
      </c>
      <c r="Y67" s="1100"/>
      <c r="Z67" s="1100"/>
      <c r="AA67" s="1100">
        <v>0</v>
      </c>
      <c r="AB67" s="1101">
        <f>IF($BH67=0,0,IF(SUM($Y67:AA67)&lt;($J67-12),12,$J67-SUM($Y67:AA67)))</f>
        <v>0</v>
      </c>
      <c r="AC67" s="1101">
        <f>IF($BH67=0,0,IF(SUM($Y67:AB67)&lt;($J67-12),12,$J67-SUM($Y67:AB67)))</f>
        <v>0</v>
      </c>
      <c r="AE67" s="1100"/>
      <c r="AF67" s="1100"/>
      <c r="AG67" s="1100"/>
      <c r="AH67" s="1100">
        <v>0</v>
      </c>
      <c r="AI67" s="1101">
        <f>IF($BI67=0,0,IF(SUM($AE67:AH67)&lt;($J67-12),12,$J67-SUM($AE67:AH67)))</f>
        <v>0</v>
      </c>
      <c r="AK67" s="1100"/>
      <c r="AL67" s="1100"/>
      <c r="AM67" s="1100"/>
      <c r="AN67" s="1100"/>
      <c r="AO67" s="1100">
        <v>0</v>
      </c>
      <c r="AQ67" s="153">
        <f t="shared" si="3"/>
        <v>8.565042608501211E-2</v>
      </c>
      <c r="AR67" s="153">
        <f t="shared" si="4"/>
        <v>0</v>
      </c>
      <c r="AS67" s="153">
        <f t="shared" si="5"/>
        <v>0</v>
      </c>
      <c r="AT67" s="153">
        <f t="shared" si="6"/>
        <v>0</v>
      </c>
      <c r="AU67" s="153">
        <f t="shared" si="7"/>
        <v>0</v>
      </c>
      <c r="AW67" s="1543">
        <v>0.73</v>
      </c>
      <c r="AX67" s="1102"/>
      <c r="AY67" s="1544">
        <v>0.15</v>
      </c>
      <c r="BA67" s="1103">
        <v>0</v>
      </c>
      <c r="BB67" s="1103">
        <v>0</v>
      </c>
      <c r="BC67" s="1103">
        <v>0</v>
      </c>
      <c r="BD67" s="1103">
        <v>0</v>
      </c>
      <c r="BE67" s="1103">
        <v>0</v>
      </c>
      <c r="BF67" s="1103">
        <v>6.7678199999999995</v>
      </c>
      <c r="BG67" s="1103">
        <v>0</v>
      </c>
      <c r="BH67" s="1103">
        <v>0</v>
      </c>
      <c r="BI67" s="1103">
        <v>0</v>
      </c>
      <c r="BJ67" s="1103">
        <v>0</v>
      </c>
    </row>
    <row r="68" spans="2:62" hidden="1" outlineLevel="2">
      <c r="B68" s="1094"/>
      <c r="C68" s="1083" t="s">
        <v>242</v>
      </c>
      <c r="D68" s="1062" t="s">
        <v>236</v>
      </c>
      <c r="E68" s="1083" t="s">
        <v>243</v>
      </c>
      <c r="F68" s="1095">
        <v>2020</v>
      </c>
      <c r="G68" s="1096">
        <f t="shared" si="0"/>
        <v>45.872019999999999</v>
      </c>
      <c r="H68" s="1083" t="s">
        <v>29</v>
      </c>
      <c r="I68" s="1097">
        <v>3.0833333333333335</v>
      </c>
      <c r="J68" s="1098">
        <f t="shared" si="1"/>
        <v>37</v>
      </c>
      <c r="K68" s="153">
        <f t="shared" si="2"/>
        <v>0.32432432432432429</v>
      </c>
      <c r="L68" s="1099"/>
      <c r="M68" s="1100">
        <v>5.1388776862235419</v>
      </c>
      <c r="N68" s="1101">
        <f>IF($BF68=0,0,IF(SUM($M68:M68)&lt;($J68-12),12,$J68-SUM($M68:M68)))</f>
        <v>12</v>
      </c>
      <c r="O68" s="1101">
        <f>IF($BF68=0,0,IF(SUM($M68:N68)&lt;($J68-12),12,$J68-SUM($M68:N68)))</f>
        <v>12</v>
      </c>
      <c r="P68" s="1101">
        <f>IF($BF68=0,0,IF(SUM($M68:O68)&lt;($J68-12),12,$J68-SUM($M68:O68)))</f>
        <v>7.861122313776459</v>
      </c>
      <c r="Q68" s="1101">
        <f>IF($BF68=0,0,IF(SUM($M68:P68)&lt;($J68-12),12,$J68-SUM($M68:P68)))</f>
        <v>0</v>
      </c>
      <c r="S68" s="1100"/>
      <c r="T68" s="1100">
        <v>0</v>
      </c>
      <c r="U68" s="1101">
        <f>IF($BG68=0,0,IF(SUM($S68:T68)&lt;($J68-12),12,$J68-SUM($S68:T68)))</f>
        <v>0</v>
      </c>
      <c r="V68" s="1101">
        <f>IF($BG68=0,0,IF(SUM($S68:U68)&lt;($J68-12),12,$J68-SUM($S68:U68)))</f>
        <v>0</v>
      </c>
      <c r="W68" s="1101">
        <f>IF($BG68=0,0,IF(SUM($S68:V68)&lt;($J68-12),12,$J68-SUM($S68:V68)))</f>
        <v>0</v>
      </c>
      <c r="Y68" s="1100"/>
      <c r="Z68" s="1100"/>
      <c r="AA68" s="1100">
        <v>0</v>
      </c>
      <c r="AB68" s="1101">
        <f>IF($BH68=0,0,IF(SUM($Y68:AA68)&lt;($J68-12),12,$J68-SUM($Y68:AA68)))</f>
        <v>0</v>
      </c>
      <c r="AC68" s="1101">
        <f>IF($BH68=0,0,IF(SUM($Y68:AB68)&lt;($J68-12),12,$J68-SUM($Y68:AB68)))</f>
        <v>0</v>
      </c>
      <c r="AE68" s="1100"/>
      <c r="AF68" s="1100"/>
      <c r="AG68" s="1100"/>
      <c r="AH68" s="1100">
        <v>0</v>
      </c>
      <c r="AI68" s="1101">
        <f>IF($BI68=0,0,IF(SUM($AE68:AH68)&lt;($J68-12),12,$J68-SUM($AE68:AH68)))</f>
        <v>0</v>
      </c>
      <c r="AK68" s="1100"/>
      <c r="AL68" s="1100"/>
      <c r="AM68" s="1100"/>
      <c r="AN68" s="1100"/>
      <c r="AO68" s="1100">
        <v>0</v>
      </c>
      <c r="AQ68" s="153">
        <f t="shared" si="3"/>
        <v>0.42823980718529514</v>
      </c>
      <c r="AR68" s="153">
        <f t="shared" si="4"/>
        <v>0</v>
      </c>
      <c r="AS68" s="153">
        <f t="shared" si="5"/>
        <v>0</v>
      </c>
      <c r="AT68" s="153">
        <f t="shared" si="6"/>
        <v>0</v>
      </c>
      <c r="AU68" s="153">
        <f t="shared" si="7"/>
        <v>0</v>
      </c>
      <c r="AW68" s="1543">
        <v>0.75</v>
      </c>
      <c r="AX68" s="1102"/>
      <c r="AY68" s="1544">
        <v>0.25</v>
      </c>
      <c r="BA68" s="1103">
        <v>0</v>
      </c>
      <c r="BB68" s="1103">
        <v>0</v>
      </c>
      <c r="BC68" s="1103">
        <v>0</v>
      </c>
      <c r="BD68" s="1103">
        <v>0</v>
      </c>
      <c r="BE68" s="1103">
        <v>0</v>
      </c>
      <c r="BF68" s="1103">
        <v>45.872019999999999</v>
      </c>
      <c r="BG68" s="1103">
        <v>0</v>
      </c>
      <c r="BH68" s="1103">
        <v>0</v>
      </c>
      <c r="BI68" s="1103">
        <v>0</v>
      </c>
      <c r="BJ68" s="1103">
        <v>0</v>
      </c>
    </row>
    <row r="69" spans="2:62" hidden="1" outlineLevel="2">
      <c r="B69" s="1094"/>
      <c r="C69" s="1083" t="s">
        <v>244</v>
      </c>
      <c r="D69" s="1062" t="s">
        <v>236</v>
      </c>
      <c r="E69" s="1083" t="s">
        <v>245</v>
      </c>
      <c r="F69" s="1095">
        <v>2020</v>
      </c>
      <c r="G69" s="1096">
        <f t="shared" si="0"/>
        <v>38.509370000000004</v>
      </c>
      <c r="H69" s="1083" t="s">
        <v>29</v>
      </c>
      <c r="I69" s="1097">
        <v>3</v>
      </c>
      <c r="J69" s="1098">
        <f t="shared" si="1"/>
        <v>36</v>
      </c>
      <c r="K69" s="153">
        <f t="shared" si="2"/>
        <v>0.33333333333333331</v>
      </c>
      <c r="L69" s="1099"/>
      <c r="M69" s="1100">
        <v>3.9999916903340669</v>
      </c>
      <c r="N69" s="1101">
        <f>IF($BF69=0,0,IF(SUM($M69:M69)&lt;($J69-12),12,$J69-SUM($M69:M69)))</f>
        <v>12</v>
      </c>
      <c r="O69" s="1101">
        <f>IF($BF69=0,0,IF(SUM($M69:N69)&lt;($J69-12),12,$J69-SUM($M69:N69)))</f>
        <v>12</v>
      </c>
      <c r="P69" s="1101">
        <f>IF($BF69=0,0,IF(SUM($M69:O69)&lt;($J69-12),12,$J69-SUM($M69:O69)))</f>
        <v>8.0000083096659331</v>
      </c>
      <c r="Q69" s="1101">
        <f>IF($BF69=0,0,IF(SUM($M69:P69)&lt;($J69-12),12,$J69-SUM($M69:P69)))</f>
        <v>0</v>
      </c>
      <c r="S69" s="1100"/>
      <c r="T69" s="1100">
        <v>0</v>
      </c>
      <c r="U69" s="1101">
        <f>IF($BG69=0,0,IF(SUM($S69:T69)&lt;($J69-12),12,$J69-SUM($S69:T69)))</f>
        <v>0</v>
      </c>
      <c r="V69" s="1101">
        <f>IF($BG69=0,0,IF(SUM($S69:U69)&lt;($J69-12),12,$J69-SUM($S69:U69)))</f>
        <v>0</v>
      </c>
      <c r="W69" s="1101">
        <f>IF($BG69=0,0,IF(SUM($S69:V69)&lt;($J69-12),12,$J69-SUM($S69:V69)))</f>
        <v>0</v>
      </c>
      <c r="Y69" s="1100"/>
      <c r="Z69" s="1100"/>
      <c r="AA69" s="1100">
        <v>0</v>
      </c>
      <c r="AB69" s="1101">
        <f>IF($BH69=0,0,IF(SUM($Y69:AA69)&lt;($J69-12),12,$J69-SUM($Y69:AA69)))</f>
        <v>0</v>
      </c>
      <c r="AC69" s="1101">
        <f>IF($BH69=0,0,IF(SUM($Y69:AB69)&lt;($J69-12),12,$J69-SUM($Y69:AB69)))</f>
        <v>0</v>
      </c>
      <c r="AE69" s="1100"/>
      <c r="AF69" s="1100"/>
      <c r="AG69" s="1100"/>
      <c r="AH69" s="1100">
        <v>0</v>
      </c>
      <c r="AI69" s="1101">
        <f>IF($BI69=0,0,IF(SUM($AE69:AH69)&lt;($J69-12),12,$J69-SUM($AE69:AH69)))</f>
        <v>0</v>
      </c>
      <c r="AK69" s="1100"/>
      <c r="AL69" s="1100"/>
      <c r="AM69" s="1100"/>
      <c r="AN69" s="1100"/>
      <c r="AO69" s="1100">
        <v>0</v>
      </c>
      <c r="AQ69" s="153">
        <f t="shared" si="3"/>
        <v>0.33333264086117226</v>
      </c>
      <c r="AR69" s="153">
        <f t="shared" si="4"/>
        <v>0</v>
      </c>
      <c r="AS69" s="153">
        <f t="shared" si="5"/>
        <v>0</v>
      </c>
      <c r="AT69" s="153">
        <f t="shared" si="6"/>
        <v>0</v>
      </c>
      <c r="AU69" s="153">
        <f t="shared" si="7"/>
        <v>0</v>
      </c>
      <c r="AW69" s="1543">
        <v>0.75</v>
      </c>
      <c r="AX69" s="1102"/>
      <c r="AY69" s="1544">
        <v>0.25</v>
      </c>
      <c r="BA69" s="1103">
        <v>0</v>
      </c>
      <c r="BB69" s="1103">
        <v>0</v>
      </c>
      <c r="BC69" s="1103">
        <v>0</v>
      </c>
      <c r="BD69" s="1103">
        <v>0</v>
      </c>
      <c r="BE69" s="1103">
        <v>0</v>
      </c>
      <c r="BF69" s="1103">
        <v>38.509370000000004</v>
      </c>
      <c r="BG69" s="1103">
        <v>0</v>
      </c>
      <c r="BH69" s="1103">
        <v>0</v>
      </c>
      <c r="BI69" s="1103">
        <v>0</v>
      </c>
      <c r="BJ69" s="1103">
        <v>0</v>
      </c>
    </row>
    <row r="70" spans="2:62" hidden="1" outlineLevel="2">
      <c r="B70" s="1094"/>
      <c r="C70" s="1083" t="s">
        <v>246</v>
      </c>
      <c r="D70" s="1062" t="s">
        <v>236</v>
      </c>
      <c r="E70" s="1083" t="s">
        <v>247</v>
      </c>
      <c r="F70" s="1095">
        <v>2020</v>
      </c>
      <c r="G70" s="1096">
        <f t="shared" si="0"/>
        <v>13.12218</v>
      </c>
      <c r="H70" s="1083" t="s">
        <v>29</v>
      </c>
      <c r="I70" s="1097">
        <v>3.0833333333333335</v>
      </c>
      <c r="J70" s="1098">
        <f t="shared" si="1"/>
        <v>37</v>
      </c>
      <c r="K70" s="153">
        <f t="shared" si="2"/>
        <v>0.32432432432432429</v>
      </c>
      <c r="L70" s="1099"/>
      <c r="M70" s="1100">
        <v>1.0277918760449865</v>
      </c>
      <c r="N70" s="1101">
        <f>IF($BF70=0,0,IF(SUM($M70:M70)&lt;($J70-12),12,$J70-SUM($M70:M70)))</f>
        <v>12</v>
      </c>
      <c r="O70" s="1101">
        <f>IF($BF70=0,0,IF(SUM($M70:N70)&lt;($J70-12),12,$J70-SUM($M70:N70)))</f>
        <v>12</v>
      </c>
      <c r="P70" s="1101">
        <f>IF($BF70=0,0,IF(SUM($M70:O70)&lt;($J70-12),12,$J70-SUM($M70:O70)))</f>
        <v>11.972208123955014</v>
      </c>
      <c r="Q70" s="1101">
        <f>IF($BF70=0,0,IF(SUM($M70:P70)&lt;($J70-12),12,$J70-SUM($M70:P70)))</f>
        <v>0</v>
      </c>
      <c r="S70" s="1100"/>
      <c r="T70" s="1100">
        <v>0</v>
      </c>
      <c r="U70" s="1101">
        <f>IF($BG70=0,0,IF(SUM($S70:T70)&lt;($J70-12),12,$J70-SUM($S70:T70)))</f>
        <v>0</v>
      </c>
      <c r="V70" s="1101">
        <f>IF($BG70=0,0,IF(SUM($S70:U70)&lt;($J70-12),12,$J70-SUM($S70:U70)))</f>
        <v>0</v>
      </c>
      <c r="W70" s="1101">
        <f>IF($BG70=0,0,IF(SUM($S70:V70)&lt;($J70-12),12,$J70-SUM($S70:V70)))</f>
        <v>0</v>
      </c>
      <c r="Y70" s="1100"/>
      <c r="Z70" s="1100"/>
      <c r="AA70" s="1100">
        <v>0</v>
      </c>
      <c r="AB70" s="1101">
        <f>IF($BH70=0,0,IF(SUM($Y70:AA70)&lt;($J70-12),12,$J70-SUM($Y70:AA70)))</f>
        <v>0</v>
      </c>
      <c r="AC70" s="1101">
        <f>IF($BH70=0,0,IF(SUM($Y70:AB70)&lt;($J70-12),12,$J70-SUM($Y70:AB70)))</f>
        <v>0</v>
      </c>
      <c r="AE70" s="1100"/>
      <c r="AF70" s="1100"/>
      <c r="AG70" s="1100"/>
      <c r="AH70" s="1100">
        <v>0</v>
      </c>
      <c r="AI70" s="1101">
        <f>IF($BI70=0,0,IF(SUM($AE70:AH70)&lt;($J70-12),12,$J70-SUM($AE70:AH70)))</f>
        <v>0</v>
      </c>
      <c r="AK70" s="1100"/>
      <c r="AL70" s="1100"/>
      <c r="AM70" s="1100"/>
      <c r="AN70" s="1100"/>
      <c r="AO70" s="1100">
        <v>0</v>
      </c>
      <c r="AQ70" s="153">
        <f t="shared" si="3"/>
        <v>8.5649323003748876E-2</v>
      </c>
      <c r="AR70" s="153">
        <f t="shared" si="4"/>
        <v>0</v>
      </c>
      <c r="AS70" s="153">
        <f t="shared" si="5"/>
        <v>0</v>
      </c>
      <c r="AT70" s="153">
        <f t="shared" si="6"/>
        <v>0</v>
      </c>
      <c r="AU70" s="153">
        <f t="shared" si="7"/>
        <v>0</v>
      </c>
      <c r="AW70" s="1543">
        <v>0.75</v>
      </c>
      <c r="AX70" s="1102"/>
      <c r="AY70" s="1544">
        <v>0.25</v>
      </c>
      <c r="BA70" s="1103">
        <v>0</v>
      </c>
      <c r="BB70" s="1103">
        <v>0</v>
      </c>
      <c r="BC70" s="1103">
        <v>0</v>
      </c>
      <c r="BD70" s="1103">
        <v>0</v>
      </c>
      <c r="BE70" s="1103">
        <v>0</v>
      </c>
      <c r="BF70" s="1103">
        <v>13.12218</v>
      </c>
      <c r="BG70" s="1103">
        <v>0</v>
      </c>
      <c r="BH70" s="1103">
        <v>0</v>
      </c>
      <c r="BI70" s="1103">
        <v>0</v>
      </c>
      <c r="BJ70" s="1103">
        <v>0</v>
      </c>
    </row>
    <row r="71" spans="2:62" hidden="1" outlineLevel="2">
      <c r="B71" s="1094"/>
      <c r="C71" s="1083" t="s">
        <v>248</v>
      </c>
      <c r="D71" s="1062" t="s">
        <v>249</v>
      </c>
      <c r="E71" s="1083" t="s">
        <v>250</v>
      </c>
      <c r="F71" s="1095">
        <v>2020</v>
      </c>
      <c r="G71" s="1096">
        <f t="shared" si="0"/>
        <v>18.62435</v>
      </c>
      <c r="H71" s="1083" t="s">
        <v>29</v>
      </c>
      <c r="I71" s="1097">
        <v>3</v>
      </c>
      <c r="J71" s="1098">
        <f t="shared" si="1"/>
        <v>36</v>
      </c>
      <c r="K71" s="153">
        <f t="shared" si="2"/>
        <v>0.33333333333333331</v>
      </c>
      <c r="L71" s="1099"/>
      <c r="M71" s="1100">
        <v>6.9999586562752523</v>
      </c>
      <c r="N71" s="1101">
        <f>IF($BF71=0,0,IF(SUM($M71:M71)&lt;($J71-12),12,$J71-SUM($M71:M71)))</f>
        <v>12</v>
      </c>
      <c r="O71" s="1101">
        <f>IF($BF71=0,0,IF(SUM($M71:N71)&lt;($J71-12),12,$J71-SUM($M71:N71)))</f>
        <v>12</v>
      </c>
      <c r="P71" s="1101">
        <f>IF($BF71=0,0,IF(SUM($M71:O71)&lt;($J71-12),12,$J71-SUM($M71:O71)))</f>
        <v>5.000041343724746</v>
      </c>
      <c r="Q71" s="1101">
        <f>IF($BF71=0,0,IF(SUM($M71:P71)&lt;($J71-12),12,$J71-SUM($M71:P71)))</f>
        <v>0</v>
      </c>
      <c r="S71" s="1100"/>
      <c r="T71" s="1100">
        <v>0</v>
      </c>
      <c r="U71" s="1101">
        <f>IF($BG71=0,0,IF(SUM($S71:T71)&lt;($J71-12),12,$J71-SUM($S71:T71)))</f>
        <v>0</v>
      </c>
      <c r="V71" s="1101">
        <f>IF($BG71=0,0,IF(SUM($S71:U71)&lt;($J71-12),12,$J71-SUM($S71:U71)))</f>
        <v>0</v>
      </c>
      <c r="W71" s="1101">
        <f>IF($BG71=0,0,IF(SUM($S71:V71)&lt;($J71-12),12,$J71-SUM($S71:V71)))</f>
        <v>0</v>
      </c>
      <c r="Y71" s="1100"/>
      <c r="Z71" s="1100"/>
      <c r="AA71" s="1100">
        <v>0</v>
      </c>
      <c r="AB71" s="1101">
        <f>IF($BH71=0,0,IF(SUM($Y71:AA71)&lt;($J71-12),12,$J71-SUM($Y71:AA71)))</f>
        <v>0</v>
      </c>
      <c r="AC71" s="1101">
        <f>IF($BH71=0,0,IF(SUM($Y71:AB71)&lt;($J71-12),12,$J71-SUM($Y71:AB71)))</f>
        <v>0</v>
      </c>
      <c r="AE71" s="1100"/>
      <c r="AF71" s="1100"/>
      <c r="AG71" s="1100"/>
      <c r="AH71" s="1100">
        <v>0</v>
      </c>
      <c r="AI71" s="1101">
        <f>IF($BI71=0,0,IF(SUM($AE71:AH71)&lt;($J71-12),12,$J71-SUM($AE71:AH71)))</f>
        <v>0</v>
      </c>
      <c r="AK71" s="1100"/>
      <c r="AL71" s="1100"/>
      <c r="AM71" s="1100"/>
      <c r="AN71" s="1100"/>
      <c r="AO71" s="1100">
        <v>0</v>
      </c>
      <c r="AQ71" s="153">
        <f t="shared" si="3"/>
        <v>0.58332988802293773</v>
      </c>
      <c r="AR71" s="153">
        <f t="shared" si="4"/>
        <v>0</v>
      </c>
      <c r="AS71" s="153">
        <f t="shared" si="5"/>
        <v>0</v>
      </c>
      <c r="AT71" s="153">
        <f t="shared" si="6"/>
        <v>0</v>
      </c>
      <c r="AU71" s="153">
        <f t="shared" si="7"/>
        <v>0</v>
      </c>
      <c r="AW71" s="1543">
        <v>1</v>
      </c>
      <c r="AX71" s="1102"/>
      <c r="AY71" s="1544">
        <v>0</v>
      </c>
      <c r="BA71" s="1103">
        <v>0</v>
      </c>
      <c r="BB71" s="1103">
        <v>0</v>
      </c>
      <c r="BC71" s="1103">
        <v>0</v>
      </c>
      <c r="BD71" s="1103">
        <v>0</v>
      </c>
      <c r="BE71" s="1103">
        <v>0</v>
      </c>
      <c r="BF71" s="1103">
        <v>18.62435</v>
      </c>
      <c r="BG71" s="1103">
        <v>0</v>
      </c>
      <c r="BH71" s="1103">
        <v>0</v>
      </c>
      <c r="BI71" s="1103">
        <v>0</v>
      </c>
      <c r="BJ71" s="1103">
        <v>0</v>
      </c>
    </row>
    <row r="72" spans="2:62" hidden="1" outlineLevel="2">
      <c r="B72" s="1094"/>
      <c r="C72" s="1083" t="s">
        <v>251</v>
      </c>
      <c r="D72" s="1062" t="s">
        <v>249</v>
      </c>
      <c r="E72" s="1083" t="s">
        <v>252</v>
      </c>
      <c r="F72" s="1095">
        <v>2020</v>
      </c>
      <c r="G72" s="1096">
        <f t="shared" si="0"/>
        <v>23.006550000000001</v>
      </c>
      <c r="H72" s="1083" t="s">
        <v>29</v>
      </c>
      <c r="I72" s="1097">
        <v>3</v>
      </c>
      <c r="J72" s="1098">
        <f t="shared" si="1"/>
        <v>36</v>
      </c>
      <c r="K72" s="153">
        <f t="shared" si="2"/>
        <v>0.33333333333333331</v>
      </c>
      <c r="L72" s="1099"/>
      <c r="M72" s="1100">
        <v>6.9999908721646662</v>
      </c>
      <c r="N72" s="1101">
        <f>IF($BF72=0,0,IF(SUM($M72:M72)&lt;($J72-12),12,$J72-SUM($M72:M72)))</f>
        <v>12</v>
      </c>
      <c r="O72" s="1101">
        <f>IF($BF72=0,0,IF(SUM($M72:N72)&lt;($J72-12),12,$J72-SUM($M72:N72)))</f>
        <v>12</v>
      </c>
      <c r="P72" s="1101">
        <f>IF($BF72=0,0,IF(SUM($M72:O72)&lt;($J72-12),12,$J72-SUM($M72:O72)))</f>
        <v>5.0000091278353338</v>
      </c>
      <c r="Q72" s="1101">
        <f>IF($BF72=0,0,IF(SUM($M72:P72)&lt;($J72-12),12,$J72-SUM($M72:P72)))</f>
        <v>0</v>
      </c>
      <c r="S72" s="1100"/>
      <c r="T72" s="1100">
        <v>0</v>
      </c>
      <c r="U72" s="1101">
        <f>IF($BG72=0,0,IF(SUM($S72:T72)&lt;($J72-12),12,$J72-SUM($S72:T72)))</f>
        <v>0</v>
      </c>
      <c r="V72" s="1101">
        <f>IF($BG72=0,0,IF(SUM($S72:U72)&lt;($J72-12),12,$J72-SUM($S72:U72)))</f>
        <v>0</v>
      </c>
      <c r="W72" s="1101">
        <f>IF($BG72=0,0,IF(SUM($S72:V72)&lt;($J72-12),12,$J72-SUM($S72:V72)))</f>
        <v>0</v>
      </c>
      <c r="Y72" s="1100"/>
      <c r="Z72" s="1100"/>
      <c r="AA72" s="1100">
        <v>0</v>
      </c>
      <c r="AB72" s="1101">
        <f>IF($BH72=0,0,IF(SUM($Y72:AA72)&lt;($J72-12),12,$J72-SUM($Y72:AA72)))</f>
        <v>0</v>
      </c>
      <c r="AC72" s="1101">
        <f>IF($BH72=0,0,IF(SUM($Y72:AB72)&lt;($J72-12),12,$J72-SUM($Y72:AB72)))</f>
        <v>0</v>
      </c>
      <c r="AE72" s="1100"/>
      <c r="AF72" s="1100"/>
      <c r="AG72" s="1100"/>
      <c r="AH72" s="1100">
        <v>0</v>
      </c>
      <c r="AI72" s="1101">
        <f>IF($BI72=0,0,IF(SUM($AE72:AH72)&lt;($J72-12),12,$J72-SUM($AE72:AH72)))</f>
        <v>0</v>
      </c>
      <c r="AK72" s="1100"/>
      <c r="AL72" s="1100"/>
      <c r="AM72" s="1100"/>
      <c r="AN72" s="1100"/>
      <c r="AO72" s="1100">
        <v>0</v>
      </c>
      <c r="AQ72" s="153">
        <f t="shared" si="3"/>
        <v>0.58333257268038885</v>
      </c>
      <c r="AR72" s="153">
        <f t="shared" si="4"/>
        <v>0</v>
      </c>
      <c r="AS72" s="153">
        <f t="shared" si="5"/>
        <v>0</v>
      </c>
      <c r="AT72" s="153">
        <f t="shared" si="6"/>
        <v>0</v>
      </c>
      <c r="AU72" s="153">
        <f t="shared" si="7"/>
        <v>0</v>
      </c>
      <c r="AW72" s="1543">
        <v>0.75</v>
      </c>
      <c r="AX72" s="1102"/>
      <c r="AY72" s="1544">
        <v>0.25</v>
      </c>
      <c r="BA72" s="1103">
        <v>0</v>
      </c>
      <c r="BB72" s="1103">
        <v>0</v>
      </c>
      <c r="BC72" s="1103">
        <v>0</v>
      </c>
      <c r="BD72" s="1103">
        <v>0</v>
      </c>
      <c r="BE72" s="1103">
        <v>0</v>
      </c>
      <c r="BF72" s="1103">
        <v>23.006550000000001</v>
      </c>
      <c r="BG72" s="1103">
        <v>0</v>
      </c>
      <c r="BH72" s="1103">
        <v>0</v>
      </c>
      <c r="BI72" s="1103">
        <v>0</v>
      </c>
      <c r="BJ72" s="1103">
        <v>0</v>
      </c>
    </row>
    <row r="73" spans="2:62" hidden="1" outlineLevel="2">
      <c r="B73" s="1094"/>
      <c r="C73" s="1083" t="s">
        <v>253</v>
      </c>
      <c r="D73" s="1062" t="s">
        <v>249</v>
      </c>
      <c r="E73" s="1083" t="s">
        <v>254</v>
      </c>
      <c r="F73" s="1095">
        <v>2020</v>
      </c>
      <c r="G73" s="1096">
        <f t="shared" si="0"/>
        <v>21.120919999999998</v>
      </c>
      <c r="H73" s="1083" t="s">
        <v>29</v>
      </c>
      <c r="I73" s="1097">
        <v>3</v>
      </c>
      <c r="J73" s="1098">
        <f t="shared" si="1"/>
        <v>36</v>
      </c>
      <c r="K73" s="153">
        <f t="shared" si="2"/>
        <v>0.33333333333333331</v>
      </c>
      <c r="L73" s="1099"/>
      <c r="M73" s="1100">
        <v>6.9999734860034506</v>
      </c>
      <c r="N73" s="1101">
        <f>IF($BF73=0,0,IF(SUM($M73:M73)&lt;($J73-12),12,$J73-SUM($M73:M73)))</f>
        <v>12</v>
      </c>
      <c r="O73" s="1101">
        <f>IF($BF73=0,0,IF(SUM($M73:N73)&lt;($J73-12),12,$J73-SUM($M73:N73)))</f>
        <v>12</v>
      </c>
      <c r="P73" s="1101">
        <f>IF($BF73=0,0,IF(SUM($M73:O73)&lt;($J73-12),12,$J73-SUM($M73:O73)))</f>
        <v>5.0000265139965485</v>
      </c>
      <c r="Q73" s="1101">
        <f>IF($BF73=0,0,IF(SUM($M73:P73)&lt;($J73-12),12,$J73-SUM($M73:P73)))</f>
        <v>0</v>
      </c>
      <c r="S73" s="1100"/>
      <c r="T73" s="1100">
        <v>0</v>
      </c>
      <c r="U73" s="1101">
        <f>IF($BG73=0,0,IF(SUM($S73:T73)&lt;($J73-12),12,$J73-SUM($S73:T73)))</f>
        <v>0</v>
      </c>
      <c r="V73" s="1101">
        <f>IF($BG73=0,0,IF(SUM($S73:U73)&lt;($J73-12),12,$J73-SUM($S73:U73)))</f>
        <v>0</v>
      </c>
      <c r="W73" s="1101">
        <f>IF($BG73=0,0,IF(SUM($S73:V73)&lt;($J73-12),12,$J73-SUM($S73:V73)))</f>
        <v>0</v>
      </c>
      <c r="Y73" s="1100"/>
      <c r="Z73" s="1100"/>
      <c r="AA73" s="1100">
        <v>0</v>
      </c>
      <c r="AB73" s="1101">
        <f>IF($BH73=0,0,IF(SUM($Y73:AA73)&lt;($J73-12),12,$J73-SUM($Y73:AA73)))</f>
        <v>0</v>
      </c>
      <c r="AC73" s="1101">
        <f>IF($BH73=0,0,IF(SUM($Y73:AB73)&lt;($J73-12),12,$J73-SUM($Y73:AB73)))</f>
        <v>0</v>
      </c>
      <c r="AE73" s="1100"/>
      <c r="AF73" s="1100"/>
      <c r="AG73" s="1100"/>
      <c r="AH73" s="1100">
        <v>0</v>
      </c>
      <c r="AI73" s="1101">
        <f>IF($BI73=0,0,IF(SUM($AE73:AH73)&lt;($J73-12),12,$J73-SUM($AE73:AH73)))</f>
        <v>0</v>
      </c>
      <c r="AK73" s="1100"/>
      <c r="AL73" s="1100"/>
      <c r="AM73" s="1100"/>
      <c r="AN73" s="1100"/>
      <c r="AO73" s="1100">
        <v>0</v>
      </c>
      <c r="AQ73" s="153">
        <f t="shared" si="3"/>
        <v>0.58333112383362085</v>
      </c>
      <c r="AR73" s="153">
        <f t="shared" si="4"/>
        <v>0</v>
      </c>
      <c r="AS73" s="153">
        <f t="shared" si="5"/>
        <v>0</v>
      </c>
      <c r="AT73" s="153">
        <f t="shared" si="6"/>
        <v>0</v>
      </c>
      <c r="AU73" s="153">
        <f t="shared" si="7"/>
        <v>0</v>
      </c>
      <c r="AW73" s="1543">
        <v>0.73</v>
      </c>
      <c r="AX73" s="1102"/>
      <c r="AY73" s="1544">
        <v>0.15</v>
      </c>
      <c r="BA73" s="1103">
        <v>0</v>
      </c>
      <c r="BB73" s="1103">
        <v>0</v>
      </c>
      <c r="BC73" s="1103">
        <v>0</v>
      </c>
      <c r="BD73" s="1103">
        <v>0</v>
      </c>
      <c r="BE73" s="1103">
        <v>0</v>
      </c>
      <c r="BF73" s="1103">
        <v>21.120919999999998</v>
      </c>
      <c r="BG73" s="1103">
        <v>0</v>
      </c>
      <c r="BH73" s="1103">
        <v>0</v>
      </c>
      <c r="BI73" s="1103">
        <v>0</v>
      </c>
      <c r="BJ73" s="1103">
        <v>0</v>
      </c>
    </row>
    <row r="74" spans="2:62" hidden="1" outlineLevel="2">
      <c r="B74" s="1094"/>
      <c r="C74" s="1083" t="s">
        <v>255</v>
      </c>
      <c r="D74" s="1062" t="s">
        <v>249</v>
      </c>
      <c r="E74" s="1083" t="s">
        <v>256</v>
      </c>
      <c r="F74" s="1095">
        <v>2020</v>
      </c>
      <c r="G74" s="1096">
        <f t="shared" si="0"/>
        <v>4.0170199999999996</v>
      </c>
      <c r="H74" s="1083" t="s">
        <v>29</v>
      </c>
      <c r="I74" s="1097">
        <v>3</v>
      </c>
      <c r="J74" s="1098">
        <f t="shared" si="1"/>
        <v>36</v>
      </c>
      <c r="K74" s="153">
        <f t="shared" si="2"/>
        <v>0.33333333333333331</v>
      </c>
      <c r="L74" s="1099"/>
      <c r="M74" s="1100">
        <v>6.9997560380580621</v>
      </c>
      <c r="N74" s="1101">
        <f>IF($BF74=0,0,IF(SUM($M74:M74)&lt;($J74-12),12,$J74-SUM($M74:M74)))</f>
        <v>12</v>
      </c>
      <c r="O74" s="1101">
        <f>IF($BF74=0,0,IF(SUM($M74:N74)&lt;($J74-12),12,$J74-SUM($M74:N74)))</f>
        <v>12</v>
      </c>
      <c r="P74" s="1101">
        <f>IF($BF74=0,0,IF(SUM($M74:O74)&lt;($J74-12),12,$J74-SUM($M74:O74)))</f>
        <v>5.000243961941937</v>
      </c>
      <c r="Q74" s="1101">
        <f>IF($BF74=0,0,IF(SUM($M74:P74)&lt;($J74-12),12,$J74-SUM($M74:P74)))</f>
        <v>0</v>
      </c>
      <c r="S74" s="1100"/>
      <c r="T74" s="1100">
        <v>0</v>
      </c>
      <c r="U74" s="1101">
        <f>IF($BG74=0,0,IF(SUM($S74:T74)&lt;($J74-12),12,$J74-SUM($S74:T74)))</f>
        <v>0</v>
      </c>
      <c r="V74" s="1101">
        <f>IF($BG74=0,0,IF(SUM($S74:U74)&lt;($J74-12),12,$J74-SUM($S74:U74)))</f>
        <v>0</v>
      </c>
      <c r="W74" s="1101">
        <f>IF($BG74=0,0,IF(SUM($S74:V74)&lt;($J74-12),12,$J74-SUM($S74:V74)))</f>
        <v>0</v>
      </c>
      <c r="Y74" s="1100"/>
      <c r="Z74" s="1100"/>
      <c r="AA74" s="1100">
        <v>0</v>
      </c>
      <c r="AB74" s="1101">
        <f>IF($BH74=0,0,IF(SUM($Y74:AA74)&lt;($J74-12),12,$J74-SUM($Y74:AA74)))</f>
        <v>0</v>
      </c>
      <c r="AC74" s="1101">
        <f>IF($BH74=0,0,IF(SUM($Y74:AB74)&lt;($J74-12),12,$J74-SUM($Y74:AB74)))</f>
        <v>0</v>
      </c>
      <c r="AE74" s="1100"/>
      <c r="AF74" s="1100"/>
      <c r="AG74" s="1100"/>
      <c r="AH74" s="1100">
        <v>0</v>
      </c>
      <c r="AI74" s="1101">
        <f>IF($BI74=0,0,IF(SUM($AE74:AH74)&lt;($J74-12),12,$J74-SUM($AE74:AH74)))</f>
        <v>0</v>
      </c>
      <c r="AK74" s="1100"/>
      <c r="AL74" s="1100"/>
      <c r="AM74" s="1100"/>
      <c r="AN74" s="1100"/>
      <c r="AO74" s="1100">
        <v>0</v>
      </c>
      <c r="AQ74" s="153">
        <f t="shared" si="3"/>
        <v>0.58331300317150514</v>
      </c>
      <c r="AR74" s="153">
        <f t="shared" si="4"/>
        <v>0</v>
      </c>
      <c r="AS74" s="153">
        <f t="shared" si="5"/>
        <v>0</v>
      </c>
      <c r="AT74" s="153">
        <f t="shared" si="6"/>
        <v>0</v>
      </c>
      <c r="AU74" s="153">
        <f t="shared" si="7"/>
        <v>0</v>
      </c>
      <c r="AW74" s="1543">
        <v>0.75</v>
      </c>
      <c r="AX74" s="1102"/>
      <c r="AY74" s="1544">
        <v>0.25</v>
      </c>
      <c r="BA74" s="1103">
        <v>0</v>
      </c>
      <c r="BB74" s="1103">
        <v>0</v>
      </c>
      <c r="BC74" s="1103">
        <v>0</v>
      </c>
      <c r="BD74" s="1103">
        <v>0</v>
      </c>
      <c r="BE74" s="1103">
        <v>0</v>
      </c>
      <c r="BF74" s="1103">
        <v>4.0170199999999996</v>
      </c>
      <c r="BG74" s="1103">
        <v>0</v>
      </c>
      <c r="BH74" s="1103">
        <v>0</v>
      </c>
      <c r="BI74" s="1103">
        <v>0</v>
      </c>
      <c r="BJ74" s="1103">
        <v>0</v>
      </c>
    </row>
    <row r="75" spans="2:62" hidden="1" outlineLevel="2">
      <c r="B75" s="1094"/>
      <c r="C75" s="1083" t="s">
        <v>257</v>
      </c>
      <c r="D75" s="1062" t="s">
        <v>249</v>
      </c>
      <c r="E75" s="1083" t="s">
        <v>258</v>
      </c>
      <c r="F75" s="1095">
        <v>2020</v>
      </c>
      <c r="G75" s="1096">
        <f t="shared" si="0"/>
        <v>4.0170199999999996</v>
      </c>
      <c r="H75" s="1083" t="s">
        <v>29</v>
      </c>
      <c r="I75" s="1097">
        <v>3</v>
      </c>
      <c r="J75" s="1098">
        <f t="shared" si="1"/>
        <v>36</v>
      </c>
      <c r="K75" s="153">
        <f t="shared" si="2"/>
        <v>0.33333333333333331</v>
      </c>
      <c r="L75" s="1099"/>
      <c r="M75" s="1100">
        <v>6.9997560380580621</v>
      </c>
      <c r="N75" s="1101">
        <f>IF($BF75=0,0,IF(SUM($M75:M75)&lt;($J75-12),12,$J75-SUM($M75:M75)))</f>
        <v>12</v>
      </c>
      <c r="O75" s="1101">
        <f>IF($BF75=0,0,IF(SUM($M75:N75)&lt;($J75-12),12,$J75-SUM($M75:N75)))</f>
        <v>12</v>
      </c>
      <c r="P75" s="1101">
        <f>IF($BF75=0,0,IF(SUM($M75:O75)&lt;($J75-12),12,$J75-SUM($M75:O75)))</f>
        <v>5.000243961941937</v>
      </c>
      <c r="Q75" s="1101">
        <f>IF($BF75=0,0,IF(SUM($M75:P75)&lt;($J75-12),12,$J75-SUM($M75:P75)))</f>
        <v>0</v>
      </c>
      <c r="S75" s="1100"/>
      <c r="T75" s="1100">
        <v>0</v>
      </c>
      <c r="U75" s="1101">
        <f>IF($BG75=0,0,IF(SUM($S75:T75)&lt;($J75-12),12,$J75-SUM($S75:T75)))</f>
        <v>0</v>
      </c>
      <c r="V75" s="1101">
        <f>IF($BG75=0,0,IF(SUM($S75:U75)&lt;($J75-12),12,$J75-SUM($S75:U75)))</f>
        <v>0</v>
      </c>
      <c r="W75" s="1101">
        <f>IF($BG75=0,0,IF(SUM($S75:V75)&lt;($J75-12),12,$J75-SUM($S75:V75)))</f>
        <v>0</v>
      </c>
      <c r="Y75" s="1100"/>
      <c r="Z75" s="1100"/>
      <c r="AA75" s="1100">
        <v>0</v>
      </c>
      <c r="AB75" s="1101">
        <f>IF($BH75=0,0,IF(SUM($Y75:AA75)&lt;($J75-12),12,$J75-SUM($Y75:AA75)))</f>
        <v>0</v>
      </c>
      <c r="AC75" s="1101">
        <f>IF($BH75=0,0,IF(SUM($Y75:AB75)&lt;($J75-12),12,$J75-SUM($Y75:AB75)))</f>
        <v>0</v>
      </c>
      <c r="AE75" s="1100"/>
      <c r="AF75" s="1100"/>
      <c r="AG75" s="1100"/>
      <c r="AH75" s="1100">
        <v>0</v>
      </c>
      <c r="AI75" s="1101">
        <f>IF($BI75=0,0,IF(SUM($AE75:AH75)&lt;($J75-12),12,$J75-SUM($AE75:AH75)))</f>
        <v>0</v>
      </c>
      <c r="AK75" s="1100"/>
      <c r="AL75" s="1100"/>
      <c r="AM75" s="1100"/>
      <c r="AN75" s="1100"/>
      <c r="AO75" s="1100">
        <v>0</v>
      </c>
      <c r="AQ75" s="153">
        <f t="shared" si="3"/>
        <v>0.58331300317150514</v>
      </c>
      <c r="AR75" s="153">
        <f t="shared" si="4"/>
        <v>0</v>
      </c>
      <c r="AS75" s="153">
        <f t="shared" si="5"/>
        <v>0</v>
      </c>
      <c r="AT75" s="153">
        <f t="shared" si="6"/>
        <v>0</v>
      </c>
      <c r="AU75" s="153">
        <f t="shared" si="7"/>
        <v>0</v>
      </c>
      <c r="AW75" s="1543">
        <v>0.5</v>
      </c>
      <c r="AX75" s="1102"/>
      <c r="AY75" s="1544">
        <v>0.5</v>
      </c>
      <c r="BA75" s="1103">
        <v>0</v>
      </c>
      <c r="BB75" s="1103">
        <v>0</v>
      </c>
      <c r="BC75" s="1103">
        <v>0</v>
      </c>
      <c r="BD75" s="1103">
        <v>0</v>
      </c>
      <c r="BE75" s="1103">
        <v>0</v>
      </c>
      <c r="BF75" s="1103">
        <v>4.0170199999999996</v>
      </c>
      <c r="BG75" s="1103">
        <v>0</v>
      </c>
      <c r="BH75" s="1103">
        <v>0</v>
      </c>
      <c r="BI75" s="1103">
        <v>0</v>
      </c>
      <c r="BJ75" s="1103">
        <v>0</v>
      </c>
    </row>
    <row r="76" spans="2:62" hidden="1" outlineLevel="2">
      <c r="B76" s="1094"/>
      <c r="C76" s="1083" t="s">
        <v>259</v>
      </c>
      <c r="D76" s="1062" t="s">
        <v>260</v>
      </c>
      <c r="E76" s="1083" t="s">
        <v>261</v>
      </c>
      <c r="F76" s="1095">
        <v>2020</v>
      </c>
      <c r="G76" s="1096">
        <f t="shared" si="0"/>
        <v>64</v>
      </c>
      <c r="H76" s="1083" t="s">
        <v>29</v>
      </c>
      <c r="I76" s="1097">
        <v>5</v>
      </c>
      <c r="J76" s="1098">
        <f t="shared" si="1"/>
        <v>60</v>
      </c>
      <c r="K76" s="153">
        <f t="shared" si="2"/>
        <v>0.2</v>
      </c>
      <c r="L76" s="1099"/>
      <c r="M76" s="1100">
        <v>8.0000250000000008</v>
      </c>
      <c r="N76" s="1101">
        <f>IF($BF76=0,0,IF(SUM($M76:M76)&lt;($J76-12),12,$J76-SUM($M76:M76)))</f>
        <v>12</v>
      </c>
      <c r="O76" s="1101">
        <f>IF($BF76=0,0,IF(SUM($M76:N76)&lt;($J76-12),12,$J76-SUM($M76:N76)))</f>
        <v>12</v>
      </c>
      <c r="P76" s="1101">
        <f>IF($BF76=0,0,IF(SUM($M76:O76)&lt;($J76-12),12,$J76-SUM($M76:O76)))</f>
        <v>12</v>
      </c>
      <c r="Q76" s="1101">
        <f>IF($BF76=0,0,IF(SUM($M76:P76)&lt;($J76-12),12,$J76-SUM($M76:P76)))</f>
        <v>12</v>
      </c>
      <c r="S76" s="1100"/>
      <c r="T76" s="1100">
        <v>0</v>
      </c>
      <c r="U76" s="1101">
        <f>IF($BG76=0,0,IF(SUM($S76:T76)&lt;($J76-12),12,$J76-SUM($S76:T76)))</f>
        <v>0</v>
      </c>
      <c r="V76" s="1101">
        <f>IF($BG76=0,0,IF(SUM($S76:U76)&lt;($J76-12),12,$J76-SUM($S76:U76)))</f>
        <v>0</v>
      </c>
      <c r="W76" s="1101">
        <f>IF($BG76=0,0,IF(SUM($S76:V76)&lt;($J76-12),12,$J76-SUM($S76:V76)))</f>
        <v>0</v>
      </c>
      <c r="Y76" s="1100"/>
      <c r="Z76" s="1100"/>
      <c r="AA76" s="1100">
        <v>0</v>
      </c>
      <c r="AB76" s="1101">
        <f>IF($BH76=0,0,IF(SUM($Y76:AA76)&lt;($J76-12),12,$J76-SUM($Y76:AA76)))</f>
        <v>0</v>
      </c>
      <c r="AC76" s="1101">
        <f>IF($BH76=0,0,IF(SUM($Y76:AB76)&lt;($J76-12),12,$J76-SUM($Y76:AB76)))</f>
        <v>0</v>
      </c>
      <c r="AE76" s="1100"/>
      <c r="AF76" s="1100"/>
      <c r="AG76" s="1100"/>
      <c r="AH76" s="1100">
        <v>0</v>
      </c>
      <c r="AI76" s="1101">
        <f>IF($BI76=0,0,IF(SUM($AE76:AH76)&lt;($J76-12),12,$J76-SUM($AE76:AH76)))</f>
        <v>0</v>
      </c>
      <c r="AK76" s="1100"/>
      <c r="AL76" s="1100"/>
      <c r="AM76" s="1100"/>
      <c r="AN76" s="1100"/>
      <c r="AO76" s="1100">
        <v>0</v>
      </c>
      <c r="AQ76" s="153">
        <f t="shared" si="3"/>
        <v>0.66666875000000003</v>
      </c>
      <c r="AR76" s="153">
        <f t="shared" si="4"/>
        <v>0</v>
      </c>
      <c r="AS76" s="153">
        <f t="shared" si="5"/>
        <v>0</v>
      </c>
      <c r="AT76" s="153">
        <f t="shared" si="6"/>
        <v>0</v>
      </c>
      <c r="AU76" s="153">
        <f t="shared" si="7"/>
        <v>0</v>
      </c>
      <c r="AW76" s="1543">
        <v>0.75</v>
      </c>
      <c r="AX76" s="1102"/>
      <c r="AY76" s="1544">
        <v>0.25</v>
      </c>
      <c r="BA76" s="1103">
        <v>0</v>
      </c>
      <c r="BB76" s="1103">
        <v>0</v>
      </c>
      <c r="BC76" s="1103">
        <v>0</v>
      </c>
      <c r="BD76" s="1103">
        <v>0</v>
      </c>
      <c r="BE76" s="1103">
        <v>0</v>
      </c>
      <c r="BF76" s="1103">
        <v>64</v>
      </c>
      <c r="BG76" s="1103">
        <v>0</v>
      </c>
      <c r="BH76" s="1103">
        <v>0</v>
      </c>
      <c r="BI76" s="1103">
        <v>0</v>
      </c>
      <c r="BJ76" s="1103">
        <v>0</v>
      </c>
    </row>
    <row r="77" spans="2:62" hidden="1" outlineLevel="2">
      <c r="B77" s="1094"/>
      <c r="C77" s="1083" t="s">
        <v>262</v>
      </c>
      <c r="D77" s="1062" t="s">
        <v>263</v>
      </c>
      <c r="E77" s="1083" t="s">
        <v>264</v>
      </c>
      <c r="F77" s="1095">
        <v>2020</v>
      </c>
      <c r="G77" s="1096">
        <f t="shared" si="0"/>
        <v>0.6</v>
      </c>
      <c r="H77" s="1083" t="s">
        <v>29</v>
      </c>
      <c r="I77" s="1097">
        <v>3</v>
      </c>
      <c r="J77" s="1098">
        <f t="shared" si="1"/>
        <v>36</v>
      </c>
      <c r="K77" s="153">
        <f t="shared" si="2"/>
        <v>0.33333333333333331</v>
      </c>
      <c r="L77" s="1099"/>
      <c r="M77" s="1100">
        <v>7.0013999999999994</v>
      </c>
      <c r="N77" s="1101">
        <f>IF($BF77=0,0,IF(SUM($M77:M77)&lt;($J77-12),12,$J77-SUM($M77:M77)))</f>
        <v>12</v>
      </c>
      <c r="O77" s="1101">
        <f>IF($BF77=0,0,IF(SUM($M77:N77)&lt;($J77-12),12,$J77-SUM($M77:N77)))</f>
        <v>12</v>
      </c>
      <c r="P77" s="1101">
        <f>IF($BF77=0,0,IF(SUM($M77:O77)&lt;($J77-12),12,$J77-SUM($M77:O77)))</f>
        <v>4.9985999999999997</v>
      </c>
      <c r="Q77" s="1101">
        <f>IF($BF77=0,0,IF(SUM($M77:P77)&lt;($J77-12),12,$J77-SUM($M77:P77)))</f>
        <v>0</v>
      </c>
      <c r="S77" s="1100"/>
      <c r="T77" s="1100">
        <v>0</v>
      </c>
      <c r="U77" s="1101">
        <f>IF($BG77=0,0,IF(SUM($S77:T77)&lt;($J77-12),12,$J77-SUM($S77:T77)))</f>
        <v>0</v>
      </c>
      <c r="V77" s="1101">
        <f>IF($BG77=0,0,IF(SUM($S77:U77)&lt;($J77-12),12,$J77-SUM($S77:U77)))</f>
        <v>0</v>
      </c>
      <c r="W77" s="1101">
        <f>IF($BG77=0,0,IF(SUM($S77:V77)&lt;($J77-12),12,$J77-SUM($S77:V77)))</f>
        <v>0</v>
      </c>
      <c r="Y77" s="1100"/>
      <c r="Z77" s="1100"/>
      <c r="AA77" s="1100">
        <v>0</v>
      </c>
      <c r="AB77" s="1101">
        <f>IF($BH77=0,0,IF(SUM($Y77:AA77)&lt;($J77-12),12,$J77-SUM($Y77:AA77)))</f>
        <v>0</v>
      </c>
      <c r="AC77" s="1101">
        <f>IF($BH77=0,0,IF(SUM($Y77:AB77)&lt;($J77-12),12,$J77-SUM($Y77:AB77)))</f>
        <v>0</v>
      </c>
      <c r="AE77" s="1100"/>
      <c r="AF77" s="1100"/>
      <c r="AG77" s="1100"/>
      <c r="AH77" s="1100">
        <v>0</v>
      </c>
      <c r="AI77" s="1101">
        <f>IF($BI77=0,0,IF(SUM($AE77:AH77)&lt;($J77-12),12,$J77-SUM($AE77:AH77)))</f>
        <v>0</v>
      </c>
      <c r="AK77" s="1100"/>
      <c r="AL77" s="1100"/>
      <c r="AM77" s="1100"/>
      <c r="AN77" s="1100"/>
      <c r="AO77" s="1100">
        <v>0</v>
      </c>
      <c r="AQ77" s="153">
        <f t="shared" si="3"/>
        <v>0.58344999999999991</v>
      </c>
      <c r="AR77" s="153">
        <f t="shared" si="4"/>
        <v>0</v>
      </c>
      <c r="AS77" s="153">
        <f t="shared" si="5"/>
        <v>0</v>
      </c>
      <c r="AT77" s="153">
        <f t="shared" si="6"/>
        <v>0</v>
      </c>
      <c r="AU77" s="153">
        <f t="shared" si="7"/>
        <v>0</v>
      </c>
      <c r="AW77" s="1543">
        <v>0.75</v>
      </c>
      <c r="AX77" s="1102"/>
      <c r="AY77" s="1544">
        <v>0.25</v>
      </c>
      <c r="BA77" s="1103">
        <v>0</v>
      </c>
      <c r="BB77" s="1103">
        <v>0</v>
      </c>
      <c r="BC77" s="1103">
        <v>0</v>
      </c>
      <c r="BD77" s="1103">
        <v>0</v>
      </c>
      <c r="BE77" s="1103">
        <v>0</v>
      </c>
      <c r="BF77" s="1103">
        <v>0.6</v>
      </c>
      <c r="BG77" s="1103">
        <v>0</v>
      </c>
      <c r="BH77" s="1103">
        <v>0</v>
      </c>
      <c r="BI77" s="1103">
        <v>0</v>
      </c>
      <c r="BJ77" s="1103">
        <v>0</v>
      </c>
    </row>
    <row r="78" spans="2:62" hidden="1" outlineLevel="2">
      <c r="B78" s="1094"/>
      <c r="C78" s="1083" t="s">
        <v>265</v>
      </c>
      <c r="D78" s="1062" t="s">
        <v>263</v>
      </c>
      <c r="E78" s="1083" t="s">
        <v>266</v>
      </c>
      <c r="F78" s="1095">
        <v>2020</v>
      </c>
      <c r="G78" s="1096">
        <f t="shared" si="0"/>
        <v>0.6</v>
      </c>
      <c r="H78" s="1083" t="s">
        <v>29</v>
      </c>
      <c r="I78" s="1097">
        <v>3</v>
      </c>
      <c r="J78" s="1098">
        <f t="shared" si="1"/>
        <v>36</v>
      </c>
      <c r="K78" s="153">
        <f t="shared" si="2"/>
        <v>0.33333333333333331</v>
      </c>
      <c r="L78" s="1099"/>
      <c r="M78" s="1100">
        <v>7.0013999999999994</v>
      </c>
      <c r="N78" s="1101">
        <f>IF($BF78=0,0,IF(SUM($M78:M78)&lt;($J78-12),12,$J78-SUM($M78:M78)))</f>
        <v>12</v>
      </c>
      <c r="O78" s="1101">
        <f>IF($BF78=0,0,IF(SUM($M78:N78)&lt;($J78-12),12,$J78-SUM($M78:N78)))</f>
        <v>12</v>
      </c>
      <c r="P78" s="1101">
        <f>IF($BF78=0,0,IF(SUM($M78:O78)&lt;($J78-12),12,$J78-SUM($M78:O78)))</f>
        <v>4.9985999999999997</v>
      </c>
      <c r="Q78" s="1101">
        <f>IF($BF78=0,0,IF(SUM($M78:P78)&lt;($J78-12),12,$J78-SUM($M78:P78)))</f>
        <v>0</v>
      </c>
      <c r="S78" s="1100"/>
      <c r="T78" s="1100">
        <v>0</v>
      </c>
      <c r="U78" s="1101">
        <f>IF($BG78=0,0,IF(SUM($S78:T78)&lt;($J78-12),12,$J78-SUM($S78:T78)))</f>
        <v>0</v>
      </c>
      <c r="V78" s="1101">
        <f>IF($BG78=0,0,IF(SUM($S78:U78)&lt;($J78-12),12,$J78-SUM($S78:U78)))</f>
        <v>0</v>
      </c>
      <c r="W78" s="1101">
        <f>IF($BG78=0,0,IF(SUM($S78:V78)&lt;($J78-12),12,$J78-SUM($S78:V78)))</f>
        <v>0</v>
      </c>
      <c r="Y78" s="1100"/>
      <c r="Z78" s="1100"/>
      <c r="AA78" s="1100">
        <v>0</v>
      </c>
      <c r="AB78" s="1101">
        <f>IF($BH78=0,0,IF(SUM($Y78:AA78)&lt;($J78-12),12,$J78-SUM($Y78:AA78)))</f>
        <v>0</v>
      </c>
      <c r="AC78" s="1101">
        <f>IF($BH78=0,0,IF(SUM($Y78:AB78)&lt;($J78-12),12,$J78-SUM($Y78:AB78)))</f>
        <v>0</v>
      </c>
      <c r="AE78" s="1100"/>
      <c r="AF78" s="1100"/>
      <c r="AG78" s="1100"/>
      <c r="AH78" s="1100">
        <v>0</v>
      </c>
      <c r="AI78" s="1101">
        <f>IF($BI78=0,0,IF(SUM($AE78:AH78)&lt;($J78-12),12,$J78-SUM($AE78:AH78)))</f>
        <v>0</v>
      </c>
      <c r="AK78" s="1100"/>
      <c r="AL78" s="1100"/>
      <c r="AM78" s="1100"/>
      <c r="AN78" s="1100"/>
      <c r="AO78" s="1100">
        <v>0</v>
      </c>
      <c r="AQ78" s="153">
        <f t="shared" si="3"/>
        <v>0.58344999999999991</v>
      </c>
      <c r="AR78" s="153">
        <f t="shared" si="4"/>
        <v>0</v>
      </c>
      <c r="AS78" s="153">
        <f t="shared" si="5"/>
        <v>0</v>
      </c>
      <c r="AT78" s="153">
        <f t="shared" si="6"/>
        <v>0</v>
      </c>
      <c r="AU78" s="153">
        <f t="shared" si="7"/>
        <v>0</v>
      </c>
      <c r="AW78" s="1543">
        <v>0.75</v>
      </c>
      <c r="AX78" s="1102"/>
      <c r="AY78" s="1544">
        <v>0.25</v>
      </c>
      <c r="BA78" s="1103">
        <v>0</v>
      </c>
      <c r="BB78" s="1103">
        <v>0</v>
      </c>
      <c r="BC78" s="1103">
        <v>0</v>
      </c>
      <c r="BD78" s="1103">
        <v>0</v>
      </c>
      <c r="BE78" s="1103">
        <v>0</v>
      </c>
      <c r="BF78" s="1103">
        <v>0.6</v>
      </c>
      <c r="BG78" s="1103">
        <v>0</v>
      </c>
      <c r="BH78" s="1103">
        <v>0</v>
      </c>
      <c r="BI78" s="1103">
        <v>0</v>
      </c>
      <c r="BJ78" s="1103">
        <v>0</v>
      </c>
    </row>
    <row r="79" spans="2:62" hidden="1" outlineLevel="2">
      <c r="B79" s="1094"/>
      <c r="C79" s="1083" t="s">
        <v>267</v>
      </c>
      <c r="D79" s="1062" t="s">
        <v>263</v>
      </c>
      <c r="E79" s="1083" t="s">
        <v>268</v>
      </c>
      <c r="F79" s="1095">
        <v>2020</v>
      </c>
      <c r="G79" s="1096">
        <f t="shared" si="0"/>
        <v>0.90061000000000002</v>
      </c>
      <c r="H79" s="1083" t="s">
        <v>29</v>
      </c>
      <c r="I79" s="1097">
        <v>3.0833333333333335</v>
      </c>
      <c r="J79" s="1098">
        <f t="shared" si="1"/>
        <v>37</v>
      </c>
      <c r="K79" s="153">
        <f t="shared" si="2"/>
        <v>0.32432432432432429</v>
      </c>
      <c r="L79" s="1099"/>
      <c r="M79" s="1100">
        <v>7.1953231698515445</v>
      </c>
      <c r="N79" s="1101">
        <f>IF($BF79=0,0,IF(SUM($M79:M79)&lt;($J79-12),12,$J79-SUM($M79:M79)))</f>
        <v>12</v>
      </c>
      <c r="O79" s="1101">
        <f>IF($BF79=0,0,IF(SUM($M79:N79)&lt;($J79-12),12,$J79-SUM($M79:N79)))</f>
        <v>12</v>
      </c>
      <c r="P79" s="1101">
        <f>IF($BF79=0,0,IF(SUM($M79:O79)&lt;($J79-12),12,$J79-SUM($M79:O79)))</f>
        <v>5.8046768301484555</v>
      </c>
      <c r="Q79" s="1101">
        <f>IF($BF79=0,0,IF(SUM($M79:P79)&lt;($J79-12),12,$J79-SUM($M79:P79)))</f>
        <v>0</v>
      </c>
      <c r="S79" s="1100"/>
      <c r="T79" s="1100">
        <v>0</v>
      </c>
      <c r="U79" s="1101">
        <f>IF($BG79=0,0,IF(SUM($S79:T79)&lt;($J79-12),12,$J79-SUM($S79:T79)))</f>
        <v>0</v>
      </c>
      <c r="V79" s="1101">
        <f>IF($BG79=0,0,IF(SUM($S79:U79)&lt;($J79-12),12,$J79-SUM($S79:U79)))</f>
        <v>0</v>
      </c>
      <c r="W79" s="1101">
        <f>IF($BG79=0,0,IF(SUM($S79:V79)&lt;($J79-12),12,$J79-SUM($S79:V79)))</f>
        <v>0</v>
      </c>
      <c r="Y79" s="1100"/>
      <c r="Z79" s="1100"/>
      <c r="AA79" s="1100">
        <v>0</v>
      </c>
      <c r="AB79" s="1101">
        <f>IF($BH79=0,0,IF(SUM($Y79:AA79)&lt;($J79-12),12,$J79-SUM($Y79:AA79)))</f>
        <v>0</v>
      </c>
      <c r="AC79" s="1101">
        <f>IF($BH79=0,0,IF(SUM($Y79:AB79)&lt;($J79-12),12,$J79-SUM($Y79:AB79)))</f>
        <v>0</v>
      </c>
      <c r="AE79" s="1100"/>
      <c r="AF79" s="1100"/>
      <c r="AG79" s="1100"/>
      <c r="AH79" s="1100">
        <v>0</v>
      </c>
      <c r="AI79" s="1101">
        <f>IF($BI79=0,0,IF(SUM($AE79:AH79)&lt;($J79-12),12,$J79-SUM($AE79:AH79)))</f>
        <v>0</v>
      </c>
      <c r="AK79" s="1100"/>
      <c r="AL79" s="1100"/>
      <c r="AM79" s="1100"/>
      <c r="AN79" s="1100"/>
      <c r="AO79" s="1100">
        <v>0</v>
      </c>
      <c r="AQ79" s="153">
        <f t="shared" si="3"/>
        <v>0.59961026415429541</v>
      </c>
      <c r="AR79" s="153">
        <f t="shared" si="4"/>
        <v>0</v>
      </c>
      <c r="AS79" s="153">
        <f t="shared" si="5"/>
        <v>0</v>
      </c>
      <c r="AT79" s="153">
        <f t="shared" si="6"/>
        <v>0</v>
      </c>
      <c r="AU79" s="153">
        <f t="shared" si="7"/>
        <v>0</v>
      </c>
      <c r="AW79" s="1543">
        <v>0.75</v>
      </c>
      <c r="AX79" s="1102"/>
      <c r="AY79" s="1544">
        <v>0.25</v>
      </c>
      <c r="BA79" s="1103">
        <v>0</v>
      </c>
      <c r="BB79" s="1103">
        <v>0</v>
      </c>
      <c r="BC79" s="1103">
        <v>0</v>
      </c>
      <c r="BD79" s="1103">
        <v>0</v>
      </c>
      <c r="BE79" s="1103">
        <v>0</v>
      </c>
      <c r="BF79" s="1103">
        <v>0.90061000000000002</v>
      </c>
      <c r="BG79" s="1103">
        <v>0</v>
      </c>
      <c r="BH79" s="1103">
        <v>0</v>
      </c>
      <c r="BI79" s="1103">
        <v>0</v>
      </c>
      <c r="BJ79" s="1103">
        <v>0</v>
      </c>
    </row>
    <row r="80" spans="2:62" hidden="1" outlineLevel="2">
      <c r="B80" s="1094"/>
      <c r="C80" s="1083" t="s">
        <v>269</v>
      </c>
      <c r="D80" s="1062" t="s">
        <v>263</v>
      </c>
      <c r="E80" s="1083" t="s">
        <v>270</v>
      </c>
      <c r="F80" s="1095">
        <v>2020</v>
      </c>
      <c r="G80" s="1096">
        <f t="shared" si="0"/>
        <v>1.50641</v>
      </c>
      <c r="H80" s="1083" t="s">
        <v>29</v>
      </c>
      <c r="I80" s="1097">
        <v>3</v>
      </c>
      <c r="J80" s="1098">
        <f t="shared" si="1"/>
        <v>36</v>
      </c>
      <c r="K80" s="153">
        <f t="shared" si="2"/>
        <v>0.33333333333333331</v>
      </c>
      <c r="L80" s="1099"/>
      <c r="M80" s="1100">
        <v>6.9999269787109757</v>
      </c>
      <c r="N80" s="1101">
        <f>IF($BF80=0,0,IF(SUM($M80:M80)&lt;($J80-12),12,$J80-SUM($M80:M80)))</f>
        <v>12</v>
      </c>
      <c r="O80" s="1101">
        <f>IF($BF80=0,0,IF(SUM($M80:N80)&lt;($J80-12),12,$J80-SUM($M80:N80)))</f>
        <v>12</v>
      </c>
      <c r="P80" s="1101">
        <f>IF($BF80=0,0,IF(SUM($M80:O80)&lt;($J80-12),12,$J80-SUM($M80:O80)))</f>
        <v>5.0000730212890261</v>
      </c>
      <c r="Q80" s="1101">
        <f>IF($BF80=0,0,IF(SUM($M80:P80)&lt;($J80-12),12,$J80-SUM($M80:P80)))</f>
        <v>0</v>
      </c>
      <c r="S80" s="1100"/>
      <c r="T80" s="1100">
        <v>0</v>
      </c>
      <c r="U80" s="1101">
        <f>IF($BG80=0,0,IF(SUM($S80:T80)&lt;($J80-12),12,$J80-SUM($S80:T80)))</f>
        <v>0</v>
      </c>
      <c r="V80" s="1101">
        <f>IF($BG80=0,0,IF(SUM($S80:U80)&lt;($J80-12),12,$J80-SUM($S80:U80)))</f>
        <v>0</v>
      </c>
      <c r="W80" s="1101">
        <f>IF($BG80=0,0,IF(SUM($S80:V80)&lt;($J80-12),12,$J80-SUM($S80:V80)))</f>
        <v>0</v>
      </c>
      <c r="Y80" s="1100"/>
      <c r="Z80" s="1100"/>
      <c r="AA80" s="1100">
        <v>0</v>
      </c>
      <c r="AB80" s="1101">
        <f>IF($BH80=0,0,IF(SUM($Y80:AA80)&lt;($J80-12),12,$J80-SUM($Y80:AA80)))</f>
        <v>0</v>
      </c>
      <c r="AC80" s="1101">
        <f>IF($BH80=0,0,IF(SUM($Y80:AB80)&lt;($J80-12),12,$J80-SUM($Y80:AB80)))</f>
        <v>0</v>
      </c>
      <c r="AE80" s="1100"/>
      <c r="AF80" s="1100"/>
      <c r="AG80" s="1100"/>
      <c r="AH80" s="1100">
        <v>0</v>
      </c>
      <c r="AI80" s="1101">
        <f>IF($BI80=0,0,IF(SUM($AE80:AH80)&lt;($J80-12),12,$J80-SUM($AE80:AH80)))</f>
        <v>0</v>
      </c>
      <c r="AK80" s="1100"/>
      <c r="AL80" s="1100"/>
      <c r="AM80" s="1100"/>
      <c r="AN80" s="1100"/>
      <c r="AO80" s="1100">
        <v>0</v>
      </c>
      <c r="AQ80" s="153">
        <f t="shared" si="3"/>
        <v>0.58332724822591464</v>
      </c>
      <c r="AR80" s="153">
        <f t="shared" si="4"/>
        <v>0</v>
      </c>
      <c r="AS80" s="153">
        <f t="shared" si="5"/>
        <v>0</v>
      </c>
      <c r="AT80" s="153">
        <f t="shared" si="6"/>
        <v>0</v>
      </c>
      <c r="AU80" s="153">
        <f t="shared" si="7"/>
        <v>0</v>
      </c>
      <c r="AW80" s="1543">
        <v>0.75</v>
      </c>
      <c r="AX80" s="1102"/>
      <c r="AY80" s="1544">
        <v>0.25</v>
      </c>
      <c r="BA80" s="1103">
        <v>0</v>
      </c>
      <c r="BB80" s="1103">
        <v>0</v>
      </c>
      <c r="BC80" s="1103">
        <v>0</v>
      </c>
      <c r="BD80" s="1103">
        <v>0</v>
      </c>
      <c r="BE80" s="1103">
        <v>0</v>
      </c>
      <c r="BF80" s="1103">
        <v>1.50641</v>
      </c>
      <c r="BG80" s="1103">
        <v>0</v>
      </c>
      <c r="BH80" s="1103">
        <v>0</v>
      </c>
      <c r="BI80" s="1103">
        <v>0</v>
      </c>
      <c r="BJ80" s="1103">
        <v>0</v>
      </c>
    </row>
    <row r="81" spans="2:62" hidden="1" outlineLevel="2">
      <c r="B81" s="1094"/>
      <c r="C81" s="1083" t="s">
        <v>271</v>
      </c>
      <c r="D81" s="1062" t="s">
        <v>263</v>
      </c>
      <c r="E81" s="1083" t="s">
        <v>272</v>
      </c>
      <c r="F81" s="1095">
        <v>2020</v>
      </c>
      <c r="G81" s="1096">
        <f t="shared" si="0"/>
        <v>0.69499999999999995</v>
      </c>
      <c r="H81" s="1083" t="s">
        <v>29</v>
      </c>
      <c r="I81" s="1097">
        <v>3</v>
      </c>
      <c r="J81" s="1098">
        <f t="shared" si="1"/>
        <v>36</v>
      </c>
      <c r="K81" s="153">
        <f t="shared" si="2"/>
        <v>0.33333333333333331</v>
      </c>
      <c r="L81" s="1099"/>
      <c r="M81" s="1100">
        <v>7.0010935251798552</v>
      </c>
      <c r="N81" s="1101">
        <f>IF($BF81=0,0,IF(SUM($M81:M81)&lt;($J81-12),12,$J81-SUM($M81:M81)))</f>
        <v>12</v>
      </c>
      <c r="O81" s="1101">
        <f>IF($BF81=0,0,IF(SUM($M81:N81)&lt;($J81-12),12,$J81-SUM($M81:N81)))</f>
        <v>12</v>
      </c>
      <c r="P81" s="1101">
        <f>IF($BF81=0,0,IF(SUM($M81:O81)&lt;($J81-12),12,$J81-SUM($M81:O81)))</f>
        <v>4.9989064748201457</v>
      </c>
      <c r="Q81" s="1101">
        <f>IF($BF81=0,0,IF(SUM($M81:P81)&lt;($J81-12),12,$J81-SUM($M81:P81)))</f>
        <v>0</v>
      </c>
      <c r="S81" s="1100"/>
      <c r="T81" s="1100">
        <v>0</v>
      </c>
      <c r="U81" s="1101">
        <f>IF($BG81=0,0,IF(SUM($S81:T81)&lt;($J81-12),12,$J81-SUM($S81:T81)))</f>
        <v>0</v>
      </c>
      <c r="V81" s="1101">
        <f>IF($BG81=0,0,IF(SUM($S81:U81)&lt;($J81-12),12,$J81-SUM($S81:U81)))</f>
        <v>0</v>
      </c>
      <c r="W81" s="1101">
        <f>IF($BG81=0,0,IF(SUM($S81:V81)&lt;($J81-12),12,$J81-SUM($S81:V81)))</f>
        <v>0</v>
      </c>
      <c r="Y81" s="1100"/>
      <c r="Z81" s="1100"/>
      <c r="AA81" s="1100">
        <v>0</v>
      </c>
      <c r="AB81" s="1101">
        <f>IF($BH81=0,0,IF(SUM($Y81:AA81)&lt;($J81-12),12,$J81-SUM($Y81:AA81)))</f>
        <v>0</v>
      </c>
      <c r="AC81" s="1101">
        <f>IF($BH81=0,0,IF(SUM($Y81:AB81)&lt;($J81-12),12,$J81-SUM($Y81:AB81)))</f>
        <v>0</v>
      </c>
      <c r="AE81" s="1100"/>
      <c r="AF81" s="1100"/>
      <c r="AG81" s="1100"/>
      <c r="AH81" s="1100">
        <v>0</v>
      </c>
      <c r="AI81" s="1101">
        <f>IF($BI81=0,0,IF(SUM($AE81:AH81)&lt;($J81-12),12,$J81-SUM($AE81:AH81)))</f>
        <v>0</v>
      </c>
      <c r="AK81" s="1100"/>
      <c r="AL81" s="1100"/>
      <c r="AM81" s="1100"/>
      <c r="AN81" s="1100"/>
      <c r="AO81" s="1100">
        <v>0</v>
      </c>
      <c r="AQ81" s="153">
        <f t="shared" si="3"/>
        <v>0.58342446043165463</v>
      </c>
      <c r="AR81" s="153">
        <f t="shared" si="4"/>
        <v>0</v>
      </c>
      <c r="AS81" s="153">
        <f t="shared" si="5"/>
        <v>0</v>
      </c>
      <c r="AT81" s="153">
        <f t="shared" si="6"/>
        <v>0</v>
      </c>
      <c r="AU81" s="153">
        <f t="shared" si="7"/>
        <v>0</v>
      </c>
      <c r="AW81" s="1543">
        <v>0.75</v>
      </c>
      <c r="AX81" s="1102"/>
      <c r="AY81" s="1544">
        <v>0.25</v>
      </c>
      <c r="BA81" s="1103">
        <v>0</v>
      </c>
      <c r="BB81" s="1103">
        <v>0</v>
      </c>
      <c r="BC81" s="1103">
        <v>0</v>
      </c>
      <c r="BD81" s="1103">
        <v>0</v>
      </c>
      <c r="BE81" s="1103">
        <v>0</v>
      </c>
      <c r="BF81" s="1103">
        <v>0.69499999999999995</v>
      </c>
      <c r="BG81" s="1103">
        <v>0</v>
      </c>
      <c r="BH81" s="1103">
        <v>0</v>
      </c>
      <c r="BI81" s="1103">
        <v>0</v>
      </c>
      <c r="BJ81" s="1103">
        <v>0</v>
      </c>
    </row>
    <row r="82" spans="2:62" hidden="1" outlineLevel="2">
      <c r="B82" s="1094"/>
      <c r="C82" s="1083" t="s">
        <v>273</v>
      </c>
      <c r="D82" s="1062" t="s">
        <v>263</v>
      </c>
      <c r="E82" s="1083" t="s">
        <v>274</v>
      </c>
      <c r="F82" s="1095">
        <v>2020</v>
      </c>
      <c r="G82" s="1096">
        <f t="shared" si="0"/>
        <v>1.50641</v>
      </c>
      <c r="H82" s="1083" t="s">
        <v>29</v>
      </c>
      <c r="I82" s="1097">
        <v>3</v>
      </c>
      <c r="J82" s="1098">
        <f t="shared" si="1"/>
        <v>36</v>
      </c>
      <c r="K82" s="153">
        <f t="shared" si="2"/>
        <v>0.33333333333333331</v>
      </c>
      <c r="L82" s="1099"/>
      <c r="M82" s="1100">
        <v>9.749855616996701</v>
      </c>
      <c r="N82" s="1101">
        <f>IF($BF82=0,0,IF(SUM($M82:M82)&lt;($J82-12),12,$J82-SUM($M82:M82)))</f>
        <v>12</v>
      </c>
      <c r="O82" s="1101">
        <f>IF($BF82=0,0,IF(SUM($M82:N82)&lt;($J82-12),12,$J82-SUM($M82:N82)))</f>
        <v>12</v>
      </c>
      <c r="P82" s="1101">
        <f>IF($BF82=0,0,IF(SUM($M82:O82)&lt;($J82-12),12,$J82-SUM($M82:O82)))</f>
        <v>2.2501443830033026</v>
      </c>
      <c r="Q82" s="1101">
        <f>IF($BF82=0,0,IF(SUM($M82:P82)&lt;($J82-12),12,$J82-SUM($M82:P82)))</f>
        <v>0</v>
      </c>
      <c r="S82" s="1100"/>
      <c r="T82" s="1100">
        <v>0</v>
      </c>
      <c r="U82" s="1101">
        <f>IF($BG82=0,0,IF(SUM($S82:T82)&lt;($J82-12),12,$J82-SUM($S82:T82)))</f>
        <v>0</v>
      </c>
      <c r="V82" s="1101">
        <f>IF($BG82=0,0,IF(SUM($S82:U82)&lt;($J82-12),12,$J82-SUM($S82:U82)))</f>
        <v>0</v>
      </c>
      <c r="W82" s="1101">
        <f>IF($BG82=0,0,IF(SUM($S82:V82)&lt;($J82-12),12,$J82-SUM($S82:V82)))</f>
        <v>0</v>
      </c>
      <c r="Y82" s="1100"/>
      <c r="Z82" s="1100"/>
      <c r="AA82" s="1100">
        <v>0</v>
      </c>
      <c r="AB82" s="1101">
        <f>IF($BH82=0,0,IF(SUM($Y82:AA82)&lt;($J82-12),12,$J82-SUM($Y82:AA82)))</f>
        <v>0</v>
      </c>
      <c r="AC82" s="1101">
        <f>IF($BH82=0,0,IF(SUM($Y82:AB82)&lt;($J82-12),12,$J82-SUM($Y82:AB82)))</f>
        <v>0</v>
      </c>
      <c r="AE82" s="1100"/>
      <c r="AF82" s="1100"/>
      <c r="AG82" s="1100"/>
      <c r="AH82" s="1100">
        <v>0</v>
      </c>
      <c r="AI82" s="1101">
        <f>IF($BI82=0,0,IF(SUM($AE82:AH82)&lt;($J82-12),12,$J82-SUM($AE82:AH82)))</f>
        <v>0</v>
      </c>
      <c r="AK82" s="1100"/>
      <c r="AL82" s="1100"/>
      <c r="AM82" s="1100"/>
      <c r="AN82" s="1100"/>
      <c r="AO82" s="1100">
        <v>0</v>
      </c>
      <c r="AQ82" s="153">
        <f t="shared" si="3"/>
        <v>0.81248796808305845</v>
      </c>
      <c r="AR82" s="153">
        <f t="shared" si="4"/>
        <v>0</v>
      </c>
      <c r="AS82" s="153">
        <f t="shared" si="5"/>
        <v>0</v>
      </c>
      <c r="AT82" s="153">
        <f t="shared" si="6"/>
        <v>0</v>
      </c>
      <c r="AU82" s="153">
        <f t="shared" si="7"/>
        <v>0</v>
      </c>
      <c r="AW82" s="1543">
        <v>0.75</v>
      </c>
      <c r="AX82" s="1102"/>
      <c r="AY82" s="1544">
        <v>0.25</v>
      </c>
      <c r="BA82" s="1103">
        <v>0</v>
      </c>
      <c r="BB82" s="1103">
        <v>0</v>
      </c>
      <c r="BC82" s="1103">
        <v>0</v>
      </c>
      <c r="BD82" s="1103">
        <v>0</v>
      </c>
      <c r="BE82" s="1103">
        <v>0</v>
      </c>
      <c r="BF82" s="1103">
        <v>1.50641</v>
      </c>
      <c r="BG82" s="1103">
        <v>0</v>
      </c>
      <c r="BH82" s="1103">
        <v>0</v>
      </c>
      <c r="BI82" s="1103">
        <v>0</v>
      </c>
      <c r="BJ82" s="1103">
        <v>0</v>
      </c>
    </row>
    <row r="83" spans="2:62" hidden="1" outlineLevel="2">
      <c r="B83" s="1094"/>
      <c r="C83" s="1083" t="s">
        <v>275</v>
      </c>
      <c r="D83" s="1062" t="s">
        <v>263</v>
      </c>
      <c r="E83" s="1083" t="s">
        <v>276</v>
      </c>
      <c r="F83" s="1095">
        <v>2020</v>
      </c>
      <c r="G83" s="1096">
        <f t="shared" si="0"/>
        <v>0.90061000000000002</v>
      </c>
      <c r="H83" s="1083" t="s">
        <v>29</v>
      </c>
      <c r="I83" s="1097">
        <v>3.0833333333333335</v>
      </c>
      <c r="J83" s="1098">
        <f t="shared" si="1"/>
        <v>37</v>
      </c>
      <c r="K83" s="153">
        <f t="shared" si="2"/>
        <v>0.32432432432432429</v>
      </c>
      <c r="L83" s="1099"/>
      <c r="M83" s="1100">
        <v>10.27903309978792</v>
      </c>
      <c r="N83" s="1101">
        <f>IF($BF83=0,0,IF(SUM($M83:M83)&lt;($J83-12),12,$J83-SUM($M83:M83)))</f>
        <v>12</v>
      </c>
      <c r="O83" s="1101">
        <f>IF($BF83=0,0,IF(SUM($M83:N83)&lt;($J83-12),12,$J83-SUM($M83:N83)))</f>
        <v>12</v>
      </c>
      <c r="P83" s="1101">
        <f>IF($BF83=0,0,IF(SUM($M83:O83)&lt;($J83-12),12,$J83-SUM($M83:O83)))</f>
        <v>2.7209669002120762</v>
      </c>
      <c r="Q83" s="1101">
        <f>IF($BF83=0,0,IF(SUM($M83:P83)&lt;($J83-12),12,$J83-SUM($M83:P83)))</f>
        <v>0</v>
      </c>
      <c r="S83" s="1100"/>
      <c r="T83" s="1100">
        <v>0</v>
      </c>
      <c r="U83" s="1101">
        <f>IF($BG83=0,0,IF(SUM($S83:T83)&lt;($J83-12),12,$J83-SUM($S83:T83)))</f>
        <v>0</v>
      </c>
      <c r="V83" s="1101">
        <f>IF($BG83=0,0,IF(SUM($S83:U83)&lt;($J83-12),12,$J83-SUM($S83:U83)))</f>
        <v>0</v>
      </c>
      <c r="W83" s="1101">
        <f>IF($BG83=0,0,IF(SUM($S83:V83)&lt;($J83-12),12,$J83-SUM($S83:V83)))</f>
        <v>0</v>
      </c>
      <c r="Y83" s="1100"/>
      <c r="Z83" s="1100"/>
      <c r="AA83" s="1100">
        <v>0</v>
      </c>
      <c r="AB83" s="1101">
        <f>IF($BH83=0,0,IF(SUM($Y83:AA83)&lt;($J83-12),12,$J83-SUM($Y83:AA83)))</f>
        <v>0</v>
      </c>
      <c r="AC83" s="1101">
        <f>IF($BH83=0,0,IF(SUM($Y83:AB83)&lt;($J83-12),12,$J83-SUM($Y83:AB83)))</f>
        <v>0</v>
      </c>
      <c r="AE83" s="1100"/>
      <c r="AF83" s="1100"/>
      <c r="AG83" s="1100"/>
      <c r="AH83" s="1100">
        <v>0</v>
      </c>
      <c r="AI83" s="1101">
        <f>IF($BI83=0,0,IF(SUM($AE83:AH83)&lt;($J83-12),12,$J83-SUM($AE83:AH83)))</f>
        <v>0</v>
      </c>
      <c r="AK83" s="1100"/>
      <c r="AL83" s="1100"/>
      <c r="AM83" s="1100"/>
      <c r="AN83" s="1100"/>
      <c r="AO83" s="1100">
        <v>0</v>
      </c>
      <c r="AQ83" s="153">
        <f t="shared" si="3"/>
        <v>0.85658609164899335</v>
      </c>
      <c r="AR83" s="153">
        <f t="shared" si="4"/>
        <v>0</v>
      </c>
      <c r="AS83" s="153">
        <f t="shared" si="5"/>
        <v>0</v>
      </c>
      <c r="AT83" s="153">
        <f t="shared" si="6"/>
        <v>0</v>
      </c>
      <c r="AU83" s="153">
        <f t="shared" si="7"/>
        <v>0</v>
      </c>
      <c r="AW83" s="1543">
        <v>0.75</v>
      </c>
      <c r="AX83" s="1102"/>
      <c r="AY83" s="1544">
        <v>0.25</v>
      </c>
      <c r="BA83" s="1103">
        <v>0</v>
      </c>
      <c r="BB83" s="1103">
        <v>0</v>
      </c>
      <c r="BC83" s="1103">
        <v>0</v>
      </c>
      <c r="BD83" s="1103">
        <v>0</v>
      </c>
      <c r="BE83" s="1103">
        <v>0</v>
      </c>
      <c r="BF83" s="1103">
        <v>0.90061000000000002</v>
      </c>
      <c r="BG83" s="1103">
        <v>0</v>
      </c>
      <c r="BH83" s="1103">
        <v>0</v>
      </c>
      <c r="BI83" s="1103">
        <v>0</v>
      </c>
      <c r="BJ83" s="1103">
        <v>0</v>
      </c>
    </row>
    <row r="84" spans="2:62" hidden="1" outlineLevel="2">
      <c r="B84" s="1094"/>
      <c r="C84" s="1083" t="s">
        <v>277</v>
      </c>
      <c r="D84" s="1062" t="s">
        <v>263</v>
      </c>
      <c r="E84" s="1083" t="s">
        <v>278</v>
      </c>
      <c r="F84" s="1095">
        <v>2020</v>
      </c>
      <c r="G84" s="1096">
        <f t="shared" si="0"/>
        <v>0.60580000000000001</v>
      </c>
      <c r="H84" s="1083" t="s">
        <v>29</v>
      </c>
      <c r="I84" s="1097">
        <v>3</v>
      </c>
      <c r="J84" s="1098">
        <f t="shared" si="1"/>
        <v>36</v>
      </c>
      <c r="K84" s="153">
        <f t="shared" si="2"/>
        <v>0.33333333333333331</v>
      </c>
      <c r="L84" s="1099"/>
      <c r="M84" s="1100">
        <v>7.0009243974909223</v>
      </c>
      <c r="N84" s="1101">
        <f>IF($BF84=0,0,IF(SUM($M84:M84)&lt;($J84-12),12,$J84-SUM($M84:M84)))</f>
        <v>12</v>
      </c>
      <c r="O84" s="1101">
        <f>IF($BF84=0,0,IF(SUM($M84:N84)&lt;($J84-12),12,$J84-SUM($M84:N84)))</f>
        <v>12</v>
      </c>
      <c r="P84" s="1101">
        <f>IF($BF84=0,0,IF(SUM($M84:O84)&lt;($J84-12),12,$J84-SUM($M84:O84)))</f>
        <v>4.9990756025090768</v>
      </c>
      <c r="Q84" s="1101">
        <f>IF($BF84=0,0,IF(SUM($M84:P84)&lt;($J84-12),12,$J84-SUM($M84:P84)))</f>
        <v>0</v>
      </c>
      <c r="S84" s="1100"/>
      <c r="T84" s="1100">
        <v>0</v>
      </c>
      <c r="U84" s="1101">
        <f>IF($BG84=0,0,IF(SUM($S84:T84)&lt;($J84-12),12,$J84-SUM($S84:T84)))</f>
        <v>0</v>
      </c>
      <c r="V84" s="1101">
        <f>IF($BG84=0,0,IF(SUM($S84:U84)&lt;($J84-12),12,$J84-SUM($S84:U84)))</f>
        <v>0</v>
      </c>
      <c r="W84" s="1101">
        <f>IF($BG84=0,0,IF(SUM($S84:V84)&lt;($J84-12),12,$J84-SUM($S84:V84)))</f>
        <v>0</v>
      </c>
      <c r="Y84" s="1100"/>
      <c r="Z84" s="1100"/>
      <c r="AA84" s="1100">
        <v>0</v>
      </c>
      <c r="AB84" s="1101">
        <f>IF($BH84=0,0,IF(SUM($Y84:AA84)&lt;($J84-12),12,$J84-SUM($Y84:AA84)))</f>
        <v>0</v>
      </c>
      <c r="AC84" s="1101">
        <f>IF($BH84=0,0,IF(SUM($Y84:AB84)&lt;($J84-12),12,$J84-SUM($Y84:AB84)))</f>
        <v>0</v>
      </c>
      <c r="AE84" s="1100"/>
      <c r="AF84" s="1100"/>
      <c r="AG84" s="1100"/>
      <c r="AH84" s="1100">
        <v>0</v>
      </c>
      <c r="AI84" s="1101">
        <f>IF($BI84=0,0,IF(SUM($AE84:AH84)&lt;($J84-12),12,$J84-SUM($AE84:AH84)))</f>
        <v>0</v>
      </c>
      <c r="AK84" s="1100"/>
      <c r="AL84" s="1100"/>
      <c r="AM84" s="1100"/>
      <c r="AN84" s="1100"/>
      <c r="AO84" s="1100">
        <v>0</v>
      </c>
      <c r="AQ84" s="153">
        <f t="shared" si="3"/>
        <v>0.58341036645757682</v>
      </c>
      <c r="AR84" s="153">
        <f t="shared" si="4"/>
        <v>0</v>
      </c>
      <c r="AS84" s="153">
        <f t="shared" si="5"/>
        <v>0</v>
      </c>
      <c r="AT84" s="153">
        <f t="shared" si="6"/>
        <v>0</v>
      </c>
      <c r="AU84" s="153">
        <f t="shared" si="7"/>
        <v>0</v>
      </c>
      <c r="AW84" s="1543">
        <v>0.75</v>
      </c>
      <c r="AX84" s="1102"/>
      <c r="AY84" s="1544">
        <v>0.25</v>
      </c>
      <c r="BA84" s="1103">
        <v>0</v>
      </c>
      <c r="BB84" s="1103">
        <v>0</v>
      </c>
      <c r="BC84" s="1103">
        <v>0</v>
      </c>
      <c r="BD84" s="1103">
        <v>0</v>
      </c>
      <c r="BE84" s="1103">
        <v>0</v>
      </c>
      <c r="BF84" s="1103">
        <v>0.60580000000000001</v>
      </c>
      <c r="BG84" s="1103">
        <v>0</v>
      </c>
      <c r="BH84" s="1103">
        <v>0</v>
      </c>
      <c r="BI84" s="1103">
        <v>0</v>
      </c>
      <c r="BJ84" s="1103">
        <v>0</v>
      </c>
    </row>
    <row r="85" spans="2:62" hidden="1" outlineLevel="2">
      <c r="B85" s="1094"/>
      <c r="C85" s="1083" t="s">
        <v>279</v>
      </c>
      <c r="D85" s="1062" t="s">
        <v>263</v>
      </c>
      <c r="E85" s="1083" t="s">
        <v>280</v>
      </c>
      <c r="F85" s="1095">
        <v>2020</v>
      </c>
      <c r="G85" s="1096">
        <f t="shared" si="0"/>
        <v>0.60580000000000001</v>
      </c>
      <c r="H85" s="1083" t="s">
        <v>29</v>
      </c>
      <c r="I85" s="1097">
        <v>3</v>
      </c>
      <c r="J85" s="1098">
        <f t="shared" si="1"/>
        <v>36</v>
      </c>
      <c r="K85" s="153">
        <f t="shared" si="2"/>
        <v>0.33333333333333331</v>
      </c>
      <c r="L85" s="1099"/>
      <c r="M85" s="1100">
        <v>7.0009243974909223</v>
      </c>
      <c r="N85" s="1101">
        <f>IF($BF85=0,0,IF(SUM($M85:M85)&lt;($J85-12),12,$J85-SUM($M85:M85)))</f>
        <v>12</v>
      </c>
      <c r="O85" s="1101">
        <f>IF($BF85=0,0,IF(SUM($M85:N85)&lt;($J85-12),12,$J85-SUM($M85:N85)))</f>
        <v>12</v>
      </c>
      <c r="P85" s="1101">
        <f>IF($BF85=0,0,IF(SUM($M85:O85)&lt;($J85-12),12,$J85-SUM($M85:O85)))</f>
        <v>4.9990756025090768</v>
      </c>
      <c r="Q85" s="1101">
        <f>IF($BF85=0,0,IF(SUM($M85:P85)&lt;($J85-12),12,$J85-SUM($M85:P85)))</f>
        <v>0</v>
      </c>
      <c r="S85" s="1100"/>
      <c r="T85" s="1100">
        <v>0</v>
      </c>
      <c r="U85" s="1101">
        <f>IF($BG85=0,0,IF(SUM($S85:T85)&lt;($J85-12),12,$J85-SUM($S85:T85)))</f>
        <v>0</v>
      </c>
      <c r="V85" s="1101">
        <f>IF($BG85=0,0,IF(SUM($S85:U85)&lt;($J85-12),12,$J85-SUM($S85:U85)))</f>
        <v>0</v>
      </c>
      <c r="W85" s="1101">
        <f>IF($BG85=0,0,IF(SUM($S85:V85)&lt;($J85-12),12,$J85-SUM($S85:V85)))</f>
        <v>0</v>
      </c>
      <c r="Y85" s="1100"/>
      <c r="Z85" s="1100"/>
      <c r="AA85" s="1100">
        <v>0</v>
      </c>
      <c r="AB85" s="1101">
        <f>IF($BH85=0,0,IF(SUM($Y85:AA85)&lt;($J85-12),12,$J85-SUM($Y85:AA85)))</f>
        <v>0</v>
      </c>
      <c r="AC85" s="1101">
        <f>IF($BH85=0,0,IF(SUM($Y85:AB85)&lt;($J85-12),12,$J85-SUM($Y85:AB85)))</f>
        <v>0</v>
      </c>
      <c r="AE85" s="1100"/>
      <c r="AF85" s="1100"/>
      <c r="AG85" s="1100"/>
      <c r="AH85" s="1100">
        <v>0</v>
      </c>
      <c r="AI85" s="1101">
        <f>IF($BI85=0,0,IF(SUM($AE85:AH85)&lt;($J85-12),12,$J85-SUM($AE85:AH85)))</f>
        <v>0</v>
      </c>
      <c r="AK85" s="1100"/>
      <c r="AL85" s="1100"/>
      <c r="AM85" s="1100"/>
      <c r="AN85" s="1100"/>
      <c r="AO85" s="1100">
        <v>0</v>
      </c>
      <c r="AQ85" s="153">
        <f t="shared" si="3"/>
        <v>0.58341036645757682</v>
      </c>
      <c r="AR85" s="153">
        <f t="shared" si="4"/>
        <v>0</v>
      </c>
      <c r="AS85" s="153">
        <f t="shared" si="5"/>
        <v>0</v>
      </c>
      <c r="AT85" s="153">
        <f t="shared" si="6"/>
        <v>0</v>
      </c>
      <c r="AU85" s="153">
        <f t="shared" si="7"/>
        <v>0</v>
      </c>
      <c r="AW85" s="1543">
        <v>0.75</v>
      </c>
      <c r="AX85" s="1102"/>
      <c r="AY85" s="1544">
        <v>0.25</v>
      </c>
      <c r="BA85" s="1103">
        <v>0</v>
      </c>
      <c r="BB85" s="1103">
        <v>0</v>
      </c>
      <c r="BC85" s="1103">
        <v>0</v>
      </c>
      <c r="BD85" s="1103">
        <v>0</v>
      </c>
      <c r="BE85" s="1103">
        <v>0</v>
      </c>
      <c r="BF85" s="1103">
        <v>0.60580000000000001</v>
      </c>
      <c r="BG85" s="1103">
        <v>0</v>
      </c>
      <c r="BH85" s="1103">
        <v>0</v>
      </c>
      <c r="BI85" s="1103">
        <v>0</v>
      </c>
      <c r="BJ85" s="1103">
        <v>0</v>
      </c>
    </row>
    <row r="86" spans="2:62" hidden="1" outlineLevel="2">
      <c r="B86" s="1094"/>
      <c r="C86" s="1083" t="s">
        <v>281</v>
      </c>
      <c r="D86" s="1062" t="s">
        <v>263</v>
      </c>
      <c r="E86" s="1083" t="s">
        <v>282</v>
      </c>
      <c r="F86" s="1095">
        <v>2020</v>
      </c>
      <c r="G86" s="1096">
        <f t="shared" si="0"/>
        <v>0.60580000000000001</v>
      </c>
      <c r="H86" s="1083" t="s">
        <v>29</v>
      </c>
      <c r="I86" s="1097">
        <v>3</v>
      </c>
      <c r="J86" s="1098">
        <f t="shared" si="1"/>
        <v>36</v>
      </c>
      <c r="K86" s="153">
        <f t="shared" si="2"/>
        <v>0.33333333333333331</v>
      </c>
      <c r="L86" s="1099"/>
      <c r="M86" s="1100">
        <v>7.0009243974909223</v>
      </c>
      <c r="N86" s="1101">
        <f>IF($BF86=0,0,IF(SUM($M86:M86)&lt;($J86-12),12,$J86-SUM($M86:M86)))</f>
        <v>12</v>
      </c>
      <c r="O86" s="1101">
        <f>IF($BF86=0,0,IF(SUM($M86:N86)&lt;($J86-12),12,$J86-SUM($M86:N86)))</f>
        <v>12</v>
      </c>
      <c r="P86" s="1101">
        <f>IF($BF86=0,0,IF(SUM($M86:O86)&lt;($J86-12),12,$J86-SUM($M86:O86)))</f>
        <v>4.9990756025090768</v>
      </c>
      <c r="Q86" s="1101">
        <f>IF($BF86=0,0,IF(SUM($M86:P86)&lt;($J86-12),12,$J86-SUM($M86:P86)))</f>
        <v>0</v>
      </c>
      <c r="S86" s="1100"/>
      <c r="T86" s="1100">
        <v>0</v>
      </c>
      <c r="U86" s="1101">
        <f>IF($BG86=0,0,IF(SUM($S86:T86)&lt;($J86-12),12,$J86-SUM($S86:T86)))</f>
        <v>0</v>
      </c>
      <c r="V86" s="1101">
        <f>IF($BG86=0,0,IF(SUM($S86:U86)&lt;($J86-12),12,$J86-SUM($S86:U86)))</f>
        <v>0</v>
      </c>
      <c r="W86" s="1101">
        <f>IF($BG86=0,0,IF(SUM($S86:V86)&lt;($J86-12),12,$J86-SUM($S86:V86)))</f>
        <v>0</v>
      </c>
      <c r="Y86" s="1100"/>
      <c r="Z86" s="1100"/>
      <c r="AA86" s="1100">
        <v>0</v>
      </c>
      <c r="AB86" s="1101">
        <f>IF($BH86=0,0,IF(SUM($Y86:AA86)&lt;($J86-12),12,$J86-SUM($Y86:AA86)))</f>
        <v>0</v>
      </c>
      <c r="AC86" s="1101">
        <f>IF($BH86=0,0,IF(SUM($Y86:AB86)&lt;($J86-12),12,$J86-SUM($Y86:AB86)))</f>
        <v>0</v>
      </c>
      <c r="AE86" s="1100"/>
      <c r="AF86" s="1100"/>
      <c r="AG86" s="1100"/>
      <c r="AH86" s="1100">
        <v>0</v>
      </c>
      <c r="AI86" s="1101">
        <f>IF($BI86=0,0,IF(SUM($AE86:AH86)&lt;($J86-12),12,$J86-SUM($AE86:AH86)))</f>
        <v>0</v>
      </c>
      <c r="AK86" s="1100"/>
      <c r="AL86" s="1100"/>
      <c r="AM86" s="1100"/>
      <c r="AN86" s="1100"/>
      <c r="AO86" s="1100">
        <v>0</v>
      </c>
      <c r="AQ86" s="153">
        <f t="shared" si="3"/>
        <v>0.58341036645757682</v>
      </c>
      <c r="AR86" s="153">
        <f t="shared" si="4"/>
        <v>0</v>
      </c>
      <c r="AS86" s="153">
        <f t="shared" si="5"/>
        <v>0</v>
      </c>
      <c r="AT86" s="153">
        <f t="shared" si="6"/>
        <v>0</v>
      </c>
      <c r="AU86" s="153">
        <f t="shared" si="7"/>
        <v>0</v>
      </c>
      <c r="AW86" s="1543">
        <v>0.75</v>
      </c>
      <c r="AX86" s="1102"/>
      <c r="AY86" s="1544">
        <v>0.25</v>
      </c>
      <c r="BA86" s="1103">
        <v>0</v>
      </c>
      <c r="BB86" s="1103">
        <v>0</v>
      </c>
      <c r="BC86" s="1103">
        <v>0</v>
      </c>
      <c r="BD86" s="1103">
        <v>0</v>
      </c>
      <c r="BE86" s="1103">
        <v>0</v>
      </c>
      <c r="BF86" s="1103">
        <v>0.60580000000000001</v>
      </c>
      <c r="BG86" s="1103">
        <v>0</v>
      </c>
      <c r="BH86" s="1103">
        <v>0</v>
      </c>
      <c r="BI86" s="1103">
        <v>0</v>
      </c>
      <c r="BJ86" s="1103">
        <v>0</v>
      </c>
    </row>
    <row r="87" spans="2:62" hidden="1" outlineLevel="2">
      <c r="B87" s="1094"/>
      <c r="C87" s="1083" t="s">
        <v>283</v>
      </c>
      <c r="D87" s="1062" t="s">
        <v>263</v>
      </c>
      <c r="E87" s="1083" t="s">
        <v>284</v>
      </c>
      <c r="F87" s="1095">
        <v>2020</v>
      </c>
      <c r="G87" s="1096">
        <f t="shared" si="0"/>
        <v>0.90061000000000002</v>
      </c>
      <c r="H87" s="1083" t="s">
        <v>29</v>
      </c>
      <c r="I87" s="1097">
        <v>3.0833333333333335</v>
      </c>
      <c r="J87" s="1098">
        <f t="shared" si="1"/>
        <v>37</v>
      </c>
      <c r="K87" s="153">
        <f t="shared" si="2"/>
        <v>0.32432432432432429</v>
      </c>
      <c r="L87" s="1099"/>
      <c r="M87" s="1100">
        <v>10.27903309978792</v>
      </c>
      <c r="N87" s="1101">
        <f>IF($BF87=0,0,IF(SUM($M87:M87)&lt;($J87-12),12,$J87-SUM($M87:M87)))</f>
        <v>12</v>
      </c>
      <c r="O87" s="1101">
        <f>IF($BF87=0,0,IF(SUM($M87:N87)&lt;($J87-12),12,$J87-SUM($M87:N87)))</f>
        <v>12</v>
      </c>
      <c r="P87" s="1101">
        <f>IF($BF87=0,0,IF(SUM($M87:O87)&lt;($J87-12),12,$J87-SUM($M87:O87)))</f>
        <v>2.7209669002120762</v>
      </c>
      <c r="Q87" s="1101">
        <f>IF($BF87=0,0,IF(SUM($M87:P87)&lt;($J87-12),12,$J87-SUM($M87:P87)))</f>
        <v>0</v>
      </c>
      <c r="S87" s="1100"/>
      <c r="T87" s="1100">
        <v>0</v>
      </c>
      <c r="U87" s="1101">
        <f>IF($BG87=0,0,IF(SUM($S87:T87)&lt;($J87-12),12,$J87-SUM($S87:T87)))</f>
        <v>0</v>
      </c>
      <c r="V87" s="1101">
        <f>IF($BG87=0,0,IF(SUM($S87:U87)&lt;($J87-12),12,$J87-SUM($S87:U87)))</f>
        <v>0</v>
      </c>
      <c r="W87" s="1101">
        <f>IF($BG87=0,0,IF(SUM($S87:V87)&lt;($J87-12),12,$J87-SUM($S87:V87)))</f>
        <v>0</v>
      </c>
      <c r="Y87" s="1100"/>
      <c r="Z87" s="1100"/>
      <c r="AA87" s="1100">
        <v>0</v>
      </c>
      <c r="AB87" s="1101">
        <f>IF($BH87=0,0,IF(SUM($Y87:AA87)&lt;($J87-12),12,$J87-SUM($Y87:AA87)))</f>
        <v>0</v>
      </c>
      <c r="AC87" s="1101">
        <f>IF($BH87=0,0,IF(SUM($Y87:AB87)&lt;($J87-12),12,$J87-SUM($Y87:AB87)))</f>
        <v>0</v>
      </c>
      <c r="AE87" s="1100"/>
      <c r="AF87" s="1100"/>
      <c r="AG87" s="1100"/>
      <c r="AH87" s="1100">
        <v>0</v>
      </c>
      <c r="AI87" s="1101">
        <f>IF($BI87=0,0,IF(SUM($AE87:AH87)&lt;($J87-12),12,$J87-SUM($AE87:AH87)))</f>
        <v>0</v>
      </c>
      <c r="AK87" s="1100"/>
      <c r="AL87" s="1100"/>
      <c r="AM87" s="1100"/>
      <c r="AN87" s="1100"/>
      <c r="AO87" s="1100">
        <v>0</v>
      </c>
      <c r="AQ87" s="153">
        <f t="shared" si="3"/>
        <v>0.85658609164899335</v>
      </c>
      <c r="AR87" s="153">
        <f t="shared" si="4"/>
        <v>0</v>
      </c>
      <c r="AS87" s="153">
        <f t="shared" si="5"/>
        <v>0</v>
      </c>
      <c r="AT87" s="153">
        <f t="shared" si="6"/>
        <v>0</v>
      </c>
      <c r="AU87" s="153">
        <f t="shared" si="7"/>
        <v>0</v>
      </c>
      <c r="AW87" s="1543">
        <v>0.75</v>
      </c>
      <c r="AX87" s="1102"/>
      <c r="AY87" s="1544">
        <v>0.25</v>
      </c>
      <c r="BA87" s="1103">
        <v>0</v>
      </c>
      <c r="BB87" s="1103">
        <v>0</v>
      </c>
      <c r="BC87" s="1103">
        <v>0</v>
      </c>
      <c r="BD87" s="1103">
        <v>0</v>
      </c>
      <c r="BE87" s="1103">
        <v>0</v>
      </c>
      <c r="BF87" s="1103">
        <v>0.90061000000000002</v>
      </c>
      <c r="BG87" s="1103">
        <v>0</v>
      </c>
      <c r="BH87" s="1103">
        <v>0</v>
      </c>
      <c r="BI87" s="1103">
        <v>0</v>
      </c>
      <c r="BJ87" s="1103">
        <v>0</v>
      </c>
    </row>
    <row r="88" spans="2:62" hidden="1" outlineLevel="2">
      <c r="B88" s="1094"/>
      <c r="C88" s="1083" t="s">
        <v>285</v>
      </c>
      <c r="D88" s="1062" t="s">
        <v>263</v>
      </c>
      <c r="E88" s="1083" t="s">
        <v>286</v>
      </c>
      <c r="F88" s="1095">
        <v>2020</v>
      </c>
      <c r="G88" s="1096">
        <f t="shared" si="0"/>
        <v>0.60580000000000001</v>
      </c>
      <c r="H88" s="1083" t="s">
        <v>29</v>
      </c>
      <c r="I88" s="1097">
        <v>3</v>
      </c>
      <c r="J88" s="1098">
        <f t="shared" si="1"/>
        <v>36</v>
      </c>
      <c r="K88" s="153">
        <f t="shared" si="2"/>
        <v>0.33333333333333331</v>
      </c>
      <c r="L88" s="1099"/>
      <c r="M88" s="1100">
        <v>7.0009243974909223</v>
      </c>
      <c r="N88" s="1101">
        <f>IF($BF88=0,0,IF(SUM($M88:M88)&lt;($J88-12),12,$J88-SUM($M88:M88)))</f>
        <v>12</v>
      </c>
      <c r="O88" s="1101">
        <f>IF($BF88=0,0,IF(SUM($M88:N88)&lt;($J88-12),12,$J88-SUM($M88:N88)))</f>
        <v>12</v>
      </c>
      <c r="P88" s="1101">
        <f>IF($BF88=0,0,IF(SUM($M88:O88)&lt;($J88-12),12,$J88-SUM($M88:O88)))</f>
        <v>4.9990756025090768</v>
      </c>
      <c r="Q88" s="1101">
        <f>IF($BF88=0,0,IF(SUM($M88:P88)&lt;($J88-12),12,$J88-SUM($M88:P88)))</f>
        <v>0</v>
      </c>
      <c r="S88" s="1100"/>
      <c r="T88" s="1100">
        <v>0</v>
      </c>
      <c r="U88" s="1101">
        <f>IF($BG88=0,0,IF(SUM($S88:T88)&lt;($J88-12),12,$J88-SUM($S88:T88)))</f>
        <v>0</v>
      </c>
      <c r="V88" s="1101">
        <f>IF($BG88=0,0,IF(SUM($S88:U88)&lt;($J88-12),12,$J88-SUM($S88:U88)))</f>
        <v>0</v>
      </c>
      <c r="W88" s="1101">
        <f>IF($BG88=0,0,IF(SUM($S88:V88)&lt;($J88-12),12,$J88-SUM($S88:V88)))</f>
        <v>0</v>
      </c>
      <c r="Y88" s="1100"/>
      <c r="Z88" s="1100"/>
      <c r="AA88" s="1100">
        <v>0</v>
      </c>
      <c r="AB88" s="1101">
        <f>IF($BH88=0,0,IF(SUM($Y88:AA88)&lt;($J88-12),12,$J88-SUM($Y88:AA88)))</f>
        <v>0</v>
      </c>
      <c r="AC88" s="1101">
        <f>IF($BH88=0,0,IF(SUM($Y88:AB88)&lt;($J88-12),12,$J88-SUM($Y88:AB88)))</f>
        <v>0</v>
      </c>
      <c r="AE88" s="1100"/>
      <c r="AF88" s="1100"/>
      <c r="AG88" s="1100"/>
      <c r="AH88" s="1100">
        <v>0</v>
      </c>
      <c r="AI88" s="1101">
        <f>IF($BI88=0,0,IF(SUM($AE88:AH88)&lt;($J88-12),12,$J88-SUM($AE88:AH88)))</f>
        <v>0</v>
      </c>
      <c r="AK88" s="1100"/>
      <c r="AL88" s="1100"/>
      <c r="AM88" s="1100"/>
      <c r="AN88" s="1100"/>
      <c r="AO88" s="1100">
        <v>0</v>
      </c>
      <c r="AQ88" s="153">
        <f t="shared" si="3"/>
        <v>0.58341036645757682</v>
      </c>
      <c r="AR88" s="153">
        <f t="shared" si="4"/>
        <v>0</v>
      </c>
      <c r="AS88" s="153">
        <f t="shared" si="5"/>
        <v>0</v>
      </c>
      <c r="AT88" s="153">
        <f t="shared" si="6"/>
        <v>0</v>
      </c>
      <c r="AU88" s="153">
        <f t="shared" si="7"/>
        <v>0</v>
      </c>
      <c r="AW88" s="1543">
        <v>0.75</v>
      </c>
      <c r="AX88" s="1102"/>
      <c r="AY88" s="1544">
        <v>0.25</v>
      </c>
      <c r="BA88" s="1103">
        <v>0</v>
      </c>
      <c r="BB88" s="1103">
        <v>0</v>
      </c>
      <c r="BC88" s="1103">
        <v>0</v>
      </c>
      <c r="BD88" s="1103">
        <v>0</v>
      </c>
      <c r="BE88" s="1103">
        <v>0</v>
      </c>
      <c r="BF88" s="1103">
        <v>0.60580000000000001</v>
      </c>
      <c r="BG88" s="1103">
        <v>0</v>
      </c>
      <c r="BH88" s="1103">
        <v>0</v>
      </c>
      <c r="BI88" s="1103">
        <v>0</v>
      </c>
      <c r="BJ88" s="1103">
        <v>0</v>
      </c>
    </row>
    <row r="89" spans="2:62" hidden="1" outlineLevel="2">
      <c r="B89" s="1094"/>
      <c r="C89" s="1083" t="s">
        <v>275</v>
      </c>
      <c r="D89" s="1062" t="s">
        <v>263</v>
      </c>
      <c r="E89" s="1083" t="s">
        <v>287</v>
      </c>
      <c r="F89" s="1095">
        <v>2020</v>
      </c>
      <c r="G89" s="1096">
        <f t="shared" si="0"/>
        <v>0.60580000000000001</v>
      </c>
      <c r="H89" s="1083" t="s">
        <v>29</v>
      </c>
      <c r="I89" s="1097">
        <v>3</v>
      </c>
      <c r="J89" s="1098">
        <f t="shared" si="1"/>
        <v>36</v>
      </c>
      <c r="K89" s="153">
        <f t="shared" si="2"/>
        <v>0.33333333333333331</v>
      </c>
      <c r="L89" s="1099"/>
      <c r="M89" s="1100">
        <v>7.0009243974909223</v>
      </c>
      <c r="N89" s="1101">
        <f>IF($BF89=0,0,IF(SUM($M89:M89)&lt;($J89-12),12,$J89-SUM($M89:M89)))</f>
        <v>12</v>
      </c>
      <c r="O89" s="1101">
        <f>IF($BF89=0,0,IF(SUM($M89:N89)&lt;($J89-12),12,$J89-SUM($M89:N89)))</f>
        <v>12</v>
      </c>
      <c r="P89" s="1101">
        <f>IF($BF89=0,0,IF(SUM($M89:O89)&lt;($J89-12),12,$J89-SUM($M89:O89)))</f>
        <v>4.9990756025090768</v>
      </c>
      <c r="Q89" s="1101">
        <f>IF($BF89=0,0,IF(SUM($M89:P89)&lt;($J89-12),12,$J89-SUM($M89:P89)))</f>
        <v>0</v>
      </c>
      <c r="S89" s="1100"/>
      <c r="T89" s="1100">
        <v>0</v>
      </c>
      <c r="U89" s="1101">
        <f>IF($BG89=0,0,IF(SUM($S89:T89)&lt;($J89-12),12,$J89-SUM($S89:T89)))</f>
        <v>0</v>
      </c>
      <c r="V89" s="1101">
        <f>IF($BG89=0,0,IF(SUM($S89:U89)&lt;($J89-12),12,$J89-SUM($S89:U89)))</f>
        <v>0</v>
      </c>
      <c r="W89" s="1101">
        <f>IF($BG89=0,0,IF(SUM($S89:V89)&lt;($J89-12),12,$J89-SUM($S89:V89)))</f>
        <v>0</v>
      </c>
      <c r="Y89" s="1100"/>
      <c r="Z89" s="1100"/>
      <c r="AA89" s="1100">
        <v>0</v>
      </c>
      <c r="AB89" s="1101">
        <f>IF($BH89=0,0,IF(SUM($Y89:AA89)&lt;($J89-12),12,$J89-SUM($Y89:AA89)))</f>
        <v>0</v>
      </c>
      <c r="AC89" s="1101">
        <f>IF($BH89=0,0,IF(SUM($Y89:AB89)&lt;($J89-12),12,$J89-SUM($Y89:AB89)))</f>
        <v>0</v>
      </c>
      <c r="AE89" s="1100"/>
      <c r="AF89" s="1100"/>
      <c r="AG89" s="1100"/>
      <c r="AH89" s="1100">
        <v>0</v>
      </c>
      <c r="AI89" s="1101">
        <f>IF($BI89=0,0,IF(SUM($AE89:AH89)&lt;($J89-12),12,$J89-SUM($AE89:AH89)))</f>
        <v>0</v>
      </c>
      <c r="AK89" s="1100"/>
      <c r="AL89" s="1100"/>
      <c r="AM89" s="1100"/>
      <c r="AN89" s="1100"/>
      <c r="AO89" s="1100">
        <v>0</v>
      </c>
      <c r="AQ89" s="153">
        <f t="shared" si="3"/>
        <v>0.58341036645757682</v>
      </c>
      <c r="AR89" s="153">
        <f t="shared" si="4"/>
        <v>0</v>
      </c>
      <c r="AS89" s="153">
        <f t="shared" si="5"/>
        <v>0</v>
      </c>
      <c r="AT89" s="153">
        <f t="shared" si="6"/>
        <v>0</v>
      </c>
      <c r="AU89" s="153">
        <f t="shared" si="7"/>
        <v>0</v>
      </c>
      <c r="AW89" s="1543">
        <v>0.75</v>
      </c>
      <c r="AX89" s="1102"/>
      <c r="AY89" s="1544">
        <v>0.25</v>
      </c>
      <c r="BA89" s="1103">
        <v>0</v>
      </c>
      <c r="BB89" s="1103">
        <v>0</v>
      </c>
      <c r="BC89" s="1103">
        <v>0</v>
      </c>
      <c r="BD89" s="1103">
        <v>0</v>
      </c>
      <c r="BE89" s="1103">
        <v>0</v>
      </c>
      <c r="BF89" s="1103">
        <v>0.60580000000000001</v>
      </c>
      <c r="BG89" s="1103">
        <v>0</v>
      </c>
      <c r="BH89" s="1103">
        <v>0</v>
      </c>
      <c r="BI89" s="1103">
        <v>0</v>
      </c>
      <c r="BJ89" s="1103">
        <v>0</v>
      </c>
    </row>
    <row r="90" spans="2:62" hidden="1" outlineLevel="2">
      <c r="B90" s="1094"/>
      <c r="C90" s="1083" t="s">
        <v>288</v>
      </c>
      <c r="D90" s="1062" t="s">
        <v>263</v>
      </c>
      <c r="E90" s="1083" t="s">
        <v>289</v>
      </c>
      <c r="F90" s="1095">
        <v>2020</v>
      </c>
      <c r="G90" s="1096">
        <f t="shared" si="0"/>
        <v>0.6</v>
      </c>
      <c r="H90" s="1083" t="s">
        <v>29</v>
      </c>
      <c r="I90" s="1097">
        <v>3</v>
      </c>
      <c r="J90" s="1098">
        <f t="shared" si="1"/>
        <v>36</v>
      </c>
      <c r="K90" s="153">
        <f t="shared" si="2"/>
        <v>0.33333333333333331</v>
      </c>
      <c r="L90" s="1099"/>
      <c r="M90" s="1100">
        <v>7.0013999999999994</v>
      </c>
      <c r="N90" s="1101">
        <f>IF($BF90=0,0,IF(SUM($M90:M90)&lt;($J90-12),12,$J90-SUM($M90:M90)))</f>
        <v>12</v>
      </c>
      <c r="O90" s="1101">
        <f>IF($BF90=0,0,IF(SUM($M90:N90)&lt;($J90-12),12,$J90-SUM($M90:N90)))</f>
        <v>12</v>
      </c>
      <c r="P90" s="1101">
        <f>IF($BF90=0,0,IF(SUM($M90:O90)&lt;($J90-12),12,$J90-SUM($M90:O90)))</f>
        <v>4.9985999999999997</v>
      </c>
      <c r="Q90" s="1101">
        <f>IF($BF90=0,0,IF(SUM($M90:P90)&lt;($J90-12),12,$J90-SUM($M90:P90)))</f>
        <v>0</v>
      </c>
      <c r="S90" s="1100"/>
      <c r="T90" s="1100">
        <v>0</v>
      </c>
      <c r="U90" s="1101">
        <f>IF($BG90=0,0,IF(SUM($S90:T90)&lt;($J90-12),12,$J90-SUM($S90:T90)))</f>
        <v>0</v>
      </c>
      <c r="V90" s="1101">
        <f>IF($BG90=0,0,IF(SUM($S90:U90)&lt;($J90-12),12,$J90-SUM($S90:U90)))</f>
        <v>0</v>
      </c>
      <c r="W90" s="1101">
        <f>IF($BG90=0,0,IF(SUM($S90:V90)&lt;($J90-12),12,$J90-SUM($S90:V90)))</f>
        <v>0</v>
      </c>
      <c r="Y90" s="1100"/>
      <c r="Z90" s="1100"/>
      <c r="AA90" s="1100">
        <v>0</v>
      </c>
      <c r="AB90" s="1101">
        <f>IF($BH90=0,0,IF(SUM($Y90:AA90)&lt;($J90-12),12,$J90-SUM($Y90:AA90)))</f>
        <v>0</v>
      </c>
      <c r="AC90" s="1101">
        <f>IF($BH90=0,0,IF(SUM($Y90:AB90)&lt;($J90-12),12,$J90-SUM($Y90:AB90)))</f>
        <v>0</v>
      </c>
      <c r="AE90" s="1100"/>
      <c r="AF90" s="1100"/>
      <c r="AG90" s="1100"/>
      <c r="AH90" s="1100">
        <v>0</v>
      </c>
      <c r="AI90" s="1101">
        <f>IF($BI90=0,0,IF(SUM($AE90:AH90)&lt;($J90-12),12,$J90-SUM($AE90:AH90)))</f>
        <v>0</v>
      </c>
      <c r="AK90" s="1100"/>
      <c r="AL90" s="1100"/>
      <c r="AM90" s="1100"/>
      <c r="AN90" s="1100"/>
      <c r="AO90" s="1100">
        <v>0</v>
      </c>
      <c r="AQ90" s="153">
        <f t="shared" si="3"/>
        <v>0.58344999999999991</v>
      </c>
      <c r="AR90" s="153">
        <f t="shared" si="4"/>
        <v>0</v>
      </c>
      <c r="AS90" s="153">
        <f t="shared" si="5"/>
        <v>0</v>
      </c>
      <c r="AT90" s="153">
        <f t="shared" si="6"/>
        <v>0</v>
      </c>
      <c r="AU90" s="153">
        <f t="shared" si="7"/>
        <v>0</v>
      </c>
      <c r="AW90" s="1543">
        <v>0.73</v>
      </c>
      <c r="AX90" s="1102"/>
      <c r="AY90" s="1544">
        <v>0.15</v>
      </c>
      <c r="BA90" s="1103">
        <v>0</v>
      </c>
      <c r="BB90" s="1103">
        <v>0</v>
      </c>
      <c r="BC90" s="1103">
        <v>0</v>
      </c>
      <c r="BD90" s="1103">
        <v>0</v>
      </c>
      <c r="BE90" s="1103">
        <v>0</v>
      </c>
      <c r="BF90" s="1103">
        <v>0.6</v>
      </c>
      <c r="BG90" s="1103">
        <v>0</v>
      </c>
      <c r="BH90" s="1103">
        <v>0</v>
      </c>
      <c r="BI90" s="1103">
        <v>0</v>
      </c>
      <c r="BJ90" s="1103">
        <v>0</v>
      </c>
    </row>
    <row r="91" spans="2:62" hidden="1" outlineLevel="2">
      <c r="B91" s="1094"/>
      <c r="C91" s="1083" t="s">
        <v>290</v>
      </c>
      <c r="D91" s="1062" t="s">
        <v>263</v>
      </c>
      <c r="E91" s="1083" t="s">
        <v>291</v>
      </c>
      <c r="F91" s="1095">
        <v>2020</v>
      </c>
      <c r="G91" s="1096">
        <f t="shared" si="0"/>
        <v>0.6</v>
      </c>
      <c r="H91" s="1083" t="s">
        <v>29</v>
      </c>
      <c r="I91" s="1097">
        <v>3</v>
      </c>
      <c r="J91" s="1098">
        <f t="shared" si="1"/>
        <v>36</v>
      </c>
      <c r="K91" s="153">
        <f t="shared" si="2"/>
        <v>0.33333333333333331</v>
      </c>
      <c r="L91" s="1099"/>
      <c r="M91" s="1100">
        <v>7.0013999999999994</v>
      </c>
      <c r="N91" s="1101">
        <f>IF($BF91=0,0,IF(SUM($M91:M91)&lt;($J91-12),12,$J91-SUM($M91:M91)))</f>
        <v>12</v>
      </c>
      <c r="O91" s="1101">
        <f>IF($BF91=0,0,IF(SUM($M91:N91)&lt;($J91-12),12,$J91-SUM($M91:N91)))</f>
        <v>12</v>
      </c>
      <c r="P91" s="1101">
        <f>IF($BF91=0,0,IF(SUM($M91:O91)&lt;($J91-12),12,$J91-SUM($M91:O91)))</f>
        <v>4.9985999999999997</v>
      </c>
      <c r="Q91" s="1101">
        <f>IF($BF91=0,0,IF(SUM($M91:P91)&lt;($J91-12),12,$J91-SUM($M91:P91)))</f>
        <v>0</v>
      </c>
      <c r="S91" s="1100"/>
      <c r="T91" s="1100">
        <v>0</v>
      </c>
      <c r="U91" s="1101">
        <f>IF($BG91=0,0,IF(SUM($S91:T91)&lt;($J91-12),12,$J91-SUM($S91:T91)))</f>
        <v>0</v>
      </c>
      <c r="V91" s="1101">
        <f>IF($BG91=0,0,IF(SUM($S91:U91)&lt;($J91-12),12,$J91-SUM($S91:U91)))</f>
        <v>0</v>
      </c>
      <c r="W91" s="1101">
        <f>IF($BG91=0,0,IF(SUM($S91:V91)&lt;($J91-12),12,$J91-SUM($S91:V91)))</f>
        <v>0</v>
      </c>
      <c r="Y91" s="1100"/>
      <c r="Z91" s="1100"/>
      <c r="AA91" s="1100">
        <v>0</v>
      </c>
      <c r="AB91" s="1101">
        <f>IF($BH91=0,0,IF(SUM($Y91:AA91)&lt;($J91-12),12,$J91-SUM($Y91:AA91)))</f>
        <v>0</v>
      </c>
      <c r="AC91" s="1101">
        <f>IF($BH91=0,0,IF(SUM($Y91:AB91)&lt;($J91-12),12,$J91-SUM($Y91:AB91)))</f>
        <v>0</v>
      </c>
      <c r="AE91" s="1100"/>
      <c r="AF91" s="1100"/>
      <c r="AG91" s="1100"/>
      <c r="AH91" s="1100">
        <v>0</v>
      </c>
      <c r="AI91" s="1101">
        <f>IF($BI91=0,0,IF(SUM($AE91:AH91)&lt;($J91-12),12,$J91-SUM($AE91:AH91)))</f>
        <v>0</v>
      </c>
      <c r="AK91" s="1100"/>
      <c r="AL91" s="1100"/>
      <c r="AM91" s="1100"/>
      <c r="AN91" s="1100"/>
      <c r="AO91" s="1100">
        <v>0</v>
      </c>
      <c r="AQ91" s="153">
        <f t="shared" si="3"/>
        <v>0.58344999999999991</v>
      </c>
      <c r="AR91" s="153">
        <f t="shared" si="4"/>
        <v>0</v>
      </c>
      <c r="AS91" s="153">
        <f t="shared" si="5"/>
        <v>0</v>
      </c>
      <c r="AT91" s="153">
        <f t="shared" si="6"/>
        <v>0</v>
      </c>
      <c r="AU91" s="153">
        <f t="shared" si="7"/>
        <v>0</v>
      </c>
      <c r="AW91" s="1543">
        <v>0.73</v>
      </c>
      <c r="AX91" s="1102"/>
      <c r="AY91" s="1544">
        <v>0.15</v>
      </c>
      <c r="BA91" s="1103">
        <v>0</v>
      </c>
      <c r="BB91" s="1103">
        <v>0</v>
      </c>
      <c r="BC91" s="1103">
        <v>0</v>
      </c>
      <c r="BD91" s="1103">
        <v>0</v>
      </c>
      <c r="BE91" s="1103">
        <v>0</v>
      </c>
      <c r="BF91" s="1103">
        <v>0.6</v>
      </c>
      <c r="BG91" s="1103">
        <v>0</v>
      </c>
      <c r="BH91" s="1103">
        <v>0</v>
      </c>
      <c r="BI91" s="1103">
        <v>0</v>
      </c>
      <c r="BJ91" s="1103">
        <v>0</v>
      </c>
    </row>
    <row r="92" spans="2:62" hidden="1" outlineLevel="2">
      <c r="B92" s="1094"/>
      <c r="C92" s="1083" t="s">
        <v>292</v>
      </c>
      <c r="D92" s="1062" t="s">
        <v>263</v>
      </c>
      <c r="E92" s="1083" t="s">
        <v>293</v>
      </c>
      <c r="F92" s="1095">
        <v>2020</v>
      </c>
      <c r="G92" s="1096">
        <f t="shared" si="0"/>
        <v>0.6</v>
      </c>
      <c r="H92" s="1083" t="s">
        <v>29</v>
      </c>
      <c r="I92" s="1097">
        <v>3</v>
      </c>
      <c r="J92" s="1098">
        <f t="shared" si="1"/>
        <v>36</v>
      </c>
      <c r="K92" s="153">
        <f t="shared" si="2"/>
        <v>0.33333333333333331</v>
      </c>
      <c r="L92" s="1099"/>
      <c r="M92" s="1100">
        <v>7.0013999999999994</v>
      </c>
      <c r="N92" s="1101">
        <f>IF($BF92=0,0,IF(SUM($M92:M92)&lt;($J92-12),12,$J92-SUM($M92:M92)))</f>
        <v>12</v>
      </c>
      <c r="O92" s="1101">
        <f>IF($BF92=0,0,IF(SUM($M92:N92)&lt;($J92-12),12,$J92-SUM($M92:N92)))</f>
        <v>12</v>
      </c>
      <c r="P92" s="1101">
        <f>IF($BF92=0,0,IF(SUM($M92:O92)&lt;($J92-12),12,$J92-SUM($M92:O92)))</f>
        <v>4.9985999999999997</v>
      </c>
      <c r="Q92" s="1101">
        <f>IF($BF92=0,0,IF(SUM($M92:P92)&lt;($J92-12),12,$J92-SUM($M92:P92)))</f>
        <v>0</v>
      </c>
      <c r="S92" s="1100"/>
      <c r="T92" s="1100">
        <v>0</v>
      </c>
      <c r="U92" s="1101">
        <f>IF($BG92=0,0,IF(SUM($S92:T92)&lt;($J92-12),12,$J92-SUM($S92:T92)))</f>
        <v>0</v>
      </c>
      <c r="V92" s="1101">
        <f>IF($BG92=0,0,IF(SUM($S92:U92)&lt;($J92-12),12,$J92-SUM($S92:U92)))</f>
        <v>0</v>
      </c>
      <c r="W92" s="1101">
        <f>IF($BG92=0,0,IF(SUM($S92:V92)&lt;($J92-12),12,$J92-SUM($S92:V92)))</f>
        <v>0</v>
      </c>
      <c r="Y92" s="1100"/>
      <c r="Z92" s="1100"/>
      <c r="AA92" s="1100">
        <v>0</v>
      </c>
      <c r="AB92" s="1101">
        <f>IF($BH92=0,0,IF(SUM($Y92:AA92)&lt;($J92-12),12,$J92-SUM($Y92:AA92)))</f>
        <v>0</v>
      </c>
      <c r="AC92" s="1101">
        <f>IF($BH92=0,0,IF(SUM($Y92:AB92)&lt;($J92-12),12,$J92-SUM($Y92:AB92)))</f>
        <v>0</v>
      </c>
      <c r="AE92" s="1100"/>
      <c r="AF92" s="1100"/>
      <c r="AG92" s="1100"/>
      <c r="AH92" s="1100">
        <v>0</v>
      </c>
      <c r="AI92" s="1101">
        <f>IF($BI92=0,0,IF(SUM($AE92:AH92)&lt;($J92-12),12,$J92-SUM($AE92:AH92)))</f>
        <v>0</v>
      </c>
      <c r="AK92" s="1100"/>
      <c r="AL92" s="1100"/>
      <c r="AM92" s="1100"/>
      <c r="AN92" s="1100"/>
      <c r="AO92" s="1100">
        <v>0</v>
      </c>
      <c r="AQ92" s="153">
        <f t="shared" si="3"/>
        <v>0.58344999999999991</v>
      </c>
      <c r="AR92" s="153">
        <f t="shared" si="4"/>
        <v>0</v>
      </c>
      <c r="AS92" s="153">
        <f t="shared" si="5"/>
        <v>0</v>
      </c>
      <c r="AT92" s="153">
        <f t="shared" si="6"/>
        <v>0</v>
      </c>
      <c r="AU92" s="153">
        <f t="shared" si="7"/>
        <v>0</v>
      </c>
      <c r="AW92" s="1543">
        <v>0.73</v>
      </c>
      <c r="AX92" s="1102"/>
      <c r="AY92" s="1544">
        <v>0.15</v>
      </c>
      <c r="BA92" s="1103">
        <v>0</v>
      </c>
      <c r="BB92" s="1103">
        <v>0</v>
      </c>
      <c r="BC92" s="1103">
        <v>0</v>
      </c>
      <c r="BD92" s="1103">
        <v>0</v>
      </c>
      <c r="BE92" s="1103">
        <v>0</v>
      </c>
      <c r="BF92" s="1103">
        <v>0.6</v>
      </c>
      <c r="BG92" s="1103">
        <v>0</v>
      </c>
      <c r="BH92" s="1103">
        <v>0</v>
      </c>
      <c r="BI92" s="1103">
        <v>0</v>
      </c>
      <c r="BJ92" s="1103">
        <v>0</v>
      </c>
    </row>
    <row r="93" spans="2:62" hidden="1" outlineLevel="2">
      <c r="B93" s="1094"/>
      <c r="C93" s="1083" t="s">
        <v>294</v>
      </c>
      <c r="D93" s="1062" t="s">
        <v>263</v>
      </c>
      <c r="E93" s="1083" t="s">
        <v>295</v>
      </c>
      <c r="F93" s="1095">
        <v>2020</v>
      </c>
      <c r="G93" s="1096">
        <f t="shared" si="0"/>
        <v>0.90061000000000002</v>
      </c>
      <c r="H93" s="1083" t="s">
        <v>29</v>
      </c>
      <c r="I93" s="1097">
        <v>3.0833333333333335</v>
      </c>
      <c r="J93" s="1098">
        <f t="shared" si="1"/>
        <v>37</v>
      </c>
      <c r="K93" s="153">
        <f t="shared" si="2"/>
        <v>0.32432432432432429</v>
      </c>
      <c r="L93" s="1099"/>
      <c r="M93" s="1100">
        <v>7.1953231698515445</v>
      </c>
      <c r="N93" s="1101">
        <f>IF($BF93=0,0,IF(SUM($M93:M93)&lt;($J93-12),12,$J93-SUM($M93:M93)))</f>
        <v>12</v>
      </c>
      <c r="O93" s="1101">
        <f>IF($BF93=0,0,IF(SUM($M93:N93)&lt;($J93-12),12,$J93-SUM($M93:N93)))</f>
        <v>12</v>
      </c>
      <c r="P93" s="1101">
        <f>IF($BF93=0,0,IF(SUM($M93:O93)&lt;($J93-12),12,$J93-SUM($M93:O93)))</f>
        <v>5.8046768301484555</v>
      </c>
      <c r="Q93" s="1101">
        <f>IF($BF93=0,0,IF(SUM($M93:P93)&lt;($J93-12),12,$J93-SUM($M93:P93)))</f>
        <v>0</v>
      </c>
      <c r="S93" s="1100"/>
      <c r="T93" s="1100">
        <v>0</v>
      </c>
      <c r="U93" s="1101">
        <f>IF($BG93=0,0,IF(SUM($S93:T93)&lt;($J93-12),12,$J93-SUM($S93:T93)))</f>
        <v>0</v>
      </c>
      <c r="V93" s="1101">
        <f>IF($BG93=0,0,IF(SUM($S93:U93)&lt;($J93-12),12,$J93-SUM($S93:U93)))</f>
        <v>0</v>
      </c>
      <c r="W93" s="1101">
        <f>IF($BG93=0,0,IF(SUM($S93:V93)&lt;($J93-12),12,$J93-SUM($S93:V93)))</f>
        <v>0</v>
      </c>
      <c r="Y93" s="1100"/>
      <c r="Z93" s="1100"/>
      <c r="AA93" s="1100">
        <v>0</v>
      </c>
      <c r="AB93" s="1101">
        <f>IF($BH93=0,0,IF(SUM($Y93:AA93)&lt;($J93-12),12,$J93-SUM($Y93:AA93)))</f>
        <v>0</v>
      </c>
      <c r="AC93" s="1101">
        <f>IF($BH93=0,0,IF(SUM($Y93:AB93)&lt;($J93-12),12,$J93-SUM($Y93:AB93)))</f>
        <v>0</v>
      </c>
      <c r="AE93" s="1100"/>
      <c r="AF93" s="1100"/>
      <c r="AG93" s="1100"/>
      <c r="AH93" s="1100">
        <v>0</v>
      </c>
      <c r="AI93" s="1101">
        <f>IF($BI93=0,0,IF(SUM($AE93:AH93)&lt;($J93-12),12,$J93-SUM($AE93:AH93)))</f>
        <v>0</v>
      </c>
      <c r="AK93" s="1100"/>
      <c r="AL93" s="1100"/>
      <c r="AM93" s="1100"/>
      <c r="AN93" s="1100"/>
      <c r="AO93" s="1100">
        <v>0</v>
      </c>
      <c r="AQ93" s="153">
        <f t="shared" si="3"/>
        <v>0.59961026415429541</v>
      </c>
      <c r="AR93" s="153">
        <f t="shared" si="4"/>
        <v>0</v>
      </c>
      <c r="AS93" s="153">
        <f t="shared" si="5"/>
        <v>0</v>
      </c>
      <c r="AT93" s="153">
        <f t="shared" si="6"/>
        <v>0</v>
      </c>
      <c r="AU93" s="153">
        <f t="shared" si="7"/>
        <v>0</v>
      </c>
      <c r="AW93" s="1543">
        <v>0.73</v>
      </c>
      <c r="AX93" s="1102"/>
      <c r="AY93" s="1544">
        <v>0.15</v>
      </c>
      <c r="BA93" s="1103">
        <v>0</v>
      </c>
      <c r="BB93" s="1103">
        <v>0</v>
      </c>
      <c r="BC93" s="1103">
        <v>0</v>
      </c>
      <c r="BD93" s="1103">
        <v>0</v>
      </c>
      <c r="BE93" s="1103">
        <v>0</v>
      </c>
      <c r="BF93" s="1103">
        <v>0.90061000000000002</v>
      </c>
      <c r="BG93" s="1103">
        <v>0</v>
      </c>
      <c r="BH93" s="1103">
        <v>0</v>
      </c>
      <c r="BI93" s="1103">
        <v>0</v>
      </c>
      <c r="BJ93" s="1103">
        <v>0</v>
      </c>
    </row>
    <row r="94" spans="2:62" hidden="1" outlineLevel="2">
      <c r="B94" s="1094"/>
      <c r="C94" s="1083" t="s">
        <v>296</v>
      </c>
      <c r="D94" s="1062" t="s">
        <v>263</v>
      </c>
      <c r="E94" s="1083" t="s">
        <v>297</v>
      </c>
      <c r="F94" s="1095">
        <v>2020</v>
      </c>
      <c r="G94" s="1096">
        <f t="shared" si="0"/>
        <v>0.90061000000000002</v>
      </c>
      <c r="H94" s="1083" t="s">
        <v>29</v>
      </c>
      <c r="I94" s="1097">
        <v>3.0833333333333335</v>
      </c>
      <c r="J94" s="1098">
        <f t="shared" si="1"/>
        <v>37</v>
      </c>
      <c r="K94" s="153">
        <f t="shared" si="2"/>
        <v>0.32432432432432429</v>
      </c>
      <c r="L94" s="1099"/>
      <c r="M94" s="1100">
        <v>7.1953231698515445</v>
      </c>
      <c r="N94" s="1101">
        <f>IF($BF94=0,0,IF(SUM($M94:M94)&lt;($J94-12),12,$J94-SUM($M94:M94)))</f>
        <v>12</v>
      </c>
      <c r="O94" s="1101">
        <f>IF($BF94=0,0,IF(SUM($M94:N94)&lt;($J94-12),12,$J94-SUM($M94:N94)))</f>
        <v>12</v>
      </c>
      <c r="P94" s="1101">
        <f>IF($BF94=0,0,IF(SUM($M94:O94)&lt;($J94-12),12,$J94-SUM($M94:O94)))</f>
        <v>5.8046768301484555</v>
      </c>
      <c r="Q94" s="1101">
        <f>IF($BF94=0,0,IF(SUM($M94:P94)&lt;($J94-12),12,$J94-SUM($M94:P94)))</f>
        <v>0</v>
      </c>
      <c r="S94" s="1100"/>
      <c r="T94" s="1100">
        <v>0</v>
      </c>
      <c r="U94" s="1101">
        <f>IF($BG94=0,0,IF(SUM($S94:T94)&lt;($J94-12),12,$J94-SUM($S94:T94)))</f>
        <v>0</v>
      </c>
      <c r="V94" s="1101">
        <f>IF($BG94=0,0,IF(SUM($S94:U94)&lt;($J94-12),12,$J94-SUM($S94:U94)))</f>
        <v>0</v>
      </c>
      <c r="W94" s="1101">
        <f>IF($BG94=0,0,IF(SUM($S94:V94)&lt;($J94-12),12,$J94-SUM($S94:V94)))</f>
        <v>0</v>
      </c>
      <c r="Y94" s="1100"/>
      <c r="Z94" s="1100"/>
      <c r="AA94" s="1100">
        <v>0</v>
      </c>
      <c r="AB94" s="1101">
        <f>IF($BH94=0,0,IF(SUM($Y94:AA94)&lt;($J94-12),12,$J94-SUM($Y94:AA94)))</f>
        <v>0</v>
      </c>
      <c r="AC94" s="1101">
        <f>IF($BH94=0,0,IF(SUM($Y94:AB94)&lt;($J94-12),12,$J94-SUM($Y94:AB94)))</f>
        <v>0</v>
      </c>
      <c r="AE94" s="1100"/>
      <c r="AF94" s="1100"/>
      <c r="AG94" s="1100"/>
      <c r="AH94" s="1100">
        <v>0</v>
      </c>
      <c r="AI94" s="1101">
        <f>IF($BI94=0,0,IF(SUM($AE94:AH94)&lt;($J94-12),12,$J94-SUM($AE94:AH94)))</f>
        <v>0</v>
      </c>
      <c r="AK94" s="1100"/>
      <c r="AL94" s="1100"/>
      <c r="AM94" s="1100"/>
      <c r="AN94" s="1100"/>
      <c r="AO94" s="1100">
        <v>0</v>
      </c>
      <c r="AQ94" s="153">
        <f t="shared" si="3"/>
        <v>0.59961026415429541</v>
      </c>
      <c r="AR94" s="153">
        <f t="shared" si="4"/>
        <v>0</v>
      </c>
      <c r="AS94" s="153">
        <f t="shared" si="5"/>
        <v>0</v>
      </c>
      <c r="AT94" s="153">
        <f t="shared" si="6"/>
        <v>0</v>
      </c>
      <c r="AU94" s="153">
        <f t="shared" si="7"/>
        <v>0</v>
      </c>
      <c r="AW94" s="1543">
        <v>0.73</v>
      </c>
      <c r="AX94" s="1102"/>
      <c r="AY94" s="1544">
        <v>0.15</v>
      </c>
      <c r="BA94" s="1103">
        <v>0</v>
      </c>
      <c r="BB94" s="1103">
        <v>0</v>
      </c>
      <c r="BC94" s="1103">
        <v>0</v>
      </c>
      <c r="BD94" s="1103">
        <v>0</v>
      </c>
      <c r="BE94" s="1103">
        <v>0</v>
      </c>
      <c r="BF94" s="1103">
        <v>0.90061000000000002</v>
      </c>
      <c r="BG94" s="1103">
        <v>0</v>
      </c>
      <c r="BH94" s="1103">
        <v>0</v>
      </c>
      <c r="BI94" s="1103">
        <v>0</v>
      </c>
      <c r="BJ94" s="1103">
        <v>0</v>
      </c>
    </row>
    <row r="95" spans="2:62" hidden="1" outlineLevel="2">
      <c r="B95" s="1094"/>
      <c r="C95" s="1083" t="s">
        <v>298</v>
      </c>
      <c r="D95" s="1062" t="s">
        <v>263</v>
      </c>
      <c r="E95" s="1083" t="s">
        <v>299</v>
      </c>
      <c r="F95" s="1095">
        <v>2020</v>
      </c>
      <c r="G95" s="1096">
        <f t="shared" si="0"/>
        <v>1.50641</v>
      </c>
      <c r="H95" s="1083" t="s">
        <v>29</v>
      </c>
      <c r="I95" s="1097">
        <v>3</v>
      </c>
      <c r="J95" s="1098">
        <f t="shared" si="1"/>
        <v>36</v>
      </c>
      <c r="K95" s="153">
        <f t="shared" si="2"/>
        <v>0.33333333333333331</v>
      </c>
      <c r="L95" s="1099"/>
      <c r="M95" s="1100">
        <v>6.9999269787109757</v>
      </c>
      <c r="N95" s="1101">
        <f>IF($BF95=0,0,IF(SUM($M95:M95)&lt;($J95-12),12,$J95-SUM($M95:M95)))</f>
        <v>12</v>
      </c>
      <c r="O95" s="1101">
        <f>IF($BF95=0,0,IF(SUM($M95:N95)&lt;($J95-12),12,$J95-SUM($M95:N95)))</f>
        <v>12</v>
      </c>
      <c r="P95" s="1101">
        <f>IF($BF95=0,0,IF(SUM($M95:O95)&lt;($J95-12),12,$J95-SUM($M95:O95)))</f>
        <v>5.0000730212890261</v>
      </c>
      <c r="Q95" s="1101">
        <f>IF($BF95=0,0,IF(SUM($M95:P95)&lt;($J95-12),12,$J95-SUM($M95:P95)))</f>
        <v>0</v>
      </c>
      <c r="S95" s="1100"/>
      <c r="T95" s="1100">
        <v>0</v>
      </c>
      <c r="U95" s="1101">
        <f>IF($BG95=0,0,IF(SUM($S95:T95)&lt;($J95-12),12,$J95-SUM($S95:T95)))</f>
        <v>0</v>
      </c>
      <c r="V95" s="1101">
        <f>IF($BG95=0,0,IF(SUM($S95:U95)&lt;($J95-12),12,$J95-SUM($S95:U95)))</f>
        <v>0</v>
      </c>
      <c r="W95" s="1101">
        <f>IF($BG95=0,0,IF(SUM($S95:V95)&lt;($J95-12),12,$J95-SUM($S95:V95)))</f>
        <v>0</v>
      </c>
      <c r="Y95" s="1100"/>
      <c r="Z95" s="1100"/>
      <c r="AA95" s="1100">
        <v>0</v>
      </c>
      <c r="AB95" s="1101">
        <f>IF($BH95=0,0,IF(SUM($Y95:AA95)&lt;($J95-12),12,$J95-SUM($Y95:AA95)))</f>
        <v>0</v>
      </c>
      <c r="AC95" s="1101">
        <f>IF($BH95=0,0,IF(SUM($Y95:AB95)&lt;($J95-12),12,$J95-SUM($Y95:AB95)))</f>
        <v>0</v>
      </c>
      <c r="AE95" s="1100"/>
      <c r="AF95" s="1100"/>
      <c r="AG95" s="1100"/>
      <c r="AH95" s="1100">
        <v>0</v>
      </c>
      <c r="AI95" s="1101">
        <f>IF($BI95=0,0,IF(SUM($AE95:AH95)&lt;($J95-12),12,$J95-SUM($AE95:AH95)))</f>
        <v>0</v>
      </c>
      <c r="AK95" s="1100"/>
      <c r="AL95" s="1100"/>
      <c r="AM95" s="1100"/>
      <c r="AN95" s="1100"/>
      <c r="AO95" s="1100">
        <v>0</v>
      </c>
      <c r="AQ95" s="153">
        <f t="shared" si="3"/>
        <v>0.58332724822591464</v>
      </c>
      <c r="AR95" s="153">
        <f t="shared" si="4"/>
        <v>0</v>
      </c>
      <c r="AS95" s="153">
        <f t="shared" si="5"/>
        <v>0</v>
      </c>
      <c r="AT95" s="153">
        <f t="shared" si="6"/>
        <v>0</v>
      </c>
      <c r="AU95" s="153">
        <f t="shared" si="7"/>
        <v>0</v>
      </c>
      <c r="AW95" s="1543">
        <v>0.73</v>
      </c>
      <c r="AX95" s="1102"/>
      <c r="AY95" s="1544">
        <v>0.15</v>
      </c>
      <c r="BA95" s="1103">
        <v>0</v>
      </c>
      <c r="BB95" s="1103">
        <v>0</v>
      </c>
      <c r="BC95" s="1103">
        <v>0</v>
      </c>
      <c r="BD95" s="1103">
        <v>0</v>
      </c>
      <c r="BE95" s="1103">
        <v>0</v>
      </c>
      <c r="BF95" s="1103">
        <v>1.50641</v>
      </c>
      <c r="BG95" s="1103">
        <v>0</v>
      </c>
      <c r="BH95" s="1103">
        <v>0</v>
      </c>
      <c r="BI95" s="1103">
        <v>0</v>
      </c>
      <c r="BJ95" s="1103">
        <v>0</v>
      </c>
    </row>
    <row r="96" spans="2:62" hidden="1" outlineLevel="2">
      <c r="B96" s="1094"/>
      <c r="C96" s="1083" t="s">
        <v>300</v>
      </c>
      <c r="D96" s="1062" t="s">
        <v>263</v>
      </c>
      <c r="E96" s="1083" t="s">
        <v>301</v>
      </c>
      <c r="F96" s="1095">
        <v>2020</v>
      </c>
      <c r="G96" s="1096">
        <f t="shared" si="0"/>
        <v>1.50641</v>
      </c>
      <c r="H96" s="1083" t="s">
        <v>29</v>
      </c>
      <c r="I96" s="1097">
        <v>3</v>
      </c>
      <c r="J96" s="1098">
        <f t="shared" si="1"/>
        <v>36</v>
      </c>
      <c r="K96" s="153">
        <f t="shared" si="2"/>
        <v>0.33333333333333331</v>
      </c>
      <c r="L96" s="1099"/>
      <c r="M96" s="1100">
        <v>6.9999269787109757</v>
      </c>
      <c r="N96" s="1101">
        <f>IF($BF96=0,0,IF(SUM($M96:M96)&lt;($J96-12),12,$J96-SUM($M96:M96)))</f>
        <v>12</v>
      </c>
      <c r="O96" s="1101">
        <f>IF($BF96=0,0,IF(SUM($M96:N96)&lt;($J96-12),12,$J96-SUM($M96:N96)))</f>
        <v>12</v>
      </c>
      <c r="P96" s="1101">
        <f>IF($BF96=0,0,IF(SUM($M96:O96)&lt;($J96-12),12,$J96-SUM($M96:O96)))</f>
        <v>5.0000730212890261</v>
      </c>
      <c r="Q96" s="1101">
        <f>IF($BF96=0,0,IF(SUM($M96:P96)&lt;($J96-12),12,$J96-SUM($M96:P96)))</f>
        <v>0</v>
      </c>
      <c r="S96" s="1100"/>
      <c r="T96" s="1100">
        <v>0</v>
      </c>
      <c r="U96" s="1101">
        <f>IF($BG96=0,0,IF(SUM($S96:T96)&lt;($J96-12),12,$J96-SUM($S96:T96)))</f>
        <v>0</v>
      </c>
      <c r="V96" s="1101">
        <f>IF($BG96=0,0,IF(SUM($S96:U96)&lt;($J96-12),12,$J96-SUM($S96:U96)))</f>
        <v>0</v>
      </c>
      <c r="W96" s="1101">
        <f>IF($BG96=0,0,IF(SUM($S96:V96)&lt;($J96-12),12,$J96-SUM($S96:V96)))</f>
        <v>0</v>
      </c>
      <c r="Y96" s="1100"/>
      <c r="Z96" s="1100"/>
      <c r="AA96" s="1100">
        <v>0</v>
      </c>
      <c r="AB96" s="1101">
        <f>IF($BH96=0,0,IF(SUM($Y96:AA96)&lt;($J96-12),12,$J96-SUM($Y96:AA96)))</f>
        <v>0</v>
      </c>
      <c r="AC96" s="1101">
        <f>IF($BH96=0,0,IF(SUM($Y96:AB96)&lt;($J96-12),12,$J96-SUM($Y96:AB96)))</f>
        <v>0</v>
      </c>
      <c r="AE96" s="1100"/>
      <c r="AF96" s="1100"/>
      <c r="AG96" s="1100"/>
      <c r="AH96" s="1100">
        <v>0</v>
      </c>
      <c r="AI96" s="1101">
        <f>IF($BI96=0,0,IF(SUM($AE96:AH96)&lt;($J96-12),12,$J96-SUM($AE96:AH96)))</f>
        <v>0</v>
      </c>
      <c r="AK96" s="1100"/>
      <c r="AL96" s="1100"/>
      <c r="AM96" s="1100"/>
      <c r="AN96" s="1100"/>
      <c r="AO96" s="1100">
        <v>0</v>
      </c>
      <c r="AQ96" s="153">
        <f t="shared" si="3"/>
        <v>0.58332724822591464</v>
      </c>
      <c r="AR96" s="153">
        <f t="shared" si="4"/>
        <v>0</v>
      </c>
      <c r="AS96" s="153">
        <f t="shared" si="5"/>
        <v>0</v>
      </c>
      <c r="AT96" s="153">
        <f t="shared" si="6"/>
        <v>0</v>
      </c>
      <c r="AU96" s="153">
        <f t="shared" si="7"/>
        <v>0</v>
      </c>
      <c r="AW96" s="1543">
        <v>0.73</v>
      </c>
      <c r="AX96" s="1102"/>
      <c r="AY96" s="1544">
        <v>0.15</v>
      </c>
      <c r="BA96" s="1103">
        <v>0</v>
      </c>
      <c r="BB96" s="1103">
        <v>0</v>
      </c>
      <c r="BC96" s="1103">
        <v>0</v>
      </c>
      <c r="BD96" s="1103">
        <v>0</v>
      </c>
      <c r="BE96" s="1103">
        <v>0</v>
      </c>
      <c r="BF96" s="1103">
        <v>1.50641</v>
      </c>
      <c r="BG96" s="1103">
        <v>0</v>
      </c>
      <c r="BH96" s="1103">
        <v>0</v>
      </c>
      <c r="BI96" s="1103">
        <v>0</v>
      </c>
      <c r="BJ96" s="1103">
        <v>0</v>
      </c>
    </row>
    <row r="97" spans="2:62" hidden="1" outlineLevel="2">
      <c r="B97" s="1094"/>
      <c r="C97" s="1083" t="s">
        <v>302</v>
      </c>
      <c r="D97" s="1062" t="s">
        <v>263</v>
      </c>
      <c r="E97" s="1083" t="s">
        <v>303</v>
      </c>
      <c r="F97" s="1095">
        <v>2020</v>
      </c>
      <c r="G97" s="1096">
        <f t="shared" si="0"/>
        <v>1.50641</v>
      </c>
      <c r="H97" s="1083" t="s">
        <v>29</v>
      </c>
      <c r="I97" s="1097">
        <v>3</v>
      </c>
      <c r="J97" s="1098">
        <f t="shared" si="1"/>
        <v>36</v>
      </c>
      <c r="K97" s="153">
        <f t="shared" si="2"/>
        <v>0.33333333333333331</v>
      </c>
      <c r="L97" s="1099"/>
      <c r="M97" s="1100">
        <v>6.9999269787109757</v>
      </c>
      <c r="N97" s="1101">
        <f>IF($BF97=0,0,IF(SUM($M97:M97)&lt;($J97-12),12,$J97-SUM($M97:M97)))</f>
        <v>12</v>
      </c>
      <c r="O97" s="1101">
        <f>IF($BF97=0,0,IF(SUM($M97:N97)&lt;($J97-12),12,$J97-SUM($M97:N97)))</f>
        <v>12</v>
      </c>
      <c r="P97" s="1101">
        <f>IF($BF97=0,0,IF(SUM($M97:O97)&lt;($J97-12),12,$J97-SUM($M97:O97)))</f>
        <v>5.0000730212890261</v>
      </c>
      <c r="Q97" s="1101">
        <f>IF($BF97=0,0,IF(SUM($M97:P97)&lt;($J97-12),12,$J97-SUM($M97:P97)))</f>
        <v>0</v>
      </c>
      <c r="S97" s="1100"/>
      <c r="T97" s="1100">
        <v>0</v>
      </c>
      <c r="U97" s="1101">
        <f>IF($BG97=0,0,IF(SUM($S97:T97)&lt;($J97-12),12,$J97-SUM($S97:T97)))</f>
        <v>0</v>
      </c>
      <c r="V97" s="1101">
        <f>IF($BG97=0,0,IF(SUM($S97:U97)&lt;($J97-12),12,$J97-SUM($S97:U97)))</f>
        <v>0</v>
      </c>
      <c r="W97" s="1101">
        <f>IF($BG97=0,0,IF(SUM($S97:V97)&lt;($J97-12),12,$J97-SUM($S97:V97)))</f>
        <v>0</v>
      </c>
      <c r="Y97" s="1100"/>
      <c r="Z97" s="1100"/>
      <c r="AA97" s="1100">
        <v>0</v>
      </c>
      <c r="AB97" s="1101">
        <f>IF($BH97=0,0,IF(SUM($Y97:AA97)&lt;($J97-12),12,$J97-SUM($Y97:AA97)))</f>
        <v>0</v>
      </c>
      <c r="AC97" s="1101">
        <f>IF($BH97=0,0,IF(SUM($Y97:AB97)&lt;($J97-12),12,$J97-SUM($Y97:AB97)))</f>
        <v>0</v>
      </c>
      <c r="AE97" s="1100"/>
      <c r="AF97" s="1100"/>
      <c r="AG97" s="1100"/>
      <c r="AH97" s="1100">
        <v>0</v>
      </c>
      <c r="AI97" s="1101">
        <f>IF($BI97=0,0,IF(SUM($AE97:AH97)&lt;($J97-12),12,$J97-SUM($AE97:AH97)))</f>
        <v>0</v>
      </c>
      <c r="AK97" s="1100"/>
      <c r="AL97" s="1100"/>
      <c r="AM97" s="1100"/>
      <c r="AN97" s="1100"/>
      <c r="AO97" s="1100">
        <v>0</v>
      </c>
      <c r="AQ97" s="153">
        <f t="shared" si="3"/>
        <v>0.58332724822591464</v>
      </c>
      <c r="AR97" s="153">
        <f t="shared" si="4"/>
        <v>0</v>
      </c>
      <c r="AS97" s="153">
        <f t="shared" si="5"/>
        <v>0</v>
      </c>
      <c r="AT97" s="153">
        <f t="shared" si="6"/>
        <v>0</v>
      </c>
      <c r="AU97" s="153">
        <f t="shared" si="7"/>
        <v>0</v>
      </c>
      <c r="AW97" s="1543">
        <v>0.73</v>
      </c>
      <c r="AX97" s="1102"/>
      <c r="AY97" s="1544">
        <v>0.15</v>
      </c>
      <c r="BA97" s="1103">
        <v>0</v>
      </c>
      <c r="BB97" s="1103">
        <v>0</v>
      </c>
      <c r="BC97" s="1103">
        <v>0</v>
      </c>
      <c r="BD97" s="1103">
        <v>0</v>
      </c>
      <c r="BE97" s="1103">
        <v>0</v>
      </c>
      <c r="BF97" s="1103">
        <v>1.50641</v>
      </c>
      <c r="BG97" s="1103">
        <v>0</v>
      </c>
      <c r="BH97" s="1103">
        <v>0</v>
      </c>
      <c r="BI97" s="1103">
        <v>0</v>
      </c>
      <c r="BJ97" s="1103">
        <v>0</v>
      </c>
    </row>
    <row r="98" spans="2:62" hidden="1" outlineLevel="2">
      <c r="B98" s="1094"/>
      <c r="C98" s="1083" t="s">
        <v>304</v>
      </c>
      <c r="D98" s="1062" t="s">
        <v>263</v>
      </c>
      <c r="E98" s="1083" t="s">
        <v>305</v>
      </c>
      <c r="F98" s="1095">
        <v>2020</v>
      </c>
      <c r="G98" s="1096">
        <f t="shared" si="0"/>
        <v>1.50641</v>
      </c>
      <c r="H98" s="1083" t="s">
        <v>29</v>
      </c>
      <c r="I98" s="1097">
        <v>3</v>
      </c>
      <c r="J98" s="1098">
        <f t="shared" si="1"/>
        <v>36</v>
      </c>
      <c r="K98" s="153">
        <f t="shared" si="2"/>
        <v>0.33333333333333331</v>
      </c>
      <c r="L98" s="1099"/>
      <c r="M98" s="1100">
        <v>6.9999269787109757</v>
      </c>
      <c r="N98" s="1101">
        <f>IF($BF98=0,0,IF(SUM($M98:M98)&lt;($J98-12),12,$J98-SUM($M98:M98)))</f>
        <v>12</v>
      </c>
      <c r="O98" s="1101">
        <f>IF($BF98=0,0,IF(SUM($M98:N98)&lt;($J98-12),12,$J98-SUM($M98:N98)))</f>
        <v>12</v>
      </c>
      <c r="P98" s="1101">
        <f>IF($BF98=0,0,IF(SUM($M98:O98)&lt;($J98-12),12,$J98-SUM($M98:O98)))</f>
        <v>5.0000730212890261</v>
      </c>
      <c r="Q98" s="1101">
        <f>IF($BF98=0,0,IF(SUM($M98:P98)&lt;($J98-12),12,$J98-SUM($M98:P98)))</f>
        <v>0</v>
      </c>
      <c r="S98" s="1100"/>
      <c r="T98" s="1100">
        <v>0</v>
      </c>
      <c r="U98" s="1101">
        <f>IF($BG98=0,0,IF(SUM($S98:T98)&lt;($J98-12),12,$J98-SUM($S98:T98)))</f>
        <v>0</v>
      </c>
      <c r="V98" s="1101">
        <f>IF($BG98=0,0,IF(SUM($S98:U98)&lt;($J98-12),12,$J98-SUM($S98:U98)))</f>
        <v>0</v>
      </c>
      <c r="W98" s="1101">
        <f>IF($BG98=0,0,IF(SUM($S98:V98)&lt;($J98-12),12,$J98-SUM($S98:V98)))</f>
        <v>0</v>
      </c>
      <c r="Y98" s="1100"/>
      <c r="Z98" s="1100"/>
      <c r="AA98" s="1100">
        <v>0</v>
      </c>
      <c r="AB98" s="1101">
        <f>IF($BH98=0,0,IF(SUM($Y98:AA98)&lt;($J98-12),12,$J98-SUM($Y98:AA98)))</f>
        <v>0</v>
      </c>
      <c r="AC98" s="1101">
        <f>IF($BH98=0,0,IF(SUM($Y98:AB98)&lt;($J98-12),12,$J98-SUM($Y98:AB98)))</f>
        <v>0</v>
      </c>
      <c r="AE98" s="1100"/>
      <c r="AF98" s="1100"/>
      <c r="AG98" s="1100"/>
      <c r="AH98" s="1100">
        <v>0</v>
      </c>
      <c r="AI98" s="1101">
        <f>IF($BI98=0,0,IF(SUM($AE98:AH98)&lt;($J98-12),12,$J98-SUM($AE98:AH98)))</f>
        <v>0</v>
      </c>
      <c r="AK98" s="1100"/>
      <c r="AL98" s="1100"/>
      <c r="AM98" s="1100"/>
      <c r="AN98" s="1100"/>
      <c r="AO98" s="1100">
        <v>0</v>
      </c>
      <c r="AQ98" s="153">
        <f t="shared" si="3"/>
        <v>0.58332724822591464</v>
      </c>
      <c r="AR98" s="153">
        <f t="shared" si="4"/>
        <v>0</v>
      </c>
      <c r="AS98" s="153">
        <f t="shared" si="5"/>
        <v>0</v>
      </c>
      <c r="AT98" s="153">
        <f t="shared" si="6"/>
        <v>0</v>
      </c>
      <c r="AU98" s="153">
        <f t="shared" si="7"/>
        <v>0</v>
      </c>
      <c r="AW98" s="1543">
        <v>0.73</v>
      </c>
      <c r="AX98" s="1102"/>
      <c r="AY98" s="1544">
        <v>0.15</v>
      </c>
      <c r="BA98" s="1103">
        <v>0</v>
      </c>
      <c r="BB98" s="1103">
        <v>0</v>
      </c>
      <c r="BC98" s="1103">
        <v>0</v>
      </c>
      <c r="BD98" s="1103">
        <v>0</v>
      </c>
      <c r="BE98" s="1103">
        <v>0</v>
      </c>
      <c r="BF98" s="1103">
        <v>1.50641</v>
      </c>
      <c r="BG98" s="1103">
        <v>0</v>
      </c>
      <c r="BH98" s="1103">
        <v>0</v>
      </c>
      <c r="BI98" s="1103">
        <v>0</v>
      </c>
      <c r="BJ98" s="1103">
        <v>0</v>
      </c>
    </row>
    <row r="99" spans="2:62" hidden="1" outlineLevel="2">
      <c r="B99" s="1094"/>
      <c r="C99" s="1083" t="s">
        <v>306</v>
      </c>
      <c r="D99" s="1062" t="s">
        <v>263</v>
      </c>
      <c r="E99" s="1083" t="s">
        <v>307</v>
      </c>
      <c r="F99" s="1095">
        <v>2020</v>
      </c>
      <c r="G99" s="1096">
        <f t="shared" si="0"/>
        <v>1.50641</v>
      </c>
      <c r="H99" s="1083" t="s">
        <v>29</v>
      </c>
      <c r="I99" s="1097">
        <v>3</v>
      </c>
      <c r="J99" s="1098">
        <f t="shared" si="1"/>
        <v>36</v>
      </c>
      <c r="K99" s="153">
        <f t="shared" si="2"/>
        <v>0.33333333333333331</v>
      </c>
      <c r="L99" s="1099"/>
      <c r="M99" s="1100">
        <v>6.9999269787109757</v>
      </c>
      <c r="N99" s="1101">
        <f>IF($BF99=0,0,IF(SUM($M99:M99)&lt;($J99-12),12,$J99-SUM($M99:M99)))</f>
        <v>12</v>
      </c>
      <c r="O99" s="1101">
        <f>IF($BF99=0,0,IF(SUM($M99:N99)&lt;($J99-12),12,$J99-SUM($M99:N99)))</f>
        <v>12</v>
      </c>
      <c r="P99" s="1101">
        <f>IF($BF99=0,0,IF(SUM($M99:O99)&lt;($J99-12),12,$J99-SUM($M99:O99)))</f>
        <v>5.0000730212890261</v>
      </c>
      <c r="Q99" s="1101">
        <f>IF($BF99=0,0,IF(SUM($M99:P99)&lt;($J99-12),12,$J99-SUM($M99:P99)))</f>
        <v>0</v>
      </c>
      <c r="S99" s="1100"/>
      <c r="T99" s="1100">
        <v>0</v>
      </c>
      <c r="U99" s="1101">
        <f>IF($BG99=0,0,IF(SUM($S99:T99)&lt;($J99-12),12,$J99-SUM($S99:T99)))</f>
        <v>0</v>
      </c>
      <c r="V99" s="1101">
        <f>IF($BG99=0,0,IF(SUM($S99:U99)&lt;($J99-12),12,$J99-SUM($S99:U99)))</f>
        <v>0</v>
      </c>
      <c r="W99" s="1101">
        <f>IF($BG99=0,0,IF(SUM($S99:V99)&lt;($J99-12),12,$J99-SUM($S99:V99)))</f>
        <v>0</v>
      </c>
      <c r="Y99" s="1100"/>
      <c r="Z99" s="1100"/>
      <c r="AA99" s="1100">
        <v>0</v>
      </c>
      <c r="AB99" s="1101">
        <f>IF($BH99=0,0,IF(SUM($Y99:AA99)&lt;($J99-12),12,$J99-SUM($Y99:AA99)))</f>
        <v>0</v>
      </c>
      <c r="AC99" s="1101">
        <f>IF($BH99=0,0,IF(SUM($Y99:AB99)&lt;($J99-12),12,$J99-SUM($Y99:AB99)))</f>
        <v>0</v>
      </c>
      <c r="AE99" s="1100"/>
      <c r="AF99" s="1100"/>
      <c r="AG99" s="1100"/>
      <c r="AH99" s="1100">
        <v>0</v>
      </c>
      <c r="AI99" s="1101">
        <f>IF($BI99=0,0,IF(SUM($AE99:AH99)&lt;($J99-12),12,$J99-SUM($AE99:AH99)))</f>
        <v>0</v>
      </c>
      <c r="AK99" s="1100"/>
      <c r="AL99" s="1100"/>
      <c r="AM99" s="1100"/>
      <c r="AN99" s="1100"/>
      <c r="AO99" s="1100">
        <v>0</v>
      </c>
      <c r="AQ99" s="153">
        <f t="shared" si="3"/>
        <v>0.58332724822591464</v>
      </c>
      <c r="AR99" s="153">
        <f t="shared" si="4"/>
        <v>0</v>
      </c>
      <c r="AS99" s="153">
        <f t="shared" si="5"/>
        <v>0</v>
      </c>
      <c r="AT99" s="153">
        <f t="shared" si="6"/>
        <v>0</v>
      </c>
      <c r="AU99" s="153">
        <f t="shared" si="7"/>
        <v>0</v>
      </c>
      <c r="AW99" s="1543">
        <v>0.73</v>
      </c>
      <c r="AX99" s="1102"/>
      <c r="AY99" s="1544">
        <v>0.15</v>
      </c>
      <c r="BA99" s="1103">
        <v>0</v>
      </c>
      <c r="BB99" s="1103">
        <v>0</v>
      </c>
      <c r="BC99" s="1103">
        <v>0</v>
      </c>
      <c r="BD99" s="1103">
        <v>0</v>
      </c>
      <c r="BE99" s="1103">
        <v>0</v>
      </c>
      <c r="BF99" s="1103">
        <v>1.50641</v>
      </c>
      <c r="BG99" s="1103">
        <v>0</v>
      </c>
      <c r="BH99" s="1103">
        <v>0</v>
      </c>
      <c r="BI99" s="1103">
        <v>0</v>
      </c>
      <c r="BJ99" s="1103">
        <v>0</v>
      </c>
    </row>
    <row r="100" spans="2:62" hidden="1" outlineLevel="2">
      <c r="B100" s="1094"/>
      <c r="C100" s="1083" t="s">
        <v>308</v>
      </c>
      <c r="D100" s="1062" t="s">
        <v>263</v>
      </c>
      <c r="E100" s="1083" t="s">
        <v>309</v>
      </c>
      <c r="F100" s="1095">
        <v>2020</v>
      </c>
      <c r="G100" s="1096">
        <f t="shared" si="0"/>
        <v>1.50641</v>
      </c>
      <c r="H100" s="1083" t="s">
        <v>29</v>
      </c>
      <c r="I100" s="1097">
        <v>3</v>
      </c>
      <c r="J100" s="1098">
        <f t="shared" si="1"/>
        <v>36</v>
      </c>
      <c r="K100" s="153">
        <f t="shared" si="2"/>
        <v>0.33333333333333331</v>
      </c>
      <c r="L100" s="1099"/>
      <c r="M100" s="1100">
        <v>6.9999269787109757</v>
      </c>
      <c r="N100" s="1101">
        <f>IF($BF100=0,0,IF(SUM($M100:M100)&lt;($J100-12),12,$J100-SUM($M100:M100)))</f>
        <v>12</v>
      </c>
      <c r="O100" s="1101">
        <f>IF($BF100=0,0,IF(SUM($M100:N100)&lt;($J100-12),12,$J100-SUM($M100:N100)))</f>
        <v>12</v>
      </c>
      <c r="P100" s="1101">
        <f>IF($BF100=0,0,IF(SUM($M100:O100)&lt;($J100-12),12,$J100-SUM($M100:O100)))</f>
        <v>5.0000730212890261</v>
      </c>
      <c r="Q100" s="1101">
        <f>IF($BF100=0,0,IF(SUM($M100:P100)&lt;($J100-12),12,$J100-SUM($M100:P100)))</f>
        <v>0</v>
      </c>
      <c r="S100" s="1100"/>
      <c r="T100" s="1100">
        <v>0</v>
      </c>
      <c r="U100" s="1101">
        <f>IF($BG100=0,0,IF(SUM($S100:T100)&lt;($J100-12),12,$J100-SUM($S100:T100)))</f>
        <v>0</v>
      </c>
      <c r="V100" s="1101">
        <f>IF($BG100=0,0,IF(SUM($S100:U100)&lt;($J100-12),12,$J100-SUM($S100:U100)))</f>
        <v>0</v>
      </c>
      <c r="W100" s="1101">
        <f>IF($BG100=0,0,IF(SUM($S100:V100)&lt;($J100-12),12,$J100-SUM($S100:V100)))</f>
        <v>0</v>
      </c>
      <c r="Y100" s="1100"/>
      <c r="Z100" s="1100"/>
      <c r="AA100" s="1100">
        <v>0</v>
      </c>
      <c r="AB100" s="1101">
        <f>IF($BH100=0,0,IF(SUM($Y100:AA100)&lt;($J100-12),12,$J100-SUM($Y100:AA100)))</f>
        <v>0</v>
      </c>
      <c r="AC100" s="1101">
        <f>IF($BH100=0,0,IF(SUM($Y100:AB100)&lt;($J100-12),12,$J100-SUM($Y100:AB100)))</f>
        <v>0</v>
      </c>
      <c r="AE100" s="1100"/>
      <c r="AF100" s="1100"/>
      <c r="AG100" s="1100"/>
      <c r="AH100" s="1100">
        <v>0</v>
      </c>
      <c r="AI100" s="1101">
        <f>IF($BI100=0,0,IF(SUM($AE100:AH100)&lt;($J100-12),12,$J100-SUM($AE100:AH100)))</f>
        <v>0</v>
      </c>
      <c r="AK100" s="1100"/>
      <c r="AL100" s="1100"/>
      <c r="AM100" s="1100"/>
      <c r="AN100" s="1100"/>
      <c r="AO100" s="1100">
        <v>0</v>
      </c>
      <c r="AQ100" s="153">
        <f t="shared" si="3"/>
        <v>0.58332724822591464</v>
      </c>
      <c r="AR100" s="153">
        <f t="shared" si="4"/>
        <v>0</v>
      </c>
      <c r="AS100" s="153">
        <f t="shared" si="5"/>
        <v>0</v>
      </c>
      <c r="AT100" s="153">
        <f t="shared" si="6"/>
        <v>0</v>
      </c>
      <c r="AU100" s="153">
        <f t="shared" si="7"/>
        <v>0</v>
      </c>
      <c r="AW100" s="1543">
        <v>0.73</v>
      </c>
      <c r="AX100" s="1102"/>
      <c r="AY100" s="1544">
        <v>0.15</v>
      </c>
      <c r="BA100" s="1103">
        <v>0</v>
      </c>
      <c r="BB100" s="1103">
        <v>0</v>
      </c>
      <c r="BC100" s="1103">
        <v>0</v>
      </c>
      <c r="BD100" s="1103">
        <v>0</v>
      </c>
      <c r="BE100" s="1103">
        <v>0</v>
      </c>
      <c r="BF100" s="1103">
        <v>1.50641</v>
      </c>
      <c r="BG100" s="1103">
        <v>0</v>
      </c>
      <c r="BH100" s="1103">
        <v>0</v>
      </c>
      <c r="BI100" s="1103">
        <v>0</v>
      </c>
      <c r="BJ100" s="1103">
        <v>0</v>
      </c>
    </row>
    <row r="101" spans="2:62" hidden="1" outlineLevel="2">
      <c r="B101" s="1094"/>
      <c r="C101" s="1083" t="s">
        <v>310</v>
      </c>
      <c r="D101" s="1062" t="s">
        <v>263</v>
      </c>
      <c r="E101" s="1083" t="s">
        <v>311</v>
      </c>
      <c r="F101" s="1095">
        <v>2020</v>
      </c>
      <c r="G101" s="1096">
        <f t="shared" si="0"/>
        <v>1.50641</v>
      </c>
      <c r="H101" s="1083" t="s">
        <v>29</v>
      </c>
      <c r="I101" s="1097">
        <v>3</v>
      </c>
      <c r="J101" s="1098">
        <f t="shared" si="1"/>
        <v>36</v>
      </c>
      <c r="K101" s="153">
        <f t="shared" si="2"/>
        <v>0.33333333333333331</v>
      </c>
      <c r="L101" s="1099"/>
      <c r="M101" s="1100">
        <v>6.9999269787109757</v>
      </c>
      <c r="N101" s="1101">
        <f>IF($BF101=0,0,IF(SUM($M101:M101)&lt;($J101-12),12,$J101-SUM($M101:M101)))</f>
        <v>12</v>
      </c>
      <c r="O101" s="1101">
        <f>IF($BF101=0,0,IF(SUM($M101:N101)&lt;($J101-12),12,$J101-SUM($M101:N101)))</f>
        <v>12</v>
      </c>
      <c r="P101" s="1101">
        <f>IF($BF101=0,0,IF(SUM($M101:O101)&lt;($J101-12),12,$J101-SUM($M101:O101)))</f>
        <v>5.0000730212890261</v>
      </c>
      <c r="Q101" s="1101">
        <f>IF($BF101=0,0,IF(SUM($M101:P101)&lt;($J101-12),12,$J101-SUM($M101:P101)))</f>
        <v>0</v>
      </c>
      <c r="S101" s="1100"/>
      <c r="T101" s="1100">
        <v>0</v>
      </c>
      <c r="U101" s="1101">
        <f>IF($BG101=0,0,IF(SUM($S101:T101)&lt;($J101-12),12,$J101-SUM($S101:T101)))</f>
        <v>0</v>
      </c>
      <c r="V101" s="1101">
        <f>IF($BG101=0,0,IF(SUM($S101:U101)&lt;($J101-12),12,$J101-SUM($S101:U101)))</f>
        <v>0</v>
      </c>
      <c r="W101" s="1101">
        <f>IF($BG101=0,0,IF(SUM($S101:V101)&lt;($J101-12),12,$J101-SUM($S101:V101)))</f>
        <v>0</v>
      </c>
      <c r="Y101" s="1100"/>
      <c r="Z101" s="1100"/>
      <c r="AA101" s="1100">
        <v>0</v>
      </c>
      <c r="AB101" s="1101">
        <f>IF($BH101=0,0,IF(SUM($Y101:AA101)&lt;($J101-12),12,$J101-SUM($Y101:AA101)))</f>
        <v>0</v>
      </c>
      <c r="AC101" s="1101">
        <f>IF($BH101=0,0,IF(SUM($Y101:AB101)&lt;($J101-12),12,$J101-SUM($Y101:AB101)))</f>
        <v>0</v>
      </c>
      <c r="AE101" s="1100"/>
      <c r="AF101" s="1100"/>
      <c r="AG101" s="1100"/>
      <c r="AH101" s="1100">
        <v>0</v>
      </c>
      <c r="AI101" s="1101">
        <f>IF($BI101=0,0,IF(SUM($AE101:AH101)&lt;($J101-12),12,$J101-SUM($AE101:AH101)))</f>
        <v>0</v>
      </c>
      <c r="AK101" s="1100"/>
      <c r="AL101" s="1100"/>
      <c r="AM101" s="1100"/>
      <c r="AN101" s="1100"/>
      <c r="AO101" s="1100">
        <v>0</v>
      </c>
      <c r="AQ101" s="153">
        <f t="shared" si="3"/>
        <v>0.58332724822591464</v>
      </c>
      <c r="AR101" s="153">
        <f t="shared" si="4"/>
        <v>0</v>
      </c>
      <c r="AS101" s="153">
        <f t="shared" si="5"/>
        <v>0</v>
      </c>
      <c r="AT101" s="153">
        <f t="shared" si="6"/>
        <v>0</v>
      </c>
      <c r="AU101" s="153">
        <f t="shared" si="7"/>
        <v>0</v>
      </c>
      <c r="AW101" s="1543">
        <v>0.73</v>
      </c>
      <c r="AX101" s="1102"/>
      <c r="AY101" s="1544">
        <v>0.15</v>
      </c>
      <c r="BA101" s="1103">
        <v>0</v>
      </c>
      <c r="BB101" s="1103">
        <v>0</v>
      </c>
      <c r="BC101" s="1103">
        <v>0</v>
      </c>
      <c r="BD101" s="1103">
        <v>0</v>
      </c>
      <c r="BE101" s="1103">
        <v>0</v>
      </c>
      <c r="BF101" s="1103">
        <v>1.50641</v>
      </c>
      <c r="BG101" s="1103">
        <v>0</v>
      </c>
      <c r="BH101" s="1103">
        <v>0</v>
      </c>
      <c r="BI101" s="1103">
        <v>0</v>
      </c>
      <c r="BJ101" s="1103">
        <v>0</v>
      </c>
    </row>
    <row r="102" spans="2:62" hidden="1" outlineLevel="2">
      <c r="B102" s="1094"/>
      <c r="C102" s="1083" t="s">
        <v>312</v>
      </c>
      <c r="D102" s="1062" t="s">
        <v>263</v>
      </c>
      <c r="E102" s="1083" t="s">
        <v>313</v>
      </c>
      <c r="F102" s="1095">
        <v>2020</v>
      </c>
      <c r="G102" s="1096">
        <f t="shared" si="0"/>
        <v>1.50641</v>
      </c>
      <c r="H102" s="1083" t="s">
        <v>29</v>
      </c>
      <c r="I102" s="1097">
        <v>3</v>
      </c>
      <c r="J102" s="1098">
        <f t="shared" si="1"/>
        <v>36</v>
      </c>
      <c r="K102" s="153">
        <f t="shared" si="2"/>
        <v>0.33333333333333331</v>
      </c>
      <c r="L102" s="1099"/>
      <c r="M102" s="1100">
        <v>6.9999269787109757</v>
      </c>
      <c r="N102" s="1101">
        <f>IF($BF102=0,0,IF(SUM($M102:M102)&lt;($J102-12),12,$J102-SUM($M102:M102)))</f>
        <v>12</v>
      </c>
      <c r="O102" s="1101">
        <f>IF($BF102=0,0,IF(SUM($M102:N102)&lt;($J102-12),12,$J102-SUM($M102:N102)))</f>
        <v>12</v>
      </c>
      <c r="P102" s="1101">
        <f>IF($BF102=0,0,IF(SUM($M102:O102)&lt;($J102-12),12,$J102-SUM($M102:O102)))</f>
        <v>5.0000730212890261</v>
      </c>
      <c r="Q102" s="1101">
        <f>IF($BF102=0,0,IF(SUM($M102:P102)&lt;($J102-12),12,$J102-SUM($M102:P102)))</f>
        <v>0</v>
      </c>
      <c r="S102" s="1100"/>
      <c r="T102" s="1100">
        <v>0</v>
      </c>
      <c r="U102" s="1101">
        <f>IF($BG102=0,0,IF(SUM($S102:T102)&lt;($J102-12),12,$J102-SUM($S102:T102)))</f>
        <v>0</v>
      </c>
      <c r="V102" s="1101">
        <f>IF($BG102=0,0,IF(SUM($S102:U102)&lt;($J102-12),12,$J102-SUM($S102:U102)))</f>
        <v>0</v>
      </c>
      <c r="W102" s="1101">
        <f>IF($BG102=0,0,IF(SUM($S102:V102)&lt;($J102-12),12,$J102-SUM($S102:V102)))</f>
        <v>0</v>
      </c>
      <c r="Y102" s="1100"/>
      <c r="Z102" s="1100"/>
      <c r="AA102" s="1100">
        <v>0</v>
      </c>
      <c r="AB102" s="1101">
        <f>IF($BH102=0,0,IF(SUM($Y102:AA102)&lt;($J102-12),12,$J102-SUM($Y102:AA102)))</f>
        <v>0</v>
      </c>
      <c r="AC102" s="1101">
        <f>IF($BH102=0,0,IF(SUM($Y102:AB102)&lt;($J102-12),12,$J102-SUM($Y102:AB102)))</f>
        <v>0</v>
      </c>
      <c r="AE102" s="1100"/>
      <c r="AF102" s="1100"/>
      <c r="AG102" s="1100"/>
      <c r="AH102" s="1100">
        <v>0</v>
      </c>
      <c r="AI102" s="1101">
        <f>IF($BI102=0,0,IF(SUM($AE102:AH102)&lt;($J102-12),12,$J102-SUM($AE102:AH102)))</f>
        <v>0</v>
      </c>
      <c r="AK102" s="1100"/>
      <c r="AL102" s="1100"/>
      <c r="AM102" s="1100"/>
      <c r="AN102" s="1100"/>
      <c r="AO102" s="1100">
        <v>0</v>
      </c>
      <c r="AQ102" s="153">
        <f t="shared" si="3"/>
        <v>0.58332724822591464</v>
      </c>
      <c r="AR102" s="153">
        <f t="shared" si="4"/>
        <v>0</v>
      </c>
      <c r="AS102" s="153">
        <f t="shared" si="5"/>
        <v>0</v>
      </c>
      <c r="AT102" s="153">
        <f t="shared" si="6"/>
        <v>0</v>
      </c>
      <c r="AU102" s="153">
        <f t="shared" si="7"/>
        <v>0</v>
      </c>
      <c r="AW102" s="1543">
        <v>0.73</v>
      </c>
      <c r="AX102" s="1102"/>
      <c r="AY102" s="1544">
        <v>0.15</v>
      </c>
      <c r="BA102" s="1103">
        <v>0</v>
      </c>
      <c r="BB102" s="1103">
        <v>0</v>
      </c>
      <c r="BC102" s="1103">
        <v>0</v>
      </c>
      <c r="BD102" s="1103">
        <v>0</v>
      </c>
      <c r="BE102" s="1103">
        <v>0</v>
      </c>
      <c r="BF102" s="1103">
        <v>1.50641</v>
      </c>
      <c r="BG102" s="1103">
        <v>0</v>
      </c>
      <c r="BH102" s="1103">
        <v>0</v>
      </c>
      <c r="BI102" s="1103">
        <v>0</v>
      </c>
      <c r="BJ102" s="1103">
        <v>0</v>
      </c>
    </row>
    <row r="103" spans="2:62" hidden="1" outlineLevel="2">
      <c r="B103" s="1094"/>
      <c r="C103" s="1083" t="s">
        <v>314</v>
      </c>
      <c r="D103" s="1062" t="s">
        <v>263</v>
      </c>
      <c r="E103" s="1083" t="s">
        <v>315</v>
      </c>
      <c r="F103" s="1095">
        <v>2020</v>
      </c>
      <c r="G103" s="1096">
        <f t="shared" si="0"/>
        <v>1.50641</v>
      </c>
      <c r="H103" s="1083" t="s">
        <v>29</v>
      </c>
      <c r="I103" s="1097">
        <v>3</v>
      </c>
      <c r="J103" s="1098">
        <f t="shared" si="1"/>
        <v>36</v>
      </c>
      <c r="K103" s="153">
        <f t="shared" si="2"/>
        <v>0.33333333333333331</v>
      </c>
      <c r="L103" s="1099"/>
      <c r="M103" s="1100">
        <v>6.9999269787109757</v>
      </c>
      <c r="N103" s="1101">
        <f>IF($BF103=0,0,IF(SUM($M103:M103)&lt;($J103-12),12,$J103-SUM($M103:M103)))</f>
        <v>12</v>
      </c>
      <c r="O103" s="1101">
        <f>IF($BF103=0,0,IF(SUM($M103:N103)&lt;($J103-12),12,$J103-SUM($M103:N103)))</f>
        <v>12</v>
      </c>
      <c r="P103" s="1101">
        <f>IF($BF103=0,0,IF(SUM($M103:O103)&lt;($J103-12),12,$J103-SUM($M103:O103)))</f>
        <v>5.0000730212890261</v>
      </c>
      <c r="Q103" s="1101">
        <f>IF($BF103=0,0,IF(SUM($M103:P103)&lt;($J103-12),12,$J103-SUM($M103:P103)))</f>
        <v>0</v>
      </c>
      <c r="S103" s="1100"/>
      <c r="T103" s="1100">
        <v>0</v>
      </c>
      <c r="U103" s="1101">
        <f>IF($BG103=0,0,IF(SUM($S103:T103)&lt;($J103-12),12,$J103-SUM($S103:T103)))</f>
        <v>0</v>
      </c>
      <c r="V103" s="1101">
        <f>IF($BG103=0,0,IF(SUM($S103:U103)&lt;($J103-12),12,$J103-SUM($S103:U103)))</f>
        <v>0</v>
      </c>
      <c r="W103" s="1101">
        <f>IF($BG103=0,0,IF(SUM($S103:V103)&lt;($J103-12),12,$J103-SUM($S103:V103)))</f>
        <v>0</v>
      </c>
      <c r="Y103" s="1100"/>
      <c r="Z103" s="1100"/>
      <c r="AA103" s="1100">
        <v>0</v>
      </c>
      <c r="AB103" s="1101">
        <f>IF($BH103=0,0,IF(SUM($Y103:AA103)&lt;($J103-12),12,$J103-SUM($Y103:AA103)))</f>
        <v>0</v>
      </c>
      <c r="AC103" s="1101">
        <f>IF($BH103=0,0,IF(SUM($Y103:AB103)&lt;($J103-12),12,$J103-SUM($Y103:AB103)))</f>
        <v>0</v>
      </c>
      <c r="AE103" s="1100"/>
      <c r="AF103" s="1100"/>
      <c r="AG103" s="1100"/>
      <c r="AH103" s="1100">
        <v>0</v>
      </c>
      <c r="AI103" s="1101">
        <f>IF($BI103=0,0,IF(SUM($AE103:AH103)&lt;($J103-12),12,$J103-SUM($AE103:AH103)))</f>
        <v>0</v>
      </c>
      <c r="AK103" s="1100"/>
      <c r="AL103" s="1100"/>
      <c r="AM103" s="1100"/>
      <c r="AN103" s="1100"/>
      <c r="AO103" s="1100">
        <v>0</v>
      </c>
      <c r="AQ103" s="153">
        <f t="shared" si="3"/>
        <v>0.58332724822591464</v>
      </c>
      <c r="AR103" s="153">
        <f t="shared" si="4"/>
        <v>0</v>
      </c>
      <c r="AS103" s="153">
        <f t="shared" si="5"/>
        <v>0</v>
      </c>
      <c r="AT103" s="153">
        <f t="shared" si="6"/>
        <v>0</v>
      </c>
      <c r="AU103" s="153">
        <f t="shared" si="7"/>
        <v>0</v>
      </c>
      <c r="AW103" s="1543">
        <v>0.73</v>
      </c>
      <c r="AX103" s="1102"/>
      <c r="AY103" s="1544">
        <v>0.15</v>
      </c>
      <c r="BA103" s="1103">
        <v>0</v>
      </c>
      <c r="BB103" s="1103">
        <v>0</v>
      </c>
      <c r="BC103" s="1103">
        <v>0</v>
      </c>
      <c r="BD103" s="1103">
        <v>0</v>
      </c>
      <c r="BE103" s="1103">
        <v>0</v>
      </c>
      <c r="BF103" s="1103">
        <v>1.50641</v>
      </c>
      <c r="BG103" s="1103">
        <v>0</v>
      </c>
      <c r="BH103" s="1103">
        <v>0</v>
      </c>
      <c r="BI103" s="1103">
        <v>0</v>
      </c>
      <c r="BJ103" s="1103">
        <v>0</v>
      </c>
    </row>
    <row r="104" spans="2:62" hidden="1" outlineLevel="2">
      <c r="B104" s="1094"/>
      <c r="C104" s="1083" t="s">
        <v>316</v>
      </c>
      <c r="D104" s="1062" t="s">
        <v>263</v>
      </c>
      <c r="E104" s="1083" t="s">
        <v>317</v>
      </c>
      <c r="F104" s="1095">
        <v>2020</v>
      </c>
      <c r="G104" s="1096">
        <f t="shared" si="0"/>
        <v>0.69499999999999995</v>
      </c>
      <c r="H104" s="1083" t="s">
        <v>29</v>
      </c>
      <c r="I104" s="1097">
        <v>3</v>
      </c>
      <c r="J104" s="1098">
        <f t="shared" si="1"/>
        <v>36</v>
      </c>
      <c r="K104" s="153">
        <f t="shared" si="2"/>
        <v>0.33333333333333331</v>
      </c>
      <c r="L104" s="1099"/>
      <c r="M104" s="1100">
        <v>7.0010935251798552</v>
      </c>
      <c r="N104" s="1101">
        <f>IF($BF104=0,0,IF(SUM($M104:M104)&lt;($J104-12),12,$J104-SUM($M104:M104)))</f>
        <v>12</v>
      </c>
      <c r="O104" s="1101">
        <f>IF($BF104=0,0,IF(SUM($M104:N104)&lt;($J104-12),12,$J104-SUM($M104:N104)))</f>
        <v>12</v>
      </c>
      <c r="P104" s="1101">
        <f>IF($BF104=0,0,IF(SUM($M104:O104)&lt;($J104-12),12,$J104-SUM($M104:O104)))</f>
        <v>4.9989064748201457</v>
      </c>
      <c r="Q104" s="1101">
        <f>IF($BF104=0,0,IF(SUM($M104:P104)&lt;($J104-12),12,$J104-SUM($M104:P104)))</f>
        <v>0</v>
      </c>
      <c r="S104" s="1100"/>
      <c r="T104" s="1100">
        <v>0</v>
      </c>
      <c r="U104" s="1101">
        <f>IF($BG104=0,0,IF(SUM($S104:T104)&lt;($J104-12),12,$J104-SUM($S104:T104)))</f>
        <v>0</v>
      </c>
      <c r="V104" s="1101">
        <f>IF($BG104=0,0,IF(SUM($S104:U104)&lt;($J104-12),12,$J104-SUM($S104:U104)))</f>
        <v>0</v>
      </c>
      <c r="W104" s="1101">
        <f>IF($BG104=0,0,IF(SUM($S104:V104)&lt;($J104-12),12,$J104-SUM($S104:V104)))</f>
        <v>0</v>
      </c>
      <c r="Y104" s="1100"/>
      <c r="Z104" s="1100"/>
      <c r="AA104" s="1100">
        <v>0</v>
      </c>
      <c r="AB104" s="1101">
        <f>IF($BH104=0,0,IF(SUM($Y104:AA104)&lt;($J104-12),12,$J104-SUM($Y104:AA104)))</f>
        <v>0</v>
      </c>
      <c r="AC104" s="1101">
        <f>IF($BH104=0,0,IF(SUM($Y104:AB104)&lt;($J104-12),12,$J104-SUM($Y104:AB104)))</f>
        <v>0</v>
      </c>
      <c r="AE104" s="1100"/>
      <c r="AF104" s="1100"/>
      <c r="AG104" s="1100"/>
      <c r="AH104" s="1100">
        <v>0</v>
      </c>
      <c r="AI104" s="1101">
        <f>IF($BI104=0,0,IF(SUM($AE104:AH104)&lt;($J104-12),12,$J104-SUM($AE104:AH104)))</f>
        <v>0</v>
      </c>
      <c r="AK104" s="1100"/>
      <c r="AL104" s="1100"/>
      <c r="AM104" s="1100"/>
      <c r="AN104" s="1100"/>
      <c r="AO104" s="1100">
        <v>0</v>
      </c>
      <c r="AQ104" s="153">
        <f t="shared" si="3"/>
        <v>0.58342446043165463</v>
      </c>
      <c r="AR104" s="153">
        <f t="shared" si="4"/>
        <v>0</v>
      </c>
      <c r="AS104" s="153">
        <f t="shared" si="5"/>
        <v>0</v>
      </c>
      <c r="AT104" s="153">
        <f t="shared" si="6"/>
        <v>0</v>
      </c>
      <c r="AU104" s="153">
        <f t="shared" si="7"/>
        <v>0</v>
      </c>
      <c r="AW104" s="1543">
        <v>0.73</v>
      </c>
      <c r="AX104" s="1102"/>
      <c r="AY104" s="1544">
        <v>0.15</v>
      </c>
      <c r="BA104" s="1103">
        <v>0</v>
      </c>
      <c r="BB104" s="1103">
        <v>0</v>
      </c>
      <c r="BC104" s="1103">
        <v>0</v>
      </c>
      <c r="BD104" s="1103">
        <v>0</v>
      </c>
      <c r="BE104" s="1103">
        <v>0</v>
      </c>
      <c r="BF104" s="1103">
        <v>0.69499999999999995</v>
      </c>
      <c r="BG104" s="1103">
        <v>0</v>
      </c>
      <c r="BH104" s="1103">
        <v>0</v>
      </c>
      <c r="BI104" s="1103">
        <v>0</v>
      </c>
      <c r="BJ104" s="1103">
        <v>0</v>
      </c>
    </row>
    <row r="105" spans="2:62" hidden="1" outlineLevel="2">
      <c r="B105" s="1094"/>
      <c r="C105" s="1083" t="s">
        <v>318</v>
      </c>
      <c r="D105" s="1062" t="s">
        <v>263</v>
      </c>
      <c r="E105" s="1083" t="s">
        <v>319</v>
      </c>
      <c r="F105" s="1095">
        <v>2020</v>
      </c>
      <c r="G105" s="1096">
        <f t="shared" si="0"/>
        <v>0.69499999999999995</v>
      </c>
      <c r="H105" s="1083" t="s">
        <v>29</v>
      </c>
      <c r="I105" s="1097">
        <v>3</v>
      </c>
      <c r="J105" s="1098">
        <f t="shared" si="1"/>
        <v>36</v>
      </c>
      <c r="K105" s="153">
        <f t="shared" si="2"/>
        <v>0.33333333333333331</v>
      </c>
      <c r="L105" s="1099"/>
      <c r="M105" s="1100">
        <v>7.0010935251798552</v>
      </c>
      <c r="N105" s="1101">
        <f>IF($BF105=0,0,IF(SUM($M105:M105)&lt;($J105-12),12,$J105-SUM($M105:M105)))</f>
        <v>12</v>
      </c>
      <c r="O105" s="1101">
        <f>IF($BF105=0,0,IF(SUM($M105:N105)&lt;($J105-12),12,$J105-SUM($M105:N105)))</f>
        <v>12</v>
      </c>
      <c r="P105" s="1101">
        <f>IF($BF105=0,0,IF(SUM($M105:O105)&lt;($J105-12),12,$J105-SUM($M105:O105)))</f>
        <v>4.9989064748201457</v>
      </c>
      <c r="Q105" s="1101">
        <f>IF($BF105=0,0,IF(SUM($M105:P105)&lt;($J105-12),12,$J105-SUM($M105:P105)))</f>
        <v>0</v>
      </c>
      <c r="S105" s="1100"/>
      <c r="T105" s="1100">
        <v>0</v>
      </c>
      <c r="U105" s="1101">
        <f>IF($BG105=0,0,IF(SUM($S105:T105)&lt;($J105-12),12,$J105-SUM($S105:T105)))</f>
        <v>0</v>
      </c>
      <c r="V105" s="1101">
        <f>IF($BG105=0,0,IF(SUM($S105:U105)&lt;($J105-12),12,$J105-SUM($S105:U105)))</f>
        <v>0</v>
      </c>
      <c r="W105" s="1101">
        <f>IF($BG105=0,0,IF(SUM($S105:V105)&lt;($J105-12),12,$J105-SUM($S105:V105)))</f>
        <v>0</v>
      </c>
      <c r="Y105" s="1100"/>
      <c r="Z105" s="1100"/>
      <c r="AA105" s="1100">
        <v>0</v>
      </c>
      <c r="AB105" s="1101">
        <f>IF($BH105=0,0,IF(SUM($Y105:AA105)&lt;($J105-12),12,$J105-SUM($Y105:AA105)))</f>
        <v>0</v>
      </c>
      <c r="AC105" s="1101">
        <f>IF($BH105=0,0,IF(SUM($Y105:AB105)&lt;($J105-12),12,$J105-SUM($Y105:AB105)))</f>
        <v>0</v>
      </c>
      <c r="AE105" s="1100"/>
      <c r="AF105" s="1100"/>
      <c r="AG105" s="1100"/>
      <c r="AH105" s="1100">
        <v>0</v>
      </c>
      <c r="AI105" s="1101">
        <f>IF($BI105=0,0,IF(SUM($AE105:AH105)&lt;($J105-12),12,$J105-SUM($AE105:AH105)))</f>
        <v>0</v>
      </c>
      <c r="AK105" s="1100"/>
      <c r="AL105" s="1100"/>
      <c r="AM105" s="1100"/>
      <c r="AN105" s="1100"/>
      <c r="AO105" s="1100">
        <v>0</v>
      </c>
      <c r="AQ105" s="153">
        <f t="shared" si="3"/>
        <v>0.58342446043165463</v>
      </c>
      <c r="AR105" s="153">
        <f t="shared" si="4"/>
        <v>0</v>
      </c>
      <c r="AS105" s="153">
        <f t="shared" si="5"/>
        <v>0</v>
      </c>
      <c r="AT105" s="153">
        <f t="shared" si="6"/>
        <v>0</v>
      </c>
      <c r="AU105" s="153">
        <f t="shared" si="7"/>
        <v>0</v>
      </c>
      <c r="AW105" s="1543">
        <v>0.73</v>
      </c>
      <c r="AX105" s="1102"/>
      <c r="AY105" s="1544">
        <v>0.15</v>
      </c>
      <c r="BA105" s="1103">
        <v>0</v>
      </c>
      <c r="BB105" s="1103">
        <v>0</v>
      </c>
      <c r="BC105" s="1103">
        <v>0</v>
      </c>
      <c r="BD105" s="1103">
        <v>0</v>
      </c>
      <c r="BE105" s="1103">
        <v>0</v>
      </c>
      <c r="BF105" s="1103">
        <v>0.69499999999999995</v>
      </c>
      <c r="BG105" s="1103">
        <v>0</v>
      </c>
      <c r="BH105" s="1103">
        <v>0</v>
      </c>
      <c r="BI105" s="1103">
        <v>0</v>
      </c>
      <c r="BJ105" s="1103">
        <v>0</v>
      </c>
    </row>
    <row r="106" spans="2:62" hidden="1" outlineLevel="2">
      <c r="B106" s="1094"/>
      <c r="C106" s="1083" t="s">
        <v>320</v>
      </c>
      <c r="D106" s="1062" t="s">
        <v>263</v>
      </c>
      <c r="E106" s="1083" t="s">
        <v>321</v>
      </c>
      <c r="F106" s="1095">
        <v>2020</v>
      </c>
      <c r="G106" s="1096">
        <f t="shared" si="0"/>
        <v>1.50641</v>
      </c>
      <c r="H106" s="1083" t="s">
        <v>29</v>
      </c>
      <c r="I106" s="1097">
        <v>3</v>
      </c>
      <c r="J106" s="1098">
        <f t="shared" si="1"/>
        <v>36</v>
      </c>
      <c r="K106" s="153">
        <f t="shared" si="2"/>
        <v>0.33333333333333331</v>
      </c>
      <c r="L106" s="1099"/>
      <c r="M106" s="1100">
        <v>11.999840680823946</v>
      </c>
      <c r="N106" s="1101">
        <f>IF($BF106=0,0,IF(SUM($M106:M106)&lt;($J106-12),12,$J106-SUM($M106:M106)))</f>
        <v>12</v>
      </c>
      <c r="O106" s="1101">
        <f>IF($BF106=0,0,IF(SUM($M106:N106)&lt;($J106-12),12,$J106-SUM($M106:N106)))</f>
        <v>12</v>
      </c>
      <c r="P106" s="1101">
        <f>IF($BF106=0,0,IF(SUM($M106:O106)&lt;($J106-12),12,$J106-SUM($M106:O106)))</f>
        <v>1.5931917605627177E-4</v>
      </c>
      <c r="Q106" s="1101">
        <f>IF($BF106=0,0,IF(SUM($M106:P106)&lt;($J106-12),12,$J106-SUM($M106:P106)))</f>
        <v>0</v>
      </c>
      <c r="S106" s="1100"/>
      <c r="T106" s="1100">
        <v>0</v>
      </c>
      <c r="U106" s="1101">
        <f>IF($BG106=0,0,IF(SUM($S106:T106)&lt;($J106-12),12,$J106-SUM($S106:T106)))</f>
        <v>0</v>
      </c>
      <c r="V106" s="1101">
        <f>IF($BG106=0,0,IF(SUM($S106:U106)&lt;($J106-12),12,$J106-SUM($S106:U106)))</f>
        <v>0</v>
      </c>
      <c r="W106" s="1101">
        <f>IF($BG106=0,0,IF(SUM($S106:V106)&lt;($J106-12),12,$J106-SUM($S106:V106)))</f>
        <v>0</v>
      </c>
      <c r="Y106" s="1100"/>
      <c r="Z106" s="1100"/>
      <c r="AA106" s="1100">
        <v>0</v>
      </c>
      <c r="AB106" s="1101">
        <f>IF($BH106=0,0,IF(SUM($Y106:AA106)&lt;($J106-12),12,$J106-SUM($Y106:AA106)))</f>
        <v>0</v>
      </c>
      <c r="AC106" s="1101">
        <f>IF($BH106=0,0,IF(SUM($Y106:AB106)&lt;($J106-12),12,$J106-SUM($Y106:AB106)))</f>
        <v>0</v>
      </c>
      <c r="AE106" s="1100"/>
      <c r="AF106" s="1100"/>
      <c r="AG106" s="1100"/>
      <c r="AH106" s="1100">
        <v>0</v>
      </c>
      <c r="AI106" s="1101">
        <f>IF($BI106=0,0,IF(SUM($AE106:AH106)&lt;($J106-12),12,$J106-SUM($AE106:AH106)))</f>
        <v>0</v>
      </c>
      <c r="AK106" s="1100"/>
      <c r="AL106" s="1100"/>
      <c r="AM106" s="1100"/>
      <c r="AN106" s="1100"/>
      <c r="AO106" s="1100">
        <v>0</v>
      </c>
      <c r="AQ106" s="153">
        <f t="shared" si="3"/>
        <v>0.99998672340199546</v>
      </c>
      <c r="AR106" s="153">
        <f t="shared" si="4"/>
        <v>0</v>
      </c>
      <c r="AS106" s="153">
        <f t="shared" si="5"/>
        <v>0</v>
      </c>
      <c r="AT106" s="153">
        <f t="shared" si="6"/>
        <v>0</v>
      </c>
      <c r="AU106" s="153">
        <f t="shared" si="7"/>
        <v>0</v>
      </c>
      <c r="AW106" s="1543">
        <v>0.73</v>
      </c>
      <c r="AX106" s="1102"/>
      <c r="AY106" s="1544">
        <v>0.15</v>
      </c>
      <c r="BA106" s="1103">
        <v>0</v>
      </c>
      <c r="BB106" s="1103">
        <v>0</v>
      </c>
      <c r="BC106" s="1103">
        <v>0</v>
      </c>
      <c r="BD106" s="1103">
        <v>0</v>
      </c>
      <c r="BE106" s="1103">
        <v>0</v>
      </c>
      <c r="BF106" s="1103">
        <v>1.50641</v>
      </c>
      <c r="BG106" s="1103">
        <v>0</v>
      </c>
      <c r="BH106" s="1103">
        <v>0</v>
      </c>
      <c r="BI106" s="1103">
        <v>0</v>
      </c>
      <c r="BJ106" s="1103">
        <v>0</v>
      </c>
    </row>
    <row r="107" spans="2:62" hidden="1" outlineLevel="2">
      <c r="B107" s="1094"/>
      <c r="C107" s="1083" t="s">
        <v>322</v>
      </c>
      <c r="D107" s="1062" t="s">
        <v>263</v>
      </c>
      <c r="E107" s="1083" t="s">
        <v>323</v>
      </c>
      <c r="F107" s="1095">
        <v>2020</v>
      </c>
      <c r="G107" s="1096">
        <f t="shared" si="0"/>
        <v>0.6</v>
      </c>
      <c r="H107" s="1083" t="s">
        <v>29</v>
      </c>
      <c r="I107" s="1097">
        <v>3</v>
      </c>
      <c r="J107" s="1098">
        <f t="shared" si="1"/>
        <v>36</v>
      </c>
      <c r="K107" s="153">
        <f t="shared" si="2"/>
        <v>0.33333333333333331</v>
      </c>
      <c r="L107" s="1099"/>
      <c r="M107" s="1100">
        <v>12.002399999999998</v>
      </c>
      <c r="N107" s="1101">
        <f>IF($BF107=0,0,IF(SUM($M107:M107)&lt;($J107-12),12,$J107-SUM($M107:M107)))</f>
        <v>12</v>
      </c>
      <c r="O107" s="1101">
        <f>IF($BF107=0,0,IF(SUM($M107:N107)&lt;($J107-12),12,$J107-SUM($M107:N107)))</f>
        <v>11.997600000000002</v>
      </c>
      <c r="P107" s="1101">
        <f>IF($BF107=0,0,IF(SUM($M107:O107)&lt;($J107-12),12,$J107-SUM($M107:O107)))</f>
        <v>0</v>
      </c>
      <c r="Q107" s="1101">
        <f>IF($BF107=0,0,IF(SUM($M107:P107)&lt;($J107-12),12,$J107-SUM($M107:P107)))</f>
        <v>0</v>
      </c>
      <c r="S107" s="1100"/>
      <c r="T107" s="1100">
        <v>0</v>
      </c>
      <c r="U107" s="1101">
        <f>IF($BG107=0,0,IF(SUM($S107:T107)&lt;($J107-12),12,$J107-SUM($S107:T107)))</f>
        <v>0</v>
      </c>
      <c r="V107" s="1101">
        <f>IF($BG107=0,0,IF(SUM($S107:U107)&lt;($J107-12),12,$J107-SUM($S107:U107)))</f>
        <v>0</v>
      </c>
      <c r="W107" s="1101">
        <f>IF($BG107=0,0,IF(SUM($S107:V107)&lt;($J107-12),12,$J107-SUM($S107:V107)))</f>
        <v>0</v>
      </c>
      <c r="Y107" s="1100"/>
      <c r="Z107" s="1100"/>
      <c r="AA107" s="1100">
        <v>0</v>
      </c>
      <c r="AB107" s="1101">
        <f>IF($BH107=0,0,IF(SUM($Y107:AA107)&lt;($J107-12),12,$J107-SUM($Y107:AA107)))</f>
        <v>0</v>
      </c>
      <c r="AC107" s="1101">
        <f>IF($BH107=0,0,IF(SUM($Y107:AB107)&lt;($J107-12),12,$J107-SUM($Y107:AB107)))</f>
        <v>0</v>
      </c>
      <c r="AE107" s="1100"/>
      <c r="AF107" s="1100"/>
      <c r="AG107" s="1100"/>
      <c r="AH107" s="1100">
        <v>0</v>
      </c>
      <c r="AI107" s="1101">
        <f>IF($BI107=0,0,IF(SUM($AE107:AH107)&lt;($J107-12),12,$J107-SUM($AE107:AH107)))</f>
        <v>0</v>
      </c>
      <c r="AK107" s="1100"/>
      <c r="AL107" s="1100"/>
      <c r="AM107" s="1100"/>
      <c r="AN107" s="1100"/>
      <c r="AO107" s="1100">
        <v>0</v>
      </c>
      <c r="AQ107" s="153">
        <f t="shared" si="3"/>
        <v>1.0001999999999998</v>
      </c>
      <c r="AR107" s="153">
        <f t="shared" si="4"/>
        <v>0</v>
      </c>
      <c r="AS107" s="153">
        <f t="shared" si="5"/>
        <v>0</v>
      </c>
      <c r="AT107" s="153">
        <f t="shared" si="6"/>
        <v>0</v>
      </c>
      <c r="AU107" s="153">
        <f t="shared" si="7"/>
        <v>0</v>
      </c>
      <c r="AW107" s="1543">
        <v>0.73</v>
      </c>
      <c r="AX107" s="1102"/>
      <c r="AY107" s="1544">
        <v>0.15</v>
      </c>
      <c r="BA107" s="1103">
        <v>0</v>
      </c>
      <c r="BB107" s="1103">
        <v>0</v>
      </c>
      <c r="BC107" s="1103">
        <v>0</v>
      </c>
      <c r="BD107" s="1103">
        <v>0</v>
      </c>
      <c r="BE107" s="1103">
        <v>0</v>
      </c>
      <c r="BF107" s="1103">
        <v>0.6</v>
      </c>
      <c r="BG107" s="1103">
        <v>0</v>
      </c>
      <c r="BH107" s="1103">
        <v>0</v>
      </c>
      <c r="BI107" s="1103">
        <v>0</v>
      </c>
      <c r="BJ107" s="1103">
        <v>0</v>
      </c>
    </row>
    <row r="108" spans="2:62" hidden="1" outlineLevel="2">
      <c r="B108" s="1094"/>
      <c r="C108" s="1083" t="s">
        <v>324</v>
      </c>
      <c r="D108" s="1062" t="s">
        <v>263</v>
      </c>
      <c r="E108" s="1083" t="s">
        <v>325</v>
      </c>
      <c r="F108" s="1095">
        <v>2020</v>
      </c>
      <c r="G108" s="1096">
        <f t="shared" si="0"/>
        <v>0.6</v>
      </c>
      <c r="H108" s="1083" t="s">
        <v>29</v>
      </c>
      <c r="I108" s="1097">
        <v>3</v>
      </c>
      <c r="J108" s="1098">
        <f t="shared" si="1"/>
        <v>36</v>
      </c>
      <c r="K108" s="153">
        <f t="shared" si="2"/>
        <v>0.33333333333333331</v>
      </c>
      <c r="L108" s="1099"/>
      <c r="M108" s="1100">
        <v>12.002399999999998</v>
      </c>
      <c r="N108" s="1101">
        <f>IF($BF108=0,0,IF(SUM($M108:M108)&lt;($J108-12),12,$J108-SUM($M108:M108)))</f>
        <v>12</v>
      </c>
      <c r="O108" s="1101">
        <f>IF($BF108=0,0,IF(SUM($M108:N108)&lt;($J108-12),12,$J108-SUM($M108:N108)))</f>
        <v>11.997600000000002</v>
      </c>
      <c r="P108" s="1101">
        <f>IF($BF108=0,0,IF(SUM($M108:O108)&lt;($J108-12),12,$J108-SUM($M108:O108)))</f>
        <v>0</v>
      </c>
      <c r="Q108" s="1101">
        <f>IF($BF108=0,0,IF(SUM($M108:P108)&lt;($J108-12),12,$J108-SUM($M108:P108)))</f>
        <v>0</v>
      </c>
      <c r="S108" s="1100"/>
      <c r="T108" s="1100">
        <v>0</v>
      </c>
      <c r="U108" s="1101">
        <f>IF($BG108=0,0,IF(SUM($S108:T108)&lt;($J108-12),12,$J108-SUM($S108:T108)))</f>
        <v>0</v>
      </c>
      <c r="V108" s="1101">
        <f>IF($BG108=0,0,IF(SUM($S108:U108)&lt;($J108-12),12,$J108-SUM($S108:U108)))</f>
        <v>0</v>
      </c>
      <c r="W108" s="1101">
        <f>IF($BG108=0,0,IF(SUM($S108:V108)&lt;($J108-12),12,$J108-SUM($S108:V108)))</f>
        <v>0</v>
      </c>
      <c r="Y108" s="1100"/>
      <c r="Z108" s="1100"/>
      <c r="AA108" s="1100">
        <v>0</v>
      </c>
      <c r="AB108" s="1101">
        <f>IF($BH108=0,0,IF(SUM($Y108:AA108)&lt;($J108-12),12,$J108-SUM($Y108:AA108)))</f>
        <v>0</v>
      </c>
      <c r="AC108" s="1101">
        <f>IF($BH108=0,0,IF(SUM($Y108:AB108)&lt;($J108-12),12,$J108-SUM($Y108:AB108)))</f>
        <v>0</v>
      </c>
      <c r="AE108" s="1100"/>
      <c r="AF108" s="1100"/>
      <c r="AG108" s="1100"/>
      <c r="AH108" s="1100">
        <v>0</v>
      </c>
      <c r="AI108" s="1101">
        <f>IF($BI108=0,0,IF(SUM($AE108:AH108)&lt;($J108-12),12,$J108-SUM($AE108:AH108)))</f>
        <v>0</v>
      </c>
      <c r="AK108" s="1100"/>
      <c r="AL108" s="1100"/>
      <c r="AM108" s="1100"/>
      <c r="AN108" s="1100"/>
      <c r="AO108" s="1100">
        <v>0</v>
      </c>
      <c r="AQ108" s="153">
        <f t="shared" si="3"/>
        <v>1.0001999999999998</v>
      </c>
      <c r="AR108" s="153">
        <f t="shared" si="4"/>
        <v>0</v>
      </c>
      <c r="AS108" s="153">
        <f t="shared" si="5"/>
        <v>0</v>
      </c>
      <c r="AT108" s="153">
        <f t="shared" si="6"/>
        <v>0</v>
      </c>
      <c r="AU108" s="153">
        <f t="shared" si="7"/>
        <v>0</v>
      </c>
      <c r="AW108" s="1543">
        <v>0.73</v>
      </c>
      <c r="AX108" s="1102"/>
      <c r="AY108" s="1544">
        <v>0.15</v>
      </c>
      <c r="BA108" s="1103">
        <v>0</v>
      </c>
      <c r="BB108" s="1103">
        <v>0</v>
      </c>
      <c r="BC108" s="1103">
        <v>0</v>
      </c>
      <c r="BD108" s="1103">
        <v>0</v>
      </c>
      <c r="BE108" s="1103">
        <v>0</v>
      </c>
      <c r="BF108" s="1103">
        <v>0.6</v>
      </c>
      <c r="BG108" s="1103">
        <v>0</v>
      </c>
      <c r="BH108" s="1103">
        <v>0</v>
      </c>
      <c r="BI108" s="1103">
        <v>0</v>
      </c>
      <c r="BJ108" s="1103">
        <v>0</v>
      </c>
    </row>
    <row r="109" spans="2:62" hidden="1" outlineLevel="2">
      <c r="B109" s="1094"/>
      <c r="C109" s="1083" t="s">
        <v>326</v>
      </c>
      <c r="D109" s="1062" t="s">
        <v>263</v>
      </c>
      <c r="E109" s="1083" t="s">
        <v>327</v>
      </c>
      <c r="F109" s="1095">
        <v>2020</v>
      </c>
      <c r="G109" s="1096">
        <f t="shared" si="0"/>
        <v>0.60580000000000001</v>
      </c>
      <c r="H109" s="1083" t="s">
        <v>29</v>
      </c>
      <c r="I109" s="1097">
        <v>3</v>
      </c>
      <c r="J109" s="1098">
        <f t="shared" si="1"/>
        <v>36</v>
      </c>
      <c r="K109" s="153">
        <f t="shared" si="2"/>
        <v>0.33333333333333331</v>
      </c>
      <c r="L109" s="1099"/>
      <c r="M109" s="1100">
        <v>7.0009243974909223</v>
      </c>
      <c r="N109" s="1101">
        <f>IF($BF109=0,0,IF(SUM($M109:M109)&lt;($J109-12),12,$J109-SUM($M109:M109)))</f>
        <v>12</v>
      </c>
      <c r="O109" s="1101">
        <f>IF($BF109=0,0,IF(SUM($M109:N109)&lt;($J109-12),12,$J109-SUM($M109:N109)))</f>
        <v>12</v>
      </c>
      <c r="P109" s="1101">
        <f>IF($BF109=0,0,IF(SUM($M109:O109)&lt;($J109-12),12,$J109-SUM($M109:O109)))</f>
        <v>4.9990756025090768</v>
      </c>
      <c r="Q109" s="1101">
        <f>IF($BF109=0,0,IF(SUM($M109:P109)&lt;($J109-12),12,$J109-SUM($M109:P109)))</f>
        <v>0</v>
      </c>
      <c r="S109" s="1100"/>
      <c r="T109" s="1100">
        <v>0</v>
      </c>
      <c r="U109" s="1101">
        <f>IF($BG109=0,0,IF(SUM($S109:T109)&lt;($J109-12),12,$J109-SUM($S109:T109)))</f>
        <v>0</v>
      </c>
      <c r="V109" s="1101">
        <f>IF($BG109=0,0,IF(SUM($S109:U109)&lt;($J109-12),12,$J109-SUM($S109:U109)))</f>
        <v>0</v>
      </c>
      <c r="W109" s="1101">
        <f>IF($BG109=0,0,IF(SUM($S109:V109)&lt;($J109-12),12,$J109-SUM($S109:V109)))</f>
        <v>0</v>
      </c>
      <c r="Y109" s="1100"/>
      <c r="Z109" s="1100"/>
      <c r="AA109" s="1100">
        <v>0</v>
      </c>
      <c r="AB109" s="1101">
        <f>IF($BH109=0,0,IF(SUM($Y109:AA109)&lt;($J109-12),12,$J109-SUM($Y109:AA109)))</f>
        <v>0</v>
      </c>
      <c r="AC109" s="1101">
        <f>IF($BH109=0,0,IF(SUM($Y109:AB109)&lt;($J109-12),12,$J109-SUM($Y109:AB109)))</f>
        <v>0</v>
      </c>
      <c r="AE109" s="1100"/>
      <c r="AF109" s="1100"/>
      <c r="AG109" s="1100"/>
      <c r="AH109" s="1100">
        <v>0</v>
      </c>
      <c r="AI109" s="1101">
        <f>IF($BI109=0,0,IF(SUM($AE109:AH109)&lt;($J109-12),12,$J109-SUM($AE109:AH109)))</f>
        <v>0</v>
      </c>
      <c r="AK109" s="1100"/>
      <c r="AL109" s="1100"/>
      <c r="AM109" s="1100"/>
      <c r="AN109" s="1100"/>
      <c r="AO109" s="1100">
        <v>0</v>
      </c>
      <c r="AQ109" s="153">
        <f t="shared" si="3"/>
        <v>0.58341036645757682</v>
      </c>
      <c r="AR109" s="153">
        <f t="shared" si="4"/>
        <v>0</v>
      </c>
      <c r="AS109" s="153">
        <f t="shared" si="5"/>
        <v>0</v>
      </c>
      <c r="AT109" s="153">
        <f t="shared" si="6"/>
        <v>0</v>
      </c>
      <c r="AU109" s="153">
        <f t="shared" si="7"/>
        <v>0</v>
      </c>
      <c r="AW109" s="1543">
        <v>0.73</v>
      </c>
      <c r="AX109" s="1102"/>
      <c r="AY109" s="1544">
        <v>0.15</v>
      </c>
      <c r="BA109" s="1103">
        <v>0</v>
      </c>
      <c r="BB109" s="1103">
        <v>0</v>
      </c>
      <c r="BC109" s="1103">
        <v>0</v>
      </c>
      <c r="BD109" s="1103">
        <v>0</v>
      </c>
      <c r="BE109" s="1103">
        <v>0</v>
      </c>
      <c r="BF109" s="1103">
        <v>0.60580000000000001</v>
      </c>
      <c r="BG109" s="1103">
        <v>0</v>
      </c>
      <c r="BH109" s="1103">
        <v>0</v>
      </c>
      <c r="BI109" s="1103">
        <v>0</v>
      </c>
      <c r="BJ109" s="1103">
        <v>0</v>
      </c>
    </row>
    <row r="110" spans="2:62" hidden="1" outlineLevel="2">
      <c r="B110" s="1094"/>
      <c r="C110" s="1083" t="s">
        <v>328</v>
      </c>
      <c r="D110" s="1062" t="s">
        <v>263</v>
      </c>
      <c r="E110" s="1083" t="s">
        <v>329</v>
      </c>
      <c r="F110" s="1095">
        <v>2020</v>
      </c>
      <c r="G110" s="1096">
        <f t="shared" ref="G110:G174" si="8">SUM(BA110:BJ110)</f>
        <v>0.60580000000000001</v>
      </c>
      <c r="H110" s="1083" t="s">
        <v>29</v>
      </c>
      <c r="I110" s="1097">
        <v>3</v>
      </c>
      <c r="J110" s="1098">
        <f t="shared" ref="J110:J174" si="9">I110*12</f>
        <v>36</v>
      </c>
      <c r="K110" s="153">
        <f t="shared" ref="K110:K174" si="10">IFERROR(1/I110,0)</f>
        <v>0.33333333333333331</v>
      </c>
      <c r="L110" s="1099"/>
      <c r="M110" s="1100">
        <v>7.0009243974909223</v>
      </c>
      <c r="N110" s="1101">
        <f>IF($BF110=0,0,IF(SUM($M110:M110)&lt;($J110-12),12,$J110-SUM($M110:M110)))</f>
        <v>12</v>
      </c>
      <c r="O110" s="1101">
        <f>IF($BF110=0,0,IF(SUM($M110:N110)&lt;($J110-12),12,$J110-SUM($M110:N110)))</f>
        <v>12</v>
      </c>
      <c r="P110" s="1101">
        <f>IF($BF110=0,0,IF(SUM($M110:O110)&lt;($J110-12),12,$J110-SUM($M110:O110)))</f>
        <v>4.9990756025090768</v>
      </c>
      <c r="Q110" s="1101">
        <f>IF($BF110=0,0,IF(SUM($M110:P110)&lt;($J110-12),12,$J110-SUM($M110:P110)))</f>
        <v>0</v>
      </c>
      <c r="S110" s="1100"/>
      <c r="T110" s="1100">
        <v>0</v>
      </c>
      <c r="U110" s="1101">
        <f>IF($BG110=0,0,IF(SUM($S110:T110)&lt;($J110-12),12,$J110-SUM($S110:T110)))</f>
        <v>0</v>
      </c>
      <c r="V110" s="1101">
        <f>IF($BG110=0,0,IF(SUM($S110:U110)&lt;($J110-12),12,$J110-SUM($S110:U110)))</f>
        <v>0</v>
      </c>
      <c r="W110" s="1101">
        <f>IF($BG110=0,0,IF(SUM($S110:V110)&lt;($J110-12),12,$J110-SUM($S110:V110)))</f>
        <v>0</v>
      </c>
      <c r="Y110" s="1100"/>
      <c r="Z110" s="1100"/>
      <c r="AA110" s="1100">
        <v>0</v>
      </c>
      <c r="AB110" s="1101">
        <f>IF($BH110=0,0,IF(SUM($Y110:AA110)&lt;($J110-12),12,$J110-SUM($Y110:AA110)))</f>
        <v>0</v>
      </c>
      <c r="AC110" s="1101">
        <f>IF($BH110=0,0,IF(SUM($Y110:AB110)&lt;($J110-12),12,$J110-SUM($Y110:AB110)))</f>
        <v>0</v>
      </c>
      <c r="AE110" s="1100"/>
      <c r="AF110" s="1100"/>
      <c r="AG110" s="1100"/>
      <c r="AH110" s="1100">
        <v>0</v>
      </c>
      <c r="AI110" s="1101">
        <f>IF($BI110=0,0,IF(SUM($AE110:AH110)&lt;($J110-12),12,$J110-SUM($AE110:AH110)))</f>
        <v>0</v>
      </c>
      <c r="AK110" s="1100"/>
      <c r="AL110" s="1100"/>
      <c r="AM110" s="1100"/>
      <c r="AN110" s="1100"/>
      <c r="AO110" s="1100">
        <v>0</v>
      </c>
      <c r="AQ110" s="153">
        <f t="shared" ref="AQ110:AQ174" si="11">M110/12</f>
        <v>0.58341036645757682</v>
      </c>
      <c r="AR110" s="153">
        <f t="shared" ref="AR110:AR174" si="12">T110/12</f>
        <v>0</v>
      </c>
      <c r="AS110" s="153">
        <f t="shared" ref="AS110:AS174" si="13">AA110/12</f>
        <v>0</v>
      </c>
      <c r="AT110" s="153">
        <f t="shared" ref="AT110:AT174" si="14">AH110/12</f>
        <v>0</v>
      </c>
      <c r="AU110" s="153">
        <f t="shared" ref="AU110:AU174" si="15">AO110/12</f>
        <v>0</v>
      </c>
      <c r="AW110" s="1543">
        <v>0.73</v>
      </c>
      <c r="AX110" s="1102"/>
      <c r="AY110" s="1544">
        <v>0.15</v>
      </c>
      <c r="BA110" s="1103">
        <v>0</v>
      </c>
      <c r="BB110" s="1103">
        <v>0</v>
      </c>
      <c r="BC110" s="1103">
        <v>0</v>
      </c>
      <c r="BD110" s="1103">
        <v>0</v>
      </c>
      <c r="BE110" s="1103">
        <v>0</v>
      </c>
      <c r="BF110" s="1103">
        <v>0.60580000000000001</v>
      </c>
      <c r="BG110" s="1103">
        <v>0</v>
      </c>
      <c r="BH110" s="1103">
        <v>0</v>
      </c>
      <c r="BI110" s="1103">
        <v>0</v>
      </c>
      <c r="BJ110" s="1103">
        <v>0</v>
      </c>
    </row>
    <row r="111" spans="2:62" hidden="1" outlineLevel="2">
      <c r="B111" s="1094"/>
      <c r="C111" s="1083" t="s">
        <v>330</v>
      </c>
      <c r="D111" s="1062" t="s">
        <v>263</v>
      </c>
      <c r="E111" s="1083" t="s">
        <v>331</v>
      </c>
      <c r="F111" s="1095">
        <v>2020</v>
      </c>
      <c r="G111" s="1096">
        <f t="shared" si="8"/>
        <v>0.69499999999999995</v>
      </c>
      <c r="H111" s="1083" t="s">
        <v>29</v>
      </c>
      <c r="I111" s="1097">
        <v>3</v>
      </c>
      <c r="J111" s="1098">
        <f t="shared" si="9"/>
        <v>36</v>
      </c>
      <c r="K111" s="153">
        <f t="shared" si="10"/>
        <v>0.33333333333333331</v>
      </c>
      <c r="L111" s="1099"/>
      <c r="M111" s="1100">
        <v>10.000748201438848</v>
      </c>
      <c r="N111" s="1101">
        <f>IF($BF111=0,0,IF(SUM($M111:M111)&lt;($J111-12),12,$J111-SUM($M111:M111)))</f>
        <v>12</v>
      </c>
      <c r="O111" s="1101">
        <f>IF($BF111=0,0,IF(SUM($M111:N111)&lt;($J111-12),12,$J111-SUM($M111:N111)))</f>
        <v>12</v>
      </c>
      <c r="P111" s="1101">
        <f>IF($BF111=0,0,IF(SUM($M111:O111)&lt;($J111-12),12,$J111-SUM($M111:O111)))</f>
        <v>1.9992517985611542</v>
      </c>
      <c r="Q111" s="1101">
        <f>IF($BF111=0,0,IF(SUM($M111:P111)&lt;($J111-12),12,$J111-SUM($M111:P111)))</f>
        <v>0</v>
      </c>
      <c r="S111" s="1100"/>
      <c r="T111" s="1100">
        <v>0</v>
      </c>
      <c r="U111" s="1101">
        <f>IF($BG111=0,0,IF(SUM($S111:T111)&lt;($J111-12),12,$J111-SUM($S111:T111)))</f>
        <v>0</v>
      </c>
      <c r="V111" s="1101">
        <f>IF($BG111=0,0,IF(SUM($S111:U111)&lt;($J111-12),12,$J111-SUM($S111:U111)))</f>
        <v>0</v>
      </c>
      <c r="W111" s="1101">
        <f>IF($BG111=0,0,IF(SUM($S111:V111)&lt;($J111-12),12,$J111-SUM($S111:V111)))</f>
        <v>0</v>
      </c>
      <c r="Y111" s="1100"/>
      <c r="Z111" s="1100"/>
      <c r="AA111" s="1100">
        <v>0</v>
      </c>
      <c r="AB111" s="1101">
        <f>IF($BH111=0,0,IF(SUM($Y111:AA111)&lt;($J111-12),12,$J111-SUM($Y111:AA111)))</f>
        <v>0</v>
      </c>
      <c r="AC111" s="1101">
        <f>IF($BH111=0,0,IF(SUM($Y111:AB111)&lt;($J111-12),12,$J111-SUM($Y111:AB111)))</f>
        <v>0</v>
      </c>
      <c r="AE111" s="1100"/>
      <c r="AF111" s="1100"/>
      <c r="AG111" s="1100"/>
      <c r="AH111" s="1100">
        <v>0</v>
      </c>
      <c r="AI111" s="1101">
        <f>IF($BI111=0,0,IF(SUM($AE111:AH111)&lt;($J111-12),12,$J111-SUM($AE111:AH111)))</f>
        <v>0</v>
      </c>
      <c r="AK111" s="1100"/>
      <c r="AL111" s="1100"/>
      <c r="AM111" s="1100"/>
      <c r="AN111" s="1100"/>
      <c r="AO111" s="1100">
        <v>0</v>
      </c>
      <c r="AQ111" s="153">
        <f t="shared" si="11"/>
        <v>0.83339568345323733</v>
      </c>
      <c r="AR111" s="153">
        <f t="shared" si="12"/>
        <v>0</v>
      </c>
      <c r="AS111" s="153">
        <f t="shared" si="13"/>
        <v>0</v>
      </c>
      <c r="AT111" s="153">
        <f t="shared" si="14"/>
        <v>0</v>
      </c>
      <c r="AU111" s="153">
        <f t="shared" si="15"/>
        <v>0</v>
      </c>
      <c r="AW111" s="1543">
        <v>0.73</v>
      </c>
      <c r="AX111" s="1102"/>
      <c r="AY111" s="1544">
        <v>0.15</v>
      </c>
      <c r="BA111" s="1103">
        <v>0</v>
      </c>
      <c r="BB111" s="1103">
        <v>0</v>
      </c>
      <c r="BC111" s="1103">
        <v>0</v>
      </c>
      <c r="BD111" s="1103">
        <v>0</v>
      </c>
      <c r="BE111" s="1103">
        <v>0</v>
      </c>
      <c r="BF111" s="1103">
        <v>0.69499999999999995</v>
      </c>
      <c r="BG111" s="1103">
        <v>0</v>
      </c>
      <c r="BH111" s="1103">
        <v>0</v>
      </c>
      <c r="BI111" s="1103">
        <v>0</v>
      </c>
      <c r="BJ111" s="1103">
        <v>0</v>
      </c>
    </row>
    <row r="112" spans="2:62" hidden="1" outlineLevel="2">
      <c r="B112" s="1094"/>
      <c r="C112" s="1083" t="s">
        <v>332</v>
      </c>
      <c r="D112" s="1062" t="s">
        <v>263</v>
      </c>
      <c r="E112" s="1083" t="s">
        <v>333</v>
      </c>
      <c r="F112" s="1095">
        <v>2020</v>
      </c>
      <c r="G112" s="1096">
        <f t="shared" si="8"/>
        <v>0.69499999999999995</v>
      </c>
      <c r="H112" s="1083" t="s">
        <v>29</v>
      </c>
      <c r="I112" s="1097">
        <v>3</v>
      </c>
      <c r="J112" s="1098">
        <f t="shared" si="9"/>
        <v>36</v>
      </c>
      <c r="K112" s="153">
        <f t="shared" si="10"/>
        <v>0.33333333333333331</v>
      </c>
      <c r="L112" s="1099"/>
      <c r="M112" s="1100">
        <v>10.000748201438848</v>
      </c>
      <c r="N112" s="1101">
        <f>IF($BF112=0,0,IF(SUM($M112:M112)&lt;($J112-12),12,$J112-SUM($M112:M112)))</f>
        <v>12</v>
      </c>
      <c r="O112" s="1101">
        <f>IF($BF112=0,0,IF(SUM($M112:N112)&lt;($J112-12),12,$J112-SUM($M112:N112)))</f>
        <v>12</v>
      </c>
      <c r="P112" s="1101">
        <f>IF($BF112=0,0,IF(SUM($M112:O112)&lt;($J112-12),12,$J112-SUM($M112:O112)))</f>
        <v>1.9992517985611542</v>
      </c>
      <c r="Q112" s="1101">
        <f>IF($BF112=0,0,IF(SUM($M112:P112)&lt;($J112-12),12,$J112-SUM($M112:P112)))</f>
        <v>0</v>
      </c>
      <c r="S112" s="1100"/>
      <c r="T112" s="1100">
        <v>0</v>
      </c>
      <c r="U112" s="1101">
        <f>IF($BG112=0,0,IF(SUM($S112:T112)&lt;($J112-12),12,$J112-SUM($S112:T112)))</f>
        <v>0</v>
      </c>
      <c r="V112" s="1101">
        <f>IF($BG112=0,0,IF(SUM($S112:U112)&lt;($J112-12),12,$J112-SUM($S112:U112)))</f>
        <v>0</v>
      </c>
      <c r="W112" s="1101">
        <f>IF($BG112=0,0,IF(SUM($S112:V112)&lt;($J112-12),12,$J112-SUM($S112:V112)))</f>
        <v>0</v>
      </c>
      <c r="Y112" s="1100"/>
      <c r="Z112" s="1100"/>
      <c r="AA112" s="1100">
        <v>0</v>
      </c>
      <c r="AB112" s="1101">
        <f>IF($BH112=0,0,IF(SUM($Y112:AA112)&lt;($J112-12),12,$J112-SUM($Y112:AA112)))</f>
        <v>0</v>
      </c>
      <c r="AC112" s="1101">
        <f>IF($BH112=0,0,IF(SUM($Y112:AB112)&lt;($J112-12),12,$J112-SUM($Y112:AB112)))</f>
        <v>0</v>
      </c>
      <c r="AE112" s="1100"/>
      <c r="AF112" s="1100"/>
      <c r="AG112" s="1100"/>
      <c r="AH112" s="1100">
        <v>0</v>
      </c>
      <c r="AI112" s="1101">
        <f>IF($BI112=0,0,IF(SUM($AE112:AH112)&lt;($J112-12),12,$J112-SUM($AE112:AH112)))</f>
        <v>0</v>
      </c>
      <c r="AK112" s="1100"/>
      <c r="AL112" s="1100"/>
      <c r="AM112" s="1100"/>
      <c r="AN112" s="1100"/>
      <c r="AO112" s="1100">
        <v>0</v>
      </c>
      <c r="AQ112" s="153">
        <f t="shared" si="11"/>
        <v>0.83339568345323733</v>
      </c>
      <c r="AR112" s="153">
        <f t="shared" si="12"/>
        <v>0</v>
      </c>
      <c r="AS112" s="153">
        <f t="shared" si="13"/>
        <v>0</v>
      </c>
      <c r="AT112" s="153">
        <f t="shared" si="14"/>
        <v>0</v>
      </c>
      <c r="AU112" s="153">
        <f t="shared" si="15"/>
        <v>0</v>
      </c>
      <c r="AW112" s="1543">
        <v>0.73</v>
      </c>
      <c r="AX112" s="1102"/>
      <c r="AY112" s="1544">
        <v>0.15</v>
      </c>
      <c r="BA112" s="1103">
        <v>0</v>
      </c>
      <c r="BB112" s="1103">
        <v>0</v>
      </c>
      <c r="BC112" s="1103">
        <v>0</v>
      </c>
      <c r="BD112" s="1103">
        <v>0</v>
      </c>
      <c r="BE112" s="1103">
        <v>0</v>
      </c>
      <c r="BF112" s="1103">
        <v>0.69499999999999995</v>
      </c>
      <c r="BG112" s="1103">
        <v>0</v>
      </c>
      <c r="BH112" s="1103">
        <v>0</v>
      </c>
      <c r="BI112" s="1103">
        <v>0</v>
      </c>
      <c r="BJ112" s="1103">
        <v>0</v>
      </c>
    </row>
    <row r="113" spans="2:62" hidden="1" outlineLevel="2">
      <c r="B113" s="1094"/>
      <c r="C113" s="1083" t="s">
        <v>334</v>
      </c>
      <c r="D113" s="1062" t="s">
        <v>263</v>
      </c>
      <c r="E113" s="1083" t="s">
        <v>335</v>
      </c>
      <c r="F113" s="1095">
        <v>2020</v>
      </c>
      <c r="G113" s="1096">
        <f t="shared" si="8"/>
        <v>0.69499999999999995</v>
      </c>
      <c r="H113" s="1083" t="s">
        <v>29</v>
      </c>
      <c r="I113" s="1097">
        <v>3</v>
      </c>
      <c r="J113" s="1098">
        <f t="shared" si="9"/>
        <v>36</v>
      </c>
      <c r="K113" s="153">
        <f t="shared" si="10"/>
        <v>0.33333333333333331</v>
      </c>
      <c r="L113" s="1099"/>
      <c r="M113" s="1100">
        <v>10.000748201438848</v>
      </c>
      <c r="N113" s="1101">
        <f>IF($BF113=0,0,IF(SUM($M113:M113)&lt;($J113-12),12,$J113-SUM($M113:M113)))</f>
        <v>12</v>
      </c>
      <c r="O113" s="1101">
        <f>IF($BF113=0,0,IF(SUM($M113:N113)&lt;($J113-12),12,$J113-SUM($M113:N113)))</f>
        <v>12</v>
      </c>
      <c r="P113" s="1101">
        <f>IF($BF113=0,0,IF(SUM($M113:O113)&lt;($J113-12),12,$J113-SUM($M113:O113)))</f>
        <v>1.9992517985611542</v>
      </c>
      <c r="Q113" s="1101">
        <f>IF($BF113=0,0,IF(SUM($M113:P113)&lt;($J113-12),12,$J113-SUM($M113:P113)))</f>
        <v>0</v>
      </c>
      <c r="S113" s="1100"/>
      <c r="T113" s="1100">
        <v>0</v>
      </c>
      <c r="U113" s="1101">
        <f>IF($BG113=0,0,IF(SUM($S113:T113)&lt;($J113-12),12,$J113-SUM($S113:T113)))</f>
        <v>0</v>
      </c>
      <c r="V113" s="1101">
        <f>IF($BG113=0,0,IF(SUM($S113:U113)&lt;($J113-12),12,$J113-SUM($S113:U113)))</f>
        <v>0</v>
      </c>
      <c r="W113" s="1101">
        <f>IF($BG113=0,0,IF(SUM($S113:V113)&lt;($J113-12),12,$J113-SUM($S113:V113)))</f>
        <v>0</v>
      </c>
      <c r="Y113" s="1100"/>
      <c r="Z113" s="1100"/>
      <c r="AA113" s="1100">
        <v>0</v>
      </c>
      <c r="AB113" s="1101">
        <f>IF($BH113=0,0,IF(SUM($Y113:AA113)&lt;($J113-12),12,$J113-SUM($Y113:AA113)))</f>
        <v>0</v>
      </c>
      <c r="AC113" s="1101">
        <f>IF($BH113=0,0,IF(SUM($Y113:AB113)&lt;($J113-12),12,$J113-SUM($Y113:AB113)))</f>
        <v>0</v>
      </c>
      <c r="AE113" s="1100"/>
      <c r="AF113" s="1100"/>
      <c r="AG113" s="1100"/>
      <c r="AH113" s="1100">
        <v>0</v>
      </c>
      <c r="AI113" s="1101">
        <f>IF($BI113=0,0,IF(SUM($AE113:AH113)&lt;($J113-12),12,$J113-SUM($AE113:AH113)))</f>
        <v>0</v>
      </c>
      <c r="AK113" s="1100"/>
      <c r="AL113" s="1100"/>
      <c r="AM113" s="1100"/>
      <c r="AN113" s="1100"/>
      <c r="AO113" s="1100">
        <v>0</v>
      </c>
      <c r="AQ113" s="153">
        <f t="shared" si="11"/>
        <v>0.83339568345323733</v>
      </c>
      <c r="AR113" s="153">
        <f t="shared" si="12"/>
        <v>0</v>
      </c>
      <c r="AS113" s="153">
        <f t="shared" si="13"/>
        <v>0</v>
      </c>
      <c r="AT113" s="153">
        <f t="shared" si="14"/>
        <v>0</v>
      </c>
      <c r="AU113" s="153">
        <f t="shared" si="15"/>
        <v>0</v>
      </c>
      <c r="AW113" s="1543">
        <v>0.73</v>
      </c>
      <c r="AX113" s="1102"/>
      <c r="AY113" s="1544">
        <v>0.15</v>
      </c>
      <c r="BA113" s="1103">
        <v>0</v>
      </c>
      <c r="BB113" s="1103">
        <v>0</v>
      </c>
      <c r="BC113" s="1103">
        <v>0</v>
      </c>
      <c r="BD113" s="1103">
        <v>0</v>
      </c>
      <c r="BE113" s="1103">
        <v>0</v>
      </c>
      <c r="BF113" s="1103">
        <v>0.69499999999999995</v>
      </c>
      <c r="BG113" s="1103">
        <v>0</v>
      </c>
      <c r="BH113" s="1103">
        <v>0</v>
      </c>
      <c r="BI113" s="1103">
        <v>0</v>
      </c>
      <c r="BJ113" s="1103">
        <v>0</v>
      </c>
    </row>
    <row r="114" spans="2:62" hidden="1" outlineLevel="2">
      <c r="B114" s="1094"/>
      <c r="C114" s="1083" t="s">
        <v>336</v>
      </c>
      <c r="D114" s="1062" t="s">
        <v>263</v>
      </c>
      <c r="E114" s="1083" t="s">
        <v>337</v>
      </c>
      <c r="F114" s="1095">
        <v>2020</v>
      </c>
      <c r="G114" s="1096">
        <f t="shared" si="8"/>
        <v>0.69499999999999995</v>
      </c>
      <c r="H114" s="1083" t="s">
        <v>29</v>
      </c>
      <c r="I114" s="1097">
        <v>3</v>
      </c>
      <c r="J114" s="1098">
        <f t="shared" si="9"/>
        <v>36</v>
      </c>
      <c r="K114" s="153">
        <f t="shared" si="10"/>
        <v>0.33333333333333331</v>
      </c>
      <c r="L114" s="1099"/>
      <c r="M114" s="1100">
        <v>7.0010935251798552</v>
      </c>
      <c r="N114" s="1101">
        <f>IF($BF114=0,0,IF(SUM($M114:M114)&lt;($J114-12),12,$J114-SUM($M114:M114)))</f>
        <v>12</v>
      </c>
      <c r="O114" s="1101">
        <f>IF($BF114=0,0,IF(SUM($M114:N114)&lt;($J114-12),12,$J114-SUM($M114:N114)))</f>
        <v>12</v>
      </c>
      <c r="P114" s="1101">
        <f>IF($BF114=0,0,IF(SUM($M114:O114)&lt;($J114-12),12,$J114-SUM($M114:O114)))</f>
        <v>4.9989064748201457</v>
      </c>
      <c r="Q114" s="1101">
        <f>IF($BF114=0,0,IF(SUM($M114:P114)&lt;($J114-12),12,$J114-SUM($M114:P114)))</f>
        <v>0</v>
      </c>
      <c r="S114" s="1100"/>
      <c r="T114" s="1100">
        <v>0</v>
      </c>
      <c r="U114" s="1101">
        <f>IF($BG114=0,0,IF(SUM($S114:T114)&lt;($J114-12),12,$J114-SUM($S114:T114)))</f>
        <v>0</v>
      </c>
      <c r="V114" s="1101">
        <f>IF($BG114=0,0,IF(SUM($S114:U114)&lt;($J114-12),12,$J114-SUM($S114:U114)))</f>
        <v>0</v>
      </c>
      <c r="W114" s="1101">
        <f>IF($BG114=0,0,IF(SUM($S114:V114)&lt;($J114-12),12,$J114-SUM($S114:V114)))</f>
        <v>0</v>
      </c>
      <c r="Y114" s="1100"/>
      <c r="Z114" s="1100"/>
      <c r="AA114" s="1100">
        <v>0</v>
      </c>
      <c r="AB114" s="1101">
        <f>IF($BH114=0,0,IF(SUM($Y114:AA114)&lt;($J114-12),12,$J114-SUM($Y114:AA114)))</f>
        <v>0</v>
      </c>
      <c r="AC114" s="1101">
        <f>IF($BH114=0,0,IF(SUM($Y114:AB114)&lt;($J114-12),12,$J114-SUM($Y114:AB114)))</f>
        <v>0</v>
      </c>
      <c r="AE114" s="1100"/>
      <c r="AF114" s="1100"/>
      <c r="AG114" s="1100"/>
      <c r="AH114" s="1100">
        <v>0</v>
      </c>
      <c r="AI114" s="1101">
        <f>IF($BI114=0,0,IF(SUM($AE114:AH114)&lt;($J114-12),12,$J114-SUM($AE114:AH114)))</f>
        <v>0</v>
      </c>
      <c r="AK114" s="1100"/>
      <c r="AL114" s="1100"/>
      <c r="AM114" s="1100"/>
      <c r="AN114" s="1100"/>
      <c r="AO114" s="1100">
        <v>0</v>
      </c>
      <c r="AQ114" s="153">
        <f t="shared" si="11"/>
        <v>0.58342446043165463</v>
      </c>
      <c r="AR114" s="153">
        <f t="shared" si="12"/>
        <v>0</v>
      </c>
      <c r="AS114" s="153">
        <f t="shared" si="13"/>
        <v>0</v>
      </c>
      <c r="AT114" s="153">
        <f t="shared" si="14"/>
        <v>0</v>
      </c>
      <c r="AU114" s="153">
        <f t="shared" si="15"/>
        <v>0</v>
      </c>
      <c r="AW114" s="1543">
        <v>0.73</v>
      </c>
      <c r="AX114" s="1102"/>
      <c r="AY114" s="1544">
        <v>0.15</v>
      </c>
      <c r="BA114" s="1103">
        <v>0</v>
      </c>
      <c r="BB114" s="1103">
        <v>0</v>
      </c>
      <c r="BC114" s="1103">
        <v>0</v>
      </c>
      <c r="BD114" s="1103">
        <v>0</v>
      </c>
      <c r="BE114" s="1103">
        <v>0</v>
      </c>
      <c r="BF114" s="1103">
        <v>0.69499999999999995</v>
      </c>
      <c r="BG114" s="1103">
        <v>0</v>
      </c>
      <c r="BH114" s="1103">
        <v>0</v>
      </c>
      <c r="BI114" s="1103">
        <v>0</v>
      </c>
      <c r="BJ114" s="1103">
        <v>0</v>
      </c>
    </row>
    <row r="115" spans="2:62" hidden="1" outlineLevel="2">
      <c r="B115" s="1094"/>
      <c r="C115" s="1083" t="s">
        <v>338</v>
      </c>
      <c r="D115" s="1062" t="s">
        <v>263</v>
      </c>
      <c r="E115" s="1083" t="s">
        <v>339</v>
      </c>
      <c r="F115" s="1095">
        <v>2020</v>
      </c>
      <c r="G115" s="1096">
        <f t="shared" si="8"/>
        <v>0.69499999999999995</v>
      </c>
      <c r="H115" s="1083" t="s">
        <v>29</v>
      </c>
      <c r="I115" s="1097">
        <v>3</v>
      </c>
      <c r="J115" s="1098">
        <f t="shared" si="9"/>
        <v>36</v>
      </c>
      <c r="K115" s="153">
        <f t="shared" si="10"/>
        <v>0.33333333333333331</v>
      </c>
      <c r="L115" s="1099"/>
      <c r="M115" s="1100">
        <v>7.0010935251798552</v>
      </c>
      <c r="N115" s="1101">
        <f>IF($BF115=0,0,IF(SUM($M115:M115)&lt;($J115-12),12,$J115-SUM($M115:M115)))</f>
        <v>12</v>
      </c>
      <c r="O115" s="1101">
        <f>IF($BF115=0,0,IF(SUM($M115:N115)&lt;($J115-12),12,$J115-SUM($M115:N115)))</f>
        <v>12</v>
      </c>
      <c r="P115" s="1101">
        <f>IF($BF115=0,0,IF(SUM($M115:O115)&lt;($J115-12),12,$J115-SUM($M115:O115)))</f>
        <v>4.9989064748201457</v>
      </c>
      <c r="Q115" s="1101">
        <f>IF($BF115=0,0,IF(SUM($M115:P115)&lt;($J115-12),12,$J115-SUM($M115:P115)))</f>
        <v>0</v>
      </c>
      <c r="S115" s="1100"/>
      <c r="T115" s="1100">
        <v>0</v>
      </c>
      <c r="U115" s="1101">
        <f>IF($BG115=0,0,IF(SUM($S115:T115)&lt;($J115-12),12,$J115-SUM($S115:T115)))</f>
        <v>0</v>
      </c>
      <c r="V115" s="1101">
        <f>IF($BG115=0,0,IF(SUM($S115:U115)&lt;($J115-12),12,$J115-SUM($S115:U115)))</f>
        <v>0</v>
      </c>
      <c r="W115" s="1101">
        <f>IF($BG115=0,0,IF(SUM($S115:V115)&lt;($J115-12),12,$J115-SUM($S115:V115)))</f>
        <v>0</v>
      </c>
      <c r="Y115" s="1100"/>
      <c r="Z115" s="1100"/>
      <c r="AA115" s="1100">
        <v>0</v>
      </c>
      <c r="AB115" s="1101">
        <f>IF($BH115=0,0,IF(SUM($Y115:AA115)&lt;($J115-12),12,$J115-SUM($Y115:AA115)))</f>
        <v>0</v>
      </c>
      <c r="AC115" s="1101">
        <f>IF($BH115=0,0,IF(SUM($Y115:AB115)&lt;($J115-12),12,$J115-SUM($Y115:AB115)))</f>
        <v>0</v>
      </c>
      <c r="AE115" s="1100"/>
      <c r="AF115" s="1100"/>
      <c r="AG115" s="1100"/>
      <c r="AH115" s="1100">
        <v>0</v>
      </c>
      <c r="AI115" s="1101">
        <f>IF($BI115=0,0,IF(SUM($AE115:AH115)&lt;($J115-12),12,$J115-SUM($AE115:AH115)))</f>
        <v>0</v>
      </c>
      <c r="AK115" s="1100"/>
      <c r="AL115" s="1100"/>
      <c r="AM115" s="1100"/>
      <c r="AN115" s="1100"/>
      <c r="AO115" s="1100">
        <v>0</v>
      </c>
      <c r="AQ115" s="153">
        <f t="shared" si="11"/>
        <v>0.58342446043165463</v>
      </c>
      <c r="AR115" s="153">
        <f t="shared" si="12"/>
        <v>0</v>
      </c>
      <c r="AS115" s="153">
        <f t="shared" si="13"/>
        <v>0</v>
      </c>
      <c r="AT115" s="153">
        <f t="shared" si="14"/>
        <v>0</v>
      </c>
      <c r="AU115" s="153">
        <f t="shared" si="15"/>
        <v>0</v>
      </c>
      <c r="AW115" s="1543">
        <v>0.73</v>
      </c>
      <c r="AX115" s="1102"/>
      <c r="AY115" s="1544">
        <v>0.15</v>
      </c>
      <c r="BA115" s="1103">
        <v>0</v>
      </c>
      <c r="BB115" s="1103">
        <v>0</v>
      </c>
      <c r="BC115" s="1103">
        <v>0</v>
      </c>
      <c r="BD115" s="1103">
        <v>0</v>
      </c>
      <c r="BE115" s="1103">
        <v>0</v>
      </c>
      <c r="BF115" s="1103">
        <v>0.69499999999999995</v>
      </c>
      <c r="BG115" s="1103">
        <v>0</v>
      </c>
      <c r="BH115" s="1103">
        <v>0</v>
      </c>
      <c r="BI115" s="1103">
        <v>0</v>
      </c>
      <c r="BJ115" s="1103">
        <v>0</v>
      </c>
    </row>
    <row r="116" spans="2:62" hidden="1" outlineLevel="2">
      <c r="B116" s="1094"/>
      <c r="C116" s="1083" t="s">
        <v>340</v>
      </c>
      <c r="D116" s="1062" t="s">
        <v>263</v>
      </c>
      <c r="E116" s="1083" t="s">
        <v>341</v>
      </c>
      <c r="F116" s="1095">
        <v>2020</v>
      </c>
      <c r="G116" s="1096">
        <f t="shared" si="8"/>
        <v>0.69499999999999995</v>
      </c>
      <c r="H116" s="1083" t="s">
        <v>29</v>
      </c>
      <c r="I116" s="1097">
        <v>3</v>
      </c>
      <c r="J116" s="1098">
        <f t="shared" si="9"/>
        <v>36</v>
      </c>
      <c r="K116" s="153">
        <f t="shared" si="10"/>
        <v>0.33333333333333331</v>
      </c>
      <c r="L116" s="1099"/>
      <c r="M116" s="1100">
        <v>7.0010935251798552</v>
      </c>
      <c r="N116" s="1101">
        <f>IF($BF116=0,0,IF(SUM($M116:M116)&lt;($J116-12),12,$J116-SUM($M116:M116)))</f>
        <v>12</v>
      </c>
      <c r="O116" s="1101">
        <f>IF($BF116=0,0,IF(SUM($M116:N116)&lt;($J116-12),12,$J116-SUM($M116:N116)))</f>
        <v>12</v>
      </c>
      <c r="P116" s="1101">
        <f>IF($BF116=0,0,IF(SUM($M116:O116)&lt;($J116-12),12,$J116-SUM($M116:O116)))</f>
        <v>4.9989064748201457</v>
      </c>
      <c r="Q116" s="1101">
        <f>IF($BF116=0,0,IF(SUM($M116:P116)&lt;($J116-12),12,$J116-SUM($M116:P116)))</f>
        <v>0</v>
      </c>
      <c r="S116" s="1100"/>
      <c r="T116" s="1100">
        <v>0</v>
      </c>
      <c r="U116" s="1101">
        <f>IF($BG116=0,0,IF(SUM($S116:T116)&lt;($J116-12),12,$J116-SUM($S116:T116)))</f>
        <v>0</v>
      </c>
      <c r="V116" s="1101">
        <f>IF($BG116=0,0,IF(SUM($S116:U116)&lt;($J116-12),12,$J116-SUM($S116:U116)))</f>
        <v>0</v>
      </c>
      <c r="W116" s="1101">
        <f>IF($BG116=0,0,IF(SUM($S116:V116)&lt;($J116-12),12,$J116-SUM($S116:V116)))</f>
        <v>0</v>
      </c>
      <c r="Y116" s="1100"/>
      <c r="Z116" s="1100"/>
      <c r="AA116" s="1100">
        <v>0</v>
      </c>
      <c r="AB116" s="1101">
        <f>IF($BH116=0,0,IF(SUM($Y116:AA116)&lt;($J116-12),12,$J116-SUM($Y116:AA116)))</f>
        <v>0</v>
      </c>
      <c r="AC116" s="1101">
        <f>IF($BH116=0,0,IF(SUM($Y116:AB116)&lt;($J116-12),12,$J116-SUM($Y116:AB116)))</f>
        <v>0</v>
      </c>
      <c r="AE116" s="1100"/>
      <c r="AF116" s="1100"/>
      <c r="AG116" s="1100"/>
      <c r="AH116" s="1100">
        <v>0</v>
      </c>
      <c r="AI116" s="1101">
        <f>IF($BI116=0,0,IF(SUM($AE116:AH116)&lt;($J116-12),12,$J116-SUM($AE116:AH116)))</f>
        <v>0</v>
      </c>
      <c r="AK116" s="1100"/>
      <c r="AL116" s="1100"/>
      <c r="AM116" s="1100"/>
      <c r="AN116" s="1100"/>
      <c r="AO116" s="1100">
        <v>0</v>
      </c>
      <c r="AQ116" s="153">
        <f t="shared" si="11"/>
        <v>0.58342446043165463</v>
      </c>
      <c r="AR116" s="153">
        <f t="shared" si="12"/>
        <v>0</v>
      </c>
      <c r="AS116" s="153">
        <f t="shared" si="13"/>
        <v>0</v>
      </c>
      <c r="AT116" s="153">
        <f t="shared" si="14"/>
        <v>0</v>
      </c>
      <c r="AU116" s="153">
        <f t="shared" si="15"/>
        <v>0</v>
      </c>
      <c r="AW116" s="1543">
        <v>0.73</v>
      </c>
      <c r="AX116" s="1102"/>
      <c r="AY116" s="1544">
        <v>0.15</v>
      </c>
      <c r="BA116" s="1103">
        <v>0</v>
      </c>
      <c r="BB116" s="1103">
        <v>0</v>
      </c>
      <c r="BC116" s="1103">
        <v>0</v>
      </c>
      <c r="BD116" s="1103">
        <v>0</v>
      </c>
      <c r="BE116" s="1103">
        <v>0</v>
      </c>
      <c r="BF116" s="1103">
        <v>0.69499999999999995</v>
      </c>
      <c r="BG116" s="1103">
        <v>0</v>
      </c>
      <c r="BH116" s="1103">
        <v>0</v>
      </c>
      <c r="BI116" s="1103">
        <v>0</v>
      </c>
      <c r="BJ116" s="1103">
        <v>0</v>
      </c>
    </row>
    <row r="117" spans="2:62" hidden="1" outlineLevel="2">
      <c r="B117" s="1094"/>
      <c r="C117" s="1083" t="s">
        <v>342</v>
      </c>
      <c r="D117" s="1062" t="s">
        <v>263</v>
      </c>
      <c r="E117" s="1083" t="s">
        <v>343</v>
      </c>
      <c r="F117" s="1095">
        <v>2020</v>
      </c>
      <c r="G117" s="1096">
        <f t="shared" si="8"/>
        <v>0.6</v>
      </c>
      <c r="H117" s="1083" t="s">
        <v>29</v>
      </c>
      <c r="I117" s="1097">
        <v>3</v>
      </c>
      <c r="J117" s="1098">
        <f t="shared" si="9"/>
        <v>36</v>
      </c>
      <c r="K117" s="153">
        <f t="shared" si="10"/>
        <v>0.33333333333333331</v>
      </c>
      <c r="L117" s="1099"/>
      <c r="M117" s="1100">
        <v>12.002399999999998</v>
      </c>
      <c r="N117" s="1101">
        <f>IF($BF117=0,0,IF(SUM($M117:M117)&lt;($J117-12),12,$J117-SUM($M117:M117)))</f>
        <v>12</v>
      </c>
      <c r="O117" s="1101">
        <f>IF($BF117=0,0,IF(SUM($M117:N117)&lt;($J117-12),12,$J117-SUM($M117:N117)))</f>
        <v>11.997600000000002</v>
      </c>
      <c r="P117" s="1101">
        <f>IF($BF117=0,0,IF(SUM($M117:O117)&lt;($J117-12),12,$J117-SUM($M117:O117)))</f>
        <v>0</v>
      </c>
      <c r="Q117" s="1101">
        <f>IF($BF117=0,0,IF(SUM($M117:P117)&lt;($J117-12),12,$J117-SUM($M117:P117)))</f>
        <v>0</v>
      </c>
      <c r="S117" s="1100"/>
      <c r="T117" s="1100">
        <v>0</v>
      </c>
      <c r="U117" s="1101">
        <f>IF($BG117=0,0,IF(SUM($S117:T117)&lt;($J117-12),12,$J117-SUM($S117:T117)))</f>
        <v>0</v>
      </c>
      <c r="V117" s="1101">
        <f>IF($BG117=0,0,IF(SUM($S117:U117)&lt;($J117-12),12,$J117-SUM($S117:U117)))</f>
        <v>0</v>
      </c>
      <c r="W117" s="1101">
        <f>IF($BG117=0,0,IF(SUM($S117:V117)&lt;($J117-12),12,$J117-SUM($S117:V117)))</f>
        <v>0</v>
      </c>
      <c r="Y117" s="1100"/>
      <c r="Z117" s="1100"/>
      <c r="AA117" s="1100">
        <v>0</v>
      </c>
      <c r="AB117" s="1101">
        <f>IF($BH117=0,0,IF(SUM($Y117:AA117)&lt;($J117-12),12,$J117-SUM($Y117:AA117)))</f>
        <v>0</v>
      </c>
      <c r="AC117" s="1101">
        <f>IF($BH117=0,0,IF(SUM($Y117:AB117)&lt;($J117-12),12,$J117-SUM($Y117:AB117)))</f>
        <v>0</v>
      </c>
      <c r="AE117" s="1100"/>
      <c r="AF117" s="1100"/>
      <c r="AG117" s="1100"/>
      <c r="AH117" s="1100">
        <v>0</v>
      </c>
      <c r="AI117" s="1101">
        <f>IF($BI117=0,0,IF(SUM($AE117:AH117)&lt;($J117-12),12,$J117-SUM($AE117:AH117)))</f>
        <v>0</v>
      </c>
      <c r="AK117" s="1100"/>
      <c r="AL117" s="1100"/>
      <c r="AM117" s="1100"/>
      <c r="AN117" s="1100"/>
      <c r="AO117" s="1100">
        <v>0</v>
      </c>
      <c r="AQ117" s="153">
        <f t="shared" si="11"/>
        <v>1.0001999999999998</v>
      </c>
      <c r="AR117" s="153">
        <f t="shared" si="12"/>
        <v>0</v>
      </c>
      <c r="AS117" s="153">
        <f t="shared" si="13"/>
        <v>0</v>
      </c>
      <c r="AT117" s="153">
        <f t="shared" si="14"/>
        <v>0</v>
      </c>
      <c r="AU117" s="153">
        <f t="shared" si="15"/>
        <v>0</v>
      </c>
      <c r="AW117" s="1543">
        <v>0.73</v>
      </c>
      <c r="AX117" s="1102"/>
      <c r="AY117" s="1544">
        <v>0.15</v>
      </c>
      <c r="BA117" s="1103">
        <v>0</v>
      </c>
      <c r="BB117" s="1103">
        <v>0</v>
      </c>
      <c r="BC117" s="1103">
        <v>0</v>
      </c>
      <c r="BD117" s="1103">
        <v>0</v>
      </c>
      <c r="BE117" s="1103">
        <v>0</v>
      </c>
      <c r="BF117" s="1103">
        <v>0.6</v>
      </c>
      <c r="BG117" s="1103">
        <v>0</v>
      </c>
      <c r="BH117" s="1103">
        <v>0</v>
      </c>
      <c r="BI117" s="1103">
        <v>0</v>
      </c>
      <c r="BJ117" s="1103">
        <v>0</v>
      </c>
    </row>
    <row r="118" spans="2:62" hidden="1" outlineLevel="2">
      <c r="B118" s="1094"/>
      <c r="C118" s="1083" t="s">
        <v>344</v>
      </c>
      <c r="D118" s="1062" t="s">
        <v>263</v>
      </c>
      <c r="E118" s="1083" t="s">
        <v>345</v>
      </c>
      <c r="F118" s="1095">
        <v>2020</v>
      </c>
      <c r="G118" s="1096">
        <f t="shared" si="8"/>
        <v>1.3748399999999998</v>
      </c>
      <c r="H118" s="1083" t="s">
        <v>29</v>
      </c>
      <c r="I118" s="1097">
        <v>3</v>
      </c>
      <c r="J118" s="1098">
        <f t="shared" si="9"/>
        <v>36</v>
      </c>
      <c r="K118" s="153">
        <f t="shared" si="10"/>
        <v>0.33333333333333331</v>
      </c>
      <c r="L118" s="1099"/>
      <c r="M118" s="1100">
        <v>9</v>
      </c>
      <c r="N118" s="1101">
        <f>IF($BF118=0,0,IF(SUM($M118:M118)&lt;($J118-12),12,$J118-SUM($M118:M118)))</f>
        <v>12</v>
      </c>
      <c r="O118" s="1101">
        <f>IF($BF118=0,0,IF(SUM($M118:N118)&lt;($J118-12),12,$J118-SUM($M118:N118)))</f>
        <v>12</v>
      </c>
      <c r="P118" s="1101">
        <f>IF($BF118=0,0,IF(SUM($M118:O118)&lt;($J118-12),12,$J118-SUM($M118:O118)))</f>
        <v>3</v>
      </c>
      <c r="Q118" s="1101">
        <f>IF($BF118=0,0,IF(SUM($M118:P118)&lt;($J118-12),12,$J118-SUM($M118:P118)))</f>
        <v>0</v>
      </c>
      <c r="S118" s="1100"/>
      <c r="T118" s="1100">
        <v>0</v>
      </c>
      <c r="U118" s="1101">
        <f>IF($BG118=0,0,IF(SUM($S118:T118)&lt;($J118-12),12,$J118-SUM($S118:T118)))</f>
        <v>0</v>
      </c>
      <c r="V118" s="1101">
        <f>IF($BG118=0,0,IF(SUM($S118:U118)&lt;($J118-12),12,$J118-SUM($S118:U118)))</f>
        <v>0</v>
      </c>
      <c r="W118" s="1101">
        <f>IF($BG118=0,0,IF(SUM($S118:V118)&lt;($J118-12),12,$J118-SUM($S118:V118)))</f>
        <v>0</v>
      </c>
      <c r="Y118" s="1100"/>
      <c r="Z118" s="1100"/>
      <c r="AA118" s="1100">
        <v>0</v>
      </c>
      <c r="AB118" s="1101">
        <f>IF($BH118=0,0,IF(SUM($Y118:AA118)&lt;($J118-12),12,$J118-SUM($Y118:AA118)))</f>
        <v>0</v>
      </c>
      <c r="AC118" s="1101">
        <f>IF($BH118=0,0,IF(SUM($Y118:AB118)&lt;($J118-12),12,$J118-SUM($Y118:AB118)))</f>
        <v>0</v>
      </c>
      <c r="AE118" s="1100"/>
      <c r="AF118" s="1100"/>
      <c r="AG118" s="1100"/>
      <c r="AH118" s="1100">
        <v>0</v>
      </c>
      <c r="AI118" s="1101">
        <f>IF($BI118=0,0,IF(SUM($AE118:AH118)&lt;($J118-12),12,$J118-SUM($AE118:AH118)))</f>
        <v>0</v>
      </c>
      <c r="AK118" s="1100"/>
      <c r="AL118" s="1100"/>
      <c r="AM118" s="1100"/>
      <c r="AN118" s="1100"/>
      <c r="AO118" s="1100">
        <v>0</v>
      </c>
      <c r="AQ118" s="153">
        <f t="shared" si="11"/>
        <v>0.75</v>
      </c>
      <c r="AR118" s="153">
        <f t="shared" si="12"/>
        <v>0</v>
      </c>
      <c r="AS118" s="153">
        <f t="shared" si="13"/>
        <v>0</v>
      </c>
      <c r="AT118" s="153">
        <f t="shared" si="14"/>
        <v>0</v>
      </c>
      <c r="AU118" s="153">
        <f t="shared" si="15"/>
        <v>0</v>
      </c>
      <c r="AW118" s="1543">
        <v>0.73</v>
      </c>
      <c r="AX118" s="1102"/>
      <c r="AY118" s="1544">
        <v>0.15</v>
      </c>
      <c r="BA118" s="1103">
        <v>0</v>
      </c>
      <c r="BB118" s="1103">
        <v>0</v>
      </c>
      <c r="BC118" s="1103">
        <v>0</v>
      </c>
      <c r="BD118" s="1103">
        <v>0</v>
      </c>
      <c r="BE118" s="1103">
        <v>0</v>
      </c>
      <c r="BF118" s="1103">
        <v>1.3748399999999998</v>
      </c>
      <c r="BG118" s="1103">
        <v>0</v>
      </c>
      <c r="BH118" s="1103">
        <v>0</v>
      </c>
      <c r="BI118" s="1103">
        <v>0</v>
      </c>
      <c r="BJ118" s="1103">
        <v>0</v>
      </c>
    </row>
    <row r="119" spans="2:62" hidden="1" outlineLevel="2">
      <c r="B119" s="1094"/>
      <c r="C119" s="1083" t="s">
        <v>346</v>
      </c>
      <c r="D119" s="1062" t="s">
        <v>263</v>
      </c>
      <c r="E119" s="1083" t="s">
        <v>347</v>
      </c>
      <c r="F119" s="1095">
        <v>2020</v>
      </c>
      <c r="G119" s="1096">
        <f t="shared" si="8"/>
        <v>2.6970000000000001</v>
      </c>
      <c r="H119" s="1083" t="s">
        <v>29</v>
      </c>
      <c r="I119" s="1097">
        <v>3</v>
      </c>
      <c r="J119" s="1098">
        <f t="shared" si="9"/>
        <v>36</v>
      </c>
      <c r="K119" s="153">
        <f t="shared" si="10"/>
        <v>0.33333333333333331</v>
      </c>
      <c r="L119" s="1099"/>
      <c r="M119" s="1100">
        <v>3.0001334816462735</v>
      </c>
      <c r="N119" s="1101">
        <f>IF($BF119=0,0,IF(SUM($M119:M119)&lt;($J119-12),12,$J119-SUM($M119:M119)))</f>
        <v>12</v>
      </c>
      <c r="O119" s="1101">
        <f>IF($BF119=0,0,IF(SUM($M119:N119)&lt;($J119-12),12,$J119-SUM($M119:N119)))</f>
        <v>12</v>
      </c>
      <c r="P119" s="1101">
        <f>IF($BF119=0,0,IF(SUM($M119:O119)&lt;($J119-12),12,$J119-SUM($M119:O119)))</f>
        <v>8.999866518353727</v>
      </c>
      <c r="Q119" s="1101">
        <f>IF($BF119=0,0,IF(SUM($M119:P119)&lt;($J119-12),12,$J119-SUM($M119:P119)))</f>
        <v>0</v>
      </c>
      <c r="S119" s="1100"/>
      <c r="T119" s="1100">
        <v>0</v>
      </c>
      <c r="U119" s="1101">
        <f>IF($BG119=0,0,IF(SUM($S119:T119)&lt;($J119-12),12,$J119-SUM($S119:T119)))</f>
        <v>0</v>
      </c>
      <c r="V119" s="1101">
        <f>IF($BG119=0,0,IF(SUM($S119:U119)&lt;($J119-12),12,$J119-SUM($S119:U119)))</f>
        <v>0</v>
      </c>
      <c r="W119" s="1101">
        <f>IF($BG119=0,0,IF(SUM($S119:V119)&lt;($J119-12),12,$J119-SUM($S119:V119)))</f>
        <v>0</v>
      </c>
      <c r="Y119" s="1100"/>
      <c r="Z119" s="1100"/>
      <c r="AA119" s="1100">
        <v>0</v>
      </c>
      <c r="AB119" s="1101">
        <f>IF($BH119=0,0,IF(SUM($Y119:AA119)&lt;($J119-12),12,$J119-SUM($Y119:AA119)))</f>
        <v>0</v>
      </c>
      <c r="AC119" s="1101">
        <f>IF($BH119=0,0,IF(SUM($Y119:AB119)&lt;($J119-12),12,$J119-SUM($Y119:AB119)))</f>
        <v>0</v>
      </c>
      <c r="AE119" s="1100"/>
      <c r="AF119" s="1100"/>
      <c r="AG119" s="1100"/>
      <c r="AH119" s="1100">
        <v>0</v>
      </c>
      <c r="AI119" s="1101">
        <f>IF($BI119=0,0,IF(SUM($AE119:AH119)&lt;($J119-12),12,$J119-SUM($AE119:AH119)))</f>
        <v>0</v>
      </c>
      <c r="AK119" s="1100"/>
      <c r="AL119" s="1100"/>
      <c r="AM119" s="1100"/>
      <c r="AN119" s="1100"/>
      <c r="AO119" s="1100">
        <v>0</v>
      </c>
      <c r="AQ119" s="153">
        <f t="shared" si="11"/>
        <v>0.25001112347052279</v>
      </c>
      <c r="AR119" s="153">
        <f t="shared" si="12"/>
        <v>0</v>
      </c>
      <c r="AS119" s="153">
        <f t="shared" si="13"/>
        <v>0</v>
      </c>
      <c r="AT119" s="153">
        <f t="shared" si="14"/>
        <v>0</v>
      </c>
      <c r="AU119" s="153">
        <f t="shared" si="15"/>
        <v>0</v>
      </c>
      <c r="AW119" s="1543">
        <v>0.73</v>
      </c>
      <c r="AX119" s="1102"/>
      <c r="AY119" s="1544">
        <v>0.15</v>
      </c>
      <c r="BA119" s="1103">
        <v>0</v>
      </c>
      <c r="BB119" s="1103">
        <v>0</v>
      </c>
      <c r="BC119" s="1103">
        <v>0</v>
      </c>
      <c r="BD119" s="1103">
        <v>0</v>
      </c>
      <c r="BE119" s="1103">
        <v>0</v>
      </c>
      <c r="BF119" s="1103">
        <v>2.6970000000000001</v>
      </c>
      <c r="BG119" s="1103">
        <v>0</v>
      </c>
      <c r="BH119" s="1103">
        <v>0</v>
      </c>
      <c r="BI119" s="1103">
        <v>0</v>
      </c>
      <c r="BJ119" s="1103">
        <v>0</v>
      </c>
    </row>
    <row r="120" spans="2:62" hidden="1" outlineLevel="2">
      <c r="B120" s="1094"/>
      <c r="C120" s="1083" t="s">
        <v>348</v>
      </c>
      <c r="D120" s="1062" t="s">
        <v>263</v>
      </c>
      <c r="E120" s="1083" t="s">
        <v>349</v>
      </c>
      <c r="F120" s="1095">
        <v>2020</v>
      </c>
      <c r="G120" s="1096">
        <f t="shared" si="8"/>
        <v>1.50641</v>
      </c>
      <c r="H120" s="1083" t="s">
        <v>29</v>
      </c>
      <c r="I120" s="1097">
        <v>3</v>
      </c>
      <c r="J120" s="1098">
        <f t="shared" si="9"/>
        <v>36</v>
      </c>
      <c r="K120" s="153">
        <f t="shared" si="10"/>
        <v>0.33333333333333331</v>
      </c>
      <c r="L120" s="1099"/>
      <c r="M120" s="1100">
        <v>6.9999269787109757</v>
      </c>
      <c r="N120" s="1101">
        <f>IF($BF120=0,0,IF(SUM($M120:M120)&lt;($J120-12),12,$J120-SUM($M120:M120)))</f>
        <v>12</v>
      </c>
      <c r="O120" s="1101">
        <f>IF($BF120=0,0,IF(SUM($M120:N120)&lt;($J120-12),12,$J120-SUM($M120:N120)))</f>
        <v>12</v>
      </c>
      <c r="P120" s="1101">
        <f>IF($BF120=0,0,IF(SUM($M120:O120)&lt;($J120-12),12,$J120-SUM($M120:O120)))</f>
        <v>5.0000730212890261</v>
      </c>
      <c r="Q120" s="1101">
        <f>IF($BF120=0,0,IF(SUM($M120:P120)&lt;($J120-12),12,$J120-SUM($M120:P120)))</f>
        <v>0</v>
      </c>
      <c r="S120" s="1100"/>
      <c r="T120" s="1100">
        <v>0</v>
      </c>
      <c r="U120" s="1101">
        <f>IF($BG120=0,0,IF(SUM($S120:T120)&lt;($J120-12),12,$J120-SUM($S120:T120)))</f>
        <v>0</v>
      </c>
      <c r="V120" s="1101">
        <f>IF($BG120=0,0,IF(SUM($S120:U120)&lt;($J120-12),12,$J120-SUM($S120:U120)))</f>
        <v>0</v>
      </c>
      <c r="W120" s="1101">
        <f>IF($BG120=0,0,IF(SUM($S120:V120)&lt;($J120-12),12,$J120-SUM($S120:V120)))</f>
        <v>0</v>
      </c>
      <c r="Y120" s="1100"/>
      <c r="Z120" s="1100"/>
      <c r="AA120" s="1100">
        <v>0</v>
      </c>
      <c r="AB120" s="1101">
        <f>IF($BH120=0,0,IF(SUM($Y120:AA120)&lt;($J120-12),12,$J120-SUM($Y120:AA120)))</f>
        <v>0</v>
      </c>
      <c r="AC120" s="1101">
        <f>IF($BH120=0,0,IF(SUM($Y120:AB120)&lt;($J120-12),12,$J120-SUM($Y120:AB120)))</f>
        <v>0</v>
      </c>
      <c r="AE120" s="1100"/>
      <c r="AF120" s="1100"/>
      <c r="AG120" s="1100"/>
      <c r="AH120" s="1100">
        <v>0</v>
      </c>
      <c r="AI120" s="1101">
        <f>IF($BI120=0,0,IF(SUM($AE120:AH120)&lt;($J120-12),12,$J120-SUM($AE120:AH120)))</f>
        <v>0</v>
      </c>
      <c r="AK120" s="1100"/>
      <c r="AL120" s="1100"/>
      <c r="AM120" s="1100"/>
      <c r="AN120" s="1100"/>
      <c r="AO120" s="1100">
        <v>0</v>
      </c>
      <c r="AQ120" s="153">
        <f t="shared" si="11"/>
        <v>0.58332724822591464</v>
      </c>
      <c r="AR120" s="153">
        <f t="shared" si="12"/>
        <v>0</v>
      </c>
      <c r="AS120" s="153">
        <f t="shared" si="13"/>
        <v>0</v>
      </c>
      <c r="AT120" s="153">
        <f t="shared" si="14"/>
        <v>0</v>
      </c>
      <c r="AU120" s="153">
        <f t="shared" si="15"/>
        <v>0</v>
      </c>
      <c r="AW120" s="1543">
        <v>0.75</v>
      </c>
      <c r="AX120" s="1102"/>
      <c r="AY120" s="1544">
        <v>0.25</v>
      </c>
      <c r="BA120" s="1103">
        <v>0</v>
      </c>
      <c r="BB120" s="1103">
        <v>0</v>
      </c>
      <c r="BC120" s="1103">
        <v>0</v>
      </c>
      <c r="BD120" s="1103">
        <v>0</v>
      </c>
      <c r="BE120" s="1103">
        <v>0</v>
      </c>
      <c r="BF120" s="1103">
        <v>1.50641</v>
      </c>
      <c r="BG120" s="1103">
        <v>0</v>
      </c>
      <c r="BH120" s="1103">
        <v>0</v>
      </c>
      <c r="BI120" s="1103">
        <v>0</v>
      </c>
      <c r="BJ120" s="1103">
        <v>0</v>
      </c>
    </row>
    <row r="121" spans="2:62" hidden="1" outlineLevel="2">
      <c r="B121" s="1094"/>
      <c r="C121" s="1083" t="s">
        <v>350</v>
      </c>
      <c r="D121" s="1062" t="s">
        <v>263</v>
      </c>
      <c r="E121" s="1083" t="s">
        <v>351</v>
      </c>
      <c r="F121" s="1095">
        <v>2020</v>
      </c>
      <c r="G121" s="1096">
        <f t="shared" si="8"/>
        <v>0.90061000000000002</v>
      </c>
      <c r="H121" s="1083" t="s">
        <v>29</v>
      </c>
      <c r="I121" s="1097">
        <v>3.0833333333333335</v>
      </c>
      <c r="J121" s="1098">
        <f t="shared" si="9"/>
        <v>37</v>
      </c>
      <c r="K121" s="153">
        <f t="shared" si="10"/>
        <v>0.32432432432432429</v>
      </c>
      <c r="L121" s="1099"/>
      <c r="M121" s="1100">
        <v>7.1953231698515445</v>
      </c>
      <c r="N121" s="1101">
        <f>IF($BF121=0,0,IF(SUM($M121:M121)&lt;($J121-12),12,$J121-SUM($M121:M121)))</f>
        <v>12</v>
      </c>
      <c r="O121" s="1101">
        <f>IF($BF121=0,0,IF(SUM($M121:N121)&lt;($J121-12),12,$J121-SUM($M121:N121)))</f>
        <v>12</v>
      </c>
      <c r="P121" s="1101">
        <f>IF($BF121=0,0,IF(SUM($M121:O121)&lt;($J121-12),12,$J121-SUM($M121:O121)))</f>
        <v>5.8046768301484555</v>
      </c>
      <c r="Q121" s="1101">
        <f>IF($BF121=0,0,IF(SUM($M121:P121)&lt;($J121-12),12,$J121-SUM($M121:P121)))</f>
        <v>0</v>
      </c>
      <c r="S121" s="1100"/>
      <c r="T121" s="1100">
        <v>0</v>
      </c>
      <c r="U121" s="1101">
        <f>IF($BG121=0,0,IF(SUM($S121:T121)&lt;($J121-12),12,$J121-SUM($S121:T121)))</f>
        <v>0</v>
      </c>
      <c r="V121" s="1101">
        <f>IF($BG121=0,0,IF(SUM($S121:U121)&lt;($J121-12),12,$J121-SUM($S121:U121)))</f>
        <v>0</v>
      </c>
      <c r="W121" s="1101">
        <f>IF($BG121=0,0,IF(SUM($S121:V121)&lt;($J121-12),12,$J121-SUM($S121:V121)))</f>
        <v>0</v>
      </c>
      <c r="Y121" s="1100"/>
      <c r="Z121" s="1100"/>
      <c r="AA121" s="1100">
        <v>0</v>
      </c>
      <c r="AB121" s="1101">
        <f>IF($BH121=0,0,IF(SUM($Y121:AA121)&lt;($J121-12),12,$J121-SUM($Y121:AA121)))</f>
        <v>0</v>
      </c>
      <c r="AC121" s="1101">
        <f>IF($BH121=0,0,IF(SUM($Y121:AB121)&lt;($J121-12),12,$J121-SUM($Y121:AB121)))</f>
        <v>0</v>
      </c>
      <c r="AE121" s="1100"/>
      <c r="AF121" s="1100"/>
      <c r="AG121" s="1100"/>
      <c r="AH121" s="1100">
        <v>0</v>
      </c>
      <c r="AI121" s="1101">
        <f>IF($BI121=0,0,IF(SUM($AE121:AH121)&lt;($J121-12),12,$J121-SUM($AE121:AH121)))</f>
        <v>0</v>
      </c>
      <c r="AK121" s="1100"/>
      <c r="AL121" s="1100"/>
      <c r="AM121" s="1100"/>
      <c r="AN121" s="1100"/>
      <c r="AO121" s="1100">
        <v>0</v>
      </c>
      <c r="AQ121" s="153">
        <f t="shared" si="11"/>
        <v>0.59961026415429541</v>
      </c>
      <c r="AR121" s="153">
        <f t="shared" si="12"/>
        <v>0</v>
      </c>
      <c r="AS121" s="153">
        <f t="shared" si="13"/>
        <v>0</v>
      </c>
      <c r="AT121" s="153">
        <f t="shared" si="14"/>
        <v>0</v>
      </c>
      <c r="AU121" s="153">
        <f t="shared" si="15"/>
        <v>0</v>
      </c>
      <c r="AW121" s="1543">
        <v>0.75</v>
      </c>
      <c r="AX121" s="1102"/>
      <c r="AY121" s="1544">
        <v>0.25</v>
      </c>
      <c r="BA121" s="1103">
        <v>0</v>
      </c>
      <c r="BB121" s="1103">
        <v>0</v>
      </c>
      <c r="BC121" s="1103">
        <v>0</v>
      </c>
      <c r="BD121" s="1103">
        <v>0</v>
      </c>
      <c r="BE121" s="1103">
        <v>0</v>
      </c>
      <c r="BF121" s="1103">
        <v>0.90061000000000002</v>
      </c>
      <c r="BG121" s="1103">
        <v>0</v>
      </c>
      <c r="BH121" s="1103">
        <v>0</v>
      </c>
      <c r="BI121" s="1103">
        <v>0</v>
      </c>
      <c r="BJ121" s="1103">
        <v>0</v>
      </c>
    </row>
    <row r="122" spans="2:62" hidden="1" outlineLevel="2">
      <c r="B122" s="1094"/>
      <c r="C122" s="1083" t="s">
        <v>352</v>
      </c>
      <c r="D122" s="1062" t="s">
        <v>263</v>
      </c>
      <c r="E122" s="1083" t="s">
        <v>353</v>
      </c>
      <c r="F122" s="1095">
        <v>2020</v>
      </c>
      <c r="G122" s="1096">
        <f t="shared" si="8"/>
        <v>0.90061000000000002</v>
      </c>
      <c r="H122" s="1083" t="s">
        <v>29</v>
      </c>
      <c r="I122" s="1097">
        <v>3.0833333333333335</v>
      </c>
      <c r="J122" s="1098">
        <f t="shared" si="9"/>
        <v>37</v>
      </c>
      <c r="K122" s="153">
        <f t="shared" si="10"/>
        <v>0.32432432432432429</v>
      </c>
      <c r="L122" s="1099"/>
      <c r="M122" s="1100">
        <v>7.1953231698515445</v>
      </c>
      <c r="N122" s="1101">
        <f>IF($BF122=0,0,IF(SUM($M122:M122)&lt;($J122-12),12,$J122-SUM($M122:M122)))</f>
        <v>12</v>
      </c>
      <c r="O122" s="1101">
        <f>IF($BF122=0,0,IF(SUM($M122:N122)&lt;($J122-12),12,$J122-SUM($M122:N122)))</f>
        <v>12</v>
      </c>
      <c r="P122" s="1101">
        <f>IF($BF122=0,0,IF(SUM($M122:O122)&lt;($J122-12),12,$J122-SUM($M122:O122)))</f>
        <v>5.8046768301484555</v>
      </c>
      <c r="Q122" s="1101">
        <f>IF($BF122=0,0,IF(SUM($M122:P122)&lt;($J122-12),12,$J122-SUM($M122:P122)))</f>
        <v>0</v>
      </c>
      <c r="S122" s="1100"/>
      <c r="T122" s="1100">
        <v>0</v>
      </c>
      <c r="U122" s="1101">
        <f>IF($BG122=0,0,IF(SUM($S122:T122)&lt;($J122-12),12,$J122-SUM($S122:T122)))</f>
        <v>0</v>
      </c>
      <c r="V122" s="1101">
        <f>IF($BG122=0,0,IF(SUM($S122:U122)&lt;($J122-12),12,$J122-SUM($S122:U122)))</f>
        <v>0</v>
      </c>
      <c r="W122" s="1101">
        <f>IF($BG122=0,0,IF(SUM($S122:V122)&lt;($J122-12),12,$J122-SUM($S122:V122)))</f>
        <v>0</v>
      </c>
      <c r="Y122" s="1100"/>
      <c r="Z122" s="1100"/>
      <c r="AA122" s="1100">
        <v>0</v>
      </c>
      <c r="AB122" s="1101">
        <f>IF($BH122=0,0,IF(SUM($Y122:AA122)&lt;($J122-12),12,$J122-SUM($Y122:AA122)))</f>
        <v>0</v>
      </c>
      <c r="AC122" s="1101">
        <f>IF($BH122=0,0,IF(SUM($Y122:AB122)&lt;($J122-12),12,$J122-SUM($Y122:AB122)))</f>
        <v>0</v>
      </c>
      <c r="AE122" s="1100"/>
      <c r="AF122" s="1100"/>
      <c r="AG122" s="1100"/>
      <c r="AH122" s="1100">
        <v>0</v>
      </c>
      <c r="AI122" s="1101">
        <f>IF($BI122=0,0,IF(SUM($AE122:AH122)&lt;($J122-12),12,$J122-SUM($AE122:AH122)))</f>
        <v>0</v>
      </c>
      <c r="AK122" s="1100"/>
      <c r="AL122" s="1100"/>
      <c r="AM122" s="1100"/>
      <c r="AN122" s="1100"/>
      <c r="AO122" s="1100">
        <v>0</v>
      </c>
      <c r="AQ122" s="153">
        <f t="shared" si="11"/>
        <v>0.59961026415429541</v>
      </c>
      <c r="AR122" s="153">
        <f t="shared" si="12"/>
        <v>0</v>
      </c>
      <c r="AS122" s="153">
        <f t="shared" si="13"/>
        <v>0</v>
      </c>
      <c r="AT122" s="153">
        <f t="shared" si="14"/>
        <v>0</v>
      </c>
      <c r="AU122" s="153">
        <f t="shared" si="15"/>
        <v>0</v>
      </c>
      <c r="AW122" s="1543">
        <v>0.75</v>
      </c>
      <c r="AX122" s="1102"/>
      <c r="AY122" s="1544">
        <v>0.25</v>
      </c>
      <c r="BA122" s="1103">
        <v>0</v>
      </c>
      <c r="BB122" s="1103">
        <v>0</v>
      </c>
      <c r="BC122" s="1103">
        <v>0</v>
      </c>
      <c r="BD122" s="1103">
        <v>0</v>
      </c>
      <c r="BE122" s="1103">
        <v>0</v>
      </c>
      <c r="BF122" s="1103">
        <v>0.90061000000000002</v>
      </c>
      <c r="BG122" s="1103">
        <v>0</v>
      </c>
      <c r="BH122" s="1103">
        <v>0</v>
      </c>
      <c r="BI122" s="1103">
        <v>0</v>
      </c>
      <c r="BJ122" s="1103">
        <v>0</v>
      </c>
    </row>
    <row r="123" spans="2:62" hidden="1" outlineLevel="2">
      <c r="B123" s="1094"/>
      <c r="C123" s="1083" t="s">
        <v>354</v>
      </c>
      <c r="D123" s="1062" t="s">
        <v>263</v>
      </c>
      <c r="E123" s="1083" t="s">
        <v>355</v>
      </c>
      <c r="F123" s="1095">
        <v>2020</v>
      </c>
      <c r="G123" s="1096">
        <f t="shared" si="8"/>
        <v>0.90061000000000002</v>
      </c>
      <c r="H123" s="1083" t="s">
        <v>29</v>
      </c>
      <c r="I123" s="1097">
        <v>3.0833333333333335</v>
      </c>
      <c r="J123" s="1098">
        <f t="shared" si="9"/>
        <v>37</v>
      </c>
      <c r="K123" s="153">
        <f t="shared" si="10"/>
        <v>0.32432432432432429</v>
      </c>
      <c r="L123" s="1099"/>
      <c r="M123" s="1100">
        <v>7.1953231698515445</v>
      </c>
      <c r="N123" s="1101">
        <f>IF($BF123=0,0,IF(SUM($M123:M123)&lt;($J123-12),12,$J123-SUM($M123:M123)))</f>
        <v>12</v>
      </c>
      <c r="O123" s="1101">
        <f>IF($BF123=0,0,IF(SUM($M123:N123)&lt;($J123-12),12,$J123-SUM($M123:N123)))</f>
        <v>12</v>
      </c>
      <c r="P123" s="1101">
        <f>IF($BF123=0,0,IF(SUM($M123:O123)&lt;($J123-12),12,$J123-SUM($M123:O123)))</f>
        <v>5.8046768301484555</v>
      </c>
      <c r="Q123" s="1101">
        <f>IF($BF123=0,0,IF(SUM($M123:P123)&lt;($J123-12),12,$J123-SUM($M123:P123)))</f>
        <v>0</v>
      </c>
      <c r="S123" s="1100"/>
      <c r="T123" s="1100">
        <v>0</v>
      </c>
      <c r="U123" s="1101">
        <f>IF($BG123=0,0,IF(SUM($S123:T123)&lt;($J123-12),12,$J123-SUM($S123:T123)))</f>
        <v>0</v>
      </c>
      <c r="V123" s="1101">
        <f>IF($BG123=0,0,IF(SUM($S123:U123)&lt;($J123-12),12,$J123-SUM($S123:U123)))</f>
        <v>0</v>
      </c>
      <c r="W123" s="1101">
        <f>IF($BG123=0,0,IF(SUM($S123:V123)&lt;($J123-12),12,$J123-SUM($S123:V123)))</f>
        <v>0</v>
      </c>
      <c r="Y123" s="1100"/>
      <c r="Z123" s="1100"/>
      <c r="AA123" s="1100">
        <v>0</v>
      </c>
      <c r="AB123" s="1101">
        <f>IF($BH123=0,0,IF(SUM($Y123:AA123)&lt;($J123-12),12,$J123-SUM($Y123:AA123)))</f>
        <v>0</v>
      </c>
      <c r="AC123" s="1101">
        <f>IF($BH123=0,0,IF(SUM($Y123:AB123)&lt;($J123-12),12,$J123-SUM($Y123:AB123)))</f>
        <v>0</v>
      </c>
      <c r="AE123" s="1100"/>
      <c r="AF123" s="1100"/>
      <c r="AG123" s="1100"/>
      <c r="AH123" s="1100">
        <v>0</v>
      </c>
      <c r="AI123" s="1101">
        <f>IF($BI123=0,0,IF(SUM($AE123:AH123)&lt;($J123-12),12,$J123-SUM($AE123:AH123)))</f>
        <v>0</v>
      </c>
      <c r="AK123" s="1100"/>
      <c r="AL123" s="1100"/>
      <c r="AM123" s="1100"/>
      <c r="AN123" s="1100"/>
      <c r="AO123" s="1100">
        <v>0</v>
      </c>
      <c r="AQ123" s="153">
        <f t="shared" si="11"/>
        <v>0.59961026415429541</v>
      </c>
      <c r="AR123" s="153">
        <f t="shared" si="12"/>
        <v>0</v>
      </c>
      <c r="AS123" s="153">
        <f t="shared" si="13"/>
        <v>0</v>
      </c>
      <c r="AT123" s="153">
        <f t="shared" si="14"/>
        <v>0</v>
      </c>
      <c r="AU123" s="153">
        <f t="shared" si="15"/>
        <v>0</v>
      </c>
      <c r="AW123" s="1543">
        <v>0.75</v>
      </c>
      <c r="AX123" s="1102"/>
      <c r="AY123" s="1544">
        <v>0.25</v>
      </c>
      <c r="BA123" s="1103">
        <v>0</v>
      </c>
      <c r="BB123" s="1103">
        <v>0</v>
      </c>
      <c r="BC123" s="1103">
        <v>0</v>
      </c>
      <c r="BD123" s="1103">
        <v>0</v>
      </c>
      <c r="BE123" s="1103">
        <v>0</v>
      </c>
      <c r="BF123" s="1103">
        <v>0.90061000000000002</v>
      </c>
      <c r="BG123" s="1103">
        <v>0</v>
      </c>
      <c r="BH123" s="1103">
        <v>0</v>
      </c>
      <c r="BI123" s="1103">
        <v>0</v>
      </c>
      <c r="BJ123" s="1103">
        <v>0</v>
      </c>
    </row>
    <row r="124" spans="2:62" hidden="1" outlineLevel="2">
      <c r="B124" s="1094"/>
      <c r="C124" s="1083" t="s">
        <v>356</v>
      </c>
      <c r="D124" s="1062" t="s">
        <v>263</v>
      </c>
      <c r="E124" s="1083" t="s">
        <v>357</v>
      </c>
      <c r="F124" s="1095">
        <v>2020</v>
      </c>
      <c r="G124" s="1096">
        <f t="shared" si="8"/>
        <v>1.50641</v>
      </c>
      <c r="H124" s="1083" t="s">
        <v>29</v>
      </c>
      <c r="I124" s="1097">
        <v>3</v>
      </c>
      <c r="J124" s="1098">
        <f t="shared" si="9"/>
        <v>36</v>
      </c>
      <c r="K124" s="153">
        <f t="shared" si="10"/>
        <v>0.33333333333333331</v>
      </c>
      <c r="L124" s="1099"/>
      <c r="M124" s="1100">
        <v>6.9999269787109757</v>
      </c>
      <c r="N124" s="1101">
        <f>IF($BF124=0,0,IF(SUM($M124:M124)&lt;($J124-12),12,$J124-SUM($M124:M124)))</f>
        <v>12</v>
      </c>
      <c r="O124" s="1101">
        <f>IF($BF124=0,0,IF(SUM($M124:N124)&lt;($J124-12),12,$J124-SUM($M124:N124)))</f>
        <v>12</v>
      </c>
      <c r="P124" s="1101">
        <f>IF($BF124=0,0,IF(SUM($M124:O124)&lt;($J124-12),12,$J124-SUM($M124:O124)))</f>
        <v>5.0000730212890261</v>
      </c>
      <c r="Q124" s="1101">
        <f>IF($BF124=0,0,IF(SUM($M124:P124)&lt;($J124-12),12,$J124-SUM($M124:P124)))</f>
        <v>0</v>
      </c>
      <c r="S124" s="1100"/>
      <c r="T124" s="1100">
        <v>0</v>
      </c>
      <c r="U124" s="1101">
        <f>IF($BG124=0,0,IF(SUM($S124:T124)&lt;($J124-12),12,$J124-SUM($S124:T124)))</f>
        <v>0</v>
      </c>
      <c r="V124" s="1101">
        <f>IF($BG124=0,0,IF(SUM($S124:U124)&lt;($J124-12),12,$J124-SUM($S124:U124)))</f>
        <v>0</v>
      </c>
      <c r="W124" s="1101">
        <f>IF($BG124=0,0,IF(SUM($S124:V124)&lt;($J124-12),12,$J124-SUM($S124:V124)))</f>
        <v>0</v>
      </c>
      <c r="Y124" s="1100"/>
      <c r="Z124" s="1100"/>
      <c r="AA124" s="1100">
        <v>0</v>
      </c>
      <c r="AB124" s="1101">
        <f>IF($BH124=0,0,IF(SUM($Y124:AA124)&lt;($J124-12),12,$J124-SUM($Y124:AA124)))</f>
        <v>0</v>
      </c>
      <c r="AC124" s="1101">
        <f>IF($BH124=0,0,IF(SUM($Y124:AB124)&lt;($J124-12),12,$J124-SUM($Y124:AB124)))</f>
        <v>0</v>
      </c>
      <c r="AE124" s="1100"/>
      <c r="AF124" s="1100"/>
      <c r="AG124" s="1100"/>
      <c r="AH124" s="1100">
        <v>0</v>
      </c>
      <c r="AI124" s="1101">
        <f>IF($BI124=0,0,IF(SUM($AE124:AH124)&lt;($J124-12),12,$J124-SUM($AE124:AH124)))</f>
        <v>0</v>
      </c>
      <c r="AK124" s="1100"/>
      <c r="AL124" s="1100"/>
      <c r="AM124" s="1100"/>
      <c r="AN124" s="1100"/>
      <c r="AO124" s="1100">
        <v>0</v>
      </c>
      <c r="AQ124" s="153">
        <f t="shared" si="11"/>
        <v>0.58332724822591464</v>
      </c>
      <c r="AR124" s="153">
        <f t="shared" si="12"/>
        <v>0</v>
      </c>
      <c r="AS124" s="153">
        <f t="shared" si="13"/>
        <v>0</v>
      </c>
      <c r="AT124" s="153">
        <f t="shared" si="14"/>
        <v>0</v>
      </c>
      <c r="AU124" s="153">
        <f t="shared" si="15"/>
        <v>0</v>
      </c>
      <c r="AW124" s="1543">
        <v>0.75</v>
      </c>
      <c r="AX124" s="1102"/>
      <c r="AY124" s="1544">
        <v>0.25</v>
      </c>
      <c r="BA124" s="1103">
        <v>0</v>
      </c>
      <c r="BB124" s="1103">
        <v>0</v>
      </c>
      <c r="BC124" s="1103">
        <v>0</v>
      </c>
      <c r="BD124" s="1103">
        <v>0</v>
      </c>
      <c r="BE124" s="1103">
        <v>0</v>
      </c>
      <c r="BF124" s="1103">
        <v>1.50641</v>
      </c>
      <c r="BG124" s="1103">
        <v>0</v>
      </c>
      <c r="BH124" s="1103">
        <v>0</v>
      </c>
      <c r="BI124" s="1103">
        <v>0</v>
      </c>
      <c r="BJ124" s="1103">
        <v>0</v>
      </c>
    </row>
    <row r="125" spans="2:62" hidden="1" outlineLevel="2">
      <c r="B125" s="1094"/>
      <c r="C125" s="1083" t="s">
        <v>358</v>
      </c>
      <c r="D125" s="1062" t="s">
        <v>263</v>
      </c>
      <c r="E125" s="1083" t="s">
        <v>359</v>
      </c>
      <c r="F125" s="1095">
        <v>2020</v>
      </c>
      <c r="G125" s="1096">
        <f t="shared" si="8"/>
        <v>0.69499999999999995</v>
      </c>
      <c r="H125" s="1083" t="s">
        <v>29</v>
      </c>
      <c r="I125" s="1097">
        <v>3</v>
      </c>
      <c r="J125" s="1098">
        <f t="shared" si="9"/>
        <v>36</v>
      </c>
      <c r="K125" s="153">
        <f t="shared" si="10"/>
        <v>0.33333333333333331</v>
      </c>
      <c r="L125" s="1099"/>
      <c r="M125" s="1100">
        <v>7.0010935251798552</v>
      </c>
      <c r="N125" s="1101">
        <f>IF($BF125=0,0,IF(SUM($M125:M125)&lt;($J125-12),12,$J125-SUM($M125:M125)))</f>
        <v>12</v>
      </c>
      <c r="O125" s="1101">
        <f>IF($BF125=0,0,IF(SUM($M125:N125)&lt;($J125-12),12,$J125-SUM($M125:N125)))</f>
        <v>12</v>
      </c>
      <c r="P125" s="1101">
        <f>IF($BF125=0,0,IF(SUM($M125:O125)&lt;($J125-12),12,$J125-SUM($M125:O125)))</f>
        <v>4.9989064748201457</v>
      </c>
      <c r="Q125" s="1101">
        <f>IF($BF125=0,0,IF(SUM($M125:P125)&lt;($J125-12),12,$J125-SUM($M125:P125)))</f>
        <v>0</v>
      </c>
      <c r="S125" s="1100"/>
      <c r="T125" s="1100">
        <v>0</v>
      </c>
      <c r="U125" s="1101">
        <f>IF($BG125=0,0,IF(SUM($S125:T125)&lt;($J125-12),12,$J125-SUM($S125:T125)))</f>
        <v>0</v>
      </c>
      <c r="V125" s="1101">
        <f>IF($BG125=0,0,IF(SUM($S125:U125)&lt;($J125-12),12,$J125-SUM($S125:U125)))</f>
        <v>0</v>
      </c>
      <c r="W125" s="1101">
        <f>IF($BG125=0,0,IF(SUM($S125:V125)&lt;($J125-12),12,$J125-SUM($S125:V125)))</f>
        <v>0</v>
      </c>
      <c r="Y125" s="1100"/>
      <c r="Z125" s="1100"/>
      <c r="AA125" s="1100">
        <v>0</v>
      </c>
      <c r="AB125" s="1101">
        <f>IF($BH125=0,0,IF(SUM($Y125:AA125)&lt;($J125-12),12,$J125-SUM($Y125:AA125)))</f>
        <v>0</v>
      </c>
      <c r="AC125" s="1101">
        <f>IF($BH125=0,0,IF(SUM($Y125:AB125)&lt;($J125-12),12,$J125-SUM($Y125:AB125)))</f>
        <v>0</v>
      </c>
      <c r="AE125" s="1100"/>
      <c r="AF125" s="1100"/>
      <c r="AG125" s="1100"/>
      <c r="AH125" s="1100">
        <v>0</v>
      </c>
      <c r="AI125" s="1101">
        <f>IF($BI125=0,0,IF(SUM($AE125:AH125)&lt;($J125-12),12,$J125-SUM($AE125:AH125)))</f>
        <v>0</v>
      </c>
      <c r="AK125" s="1100"/>
      <c r="AL125" s="1100"/>
      <c r="AM125" s="1100"/>
      <c r="AN125" s="1100"/>
      <c r="AO125" s="1100">
        <v>0</v>
      </c>
      <c r="AQ125" s="153">
        <f t="shared" si="11"/>
        <v>0.58342446043165463</v>
      </c>
      <c r="AR125" s="153">
        <f t="shared" si="12"/>
        <v>0</v>
      </c>
      <c r="AS125" s="153">
        <f t="shared" si="13"/>
        <v>0</v>
      </c>
      <c r="AT125" s="153">
        <f t="shared" si="14"/>
        <v>0</v>
      </c>
      <c r="AU125" s="153">
        <f t="shared" si="15"/>
        <v>0</v>
      </c>
      <c r="AW125" s="1543">
        <v>0.75</v>
      </c>
      <c r="AX125" s="1102"/>
      <c r="AY125" s="1544">
        <v>0.25</v>
      </c>
      <c r="BA125" s="1103">
        <v>0</v>
      </c>
      <c r="BB125" s="1103">
        <v>0</v>
      </c>
      <c r="BC125" s="1103">
        <v>0</v>
      </c>
      <c r="BD125" s="1103">
        <v>0</v>
      </c>
      <c r="BE125" s="1103">
        <v>0</v>
      </c>
      <c r="BF125" s="1103">
        <v>0.69499999999999995</v>
      </c>
      <c r="BG125" s="1103">
        <v>0</v>
      </c>
      <c r="BH125" s="1103">
        <v>0</v>
      </c>
      <c r="BI125" s="1103">
        <v>0</v>
      </c>
      <c r="BJ125" s="1103">
        <v>0</v>
      </c>
    </row>
    <row r="126" spans="2:62" hidden="1" outlineLevel="2">
      <c r="B126" s="1094"/>
      <c r="C126" s="1083" t="s">
        <v>360</v>
      </c>
      <c r="D126" s="1062" t="s">
        <v>263</v>
      </c>
      <c r="E126" s="1083" t="s">
        <v>361</v>
      </c>
      <c r="F126" s="1095">
        <v>2020</v>
      </c>
      <c r="G126" s="1096">
        <f t="shared" si="8"/>
        <v>0.6</v>
      </c>
      <c r="H126" s="1083" t="s">
        <v>29</v>
      </c>
      <c r="I126" s="1097">
        <v>3</v>
      </c>
      <c r="J126" s="1098">
        <f t="shared" si="9"/>
        <v>36</v>
      </c>
      <c r="K126" s="153">
        <f t="shared" si="10"/>
        <v>0.33333333333333331</v>
      </c>
      <c r="L126" s="1099"/>
      <c r="M126" s="1100">
        <v>12.002399999999998</v>
      </c>
      <c r="N126" s="1101">
        <f>IF($BF126=0,0,IF(SUM($M126:M126)&lt;($J126-12),12,$J126-SUM($M126:M126)))</f>
        <v>12</v>
      </c>
      <c r="O126" s="1101">
        <f>IF($BF126=0,0,IF(SUM($M126:N126)&lt;($J126-12),12,$J126-SUM($M126:N126)))</f>
        <v>11.997600000000002</v>
      </c>
      <c r="P126" s="1101">
        <f>IF($BF126=0,0,IF(SUM($M126:O126)&lt;($J126-12),12,$J126-SUM($M126:O126)))</f>
        <v>0</v>
      </c>
      <c r="Q126" s="1101">
        <f>IF($BF126=0,0,IF(SUM($M126:P126)&lt;($J126-12),12,$J126-SUM($M126:P126)))</f>
        <v>0</v>
      </c>
      <c r="S126" s="1100"/>
      <c r="T126" s="1100">
        <v>0</v>
      </c>
      <c r="U126" s="1101">
        <f>IF($BG126=0,0,IF(SUM($S126:T126)&lt;($J126-12),12,$J126-SUM($S126:T126)))</f>
        <v>0</v>
      </c>
      <c r="V126" s="1101">
        <f>IF($BG126=0,0,IF(SUM($S126:U126)&lt;($J126-12),12,$J126-SUM($S126:U126)))</f>
        <v>0</v>
      </c>
      <c r="W126" s="1101">
        <f>IF($BG126=0,0,IF(SUM($S126:V126)&lt;($J126-12),12,$J126-SUM($S126:V126)))</f>
        <v>0</v>
      </c>
      <c r="Y126" s="1100"/>
      <c r="Z126" s="1100"/>
      <c r="AA126" s="1100">
        <v>0</v>
      </c>
      <c r="AB126" s="1101">
        <f>IF($BH126=0,0,IF(SUM($Y126:AA126)&lt;($J126-12),12,$J126-SUM($Y126:AA126)))</f>
        <v>0</v>
      </c>
      <c r="AC126" s="1101">
        <f>IF($BH126=0,0,IF(SUM($Y126:AB126)&lt;($J126-12),12,$J126-SUM($Y126:AB126)))</f>
        <v>0</v>
      </c>
      <c r="AE126" s="1100"/>
      <c r="AF126" s="1100"/>
      <c r="AG126" s="1100"/>
      <c r="AH126" s="1100">
        <v>0</v>
      </c>
      <c r="AI126" s="1101">
        <f>IF($BI126=0,0,IF(SUM($AE126:AH126)&lt;($J126-12),12,$J126-SUM($AE126:AH126)))</f>
        <v>0</v>
      </c>
      <c r="AK126" s="1100"/>
      <c r="AL126" s="1100"/>
      <c r="AM126" s="1100"/>
      <c r="AN126" s="1100"/>
      <c r="AO126" s="1100">
        <v>0</v>
      </c>
      <c r="AQ126" s="153">
        <f t="shared" si="11"/>
        <v>1.0001999999999998</v>
      </c>
      <c r="AR126" s="153">
        <f t="shared" si="12"/>
        <v>0</v>
      </c>
      <c r="AS126" s="153">
        <f t="shared" si="13"/>
        <v>0</v>
      </c>
      <c r="AT126" s="153">
        <f t="shared" si="14"/>
        <v>0</v>
      </c>
      <c r="AU126" s="153">
        <f t="shared" si="15"/>
        <v>0</v>
      </c>
      <c r="AW126" s="1543">
        <v>0.75</v>
      </c>
      <c r="AX126" s="1102"/>
      <c r="AY126" s="1544">
        <v>0.25</v>
      </c>
      <c r="BA126" s="1103">
        <v>0</v>
      </c>
      <c r="BB126" s="1103">
        <v>0</v>
      </c>
      <c r="BC126" s="1103">
        <v>0</v>
      </c>
      <c r="BD126" s="1103">
        <v>0</v>
      </c>
      <c r="BE126" s="1103">
        <v>0</v>
      </c>
      <c r="BF126" s="1103">
        <v>0.6</v>
      </c>
      <c r="BG126" s="1103">
        <v>0</v>
      </c>
      <c r="BH126" s="1103">
        <v>0</v>
      </c>
      <c r="BI126" s="1103">
        <v>0</v>
      </c>
      <c r="BJ126" s="1103">
        <v>0</v>
      </c>
    </row>
    <row r="127" spans="2:62" hidden="1" outlineLevel="2">
      <c r="B127" s="1094"/>
      <c r="C127" s="1083" t="s">
        <v>362</v>
      </c>
      <c r="D127" s="1062" t="s">
        <v>263</v>
      </c>
      <c r="E127" s="1083" t="s">
        <v>363</v>
      </c>
      <c r="F127" s="1095">
        <v>2020</v>
      </c>
      <c r="G127" s="1096">
        <f t="shared" si="8"/>
        <v>0.60580000000000001</v>
      </c>
      <c r="H127" s="1083" t="s">
        <v>29</v>
      </c>
      <c r="I127" s="1097">
        <v>3</v>
      </c>
      <c r="J127" s="1098">
        <f t="shared" si="9"/>
        <v>36</v>
      </c>
      <c r="K127" s="153">
        <f t="shared" si="10"/>
        <v>0.33333333333333331</v>
      </c>
      <c r="L127" s="1099"/>
      <c r="M127" s="1100">
        <v>7.0009243974909223</v>
      </c>
      <c r="N127" s="1101">
        <f>IF($BF127=0,0,IF(SUM($M127:M127)&lt;($J127-12),12,$J127-SUM($M127:M127)))</f>
        <v>12</v>
      </c>
      <c r="O127" s="1101">
        <f>IF($BF127=0,0,IF(SUM($M127:N127)&lt;($J127-12),12,$J127-SUM($M127:N127)))</f>
        <v>12</v>
      </c>
      <c r="P127" s="1101">
        <f>IF($BF127=0,0,IF(SUM($M127:O127)&lt;($J127-12),12,$J127-SUM($M127:O127)))</f>
        <v>4.9990756025090768</v>
      </c>
      <c r="Q127" s="1101">
        <f>IF($BF127=0,0,IF(SUM($M127:P127)&lt;($J127-12),12,$J127-SUM($M127:P127)))</f>
        <v>0</v>
      </c>
      <c r="S127" s="1100"/>
      <c r="T127" s="1100">
        <v>0</v>
      </c>
      <c r="U127" s="1101">
        <f>IF($BG127=0,0,IF(SUM($S127:T127)&lt;($J127-12),12,$J127-SUM($S127:T127)))</f>
        <v>0</v>
      </c>
      <c r="V127" s="1101">
        <f>IF($BG127=0,0,IF(SUM($S127:U127)&lt;($J127-12),12,$J127-SUM($S127:U127)))</f>
        <v>0</v>
      </c>
      <c r="W127" s="1101">
        <f>IF($BG127=0,0,IF(SUM($S127:V127)&lt;($J127-12),12,$J127-SUM($S127:V127)))</f>
        <v>0</v>
      </c>
      <c r="Y127" s="1100"/>
      <c r="Z127" s="1100"/>
      <c r="AA127" s="1100">
        <v>0</v>
      </c>
      <c r="AB127" s="1101">
        <f>IF($BH127=0,0,IF(SUM($Y127:AA127)&lt;($J127-12),12,$J127-SUM($Y127:AA127)))</f>
        <v>0</v>
      </c>
      <c r="AC127" s="1101">
        <f>IF($BH127=0,0,IF(SUM($Y127:AB127)&lt;($J127-12),12,$J127-SUM($Y127:AB127)))</f>
        <v>0</v>
      </c>
      <c r="AE127" s="1100"/>
      <c r="AF127" s="1100"/>
      <c r="AG127" s="1100"/>
      <c r="AH127" s="1100">
        <v>0</v>
      </c>
      <c r="AI127" s="1101">
        <f>IF($BI127=0,0,IF(SUM($AE127:AH127)&lt;($J127-12),12,$J127-SUM($AE127:AH127)))</f>
        <v>0</v>
      </c>
      <c r="AK127" s="1100"/>
      <c r="AL127" s="1100"/>
      <c r="AM127" s="1100"/>
      <c r="AN127" s="1100"/>
      <c r="AO127" s="1100">
        <v>0</v>
      </c>
      <c r="AQ127" s="153">
        <f t="shared" si="11"/>
        <v>0.58341036645757682</v>
      </c>
      <c r="AR127" s="153">
        <f t="shared" si="12"/>
        <v>0</v>
      </c>
      <c r="AS127" s="153">
        <f t="shared" si="13"/>
        <v>0</v>
      </c>
      <c r="AT127" s="153">
        <f t="shared" si="14"/>
        <v>0</v>
      </c>
      <c r="AU127" s="153">
        <f t="shared" si="15"/>
        <v>0</v>
      </c>
      <c r="AW127" s="1543">
        <v>0.75</v>
      </c>
      <c r="AX127" s="1102"/>
      <c r="AY127" s="1544">
        <v>0.25</v>
      </c>
      <c r="BA127" s="1103">
        <v>0</v>
      </c>
      <c r="BB127" s="1103">
        <v>0</v>
      </c>
      <c r="BC127" s="1103">
        <v>0</v>
      </c>
      <c r="BD127" s="1103">
        <v>0</v>
      </c>
      <c r="BE127" s="1103">
        <v>0</v>
      </c>
      <c r="BF127" s="1103">
        <v>0.60580000000000001</v>
      </c>
      <c r="BG127" s="1103">
        <v>0</v>
      </c>
      <c r="BH127" s="1103">
        <v>0</v>
      </c>
      <c r="BI127" s="1103">
        <v>0</v>
      </c>
      <c r="BJ127" s="1103">
        <v>0</v>
      </c>
    </row>
    <row r="128" spans="2:62" hidden="1" outlineLevel="2">
      <c r="B128" s="1094"/>
      <c r="C128" s="1083" t="s">
        <v>364</v>
      </c>
      <c r="D128" s="1062" t="s">
        <v>263</v>
      </c>
      <c r="E128" s="1083" t="s">
        <v>365</v>
      </c>
      <c r="F128" s="1095">
        <v>2020</v>
      </c>
      <c r="G128" s="1096">
        <f t="shared" si="8"/>
        <v>0.60580000000000001</v>
      </c>
      <c r="H128" s="1083" t="s">
        <v>29</v>
      </c>
      <c r="I128" s="1097">
        <v>3</v>
      </c>
      <c r="J128" s="1098">
        <f t="shared" si="9"/>
        <v>36</v>
      </c>
      <c r="K128" s="153">
        <f t="shared" si="10"/>
        <v>0.33333333333333331</v>
      </c>
      <c r="L128" s="1099"/>
      <c r="M128" s="1100">
        <v>7.0009243974909223</v>
      </c>
      <c r="N128" s="1101">
        <f>IF($BF128=0,0,IF(SUM($M128:M128)&lt;($J128-12),12,$J128-SUM($M128:M128)))</f>
        <v>12</v>
      </c>
      <c r="O128" s="1101">
        <f>IF($BF128=0,0,IF(SUM($M128:N128)&lt;($J128-12),12,$J128-SUM($M128:N128)))</f>
        <v>12</v>
      </c>
      <c r="P128" s="1101">
        <f>IF($BF128=0,0,IF(SUM($M128:O128)&lt;($J128-12),12,$J128-SUM($M128:O128)))</f>
        <v>4.9990756025090768</v>
      </c>
      <c r="Q128" s="1101">
        <f>IF($BF128=0,0,IF(SUM($M128:P128)&lt;($J128-12),12,$J128-SUM($M128:P128)))</f>
        <v>0</v>
      </c>
      <c r="S128" s="1100"/>
      <c r="T128" s="1100">
        <v>0</v>
      </c>
      <c r="U128" s="1101">
        <f>IF($BG128=0,0,IF(SUM($S128:T128)&lt;($J128-12),12,$J128-SUM($S128:T128)))</f>
        <v>0</v>
      </c>
      <c r="V128" s="1101">
        <f>IF($BG128=0,0,IF(SUM($S128:U128)&lt;($J128-12),12,$J128-SUM($S128:U128)))</f>
        <v>0</v>
      </c>
      <c r="W128" s="1101">
        <f>IF($BG128=0,0,IF(SUM($S128:V128)&lt;($J128-12),12,$J128-SUM($S128:V128)))</f>
        <v>0</v>
      </c>
      <c r="Y128" s="1100"/>
      <c r="Z128" s="1100"/>
      <c r="AA128" s="1100">
        <v>0</v>
      </c>
      <c r="AB128" s="1101">
        <f>IF($BH128=0,0,IF(SUM($Y128:AA128)&lt;($J128-12),12,$J128-SUM($Y128:AA128)))</f>
        <v>0</v>
      </c>
      <c r="AC128" s="1101">
        <f>IF($BH128=0,0,IF(SUM($Y128:AB128)&lt;($J128-12),12,$J128-SUM($Y128:AB128)))</f>
        <v>0</v>
      </c>
      <c r="AE128" s="1100"/>
      <c r="AF128" s="1100"/>
      <c r="AG128" s="1100"/>
      <c r="AH128" s="1100">
        <v>0</v>
      </c>
      <c r="AI128" s="1101">
        <f>IF($BI128=0,0,IF(SUM($AE128:AH128)&lt;($J128-12),12,$J128-SUM($AE128:AH128)))</f>
        <v>0</v>
      </c>
      <c r="AK128" s="1100"/>
      <c r="AL128" s="1100"/>
      <c r="AM128" s="1100"/>
      <c r="AN128" s="1100"/>
      <c r="AO128" s="1100">
        <v>0</v>
      </c>
      <c r="AQ128" s="153">
        <f t="shared" si="11"/>
        <v>0.58341036645757682</v>
      </c>
      <c r="AR128" s="153">
        <f t="shared" si="12"/>
        <v>0</v>
      </c>
      <c r="AS128" s="153">
        <f t="shared" si="13"/>
        <v>0</v>
      </c>
      <c r="AT128" s="153">
        <f t="shared" si="14"/>
        <v>0</v>
      </c>
      <c r="AU128" s="153">
        <f t="shared" si="15"/>
        <v>0</v>
      </c>
      <c r="AW128" s="1543">
        <v>0.75</v>
      </c>
      <c r="AX128" s="1102"/>
      <c r="AY128" s="1544">
        <v>0.25</v>
      </c>
      <c r="BA128" s="1103">
        <v>0</v>
      </c>
      <c r="BB128" s="1103">
        <v>0</v>
      </c>
      <c r="BC128" s="1103">
        <v>0</v>
      </c>
      <c r="BD128" s="1103">
        <v>0</v>
      </c>
      <c r="BE128" s="1103">
        <v>0</v>
      </c>
      <c r="BF128" s="1103">
        <v>0.60580000000000001</v>
      </c>
      <c r="BG128" s="1103">
        <v>0</v>
      </c>
      <c r="BH128" s="1103">
        <v>0</v>
      </c>
      <c r="BI128" s="1103">
        <v>0</v>
      </c>
      <c r="BJ128" s="1103">
        <v>0</v>
      </c>
    </row>
    <row r="129" spans="2:62" hidden="1" outlineLevel="2">
      <c r="B129" s="1094"/>
      <c r="C129" s="1083" t="s">
        <v>366</v>
      </c>
      <c r="D129" s="1062" t="s">
        <v>263</v>
      </c>
      <c r="E129" s="1083" t="s">
        <v>367</v>
      </c>
      <c r="F129" s="1095">
        <v>2020</v>
      </c>
      <c r="G129" s="1096">
        <f t="shared" si="8"/>
        <v>0.60580000000000001</v>
      </c>
      <c r="H129" s="1083" t="s">
        <v>29</v>
      </c>
      <c r="I129" s="1097">
        <v>3</v>
      </c>
      <c r="J129" s="1098">
        <f t="shared" si="9"/>
        <v>36</v>
      </c>
      <c r="K129" s="153">
        <f t="shared" si="10"/>
        <v>0.33333333333333331</v>
      </c>
      <c r="L129" s="1099"/>
      <c r="M129" s="1100">
        <v>7.0009243974909223</v>
      </c>
      <c r="N129" s="1101">
        <f>IF($BF129=0,0,IF(SUM($M129:M129)&lt;($J129-12),12,$J129-SUM($M129:M129)))</f>
        <v>12</v>
      </c>
      <c r="O129" s="1101">
        <f>IF($BF129=0,0,IF(SUM($M129:N129)&lt;($J129-12),12,$J129-SUM($M129:N129)))</f>
        <v>12</v>
      </c>
      <c r="P129" s="1101">
        <f>IF($BF129=0,0,IF(SUM($M129:O129)&lt;($J129-12),12,$J129-SUM($M129:O129)))</f>
        <v>4.9990756025090768</v>
      </c>
      <c r="Q129" s="1101">
        <f>IF($BF129=0,0,IF(SUM($M129:P129)&lt;($J129-12),12,$J129-SUM($M129:P129)))</f>
        <v>0</v>
      </c>
      <c r="S129" s="1100"/>
      <c r="T129" s="1100">
        <v>0</v>
      </c>
      <c r="U129" s="1101">
        <f>IF($BG129=0,0,IF(SUM($S129:T129)&lt;($J129-12),12,$J129-SUM($S129:T129)))</f>
        <v>0</v>
      </c>
      <c r="V129" s="1101">
        <f>IF($BG129=0,0,IF(SUM($S129:U129)&lt;($J129-12),12,$J129-SUM($S129:U129)))</f>
        <v>0</v>
      </c>
      <c r="W129" s="1101">
        <f>IF($BG129=0,0,IF(SUM($S129:V129)&lt;($J129-12),12,$J129-SUM($S129:V129)))</f>
        <v>0</v>
      </c>
      <c r="Y129" s="1100"/>
      <c r="Z129" s="1100"/>
      <c r="AA129" s="1100">
        <v>0</v>
      </c>
      <c r="AB129" s="1101">
        <f>IF($BH129=0,0,IF(SUM($Y129:AA129)&lt;($J129-12),12,$J129-SUM($Y129:AA129)))</f>
        <v>0</v>
      </c>
      <c r="AC129" s="1101">
        <f>IF($BH129=0,0,IF(SUM($Y129:AB129)&lt;($J129-12),12,$J129-SUM($Y129:AB129)))</f>
        <v>0</v>
      </c>
      <c r="AE129" s="1100"/>
      <c r="AF129" s="1100"/>
      <c r="AG129" s="1100"/>
      <c r="AH129" s="1100">
        <v>0</v>
      </c>
      <c r="AI129" s="1101">
        <f>IF($BI129=0,0,IF(SUM($AE129:AH129)&lt;($J129-12),12,$J129-SUM($AE129:AH129)))</f>
        <v>0</v>
      </c>
      <c r="AK129" s="1100"/>
      <c r="AL129" s="1100"/>
      <c r="AM129" s="1100"/>
      <c r="AN129" s="1100"/>
      <c r="AO129" s="1100">
        <v>0</v>
      </c>
      <c r="AQ129" s="153">
        <f t="shared" si="11"/>
        <v>0.58341036645757682</v>
      </c>
      <c r="AR129" s="153">
        <f t="shared" si="12"/>
        <v>0</v>
      </c>
      <c r="AS129" s="153">
        <f t="shared" si="13"/>
        <v>0</v>
      </c>
      <c r="AT129" s="153">
        <f t="shared" si="14"/>
        <v>0</v>
      </c>
      <c r="AU129" s="153">
        <f t="shared" si="15"/>
        <v>0</v>
      </c>
      <c r="AW129" s="1543">
        <v>0.75</v>
      </c>
      <c r="AX129" s="1102"/>
      <c r="AY129" s="1544">
        <v>0.25</v>
      </c>
      <c r="BA129" s="1103">
        <v>0</v>
      </c>
      <c r="BB129" s="1103">
        <v>0</v>
      </c>
      <c r="BC129" s="1103">
        <v>0</v>
      </c>
      <c r="BD129" s="1103">
        <v>0</v>
      </c>
      <c r="BE129" s="1103">
        <v>0</v>
      </c>
      <c r="BF129" s="1103">
        <v>0.60580000000000001</v>
      </c>
      <c r="BG129" s="1103">
        <v>0</v>
      </c>
      <c r="BH129" s="1103">
        <v>0</v>
      </c>
      <c r="BI129" s="1103">
        <v>0</v>
      </c>
      <c r="BJ129" s="1103">
        <v>0</v>
      </c>
    </row>
    <row r="130" spans="2:62" hidden="1" outlineLevel="2">
      <c r="B130" s="1094"/>
      <c r="C130" s="1083" t="s">
        <v>368</v>
      </c>
      <c r="D130" s="1062" t="s">
        <v>263</v>
      </c>
      <c r="E130" s="1083" t="s">
        <v>369</v>
      </c>
      <c r="F130" s="1095">
        <v>2020</v>
      </c>
      <c r="G130" s="1096">
        <f t="shared" si="8"/>
        <v>0.69499999999999995</v>
      </c>
      <c r="H130" s="1083" t="s">
        <v>29</v>
      </c>
      <c r="I130" s="1097">
        <v>3</v>
      </c>
      <c r="J130" s="1098">
        <f t="shared" si="9"/>
        <v>36</v>
      </c>
      <c r="K130" s="153">
        <f t="shared" si="10"/>
        <v>0.33333333333333331</v>
      </c>
      <c r="L130" s="1099"/>
      <c r="M130" s="1100">
        <v>7.0010935251798552</v>
      </c>
      <c r="N130" s="1101">
        <f>IF($BF130=0,0,IF(SUM($M130:M130)&lt;($J130-12),12,$J130-SUM($M130:M130)))</f>
        <v>12</v>
      </c>
      <c r="O130" s="1101">
        <f>IF($BF130=0,0,IF(SUM($M130:N130)&lt;($J130-12),12,$J130-SUM($M130:N130)))</f>
        <v>12</v>
      </c>
      <c r="P130" s="1101">
        <f>IF($BF130=0,0,IF(SUM($M130:O130)&lt;($J130-12),12,$J130-SUM($M130:O130)))</f>
        <v>4.9989064748201457</v>
      </c>
      <c r="Q130" s="1101">
        <f>IF($BF130=0,0,IF(SUM($M130:P130)&lt;($J130-12),12,$J130-SUM($M130:P130)))</f>
        <v>0</v>
      </c>
      <c r="S130" s="1100"/>
      <c r="T130" s="1100">
        <v>0</v>
      </c>
      <c r="U130" s="1101">
        <f>IF($BG130=0,0,IF(SUM($S130:T130)&lt;($J130-12),12,$J130-SUM($S130:T130)))</f>
        <v>0</v>
      </c>
      <c r="V130" s="1101">
        <f>IF($BG130=0,0,IF(SUM($S130:U130)&lt;($J130-12),12,$J130-SUM($S130:U130)))</f>
        <v>0</v>
      </c>
      <c r="W130" s="1101">
        <f>IF($BG130=0,0,IF(SUM($S130:V130)&lt;($J130-12),12,$J130-SUM($S130:V130)))</f>
        <v>0</v>
      </c>
      <c r="Y130" s="1100"/>
      <c r="Z130" s="1100"/>
      <c r="AA130" s="1100">
        <v>0</v>
      </c>
      <c r="AB130" s="1101">
        <f>IF($BH130=0,0,IF(SUM($Y130:AA130)&lt;($J130-12),12,$J130-SUM($Y130:AA130)))</f>
        <v>0</v>
      </c>
      <c r="AC130" s="1101">
        <f>IF($BH130=0,0,IF(SUM($Y130:AB130)&lt;($J130-12),12,$J130-SUM($Y130:AB130)))</f>
        <v>0</v>
      </c>
      <c r="AE130" s="1100"/>
      <c r="AF130" s="1100"/>
      <c r="AG130" s="1100"/>
      <c r="AH130" s="1100">
        <v>0</v>
      </c>
      <c r="AI130" s="1101">
        <f>IF($BI130=0,0,IF(SUM($AE130:AH130)&lt;($J130-12),12,$J130-SUM($AE130:AH130)))</f>
        <v>0</v>
      </c>
      <c r="AK130" s="1100"/>
      <c r="AL130" s="1100"/>
      <c r="AM130" s="1100"/>
      <c r="AN130" s="1100"/>
      <c r="AO130" s="1100">
        <v>0</v>
      </c>
      <c r="AQ130" s="153">
        <f t="shared" si="11"/>
        <v>0.58342446043165463</v>
      </c>
      <c r="AR130" s="153">
        <f t="shared" si="12"/>
        <v>0</v>
      </c>
      <c r="AS130" s="153">
        <f t="shared" si="13"/>
        <v>0</v>
      </c>
      <c r="AT130" s="153">
        <f t="shared" si="14"/>
        <v>0</v>
      </c>
      <c r="AU130" s="153">
        <f t="shared" si="15"/>
        <v>0</v>
      </c>
      <c r="AW130" s="1543">
        <v>0.75</v>
      </c>
      <c r="AX130" s="1102"/>
      <c r="AY130" s="1544">
        <v>0.25</v>
      </c>
      <c r="BA130" s="1103">
        <v>0</v>
      </c>
      <c r="BB130" s="1103">
        <v>0</v>
      </c>
      <c r="BC130" s="1103">
        <v>0</v>
      </c>
      <c r="BD130" s="1103">
        <v>0</v>
      </c>
      <c r="BE130" s="1103">
        <v>0</v>
      </c>
      <c r="BF130" s="1103">
        <v>0.69499999999999995</v>
      </c>
      <c r="BG130" s="1103">
        <v>0</v>
      </c>
      <c r="BH130" s="1103">
        <v>0</v>
      </c>
      <c r="BI130" s="1103">
        <v>0</v>
      </c>
      <c r="BJ130" s="1103">
        <v>0</v>
      </c>
    </row>
    <row r="131" spans="2:62" hidden="1" outlineLevel="2">
      <c r="B131" s="1094"/>
      <c r="C131" s="1083" t="s">
        <v>370</v>
      </c>
      <c r="D131" s="1062" t="s">
        <v>263</v>
      </c>
      <c r="E131" s="1083" t="s">
        <v>371</v>
      </c>
      <c r="F131" s="1095">
        <v>2020</v>
      </c>
      <c r="G131" s="1096">
        <f t="shared" si="8"/>
        <v>0.69499999999999995</v>
      </c>
      <c r="H131" s="1083" t="s">
        <v>29</v>
      </c>
      <c r="I131" s="1097">
        <v>3</v>
      </c>
      <c r="J131" s="1098">
        <f t="shared" si="9"/>
        <v>36</v>
      </c>
      <c r="K131" s="153">
        <f t="shared" si="10"/>
        <v>0.33333333333333331</v>
      </c>
      <c r="L131" s="1099"/>
      <c r="M131" s="1100">
        <v>7.0010935251798552</v>
      </c>
      <c r="N131" s="1101">
        <f>IF($BF131=0,0,IF(SUM($M131:M131)&lt;($J131-12),12,$J131-SUM($M131:M131)))</f>
        <v>12</v>
      </c>
      <c r="O131" s="1101">
        <f>IF($BF131=0,0,IF(SUM($M131:N131)&lt;($J131-12),12,$J131-SUM($M131:N131)))</f>
        <v>12</v>
      </c>
      <c r="P131" s="1101">
        <f>IF($BF131=0,0,IF(SUM($M131:O131)&lt;($J131-12),12,$J131-SUM($M131:O131)))</f>
        <v>4.9989064748201457</v>
      </c>
      <c r="Q131" s="1101">
        <f>IF($BF131=0,0,IF(SUM($M131:P131)&lt;($J131-12),12,$J131-SUM($M131:P131)))</f>
        <v>0</v>
      </c>
      <c r="S131" s="1100"/>
      <c r="T131" s="1100">
        <v>0</v>
      </c>
      <c r="U131" s="1101">
        <f>IF($BG131=0,0,IF(SUM($S131:T131)&lt;($J131-12),12,$J131-SUM($S131:T131)))</f>
        <v>0</v>
      </c>
      <c r="V131" s="1101">
        <f>IF($BG131=0,0,IF(SUM($S131:U131)&lt;($J131-12),12,$J131-SUM($S131:U131)))</f>
        <v>0</v>
      </c>
      <c r="W131" s="1101">
        <f>IF($BG131=0,0,IF(SUM($S131:V131)&lt;($J131-12),12,$J131-SUM($S131:V131)))</f>
        <v>0</v>
      </c>
      <c r="Y131" s="1100"/>
      <c r="Z131" s="1100"/>
      <c r="AA131" s="1100">
        <v>0</v>
      </c>
      <c r="AB131" s="1101">
        <f>IF($BH131=0,0,IF(SUM($Y131:AA131)&lt;($J131-12),12,$J131-SUM($Y131:AA131)))</f>
        <v>0</v>
      </c>
      <c r="AC131" s="1101">
        <f>IF($BH131=0,0,IF(SUM($Y131:AB131)&lt;($J131-12),12,$J131-SUM($Y131:AB131)))</f>
        <v>0</v>
      </c>
      <c r="AE131" s="1100"/>
      <c r="AF131" s="1100"/>
      <c r="AG131" s="1100"/>
      <c r="AH131" s="1100">
        <v>0</v>
      </c>
      <c r="AI131" s="1101">
        <f>IF($BI131=0,0,IF(SUM($AE131:AH131)&lt;($J131-12),12,$J131-SUM($AE131:AH131)))</f>
        <v>0</v>
      </c>
      <c r="AK131" s="1100"/>
      <c r="AL131" s="1100"/>
      <c r="AM131" s="1100"/>
      <c r="AN131" s="1100"/>
      <c r="AO131" s="1100">
        <v>0</v>
      </c>
      <c r="AQ131" s="153">
        <f t="shared" si="11"/>
        <v>0.58342446043165463</v>
      </c>
      <c r="AR131" s="153">
        <f t="shared" si="12"/>
        <v>0</v>
      </c>
      <c r="AS131" s="153">
        <f t="shared" si="13"/>
        <v>0</v>
      </c>
      <c r="AT131" s="153">
        <f t="shared" si="14"/>
        <v>0</v>
      </c>
      <c r="AU131" s="153">
        <f t="shared" si="15"/>
        <v>0</v>
      </c>
      <c r="AW131" s="1543">
        <v>0.75</v>
      </c>
      <c r="AX131" s="1102"/>
      <c r="AY131" s="1544">
        <v>0.25</v>
      </c>
      <c r="BA131" s="1103">
        <v>0</v>
      </c>
      <c r="BB131" s="1103">
        <v>0</v>
      </c>
      <c r="BC131" s="1103">
        <v>0</v>
      </c>
      <c r="BD131" s="1103">
        <v>0</v>
      </c>
      <c r="BE131" s="1103">
        <v>0</v>
      </c>
      <c r="BF131" s="1103">
        <v>0.69499999999999995</v>
      </c>
      <c r="BG131" s="1103">
        <v>0</v>
      </c>
      <c r="BH131" s="1103">
        <v>0</v>
      </c>
      <c r="BI131" s="1103">
        <v>0</v>
      </c>
      <c r="BJ131" s="1103">
        <v>0</v>
      </c>
    </row>
    <row r="132" spans="2:62" hidden="1" outlineLevel="2">
      <c r="B132" s="1094"/>
      <c r="C132" s="1083" t="s">
        <v>372</v>
      </c>
      <c r="D132" s="1062" t="s">
        <v>263</v>
      </c>
      <c r="E132" s="1083" t="s">
        <v>373</v>
      </c>
      <c r="F132" s="1095">
        <v>2020</v>
      </c>
      <c r="G132" s="1096">
        <f t="shared" si="8"/>
        <v>0.6</v>
      </c>
      <c r="H132" s="1083" t="s">
        <v>29</v>
      </c>
      <c r="I132" s="1097">
        <v>3</v>
      </c>
      <c r="J132" s="1098">
        <f t="shared" si="9"/>
        <v>36</v>
      </c>
      <c r="K132" s="153">
        <f t="shared" si="10"/>
        <v>0.33333333333333331</v>
      </c>
      <c r="L132" s="1099"/>
      <c r="M132" s="1100">
        <v>12.002399999999998</v>
      </c>
      <c r="N132" s="1101">
        <f>IF($BF132=0,0,IF(SUM($M132:M132)&lt;($J132-12),12,$J132-SUM($M132:M132)))</f>
        <v>12</v>
      </c>
      <c r="O132" s="1101">
        <f>IF($BF132=0,0,IF(SUM($M132:N132)&lt;($J132-12),12,$J132-SUM($M132:N132)))</f>
        <v>11.997600000000002</v>
      </c>
      <c r="P132" s="1101">
        <f>IF($BF132=0,0,IF(SUM($M132:O132)&lt;($J132-12),12,$J132-SUM($M132:O132)))</f>
        <v>0</v>
      </c>
      <c r="Q132" s="1101">
        <f>IF($BF132=0,0,IF(SUM($M132:P132)&lt;($J132-12),12,$J132-SUM($M132:P132)))</f>
        <v>0</v>
      </c>
      <c r="S132" s="1100"/>
      <c r="T132" s="1100">
        <v>0</v>
      </c>
      <c r="U132" s="1101">
        <f>IF($BG132=0,0,IF(SUM($S132:T132)&lt;($J132-12),12,$J132-SUM($S132:T132)))</f>
        <v>0</v>
      </c>
      <c r="V132" s="1101">
        <f>IF($BG132=0,0,IF(SUM($S132:U132)&lt;($J132-12),12,$J132-SUM($S132:U132)))</f>
        <v>0</v>
      </c>
      <c r="W132" s="1101">
        <f>IF($BG132=0,0,IF(SUM($S132:V132)&lt;($J132-12),12,$J132-SUM($S132:V132)))</f>
        <v>0</v>
      </c>
      <c r="Y132" s="1100"/>
      <c r="Z132" s="1100"/>
      <c r="AA132" s="1100">
        <v>0</v>
      </c>
      <c r="AB132" s="1101">
        <f>IF($BH132=0,0,IF(SUM($Y132:AA132)&lt;($J132-12),12,$J132-SUM($Y132:AA132)))</f>
        <v>0</v>
      </c>
      <c r="AC132" s="1101">
        <f>IF($BH132=0,0,IF(SUM($Y132:AB132)&lt;($J132-12),12,$J132-SUM($Y132:AB132)))</f>
        <v>0</v>
      </c>
      <c r="AE132" s="1100"/>
      <c r="AF132" s="1100"/>
      <c r="AG132" s="1100"/>
      <c r="AH132" s="1100">
        <v>0</v>
      </c>
      <c r="AI132" s="1101">
        <f>IF($BI132=0,0,IF(SUM($AE132:AH132)&lt;($J132-12),12,$J132-SUM($AE132:AH132)))</f>
        <v>0</v>
      </c>
      <c r="AK132" s="1100"/>
      <c r="AL132" s="1100"/>
      <c r="AM132" s="1100"/>
      <c r="AN132" s="1100"/>
      <c r="AO132" s="1100">
        <v>0</v>
      </c>
      <c r="AQ132" s="153">
        <f t="shared" si="11"/>
        <v>1.0001999999999998</v>
      </c>
      <c r="AR132" s="153">
        <f t="shared" si="12"/>
        <v>0</v>
      </c>
      <c r="AS132" s="153">
        <f t="shared" si="13"/>
        <v>0</v>
      </c>
      <c r="AT132" s="153">
        <f t="shared" si="14"/>
        <v>0</v>
      </c>
      <c r="AU132" s="153">
        <f t="shared" si="15"/>
        <v>0</v>
      </c>
      <c r="AW132" s="1543">
        <v>0.75</v>
      </c>
      <c r="AX132" s="1102"/>
      <c r="AY132" s="1544">
        <v>0.25</v>
      </c>
      <c r="BA132" s="1103">
        <v>0</v>
      </c>
      <c r="BB132" s="1103">
        <v>0</v>
      </c>
      <c r="BC132" s="1103">
        <v>0</v>
      </c>
      <c r="BD132" s="1103">
        <v>0</v>
      </c>
      <c r="BE132" s="1103">
        <v>0</v>
      </c>
      <c r="BF132" s="1103">
        <v>0.6</v>
      </c>
      <c r="BG132" s="1103">
        <v>0</v>
      </c>
      <c r="BH132" s="1103">
        <v>0</v>
      </c>
      <c r="BI132" s="1103">
        <v>0</v>
      </c>
      <c r="BJ132" s="1103">
        <v>0</v>
      </c>
    </row>
    <row r="133" spans="2:62" hidden="1" outlineLevel="2">
      <c r="B133" s="1094"/>
      <c r="C133" s="1083" t="s">
        <v>374</v>
      </c>
      <c r="D133" s="1062" t="s">
        <v>263</v>
      </c>
      <c r="E133" s="1083" t="s">
        <v>375</v>
      </c>
      <c r="F133" s="1095">
        <v>2020</v>
      </c>
      <c r="G133" s="1096">
        <f t="shared" si="8"/>
        <v>2.6737600000000001</v>
      </c>
      <c r="H133" s="1083" t="s">
        <v>29</v>
      </c>
      <c r="I133" s="1097">
        <v>3</v>
      </c>
      <c r="J133" s="1098">
        <f t="shared" si="9"/>
        <v>36</v>
      </c>
      <c r="K133" s="153">
        <f t="shared" si="10"/>
        <v>0.33333333333333331</v>
      </c>
      <c r="L133" s="1099"/>
      <c r="M133" s="1100">
        <v>0.99998503979414755</v>
      </c>
      <c r="N133" s="1101">
        <f>IF($BF133=0,0,IF(SUM($M133:M133)&lt;($J133-12),12,$J133-SUM($M133:M133)))</f>
        <v>12</v>
      </c>
      <c r="O133" s="1101">
        <f>IF($BF133=0,0,IF(SUM($M133:N133)&lt;($J133-12),12,$J133-SUM($M133:N133)))</f>
        <v>12</v>
      </c>
      <c r="P133" s="1101">
        <f>IF($BF133=0,0,IF(SUM($M133:O133)&lt;($J133-12),12,$J133-SUM($M133:O133)))</f>
        <v>11.000014960205853</v>
      </c>
      <c r="Q133" s="1101">
        <f>IF($BF133=0,0,IF(SUM($M133:P133)&lt;($J133-12),12,$J133-SUM($M133:P133)))</f>
        <v>0</v>
      </c>
      <c r="S133" s="1100"/>
      <c r="T133" s="1100">
        <v>0</v>
      </c>
      <c r="U133" s="1101">
        <f>IF($BG133=0,0,IF(SUM($S133:T133)&lt;($J133-12),12,$J133-SUM($S133:T133)))</f>
        <v>0</v>
      </c>
      <c r="V133" s="1101">
        <f>IF($BG133=0,0,IF(SUM($S133:U133)&lt;($J133-12),12,$J133-SUM($S133:U133)))</f>
        <v>0</v>
      </c>
      <c r="W133" s="1101">
        <f>IF($BG133=0,0,IF(SUM($S133:V133)&lt;($J133-12),12,$J133-SUM($S133:V133)))</f>
        <v>0</v>
      </c>
      <c r="Y133" s="1100"/>
      <c r="Z133" s="1100"/>
      <c r="AA133" s="1100">
        <v>0</v>
      </c>
      <c r="AB133" s="1101">
        <f>IF($BH133=0,0,IF(SUM($Y133:AA133)&lt;($J133-12),12,$J133-SUM($Y133:AA133)))</f>
        <v>0</v>
      </c>
      <c r="AC133" s="1101">
        <f>IF($BH133=0,0,IF(SUM($Y133:AB133)&lt;($J133-12),12,$J133-SUM($Y133:AB133)))</f>
        <v>0</v>
      </c>
      <c r="AE133" s="1100"/>
      <c r="AF133" s="1100"/>
      <c r="AG133" s="1100"/>
      <c r="AH133" s="1100">
        <v>0</v>
      </c>
      <c r="AI133" s="1101">
        <f>IF($BI133=0,0,IF(SUM($AE133:AH133)&lt;($J133-12),12,$J133-SUM($AE133:AH133)))</f>
        <v>0</v>
      </c>
      <c r="AK133" s="1100"/>
      <c r="AL133" s="1100"/>
      <c r="AM133" s="1100"/>
      <c r="AN133" s="1100"/>
      <c r="AO133" s="1100">
        <v>0</v>
      </c>
      <c r="AQ133" s="153">
        <f t="shared" si="11"/>
        <v>8.3332086649512291E-2</v>
      </c>
      <c r="AR133" s="153">
        <f t="shared" si="12"/>
        <v>0</v>
      </c>
      <c r="AS133" s="153">
        <f t="shared" si="13"/>
        <v>0</v>
      </c>
      <c r="AT133" s="153">
        <f t="shared" si="14"/>
        <v>0</v>
      </c>
      <c r="AU133" s="153">
        <f t="shared" si="15"/>
        <v>0</v>
      </c>
      <c r="AW133" s="1543">
        <v>0.75</v>
      </c>
      <c r="AX133" s="1102"/>
      <c r="AY133" s="1544">
        <v>0.25</v>
      </c>
      <c r="BA133" s="1103">
        <v>0</v>
      </c>
      <c r="BB133" s="1103">
        <v>0</v>
      </c>
      <c r="BC133" s="1103">
        <v>0</v>
      </c>
      <c r="BD133" s="1103">
        <v>0</v>
      </c>
      <c r="BE133" s="1103">
        <v>0</v>
      </c>
      <c r="BF133" s="1103">
        <v>2.6737600000000001</v>
      </c>
      <c r="BG133" s="1103">
        <v>0</v>
      </c>
      <c r="BH133" s="1103">
        <v>0</v>
      </c>
      <c r="BI133" s="1103">
        <v>0</v>
      </c>
      <c r="BJ133" s="1103">
        <v>0</v>
      </c>
    </row>
    <row r="134" spans="2:62" hidden="1" outlineLevel="2">
      <c r="B134" s="1094"/>
      <c r="C134" s="1083" t="s">
        <v>376</v>
      </c>
      <c r="D134" s="1062" t="s">
        <v>263</v>
      </c>
      <c r="E134" s="1083" t="s">
        <v>377</v>
      </c>
      <c r="F134" s="1095">
        <v>2020</v>
      </c>
      <c r="G134" s="1096">
        <f t="shared" si="8"/>
        <v>4.6500000000000004</v>
      </c>
      <c r="H134" s="1083" t="s">
        <v>29</v>
      </c>
      <c r="I134" s="1097">
        <v>3</v>
      </c>
      <c r="J134" s="1098">
        <f t="shared" si="9"/>
        <v>36</v>
      </c>
      <c r="K134" s="153">
        <f t="shared" si="10"/>
        <v>0.33333333333333331</v>
      </c>
      <c r="L134" s="1099"/>
      <c r="M134" s="1100">
        <v>3.000077419354839</v>
      </c>
      <c r="N134" s="1101">
        <f>IF($BF134=0,0,IF(SUM($M134:M134)&lt;($J134-12),12,$J134-SUM($M134:M134)))</f>
        <v>12</v>
      </c>
      <c r="O134" s="1101">
        <f>IF($BF134=0,0,IF(SUM($M134:N134)&lt;($J134-12),12,$J134-SUM($M134:N134)))</f>
        <v>12</v>
      </c>
      <c r="P134" s="1101">
        <f>IF($BF134=0,0,IF(SUM($M134:O134)&lt;($J134-12),12,$J134-SUM($M134:O134)))</f>
        <v>8.9999225806451619</v>
      </c>
      <c r="Q134" s="1101">
        <f>IF($BF134=0,0,IF(SUM($M134:P134)&lt;($J134-12),12,$J134-SUM($M134:P134)))</f>
        <v>0</v>
      </c>
      <c r="S134" s="1100"/>
      <c r="T134" s="1100">
        <v>0</v>
      </c>
      <c r="U134" s="1101">
        <f>IF($BG134=0,0,IF(SUM($S134:T134)&lt;($J134-12),12,$J134-SUM($S134:T134)))</f>
        <v>0</v>
      </c>
      <c r="V134" s="1101">
        <f>IF($BG134=0,0,IF(SUM($S134:U134)&lt;($J134-12),12,$J134-SUM($S134:U134)))</f>
        <v>0</v>
      </c>
      <c r="W134" s="1101">
        <f>IF($BG134=0,0,IF(SUM($S134:V134)&lt;($J134-12),12,$J134-SUM($S134:V134)))</f>
        <v>0</v>
      </c>
      <c r="Y134" s="1100"/>
      <c r="Z134" s="1100"/>
      <c r="AA134" s="1100">
        <v>0</v>
      </c>
      <c r="AB134" s="1101">
        <f>IF($BH134=0,0,IF(SUM($Y134:AA134)&lt;($J134-12),12,$J134-SUM($Y134:AA134)))</f>
        <v>0</v>
      </c>
      <c r="AC134" s="1101">
        <f>IF($BH134=0,0,IF(SUM($Y134:AB134)&lt;($J134-12),12,$J134-SUM($Y134:AB134)))</f>
        <v>0</v>
      </c>
      <c r="AE134" s="1100"/>
      <c r="AF134" s="1100"/>
      <c r="AG134" s="1100"/>
      <c r="AH134" s="1100">
        <v>0</v>
      </c>
      <c r="AI134" s="1101">
        <f>IF($BI134=0,0,IF(SUM($AE134:AH134)&lt;($J134-12),12,$J134-SUM($AE134:AH134)))</f>
        <v>0</v>
      </c>
      <c r="AK134" s="1100"/>
      <c r="AL134" s="1100"/>
      <c r="AM134" s="1100"/>
      <c r="AN134" s="1100"/>
      <c r="AO134" s="1100">
        <v>0</v>
      </c>
      <c r="AQ134" s="153">
        <f t="shared" si="11"/>
        <v>0.25000645161290325</v>
      </c>
      <c r="AR134" s="153">
        <f t="shared" si="12"/>
        <v>0</v>
      </c>
      <c r="AS134" s="153">
        <f t="shared" si="13"/>
        <v>0</v>
      </c>
      <c r="AT134" s="153">
        <f t="shared" si="14"/>
        <v>0</v>
      </c>
      <c r="AU134" s="153">
        <f t="shared" si="15"/>
        <v>0</v>
      </c>
      <c r="AW134" s="1543">
        <v>0.75</v>
      </c>
      <c r="AX134" s="1102"/>
      <c r="AY134" s="1544">
        <v>0.25</v>
      </c>
      <c r="BA134" s="1103">
        <v>0</v>
      </c>
      <c r="BB134" s="1103">
        <v>0</v>
      </c>
      <c r="BC134" s="1103">
        <v>0</v>
      </c>
      <c r="BD134" s="1103">
        <v>0</v>
      </c>
      <c r="BE134" s="1103">
        <v>0</v>
      </c>
      <c r="BF134" s="1103">
        <v>4.6500000000000004</v>
      </c>
      <c r="BG134" s="1103">
        <v>0</v>
      </c>
      <c r="BH134" s="1103">
        <v>0</v>
      </c>
      <c r="BI134" s="1103">
        <v>0</v>
      </c>
      <c r="BJ134" s="1103">
        <v>0</v>
      </c>
    </row>
    <row r="135" spans="2:62" hidden="1" outlineLevel="2">
      <c r="B135" s="1094"/>
      <c r="C135" s="1083" t="s">
        <v>378</v>
      </c>
      <c r="D135" s="1062" t="s">
        <v>263</v>
      </c>
      <c r="E135" s="1083" t="s">
        <v>379</v>
      </c>
      <c r="F135" s="1095">
        <v>2020</v>
      </c>
      <c r="G135" s="1096">
        <f t="shared" si="8"/>
        <v>0.90061000000000002</v>
      </c>
      <c r="H135" s="1083" t="s">
        <v>29</v>
      </c>
      <c r="I135" s="1097">
        <v>3.0833333333333335</v>
      </c>
      <c r="J135" s="1098">
        <f t="shared" si="9"/>
        <v>37</v>
      </c>
      <c r="K135" s="153">
        <f t="shared" si="10"/>
        <v>0.32432432432432429</v>
      </c>
      <c r="L135" s="1099"/>
      <c r="M135" s="1100">
        <v>7.1953231698515445</v>
      </c>
      <c r="N135" s="1101">
        <f>IF($BF135=0,0,IF(SUM($M135:M135)&lt;($J135-12),12,$J135-SUM($M135:M135)))</f>
        <v>12</v>
      </c>
      <c r="O135" s="1101">
        <f>IF($BF135=0,0,IF(SUM($M135:N135)&lt;($J135-12),12,$J135-SUM($M135:N135)))</f>
        <v>12</v>
      </c>
      <c r="P135" s="1101">
        <f>IF($BF135=0,0,IF(SUM($M135:O135)&lt;($J135-12),12,$J135-SUM($M135:O135)))</f>
        <v>5.8046768301484555</v>
      </c>
      <c r="Q135" s="1101">
        <f>IF($BF135=0,0,IF(SUM($M135:P135)&lt;($J135-12),12,$J135-SUM($M135:P135)))</f>
        <v>0</v>
      </c>
      <c r="S135" s="1100"/>
      <c r="T135" s="1100">
        <v>0</v>
      </c>
      <c r="U135" s="1101">
        <f>IF($BG135=0,0,IF(SUM($S135:T135)&lt;($J135-12),12,$J135-SUM($S135:T135)))</f>
        <v>0</v>
      </c>
      <c r="V135" s="1101">
        <f>IF($BG135=0,0,IF(SUM($S135:U135)&lt;($J135-12),12,$J135-SUM($S135:U135)))</f>
        <v>0</v>
      </c>
      <c r="W135" s="1101">
        <f>IF($BG135=0,0,IF(SUM($S135:V135)&lt;($J135-12),12,$J135-SUM($S135:V135)))</f>
        <v>0</v>
      </c>
      <c r="Y135" s="1100"/>
      <c r="Z135" s="1100"/>
      <c r="AA135" s="1100">
        <v>0</v>
      </c>
      <c r="AB135" s="1101">
        <f>IF($BH135=0,0,IF(SUM($Y135:AA135)&lt;($J135-12),12,$J135-SUM($Y135:AA135)))</f>
        <v>0</v>
      </c>
      <c r="AC135" s="1101">
        <f>IF($BH135=0,0,IF(SUM($Y135:AB135)&lt;($J135-12),12,$J135-SUM($Y135:AB135)))</f>
        <v>0</v>
      </c>
      <c r="AE135" s="1100"/>
      <c r="AF135" s="1100"/>
      <c r="AG135" s="1100"/>
      <c r="AH135" s="1100">
        <v>0</v>
      </c>
      <c r="AI135" s="1101">
        <f>IF($BI135=0,0,IF(SUM($AE135:AH135)&lt;($J135-12),12,$J135-SUM($AE135:AH135)))</f>
        <v>0</v>
      </c>
      <c r="AK135" s="1100"/>
      <c r="AL135" s="1100"/>
      <c r="AM135" s="1100"/>
      <c r="AN135" s="1100"/>
      <c r="AO135" s="1100">
        <v>0</v>
      </c>
      <c r="AQ135" s="153">
        <f t="shared" si="11"/>
        <v>0.59961026415429541</v>
      </c>
      <c r="AR135" s="153">
        <f t="shared" si="12"/>
        <v>0</v>
      </c>
      <c r="AS135" s="153">
        <f t="shared" si="13"/>
        <v>0</v>
      </c>
      <c r="AT135" s="153">
        <f t="shared" si="14"/>
        <v>0</v>
      </c>
      <c r="AU135" s="153">
        <f t="shared" si="15"/>
        <v>0</v>
      </c>
      <c r="AW135" s="1543">
        <v>0.5</v>
      </c>
      <c r="AX135" s="1102"/>
      <c r="AY135" s="1544">
        <v>0.5</v>
      </c>
      <c r="BA135" s="1103">
        <v>0</v>
      </c>
      <c r="BB135" s="1103">
        <v>0</v>
      </c>
      <c r="BC135" s="1103">
        <v>0</v>
      </c>
      <c r="BD135" s="1103">
        <v>0</v>
      </c>
      <c r="BE135" s="1103">
        <v>0</v>
      </c>
      <c r="BF135" s="1103">
        <v>0.90061000000000002</v>
      </c>
      <c r="BG135" s="1103">
        <v>0</v>
      </c>
      <c r="BH135" s="1103">
        <v>0</v>
      </c>
      <c r="BI135" s="1103">
        <v>0</v>
      </c>
      <c r="BJ135" s="1103">
        <v>0</v>
      </c>
    </row>
    <row r="136" spans="2:62" hidden="1" outlineLevel="2">
      <c r="B136" s="1094"/>
      <c r="C136" s="1083" t="s">
        <v>380</v>
      </c>
      <c r="D136" s="1062" t="s">
        <v>263</v>
      </c>
      <c r="E136" s="1083" t="s">
        <v>381</v>
      </c>
      <c r="F136" s="1095">
        <v>2020</v>
      </c>
      <c r="G136" s="1096">
        <f t="shared" si="8"/>
        <v>1.50641</v>
      </c>
      <c r="H136" s="1083" t="s">
        <v>29</v>
      </c>
      <c r="I136" s="1097">
        <v>3</v>
      </c>
      <c r="J136" s="1098">
        <f t="shared" si="9"/>
        <v>36</v>
      </c>
      <c r="K136" s="153">
        <f t="shared" si="10"/>
        <v>0.33333333333333331</v>
      </c>
      <c r="L136" s="1099"/>
      <c r="M136" s="1100">
        <v>6.9999269787109757</v>
      </c>
      <c r="N136" s="1101">
        <f>IF($BF136=0,0,IF(SUM($M136:M136)&lt;($J136-12),12,$J136-SUM($M136:M136)))</f>
        <v>12</v>
      </c>
      <c r="O136" s="1101">
        <f>IF($BF136=0,0,IF(SUM($M136:N136)&lt;($J136-12),12,$J136-SUM($M136:N136)))</f>
        <v>12</v>
      </c>
      <c r="P136" s="1101">
        <f>IF($BF136=0,0,IF(SUM($M136:O136)&lt;($J136-12),12,$J136-SUM($M136:O136)))</f>
        <v>5.0000730212890261</v>
      </c>
      <c r="Q136" s="1101">
        <f>IF($BF136=0,0,IF(SUM($M136:P136)&lt;($J136-12),12,$J136-SUM($M136:P136)))</f>
        <v>0</v>
      </c>
      <c r="S136" s="1100"/>
      <c r="T136" s="1100">
        <v>0</v>
      </c>
      <c r="U136" s="1101">
        <f>IF($BG136=0,0,IF(SUM($S136:T136)&lt;($J136-12),12,$J136-SUM($S136:T136)))</f>
        <v>0</v>
      </c>
      <c r="V136" s="1101">
        <f>IF($BG136=0,0,IF(SUM($S136:U136)&lt;($J136-12),12,$J136-SUM($S136:U136)))</f>
        <v>0</v>
      </c>
      <c r="W136" s="1101">
        <f>IF($BG136=0,0,IF(SUM($S136:V136)&lt;($J136-12),12,$J136-SUM($S136:V136)))</f>
        <v>0</v>
      </c>
      <c r="Y136" s="1100"/>
      <c r="Z136" s="1100"/>
      <c r="AA136" s="1100">
        <v>0</v>
      </c>
      <c r="AB136" s="1101">
        <f>IF($BH136=0,0,IF(SUM($Y136:AA136)&lt;($J136-12),12,$J136-SUM($Y136:AA136)))</f>
        <v>0</v>
      </c>
      <c r="AC136" s="1101">
        <f>IF($BH136=0,0,IF(SUM($Y136:AB136)&lt;($J136-12),12,$J136-SUM($Y136:AB136)))</f>
        <v>0</v>
      </c>
      <c r="AE136" s="1100"/>
      <c r="AF136" s="1100"/>
      <c r="AG136" s="1100"/>
      <c r="AH136" s="1100">
        <v>0</v>
      </c>
      <c r="AI136" s="1101">
        <f>IF($BI136=0,0,IF(SUM($AE136:AH136)&lt;($J136-12),12,$J136-SUM($AE136:AH136)))</f>
        <v>0</v>
      </c>
      <c r="AK136" s="1100"/>
      <c r="AL136" s="1100"/>
      <c r="AM136" s="1100"/>
      <c r="AN136" s="1100"/>
      <c r="AO136" s="1100">
        <v>0</v>
      </c>
      <c r="AQ136" s="153">
        <f t="shared" si="11"/>
        <v>0.58332724822591464</v>
      </c>
      <c r="AR136" s="153">
        <f t="shared" si="12"/>
        <v>0</v>
      </c>
      <c r="AS136" s="153">
        <f t="shared" si="13"/>
        <v>0</v>
      </c>
      <c r="AT136" s="153">
        <f t="shared" si="14"/>
        <v>0</v>
      </c>
      <c r="AU136" s="153">
        <f t="shared" si="15"/>
        <v>0</v>
      </c>
      <c r="AW136" s="1543">
        <v>0.5</v>
      </c>
      <c r="AX136" s="1102"/>
      <c r="AY136" s="1544">
        <v>0.5</v>
      </c>
      <c r="BA136" s="1103">
        <v>0</v>
      </c>
      <c r="BB136" s="1103">
        <v>0</v>
      </c>
      <c r="BC136" s="1103">
        <v>0</v>
      </c>
      <c r="BD136" s="1103">
        <v>0</v>
      </c>
      <c r="BE136" s="1103">
        <v>0</v>
      </c>
      <c r="BF136" s="1103">
        <v>1.50641</v>
      </c>
      <c r="BG136" s="1103">
        <v>0</v>
      </c>
      <c r="BH136" s="1103">
        <v>0</v>
      </c>
      <c r="BI136" s="1103">
        <v>0</v>
      </c>
      <c r="BJ136" s="1103">
        <v>0</v>
      </c>
    </row>
    <row r="137" spans="2:62" hidden="1" outlineLevel="2">
      <c r="B137" s="1094"/>
      <c r="C137" s="1083" t="s">
        <v>382</v>
      </c>
      <c r="D137" s="1062" t="s">
        <v>263</v>
      </c>
      <c r="E137" s="1083" t="s">
        <v>383</v>
      </c>
      <c r="F137" s="1095">
        <v>2020</v>
      </c>
      <c r="G137" s="1096">
        <f t="shared" si="8"/>
        <v>0.60580000000000001</v>
      </c>
      <c r="H137" s="1083" t="s">
        <v>29</v>
      </c>
      <c r="I137" s="1097">
        <v>3</v>
      </c>
      <c r="J137" s="1098">
        <f t="shared" si="9"/>
        <v>36</v>
      </c>
      <c r="K137" s="153">
        <f t="shared" si="10"/>
        <v>0.33333333333333331</v>
      </c>
      <c r="L137" s="1099"/>
      <c r="M137" s="1100">
        <v>7.0009243974909223</v>
      </c>
      <c r="N137" s="1101">
        <f>IF($BF137=0,0,IF(SUM($M137:M137)&lt;($J137-12),12,$J137-SUM($M137:M137)))</f>
        <v>12</v>
      </c>
      <c r="O137" s="1101">
        <f>IF($BF137=0,0,IF(SUM($M137:N137)&lt;($J137-12),12,$J137-SUM($M137:N137)))</f>
        <v>12</v>
      </c>
      <c r="P137" s="1101">
        <f>IF($BF137=0,0,IF(SUM($M137:O137)&lt;($J137-12),12,$J137-SUM($M137:O137)))</f>
        <v>4.9990756025090768</v>
      </c>
      <c r="Q137" s="1101">
        <f>IF($BF137=0,0,IF(SUM($M137:P137)&lt;($J137-12),12,$J137-SUM($M137:P137)))</f>
        <v>0</v>
      </c>
      <c r="S137" s="1100"/>
      <c r="T137" s="1100">
        <v>0</v>
      </c>
      <c r="U137" s="1101">
        <f>IF($BG137=0,0,IF(SUM($S137:T137)&lt;($J137-12),12,$J137-SUM($S137:T137)))</f>
        <v>0</v>
      </c>
      <c r="V137" s="1101">
        <f>IF($BG137=0,0,IF(SUM($S137:U137)&lt;($J137-12),12,$J137-SUM($S137:U137)))</f>
        <v>0</v>
      </c>
      <c r="W137" s="1101">
        <f>IF($BG137=0,0,IF(SUM($S137:V137)&lt;($J137-12),12,$J137-SUM($S137:V137)))</f>
        <v>0</v>
      </c>
      <c r="Y137" s="1100"/>
      <c r="Z137" s="1100"/>
      <c r="AA137" s="1100">
        <v>0</v>
      </c>
      <c r="AB137" s="1101">
        <f>IF($BH137=0,0,IF(SUM($Y137:AA137)&lt;($J137-12),12,$J137-SUM($Y137:AA137)))</f>
        <v>0</v>
      </c>
      <c r="AC137" s="1101">
        <f>IF($BH137=0,0,IF(SUM($Y137:AB137)&lt;($J137-12),12,$J137-SUM($Y137:AB137)))</f>
        <v>0</v>
      </c>
      <c r="AE137" s="1100"/>
      <c r="AF137" s="1100"/>
      <c r="AG137" s="1100"/>
      <c r="AH137" s="1100">
        <v>0</v>
      </c>
      <c r="AI137" s="1101">
        <f>IF($BI137=0,0,IF(SUM($AE137:AH137)&lt;($J137-12),12,$J137-SUM($AE137:AH137)))</f>
        <v>0</v>
      </c>
      <c r="AK137" s="1100"/>
      <c r="AL137" s="1100"/>
      <c r="AM137" s="1100"/>
      <c r="AN137" s="1100"/>
      <c r="AO137" s="1100">
        <v>0</v>
      </c>
      <c r="AQ137" s="153">
        <f t="shared" si="11"/>
        <v>0.58341036645757682</v>
      </c>
      <c r="AR137" s="153">
        <f t="shared" si="12"/>
        <v>0</v>
      </c>
      <c r="AS137" s="153">
        <f t="shared" si="13"/>
        <v>0</v>
      </c>
      <c r="AT137" s="153">
        <f t="shared" si="14"/>
        <v>0</v>
      </c>
      <c r="AU137" s="153">
        <f t="shared" si="15"/>
        <v>0</v>
      </c>
      <c r="AW137" s="1543">
        <v>0.5</v>
      </c>
      <c r="AX137" s="1102"/>
      <c r="AY137" s="1544">
        <v>0.5</v>
      </c>
      <c r="BA137" s="1103">
        <v>0</v>
      </c>
      <c r="BB137" s="1103">
        <v>0</v>
      </c>
      <c r="BC137" s="1103">
        <v>0</v>
      </c>
      <c r="BD137" s="1103">
        <v>0</v>
      </c>
      <c r="BE137" s="1103">
        <v>0</v>
      </c>
      <c r="BF137" s="1103">
        <v>0.60580000000000001</v>
      </c>
      <c r="BG137" s="1103">
        <v>0</v>
      </c>
      <c r="BH137" s="1103">
        <v>0</v>
      </c>
      <c r="BI137" s="1103">
        <v>0</v>
      </c>
      <c r="BJ137" s="1103">
        <v>0</v>
      </c>
    </row>
    <row r="138" spans="2:62" hidden="1" outlineLevel="2">
      <c r="B138" s="1094"/>
      <c r="C138" s="1083" t="s">
        <v>384</v>
      </c>
      <c r="D138" s="1062" t="s">
        <v>385</v>
      </c>
      <c r="E138" s="1083" t="s">
        <v>386</v>
      </c>
      <c r="F138" s="1095">
        <v>2020</v>
      </c>
      <c r="G138" s="1096">
        <f t="shared" si="8"/>
        <v>60</v>
      </c>
      <c r="H138" s="1083" t="s">
        <v>29</v>
      </c>
      <c r="I138" s="1097">
        <v>3</v>
      </c>
      <c r="J138" s="1098">
        <f t="shared" si="9"/>
        <v>36</v>
      </c>
      <c r="K138" s="153">
        <f t="shared" si="10"/>
        <v>0.33333333333333331</v>
      </c>
      <c r="L138" s="1099"/>
      <c r="M138" s="1100">
        <v>4.0000080000000002</v>
      </c>
      <c r="N138" s="1101">
        <f>IF($BF138=0,0,IF(SUM($M138:M138)&lt;($J138-12),12,$J138-SUM($M138:M138)))</f>
        <v>12</v>
      </c>
      <c r="O138" s="1101">
        <f>IF($BF138=0,0,IF(SUM($M138:N138)&lt;($J138-12),12,$J138-SUM($M138:N138)))</f>
        <v>12</v>
      </c>
      <c r="P138" s="1101">
        <f>IF($BF138=0,0,IF(SUM($M138:O138)&lt;($J138-12),12,$J138-SUM($M138:O138)))</f>
        <v>7.9999919999999989</v>
      </c>
      <c r="Q138" s="1101">
        <f>IF($BF138=0,0,IF(SUM($M138:P138)&lt;($J138-12),12,$J138-SUM($M138:P138)))</f>
        <v>0</v>
      </c>
      <c r="S138" s="1100"/>
      <c r="T138" s="1100">
        <v>0</v>
      </c>
      <c r="U138" s="1101">
        <f>IF($BG138=0,0,IF(SUM($S138:T138)&lt;($J138-12),12,$J138-SUM($S138:T138)))</f>
        <v>0</v>
      </c>
      <c r="V138" s="1101">
        <f>IF($BG138=0,0,IF(SUM($S138:U138)&lt;($J138-12),12,$J138-SUM($S138:U138)))</f>
        <v>0</v>
      </c>
      <c r="W138" s="1101">
        <f>IF($BG138=0,0,IF(SUM($S138:V138)&lt;($J138-12),12,$J138-SUM($S138:V138)))</f>
        <v>0</v>
      </c>
      <c r="Y138" s="1100"/>
      <c r="Z138" s="1100"/>
      <c r="AA138" s="1100">
        <v>0</v>
      </c>
      <c r="AB138" s="1101">
        <f>IF($BH138=0,0,IF(SUM($Y138:AA138)&lt;($J138-12),12,$J138-SUM($Y138:AA138)))</f>
        <v>0</v>
      </c>
      <c r="AC138" s="1101">
        <f>IF($BH138=0,0,IF(SUM($Y138:AB138)&lt;($J138-12),12,$J138-SUM($Y138:AB138)))</f>
        <v>0</v>
      </c>
      <c r="AE138" s="1100"/>
      <c r="AF138" s="1100"/>
      <c r="AG138" s="1100"/>
      <c r="AH138" s="1100">
        <v>0</v>
      </c>
      <c r="AI138" s="1101">
        <f>IF($BI138=0,0,IF(SUM($AE138:AH138)&lt;($J138-12),12,$J138-SUM($AE138:AH138)))</f>
        <v>0</v>
      </c>
      <c r="AK138" s="1100"/>
      <c r="AL138" s="1100"/>
      <c r="AM138" s="1100"/>
      <c r="AN138" s="1100"/>
      <c r="AO138" s="1100">
        <v>0</v>
      </c>
      <c r="AQ138" s="153">
        <f t="shared" si="11"/>
        <v>0.33333400000000002</v>
      </c>
      <c r="AR138" s="153">
        <f t="shared" si="12"/>
        <v>0</v>
      </c>
      <c r="AS138" s="153">
        <f t="shared" si="13"/>
        <v>0</v>
      </c>
      <c r="AT138" s="153">
        <f t="shared" si="14"/>
        <v>0</v>
      </c>
      <c r="AU138" s="153">
        <f t="shared" si="15"/>
        <v>0</v>
      </c>
      <c r="AW138" s="1543">
        <v>0.73</v>
      </c>
      <c r="AX138" s="1102"/>
      <c r="AY138" s="1544">
        <v>0.15</v>
      </c>
      <c r="BA138" s="1103">
        <v>0</v>
      </c>
      <c r="BB138" s="1103">
        <v>0</v>
      </c>
      <c r="BC138" s="1103">
        <v>0</v>
      </c>
      <c r="BD138" s="1103">
        <v>0</v>
      </c>
      <c r="BE138" s="1103">
        <v>0</v>
      </c>
      <c r="BF138" s="1103">
        <v>60</v>
      </c>
      <c r="BG138" s="1103">
        <v>0</v>
      </c>
      <c r="BH138" s="1103">
        <v>0</v>
      </c>
      <c r="BI138" s="1103">
        <v>0</v>
      </c>
      <c r="BJ138" s="1103">
        <v>0</v>
      </c>
    </row>
    <row r="139" spans="2:62" hidden="1" outlineLevel="2">
      <c r="B139" s="1094"/>
      <c r="C139" s="1083" t="s">
        <v>387</v>
      </c>
      <c r="D139" s="1062" t="s">
        <v>388</v>
      </c>
      <c r="E139" s="1083" t="s">
        <v>389</v>
      </c>
      <c r="F139" s="1095">
        <v>2020</v>
      </c>
      <c r="G139" s="1096">
        <f t="shared" si="8"/>
        <v>54.847799999999999</v>
      </c>
      <c r="H139" s="1083" t="s">
        <v>29</v>
      </c>
      <c r="I139" s="1097">
        <v>5</v>
      </c>
      <c r="J139" s="1098">
        <f t="shared" si="9"/>
        <v>60</v>
      </c>
      <c r="K139" s="153">
        <f t="shared" si="10"/>
        <v>0.2</v>
      </c>
      <c r="L139" s="1099"/>
      <c r="M139" s="1100">
        <v>1</v>
      </c>
      <c r="N139" s="1101">
        <f>IF($BF139=0,0,IF(SUM($M139:M139)&lt;($J139-12),12,$J139-SUM($M139:M139)))</f>
        <v>12</v>
      </c>
      <c r="O139" s="1101">
        <f>IF($BF139=0,0,IF(SUM($M139:N139)&lt;($J139-12),12,$J139-SUM($M139:N139)))</f>
        <v>12</v>
      </c>
      <c r="P139" s="1101">
        <f>IF($BF139=0,0,IF(SUM($M139:O139)&lt;($J139-12),12,$J139-SUM($M139:O139)))</f>
        <v>12</v>
      </c>
      <c r="Q139" s="1101">
        <f>IF($BF139=0,0,IF(SUM($M139:P139)&lt;($J139-12),12,$J139-SUM($M139:P139)))</f>
        <v>12</v>
      </c>
      <c r="S139" s="1100"/>
      <c r="T139" s="1100">
        <v>0</v>
      </c>
      <c r="U139" s="1101">
        <f>IF($BG139=0,0,IF(SUM($S139:T139)&lt;($J139-12),12,$J139-SUM($S139:T139)))</f>
        <v>0</v>
      </c>
      <c r="V139" s="1101">
        <f>IF($BG139=0,0,IF(SUM($S139:U139)&lt;($J139-12),12,$J139-SUM($S139:U139)))</f>
        <v>0</v>
      </c>
      <c r="W139" s="1101">
        <f>IF($BG139=0,0,IF(SUM($S139:V139)&lt;($J139-12),12,$J139-SUM($S139:V139)))</f>
        <v>0</v>
      </c>
      <c r="Y139" s="1100"/>
      <c r="Z139" s="1100"/>
      <c r="AA139" s="1100">
        <v>0</v>
      </c>
      <c r="AB139" s="1101">
        <f>IF($BH139=0,0,IF(SUM($Y139:AA139)&lt;($J139-12),12,$J139-SUM($Y139:AA139)))</f>
        <v>0</v>
      </c>
      <c r="AC139" s="1101">
        <f>IF($BH139=0,0,IF(SUM($Y139:AB139)&lt;($J139-12),12,$J139-SUM($Y139:AB139)))</f>
        <v>0</v>
      </c>
      <c r="AE139" s="1100"/>
      <c r="AF139" s="1100"/>
      <c r="AG139" s="1100"/>
      <c r="AH139" s="1100">
        <v>0</v>
      </c>
      <c r="AI139" s="1101">
        <f>IF($BI139=0,0,IF(SUM($AE139:AH139)&lt;($J139-12),12,$J139-SUM($AE139:AH139)))</f>
        <v>0</v>
      </c>
      <c r="AK139" s="1100"/>
      <c r="AL139" s="1100"/>
      <c r="AM139" s="1100"/>
      <c r="AN139" s="1100"/>
      <c r="AO139" s="1100">
        <v>0</v>
      </c>
      <c r="AQ139" s="153">
        <f t="shared" si="11"/>
        <v>8.3333333333333329E-2</v>
      </c>
      <c r="AR139" s="153">
        <f t="shared" si="12"/>
        <v>0</v>
      </c>
      <c r="AS139" s="153">
        <f t="shared" si="13"/>
        <v>0</v>
      </c>
      <c r="AT139" s="153">
        <f t="shared" si="14"/>
        <v>0</v>
      </c>
      <c r="AU139" s="153">
        <f t="shared" si="15"/>
        <v>0</v>
      </c>
      <c r="AW139" s="1543">
        <v>0.75</v>
      </c>
      <c r="AX139" s="1102"/>
      <c r="AY139" s="1544">
        <v>0.25</v>
      </c>
      <c r="BA139" s="1103">
        <v>0</v>
      </c>
      <c r="BB139" s="1103">
        <v>0</v>
      </c>
      <c r="BC139" s="1103">
        <v>0</v>
      </c>
      <c r="BD139" s="1103">
        <v>0</v>
      </c>
      <c r="BE139" s="1103">
        <v>0</v>
      </c>
      <c r="BF139" s="1103">
        <v>54.847799999999999</v>
      </c>
      <c r="BG139" s="1103">
        <v>0</v>
      </c>
      <c r="BH139" s="1103">
        <v>0</v>
      </c>
      <c r="BI139" s="1103">
        <v>0</v>
      </c>
      <c r="BJ139" s="1103">
        <v>0</v>
      </c>
    </row>
    <row r="140" spans="2:62" hidden="1" outlineLevel="2">
      <c r="B140" s="1094"/>
      <c r="C140" s="1083" t="s">
        <v>390</v>
      </c>
      <c r="D140" s="1062" t="s">
        <v>391</v>
      </c>
      <c r="E140" s="1083" t="s">
        <v>392</v>
      </c>
      <c r="F140" s="1095">
        <v>2020</v>
      </c>
      <c r="G140" s="1096">
        <f t="shared" si="8"/>
        <v>48.858779999999996</v>
      </c>
      <c r="H140" s="1083" t="s">
        <v>29</v>
      </c>
      <c r="I140" s="1097">
        <v>3</v>
      </c>
      <c r="J140" s="1098">
        <f t="shared" si="9"/>
        <v>36</v>
      </c>
      <c r="K140" s="153">
        <f t="shared" si="10"/>
        <v>0.33333333333333331</v>
      </c>
      <c r="L140" s="1099"/>
      <c r="M140" s="1100">
        <v>12.000014736348309</v>
      </c>
      <c r="N140" s="1101">
        <f>IF($BF140=0,0,IF(SUM($M140:M140)&lt;($J140-12),12,$J140-SUM($M140:M140)))</f>
        <v>12</v>
      </c>
      <c r="O140" s="1101">
        <f>IF($BF140=0,0,IF(SUM($M140:N140)&lt;($J140-12),12,$J140-SUM($M140:N140)))</f>
        <v>11.999985263651691</v>
      </c>
      <c r="P140" s="1101">
        <f>IF($BF140=0,0,IF(SUM($M140:O140)&lt;($J140-12),12,$J140-SUM($M140:O140)))</f>
        <v>0</v>
      </c>
      <c r="Q140" s="1101">
        <f>IF($BF140=0,0,IF(SUM($M140:P140)&lt;($J140-12),12,$J140-SUM($M140:P140)))</f>
        <v>0</v>
      </c>
      <c r="S140" s="1100"/>
      <c r="T140" s="1100">
        <v>0</v>
      </c>
      <c r="U140" s="1101">
        <f>IF($BG140=0,0,IF(SUM($S140:T140)&lt;($J140-12),12,$J140-SUM($S140:T140)))</f>
        <v>0</v>
      </c>
      <c r="V140" s="1101">
        <f>IF($BG140=0,0,IF(SUM($S140:U140)&lt;($J140-12),12,$J140-SUM($S140:U140)))</f>
        <v>0</v>
      </c>
      <c r="W140" s="1101">
        <f>IF($BG140=0,0,IF(SUM($S140:V140)&lt;($J140-12),12,$J140-SUM($S140:V140)))</f>
        <v>0</v>
      </c>
      <c r="Y140" s="1100"/>
      <c r="Z140" s="1100"/>
      <c r="AA140" s="1100">
        <v>0</v>
      </c>
      <c r="AB140" s="1101">
        <f>IF($BH140=0,0,IF(SUM($Y140:AA140)&lt;($J140-12),12,$J140-SUM($Y140:AA140)))</f>
        <v>0</v>
      </c>
      <c r="AC140" s="1101">
        <f>IF($BH140=0,0,IF(SUM($Y140:AB140)&lt;($J140-12),12,$J140-SUM($Y140:AB140)))</f>
        <v>0</v>
      </c>
      <c r="AE140" s="1100"/>
      <c r="AF140" s="1100"/>
      <c r="AG140" s="1100"/>
      <c r="AH140" s="1100">
        <v>0</v>
      </c>
      <c r="AI140" s="1101">
        <f>IF($BI140=0,0,IF(SUM($AE140:AH140)&lt;($J140-12),12,$J140-SUM($AE140:AH140)))</f>
        <v>0</v>
      </c>
      <c r="AK140" s="1100"/>
      <c r="AL140" s="1100"/>
      <c r="AM140" s="1100"/>
      <c r="AN140" s="1100"/>
      <c r="AO140" s="1100">
        <v>0</v>
      </c>
      <c r="AQ140" s="153">
        <f t="shared" si="11"/>
        <v>1.0000012280290258</v>
      </c>
      <c r="AR140" s="153">
        <f t="shared" si="12"/>
        <v>0</v>
      </c>
      <c r="AS140" s="153">
        <f t="shared" si="13"/>
        <v>0</v>
      </c>
      <c r="AT140" s="153">
        <f t="shared" si="14"/>
        <v>0</v>
      </c>
      <c r="AU140" s="153">
        <f t="shared" si="15"/>
        <v>0</v>
      </c>
      <c r="AW140" s="1543">
        <v>0.75</v>
      </c>
      <c r="AX140" s="1102"/>
      <c r="AY140" s="1544">
        <v>0.25</v>
      </c>
      <c r="BA140" s="1103">
        <v>0</v>
      </c>
      <c r="BB140" s="1103">
        <v>0</v>
      </c>
      <c r="BC140" s="1103">
        <v>0</v>
      </c>
      <c r="BD140" s="1103">
        <v>0</v>
      </c>
      <c r="BE140" s="1103">
        <v>0</v>
      </c>
      <c r="BF140" s="1103">
        <v>48.858779999999996</v>
      </c>
      <c r="BG140" s="1103">
        <v>0</v>
      </c>
      <c r="BH140" s="1103">
        <v>0</v>
      </c>
      <c r="BI140" s="1103">
        <v>0</v>
      </c>
      <c r="BJ140" s="1103">
        <v>0</v>
      </c>
    </row>
    <row r="141" spans="2:62" hidden="1" outlineLevel="2">
      <c r="B141" s="1094"/>
      <c r="C141" s="1083" t="s">
        <v>393</v>
      </c>
      <c r="D141" s="1062" t="s">
        <v>391</v>
      </c>
      <c r="E141" s="1083" t="s">
        <v>394</v>
      </c>
      <c r="F141" s="1095">
        <v>2020</v>
      </c>
      <c r="G141" s="1096">
        <f t="shared" si="8"/>
        <v>2.57328</v>
      </c>
      <c r="H141" s="1083" t="s">
        <v>29</v>
      </c>
      <c r="I141" s="1097">
        <v>3</v>
      </c>
      <c r="J141" s="1098">
        <f t="shared" si="9"/>
        <v>36</v>
      </c>
      <c r="K141" s="153">
        <f t="shared" si="10"/>
        <v>0.33333333333333331</v>
      </c>
      <c r="L141" s="1099"/>
      <c r="M141" s="1100">
        <v>7</v>
      </c>
      <c r="N141" s="1101">
        <f>IF($BF141=0,0,IF(SUM($M141:M141)&lt;($J141-12),12,$J141-SUM($M141:M141)))</f>
        <v>12</v>
      </c>
      <c r="O141" s="1101">
        <f>IF($BF141=0,0,IF(SUM($M141:N141)&lt;($J141-12),12,$J141-SUM($M141:N141)))</f>
        <v>12</v>
      </c>
      <c r="P141" s="1101">
        <f>IF($BF141=0,0,IF(SUM($M141:O141)&lt;($J141-12),12,$J141-SUM($M141:O141)))</f>
        <v>5</v>
      </c>
      <c r="Q141" s="1101">
        <f>IF($BF141=0,0,IF(SUM($M141:P141)&lt;($J141-12),12,$J141-SUM($M141:P141)))</f>
        <v>0</v>
      </c>
      <c r="S141" s="1100"/>
      <c r="T141" s="1100">
        <v>0</v>
      </c>
      <c r="U141" s="1101">
        <f>IF($BG141=0,0,IF(SUM($S141:T141)&lt;($J141-12),12,$J141-SUM($S141:T141)))</f>
        <v>0</v>
      </c>
      <c r="V141" s="1101">
        <f>IF($BG141=0,0,IF(SUM($S141:U141)&lt;($J141-12),12,$J141-SUM($S141:U141)))</f>
        <v>0</v>
      </c>
      <c r="W141" s="1101">
        <f>IF($BG141=0,0,IF(SUM($S141:V141)&lt;($J141-12),12,$J141-SUM($S141:V141)))</f>
        <v>0</v>
      </c>
      <c r="Y141" s="1100"/>
      <c r="Z141" s="1100"/>
      <c r="AA141" s="1100">
        <v>0</v>
      </c>
      <c r="AB141" s="1101">
        <f>IF($BH141=0,0,IF(SUM($Y141:AA141)&lt;($J141-12),12,$J141-SUM($Y141:AA141)))</f>
        <v>0</v>
      </c>
      <c r="AC141" s="1101">
        <f>IF($BH141=0,0,IF(SUM($Y141:AB141)&lt;($J141-12),12,$J141-SUM($Y141:AB141)))</f>
        <v>0</v>
      </c>
      <c r="AE141" s="1100"/>
      <c r="AF141" s="1100"/>
      <c r="AG141" s="1100"/>
      <c r="AH141" s="1100">
        <v>0</v>
      </c>
      <c r="AI141" s="1101">
        <f>IF($BI141=0,0,IF(SUM($AE141:AH141)&lt;($J141-12),12,$J141-SUM($AE141:AH141)))</f>
        <v>0</v>
      </c>
      <c r="AK141" s="1100"/>
      <c r="AL141" s="1100"/>
      <c r="AM141" s="1100"/>
      <c r="AN141" s="1100"/>
      <c r="AO141" s="1100">
        <v>0</v>
      </c>
      <c r="AQ141" s="153">
        <f t="shared" si="11"/>
        <v>0.58333333333333337</v>
      </c>
      <c r="AR141" s="153">
        <f t="shared" si="12"/>
        <v>0</v>
      </c>
      <c r="AS141" s="153">
        <f t="shared" si="13"/>
        <v>0</v>
      </c>
      <c r="AT141" s="153">
        <f t="shared" si="14"/>
        <v>0</v>
      </c>
      <c r="AU141" s="153">
        <f t="shared" si="15"/>
        <v>0</v>
      </c>
      <c r="AW141" s="1543">
        <v>0.75</v>
      </c>
      <c r="AX141" s="1102"/>
      <c r="AY141" s="1544">
        <v>0.25</v>
      </c>
      <c r="BA141" s="1103">
        <v>0</v>
      </c>
      <c r="BB141" s="1103">
        <v>0</v>
      </c>
      <c r="BC141" s="1103">
        <v>0</v>
      </c>
      <c r="BD141" s="1103">
        <v>0</v>
      </c>
      <c r="BE141" s="1103">
        <v>0</v>
      </c>
      <c r="BF141" s="1103">
        <v>2.57328</v>
      </c>
      <c r="BG141" s="1103">
        <v>0</v>
      </c>
      <c r="BH141" s="1103">
        <v>0</v>
      </c>
      <c r="BI141" s="1103">
        <v>0</v>
      </c>
      <c r="BJ141" s="1103">
        <v>0</v>
      </c>
    </row>
    <row r="142" spans="2:62" hidden="1" outlineLevel="2">
      <c r="B142" s="1094"/>
      <c r="C142" s="1083" t="s">
        <v>395</v>
      </c>
      <c r="D142" s="1062" t="s">
        <v>396</v>
      </c>
      <c r="E142" s="1083" t="s">
        <v>397</v>
      </c>
      <c r="F142" s="1095">
        <v>2020</v>
      </c>
      <c r="G142" s="1096">
        <f t="shared" si="8"/>
        <v>33.083239999999996</v>
      </c>
      <c r="H142" s="1083" t="s">
        <v>29</v>
      </c>
      <c r="I142" s="1097">
        <v>8</v>
      </c>
      <c r="J142" s="1098">
        <f t="shared" si="9"/>
        <v>96</v>
      </c>
      <c r="K142" s="153">
        <f t="shared" si="10"/>
        <v>0.125</v>
      </c>
      <c r="L142" s="1099"/>
      <c r="M142" s="1100">
        <v>4.0000338539997902</v>
      </c>
      <c r="N142" s="1101">
        <f>IF($BF142=0,0,IF(SUM($M142:M142)&lt;($J142-12),12,$J142-SUM($M142:M142)))</f>
        <v>12</v>
      </c>
      <c r="O142" s="1101">
        <f>IF($BF142=0,0,IF(SUM($M142:N142)&lt;($J142-12),12,$J142-SUM($M142:N142)))</f>
        <v>12</v>
      </c>
      <c r="P142" s="1101">
        <f>IF($BF142=0,0,IF(SUM($M142:O142)&lt;($J142-12),12,$J142-SUM($M142:O142)))</f>
        <v>12</v>
      </c>
      <c r="Q142" s="1101">
        <f>IF($BF142=0,0,IF(SUM($M142:P142)&lt;($J142-12),12,$J142-SUM($M142:P142)))</f>
        <v>12</v>
      </c>
      <c r="S142" s="1100"/>
      <c r="T142" s="1100">
        <v>0</v>
      </c>
      <c r="U142" s="1101">
        <f>IF($BG142=0,0,IF(SUM($S142:T142)&lt;($J142-12),12,$J142-SUM($S142:T142)))</f>
        <v>0</v>
      </c>
      <c r="V142" s="1101">
        <f>IF($BG142=0,0,IF(SUM($S142:U142)&lt;($J142-12),12,$J142-SUM($S142:U142)))</f>
        <v>0</v>
      </c>
      <c r="W142" s="1101">
        <f>IF($BG142=0,0,IF(SUM($S142:V142)&lt;($J142-12),12,$J142-SUM($S142:V142)))</f>
        <v>0</v>
      </c>
      <c r="Y142" s="1100"/>
      <c r="Z142" s="1100"/>
      <c r="AA142" s="1100">
        <v>0</v>
      </c>
      <c r="AB142" s="1101">
        <f>IF($BH142=0,0,IF(SUM($Y142:AA142)&lt;($J142-12),12,$J142-SUM($Y142:AA142)))</f>
        <v>0</v>
      </c>
      <c r="AC142" s="1101">
        <f>IF($BH142=0,0,IF(SUM($Y142:AB142)&lt;($J142-12),12,$J142-SUM($Y142:AB142)))</f>
        <v>0</v>
      </c>
      <c r="AE142" s="1100"/>
      <c r="AF142" s="1100"/>
      <c r="AG142" s="1100"/>
      <c r="AH142" s="1100">
        <v>0</v>
      </c>
      <c r="AI142" s="1101">
        <f>IF($BI142=0,0,IF(SUM($AE142:AH142)&lt;($J142-12),12,$J142-SUM($AE142:AH142)))</f>
        <v>0</v>
      </c>
      <c r="AK142" s="1100"/>
      <c r="AL142" s="1100"/>
      <c r="AM142" s="1100"/>
      <c r="AN142" s="1100"/>
      <c r="AO142" s="1100">
        <v>0</v>
      </c>
      <c r="AQ142" s="153">
        <f t="shared" si="11"/>
        <v>0.3333361544999825</v>
      </c>
      <c r="AR142" s="153">
        <f t="shared" si="12"/>
        <v>0</v>
      </c>
      <c r="AS142" s="153">
        <f t="shared" si="13"/>
        <v>0</v>
      </c>
      <c r="AT142" s="153">
        <f t="shared" si="14"/>
        <v>0</v>
      </c>
      <c r="AU142" s="153">
        <f t="shared" si="15"/>
        <v>0</v>
      </c>
      <c r="AW142" s="1543">
        <v>0.75</v>
      </c>
      <c r="AX142" s="1102"/>
      <c r="AY142" s="1544">
        <v>0.25</v>
      </c>
      <c r="BA142" s="1103">
        <v>0</v>
      </c>
      <c r="BB142" s="1103">
        <v>0</v>
      </c>
      <c r="BC142" s="1103">
        <v>0</v>
      </c>
      <c r="BD142" s="1103">
        <v>0</v>
      </c>
      <c r="BE142" s="1103">
        <v>0</v>
      </c>
      <c r="BF142" s="1103">
        <v>33.083239999999996</v>
      </c>
      <c r="BG142" s="1103">
        <v>0</v>
      </c>
      <c r="BH142" s="1103">
        <v>0</v>
      </c>
      <c r="BI142" s="1103">
        <v>0</v>
      </c>
      <c r="BJ142" s="1103">
        <v>0</v>
      </c>
    </row>
    <row r="143" spans="2:62" hidden="1" outlineLevel="2">
      <c r="B143" s="1094"/>
      <c r="C143" s="1083" t="s">
        <v>398</v>
      </c>
      <c r="D143" s="1062" t="s">
        <v>399</v>
      </c>
      <c r="E143" s="1083" t="s">
        <v>400</v>
      </c>
      <c r="F143" s="1095">
        <v>2020</v>
      </c>
      <c r="G143" s="1096">
        <f t="shared" si="8"/>
        <v>15.22298</v>
      </c>
      <c r="H143" s="1083" t="s">
        <v>29</v>
      </c>
      <c r="I143" s="1097">
        <v>3</v>
      </c>
      <c r="J143" s="1098">
        <f t="shared" si="9"/>
        <v>36</v>
      </c>
      <c r="K143" s="153">
        <f t="shared" si="10"/>
        <v>0.33333333333333331</v>
      </c>
      <c r="L143" s="1099"/>
      <c r="M143" s="1100">
        <v>11.999984234361472</v>
      </c>
      <c r="N143" s="1101">
        <f>IF($BF143=0,0,IF(SUM($M143:M143)&lt;($J143-12),12,$J143-SUM($M143:M143)))</f>
        <v>12</v>
      </c>
      <c r="O143" s="1101">
        <f>IF($BF143=0,0,IF(SUM($M143:N143)&lt;($J143-12),12,$J143-SUM($M143:N143)))</f>
        <v>12</v>
      </c>
      <c r="P143" s="1101">
        <f>IF($BF143=0,0,IF(SUM($M143:O143)&lt;($J143-12),12,$J143-SUM($M143:O143)))</f>
        <v>1.5765638529785519E-5</v>
      </c>
      <c r="Q143" s="1101">
        <f>IF($BF143=0,0,IF(SUM($M143:P143)&lt;($J143-12),12,$J143-SUM($M143:P143)))</f>
        <v>0</v>
      </c>
      <c r="S143" s="1100"/>
      <c r="T143" s="1100">
        <v>0</v>
      </c>
      <c r="U143" s="1101">
        <f>IF($BG143=0,0,IF(SUM($S143:T143)&lt;($J143-12),12,$J143-SUM($S143:T143)))</f>
        <v>0</v>
      </c>
      <c r="V143" s="1101">
        <f>IF($BG143=0,0,IF(SUM($S143:U143)&lt;($J143-12),12,$J143-SUM($S143:U143)))</f>
        <v>0</v>
      </c>
      <c r="W143" s="1101">
        <f>IF($BG143=0,0,IF(SUM($S143:V143)&lt;($J143-12),12,$J143-SUM($S143:V143)))</f>
        <v>0</v>
      </c>
      <c r="Y143" s="1100"/>
      <c r="Z143" s="1100"/>
      <c r="AA143" s="1100">
        <v>0</v>
      </c>
      <c r="AB143" s="1101">
        <f>IF($BH143=0,0,IF(SUM($Y143:AA143)&lt;($J143-12),12,$J143-SUM($Y143:AA143)))</f>
        <v>0</v>
      </c>
      <c r="AC143" s="1101">
        <f>IF($BH143=0,0,IF(SUM($Y143:AB143)&lt;($J143-12),12,$J143-SUM($Y143:AB143)))</f>
        <v>0</v>
      </c>
      <c r="AE143" s="1100"/>
      <c r="AF143" s="1100"/>
      <c r="AG143" s="1100"/>
      <c r="AH143" s="1100">
        <v>0</v>
      </c>
      <c r="AI143" s="1101">
        <f>IF($BI143=0,0,IF(SUM($AE143:AH143)&lt;($J143-12),12,$J143-SUM($AE143:AH143)))</f>
        <v>0</v>
      </c>
      <c r="AK143" s="1100"/>
      <c r="AL143" s="1100"/>
      <c r="AM143" s="1100"/>
      <c r="AN143" s="1100"/>
      <c r="AO143" s="1100">
        <v>0</v>
      </c>
      <c r="AQ143" s="153">
        <f t="shared" si="11"/>
        <v>0.99999868619678933</v>
      </c>
      <c r="AR143" s="153">
        <f t="shared" si="12"/>
        <v>0</v>
      </c>
      <c r="AS143" s="153">
        <f t="shared" si="13"/>
        <v>0</v>
      </c>
      <c r="AT143" s="153">
        <f t="shared" si="14"/>
        <v>0</v>
      </c>
      <c r="AU143" s="153">
        <f t="shared" si="15"/>
        <v>0</v>
      </c>
      <c r="AW143" s="1543">
        <v>0.73</v>
      </c>
      <c r="AX143" s="1102"/>
      <c r="AY143" s="1544">
        <v>0.15</v>
      </c>
      <c r="BA143" s="1103">
        <v>0</v>
      </c>
      <c r="BB143" s="1103">
        <v>0</v>
      </c>
      <c r="BC143" s="1103">
        <v>0</v>
      </c>
      <c r="BD143" s="1103">
        <v>0</v>
      </c>
      <c r="BE143" s="1103">
        <v>0</v>
      </c>
      <c r="BF143" s="1103">
        <v>15.22298</v>
      </c>
      <c r="BG143" s="1103">
        <v>0</v>
      </c>
      <c r="BH143" s="1103">
        <v>0</v>
      </c>
      <c r="BI143" s="1103">
        <v>0</v>
      </c>
      <c r="BJ143" s="1103">
        <v>0</v>
      </c>
    </row>
    <row r="144" spans="2:62" hidden="1" outlineLevel="2">
      <c r="B144" s="1094"/>
      <c r="C144" s="1083" t="s">
        <v>401</v>
      </c>
      <c r="D144" s="1062" t="s">
        <v>399</v>
      </c>
      <c r="E144" s="1083" t="s">
        <v>402</v>
      </c>
      <c r="F144" s="1095">
        <v>2020</v>
      </c>
      <c r="G144" s="1096">
        <f t="shared" si="8"/>
        <v>16.74166</v>
      </c>
      <c r="H144" s="1083" t="s">
        <v>29</v>
      </c>
      <c r="I144" s="1097">
        <v>3</v>
      </c>
      <c r="J144" s="1098">
        <f t="shared" si="9"/>
        <v>36</v>
      </c>
      <c r="K144" s="153">
        <f t="shared" si="10"/>
        <v>0.33333333333333331</v>
      </c>
      <c r="L144" s="1099"/>
      <c r="M144" s="1100">
        <v>11.000070482855344</v>
      </c>
      <c r="N144" s="1101">
        <f>IF($BF144=0,0,IF(SUM($M144:M144)&lt;($J144-12),12,$J144-SUM($M144:M144)))</f>
        <v>12</v>
      </c>
      <c r="O144" s="1101">
        <f>IF($BF144=0,0,IF(SUM($M144:N144)&lt;($J144-12),12,$J144-SUM($M144:N144)))</f>
        <v>12</v>
      </c>
      <c r="P144" s="1101">
        <f>IF($BF144=0,0,IF(SUM($M144:O144)&lt;($J144-12),12,$J144-SUM($M144:O144)))</f>
        <v>0.99992951714465761</v>
      </c>
      <c r="Q144" s="1101">
        <f>IF($BF144=0,0,IF(SUM($M144:P144)&lt;($J144-12),12,$J144-SUM($M144:P144)))</f>
        <v>0</v>
      </c>
      <c r="S144" s="1100"/>
      <c r="T144" s="1100">
        <v>0</v>
      </c>
      <c r="U144" s="1101">
        <f>IF($BG144=0,0,IF(SUM($S144:T144)&lt;($J144-12),12,$J144-SUM($S144:T144)))</f>
        <v>0</v>
      </c>
      <c r="V144" s="1101">
        <f>IF($BG144=0,0,IF(SUM($S144:U144)&lt;($J144-12),12,$J144-SUM($S144:U144)))</f>
        <v>0</v>
      </c>
      <c r="W144" s="1101">
        <f>IF($BG144=0,0,IF(SUM($S144:V144)&lt;($J144-12),12,$J144-SUM($S144:V144)))</f>
        <v>0</v>
      </c>
      <c r="Y144" s="1100"/>
      <c r="Z144" s="1100"/>
      <c r="AA144" s="1100">
        <v>0</v>
      </c>
      <c r="AB144" s="1101">
        <f>IF($BH144=0,0,IF(SUM($Y144:AA144)&lt;($J144-12),12,$J144-SUM($Y144:AA144)))</f>
        <v>0</v>
      </c>
      <c r="AC144" s="1101">
        <f>IF($BH144=0,0,IF(SUM($Y144:AB144)&lt;($J144-12),12,$J144-SUM($Y144:AB144)))</f>
        <v>0</v>
      </c>
      <c r="AE144" s="1100"/>
      <c r="AF144" s="1100"/>
      <c r="AG144" s="1100"/>
      <c r="AH144" s="1100">
        <v>0</v>
      </c>
      <c r="AI144" s="1101">
        <f>IF($BI144=0,0,IF(SUM($AE144:AH144)&lt;($J144-12),12,$J144-SUM($AE144:AH144)))</f>
        <v>0</v>
      </c>
      <c r="AK144" s="1100"/>
      <c r="AL144" s="1100"/>
      <c r="AM144" s="1100"/>
      <c r="AN144" s="1100"/>
      <c r="AO144" s="1100">
        <v>0</v>
      </c>
      <c r="AQ144" s="153">
        <f t="shared" si="11"/>
        <v>0.91667254023794531</v>
      </c>
      <c r="AR144" s="153">
        <f t="shared" si="12"/>
        <v>0</v>
      </c>
      <c r="AS144" s="153">
        <f t="shared" si="13"/>
        <v>0</v>
      </c>
      <c r="AT144" s="153">
        <f t="shared" si="14"/>
        <v>0</v>
      </c>
      <c r="AU144" s="153">
        <f t="shared" si="15"/>
        <v>0</v>
      </c>
      <c r="AW144" s="1543">
        <v>0.75</v>
      </c>
      <c r="AX144" s="1102"/>
      <c r="AY144" s="1544">
        <v>0.25</v>
      </c>
      <c r="BA144" s="1103">
        <v>0</v>
      </c>
      <c r="BB144" s="1103">
        <v>0</v>
      </c>
      <c r="BC144" s="1103">
        <v>0</v>
      </c>
      <c r="BD144" s="1103">
        <v>0</v>
      </c>
      <c r="BE144" s="1103">
        <v>0</v>
      </c>
      <c r="BF144" s="1103">
        <v>16.74166</v>
      </c>
      <c r="BG144" s="1103">
        <v>0</v>
      </c>
      <c r="BH144" s="1103">
        <v>0</v>
      </c>
      <c r="BI144" s="1103">
        <v>0</v>
      </c>
      <c r="BJ144" s="1103">
        <v>0</v>
      </c>
    </row>
    <row r="145" spans="2:62" hidden="1" outlineLevel="2">
      <c r="B145" s="1094"/>
      <c r="C145" s="1083" t="s">
        <v>403</v>
      </c>
      <c r="D145" s="1062" t="s">
        <v>404</v>
      </c>
      <c r="E145" s="1083" t="s">
        <v>405</v>
      </c>
      <c r="F145" s="1095">
        <v>2020</v>
      </c>
      <c r="G145" s="1096">
        <f t="shared" si="8"/>
        <v>5.6870000000000003</v>
      </c>
      <c r="H145" s="1083" t="s">
        <v>29</v>
      </c>
      <c r="I145" s="1097">
        <v>5</v>
      </c>
      <c r="J145" s="1098">
        <f t="shared" si="9"/>
        <v>60</v>
      </c>
      <c r="K145" s="153">
        <f t="shared" si="10"/>
        <v>0.2</v>
      </c>
      <c r="L145" s="1099"/>
      <c r="M145" s="1100">
        <v>10.999613152804642</v>
      </c>
      <c r="N145" s="1101">
        <f>IF($BF145=0,0,IF(SUM($M145:M145)&lt;($J145-12),12,$J145-SUM($M145:M145)))</f>
        <v>12</v>
      </c>
      <c r="O145" s="1101">
        <f>IF($BF145=0,0,IF(SUM($M145:N145)&lt;($J145-12),12,$J145-SUM($M145:N145)))</f>
        <v>12</v>
      </c>
      <c r="P145" s="1101">
        <f>IF($BF145=0,0,IF(SUM($M145:O145)&lt;($J145-12),12,$J145-SUM($M145:O145)))</f>
        <v>12</v>
      </c>
      <c r="Q145" s="1101">
        <f>IF($BF145=0,0,IF(SUM($M145:P145)&lt;($J145-12),12,$J145-SUM($M145:P145)))</f>
        <v>12</v>
      </c>
      <c r="S145" s="1100"/>
      <c r="T145" s="1100">
        <v>0</v>
      </c>
      <c r="U145" s="1101">
        <f>IF($BG145=0,0,IF(SUM($S145:T145)&lt;($J145-12),12,$J145-SUM($S145:T145)))</f>
        <v>0</v>
      </c>
      <c r="V145" s="1101">
        <f>IF($BG145=0,0,IF(SUM($S145:U145)&lt;($J145-12),12,$J145-SUM($S145:U145)))</f>
        <v>0</v>
      </c>
      <c r="W145" s="1101">
        <f>IF($BG145=0,0,IF(SUM($S145:V145)&lt;($J145-12),12,$J145-SUM($S145:V145)))</f>
        <v>0</v>
      </c>
      <c r="Y145" s="1100"/>
      <c r="Z145" s="1100"/>
      <c r="AA145" s="1100">
        <v>0</v>
      </c>
      <c r="AB145" s="1101">
        <f>IF($BH145=0,0,IF(SUM($Y145:AA145)&lt;($J145-12),12,$J145-SUM($Y145:AA145)))</f>
        <v>0</v>
      </c>
      <c r="AC145" s="1101">
        <f>IF($BH145=0,0,IF(SUM($Y145:AB145)&lt;($J145-12),12,$J145-SUM($Y145:AB145)))</f>
        <v>0</v>
      </c>
      <c r="AE145" s="1100"/>
      <c r="AF145" s="1100"/>
      <c r="AG145" s="1100"/>
      <c r="AH145" s="1100">
        <v>0</v>
      </c>
      <c r="AI145" s="1101">
        <f>IF($BI145=0,0,IF(SUM($AE145:AH145)&lt;($J145-12),12,$J145-SUM($AE145:AH145)))</f>
        <v>0</v>
      </c>
      <c r="AK145" s="1100"/>
      <c r="AL145" s="1100"/>
      <c r="AM145" s="1100"/>
      <c r="AN145" s="1100"/>
      <c r="AO145" s="1100">
        <v>0</v>
      </c>
      <c r="AQ145" s="153">
        <f t="shared" si="11"/>
        <v>0.91663442940038686</v>
      </c>
      <c r="AR145" s="153">
        <f t="shared" si="12"/>
        <v>0</v>
      </c>
      <c r="AS145" s="153">
        <f t="shared" si="13"/>
        <v>0</v>
      </c>
      <c r="AT145" s="153">
        <f t="shared" si="14"/>
        <v>0</v>
      </c>
      <c r="AU145" s="153">
        <f t="shared" si="15"/>
        <v>0</v>
      </c>
      <c r="AW145" s="1543">
        <v>0.75</v>
      </c>
      <c r="AX145" s="1102"/>
      <c r="AY145" s="1544">
        <v>0.25</v>
      </c>
      <c r="BA145" s="1103">
        <v>0</v>
      </c>
      <c r="BB145" s="1103">
        <v>0</v>
      </c>
      <c r="BC145" s="1103">
        <v>0</v>
      </c>
      <c r="BD145" s="1103">
        <v>0</v>
      </c>
      <c r="BE145" s="1103">
        <v>0</v>
      </c>
      <c r="BF145" s="1103">
        <v>5.6870000000000003</v>
      </c>
      <c r="BG145" s="1103">
        <v>0</v>
      </c>
      <c r="BH145" s="1103">
        <v>0</v>
      </c>
      <c r="BI145" s="1103">
        <v>0</v>
      </c>
      <c r="BJ145" s="1103">
        <v>0</v>
      </c>
    </row>
    <row r="146" spans="2:62" hidden="1" outlineLevel="2">
      <c r="B146" s="1094"/>
      <c r="C146" s="1083" t="s">
        <v>403</v>
      </c>
      <c r="D146" s="1062" t="s">
        <v>404</v>
      </c>
      <c r="E146" s="1083" t="s">
        <v>406</v>
      </c>
      <c r="F146" s="1095">
        <v>2020</v>
      </c>
      <c r="G146" s="1096">
        <f t="shared" si="8"/>
        <v>11.374000000000001</v>
      </c>
      <c r="H146" s="1083" t="s">
        <v>29</v>
      </c>
      <c r="I146" s="1097">
        <v>5</v>
      </c>
      <c r="J146" s="1098">
        <f t="shared" si="9"/>
        <v>60</v>
      </c>
      <c r="K146" s="153">
        <f t="shared" si="10"/>
        <v>0.2</v>
      </c>
      <c r="L146" s="1099"/>
      <c r="M146" s="1100">
        <v>11.000193423597679</v>
      </c>
      <c r="N146" s="1101">
        <f>IF($BF146=0,0,IF(SUM($M146:M146)&lt;($J146-12),12,$J146-SUM($M146:M146)))</f>
        <v>12</v>
      </c>
      <c r="O146" s="1101">
        <f>IF($BF146=0,0,IF(SUM($M146:N146)&lt;($J146-12),12,$J146-SUM($M146:N146)))</f>
        <v>12</v>
      </c>
      <c r="P146" s="1101">
        <f>IF($BF146=0,0,IF(SUM($M146:O146)&lt;($J146-12),12,$J146-SUM($M146:O146)))</f>
        <v>12</v>
      </c>
      <c r="Q146" s="1101">
        <f>IF($BF146=0,0,IF(SUM($M146:P146)&lt;($J146-12),12,$J146-SUM($M146:P146)))</f>
        <v>12</v>
      </c>
      <c r="S146" s="1100"/>
      <c r="T146" s="1100">
        <v>0</v>
      </c>
      <c r="U146" s="1101">
        <f>IF($BG146=0,0,IF(SUM($S146:T146)&lt;($J146-12),12,$J146-SUM($S146:T146)))</f>
        <v>0</v>
      </c>
      <c r="V146" s="1101">
        <f>IF($BG146=0,0,IF(SUM($S146:U146)&lt;($J146-12),12,$J146-SUM($S146:U146)))</f>
        <v>0</v>
      </c>
      <c r="W146" s="1101">
        <f>IF($BG146=0,0,IF(SUM($S146:V146)&lt;($J146-12),12,$J146-SUM($S146:V146)))</f>
        <v>0</v>
      </c>
      <c r="Y146" s="1100"/>
      <c r="Z146" s="1100"/>
      <c r="AA146" s="1100">
        <v>0</v>
      </c>
      <c r="AB146" s="1101">
        <f>IF($BH146=0,0,IF(SUM($Y146:AA146)&lt;($J146-12),12,$J146-SUM($Y146:AA146)))</f>
        <v>0</v>
      </c>
      <c r="AC146" s="1101">
        <f>IF($BH146=0,0,IF(SUM($Y146:AB146)&lt;($J146-12),12,$J146-SUM($Y146:AB146)))</f>
        <v>0</v>
      </c>
      <c r="AE146" s="1100"/>
      <c r="AF146" s="1100"/>
      <c r="AG146" s="1100"/>
      <c r="AH146" s="1100">
        <v>0</v>
      </c>
      <c r="AI146" s="1101">
        <f>IF($BI146=0,0,IF(SUM($AE146:AH146)&lt;($J146-12),12,$J146-SUM($AE146:AH146)))</f>
        <v>0</v>
      </c>
      <c r="AK146" s="1100"/>
      <c r="AL146" s="1100"/>
      <c r="AM146" s="1100"/>
      <c r="AN146" s="1100"/>
      <c r="AO146" s="1100">
        <v>0</v>
      </c>
      <c r="AQ146" s="153">
        <f t="shared" si="11"/>
        <v>0.91668278529980662</v>
      </c>
      <c r="AR146" s="153">
        <f t="shared" si="12"/>
        <v>0</v>
      </c>
      <c r="AS146" s="153">
        <f t="shared" si="13"/>
        <v>0</v>
      </c>
      <c r="AT146" s="153">
        <f t="shared" si="14"/>
        <v>0</v>
      </c>
      <c r="AU146" s="153">
        <f t="shared" si="15"/>
        <v>0</v>
      </c>
      <c r="AW146" s="1543">
        <v>0.75</v>
      </c>
      <c r="AX146" s="1102"/>
      <c r="AY146" s="1544">
        <v>0.25</v>
      </c>
      <c r="BA146" s="1103">
        <v>0</v>
      </c>
      <c r="BB146" s="1103">
        <v>0</v>
      </c>
      <c r="BC146" s="1103">
        <v>0</v>
      </c>
      <c r="BD146" s="1103">
        <v>0</v>
      </c>
      <c r="BE146" s="1103">
        <v>0</v>
      </c>
      <c r="BF146" s="1103">
        <v>11.374000000000001</v>
      </c>
      <c r="BG146" s="1103">
        <v>0</v>
      </c>
      <c r="BH146" s="1103">
        <v>0</v>
      </c>
      <c r="BI146" s="1103">
        <v>0</v>
      </c>
      <c r="BJ146" s="1103">
        <v>0</v>
      </c>
    </row>
    <row r="147" spans="2:62" hidden="1" outlineLevel="2">
      <c r="B147" s="1094"/>
      <c r="C147" s="1083" t="s">
        <v>407</v>
      </c>
      <c r="D147" s="1062" t="s">
        <v>408</v>
      </c>
      <c r="E147" s="1083" t="s">
        <v>409</v>
      </c>
      <c r="F147" s="1095">
        <v>2020</v>
      </c>
      <c r="G147" s="1096">
        <f t="shared" si="8"/>
        <v>0.84</v>
      </c>
      <c r="H147" s="1083" t="s">
        <v>29</v>
      </c>
      <c r="I147" s="1097">
        <v>5</v>
      </c>
      <c r="J147" s="1098">
        <f t="shared" si="9"/>
        <v>60</v>
      </c>
      <c r="K147" s="153">
        <f t="shared" si="10"/>
        <v>0.2</v>
      </c>
      <c r="L147" s="1099"/>
      <c r="M147" s="1100">
        <v>9</v>
      </c>
      <c r="N147" s="1101">
        <f>IF($BF147=0,0,IF(SUM($M147:M147)&lt;($J147-12),12,$J147-SUM($M147:M147)))</f>
        <v>12</v>
      </c>
      <c r="O147" s="1101">
        <f>IF($BF147=0,0,IF(SUM($M147:N147)&lt;($J147-12),12,$J147-SUM($M147:N147)))</f>
        <v>12</v>
      </c>
      <c r="P147" s="1101">
        <f>IF($BF147=0,0,IF(SUM($M147:O147)&lt;($J147-12),12,$J147-SUM($M147:O147)))</f>
        <v>12</v>
      </c>
      <c r="Q147" s="1101">
        <f>IF($BF147=0,0,IF(SUM($M147:P147)&lt;($J147-12),12,$J147-SUM($M147:P147)))</f>
        <v>12</v>
      </c>
      <c r="S147" s="1100"/>
      <c r="T147" s="1100">
        <v>0</v>
      </c>
      <c r="U147" s="1101">
        <f>IF($BG147=0,0,IF(SUM($S147:T147)&lt;($J147-12),12,$J147-SUM($S147:T147)))</f>
        <v>0</v>
      </c>
      <c r="V147" s="1101">
        <f>IF($BG147=0,0,IF(SUM($S147:U147)&lt;($J147-12),12,$J147-SUM($S147:U147)))</f>
        <v>0</v>
      </c>
      <c r="W147" s="1101">
        <f>IF($BG147=0,0,IF(SUM($S147:V147)&lt;($J147-12),12,$J147-SUM($S147:V147)))</f>
        <v>0</v>
      </c>
      <c r="Y147" s="1100"/>
      <c r="Z147" s="1100"/>
      <c r="AA147" s="1100">
        <v>0</v>
      </c>
      <c r="AB147" s="1101">
        <f>IF($BH147=0,0,IF(SUM($Y147:AA147)&lt;($J147-12),12,$J147-SUM($Y147:AA147)))</f>
        <v>0</v>
      </c>
      <c r="AC147" s="1101">
        <f>IF($BH147=0,0,IF(SUM($Y147:AB147)&lt;($J147-12),12,$J147-SUM($Y147:AB147)))</f>
        <v>0</v>
      </c>
      <c r="AE147" s="1100"/>
      <c r="AF147" s="1100"/>
      <c r="AG147" s="1100"/>
      <c r="AH147" s="1100">
        <v>0</v>
      </c>
      <c r="AI147" s="1101">
        <f>IF($BI147=0,0,IF(SUM($AE147:AH147)&lt;($J147-12),12,$J147-SUM($AE147:AH147)))</f>
        <v>0</v>
      </c>
      <c r="AK147" s="1100"/>
      <c r="AL147" s="1100"/>
      <c r="AM147" s="1100"/>
      <c r="AN147" s="1100"/>
      <c r="AO147" s="1100">
        <v>0</v>
      </c>
      <c r="AQ147" s="153">
        <f t="shared" si="11"/>
        <v>0.75</v>
      </c>
      <c r="AR147" s="153">
        <f t="shared" si="12"/>
        <v>0</v>
      </c>
      <c r="AS147" s="153">
        <f t="shared" si="13"/>
        <v>0</v>
      </c>
      <c r="AT147" s="153">
        <f t="shared" si="14"/>
        <v>0</v>
      </c>
      <c r="AU147" s="153">
        <f t="shared" si="15"/>
        <v>0</v>
      </c>
      <c r="AW147" s="1543">
        <v>1</v>
      </c>
      <c r="AX147" s="1102"/>
      <c r="AY147" s="1544">
        <v>0</v>
      </c>
      <c r="BA147" s="1103">
        <v>0</v>
      </c>
      <c r="BB147" s="1103">
        <v>0</v>
      </c>
      <c r="BC147" s="1103">
        <v>0</v>
      </c>
      <c r="BD147" s="1103">
        <v>0</v>
      </c>
      <c r="BE147" s="1103">
        <v>0</v>
      </c>
      <c r="BF147" s="1103">
        <v>0.84</v>
      </c>
      <c r="BG147" s="1103">
        <v>0</v>
      </c>
      <c r="BH147" s="1103">
        <v>0</v>
      </c>
      <c r="BI147" s="1103">
        <v>0</v>
      </c>
      <c r="BJ147" s="1103">
        <v>0</v>
      </c>
    </row>
    <row r="148" spans="2:62" hidden="1" outlineLevel="2">
      <c r="B148" s="1094"/>
      <c r="C148" s="1083" t="s">
        <v>410</v>
      </c>
      <c r="D148" s="1062" t="s">
        <v>408</v>
      </c>
      <c r="E148" s="1083" t="s">
        <v>411</v>
      </c>
      <c r="F148" s="1095">
        <v>2020</v>
      </c>
      <c r="G148" s="1096">
        <f t="shared" si="8"/>
        <v>1.218</v>
      </c>
      <c r="H148" s="1083" t="s">
        <v>29</v>
      </c>
      <c r="I148" s="1097">
        <v>5</v>
      </c>
      <c r="J148" s="1098">
        <f t="shared" si="9"/>
        <v>60</v>
      </c>
      <c r="K148" s="153">
        <f t="shared" si="10"/>
        <v>0.2</v>
      </c>
      <c r="L148" s="1099"/>
      <c r="M148" s="1100">
        <v>9</v>
      </c>
      <c r="N148" s="1101">
        <f>IF($BF148=0,0,IF(SUM($M148:M148)&lt;($J148-12),12,$J148-SUM($M148:M148)))</f>
        <v>12</v>
      </c>
      <c r="O148" s="1101">
        <f>IF($BF148=0,0,IF(SUM($M148:N148)&lt;($J148-12),12,$J148-SUM($M148:N148)))</f>
        <v>12</v>
      </c>
      <c r="P148" s="1101">
        <f>IF($BF148=0,0,IF(SUM($M148:O148)&lt;($J148-12),12,$J148-SUM($M148:O148)))</f>
        <v>12</v>
      </c>
      <c r="Q148" s="1101">
        <f>IF($BF148=0,0,IF(SUM($M148:P148)&lt;($J148-12),12,$J148-SUM($M148:P148)))</f>
        <v>12</v>
      </c>
      <c r="S148" s="1100"/>
      <c r="T148" s="1100">
        <v>0</v>
      </c>
      <c r="U148" s="1101">
        <f>IF($BG148=0,0,IF(SUM($S148:T148)&lt;($J148-12),12,$J148-SUM($S148:T148)))</f>
        <v>0</v>
      </c>
      <c r="V148" s="1101">
        <f>IF($BG148=0,0,IF(SUM($S148:U148)&lt;($J148-12),12,$J148-SUM($S148:U148)))</f>
        <v>0</v>
      </c>
      <c r="W148" s="1101">
        <f>IF($BG148=0,0,IF(SUM($S148:V148)&lt;($J148-12),12,$J148-SUM($S148:V148)))</f>
        <v>0</v>
      </c>
      <c r="Y148" s="1100"/>
      <c r="Z148" s="1100"/>
      <c r="AA148" s="1100">
        <v>0</v>
      </c>
      <c r="AB148" s="1101">
        <f>IF($BH148=0,0,IF(SUM($Y148:AA148)&lt;($J148-12),12,$J148-SUM($Y148:AA148)))</f>
        <v>0</v>
      </c>
      <c r="AC148" s="1101">
        <f>IF($BH148=0,0,IF(SUM($Y148:AB148)&lt;($J148-12),12,$J148-SUM($Y148:AB148)))</f>
        <v>0</v>
      </c>
      <c r="AE148" s="1100"/>
      <c r="AF148" s="1100"/>
      <c r="AG148" s="1100"/>
      <c r="AH148" s="1100">
        <v>0</v>
      </c>
      <c r="AI148" s="1101">
        <f>IF($BI148=0,0,IF(SUM($AE148:AH148)&lt;($J148-12),12,$J148-SUM($AE148:AH148)))</f>
        <v>0</v>
      </c>
      <c r="AK148" s="1100"/>
      <c r="AL148" s="1100"/>
      <c r="AM148" s="1100"/>
      <c r="AN148" s="1100"/>
      <c r="AO148" s="1100">
        <v>0</v>
      </c>
      <c r="AQ148" s="153">
        <f t="shared" si="11"/>
        <v>0.75</v>
      </c>
      <c r="AR148" s="153">
        <f t="shared" si="12"/>
        <v>0</v>
      </c>
      <c r="AS148" s="153">
        <f t="shared" si="13"/>
        <v>0</v>
      </c>
      <c r="AT148" s="153">
        <f t="shared" si="14"/>
        <v>0</v>
      </c>
      <c r="AU148" s="153">
        <f t="shared" si="15"/>
        <v>0</v>
      </c>
      <c r="AW148" s="1543">
        <v>0</v>
      </c>
      <c r="AX148" s="1102"/>
      <c r="AY148" s="1544">
        <v>1</v>
      </c>
      <c r="BA148" s="1103">
        <v>0</v>
      </c>
      <c r="BB148" s="1103">
        <v>0</v>
      </c>
      <c r="BC148" s="1103">
        <v>0</v>
      </c>
      <c r="BD148" s="1103">
        <v>0</v>
      </c>
      <c r="BE148" s="1103">
        <v>0</v>
      </c>
      <c r="BF148" s="1103">
        <v>1.218</v>
      </c>
      <c r="BG148" s="1103">
        <v>0</v>
      </c>
      <c r="BH148" s="1103">
        <v>0</v>
      </c>
      <c r="BI148" s="1103">
        <v>0</v>
      </c>
      <c r="BJ148" s="1103">
        <v>0</v>
      </c>
    </row>
    <row r="149" spans="2:62" hidden="1" outlineLevel="1" collapsed="1">
      <c r="B149" s="1094"/>
      <c r="C149" s="1083" t="s">
        <v>412</v>
      </c>
      <c r="D149" s="1062" t="s">
        <v>78</v>
      </c>
      <c r="E149" s="1083" t="s">
        <v>413</v>
      </c>
      <c r="F149" s="1095" t="s">
        <v>414</v>
      </c>
      <c r="G149" s="1096">
        <f t="shared" si="8"/>
        <v>36392.626499999998</v>
      </c>
      <c r="H149" s="1083" t="s">
        <v>29</v>
      </c>
      <c r="I149" s="1097">
        <v>20</v>
      </c>
      <c r="J149" s="1098">
        <f t="shared" si="9"/>
        <v>240</v>
      </c>
      <c r="K149" s="153">
        <f t="shared" si="10"/>
        <v>0.05</v>
      </c>
      <c r="L149" s="1099"/>
      <c r="M149" s="1100">
        <v>0</v>
      </c>
      <c r="N149" s="1101">
        <f>IF($BF149=0,0,IF(SUM($M149:M149)&lt;($J149-12),12,$J149-SUM($M149:M149)))</f>
        <v>0</v>
      </c>
      <c r="O149" s="1101">
        <f>IF($BF149=0,0,IF(SUM($M149:N149)&lt;($J149-12),12,$J149-SUM($M149:N149)))</f>
        <v>0</v>
      </c>
      <c r="P149" s="1101">
        <f>IF($BF149=0,0,IF(SUM($M149:O149)&lt;($J149-12),12,$J149-SUM($M149:O149)))</f>
        <v>0</v>
      </c>
      <c r="Q149" s="1101">
        <f>IF($BF149=0,0,IF(SUM($M149:P149)&lt;($J149-12),12,$J149-SUM($M149:P149)))</f>
        <v>0</v>
      </c>
      <c r="S149" s="1100"/>
      <c r="T149" s="1100">
        <v>6</v>
      </c>
      <c r="U149" s="1101">
        <f>IF($BG149=0,0,IF(SUM($S149:T149)&lt;($J149-12),12,$J149-SUM($S149:T149)))</f>
        <v>12</v>
      </c>
      <c r="V149" s="1101">
        <f>IF($BG149=0,0,IF(SUM($S149:U149)&lt;($J149-12),12,$J149-SUM($S149:U149)))</f>
        <v>12</v>
      </c>
      <c r="W149" s="1101">
        <f>IF($BG149=0,0,IF(SUM($S149:V149)&lt;($J149-12),12,$J149-SUM($S149:V149)))</f>
        <v>12</v>
      </c>
      <c r="Y149" s="1100"/>
      <c r="Z149" s="1100"/>
      <c r="AA149" s="1100">
        <v>0</v>
      </c>
      <c r="AB149" s="1101">
        <f>IF($BH149=0,0,IF(SUM($Y149:AA149)&lt;($J149-12),12,$J149-SUM($Y149:AA149)))</f>
        <v>0</v>
      </c>
      <c r="AC149" s="1101">
        <f>IF($BH149=0,0,IF(SUM($Y149:AB149)&lt;($J149-12),12,$J149-SUM($Y149:AB149)))</f>
        <v>0</v>
      </c>
      <c r="AE149" s="1100"/>
      <c r="AF149" s="1100"/>
      <c r="AG149" s="1100"/>
      <c r="AH149" s="1100">
        <v>0</v>
      </c>
      <c r="AI149" s="1101">
        <f>IF($BI149=0,0,IF(SUM($AE149:AH149)&lt;($J149-12),12,$J149-SUM($AE149:AH149)))</f>
        <v>0</v>
      </c>
      <c r="AK149" s="1100"/>
      <c r="AL149" s="1100"/>
      <c r="AM149" s="1100"/>
      <c r="AN149" s="1100"/>
      <c r="AO149" s="1100">
        <v>0</v>
      </c>
      <c r="AQ149" s="153">
        <f t="shared" si="11"/>
        <v>0</v>
      </c>
      <c r="AR149" s="153">
        <f t="shared" si="12"/>
        <v>0.5</v>
      </c>
      <c r="AS149" s="153">
        <f t="shared" si="13"/>
        <v>0</v>
      </c>
      <c r="AT149" s="153">
        <f t="shared" si="14"/>
        <v>0</v>
      </c>
      <c r="AU149" s="153">
        <f t="shared" si="15"/>
        <v>0</v>
      </c>
      <c r="AW149" s="1543">
        <v>0</v>
      </c>
      <c r="AX149" s="1102"/>
      <c r="AY149" s="1544">
        <v>1</v>
      </c>
      <c r="BA149" s="1103">
        <v>0</v>
      </c>
      <c r="BB149" s="1103">
        <v>0</v>
      </c>
      <c r="BC149" s="1103">
        <v>0</v>
      </c>
      <c r="BD149" s="1103">
        <v>0</v>
      </c>
      <c r="BE149" s="1103">
        <v>0</v>
      </c>
      <c r="BF149" s="1103">
        <v>0</v>
      </c>
      <c r="BG149" s="1103">
        <v>36392.626499999998</v>
      </c>
      <c r="BH149" s="1103">
        <v>0</v>
      </c>
      <c r="BI149" s="1103">
        <v>0</v>
      </c>
      <c r="BJ149" s="1103">
        <v>0</v>
      </c>
    </row>
    <row r="150" spans="2:62" hidden="1" outlineLevel="1">
      <c r="B150" s="1094"/>
      <c r="C150" s="1083" t="s">
        <v>415</v>
      </c>
      <c r="D150" s="1062" t="s">
        <v>78</v>
      </c>
      <c r="E150" s="1083" t="s">
        <v>416</v>
      </c>
      <c r="F150" s="1095" t="s">
        <v>414</v>
      </c>
      <c r="G150" s="1096">
        <f t="shared" si="8"/>
        <v>0</v>
      </c>
      <c r="H150" s="1083" t="s">
        <v>29</v>
      </c>
      <c r="I150" s="1097">
        <v>0</v>
      </c>
      <c r="J150" s="1098">
        <f t="shared" si="9"/>
        <v>0</v>
      </c>
      <c r="K150" s="153">
        <f t="shared" si="10"/>
        <v>0</v>
      </c>
      <c r="L150" s="1099"/>
      <c r="M150" s="1100">
        <v>0</v>
      </c>
      <c r="N150" s="1101">
        <f>IF($BF150=0,0,IF(SUM($M150:M150)&lt;($J150-12),12,$J150-SUM($M150:M150)))</f>
        <v>0</v>
      </c>
      <c r="O150" s="1101">
        <f>IF($BF150=0,0,IF(SUM($M150:N150)&lt;($J150-12),12,$J150-SUM($M150:N150)))</f>
        <v>0</v>
      </c>
      <c r="P150" s="1101">
        <f>IF($BF150=0,0,IF(SUM($M150:O150)&lt;($J150-12),12,$J150-SUM($M150:O150)))</f>
        <v>0</v>
      </c>
      <c r="Q150" s="1101">
        <f>IF($BF150=0,0,IF(SUM($M150:P150)&lt;($J150-12),12,$J150-SUM($M150:P150)))</f>
        <v>0</v>
      </c>
      <c r="S150" s="1100"/>
      <c r="T150" s="1100">
        <v>0</v>
      </c>
      <c r="U150" s="1101">
        <f>IF($BG150=0,0,IF(SUM($S150:T150)&lt;($J150-12),12,$J150-SUM($S150:T150)))</f>
        <v>0</v>
      </c>
      <c r="V150" s="1101">
        <f>IF($BG150=0,0,IF(SUM($S150:U150)&lt;($J150-12),12,$J150-SUM($S150:U150)))</f>
        <v>0</v>
      </c>
      <c r="W150" s="1101">
        <f>IF($BG150=0,0,IF(SUM($S150:V150)&lt;($J150-12),12,$J150-SUM($S150:V150)))</f>
        <v>0</v>
      </c>
      <c r="Y150" s="1100"/>
      <c r="Z150" s="1100"/>
      <c r="AA150" s="1100">
        <v>0</v>
      </c>
      <c r="AB150" s="1101">
        <f>IF($BH150=0,0,IF(SUM($Y150:AA150)&lt;($J150-12),12,$J150-SUM($Y150:AA150)))</f>
        <v>0</v>
      </c>
      <c r="AC150" s="1101">
        <f>IF($BH150=0,0,IF(SUM($Y150:AB150)&lt;($J150-12),12,$J150-SUM($Y150:AB150)))</f>
        <v>0</v>
      </c>
      <c r="AE150" s="1100"/>
      <c r="AF150" s="1100"/>
      <c r="AG150" s="1100"/>
      <c r="AH150" s="1100">
        <v>0</v>
      </c>
      <c r="AI150" s="1101">
        <f>IF($BI150=0,0,IF(SUM($AE150:AH150)&lt;($J150-12),12,$J150-SUM($AE150:AH150)))</f>
        <v>0</v>
      </c>
      <c r="AK150" s="1100"/>
      <c r="AL150" s="1100"/>
      <c r="AM150" s="1100"/>
      <c r="AN150" s="1100"/>
      <c r="AO150" s="1100">
        <v>0</v>
      </c>
      <c r="AQ150" s="153">
        <f t="shared" si="11"/>
        <v>0</v>
      </c>
      <c r="AR150" s="153">
        <f t="shared" si="12"/>
        <v>0</v>
      </c>
      <c r="AS150" s="153">
        <f t="shared" si="13"/>
        <v>0</v>
      </c>
      <c r="AT150" s="153">
        <f t="shared" si="14"/>
        <v>0</v>
      </c>
      <c r="AU150" s="153">
        <f t="shared" si="15"/>
        <v>0</v>
      </c>
      <c r="AW150" s="1543">
        <v>0</v>
      </c>
      <c r="AX150" s="1102"/>
      <c r="AY150" s="1544">
        <v>0</v>
      </c>
      <c r="BA150" s="1103">
        <v>0</v>
      </c>
      <c r="BB150" s="1103">
        <v>0</v>
      </c>
      <c r="BC150" s="1103">
        <v>0</v>
      </c>
      <c r="BD150" s="1103">
        <v>0</v>
      </c>
      <c r="BE150" s="1103">
        <v>0</v>
      </c>
      <c r="BF150" s="1103">
        <v>0</v>
      </c>
      <c r="BG150" s="1103">
        <v>0</v>
      </c>
      <c r="BH150" s="1103">
        <v>0</v>
      </c>
      <c r="BI150" s="1103">
        <v>0</v>
      </c>
      <c r="BJ150" s="1103">
        <v>0</v>
      </c>
    </row>
    <row r="151" spans="2:62" hidden="1" outlineLevel="1">
      <c r="B151" s="1094"/>
      <c r="C151" s="1083" t="s">
        <v>417</v>
      </c>
      <c r="D151" s="1062" t="s">
        <v>78</v>
      </c>
      <c r="E151" s="1083" t="s">
        <v>418</v>
      </c>
      <c r="F151" s="1095" t="s">
        <v>414</v>
      </c>
      <c r="G151" s="1096">
        <f t="shared" si="8"/>
        <v>17.475000000000001</v>
      </c>
      <c r="H151" s="1083" t="s">
        <v>29</v>
      </c>
      <c r="I151" s="1097">
        <v>8</v>
      </c>
      <c r="J151" s="1098">
        <f t="shared" si="9"/>
        <v>96</v>
      </c>
      <c r="K151" s="153">
        <f t="shared" si="10"/>
        <v>0.125</v>
      </c>
      <c r="L151" s="1099"/>
      <c r="M151" s="1100">
        <v>0</v>
      </c>
      <c r="N151" s="1101">
        <f>IF($BF151=0,0,IF(SUM($M151:M151)&lt;($J151-12),12,$J151-SUM($M151:M151)))</f>
        <v>0</v>
      </c>
      <c r="O151" s="1101">
        <f>IF($BF151=0,0,IF(SUM($M151:N151)&lt;($J151-12),12,$J151-SUM($M151:N151)))</f>
        <v>0</v>
      </c>
      <c r="P151" s="1101">
        <f>IF($BF151=0,0,IF(SUM($M151:O151)&lt;($J151-12),12,$J151-SUM($M151:O151)))</f>
        <v>0</v>
      </c>
      <c r="Q151" s="1101">
        <f>IF($BF151=0,0,IF(SUM($M151:P151)&lt;($J151-12),12,$J151-SUM($M151:P151)))</f>
        <v>0</v>
      </c>
      <c r="S151" s="1100"/>
      <c r="T151" s="1100">
        <v>6</v>
      </c>
      <c r="U151" s="1101">
        <f>IF($BG151=0,0,IF(SUM($S151:T151)&lt;($J151-12),12,$J151-SUM($S151:T151)))</f>
        <v>12</v>
      </c>
      <c r="V151" s="1101">
        <f>IF($BG151=0,0,IF(SUM($S151:U151)&lt;($J151-12),12,$J151-SUM($S151:U151)))</f>
        <v>12</v>
      </c>
      <c r="W151" s="1101">
        <f>IF($BG151=0,0,IF(SUM($S151:V151)&lt;($J151-12),12,$J151-SUM($S151:V151)))</f>
        <v>12</v>
      </c>
      <c r="Y151" s="1100"/>
      <c r="Z151" s="1100"/>
      <c r="AA151" s="1100">
        <v>0</v>
      </c>
      <c r="AB151" s="1101">
        <f>IF($BH151=0,0,IF(SUM($Y151:AA151)&lt;($J151-12),12,$J151-SUM($Y151:AA151)))</f>
        <v>0</v>
      </c>
      <c r="AC151" s="1101">
        <f>IF($BH151=0,0,IF(SUM($Y151:AB151)&lt;($J151-12),12,$J151-SUM($Y151:AB151)))</f>
        <v>0</v>
      </c>
      <c r="AE151" s="1100"/>
      <c r="AF151" s="1100"/>
      <c r="AG151" s="1100"/>
      <c r="AH151" s="1100">
        <v>0</v>
      </c>
      <c r="AI151" s="1101">
        <f>IF($BI151=0,0,IF(SUM($AE151:AH151)&lt;($J151-12),12,$J151-SUM($AE151:AH151)))</f>
        <v>0</v>
      </c>
      <c r="AK151" s="1100"/>
      <c r="AL151" s="1100"/>
      <c r="AM151" s="1100"/>
      <c r="AN151" s="1100"/>
      <c r="AO151" s="1100">
        <v>0</v>
      </c>
      <c r="AQ151" s="153">
        <f t="shared" si="11"/>
        <v>0</v>
      </c>
      <c r="AR151" s="153">
        <f t="shared" si="12"/>
        <v>0.5</v>
      </c>
      <c r="AS151" s="153">
        <f t="shared" si="13"/>
        <v>0</v>
      </c>
      <c r="AT151" s="153">
        <f t="shared" si="14"/>
        <v>0</v>
      </c>
      <c r="AU151" s="153">
        <f t="shared" si="15"/>
        <v>0</v>
      </c>
      <c r="AW151" s="1543">
        <v>0</v>
      </c>
      <c r="AX151" s="1102"/>
      <c r="AY151" s="1544">
        <v>1</v>
      </c>
      <c r="BA151" s="1103">
        <v>0</v>
      </c>
      <c r="BB151" s="1103">
        <v>0</v>
      </c>
      <c r="BC151" s="1103">
        <v>0</v>
      </c>
      <c r="BD151" s="1103">
        <v>0</v>
      </c>
      <c r="BE151" s="1103">
        <v>0</v>
      </c>
      <c r="BF151" s="1103">
        <v>0</v>
      </c>
      <c r="BG151" s="1103">
        <v>17.475000000000001</v>
      </c>
      <c r="BH151" s="1103">
        <v>0</v>
      </c>
      <c r="BI151" s="1103">
        <v>0</v>
      </c>
      <c r="BJ151" s="1103">
        <v>0</v>
      </c>
    </row>
    <row r="152" spans="2:62" hidden="1" outlineLevel="1">
      <c r="B152" s="1094"/>
      <c r="C152" s="1083" t="s">
        <v>419</v>
      </c>
      <c r="D152" s="1062" t="s">
        <v>78</v>
      </c>
      <c r="E152" s="1083" t="s">
        <v>418</v>
      </c>
      <c r="F152" s="1095" t="s">
        <v>414</v>
      </c>
      <c r="G152" s="1096">
        <f t="shared" si="8"/>
        <v>1759.75125</v>
      </c>
      <c r="H152" s="1083" t="s">
        <v>29</v>
      </c>
      <c r="I152" s="1097">
        <v>8</v>
      </c>
      <c r="J152" s="1098">
        <f t="shared" si="9"/>
        <v>96</v>
      </c>
      <c r="K152" s="153">
        <f t="shared" si="10"/>
        <v>0.125</v>
      </c>
      <c r="L152" s="1099"/>
      <c r="M152" s="1100">
        <v>0</v>
      </c>
      <c r="N152" s="1101">
        <f>IF($BF152=0,0,IF(SUM($M152:M152)&lt;($J152-12),12,$J152-SUM($M152:M152)))</f>
        <v>0</v>
      </c>
      <c r="O152" s="1101">
        <f>IF($BF152=0,0,IF(SUM($M152:N152)&lt;($J152-12),12,$J152-SUM($M152:N152)))</f>
        <v>0</v>
      </c>
      <c r="P152" s="1101">
        <f>IF($BF152=0,0,IF(SUM($M152:O152)&lt;($J152-12),12,$J152-SUM($M152:O152)))</f>
        <v>0</v>
      </c>
      <c r="Q152" s="1101">
        <f>IF($BF152=0,0,IF(SUM($M152:P152)&lt;($J152-12),12,$J152-SUM($M152:P152)))</f>
        <v>0</v>
      </c>
      <c r="S152" s="1100"/>
      <c r="T152" s="1100">
        <v>0</v>
      </c>
      <c r="U152" s="1101">
        <f>IF($BG152=0,0,IF(SUM($S152:T152)&lt;($J152-12),12,$J152-SUM($S152:T152)))</f>
        <v>0</v>
      </c>
      <c r="V152" s="1101">
        <f>IF($BG152=0,0,IF(SUM($S152:U152)&lt;($J152-12),12,$J152-SUM($S152:U152)))</f>
        <v>0</v>
      </c>
      <c r="W152" s="1101">
        <f>IF($BG152=0,0,IF(SUM($S152:V152)&lt;($J152-12),12,$J152-SUM($S152:V152)))</f>
        <v>0</v>
      </c>
      <c r="Y152" s="1100"/>
      <c r="Z152" s="1100"/>
      <c r="AA152" s="1100">
        <v>6</v>
      </c>
      <c r="AB152" s="1101">
        <f>IF($BH152=0,0,IF(SUM($Y152:AA152)&lt;($J152-12),12,$J152-SUM($Y152:AA152)))</f>
        <v>12</v>
      </c>
      <c r="AC152" s="1101">
        <f>IF($BH152=0,0,IF(SUM($Y152:AB152)&lt;($J152-12),12,$J152-SUM($Y152:AB152)))</f>
        <v>12</v>
      </c>
      <c r="AE152" s="1100"/>
      <c r="AF152" s="1100"/>
      <c r="AG152" s="1100"/>
      <c r="AH152" s="1100">
        <v>0</v>
      </c>
      <c r="AI152" s="1101">
        <f>IF($BI152=0,0,IF(SUM($AE152:AH152)&lt;($J152-12),12,$J152-SUM($AE152:AH152)))</f>
        <v>0</v>
      </c>
      <c r="AK152" s="1100"/>
      <c r="AL152" s="1100"/>
      <c r="AM152" s="1100"/>
      <c r="AN152" s="1100"/>
      <c r="AO152" s="1100">
        <v>0</v>
      </c>
      <c r="AQ152" s="153">
        <f t="shared" si="11"/>
        <v>0</v>
      </c>
      <c r="AR152" s="153">
        <f t="shared" si="12"/>
        <v>0</v>
      </c>
      <c r="AS152" s="153">
        <f t="shared" si="13"/>
        <v>0.5</v>
      </c>
      <c r="AT152" s="153">
        <f t="shared" si="14"/>
        <v>0</v>
      </c>
      <c r="AU152" s="153">
        <f t="shared" si="15"/>
        <v>0</v>
      </c>
      <c r="AW152" s="1543">
        <v>0</v>
      </c>
      <c r="AX152" s="1102"/>
      <c r="AY152" s="1544">
        <v>1</v>
      </c>
      <c r="BA152" s="1103">
        <v>0</v>
      </c>
      <c r="BB152" s="1103">
        <v>0</v>
      </c>
      <c r="BC152" s="1103">
        <v>0</v>
      </c>
      <c r="BD152" s="1103">
        <v>0</v>
      </c>
      <c r="BE152" s="1103">
        <v>0</v>
      </c>
      <c r="BF152" s="1103">
        <v>0</v>
      </c>
      <c r="BG152" s="1103">
        <v>0</v>
      </c>
      <c r="BH152" s="1103">
        <v>1759.75125</v>
      </c>
      <c r="BI152" s="1103">
        <v>0</v>
      </c>
      <c r="BJ152" s="1103">
        <v>0</v>
      </c>
    </row>
    <row r="153" spans="2:62" hidden="1" outlineLevel="1">
      <c r="B153" s="1094"/>
      <c r="C153" s="1083" t="s">
        <v>420</v>
      </c>
      <c r="D153" s="1062" t="s">
        <v>78</v>
      </c>
      <c r="E153" s="1083" t="s">
        <v>418</v>
      </c>
      <c r="F153" s="1095" t="s">
        <v>414</v>
      </c>
      <c r="G153" s="1096">
        <f t="shared" si="8"/>
        <v>2336.4503050000003</v>
      </c>
      <c r="H153" s="1083" t="s">
        <v>29</v>
      </c>
      <c r="I153" s="1097">
        <v>8</v>
      </c>
      <c r="J153" s="1098">
        <f t="shared" si="9"/>
        <v>96</v>
      </c>
      <c r="K153" s="153">
        <f t="shared" si="10"/>
        <v>0.125</v>
      </c>
      <c r="L153" s="1099"/>
      <c r="M153" s="1100">
        <v>0</v>
      </c>
      <c r="N153" s="1101">
        <f>IF($BF153=0,0,IF(SUM($M153:M153)&lt;($J153-12),12,$J153-SUM($M153:M153)))</f>
        <v>0</v>
      </c>
      <c r="O153" s="1101">
        <f>IF($BF153=0,0,IF(SUM($M153:N153)&lt;($J153-12),12,$J153-SUM($M153:N153)))</f>
        <v>0</v>
      </c>
      <c r="P153" s="1101">
        <f>IF($BF153=0,0,IF(SUM($M153:O153)&lt;($J153-12),12,$J153-SUM($M153:O153)))</f>
        <v>0</v>
      </c>
      <c r="Q153" s="1101">
        <f>IF($BF153=0,0,IF(SUM($M153:P153)&lt;($J153-12),12,$J153-SUM($M153:P153)))</f>
        <v>0</v>
      </c>
      <c r="S153" s="1100"/>
      <c r="T153" s="1100">
        <v>6</v>
      </c>
      <c r="U153" s="1101">
        <f>IF($BG153=0,0,IF(SUM($S153:T153)&lt;($J153-12),12,$J153-SUM($S153:T153)))</f>
        <v>12</v>
      </c>
      <c r="V153" s="1101">
        <f>IF($BG153=0,0,IF(SUM($S153:U153)&lt;($J153-12),12,$J153-SUM($S153:U153)))</f>
        <v>12</v>
      </c>
      <c r="W153" s="1101">
        <f>IF($BG153=0,0,IF(SUM($S153:V153)&lt;($J153-12),12,$J153-SUM($S153:V153)))</f>
        <v>12</v>
      </c>
      <c r="Y153" s="1100"/>
      <c r="Z153" s="1100"/>
      <c r="AA153" s="1100">
        <v>0</v>
      </c>
      <c r="AB153" s="1101">
        <f>IF($BH153=0,0,IF(SUM($Y153:AA153)&lt;($J153-12),12,$J153-SUM($Y153:AA153)))</f>
        <v>0</v>
      </c>
      <c r="AC153" s="1101">
        <f>IF($BH153=0,0,IF(SUM($Y153:AB153)&lt;($J153-12),12,$J153-SUM($Y153:AB153)))</f>
        <v>0</v>
      </c>
      <c r="AE153" s="1100"/>
      <c r="AF153" s="1100"/>
      <c r="AG153" s="1100"/>
      <c r="AH153" s="1100">
        <v>0</v>
      </c>
      <c r="AI153" s="1101">
        <f>IF($BI153=0,0,IF(SUM($AE153:AH153)&lt;($J153-12),12,$J153-SUM($AE153:AH153)))</f>
        <v>0</v>
      </c>
      <c r="AK153" s="1100"/>
      <c r="AL153" s="1100"/>
      <c r="AM153" s="1100"/>
      <c r="AN153" s="1100"/>
      <c r="AO153" s="1100">
        <v>0</v>
      </c>
      <c r="AQ153" s="153">
        <f t="shared" si="11"/>
        <v>0</v>
      </c>
      <c r="AR153" s="153">
        <f t="shared" si="12"/>
        <v>0.5</v>
      </c>
      <c r="AS153" s="153">
        <f t="shared" si="13"/>
        <v>0</v>
      </c>
      <c r="AT153" s="153">
        <f t="shared" si="14"/>
        <v>0</v>
      </c>
      <c r="AU153" s="153">
        <f t="shared" si="15"/>
        <v>0</v>
      </c>
      <c r="AW153" s="1543">
        <v>0</v>
      </c>
      <c r="AX153" s="1102"/>
      <c r="AY153" s="1544">
        <v>1</v>
      </c>
      <c r="BA153" s="1103">
        <v>0</v>
      </c>
      <c r="BB153" s="1103">
        <v>0</v>
      </c>
      <c r="BC153" s="1103">
        <v>0</v>
      </c>
      <c r="BD153" s="1103">
        <v>0</v>
      </c>
      <c r="BE153" s="1103">
        <v>0</v>
      </c>
      <c r="BF153" s="1103">
        <v>0</v>
      </c>
      <c r="BG153" s="1103">
        <v>2336.4503050000003</v>
      </c>
      <c r="BH153" s="1103">
        <v>0</v>
      </c>
      <c r="BI153" s="1103">
        <v>0</v>
      </c>
      <c r="BJ153" s="1103">
        <v>0</v>
      </c>
    </row>
    <row r="154" spans="2:62" hidden="1" outlineLevel="1">
      <c r="B154" s="1094"/>
      <c r="C154" s="1083" t="s">
        <v>421</v>
      </c>
      <c r="D154" s="1062" t="s">
        <v>78</v>
      </c>
      <c r="E154" s="1083" t="s">
        <v>418</v>
      </c>
      <c r="F154" s="1095" t="s">
        <v>414</v>
      </c>
      <c r="G154" s="1096">
        <f t="shared" si="8"/>
        <v>3267.49613</v>
      </c>
      <c r="H154" s="1083" t="s">
        <v>29</v>
      </c>
      <c r="I154" s="1097">
        <v>8</v>
      </c>
      <c r="J154" s="1098">
        <f t="shared" si="9"/>
        <v>96</v>
      </c>
      <c r="K154" s="153">
        <f t="shared" si="10"/>
        <v>0.125</v>
      </c>
      <c r="L154" s="1099"/>
      <c r="M154" s="1100">
        <v>0</v>
      </c>
      <c r="N154" s="1101">
        <f>IF($BF154=0,0,IF(SUM($M154:M154)&lt;($J154-12),12,$J154-SUM($M154:M154)))</f>
        <v>0</v>
      </c>
      <c r="O154" s="1101">
        <f>IF($BF154=0,0,IF(SUM($M154:N154)&lt;($J154-12),12,$J154-SUM($M154:N154)))</f>
        <v>0</v>
      </c>
      <c r="P154" s="1101">
        <f>IF($BF154=0,0,IF(SUM($M154:O154)&lt;($J154-12),12,$J154-SUM($M154:O154)))</f>
        <v>0</v>
      </c>
      <c r="Q154" s="1101">
        <f>IF($BF154=0,0,IF(SUM($M154:P154)&lt;($J154-12),12,$J154-SUM($M154:P154)))</f>
        <v>0</v>
      </c>
      <c r="S154" s="1100"/>
      <c r="T154" s="1100">
        <v>6</v>
      </c>
      <c r="U154" s="1101">
        <f>IF($BG154=0,0,IF(SUM($S154:T154)&lt;($J154-12),12,$J154-SUM($S154:T154)))</f>
        <v>12</v>
      </c>
      <c r="V154" s="1101">
        <f>IF($BG154=0,0,IF(SUM($S154:U154)&lt;($J154-12),12,$J154-SUM($S154:U154)))</f>
        <v>12</v>
      </c>
      <c r="W154" s="1101">
        <f>IF($BG154=0,0,IF(SUM($S154:V154)&lt;($J154-12),12,$J154-SUM($S154:V154)))</f>
        <v>12</v>
      </c>
      <c r="Y154" s="1100"/>
      <c r="Z154" s="1100"/>
      <c r="AA154" s="1100">
        <v>5.9999999999999982</v>
      </c>
      <c r="AB154" s="1101">
        <f>IF($BH154=0,0,IF(SUM($Y154:AA154)&lt;($J154-12),12,$J154-SUM($Y154:AA154)))</f>
        <v>12</v>
      </c>
      <c r="AC154" s="1101">
        <f>IF($BH154=0,0,IF(SUM($Y154:AB154)&lt;($J154-12),12,$J154-SUM($Y154:AB154)))</f>
        <v>12</v>
      </c>
      <c r="AE154" s="1100"/>
      <c r="AF154" s="1100"/>
      <c r="AG154" s="1100"/>
      <c r="AH154" s="1100">
        <v>0</v>
      </c>
      <c r="AI154" s="1101">
        <f>IF($BI154=0,0,IF(SUM($AE154:AH154)&lt;($J154-12),12,$J154-SUM($AE154:AH154)))</f>
        <v>0</v>
      </c>
      <c r="AK154" s="1100"/>
      <c r="AL154" s="1100"/>
      <c r="AM154" s="1100"/>
      <c r="AN154" s="1100"/>
      <c r="AO154" s="1100">
        <v>0</v>
      </c>
      <c r="AQ154" s="153">
        <f t="shared" si="11"/>
        <v>0</v>
      </c>
      <c r="AR154" s="153">
        <f t="shared" si="12"/>
        <v>0.5</v>
      </c>
      <c r="AS154" s="153">
        <f t="shared" si="13"/>
        <v>0.49999999999999983</v>
      </c>
      <c r="AT154" s="153">
        <f t="shared" si="14"/>
        <v>0</v>
      </c>
      <c r="AU154" s="153">
        <f t="shared" si="15"/>
        <v>0</v>
      </c>
      <c r="AW154" s="1543">
        <v>0</v>
      </c>
      <c r="AX154" s="1102"/>
      <c r="AY154" s="1544">
        <v>1</v>
      </c>
      <c r="BA154" s="1103">
        <v>0</v>
      </c>
      <c r="BB154" s="1103">
        <v>0</v>
      </c>
      <c r="BC154" s="1103">
        <v>0</v>
      </c>
      <c r="BD154" s="1103">
        <v>0</v>
      </c>
      <c r="BE154" s="1103">
        <v>0</v>
      </c>
      <c r="BF154" s="1103">
        <v>0</v>
      </c>
      <c r="BG154" s="1103">
        <v>2637.5468350000001</v>
      </c>
      <c r="BH154" s="1103">
        <v>629.94929500000001</v>
      </c>
      <c r="BI154" s="1103">
        <v>0</v>
      </c>
      <c r="BJ154" s="1103">
        <v>0</v>
      </c>
    </row>
    <row r="155" spans="2:62" hidden="1" outlineLevel="1">
      <c r="B155" s="1094"/>
      <c r="C155" s="1083" t="s">
        <v>422</v>
      </c>
      <c r="D155" s="1062" t="s">
        <v>78</v>
      </c>
      <c r="E155" s="1083" t="s">
        <v>418</v>
      </c>
      <c r="F155" s="1095" t="s">
        <v>414</v>
      </c>
      <c r="G155" s="1096">
        <f t="shared" si="8"/>
        <v>558.91999999999996</v>
      </c>
      <c r="H155" s="1083" t="s">
        <v>29</v>
      </c>
      <c r="I155" s="1097">
        <v>8</v>
      </c>
      <c r="J155" s="1098">
        <f t="shared" si="9"/>
        <v>96</v>
      </c>
      <c r="K155" s="153">
        <f t="shared" si="10"/>
        <v>0.125</v>
      </c>
      <c r="L155" s="1099"/>
      <c r="M155" s="1100">
        <v>0</v>
      </c>
      <c r="N155" s="1101">
        <f>IF($BF155=0,0,IF(SUM($M155:M155)&lt;($J155-12),12,$J155-SUM($M155:M155)))</f>
        <v>0</v>
      </c>
      <c r="O155" s="1101">
        <f>IF($BF155=0,0,IF(SUM($M155:N155)&lt;($J155-12),12,$J155-SUM($M155:N155)))</f>
        <v>0</v>
      </c>
      <c r="P155" s="1101">
        <f>IF($BF155=0,0,IF(SUM($M155:O155)&lt;($J155-12),12,$J155-SUM($M155:O155)))</f>
        <v>0</v>
      </c>
      <c r="Q155" s="1101">
        <f>IF($BF155=0,0,IF(SUM($M155:P155)&lt;($J155-12),12,$J155-SUM($M155:P155)))</f>
        <v>0</v>
      </c>
      <c r="S155" s="1100"/>
      <c r="T155" s="1100">
        <v>6</v>
      </c>
      <c r="U155" s="1101">
        <f>IF($BG155=0,0,IF(SUM($S155:T155)&lt;($J155-12),12,$J155-SUM($S155:T155)))</f>
        <v>12</v>
      </c>
      <c r="V155" s="1101">
        <f>IF($BG155=0,0,IF(SUM($S155:U155)&lt;($J155-12),12,$J155-SUM($S155:U155)))</f>
        <v>12</v>
      </c>
      <c r="W155" s="1101">
        <f>IF($BG155=0,0,IF(SUM($S155:V155)&lt;($J155-12),12,$J155-SUM($S155:V155)))</f>
        <v>12</v>
      </c>
      <c r="Y155" s="1100"/>
      <c r="Z155" s="1100"/>
      <c r="AA155" s="1100">
        <v>0</v>
      </c>
      <c r="AB155" s="1101">
        <f>IF($BH155=0,0,IF(SUM($Y155:AA155)&lt;($J155-12),12,$J155-SUM($Y155:AA155)))</f>
        <v>0</v>
      </c>
      <c r="AC155" s="1101">
        <f>IF($BH155=0,0,IF(SUM($Y155:AB155)&lt;($J155-12),12,$J155-SUM($Y155:AB155)))</f>
        <v>0</v>
      </c>
      <c r="AE155" s="1100"/>
      <c r="AF155" s="1100"/>
      <c r="AG155" s="1100"/>
      <c r="AH155" s="1100">
        <v>0</v>
      </c>
      <c r="AI155" s="1101">
        <f>IF($BI155=0,0,IF(SUM($AE155:AH155)&lt;($J155-12),12,$J155-SUM($AE155:AH155)))</f>
        <v>0</v>
      </c>
      <c r="AK155" s="1100"/>
      <c r="AL155" s="1100"/>
      <c r="AM155" s="1100"/>
      <c r="AN155" s="1100"/>
      <c r="AO155" s="1100">
        <v>0</v>
      </c>
      <c r="AQ155" s="153">
        <f t="shared" si="11"/>
        <v>0</v>
      </c>
      <c r="AR155" s="153">
        <f t="shared" si="12"/>
        <v>0.5</v>
      </c>
      <c r="AS155" s="153">
        <f t="shared" si="13"/>
        <v>0</v>
      </c>
      <c r="AT155" s="153">
        <f t="shared" si="14"/>
        <v>0</v>
      </c>
      <c r="AU155" s="153">
        <f t="shared" si="15"/>
        <v>0</v>
      </c>
      <c r="AW155" s="1543">
        <v>0</v>
      </c>
      <c r="AX155" s="1102"/>
      <c r="AY155" s="1544">
        <v>1</v>
      </c>
      <c r="BA155" s="1103">
        <v>0</v>
      </c>
      <c r="BB155" s="1103">
        <v>0</v>
      </c>
      <c r="BC155" s="1103">
        <v>0</v>
      </c>
      <c r="BD155" s="1103">
        <v>0</v>
      </c>
      <c r="BE155" s="1103">
        <v>0</v>
      </c>
      <c r="BF155" s="1103">
        <v>0</v>
      </c>
      <c r="BG155" s="1103">
        <v>558.91999999999996</v>
      </c>
      <c r="BH155" s="1103">
        <v>0</v>
      </c>
      <c r="BI155" s="1103">
        <v>0</v>
      </c>
      <c r="BJ155" s="1103">
        <v>0</v>
      </c>
    </row>
    <row r="156" spans="2:62" hidden="1" outlineLevel="1">
      <c r="B156" s="1094"/>
      <c r="C156" s="1083" t="s">
        <v>423</v>
      </c>
      <c r="D156" s="1062" t="s">
        <v>78</v>
      </c>
      <c r="E156" s="1083" t="s">
        <v>418</v>
      </c>
      <c r="F156" s="1095" t="s">
        <v>414</v>
      </c>
      <c r="G156" s="1096">
        <f t="shared" si="8"/>
        <v>2270.09202</v>
      </c>
      <c r="H156" s="1083" t="s">
        <v>29</v>
      </c>
      <c r="I156" s="1097">
        <v>8</v>
      </c>
      <c r="J156" s="1098">
        <f t="shared" si="9"/>
        <v>96</v>
      </c>
      <c r="K156" s="153">
        <f t="shared" si="10"/>
        <v>0.125</v>
      </c>
      <c r="L156" s="1099"/>
      <c r="M156" s="1100">
        <v>0</v>
      </c>
      <c r="N156" s="1101">
        <f>IF($BF156=0,0,IF(SUM($M156:M156)&lt;($J156-12),12,$J156-SUM($M156:M156)))</f>
        <v>0</v>
      </c>
      <c r="O156" s="1101">
        <f>IF($BF156=0,0,IF(SUM($M156:N156)&lt;($J156-12),12,$J156-SUM($M156:N156)))</f>
        <v>0</v>
      </c>
      <c r="P156" s="1101">
        <f>IF($BF156=0,0,IF(SUM($M156:O156)&lt;($J156-12),12,$J156-SUM($M156:O156)))</f>
        <v>0</v>
      </c>
      <c r="Q156" s="1101">
        <f>IF($BF156=0,0,IF(SUM($M156:P156)&lt;($J156-12),12,$J156-SUM($M156:P156)))</f>
        <v>0</v>
      </c>
      <c r="S156" s="1100"/>
      <c r="T156" s="1100">
        <v>0</v>
      </c>
      <c r="U156" s="1101">
        <f>IF($BG156=0,0,IF(SUM($S156:T156)&lt;($J156-12),12,$J156-SUM($S156:T156)))</f>
        <v>0</v>
      </c>
      <c r="V156" s="1101">
        <f>IF($BG156=0,0,IF(SUM($S156:U156)&lt;($J156-12),12,$J156-SUM($S156:U156)))</f>
        <v>0</v>
      </c>
      <c r="W156" s="1101">
        <f>IF($BG156=0,0,IF(SUM($S156:V156)&lt;($J156-12),12,$J156-SUM($S156:V156)))</f>
        <v>0</v>
      </c>
      <c r="Y156" s="1100"/>
      <c r="Z156" s="1100"/>
      <c r="AA156" s="1100">
        <v>6</v>
      </c>
      <c r="AB156" s="1101">
        <f>IF($BH156=0,0,IF(SUM($Y156:AA156)&lt;($J156-12),12,$J156-SUM($Y156:AA156)))</f>
        <v>12</v>
      </c>
      <c r="AC156" s="1101">
        <f>IF($BH156=0,0,IF(SUM($Y156:AB156)&lt;($J156-12),12,$J156-SUM($Y156:AB156)))</f>
        <v>12</v>
      </c>
      <c r="AE156" s="1100"/>
      <c r="AF156" s="1100"/>
      <c r="AG156" s="1100"/>
      <c r="AH156" s="1100">
        <v>0</v>
      </c>
      <c r="AI156" s="1101">
        <f>IF($BI156=0,0,IF(SUM($AE156:AH156)&lt;($J156-12),12,$J156-SUM($AE156:AH156)))</f>
        <v>0</v>
      </c>
      <c r="AK156" s="1100"/>
      <c r="AL156" s="1100"/>
      <c r="AM156" s="1100"/>
      <c r="AN156" s="1100"/>
      <c r="AO156" s="1100">
        <v>0</v>
      </c>
      <c r="AQ156" s="153">
        <f t="shared" si="11"/>
        <v>0</v>
      </c>
      <c r="AR156" s="153">
        <f t="shared" si="12"/>
        <v>0</v>
      </c>
      <c r="AS156" s="153">
        <f t="shared" si="13"/>
        <v>0.5</v>
      </c>
      <c r="AT156" s="153">
        <f t="shared" si="14"/>
        <v>0</v>
      </c>
      <c r="AU156" s="153">
        <f t="shared" si="15"/>
        <v>0</v>
      </c>
      <c r="AW156" s="1543">
        <v>0</v>
      </c>
      <c r="AX156" s="1102"/>
      <c r="AY156" s="1544">
        <v>1</v>
      </c>
      <c r="BA156" s="1103">
        <v>0</v>
      </c>
      <c r="BB156" s="1103">
        <v>0</v>
      </c>
      <c r="BC156" s="1103">
        <v>0</v>
      </c>
      <c r="BD156" s="1103">
        <v>0</v>
      </c>
      <c r="BE156" s="1103">
        <v>0</v>
      </c>
      <c r="BF156" s="1103">
        <v>0</v>
      </c>
      <c r="BG156" s="1103">
        <v>0</v>
      </c>
      <c r="BH156" s="1103">
        <v>2270.09202</v>
      </c>
      <c r="BI156" s="1103">
        <v>0</v>
      </c>
      <c r="BJ156" s="1103">
        <v>0</v>
      </c>
    </row>
    <row r="157" spans="2:62" hidden="1" outlineLevel="1">
      <c r="B157" s="1094"/>
      <c r="C157" s="1083" t="s">
        <v>424</v>
      </c>
      <c r="D157" s="1062" t="s">
        <v>78</v>
      </c>
      <c r="E157" s="1083" t="s">
        <v>418</v>
      </c>
      <c r="F157" s="1095" t="s">
        <v>414</v>
      </c>
      <c r="G157" s="1096">
        <f t="shared" si="8"/>
        <v>916.71</v>
      </c>
      <c r="H157" s="1083" t="s">
        <v>29</v>
      </c>
      <c r="I157" s="1097">
        <v>8</v>
      </c>
      <c r="J157" s="1098">
        <f t="shared" si="9"/>
        <v>96</v>
      </c>
      <c r="K157" s="153">
        <f t="shared" si="10"/>
        <v>0.125</v>
      </c>
      <c r="L157" s="1099"/>
      <c r="M157" s="1100">
        <v>0</v>
      </c>
      <c r="N157" s="1101">
        <f>IF($BF157=0,0,IF(SUM($M157:M157)&lt;($J157-12),12,$J157-SUM($M157:M157)))</f>
        <v>0</v>
      </c>
      <c r="O157" s="1101">
        <f>IF($BF157=0,0,IF(SUM($M157:N157)&lt;($J157-12),12,$J157-SUM($M157:N157)))</f>
        <v>0</v>
      </c>
      <c r="P157" s="1101">
        <f>IF($BF157=0,0,IF(SUM($M157:O157)&lt;($J157-12),12,$J157-SUM($M157:O157)))</f>
        <v>0</v>
      </c>
      <c r="Q157" s="1101">
        <f>IF($BF157=0,0,IF(SUM($M157:P157)&lt;($J157-12),12,$J157-SUM($M157:P157)))</f>
        <v>0</v>
      </c>
      <c r="S157" s="1100"/>
      <c r="T157" s="1100">
        <v>0</v>
      </c>
      <c r="U157" s="1101">
        <f>IF($BG157=0,0,IF(SUM($S157:T157)&lt;($J157-12),12,$J157-SUM($S157:T157)))</f>
        <v>0</v>
      </c>
      <c r="V157" s="1101">
        <f>IF($BG157=0,0,IF(SUM($S157:U157)&lt;($J157-12),12,$J157-SUM($S157:U157)))</f>
        <v>0</v>
      </c>
      <c r="W157" s="1101">
        <f>IF($BG157=0,0,IF(SUM($S157:V157)&lt;($J157-12),12,$J157-SUM($S157:V157)))</f>
        <v>0</v>
      </c>
      <c r="Y157" s="1100"/>
      <c r="Z157" s="1100"/>
      <c r="AA157" s="1100">
        <v>0</v>
      </c>
      <c r="AB157" s="1101">
        <f>IF($BH157=0,0,IF(SUM($Y157:AA157)&lt;($J157-12),12,$J157-SUM($Y157:AA157)))</f>
        <v>0</v>
      </c>
      <c r="AC157" s="1101">
        <f>IF($BH157=0,0,IF(SUM($Y157:AB157)&lt;($J157-12),12,$J157-SUM($Y157:AB157)))</f>
        <v>0</v>
      </c>
      <c r="AE157" s="1100"/>
      <c r="AF157" s="1100"/>
      <c r="AG157" s="1100"/>
      <c r="AH157" s="1100">
        <v>12</v>
      </c>
      <c r="AI157" s="1101">
        <f>IF($BI157=0,0,IF(SUM($AE157:AH157)&lt;($J157-12),12,$J157-SUM($AE157:AH157)))</f>
        <v>12</v>
      </c>
      <c r="AK157" s="1100"/>
      <c r="AL157" s="1100"/>
      <c r="AM157" s="1100"/>
      <c r="AN157" s="1100"/>
      <c r="AO157" s="1100">
        <v>0</v>
      </c>
      <c r="AQ157" s="153">
        <f t="shared" si="11"/>
        <v>0</v>
      </c>
      <c r="AR157" s="153">
        <f t="shared" si="12"/>
        <v>0</v>
      </c>
      <c r="AS157" s="153">
        <f t="shared" si="13"/>
        <v>0</v>
      </c>
      <c r="AT157" s="153">
        <f t="shared" si="14"/>
        <v>1</v>
      </c>
      <c r="AU157" s="153">
        <f t="shared" si="15"/>
        <v>0</v>
      </c>
      <c r="AW157" s="1543">
        <v>0</v>
      </c>
      <c r="AX157" s="1102"/>
      <c r="AY157" s="1544">
        <v>1</v>
      </c>
      <c r="BA157" s="1103">
        <v>0</v>
      </c>
      <c r="BB157" s="1103">
        <v>0</v>
      </c>
      <c r="BC157" s="1103">
        <v>0</v>
      </c>
      <c r="BD157" s="1103">
        <v>0</v>
      </c>
      <c r="BE157" s="1103">
        <v>0</v>
      </c>
      <c r="BF157" s="1103">
        <v>0</v>
      </c>
      <c r="BG157" s="1103">
        <v>0</v>
      </c>
      <c r="BH157" s="1103">
        <v>0</v>
      </c>
      <c r="BI157" s="1103">
        <v>916.71</v>
      </c>
      <c r="BJ157" s="1103">
        <v>0</v>
      </c>
    </row>
    <row r="158" spans="2:62" hidden="1" outlineLevel="1">
      <c r="B158" s="1094"/>
      <c r="C158" s="1083" t="s">
        <v>425</v>
      </c>
      <c r="D158" s="1062" t="s">
        <v>78</v>
      </c>
      <c r="E158" s="1083" t="s">
        <v>418</v>
      </c>
      <c r="F158" s="1095" t="s">
        <v>414</v>
      </c>
      <c r="G158" s="1096">
        <f t="shared" si="8"/>
        <v>1205.4788112064318</v>
      </c>
      <c r="H158" s="1083" t="s">
        <v>29</v>
      </c>
      <c r="I158" s="1097">
        <v>8</v>
      </c>
      <c r="J158" s="1098">
        <f t="shared" si="9"/>
        <v>96</v>
      </c>
      <c r="K158" s="153">
        <f t="shared" si="10"/>
        <v>0.125</v>
      </c>
      <c r="L158" s="1099"/>
      <c r="M158" s="1100">
        <v>0</v>
      </c>
      <c r="N158" s="1101">
        <f>IF($BF158=0,0,IF(SUM($M158:M158)&lt;($J158-12),12,$J158-SUM($M158:M158)))</f>
        <v>0</v>
      </c>
      <c r="O158" s="1101">
        <f>IF($BF158=0,0,IF(SUM($M158:N158)&lt;($J158-12),12,$J158-SUM($M158:N158)))</f>
        <v>0</v>
      </c>
      <c r="P158" s="1101">
        <f>IF($BF158=0,0,IF(SUM($M158:O158)&lt;($J158-12),12,$J158-SUM($M158:O158)))</f>
        <v>0</v>
      </c>
      <c r="Q158" s="1101">
        <f>IF($BF158=0,0,IF(SUM($M158:P158)&lt;($J158-12),12,$J158-SUM($M158:P158)))</f>
        <v>0</v>
      </c>
      <c r="S158" s="1100"/>
      <c r="T158" s="1100">
        <v>6</v>
      </c>
      <c r="U158" s="1101">
        <f>IF($BG158=0,0,IF(SUM($S158:T158)&lt;($J158-12),12,$J158-SUM($S158:T158)))</f>
        <v>12</v>
      </c>
      <c r="V158" s="1101">
        <f>IF($BG158=0,0,IF(SUM($S158:U158)&lt;($J158-12),12,$J158-SUM($S158:U158)))</f>
        <v>12</v>
      </c>
      <c r="W158" s="1101">
        <f>IF($BG158=0,0,IF(SUM($S158:V158)&lt;($J158-12),12,$J158-SUM($S158:V158)))</f>
        <v>12</v>
      </c>
      <c r="Y158" s="1100"/>
      <c r="Z158" s="1100"/>
      <c r="AA158" s="1100">
        <v>0</v>
      </c>
      <c r="AB158" s="1101">
        <f>IF($BH158=0,0,IF(SUM($Y158:AA158)&lt;($J158-12),12,$J158-SUM($Y158:AA158)))</f>
        <v>0</v>
      </c>
      <c r="AC158" s="1101">
        <f>IF($BH158=0,0,IF(SUM($Y158:AB158)&lt;($J158-12),12,$J158-SUM($Y158:AB158)))</f>
        <v>0</v>
      </c>
      <c r="AE158" s="1100"/>
      <c r="AF158" s="1100"/>
      <c r="AG158" s="1100"/>
      <c r="AH158" s="1100">
        <v>0</v>
      </c>
      <c r="AI158" s="1101">
        <f>IF($BI158=0,0,IF(SUM($AE158:AH158)&lt;($J158-12),12,$J158-SUM($AE158:AH158)))</f>
        <v>0</v>
      </c>
      <c r="AK158" s="1100"/>
      <c r="AL158" s="1100"/>
      <c r="AM158" s="1100"/>
      <c r="AN158" s="1100"/>
      <c r="AO158" s="1100">
        <v>0</v>
      </c>
      <c r="AQ158" s="153">
        <f t="shared" si="11"/>
        <v>0</v>
      </c>
      <c r="AR158" s="153">
        <f t="shared" si="12"/>
        <v>0.5</v>
      </c>
      <c r="AS158" s="153">
        <f t="shared" si="13"/>
        <v>0</v>
      </c>
      <c r="AT158" s="153">
        <f t="shared" si="14"/>
        <v>0</v>
      </c>
      <c r="AU158" s="153">
        <f t="shared" si="15"/>
        <v>0</v>
      </c>
      <c r="AW158" s="1543">
        <v>0</v>
      </c>
      <c r="AX158" s="1102"/>
      <c r="AY158" s="1544">
        <v>1</v>
      </c>
      <c r="BA158" s="1103">
        <v>0</v>
      </c>
      <c r="BB158" s="1103">
        <v>0</v>
      </c>
      <c r="BC158" s="1103">
        <v>0</v>
      </c>
      <c r="BD158" s="1103">
        <v>0</v>
      </c>
      <c r="BE158" s="1103">
        <v>0</v>
      </c>
      <c r="BF158" s="1103">
        <v>0</v>
      </c>
      <c r="BG158" s="1103">
        <v>1205.4788112064318</v>
      </c>
      <c r="BH158" s="1103">
        <v>0</v>
      </c>
      <c r="BI158" s="1103">
        <v>0</v>
      </c>
      <c r="BJ158" s="1103">
        <v>0</v>
      </c>
    </row>
    <row r="159" spans="2:62" hidden="1" outlineLevel="1">
      <c r="B159" s="1094"/>
      <c r="C159" s="1083" t="s">
        <v>426</v>
      </c>
      <c r="D159" s="1062" t="s">
        <v>78</v>
      </c>
      <c r="E159" s="1083" t="s">
        <v>418</v>
      </c>
      <c r="F159" s="1095" t="s">
        <v>414</v>
      </c>
      <c r="G159" s="1096">
        <f t="shared" si="8"/>
        <v>584.84590999999989</v>
      </c>
      <c r="H159" s="1083" t="s">
        <v>29</v>
      </c>
      <c r="I159" s="1097">
        <v>8</v>
      </c>
      <c r="J159" s="1098">
        <f t="shared" si="9"/>
        <v>96</v>
      </c>
      <c r="K159" s="153">
        <f t="shared" si="10"/>
        <v>0.125</v>
      </c>
      <c r="L159" s="1099"/>
      <c r="M159" s="1100">
        <v>0</v>
      </c>
      <c r="N159" s="1101">
        <f>IF($BF159=0,0,IF(SUM($M159:M159)&lt;($J159-12),12,$J159-SUM($M159:M159)))</f>
        <v>0</v>
      </c>
      <c r="O159" s="1101">
        <f>IF($BF159=0,0,IF(SUM($M159:N159)&lt;($J159-12),12,$J159-SUM($M159:N159)))</f>
        <v>0</v>
      </c>
      <c r="P159" s="1101">
        <f>IF($BF159=0,0,IF(SUM($M159:O159)&lt;($J159-12),12,$J159-SUM($M159:O159)))</f>
        <v>0</v>
      </c>
      <c r="Q159" s="1101">
        <f>IF($BF159=0,0,IF(SUM($M159:P159)&lt;($J159-12),12,$J159-SUM($M159:P159)))</f>
        <v>0</v>
      </c>
      <c r="S159" s="1100"/>
      <c r="T159" s="1100">
        <v>6</v>
      </c>
      <c r="U159" s="1101">
        <f>IF($BG159=0,0,IF(SUM($S159:T159)&lt;($J159-12),12,$J159-SUM($S159:T159)))</f>
        <v>12</v>
      </c>
      <c r="V159" s="1101">
        <f>IF($BG159=0,0,IF(SUM($S159:U159)&lt;($J159-12),12,$J159-SUM($S159:U159)))</f>
        <v>12</v>
      </c>
      <c r="W159" s="1101">
        <f>IF($BG159=0,0,IF(SUM($S159:V159)&lt;($J159-12),12,$J159-SUM($S159:V159)))</f>
        <v>12</v>
      </c>
      <c r="Y159" s="1100"/>
      <c r="Z159" s="1100"/>
      <c r="AA159" s="1100">
        <v>0</v>
      </c>
      <c r="AB159" s="1101">
        <f>IF($BH159=0,0,IF(SUM($Y159:AA159)&lt;($J159-12),12,$J159-SUM($Y159:AA159)))</f>
        <v>0</v>
      </c>
      <c r="AC159" s="1101">
        <f>IF($BH159=0,0,IF(SUM($Y159:AB159)&lt;($J159-12),12,$J159-SUM($Y159:AB159)))</f>
        <v>0</v>
      </c>
      <c r="AE159" s="1100"/>
      <c r="AF159" s="1100"/>
      <c r="AG159" s="1100"/>
      <c r="AH159" s="1100">
        <v>0</v>
      </c>
      <c r="AI159" s="1101">
        <f>IF($BI159=0,0,IF(SUM($AE159:AH159)&lt;($J159-12),12,$J159-SUM($AE159:AH159)))</f>
        <v>0</v>
      </c>
      <c r="AK159" s="1100"/>
      <c r="AL159" s="1100"/>
      <c r="AM159" s="1100"/>
      <c r="AN159" s="1100"/>
      <c r="AO159" s="1100">
        <v>0</v>
      </c>
      <c r="AQ159" s="153">
        <f t="shared" si="11"/>
        <v>0</v>
      </c>
      <c r="AR159" s="153">
        <f t="shared" si="12"/>
        <v>0.5</v>
      </c>
      <c r="AS159" s="153">
        <f t="shared" si="13"/>
        <v>0</v>
      </c>
      <c r="AT159" s="153">
        <f t="shared" si="14"/>
        <v>0</v>
      </c>
      <c r="AU159" s="153">
        <f t="shared" si="15"/>
        <v>0</v>
      </c>
      <c r="AW159" s="1543">
        <v>0</v>
      </c>
      <c r="AX159" s="1102"/>
      <c r="AY159" s="1544">
        <v>1</v>
      </c>
      <c r="BA159" s="1103">
        <v>0</v>
      </c>
      <c r="BB159" s="1103">
        <v>0</v>
      </c>
      <c r="BC159" s="1103">
        <v>0</v>
      </c>
      <c r="BD159" s="1103">
        <v>0</v>
      </c>
      <c r="BE159" s="1103">
        <v>0</v>
      </c>
      <c r="BF159" s="1103">
        <v>0</v>
      </c>
      <c r="BG159" s="1103">
        <v>584.84590999999989</v>
      </c>
      <c r="BH159" s="1103">
        <v>0</v>
      </c>
      <c r="BI159" s="1103">
        <v>0</v>
      </c>
      <c r="BJ159" s="1103">
        <v>0</v>
      </c>
    </row>
    <row r="160" spans="2:62" hidden="1" outlineLevel="1">
      <c r="B160" s="1094"/>
      <c r="C160" s="1083" t="s">
        <v>427</v>
      </c>
      <c r="D160" s="1062" t="s">
        <v>78</v>
      </c>
      <c r="E160" s="1083" t="s">
        <v>418</v>
      </c>
      <c r="F160" s="1095" t="s">
        <v>414</v>
      </c>
      <c r="G160" s="1096">
        <f t="shared" si="8"/>
        <v>0</v>
      </c>
      <c r="H160" s="1083" t="s">
        <v>29</v>
      </c>
      <c r="I160" s="1097">
        <v>8</v>
      </c>
      <c r="J160" s="1098">
        <f t="shared" si="9"/>
        <v>96</v>
      </c>
      <c r="K160" s="153">
        <f t="shared" si="10"/>
        <v>0.125</v>
      </c>
      <c r="L160" s="1099"/>
      <c r="M160" s="1100"/>
      <c r="N160" s="1101"/>
      <c r="O160" s="1101"/>
      <c r="P160" s="1101"/>
      <c r="Q160" s="1101"/>
      <c r="S160" s="1100"/>
      <c r="T160" s="1100">
        <v>0</v>
      </c>
      <c r="U160" s="1101">
        <f>IF($BG160=0,0,IF(SUM($S160:T160)&lt;($J160-12),12,$J160-SUM($S160:T160)))</f>
        <v>0</v>
      </c>
      <c r="V160" s="1101">
        <f>IF($BG160=0,0,IF(SUM($S160:U160)&lt;($J160-12),12,$J160-SUM($S160:U160)))</f>
        <v>0</v>
      </c>
      <c r="W160" s="1101">
        <f>IF($BG160=0,0,IF(SUM($S160:V160)&lt;($J160-12),12,$J160-SUM($S160:V160)))</f>
        <v>0</v>
      </c>
      <c r="Y160" s="1100"/>
      <c r="Z160" s="1100"/>
      <c r="AA160" s="1100">
        <v>0</v>
      </c>
      <c r="AB160" s="1101">
        <f>IF($BH160=0,0,IF(SUM($Y160:AA160)&lt;($J160-12),12,$J160-SUM($Y160:AA160)))</f>
        <v>0</v>
      </c>
      <c r="AC160" s="1101">
        <f>IF($BH160=0,0,IF(SUM($Y160:AB160)&lt;($J160-12),12,$J160-SUM($Y160:AB160)))</f>
        <v>0</v>
      </c>
      <c r="AE160" s="1100"/>
      <c r="AF160" s="1100"/>
      <c r="AG160" s="1100"/>
      <c r="AH160" s="1100">
        <v>0</v>
      </c>
      <c r="AI160" s="1101"/>
      <c r="AK160" s="1100"/>
      <c r="AL160" s="1100"/>
      <c r="AM160" s="1100"/>
      <c r="AN160" s="1100"/>
      <c r="AO160" s="1100">
        <v>0</v>
      </c>
      <c r="AQ160" s="153">
        <f t="shared" ref="AQ160" si="16">M160/12</f>
        <v>0</v>
      </c>
      <c r="AR160" s="153">
        <f t="shared" ref="AR160" si="17">T160/12</f>
        <v>0</v>
      </c>
      <c r="AS160" s="153">
        <f t="shared" ref="AS160" si="18">AA160/12</f>
        <v>0</v>
      </c>
      <c r="AT160" s="153">
        <f t="shared" ref="AT160" si="19">AH160/12</f>
        <v>0</v>
      </c>
      <c r="AU160" s="153">
        <f t="shared" ref="AU160" si="20">AO160/12</f>
        <v>0</v>
      </c>
      <c r="AW160" s="1543">
        <v>0</v>
      </c>
      <c r="AX160" s="1102"/>
      <c r="AY160" s="1544">
        <v>1</v>
      </c>
      <c r="BA160" s="1103">
        <v>0</v>
      </c>
      <c r="BB160" s="1103">
        <v>0</v>
      </c>
      <c r="BC160" s="1103">
        <v>0</v>
      </c>
      <c r="BD160" s="1103">
        <v>0</v>
      </c>
      <c r="BE160" s="1103">
        <v>0</v>
      </c>
      <c r="BF160" s="1103">
        <v>0</v>
      </c>
      <c r="BG160" s="1103">
        <v>0</v>
      </c>
      <c r="BH160" s="1103">
        <v>0</v>
      </c>
      <c r="BI160" s="1103">
        <v>0</v>
      </c>
      <c r="BJ160" s="1103">
        <v>0</v>
      </c>
    </row>
    <row r="161" spans="2:62" hidden="1" outlineLevel="1">
      <c r="B161" s="1094"/>
      <c r="C161" s="1083" t="s">
        <v>428</v>
      </c>
      <c r="D161" s="1062" t="s">
        <v>78</v>
      </c>
      <c r="E161" s="1083" t="s">
        <v>418</v>
      </c>
      <c r="F161" s="1095" t="s">
        <v>414</v>
      </c>
      <c r="G161" s="1096">
        <f t="shared" si="8"/>
        <v>264.10131000000001</v>
      </c>
      <c r="H161" s="1083" t="s">
        <v>29</v>
      </c>
      <c r="I161" s="1097">
        <v>8</v>
      </c>
      <c r="J161" s="1098">
        <f t="shared" si="9"/>
        <v>96</v>
      </c>
      <c r="K161" s="153">
        <f t="shared" si="10"/>
        <v>0.125</v>
      </c>
      <c r="L161" s="1099"/>
      <c r="M161" s="1100">
        <v>0</v>
      </c>
      <c r="N161" s="1101">
        <f>IF($BF161=0,0,IF(SUM($M161:M161)&lt;($J161-12),12,$J161-SUM($M161:M161)))</f>
        <v>0</v>
      </c>
      <c r="O161" s="1101">
        <f>IF($BF161=0,0,IF(SUM($M161:N161)&lt;($J161-12),12,$J161-SUM($M161:N161)))</f>
        <v>0</v>
      </c>
      <c r="P161" s="1101">
        <f>IF($BF161=0,0,IF(SUM($M161:O161)&lt;($J161-12),12,$J161-SUM($M161:O161)))</f>
        <v>0</v>
      </c>
      <c r="Q161" s="1101">
        <f>IF($BF161=0,0,IF(SUM($M161:P161)&lt;($J161-12),12,$J161-SUM($M161:P161)))</f>
        <v>0</v>
      </c>
      <c r="S161" s="1100"/>
      <c r="T161" s="1100">
        <v>6</v>
      </c>
      <c r="U161" s="1101">
        <f>IF($BG161=0,0,IF(SUM($S161:T161)&lt;($J161-12),12,$J161-SUM($S161:T161)))</f>
        <v>12</v>
      </c>
      <c r="V161" s="1101">
        <f>IF($BG161=0,0,IF(SUM($S161:U161)&lt;($J161-12),12,$J161-SUM($S161:U161)))</f>
        <v>12</v>
      </c>
      <c r="W161" s="1101">
        <f>IF($BG161=0,0,IF(SUM($S161:V161)&lt;($J161-12),12,$J161-SUM($S161:V161)))</f>
        <v>12</v>
      </c>
      <c r="Y161" s="1100"/>
      <c r="Z161" s="1100"/>
      <c r="AA161" s="1100">
        <v>6</v>
      </c>
      <c r="AB161" s="1101">
        <f>IF($BH161=0,0,IF(SUM($Y161:AA161)&lt;($J161-12),12,$J161-SUM($Y161:AA161)))</f>
        <v>12</v>
      </c>
      <c r="AC161" s="1101">
        <f>IF($BH161=0,0,IF(SUM($Y161:AB161)&lt;($J161-12),12,$J161-SUM($Y161:AB161)))</f>
        <v>12</v>
      </c>
      <c r="AE161" s="1100"/>
      <c r="AF161" s="1100"/>
      <c r="AG161" s="1100"/>
      <c r="AH161" s="1100">
        <v>0</v>
      </c>
      <c r="AI161" s="1101">
        <f>IF($BI161=0,0,IF(SUM($AE161:AH161)&lt;($J161-12),12,$J161-SUM($AE161:AH161)))</f>
        <v>0</v>
      </c>
      <c r="AK161" s="1100"/>
      <c r="AL161" s="1100"/>
      <c r="AM161" s="1100"/>
      <c r="AN161" s="1100"/>
      <c r="AO161" s="1100">
        <v>0</v>
      </c>
      <c r="AQ161" s="153">
        <f t="shared" si="11"/>
        <v>0</v>
      </c>
      <c r="AR161" s="153">
        <f t="shared" si="12"/>
        <v>0.5</v>
      </c>
      <c r="AS161" s="153">
        <f t="shared" si="13"/>
        <v>0.5</v>
      </c>
      <c r="AT161" s="153">
        <f t="shared" si="14"/>
        <v>0</v>
      </c>
      <c r="AU161" s="153">
        <f t="shared" si="15"/>
        <v>0</v>
      </c>
      <c r="AW161" s="1543">
        <v>0</v>
      </c>
      <c r="AX161" s="1102"/>
      <c r="AY161" s="1544">
        <v>1</v>
      </c>
      <c r="BA161" s="1103">
        <v>0</v>
      </c>
      <c r="BB161" s="1103">
        <v>0</v>
      </c>
      <c r="BC161" s="1103">
        <v>0</v>
      </c>
      <c r="BD161" s="1103">
        <v>0</v>
      </c>
      <c r="BE161" s="1103">
        <v>0</v>
      </c>
      <c r="BF161" s="1103">
        <v>0</v>
      </c>
      <c r="BG161" s="1103">
        <v>249.10130999999998</v>
      </c>
      <c r="BH161" s="1103">
        <v>15</v>
      </c>
      <c r="BI161" s="1103">
        <v>0</v>
      </c>
      <c r="BJ161" s="1103">
        <v>0</v>
      </c>
    </row>
    <row r="162" spans="2:62" hidden="1" outlineLevel="1">
      <c r="B162" s="1094"/>
      <c r="C162" s="1083" t="s">
        <v>429</v>
      </c>
      <c r="D162" s="1062" t="s">
        <v>78</v>
      </c>
      <c r="E162" s="1083" t="s">
        <v>418</v>
      </c>
      <c r="F162" s="1095" t="s">
        <v>414</v>
      </c>
      <c r="G162" s="1096">
        <f t="shared" si="8"/>
        <v>282.06971000000004</v>
      </c>
      <c r="H162" s="1083" t="s">
        <v>29</v>
      </c>
      <c r="I162" s="1097">
        <v>8</v>
      </c>
      <c r="J162" s="1098">
        <f t="shared" si="9"/>
        <v>96</v>
      </c>
      <c r="K162" s="153">
        <f t="shared" si="10"/>
        <v>0.125</v>
      </c>
      <c r="L162" s="1099"/>
      <c r="M162" s="1100">
        <v>0</v>
      </c>
      <c r="N162" s="1101">
        <f>IF($BF162=0,0,IF(SUM($M162:M162)&lt;($J162-12),12,$J162-SUM($M162:M162)))</f>
        <v>0</v>
      </c>
      <c r="O162" s="1101">
        <f>IF($BF162=0,0,IF(SUM($M162:N162)&lt;($J162-12),12,$J162-SUM($M162:N162)))</f>
        <v>0</v>
      </c>
      <c r="P162" s="1101">
        <f>IF($BF162=0,0,IF(SUM($M162:O162)&lt;($J162-12),12,$J162-SUM($M162:O162)))</f>
        <v>0</v>
      </c>
      <c r="Q162" s="1101">
        <f>IF($BF162=0,0,IF(SUM($M162:P162)&lt;($J162-12),12,$J162-SUM($M162:P162)))</f>
        <v>0</v>
      </c>
      <c r="S162" s="1100"/>
      <c r="T162" s="1100">
        <v>6</v>
      </c>
      <c r="U162" s="1101">
        <f>IF($BG162=0,0,IF(SUM($S162:T162)&lt;($J162-12),12,$J162-SUM($S162:T162)))</f>
        <v>12</v>
      </c>
      <c r="V162" s="1101">
        <f>IF($BG162=0,0,IF(SUM($S162:U162)&lt;($J162-12),12,$J162-SUM($S162:U162)))</f>
        <v>12</v>
      </c>
      <c r="W162" s="1101">
        <f>IF($BG162=0,0,IF(SUM($S162:V162)&lt;($J162-12),12,$J162-SUM($S162:V162)))</f>
        <v>12</v>
      </c>
      <c r="Y162" s="1100"/>
      <c r="Z162" s="1100"/>
      <c r="AA162" s="1100">
        <v>0</v>
      </c>
      <c r="AB162" s="1101">
        <f>IF($BH162=0,0,IF(SUM($Y162:AA162)&lt;($J162-12),12,$J162-SUM($Y162:AA162)))</f>
        <v>0</v>
      </c>
      <c r="AC162" s="1101">
        <f>IF($BH162=0,0,IF(SUM($Y162:AB162)&lt;($J162-12),12,$J162-SUM($Y162:AB162)))</f>
        <v>0</v>
      </c>
      <c r="AE162" s="1100"/>
      <c r="AF162" s="1100"/>
      <c r="AG162" s="1100"/>
      <c r="AH162" s="1100">
        <v>0</v>
      </c>
      <c r="AI162" s="1101">
        <f>IF($BI162=0,0,IF(SUM($AE162:AH162)&lt;($J162-12),12,$J162-SUM($AE162:AH162)))</f>
        <v>0</v>
      </c>
      <c r="AK162" s="1100"/>
      <c r="AL162" s="1100"/>
      <c r="AM162" s="1100"/>
      <c r="AN162" s="1100"/>
      <c r="AO162" s="1100">
        <v>0</v>
      </c>
      <c r="AQ162" s="153">
        <f t="shared" si="11"/>
        <v>0</v>
      </c>
      <c r="AR162" s="153">
        <f t="shared" si="12"/>
        <v>0.5</v>
      </c>
      <c r="AS162" s="153">
        <f t="shared" si="13"/>
        <v>0</v>
      </c>
      <c r="AT162" s="153">
        <f t="shared" si="14"/>
        <v>0</v>
      </c>
      <c r="AU162" s="153">
        <f t="shared" si="15"/>
        <v>0</v>
      </c>
      <c r="AW162" s="1543">
        <v>0</v>
      </c>
      <c r="AX162" s="1102"/>
      <c r="AY162" s="1544">
        <v>1</v>
      </c>
      <c r="BA162" s="1103">
        <v>0</v>
      </c>
      <c r="BB162" s="1103">
        <v>0</v>
      </c>
      <c r="BC162" s="1103">
        <v>0</v>
      </c>
      <c r="BD162" s="1103">
        <v>0</v>
      </c>
      <c r="BE162" s="1103">
        <v>0</v>
      </c>
      <c r="BF162" s="1103">
        <v>0</v>
      </c>
      <c r="BG162" s="1103">
        <v>282.06971000000004</v>
      </c>
      <c r="BH162" s="1103">
        <v>0</v>
      </c>
      <c r="BI162" s="1103">
        <v>0</v>
      </c>
      <c r="BJ162" s="1103">
        <v>0</v>
      </c>
    </row>
    <row r="163" spans="2:62" hidden="1" outlineLevel="1">
      <c r="B163" s="1094"/>
      <c r="C163" s="1083" t="s">
        <v>430</v>
      </c>
      <c r="D163" s="1062" t="s">
        <v>80</v>
      </c>
      <c r="E163" s="1083" t="s">
        <v>431</v>
      </c>
      <c r="F163" s="1095" t="s">
        <v>414</v>
      </c>
      <c r="G163" s="1096">
        <f t="shared" si="8"/>
        <v>391.62344591287325</v>
      </c>
      <c r="H163" s="1083" t="s">
        <v>29</v>
      </c>
      <c r="I163" s="1097">
        <v>8</v>
      </c>
      <c r="J163" s="1098">
        <f t="shared" si="9"/>
        <v>96</v>
      </c>
      <c r="K163" s="153">
        <f t="shared" si="10"/>
        <v>0.125</v>
      </c>
      <c r="L163" s="1099"/>
      <c r="M163" s="1100">
        <v>0</v>
      </c>
      <c r="N163" s="1101">
        <f>IF($BF163=0,0,IF(SUM($M163:M163)&lt;($J163-12),12,$J163-SUM($M163:M163)))</f>
        <v>0</v>
      </c>
      <c r="O163" s="1101">
        <f>IF($BF163=0,0,IF(SUM($M163:N163)&lt;($J163-12),12,$J163-SUM($M163:N163)))</f>
        <v>0</v>
      </c>
      <c r="P163" s="1101">
        <f>IF($BF163=0,0,IF(SUM($M163:O163)&lt;($J163-12),12,$J163-SUM($M163:O163)))</f>
        <v>0</v>
      </c>
      <c r="Q163" s="1101">
        <f>IF($BF163=0,0,IF(SUM($M163:P163)&lt;($J163-12),12,$J163-SUM($M163:P163)))</f>
        <v>0</v>
      </c>
      <c r="S163" s="1100"/>
      <c r="T163" s="1100">
        <v>5.9999999999999956</v>
      </c>
      <c r="U163" s="1101">
        <f>IF($BG163=0,0,IF(SUM($S163:T163)&lt;($J163-12),12,$J163-SUM($S163:T163)))</f>
        <v>12</v>
      </c>
      <c r="V163" s="1101">
        <f>IF($BG163=0,0,IF(SUM($S163:U163)&lt;($J163-12),12,$J163-SUM($S163:U163)))</f>
        <v>12</v>
      </c>
      <c r="W163" s="1101">
        <f>IF($BG163=0,0,IF(SUM($S163:V163)&lt;($J163-12),12,$J163-SUM($S163:V163)))</f>
        <v>12</v>
      </c>
      <c r="Y163" s="1100"/>
      <c r="Z163" s="1100"/>
      <c r="AA163" s="1100">
        <v>0</v>
      </c>
      <c r="AB163" s="1101">
        <f>IF($BH163=0,0,IF(SUM($Y163:AA163)&lt;($J163-12),12,$J163-SUM($Y163:AA163)))</f>
        <v>0</v>
      </c>
      <c r="AC163" s="1101">
        <f>IF($BH163=0,0,IF(SUM($Y163:AB163)&lt;($J163-12),12,$J163-SUM($Y163:AB163)))</f>
        <v>0</v>
      </c>
      <c r="AE163" s="1100"/>
      <c r="AF163" s="1100"/>
      <c r="AG163" s="1100"/>
      <c r="AH163" s="1100">
        <v>0</v>
      </c>
      <c r="AI163" s="1101">
        <f>IF($BI163=0,0,IF(SUM($AE163:AH163)&lt;($J163-12),12,$J163-SUM($AE163:AH163)))</f>
        <v>0</v>
      </c>
      <c r="AK163" s="1100"/>
      <c r="AL163" s="1100"/>
      <c r="AM163" s="1100"/>
      <c r="AN163" s="1100"/>
      <c r="AO163" s="1100">
        <v>0</v>
      </c>
      <c r="AQ163" s="153">
        <f t="shared" si="11"/>
        <v>0</v>
      </c>
      <c r="AR163" s="153">
        <f t="shared" si="12"/>
        <v>0.49999999999999961</v>
      </c>
      <c r="AS163" s="153">
        <f t="shared" si="13"/>
        <v>0</v>
      </c>
      <c r="AT163" s="153">
        <f t="shared" si="14"/>
        <v>0</v>
      </c>
      <c r="AU163" s="153">
        <f t="shared" si="15"/>
        <v>0</v>
      </c>
      <c r="AW163" s="1543">
        <v>0.75</v>
      </c>
      <c r="AX163" s="1102"/>
      <c r="AY163" s="1544">
        <v>0.25</v>
      </c>
      <c r="BA163" s="1103">
        <v>0</v>
      </c>
      <c r="BB163" s="1103">
        <v>0</v>
      </c>
      <c r="BC163" s="1103">
        <v>0</v>
      </c>
      <c r="BD163" s="1103">
        <v>0</v>
      </c>
      <c r="BE163" s="1103">
        <v>0</v>
      </c>
      <c r="BF163" s="1103">
        <v>0</v>
      </c>
      <c r="BG163" s="1103">
        <v>391.62344591287325</v>
      </c>
      <c r="BH163" s="1103">
        <v>0</v>
      </c>
      <c r="BI163" s="1103">
        <v>0</v>
      </c>
      <c r="BJ163" s="1103">
        <v>0</v>
      </c>
    </row>
    <row r="164" spans="2:62" hidden="1" outlineLevel="1">
      <c r="B164" s="1094"/>
      <c r="C164" s="1083" t="s">
        <v>432</v>
      </c>
      <c r="D164" s="1062" t="s">
        <v>80</v>
      </c>
      <c r="E164" s="1083" t="s">
        <v>431</v>
      </c>
      <c r="F164" s="1095" t="s">
        <v>414</v>
      </c>
      <c r="G164" s="1096">
        <f t="shared" si="8"/>
        <v>727.30068526676371</v>
      </c>
      <c r="H164" s="1083" t="s">
        <v>29</v>
      </c>
      <c r="I164" s="1097">
        <v>8</v>
      </c>
      <c r="J164" s="1098">
        <f t="shared" si="9"/>
        <v>96</v>
      </c>
      <c r="K164" s="153">
        <f t="shared" si="10"/>
        <v>0.125</v>
      </c>
      <c r="L164" s="1099"/>
      <c r="M164" s="1100">
        <v>0</v>
      </c>
      <c r="N164" s="1101">
        <f>IF($BF164=0,0,IF(SUM($M164:M164)&lt;($J164-12),12,$J164-SUM($M164:M164)))</f>
        <v>0</v>
      </c>
      <c r="O164" s="1101">
        <f>IF($BF164=0,0,IF(SUM($M164:N164)&lt;($J164-12),12,$J164-SUM($M164:N164)))</f>
        <v>0</v>
      </c>
      <c r="P164" s="1101">
        <f>IF($BF164=0,0,IF(SUM($M164:O164)&lt;($J164-12),12,$J164-SUM($M164:O164)))</f>
        <v>0</v>
      </c>
      <c r="Q164" s="1101">
        <f>IF($BF164=0,0,IF(SUM($M164:P164)&lt;($J164-12),12,$J164-SUM($M164:P164)))</f>
        <v>0</v>
      </c>
      <c r="S164" s="1100"/>
      <c r="T164" s="1100">
        <v>6.0000000000000018</v>
      </c>
      <c r="U164" s="1101">
        <f>IF($BG164=0,0,IF(SUM($S164:T164)&lt;($J164-12),12,$J164-SUM($S164:T164)))</f>
        <v>12</v>
      </c>
      <c r="V164" s="1101">
        <f>IF($BG164=0,0,IF(SUM($S164:U164)&lt;($J164-12),12,$J164-SUM($S164:U164)))</f>
        <v>12</v>
      </c>
      <c r="W164" s="1101">
        <f>IF($BG164=0,0,IF(SUM($S164:V164)&lt;($J164-12),12,$J164-SUM($S164:V164)))</f>
        <v>12</v>
      </c>
      <c r="Y164" s="1100"/>
      <c r="Z164" s="1100"/>
      <c r="AA164" s="1100">
        <v>0</v>
      </c>
      <c r="AB164" s="1101">
        <f>IF($BH164=0,0,IF(SUM($Y164:AA164)&lt;($J164-12),12,$J164-SUM($Y164:AA164)))</f>
        <v>0</v>
      </c>
      <c r="AC164" s="1101">
        <f>IF($BH164=0,0,IF(SUM($Y164:AB164)&lt;($J164-12),12,$J164-SUM($Y164:AB164)))</f>
        <v>0</v>
      </c>
      <c r="AE164" s="1100"/>
      <c r="AF164" s="1100"/>
      <c r="AG164" s="1100"/>
      <c r="AH164" s="1100">
        <v>0</v>
      </c>
      <c r="AI164" s="1101">
        <f>IF($BI164=0,0,IF(SUM($AE164:AH164)&lt;($J164-12),12,$J164-SUM($AE164:AH164)))</f>
        <v>0</v>
      </c>
      <c r="AK164" s="1100"/>
      <c r="AL164" s="1100"/>
      <c r="AM164" s="1100"/>
      <c r="AN164" s="1100"/>
      <c r="AO164" s="1100">
        <v>0</v>
      </c>
      <c r="AQ164" s="153">
        <f t="shared" si="11"/>
        <v>0</v>
      </c>
      <c r="AR164" s="153">
        <f t="shared" si="12"/>
        <v>0.50000000000000011</v>
      </c>
      <c r="AS164" s="153">
        <f t="shared" si="13"/>
        <v>0</v>
      </c>
      <c r="AT164" s="153">
        <f t="shared" si="14"/>
        <v>0</v>
      </c>
      <c r="AU164" s="153">
        <f t="shared" si="15"/>
        <v>0</v>
      </c>
      <c r="AW164" s="1543">
        <v>0.75</v>
      </c>
      <c r="AX164" s="1102"/>
      <c r="AY164" s="1544">
        <v>0.25</v>
      </c>
      <c r="BA164" s="1103">
        <v>0</v>
      </c>
      <c r="BB164" s="1103">
        <v>0</v>
      </c>
      <c r="BC164" s="1103">
        <v>0</v>
      </c>
      <c r="BD164" s="1103">
        <v>0</v>
      </c>
      <c r="BE164" s="1103">
        <v>0</v>
      </c>
      <c r="BF164" s="1103">
        <v>0</v>
      </c>
      <c r="BG164" s="1103">
        <v>727.30068526676371</v>
      </c>
      <c r="BH164" s="1103">
        <v>0</v>
      </c>
      <c r="BI164" s="1103">
        <v>0</v>
      </c>
      <c r="BJ164" s="1103">
        <v>0</v>
      </c>
    </row>
    <row r="165" spans="2:62" hidden="1" outlineLevel="1">
      <c r="B165" s="1094"/>
      <c r="C165" s="1083" t="s">
        <v>433</v>
      </c>
      <c r="D165" s="1062" t="s">
        <v>80</v>
      </c>
      <c r="E165" s="1083" t="s">
        <v>434</v>
      </c>
      <c r="F165" s="1095" t="s">
        <v>414</v>
      </c>
      <c r="G165" s="1096">
        <f t="shared" si="8"/>
        <v>2161.7710991189429</v>
      </c>
      <c r="H165" s="1083" t="s">
        <v>29</v>
      </c>
      <c r="I165" s="1097">
        <v>8</v>
      </c>
      <c r="J165" s="1098">
        <f t="shared" si="9"/>
        <v>96</v>
      </c>
      <c r="K165" s="153">
        <f t="shared" si="10"/>
        <v>0.125</v>
      </c>
      <c r="L165" s="1099"/>
      <c r="M165" s="1100">
        <v>0</v>
      </c>
      <c r="N165" s="1101">
        <f>IF($BF165=0,0,IF(SUM($M165:M165)&lt;($J165-12),12,$J165-SUM($M165:M165)))</f>
        <v>0</v>
      </c>
      <c r="O165" s="1101">
        <f>IF($BF165=0,0,IF(SUM($M165:N165)&lt;($J165-12),12,$J165-SUM($M165:N165)))</f>
        <v>0</v>
      </c>
      <c r="P165" s="1101">
        <f>IF($BF165=0,0,IF(SUM($M165:O165)&lt;($J165-12),12,$J165-SUM($M165:O165)))</f>
        <v>0</v>
      </c>
      <c r="Q165" s="1101">
        <f>IF($BF165=0,0,IF(SUM($M165:P165)&lt;($J165-12),12,$J165-SUM($M165:P165)))</f>
        <v>0</v>
      </c>
      <c r="S165" s="1100"/>
      <c r="T165" s="1100">
        <v>4.5094214889077717</v>
      </c>
      <c r="U165" s="1101">
        <f>IF($BG165=0,0,IF(SUM($S165:T165)&lt;($J165-12),12,$J165-SUM($S165:T165)))</f>
        <v>12</v>
      </c>
      <c r="V165" s="1101">
        <f>IF($BG165=0,0,IF(SUM($S165:U165)&lt;($J165-12),12,$J165-SUM($S165:U165)))</f>
        <v>12</v>
      </c>
      <c r="W165" s="1101">
        <f>IF($BG165=0,0,IF(SUM($S165:V165)&lt;($J165-12),12,$J165-SUM($S165:V165)))</f>
        <v>12</v>
      </c>
      <c r="Y165" s="1100"/>
      <c r="Z165" s="1100"/>
      <c r="AA165" s="1100">
        <v>8.9999999999999982</v>
      </c>
      <c r="AB165" s="1101">
        <f>IF($BH165=0,0,IF(SUM($Y165:AA165)&lt;($J165-12),12,$J165-SUM($Y165:AA165)))</f>
        <v>12</v>
      </c>
      <c r="AC165" s="1101">
        <f>IF($BH165=0,0,IF(SUM($Y165:AB165)&lt;($J165-12),12,$J165-SUM($Y165:AB165)))</f>
        <v>12</v>
      </c>
      <c r="AE165" s="1100"/>
      <c r="AF165" s="1100"/>
      <c r="AG165" s="1100"/>
      <c r="AH165" s="1100">
        <v>12.000000000000002</v>
      </c>
      <c r="AI165" s="1101">
        <f>IF($BI165=0,0,IF(SUM($AE165:AH165)&lt;($J165-12),12,$J165-SUM($AE165:AH165)))</f>
        <v>12</v>
      </c>
      <c r="AK165" s="1100"/>
      <c r="AL165" s="1100"/>
      <c r="AM165" s="1100"/>
      <c r="AN165" s="1100"/>
      <c r="AO165" s="1100">
        <v>0</v>
      </c>
      <c r="AQ165" s="153">
        <f t="shared" si="11"/>
        <v>0</v>
      </c>
      <c r="AR165" s="153">
        <f t="shared" si="12"/>
        <v>0.37578512407564763</v>
      </c>
      <c r="AS165" s="153">
        <f t="shared" si="13"/>
        <v>0.74999999999999989</v>
      </c>
      <c r="AT165" s="153">
        <f t="shared" si="14"/>
        <v>1.0000000000000002</v>
      </c>
      <c r="AU165" s="153">
        <f t="shared" si="15"/>
        <v>0</v>
      </c>
      <c r="AW165" s="1543">
        <v>0.75</v>
      </c>
      <c r="AX165" s="1102"/>
      <c r="AY165" s="1544">
        <v>0.25</v>
      </c>
      <c r="BA165" s="1103">
        <v>0</v>
      </c>
      <c r="BB165" s="1103">
        <v>0</v>
      </c>
      <c r="BC165" s="1103">
        <v>0</v>
      </c>
      <c r="BD165" s="1103">
        <v>0</v>
      </c>
      <c r="BE165" s="1103">
        <v>0</v>
      </c>
      <c r="BF165" s="1103">
        <v>0</v>
      </c>
      <c r="BG165" s="1103">
        <v>1226.2620438081253</v>
      </c>
      <c r="BH165" s="1103">
        <v>548.40186000978963</v>
      </c>
      <c r="BI165" s="1103">
        <v>387.1071953010279</v>
      </c>
      <c r="BJ165" s="1103">
        <v>0</v>
      </c>
    </row>
    <row r="166" spans="2:62" hidden="1" outlineLevel="1">
      <c r="B166" s="1094"/>
      <c r="C166" s="1083" t="s">
        <v>435</v>
      </c>
      <c r="D166" s="1062" t="s">
        <v>80</v>
      </c>
      <c r="E166" s="1083" t="s">
        <v>436</v>
      </c>
      <c r="F166" s="1095" t="s">
        <v>414</v>
      </c>
      <c r="G166" s="1096">
        <f t="shared" si="8"/>
        <v>4014.7177555066073</v>
      </c>
      <c r="H166" s="1083" t="s">
        <v>29</v>
      </c>
      <c r="I166" s="1097">
        <v>8</v>
      </c>
      <c r="J166" s="1098">
        <f t="shared" si="9"/>
        <v>96</v>
      </c>
      <c r="K166" s="153">
        <f t="shared" si="10"/>
        <v>0.125</v>
      </c>
      <c r="L166" s="1099"/>
      <c r="M166" s="1100">
        <v>0</v>
      </c>
      <c r="N166" s="1101">
        <f>IF($BF166=0,0,IF(SUM($M166:M166)&lt;($J166-12),12,$J166-SUM($M166:M166)))</f>
        <v>0</v>
      </c>
      <c r="O166" s="1101">
        <f>IF($BF166=0,0,IF(SUM($M166:N166)&lt;($J166-12),12,$J166-SUM($M166:N166)))</f>
        <v>0</v>
      </c>
      <c r="P166" s="1101">
        <f>IF($BF166=0,0,IF(SUM($M166:O166)&lt;($J166-12),12,$J166-SUM($M166:O166)))</f>
        <v>0</v>
      </c>
      <c r="Q166" s="1101">
        <f>IF($BF166=0,0,IF(SUM($M166:P166)&lt;($J166-12),12,$J166-SUM($M166:P166)))</f>
        <v>0</v>
      </c>
      <c r="S166" s="1174"/>
      <c r="T166" s="1100">
        <v>4.5094214889077717</v>
      </c>
      <c r="U166" s="1101">
        <f>IF($BG166=0,0,IF(SUM($S166:T166)&lt;($J166-12),12,$J166-SUM($S166:T166)))</f>
        <v>12</v>
      </c>
      <c r="V166" s="1101">
        <f>IF($BG166=0,0,IF(SUM($S166:U166)&lt;($J166-12),12,$J166-SUM($S166:U166)))</f>
        <v>12</v>
      </c>
      <c r="W166" s="1101">
        <f>IF($BG166=0,0,IF(SUM($S166:V166)&lt;($J166-12),12,$J166-SUM($S166:V166)))</f>
        <v>12</v>
      </c>
      <c r="Y166" s="1100"/>
      <c r="Z166" s="1100"/>
      <c r="AA166" s="1100">
        <v>9</v>
      </c>
      <c r="AB166" s="1101">
        <f>IF($BH166=0,0,IF(SUM($Y166:AA166)&lt;($J166-12),12,$J166-SUM($Y166:AA166)))</f>
        <v>12</v>
      </c>
      <c r="AC166" s="1101">
        <f>IF($BH166=0,0,IF(SUM($Y166:AB166)&lt;($J166-12),12,$J166-SUM($Y166:AB166)))</f>
        <v>12</v>
      </c>
      <c r="AE166" s="1100"/>
      <c r="AF166" s="1100"/>
      <c r="AG166" s="1100"/>
      <c r="AH166" s="1100">
        <v>12.000000000000004</v>
      </c>
      <c r="AI166" s="1101">
        <f>IF($BI166=0,0,IF(SUM($AE166:AH166)&lt;($J166-12),12,$J166-SUM($AE166:AH166)))</f>
        <v>12</v>
      </c>
      <c r="AK166" s="1100"/>
      <c r="AL166" s="1100"/>
      <c r="AM166" s="1100"/>
      <c r="AN166" s="1100"/>
      <c r="AO166" s="1100">
        <v>0</v>
      </c>
      <c r="AQ166" s="153">
        <f t="shared" si="11"/>
        <v>0</v>
      </c>
      <c r="AR166" s="153">
        <f t="shared" si="12"/>
        <v>0.37578512407564763</v>
      </c>
      <c r="AS166" s="153">
        <f t="shared" si="13"/>
        <v>0.75</v>
      </c>
      <c r="AT166" s="153">
        <f t="shared" si="14"/>
        <v>1.0000000000000002</v>
      </c>
      <c r="AU166" s="153">
        <f t="shared" si="15"/>
        <v>0</v>
      </c>
      <c r="AW166" s="1543">
        <v>0.75</v>
      </c>
      <c r="AX166" s="1102"/>
      <c r="AY166" s="1544">
        <v>0.25</v>
      </c>
      <c r="BA166" s="1103">
        <v>0</v>
      </c>
      <c r="BB166" s="1103">
        <v>0</v>
      </c>
      <c r="BC166" s="1103">
        <v>0</v>
      </c>
      <c r="BD166" s="1103">
        <v>0</v>
      </c>
      <c r="BE166" s="1103">
        <v>0</v>
      </c>
      <c r="BF166" s="1103">
        <v>0</v>
      </c>
      <c r="BG166" s="1103">
        <v>2277.343795643661</v>
      </c>
      <c r="BH166" s="1103">
        <v>1018.4605971610378</v>
      </c>
      <c r="BI166" s="1103">
        <v>718.91336270190891</v>
      </c>
      <c r="BJ166" s="1103">
        <v>0</v>
      </c>
    </row>
    <row r="167" spans="2:62" hidden="1" outlineLevel="1">
      <c r="B167" s="1094"/>
      <c r="C167" s="1083" t="s">
        <v>437</v>
      </c>
      <c r="D167" s="1062" t="s">
        <v>80</v>
      </c>
      <c r="E167" s="1083" t="s">
        <v>438</v>
      </c>
      <c r="F167" s="1095" t="s">
        <v>414</v>
      </c>
      <c r="G167" s="1096">
        <f t="shared" si="8"/>
        <v>0</v>
      </c>
      <c r="H167" s="1083" t="s">
        <v>29</v>
      </c>
      <c r="I167" s="1097">
        <v>0</v>
      </c>
      <c r="J167" s="1098">
        <f t="shared" si="9"/>
        <v>0</v>
      </c>
      <c r="K167" s="153">
        <f t="shared" si="10"/>
        <v>0</v>
      </c>
      <c r="L167" s="1099"/>
      <c r="M167" s="1100">
        <v>0</v>
      </c>
      <c r="N167" s="1101">
        <f>IF($BF167=0,0,IF(SUM($M167:M167)&lt;($J167-12),12,$J167-SUM($M167:M167)))</f>
        <v>0</v>
      </c>
      <c r="O167" s="1101">
        <f>IF($BF167=0,0,IF(SUM($M167:N167)&lt;($J167-12),12,$J167-SUM($M167:N167)))</f>
        <v>0</v>
      </c>
      <c r="P167" s="1101">
        <f>IF($BF167=0,0,IF(SUM($M167:O167)&lt;($J167-12),12,$J167-SUM($M167:O167)))</f>
        <v>0</v>
      </c>
      <c r="Q167" s="1101">
        <f>IF($BF167=0,0,IF(SUM($M167:P167)&lt;($J167-12),12,$J167-SUM($M167:P167)))</f>
        <v>0</v>
      </c>
      <c r="S167" s="1100"/>
      <c r="T167" s="1100">
        <v>0</v>
      </c>
      <c r="U167" s="1101">
        <f>IF($BG167=0,0,IF(SUM($S167:T167)&lt;($J167-12),12,$J167-SUM($S167:T167)))</f>
        <v>0</v>
      </c>
      <c r="V167" s="1101">
        <f>IF($BG167=0,0,IF(SUM($S167:U167)&lt;($J167-12),12,$J167-SUM($S167:U167)))</f>
        <v>0</v>
      </c>
      <c r="W167" s="1101">
        <f>IF($BG167=0,0,IF(SUM($S167:V167)&lt;($J167-12),12,$J167-SUM($S167:V167)))</f>
        <v>0</v>
      </c>
      <c r="Y167" s="1100"/>
      <c r="Z167" s="1100"/>
      <c r="AA167" s="1100">
        <v>0</v>
      </c>
      <c r="AB167" s="1101">
        <f>IF($BH167=0,0,IF(SUM($Y167:AA167)&lt;($J167-12),12,$J167-SUM($Y167:AA167)))</f>
        <v>0</v>
      </c>
      <c r="AC167" s="1101">
        <f>IF($BH167=0,0,IF(SUM($Y167:AB167)&lt;($J167-12),12,$J167-SUM($Y167:AB167)))</f>
        <v>0</v>
      </c>
      <c r="AE167" s="1100"/>
      <c r="AF167" s="1100"/>
      <c r="AG167" s="1100"/>
      <c r="AH167" s="1100">
        <v>0</v>
      </c>
      <c r="AI167" s="1101">
        <f>IF($BI167=0,0,IF(SUM($AE167:AH167)&lt;($J167-12),12,$J167-SUM($AE167:AH167)))</f>
        <v>0</v>
      </c>
      <c r="AK167" s="1100"/>
      <c r="AL167" s="1100"/>
      <c r="AM167" s="1100"/>
      <c r="AN167" s="1100"/>
      <c r="AO167" s="1100">
        <v>0</v>
      </c>
      <c r="AQ167" s="153">
        <f t="shared" si="11"/>
        <v>0</v>
      </c>
      <c r="AR167" s="153">
        <f t="shared" si="12"/>
        <v>0</v>
      </c>
      <c r="AS167" s="153">
        <f t="shared" si="13"/>
        <v>0</v>
      </c>
      <c r="AT167" s="153">
        <f t="shared" si="14"/>
        <v>0</v>
      </c>
      <c r="AU167" s="153">
        <f t="shared" si="15"/>
        <v>0</v>
      </c>
      <c r="AW167" s="1543">
        <v>0</v>
      </c>
      <c r="AX167" s="1102"/>
      <c r="AY167" s="1544">
        <v>0</v>
      </c>
      <c r="BA167" s="1103">
        <v>0</v>
      </c>
      <c r="BB167" s="1103">
        <v>0</v>
      </c>
      <c r="BC167" s="1103">
        <v>0</v>
      </c>
      <c r="BD167" s="1103">
        <v>0</v>
      </c>
      <c r="BE167" s="1103">
        <v>0</v>
      </c>
      <c r="BF167" s="1103">
        <v>0</v>
      </c>
      <c r="BG167" s="1103">
        <v>0</v>
      </c>
      <c r="BH167" s="1103">
        <v>0</v>
      </c>
      <c r="BI167" s="1103">
        <v>0</v>
      </c>
      <c r="BJ167" s="1103">
        <v>0</v>
      </c>
    </row>
    <row r="168" spans="2:62" hidden="1" outlineLevel="1">
      <c r="B168" s="1094"/>
      <c r="C168" s="1083" t="s">
        <v>439</v>
      </c>
      <c r="D168" s="1062" t="s">
        <v>80</v>
      </c>
      <c r="E168" s="1083" t="s">
        <v>440</v>
      </c>
      <c r="F168" s="1095" t="s">
        <v>414</v>
      </c>
      <c r="G168" s="1096">
        <f t="shared" si="8"/>
        <v>645.17865883504646</v>
      </c>
      <c r="H168" s="1083" t="s">
        <v>29</v>
      </c>
      <c r="I168" s="1097">
        <v>8</v>
      </c>
      <c r="J168" s="1098">
        <f t="shared" si="9"/>
        <v>96</v>
      </c>
      <c r="K168" s="153">
        <f t="shared" si="10"/>
        <v>0.125</v>
      </c>
      <c r="L168" s="1099"/>
      <c r="M168" s="1100">
        <v>0</v>
      </c>
      <c r="N168" s="1101">
        <f>IF($BF168=0,0,IF(SUM($M168:M168)&lt;($J168-12),12,$J168-SUM($M168:M168)))</f>
        <v>0</v>
      </c>
      <c r="O168" s="1101">
        <f>IF($BF168=0,0,IF(SUM($M168:N168)&lt;($J168-12),12,$J168-SUM($M168:N168)))</f>
        <v>0</v>
      </c>
      <c r="P168" s="1101">
        <f>IF($BF168=0,0,IF(SUM($M168:O168)&lt;($J168-12),12,$J168-SUM($M168:O168)))</f>
        <v>0</v>
      </c>
      <c r="Q168" s="1101">
        <f>IF($BF168=0,0,IF(SUM($M168:P168)&lt;($J168-12),12,$J168-SUM($M168:P168)))</f>
        <v>0</v>
      </c>
      <c r="S168" s="1100"/>
      <c r="T168" s="1100">
        <v>0</v>
      </c>
      <c r="U168" s="1101">
        <f>IF($BG168=0,0,IF(SUM($S168:T168)&lt;($J168-12),12,$J168-SUM($S168:T168)))</f>
        <v>0</v>
      </c>
      <c r="V168" s="1101">
        <f>IF($BG168=0,0,IF(SUM($S168:U168)&lt;($J168-12),12,$J168-SUM($S168:U168)))</f>
        <v>0</v>
      </c>
      <c r="W168" s="1101">
        <f>IF($BG168=0,0,IF(SUM($S168:V168)&lt;($J168-12),12,$J168-SUM($S168:V168)))</f>
        <v>0</v>
      </c>
      <c r="Y168" s="1100"/>
      <c r="Z168" s="1100"/>
      <c r="AA168" s="1100">
        <v>0</v>
      </c>
      <c r="AB168" s="1101">
        <f>IF($BH168=0,0,IF(SUM($Y168:AA168)&lt;($J168-12),12,$J168-SUM($Y168:AA168)))</f>
        <v>0</v>
      </c>
      <c r="AC168" s="1101">
        <f>IF($BH168=0,0,IF(SUM($Y168:AB168)&lt;($J168-12),12,$J168-SUM($Y168:AB168)))</f>
        <v>0</v>
      </c>
      <c r="AE168" s="1100"/>
      <c r="AF168" s="1100"/>
      <c r="AG168" s="1100"/>
      <c r="AH168" s="1100">
        <v>3</v>
      </c>
      <c r="AI168" s="1101">
        <f>IF($BI168=0,0,IF(SUM($AE168:AH168)&lt;($J168-12),12,$J168-SUM($AE168:AH168)))</f>
        <v>12</v>
      </c>
      <c r="AK168" s="1100"/>
      <c r="AL168" s="1100"/>
      <c r="AM168" s="1100"/>
      <c r="AN168" s="1100"/>
      <c r="AO168" s="1100">
        <v>0</v>
      </c>
      <c r="AQ168" s="153">
        <f t="shared" si="11"/>
        <v>0</v>
      </c>
      <c r="AR168" s="153">
        <f t="shared" si="12"/>
        <v>0</v>
      </c>
      <c r="AS168" s="153">
        <f t="shared" si="13"/>
        <v>0</v>
      </c>
      <c r="AT168" s="153">
        <f t="shared" si="14"/>
        <v>0.25</v>
      </c>
      <c r="AU168" s="153">
        <f t="shared" si="15"/>
        <v>0</v>
      </c>
      <c r="AW168" s="1543">
        <v>0.75</v>
      </c>
      <c r="AX168" s="1102"/>
      <c r="AY168" s="1544">
        <v>0.25</v>
      </c>
      <c r="BA168" s="1103">
        <v>0</v>
      </c>
      <c r="BB168" s="1103">
        <v>0</v>
      </c>
      <c r="BC168" s="1103">
        <v>0</v>
      </c>
      <c r="BD168" s="1103">
        <v>0</v>
      </c>
      <c r="BE168" s="1103">
        <v>0</v>
      </c>
      <c r="BF168" s="1103">
        <v>0</v>
      </c>
      <c r="BG168" s="1103">
        <v>0</v>
      </c>
      <c r="BH168" s="1103">
        <v>0</v>
      </c>
      <c r="BI168" s="1103">
        <v>645.17865883504646</v>
      </c>
      <c r="BJ168" s="1103">
        <v>0</v>
      </c>
    </row>
    <row r="169" spans="2:62" hidden="1" outlineLevel="1">
      <c r="B169" s="1094"/>
      <c r="C169" s="1083" t="s">
        <v>441</v>
      </c>
      <c r="D169" s="1062" t="s">
        <v>80</v>
      </c>
      <c r="E169" s="1083" t="s">
        <v>440</v>
      </c>
      <c r="F169" s="1095" t="s">
        <v>414</v>
      </c>
      <c r="G169" s="1096">
        <f t="shared" si="8"/>
        <v>1198.1889378365149</v>
      </c>
      <c r="H169" s="1083" t="s">
        <v>29</v>
      </c>
      <c r="I169" s="1097">
        <v>8</v>
      </c>
      <c r="J169" s="1098">
        <f t="shared" si="9"/>
        <v>96</v>
      </c>
      <c r="K169" s="153">
        <f t="shared" si="10"/>
        <v>0.125</v>
      </c>
      <c r="L169" s="1099"/>
      <c r="M169" s="1100">
        <v>0</v>
      </c>
      <c r="N169" s="1101">
        <f>IF($BF169=0,0,IF(SUM($M169:M169)&lt;($J169-12),12,$J169-SUM($M169:M169)))</f>
        <v>0</v>
      </c>
      <c r="O169" s="1101">
        <f>IF($BF169=0,0,IF(SUM($M169:N169)&lt;($J169-12),12,$J169-SUM($M169:N169)))</f>
        <v>0</v>
      </c>
      <c r="P169" s="1101">
        <f>IF($BF169=0,0,IF(SUM($M169:O169)&lt;($J169-12),12,$J169-SUM($M169:O169)))</f>
        <v>0</v>
      </c>
      <c r="Q169" s="1101">
        <f>IF($BF169=0,0,IF(SUM($M169:P169)&lt;($J169-12),12,$J169-SUM($M169:P169)))</f>
        <v>0</v>
      </c>
      <c r="S169" s="1100"/>
      <c r="T169" s="1100">
        <v>0</v>
      </c>
      <c r="U169" s="1101">
        <f>IF($BG169=0,0,IF(SUM($S169:T169)&lt;($J169-12),12,$J169-SUM($S169:T169)))</f>
        <v>0</v>
      </c>
      <c r="V169" s="1101">
        <f>IF($BG169=0,0,IF(SUM($S169:U169)&lt;($J169-12),12,$J169-SUM($S169:U169)))</f>
        <v>0</v>
      </c>
      <c r="W169" s="1101">
        <f>IF($BG169=0,0,IF(SUM($S169:V169)&lt;($J169-12),12,$J169-SUM($S169:V169)))</f>
        <v>0</v>
      </c>
      <c r="Y169" s="1100"/>
      <c r="Z169" s="1100"/>
      <c r="AA169" s="1100">
        <v>0</v>
      </c>
      <c r="AB169" s="1101">
        <f>IF($BH169=0,0,IF(SUM($Y169:AA169)&lt;($J169-12),12,$J169-SUM($Y169:AA169)))</f>
        <v>0</v>
      </c>
      <c r="AC169" s="1101">
        <f>IF($BH169=0,0,IF(SUM($Y169:AB169)&lt;($J169-12),12,$J169-SUM($Y169:AB169)))</f>
        <v>0</v>
      </c>
      <c r="AE169" s="1100"/>
      <c r="AF169" s="1100"/>
      <c r="AG169" s="1100"/>
      <c r="AH169" s="1100">
        <v>0</v>
      </c>
      <c r="AI169" s="1101">
        <f>IF($BI169=0,0,IF(SUM($AE169:AH169)&lt;($J169-12),12,$J169-SUM($AE169:AH169)))</f>
        <v>12</v>
      </c>
      <c r="AK169" s="1100"/>
      <c r="AL169" s="1100"/>
      <c r="AM169" s="1100"/>
      <c r="AN169" s="1100"/>
      <c r="AO169" s="1100">
        <v>0</v>
      </c>
      <c r="AQ169" s="153">
        <f t="shared" si="11"/>
        <v>0</v>
      </c>
      <c r="AR169" s="153">
        <f t="shared" si="12"/>
        <v>0</v>
      </c>
      <c r="AS169" s="153">
        <f t="shared" si="13"/>
        <v>0</v>
      </c>
      <c r="AT169" s="153">
        <f t="shared" si="14"/>
        <v>0</v>
      </c>
      <c r="AU169" s="153">
        <f t="shared" si="15"/>
        <v>0</v>
      </c>
      <c r="AW169" s="1543">
        <v>0.75</v>
      </c>
      <c r="AX169" s="1102"/>
      <c r="AY169" s="1544">
        <v>0.25</v>
      </c>
      <c r="BA169" s="1103">
        <v>0</v>
      </c>
      <c r="BB169" s="1103">
        <v>0</v>
      </c>
      <c r="BC169" s="1103">
        <v>0</v>
      </c>
      <c r="BD169" s="1103">
        <v>0</v>
      </c>
      <c r="BE169" s="1103">
        <v>0</v>
      </c>
      <c r="BF169" s="1103">
        <v>0</v>
      </c>
      <c r="BG169" s="1103">
        <v>0</v>
      </c>
      <c r="BH169" s="1103">
        <v>0</v>
      </c>
      <c r="BI169" s="1103">
        <v>1198.1889378365149</v>
      </c>
      <c r="BJ169" s="1103">
        <v>0</v>
      </c>
    </row>
    <row r="170" spans="2:62" hidden="1" outlineLevel="1">
      <c r="B170" s="1094"/>
      <c r="C170" s="1083" t="s">
        <v>442</v>
      </c>
      <c r="D170" s="1062" t="s">
        <v>80</v>
      </c>
      <c r="E170" s="1083" t="s">
        <v>443</v>
      </c>
      <c r="F170" s="1095" t="s">
        <v>414</v>
      </c>
      <c r="G170" s="1096">
        <f t="shared" si="8"/>
        <v>276.50513950073423</v>
      </c>
      <c r="H170" s="1083" t="s">
        <v>29</v>
      </c>
      <c r="I170" s="1097">
        <v>8</v>
      </c>
      <c r="J170" s="1098">
        <f t="shared" si="9"/>
        <v>96</v>
      </c>
      <c r="K170" s="153">
        <f t="shared" si="10"/>
        <v>0.125</v>
      </c>
      <c r="L170" s="1099"/>
      <c r="M170" s="1100">
        <v>0</v>
      </c>
      <c r="N170" s="1101">
        <f>IF($BF170=0,0,IF(SUM($M170:M170)&lt;($J170-12),12,$J170-SUM($M170:M170)))</f>
        <v>0</v>
      </c>
      <c r="O170" s="1101">
        <f>IF($BF170=0,0,IF(SUM($M170:N170)&lt;($J170-12),12,$J170-SUM($M170:N170)))</f>
        <v>0</v>
      </c>
      <c r="P170" s="1101">
        <f>IF($BF170=0,0,IF(SUM($M170:O170)&lt;($J170-12),12,$J170-SUM($M170:O170)))</f>
        <v>0</v>
      </c>
      <c r="Q170" s="1101">
        <f>IF($BF170=0,0,IF(SUM($M170:P170)&lt;($J170-12),12,$J170-SUM($M170:P170)))</f>
        <v>0</v>
      </c>
      <c r="S170" s="1100"/>
      <c r="T170" s="1100">
        <v>0</v>
      </c>
      <c r="U170" s="1101">
        <f>IF($BG170=0,0,IF(SUM($S170:T170)&lt;($J170-12),12,$J170-SUM($S170:T170)))</f>
        <v>0</v>
      </c>
      <c r="V170" s="1101">
        <f>IF($BG170=0,0,IF(SUM($S170:U170)&lt;($J170-12),12,$J170-SUM($S170:U170)))</f>
        <v>0</v>
      </c>
      <c r="W170" s="1101">
        <f>IF($BG170=0,0,IF(SUM($S170:V170)&lt;($J170-12),12,$J170-SUM($S170:V170)))</f>
        <v>0</v>
      </c>
      <c r="Y170" s="1100"/>
      <c r="Z170" s="1100"/>
      <c r="AA170" s="1100">
        <v>0</v>
      </c>
      <c r="AB170" s="1101">
        <f>IF($BH170=0,0,IF(SUM($Y170:AA170)&lt;($J170-12),12,$J170-SUM($Y170:AA170)))</f>
        <v>0</v>
      </c>
      <c r="AC170" s="1101">
        <f>IF($BH170=0,0,IF(SUM($Y170:AB170)&lt;($J170-12),12,$J170-SUM($Y170:AB170)))</f>
        <v>0</v>
      </c>
      <c r="AE170" s="1100"/>
      <c r="AF170" s="1100"/>
      <c r="AG170" s="1100"/>
      <c r="AH170" s="1100">
        <v>0</v>
      </c>
      <c r="AI170" s="1101">
        <f>IF($BI170=0,0,IF(SUM($AE170:AH170)&lt;($J170-12),12,$J170-SUM($AE170:AH170)))</f>
        <v>0</v>
      </c>
      <c r="AK170" s="1100"/>
      <c r="AL170" s="1100"/>
      <c r="AM170" s="1100"/>
      <c r="AN170" s="1100"/>
      <c r="AO170" s="1100">
        <v>12</v>
      </c>
      <c r="AQ170" s="153">
        <f t="shared" si="11"/>
        <v>0</v>
      </c>
      <c r="AR170" s="153">
        <f t="shared" si="12"/>
        <v>0</v>
      </c>
      <c r="AS170" s="153">
        <f t="shared" si="13"/>
        <v>0</v>
      </c>
      <c r="AT170" s="153">
        <f t="shared" si="14"/>
        <v>0</v>
      </c>
      <c r="AU170" s="153">
        <f t="shared" si="15"/>
        <v>1</v>
      </c>
      <c r="AW170" s="1543">
        <v>0.75</v>
      </c>
      <c r="AX170" s="1102"/>
      <c r="AY170" s="1544">
        <v>0.25</v>
      </c>
      <c r="BA170" s="1103">
        <v>0</v>
      </c>
      <c r="BB170" s="1103">
        <v>0</v>
      </c>
      <c r="BC170" s="1103">
        <v>0</v>
      </c>
      <c r="BD170" s="1103">
        <v>0</v>
      </c>
      <c r="BE170" s="1103">
        <v>0</v>
      </c>
      <c r="BF170" s="1103">
        <v>0</v>
      </c>
      <c r="BG170" s="1103">
        <v>0</v>
      </c>
      <c r="BH170" s="1103">
        <v>0</v>
      </c>
      <c r="BI170" s="1103">
        <v>0</v>
      </c>
      <c r="BJ170" s="1103">
        <v>276.50513950073423</v>
      </c>
    </row>
    <row r="171" spans="2:62" hidden="1" outlineLevel="1">
      <c r="B171" s="1094"/>
      <c r="C171" s="1083" t="s">
        <v>444</v>
      </c>
      <c r="D171" s="1062" t="s">
        <v>82</v>
      </c>
      <c r="E171" s="1083" t="s">
        <v>445</v>
      </c>
      <c r="F171" s="1095" t="s">
        <v>414</v>
      </c>
      <c r="G171" s="1096">
        <f t="shared" si="8"/>
        <v>2100</v>
      </c>
      <c r="H171" s="1083" t="s">
        <v>29</v>
      </c>
      <c r="I171" s="1097">
        <v>8</v>
      </c>
      <c r="J171" s="1098">
        <f t="shared" si="9"/>
        <v>96</v>
      </c>
      <c r="K171" s="153">
        <f t="shared" si="10"/>
        <v>0.125</v>
      </c>
      <c r="L171" s="1099"/>
      <c r="M171" s="1100">
        <v>0</v>
      </c>
      <c r="N171" s="1101">
        <f>IF($BF171=0,0,IF(SUM($M171:M171)&lt;($J171-12),12,$J171-SUM($M171:M171)))</f>
        <v>0</v>
      </c>
      <c r="O171" s="1101">
        <f>IF($BF171=0,0,IF(SUM($M171:N171)&lt;($J171-12),12,$J171-SUM($M171:N171)))</f>
        <v>0</v>
      </c>
      <c r="P171" s="1101">
        <f>IF($BF171=0,0,IF(SUM($M171:O171)&lt;($J171-12),12,$J171-SUM($M171:O171)))</f>
        <v>0</v>
      </c>
      <c r="Q171" s="1101">
        <f>IF($BF171=0,0,IF(SUM($M171:P171)&lt;($J171-12),12,$J171-SUM($M171:P171)))</f>
        <v>0</v>
      </c>
      <c r="S171" s="1100"/>
      <c r="T171" s="1100">
        <v>0</v>
      </c>
      <c r="U171" s="1101">
        <f>IF($BG171=0,0,IF(SUM($S171:T171)&lt;($J171-12),12,$J171-SUM($S171:T171)))</f>
        <v>0</v>
      </c>
      <c r="V171" s="1101">
        <f>IF($BG171=0,0,IF(SUM($S171:U171)&lt;($J171-12),12,$J171-SUM($S171:U171)))</f>
        <v>0</v>
      </c>
      <c r="W171" s="1101">
        <f>IF($BG171=0,0,IF(SUM($S171:V171)&lt;($J171-12),12,$J171-SUM($S171:V171)))</f>
        <v>0</v>
      </c>
      <c r="Y171" s="1100"/>
      <c r="Z171" s="1100"/>
      <c r="AA171" s="1100">
        <v>0</v>
      </c>
      <c r="AB171" s="1101">
        <f>IF($BH171=0,0,IF(SUM($Y171:AA171)&lt;($J171-12),12,$J171-SUM($Y171:AA171)))</f>
        <v>0</v>
      </c>
      <c r="AC171" s="1101">
        <f>IF($BH171=0,0,IF(SUM($Y171:AB171)&lt;($J171-12),12,$J171-SUM($Y171:AB171)))</f>
        <v>0</v>
      </c>
      <c r="AE171" s="1100"/>
      <c r="AF171" s="1100"/>
      <c r="AG171" s="1100"/>
      <c r="AH171" s="1100">
        <v>9</v>
      </c>
      <c r="AI171" s="1101">
        <f>IF($BI171=0,0,IF(SUM($AE171:AH171)&lt;($J171-12),12,$J171-SUM($AE171:AH171)))</f>
        <v>12</v>
      </c>
      <c r="AK171" s="1100"/>
      <c r="AL171" s="1100"/>
      <c r="AM171" s="1100"/>
      <c r="AN171" s="1100"/>
      <c r="AO171" s="1100">
        <v>0</v>
      </c>
      <c r="AQ171" s="153">
        <f t="shared" si="11"/>
        <v>0</v>
      </c>
      <c r="AR171" s="153">
        <f t="shared" si="12"/>
        <v>0</v>
      </c>
      <c r="AS171" s="153">
        <f t="shared" si="13"/>
        <v>0</v>
      </c>
      <c r="AT171" s="153">
        <f t="shared" si="14"/>
        <v>0.75</v>
      </c>
      <c r="AU171" s="153">
        <f t="shared" si="15"/>
        <v>0</v>
      </c>
      <c r="AW171" s="1543">
        <v>0.75</v>
      </c>
      <c r="AX171" s="1102"/>
      <c r="AY171" s="1544">
        <v>0.25</v>
      </c>
      <c r="BA171" s="1103">
        <v>0</v>
      </c>
      <c r="BB171" s="1103">
        <v>0</v>
      </c>
      <c r="BC171" s="1103">
        <v>0</v>
      </c>
      <c r="BD171" s="1103">
        <v>0</v>
      </c>
      <c r="BE171" s="1103">
        <v>0</v>
      </c>
      <c r="BF171" s="1103">
        <v>0</v>
      </c>
      <c r="BG171" s="1103">
        <v>0</v>
      </c>
      <c r="BH171" s="1103">
        <v>0</v>
      </c>
      <c r="BI171" s="1103">
        <v>2100</v>
      </c>
      <c r="BJ171" s="1103">
        <v>0</v>
      </c>
    </row>
    <row r="172" spans="2:62" hidden="1" outlineLevel="1">
      <c r="B172" s="1094"/>
      <c r="C172" s="1083" t="s">
        <v>446</v>
      </c>
      <c r="D172" s="1062" t="s">
        <v>82</v>
      </c>
      <c r="E172" s="1083" t="s">
        <v>447</v>
      </c>
      <c r="F172" s="1095" t="s">
        <v>414</v>
      </c>
      <c r="G172" s="1096">
        <f t="shared" si="8"/>
        <v>3900</v>
      </c>
      <c r="H172" s="1083" t="s">
        <v>29</v>
      </c>
      <c r="I172" s="1097">
        <v>8</v>
      </c>
      <c r="J172" s="1098">
        <f t="shared" si="9"/>
        <v>96</v>
      </c>
      <c r="K172" s="153">
        <f t="shared" si="10"/>
        <v>0.125</v>
      </c>
      <c r="L172" s="1099"/>
      <c r="M172" s="1100">
        <v>0</v>
      </c>
      <c r="N172" s="1101">
        <f>IF($BF172=0,0,IF(SUM($M172:M172)&lt;($J172-12),12,$J172-SUM($M172:M172)))</f>
        <v>0</v>
      </c>
      <c r="O172" s="1101">
        <f>IF($BF172=0,0,IF(SUM($M172:N172)&lt;($J172-12),12,$J172-SUM($M172:N172)))</f>
        <v>0</v>
      </c>
      <c r="P172" s="1101">
        <f>IF($BF172=0,0,IF(SUM($M172:O172)&lt;($J172-12),12,$J172-SUM($M172:O172)))</f>
        <v>0</v>
      </c>
      <c r="Q172" s="1101">
        <f>IF($BF172=0,0,IF(SUM($M172:P172)&lt;($J172-12),12,$J172-SUM($M172:P172)))</f>
        <v>0</v>
      </c>
      <c r="S172" s="1100"/>
      <c r="T172" s="1100">
        <v>0</v>
      </c>
      <c r="U172" s="1101">
        <f>IF($BG172=0,0,IF(SUM($S172:T172)&lt;($J172-12),12,$J172-SUM($S172:T172)))</f>
        <v>0</v>
      </c>
      <c r="V172" s="1101">
        <f>IF($BG172=0,0,IF(SUM($S172:U172)&lt;($J172-12),12,$J172-SUM($S172:U172)))</f>
        <v>0</v>
      </c>
      <c r="W172" s="1101">
        <f>IF($BG172=0,0,IF(SUM($S172:V172)&lt;($J172-12),12,$J172-SUM($S172:V172)))</f>
        <v>0</v>
      </c>
      <c r="Y172" s="1100"/>
      <c r="Z172" s="1100"/>
      <c r="AA172" s="1100">
        <v>3</v>
      </c>
      <c r="AB172" s="1101">
        <f>IF($BH172=0,0,IF(SUM($Y172:AA172)&lt;($J172-12),12,$J172-SUM($Y172:AA172)))</f>
        <v>12</v>
      </c>
      <c r="AC172" s="1101">
        <f>IF($BH172=0,0,IF(SUM($Y172:AB172)&lt;($J172-12),12,$J172-SUM($Y172:AB172)))</f>
        <v>12</v>
      </c>
      <c r="AE172" s="1100"/>
      <c r="AF172" s="1100"/>
      <c r="AG172" s="1100"/>
      <c r="AH172" s="1100">
        <v>0</v>
      </c>
      <c r="AI172" s="1101">
        <f>IF($BI172=0,0,IF(SUM($AE172:AH172)&lt;($J172-12),12,$J172-SUM($AE172:AH172)))</f>
        <v>0</v>
      </c>
      <c r="AK172" s="1100"/>
      <c r="AL172" s="1100"/>
      <c r="AM172" s="1100"/>
      <c r="AN172" s="1100"/>
      <c r="AO172" s="1100">
        <v>0</v>
      </c>
      <c r="AQ172" s="153">
        <f t="shared" si="11"/>
        <v>0</v>
      </c>
      <c r="AR172" s="153">
        <f t="shared" si="12"/>
        <v>0</v>
      </c>
      <c r="AS172" s="153">
        <f t="shared" si="13"/>
        <v>0.25</v>
      </c>
      <c r="AT172" s="153">
        <f t="shared" si="14"/>
        <v>0</v>
      </c>
      <c r="AU172" s="153">
        <f t="shared" si="15"/>
        <v>0</v>
      </c>
      <c r="AW172" s="1543">
        <v>0.75</v>
      </c>
      <c r="AX172" s="1102"/>
      <c r="AY172" s="1544">
        <v>0.25</v>
      </c>
      <c r="BA172" s="1103">
        <v>0</v>
      </c>
      <c r="BB172" s="1103">
        <v>0</v>
      </c>
      <c r="BC172" s="1103">
        <v>0</v>
      </c>
      <c r="BD172" s="1103">
        <v>0</v>
      </c>
      <c r="BE172" s="1103">
        <v>0</v>
      </c>
      <c r="BF172" s="1103">
        <v>0</v>
      </c>
      <c r="BG172" s="1103">
        <v>0</v>
      </c>
      <c r="BH172" s="1103">
        <v>3900</v>
      </c>
      <c r="BI172" s="1103">
        <v>0</v>
      </c>
      <c r="BJ172" s="1103">
        <v>0</v>
      </c>
    </row>
    <row r="173" spans="2:62" hidden="1" outlineLevel="1">
      <c r="B173" s="1094"/>
      <c r="C173" s="1083" t="s">
        <v>448</v>
      </c>
      <c r="D173" s="1062" t="s">
        <v>82</v>
      </c>
      <c r="E173" s="1083" t="s">
        <v>447</v>
      </c>
      <c r="F173" s="1095" t="s">
        <v>414</v>
      </c>
      <c r="G173" s="1096">
        <f t="shared" si="8"/>
        <v>750</v>
      </c>
      <c r="H173" s="1083" t="s">
        <v>29</v>
      </c>
      <c r="I173" s="1097">
        <v>8</v>
      </c>
      <c r="J173" s="1098">
        <f t="shared" si="9"/>
        <v>96</v>
      </c>
      <c r="K173" s="153">
        <f t="shared" si="10"/>
        <v>0.125</v>
      </c>
      <c r="L173" s="1099"/>
      <c r="M173" s="1100">
        <v>0</v>
      </c>
      <c r="N173" s="1101">
        <f>IF($BF173=0,0,IF(SUM($M173:M173)&lt;($J173-12),12,$J173-SUM($M173:M173)))</f>
        <v>0</v>
      </c>
      <c r="O173" s="1101">
        <f>IF($BF173=0,0,IF(SUM($M173:N173)&lt;($J173-12),12,$J173-SUM($M173:N173)))</f>
        <v>0</v>
      </c>
      <c r="P173" s="1101">
        <f>IF($BF173=0,0,IF(SUM($M173:O173)&lt;($J173-12),12,$J173-SUM($M173:O173)))</f>
        <v>0</v>
      </c>
      <c r="Q173" s="1101">
        <f>IF($BF173=0,0,IF(SUM($M173:P173)&lt;($J173-12),12,$J173-SUM($M173:P173)))</f>
        <v>0</v>
      </c>
      <c r="S173" s="1100"/>
      <c r="T173" s="1100">
        <v>0</v>
      </c>
      <c r="U173" s="1101">
        <f>IF($BG173=0,0,IF(SUM($S173:T173)&lt;($J173-12),12,$J173-SUM($S173:T173)))</f>
        <v>0</v>
      </c>
      <c r="V173" s="1101">
        <f>IF($BG173=0,0,IF(SUM($S173:U173)&lt;($J173-12),12,$J173-SUM($S173:U173)))</f>
        <v>0</v>
      </c>
      <c r="W173" s="1101">
        <f>IF($BG173=0,0,IF(SUM($S173:V173)&lt;($J173-12),12,$J173-SUM($S173:V173)))</f>
        <v>0</v>
      </c>
      <c r="Y173" s="1100"/>
      <c r="Z173" s="1100"/>
      <c r="AA173" s="1100">
        <v>3</v>
      </c>
      <c r="AB173" s="1101">
        <f>IF($BH173=0,0,IF(SUM($Y173:AA173)&lt;($J173-12),12,$J173-SUM($Y173:AA173)))</f>
        <v>12</v>
      </c>
      <c r="AC173" s="1101">
        <f>IF($BH173=0,0,IF(SUM($Y173:AB173)&lt;($J173-12),12,$J173-SUM($Y173:AB173)))</f>
        <v>12</v>
      </c>
      <c r="AE173" s="1100"/>
      <c r="AF173" s="1100"/>
      <c r="AG173" s="1100"/>
      <c r="AH173" s="1100">
        <v>0</v>
      </c>
      <c r="AI173" s="1101">
        <f>IF($BI173=0,0,IF(SUM($AE173:AH173)&lt;($J173-12),12,$J173-SUM($AE173:AH173)))</f>
        <v>0</v>
      </c>
      <c r="AK173" s="1100"/>
      <c r="AL173" s="1100"/>
      <c r="AM173" s="1100"/>
      <c r="AN173" s="1100"/>
      <c r="AO173" s="1100">
        <v>0</v>
      </c>
      <c r="AQ173" s="153">
        <f t="shared" si="11"/>
        <v>0</v>
      </c>
      <c r="AR173" s="153">
        <f t="shared" si="12"/>
        <v>0</v>
      </c>
      <c r="AS173" s="153">
        <f t="shared" si="13"/>
        <v>0.25</v>
      </c>
      <c r="AT173" s="153">
        <f t="shared" si="14"/>
        <v>0</v>
      </c>
      <c r="AU173" s="153">
        <f t="shared" si="15"/>
        <v>0</v>
      </c>
      <c r="AW173" s="1543">
        <v>0.75</v>
      </c>
      <c r="AX173" s="1102"/>
      <c r="AY173" s="1544">
        <v>0.25</v>
      </c>
      <c r="BA173" s="1103">
        <v>0</v>
      </c>
      <c r="BB173" s="1103">
        <v>0</v>
      </c>
      <c r="BC173" s="1103">
        <v>0</v>
      </c>
      <c r="BD173" s="1103">
        <v>0</v>
      </c>
      <c r="BE173" s="1103">
        <v>0</v>
      </c>
      <c r="BF173" s="1103">
        <v>0</v>
      </c>
      <c r="BG173" s="1103">
        <v>0</v>
      </c>
      <c r="BH173" s="1103">
        <v>750</v>
      </c>
      <c r="BI173" s="1103">
        <v>0</v>
      </c>
      <c r="BJ173" s="1103">
        <v>0</v>
      </c>
    </row>
    <row r="174" spans="2:62" hidden="1" outlineLevel="1">
      <c r="B174" s="1094"/>
      <c r="C174" s="1083" t="s">
        <v>449</v>
      </c>
      <c r="D174" s="1062" t="s">
        <v>82</v>
      </c>
      <c r="E174" s="1083" t="s">
        <v>447</v>
      </c>
      <c r="F174" s="1095" t="s">
        <v>414</v>
      </c>
      <c r="G174" s="1096">
        <f t="shared" si="8"/>
        <v>750</v>
      </c>
      <c r="H174" s="1083" t="s">
        <v>29</v>
      </c>
      <c r="I174" s="1097">
        <v>8</v>
      </c>
      <c r="J174" s="1098">
        <f t="shared" si="9"/>
        <v>96</v>
      </c>
      <c r="K174" s="153">
        <f t="shared" si="10"/>
        <v>0.125</v>
      </c>
      <c r="L174" s="1099"/>
      <c r="M174" s="1100">
        <v>0</v>
      </c>
      <c r="N174" s="1101">
        <f>IF($BF174=0,0,IF(SUM($M174:M174)&lt;($J174-12),12,$J174-SUM($M174:M174)))</f>
        <v>0</v>
      </c>
      <c r="O174" s="1101">
        <f>IF($BF174=0,0,IF(SUM($M174:N174)&lt;($J174-12),12,$J174-SUM($M174:N174)))</f>
        <v>0</v>
      </c>
      <c r="P174" s="1101">
        <f>IF($BF174=0,0,IF(SUM($M174:O174)&lt;($J174-12),12,$J174-SUM($M174:O174)))</f>
        <v>0</v>
      </c>
      <c r="Q174" s="1101">
        <f>IF($BF174=0,0,IF(SUM($M174:P174)&lt;($J174-12),12,$J174-SUM($M174:P174)))</f>
        <v>0</v>
      </c>
      <c r="S174" s="1100"/>
      <c r="T174" s="1100">
        <v>0</v>
      </c>
      <c r="U174" s="1101">
        <f>IF($BG174=0,0,IF(SUM($S174:T174)&lt;($J174-12),12,$J174-SUM($S174:T174)))</f>
        <v>0</v>
      </c>
      <c r="V174" s="1101">
        <f>IF($BG174=0,0,IF(SUM($S174:U174)&lt;($J174-12),12,$J174-SUM($S174:U174)))</f>
        <v>0</v>
      </c>
      <c r="W174" s="1101">
        <f>IF($BG174=0,0,IF(SUM($S174:V174)&lt;($J174-12),12,$J174-SUM($S174:V174)))</f>
        <v>0</v>
      </c>
      <c r="Y174" s="1100"/>
      <c r="Z174" s="1100"/>
      <c r="AA174" s="1100">
        <v>0</v>
      </c>
      <c r="AB174" s="1101">
        <f>IF($BH174=0,0,IF(SUM($Y174:AA174)&lt;($J174-12),12,$J174-SUM($Y174:AA174)))</f>
        <v>0</v>
      </c>
      <c r="AC174" s="1101">
        <f>IF($BH174=0,0,IF(SUM($Y174:AB174)&lt;($J174-12),12,$J174-SUM($Y174:AB174)))</f>
        <v>0</v>
      </c>
      <c r="AE174" s="1100"/>
      <c r="AF174" s="1100"/>
      <c r="AG174" s="1100"/>
      <c r="AH174" s="1100">
        <v>9</v>
      </c>
      <c r="AI174" s="1101">
        <f>IF($BI174=0,0,IF(SUM($AE174:AH174)&lt;($J174-12),12,$J174-SUM($AE174:AH174)))</f>
        <v>12</v>
      </c>
      <c r="AK174" s="1100"/>
      <c r="AL174" s="1100"/>
      <c r="AM174" s="1100"/>
      <c r="AN174" s="1100"/>
      <c r="AO174" s="1100">
        <v>0</v>
      </c>
      <c r="AQ174" s="153">
        <f t="shared" si="11"/>
        <v>0</v>
      </c>
      <c r="AR174" s="153">
        <f t="shared" si="12"/>
        <v>0</v>
      </c>
      <c r="AS174" s="153">
        <f t="shared" si="13"/>
        <v>0</v>
      </c>
      <c r="AT174" s="153">
        <f t="shared" si="14"/>
        <v>0.75</v>
      </c>
      <c r="AU174" s="153">
        <f t="shared" si="15"/>
        <v>0</v>
      </c>
      <c r="AW174" s="1543">
        <v>0.75</v>
      </c>
      <c r="AX174" s="1102"/>
      <c r="AY174" s="1544">
        <v>0.25</v>
      </c>
      <c r="BA174" s="1103">
        <v>0</v>
      </c>
      <c r="BB174" s="1103">
        <v>0</v>
      </c>
      <c r="BC174" s="1103">
        <v>0</v>
      </c>
      <c r="BD174" s="1103">
        <v>0</v>
      </c>
      <c r="BE174" s="1103">
        <v>0</v>
      </c>
      <c r="BF174" s="1103">
        <v>0</v>
      </c>
      <c r="BG174" s="1103">
        <v>0</v>
      </c>
      <c r="BH174" s="1103">
        <v>0</v>
      </c>
      <c r="BI174" s="1103">
        <v>750</v>
      </c>
      <c r="BJ174" s="1103">
        <v>0</v>
      </c>
    </row>
    <row r="175" spans="2:62" hidden="1" outlineLevel="1">
      <c r="B175" s="1094"/>
      <c r="C175" s="1083" t="s">
        <v>450</v>
      </c>
      <c r="D175" s="1062" t="s">
        <v>450</v>
      </c>
      <c r="E175" s="1083" t="s">
        <v>451</v>
      </c>
      <c r="F175" s="1095" t="s">
        <v>414</v>
      </c>
      <c r="G175" s="1096">
        <f t="shared" ref="G175:G238" si="21">SUM(BA175:BJ175)</f>
        <v>0</v>
      </c>
      <c r="H175" s="1083" t="s">
        <v>29</v>
      </c>
      <c r="I175" s="1097">
        <v>0</v>
      </c>
      <c r="J175" s="1098">
        <f t="shared" ref="J175:J238" si="22">I175*12</f>
        <v>0</v>
      </c>
      <c r="K175" s="153">
        <f t="shared" ref="K175:K238" si="23">IFERROR(1/I175,0)</f>
        <v>0</v>
      </c>
      <c r="L175" s="1099"/>
      <c r="M175" s="1100">
        <v>0</v>
      </c>
      <c r="N175" s="1101">
        <f>IF($BF175=0,0,IF(SUM($M175:M175)&lt;($J175-12),12,$J175-SUM($M175:M175)))</f>
        <v>0</v>
      </c>
      <c r="O175" s="1101">
        <f>IF($BF175=0,0,IF(SUM($M175:N175)&lt;($J175-12),12,$J175-SUM($M175:N175)))</f>
        <v>0</v>
      </c>
      <c r="P175" s="1101">
        <f>IF($BF175=0,0,IF(SUM($M175:O175)&lt;($J175-12),12,$J175-SUM($M175:O175)))</f>
        <v>0</v>
      </c>
      <c r="Q175" s="1101">
        <f>IF($BF175=0,0,IF(SUM($M175:P175)&lt;($J175-12),12,$J175-SUM($M175:P175)))</f>
        <v>0</v>
      </c>
      <c r="S175" s="1100"/>
      <c r="T175" s="1100">
        <v>0</v>
      </c>
      <c r="U175" s="1101">
        <f>IF($BG175=0,0,IF(SUM($S175:T175)&lt;($J175-12),12,$J175-SUM($S175:T175)))</f>
        <v>0</v>
      </c>
      <c r="V175" s="1101">
        <f>IF($BG175=0,0,IF(SUM($S175:U175)&lt;($J175-12),12,$J175-SUM($S175:U175)))</f>
        <v>0</v>
      </c>
      <c r="W175" s="1101">
        <f>IF($BG175=0,0,IF(SUM($S175:V175)&lt;($J175-12),12,$J175-SUM($S175:V175)))</f>
        <v>0</v>
      </c>
      <c r="Y175" s="1100"/>
      <c r="Z175" s="1100"/>
      <c r="AA175" s="1100">
        <v>0</v>
      </c>
      <c r="AB175" s="1101">
        <f>IF($BH175=0,0,IF(SUM($Y175:AA175)&lt;($J175-12),12,$J175-SUM($Y175:AA175)))</f>
        <v>0</v>
      </c>
      <c r="AC175" s="1101">
        <f>IF($BH175=0,0,IF(SUM($Y175:AB175)&lt;($J175-12),12,$J175-SUM($Y175:AB175)))</f>
        <v>0</v>
      </c>
      <c r="AE175" s="1100"/>
      <c r="AF175" s="1100"/>
      <c r="AG175" s="1100"/>
      <c r="AH175" s="1100">
        <v>0</v>
      </c>
      <c r="AI175" s="1101">
        <f>IF($BI175=0,0,IF(SUM($AE175:AH175)&lt;($J175-12),12,$J175-SUM($AE175:AH175)))</f>
        <v>0</v>
      </c>
      <c r="AK175" s="1100"/>
      <c r="AL175" s="1100"/>
      <c r="AM175" s="1100"/>
      <c r="AN175" s="1100"/>
      <c r="AO175" s="1100">
        <v>0</v>
      </c>
      <c r="AQ175" s="153">
        <f t="shared" ref="AQ175:AQ238" si="24">M175/12</f>
        <v>0</v>
      </c>
      <c r="AR175" s="153">
        <f t="shared" ref="AR175:AR238" si="25">T175/12</f>
        <v>0</v>
      </c>
      <c r="AS175" s="153">
        <f t="shared" ref="AS175:AS238" si="26">AA175/12</f>
        <v>0</v>
      </c>
      <c r="AT175" s="153">
        <f t="shared" ref="AT175:AT238" si="27">AH175/12</f>
        <v>0</v>
      </c>
      <c r="AU175" s="153">
        <f t="shared" ref="AU175:AU238" si="28">AO175/12</f>
        <v>0</v>
      </c>
      <c r="AW175" s="1543">
        <v>0</v>
      </c>
      <c r="AX175" s="1102"/>
      <c r="AY175" s="1544">
        <v>0</v>
      </c>
      <c r="BA175" s="1103">
        <v>0</v>
      </c>
      <c r="BB175" s="1103">
        <v>0</v>
      </c>
      <c r="BC175" s="1103">
        <v>0</v>
      </c>
      <c r="BD175" s="1103">
        <v>0</v>
      </c>
      <c r="BE175" s="1103">
        <v>0</v>
      </c>
      <c r="BF175" s="1103">
        <v>0</v>
      </c>
      <c r="BG175" s="1103">
        <v>0</v>
      </c>
      <c r="BH175" s="1103">
        <v>0</v>
      </c>
      <c r="BI175" s="1103">
        <v>0</v>
      </c>
      <c r="BJ175" s="1103">
        <v>0</v>
      </c>
    </row>
    <row r="176" spans="2:62" hidden="1" outlineLevel="1">
      <c r="B176" s="1094"/>
      <c r="C176" s="1083" t="s">
        <v>452</v>
      </c>
      <c r="D176" s="1062" t="s">
        <v>450</v>
      </c>
      <c r="E176" s="1083" t="s">
        <v>453</v>
      </c>
      <c r="F176" s="1095" t="s">
        <v>414</v>
      </c>
      <c r="G176" s="1096">
        <f t="shared" si="21"/>
        <v>2789.0561400000001</v>
      </c>
      <c r="H176" s="1083" t="s">
        <v>29</v>
      </c>
      <c r="I176" s="1097">
        <v>8</v>
      </c>
      <c r="J176" s="1098">
        <f t="shared" si="22"/>
        <v>96</v>
      </c>
      <c r="K176" s="153">
        <f t="shared" si="23"/>
        <v>0.125</v>
      </c>
      <c r="L176" s="1099"/>
      <c r="M176" s="1100">
        <v>0</v>
      </c>
      <c r="N176" s="1101">
        <f>IF($BF176=0,0,IF(SUM($M176:M176)&lt;($J176-12),12,$J176-SUM($M176:M176)))</f>
        <v>0</v>
      </c>
      <c r="O176" s="1101">
        <f>IF($BF176=0,0,IF(SUM($M176:N176)&lt;($J176-12),12,$J176-SUM($M176:N176)))</f>
        <v>0</v>
      </c>
      <c r="P176" s="1101">
        <f>IF($BF176=0,0,IF(SUM($M176:O176)&lt;($J176-12),12,$J176-SUM($M176:O176)))</f>
        <v>0</v>
      </c>
      <c r="Q176" s="1101">
        <f>IF($BF176=0,0,IF(SUM($M176:P176)&lt;($J176-12),12,$J176-SUM($M176:P176)))</f>
        <v>0</v>
      </c>
      <c r="S176" s="1100"/>
      <c r="T176" s="1100">
        <v>0</v>
      </c>
      <c r="U176" s="1101">
        <f>IF($BG176=0,0,IF(SUM($S176:T176)&lt;($J176-12),12,$J176-SUM($S176:T176)))</f>
        <v>0</v>
      </c>
      <c r="V176" s="1101">
        <f>IF($BG176=0,0,IF(SUM($S176:U176)&lt;($J176-12),12,$J176-SUM($S176:U176)))</f>
        <v>0</v>
      </c>
      <c r="W176" s="1101">
        <f>IF($BG176=0,0,IF(SUM($S176:V176)&lt;($J176-12),12,$J176-SUM($S176:V176)))</f>
        <v>0</v>
      </c>
      <c r="Y176" s="1100"/>
      <c r="Z176" s="1100"/>
      <c r="AA176" s="1100">
        <v>0</v>
      </c>
      <c r="AB176" s="1101">
        <f>IF($BH176=0,0,IF(SUM($Y176:AA176)&lt;($J176-12),12,$J176-SUM($Y176:AA176)))</f>
        <v>0</v>
      </c>
      <c r="AC176" s="1101">
        <f>IF($BH176=0,0,IF(SUM($Y176:AB176)&lt;($J176-12),12,$J176-SUM($Y176:AB176)))</f>
        <v>0</v>
      </c>
      <c r="AE176" s="1100"/>
      <c r="AF176" s="1100"/>
      <c r="AG176" s="1100"/>
      <c r="AH176" s="1100">
        <v>0</v>
      </c>
      <c r="AI176" s="1101">
        <f>IF($BI176=0,0,IF(SUM($AE176:AH176)&lt;($J176-12),12,$J176-SUM($AE176:AH176)))</f>
        <v>0</v>
      </c>
      <c r="AK176" s="1100"/>
      <c r="AL176" s="1100"/>
      <c r="AM176" s="1100"/>
      <c r="AN176" s="1100"/>
      <c r="AO176" s="1100">
        <v>3</v>
      </c>
      <c r="AQ176" s="153">
        <f t="shared" si="24"/>
        <v>0</v>
      </c>
      <c r="AR176" s="153">
        <f t="shared" si="25"/>
        <v>0</v>
      </c>
      <c r="AS176" s="153">
        <f t="shared" si="26"/>
        <v>0</v>
      </c>
      <c r="AT176" s="153">
        <f t="shared" si="27"/>
        <v>0</v>
      </c>
      <c r="AU176" s="153">
        <f t="shared" si="28"/>
        <v>0.25</v>
      </c>
      <c r="AW176" s="1543">
        <v>0</v>
      </c>
      <c r="AX176" s="1102"/>
      <c r="AY176" s="1544">
        <v>1</v>
      </c>
      <c r="BA176" s="1103">
        <v>0</v>
      </c>
      <c r="BB176" s="1103">
        <v>0</v>
      </c>
      <c r="BC176" s="1103">
        <v>0</v>
      </c>
      <c r="BD176" s="1103">
        <v>0</v>
      </c>
      <c r="BE176" s="1103">
        <v>0</v>
      </c>
      <c r="BF176" s="1103">
        <v>0</v>
      </c>
      <c r="BG176" s="1103">
        <v>0</v>
      </c>
      <c r="BH176" s="1103">
        <v>0</v>
      </c>
      <c r="BI176" s="1103">
        <v>0</v>
      </c>
      <c r="BJ176" s="1103">
        <v>2789.0561400000001</v>
      </c>
    </row>
    <row r="177" spans="2:62" hidden="1" outlineLevel="1">
      <c r="B177" s="1094"/>
      <c r="C177" s="1083" t="s">
        <v>454</v>
      </c>
      <c r="D177" s="1062" t="s">
        <v>450</v>
      </c>
      <c r="E177" s="1083" t="s">
        <v>453</v>
      </c>
      <c r="F177" s="1095" t="s">
        <v>414</v>
      </c>
      <c r="G177" s="1096">
        <f t="shared" si="21"/>
        <v>1370</v>
      </c>
      <c r="H177" s="1083" t="s">
        <v>29</v>
      </c>
      <c r="I177" s="1097">
        <v>8</v>
      </c>
      <c r="J177" s="1098">
        <f t="shared" si="22"/>
        <v>96</v>
      </c>
      <c r="K177" s="153">
        <f t="shared" si="23"/>
        <v>0.125</v>
      </c>
      <c r="L177" s="1099"/>
      <c r="M177" s="1100">
        <v>0</v>
      </c>
      <c r="N177" s="1101">
        <f>IF($BF177=0,0,IF(SUM($M177:M177)&lt;($J177-12),12,$J177-SUM($M177:M177)))</f>
        <v>0</v>
      </c>
      <c r="O177" s="1101">
        <f>IF($BF177=0,0,IF(SUM($M177:N177)&lt;($J177-12),12,$J177-SUM($M177:N177)))</f>
        <v>0</v>
      </c>
      <c r="P177" s="1101">
        <f>IF($BF177=0,0,IF(SUM($M177:O177)&lt;($J177-12),12,$J177-SUM($M177:O177)))</f>
        <v>0</v>
      </c>
      <c r="Q177" s="1101">
        <f>IF($BF177=0,0,IF(SUM($M177:P177)&lt;($J177-12),12,$J177-SUM($M177:P177)))</f>
        <v>0</v>
      </c>
      <c r="S177" s="1100"/>
      <c r="T177" s="1100">
        <v>0</v>
      </c>
      <c r="U177" s="1101">
        <f>IF($BG177=0,0,IF(SUM($S177:T177)&lt;($J177-12),12,$J177-SUM($S177:T177)))</f>
        <v>0</v>
      </c>
      <c r="V177" s="1101">
        <f>IF($BG177=0,0,IF(SUM($S177:U177)&lt;($J177-12),12,$J177-SUM($S177:U177)))</f>
        <v>0</v>
      </c>
      <c r="W177" s="1101">
        <f>IF($BG177=0,0,IF(SUM($S177:V177)&lt;($J177-12),12,$J177-SUM($S177:V177)))</f>
        <v>0</v>
      </c>
      <c r="Y177" s="1100"/>
      <c r="Z177" s="1100"/>
      <c r="AA177" s="1100">
        <v>3</v>
      </c>
      <c r="AB177" s="1101">
        <f>IF($BH177=0,0,IF(SUM($Y177:AA177)&lt;($J177-12),12,$J177-SUM($Y177:AA177)))</f>
        <v>12</v>
      </c>
      <c r="AC177" s="1101">
        <f>IF($BH177=0,0,IF(SUM($Y177:AB177)&lt;($J177-12),12,$J177-SUM($Y177:AB177)))</f>
        <v>12</v>
      </c>
      <c r="AE177" s="1100"/>
      <c r="AF177" s="1100"/>
      <c r="AG177" s="1100"/>
      <c r="AH177" s="1100">
        <v>0</v>
      </c>
      <c r="AI177" s="1101">
        <f>IF($BI177=0,0,IF(SUM($AE177:AH177)&lt;($J177-12),12,$J177-SUM($AE177:AH177)))</f>
        <v>0</v>
      </c>
      <c r="AK177" s="1100"/>
      <c r="AL177" s="1100"/>
      <c r="AM177" s="1100"/>
      <c r="AN177" s="1100"/>
      <c r="AO177" s="1100">
        <v>0</v>
      </c>
      <c r="AQ177" s="153">
        <f t="shared" si="24"/>
        <v>0</v>
      </c>
      <c r="AR177" s="153">
        <f t="shared" si="25"/>
        <v>0</v>
      </c>
      <c r="AS177" s="153">
        <f t="shared" si="26"/>
        <v>0.25</v>
      </c>
      <c r="AT177" s="153">
        <f t="shared" si="27"/>
        <v>0</v>
      </c>
      <c r="AU177" s="153">
        <f t="shared" si="28"/>
        <v>0</v>
      </c>
      <c r="AW177" s="1543">
        <v>0</v>
      </c>
      <c r="AX177" s="1102"/>
      <c r="AY177" s="1544">
        <v>1</v>
      </c>
      <c r="BA177" s="1103">
        <v>0</v>
      </c>
      <c r="BB177" s="1103">
        <v>0</v>
      </c>
      <c r="BC177" s="1103">
        <v>0</v>
      </c>
      <c r="BD177" s="1103">
        <v>0</v>
      </c>
      <c r="BE177" s="1103">
        <v>0</v>
      </c>
      <c r="BF177" s="1103">
        <v>0</v>
      </c>
      <c r="BG177" s="1103">
        <v>0</v>
      </c>
      <c r="BH177" s="1103">
        <v>1370</v>
      </c>
      <c r="BI177" s="1103">
        <v>0</v>
      </c>
      <c r="BJ177" s="1103">
        <v>0</v>
      </c>
    </row>
    <row r="178" spans="2:62" hidden="1" outlineLevel="1">
      <c r="B178" s="1094"/>
      <c r="C178" s="1083" t="s">
        <v>455</v>
      </c>
      <c r="D178" s="1062" t="s">
        <v>450</v>
      </c>
      <c r="E178" s="1083" t="s">
        <v>453</v>
      </c>
      <c r="F178" s="1095" t="s">
        <v>414</v>
      </c>
      <c r="G178" s="1096">
        <f t="shared" si="21"/>
        <v>2050</v>
      </c>
      <c r="H178" s="1083" t="s">
        <v>29</v>
      </c>
      <c r="I178" s="1097">
        <v>8</v>
      </c>
      <c r="J178" s="1098">
        <f t="shared" si="22"/>
        <v>96</v>
      </c>
      <c r="K178" s="153">
        <f t="shared" si="23"/>
        <v>0.125</v>
      </c>
      <c r="L178" s="1099"/>
      <c r="M178" s="1100">
        <v>0</v>
      </c>
      <c r="N178" s="1101">
        <f>IF($BF178=0,0,IF(SUM($M178:M178)&lt;($J178-12),12,$J178-SUM($M178:M178)))</f>
        <v>0</v>
      </c>
      <c r="O178" s="1101">
        <f>IF($BF178=0,0,IF(SUM($M178:N178)&lt;($J178-12),12,$J178-SUM($M178:N178)))</f>
        <v>0</v>
      </c>
      <c r="P178" s="1101">
        <f>IF($BF178=0,0,IF(SUM($M178:O178)&lt;($J178-12),12,$J178-SUM($M178:O178)))</f>
        <v>0</v>
      </c>
      <c r="Q178" s="1101">
        <f>IF($BF178=0,0,IF(SUM($M178:P178)&lt;($J178-12),12,$J178-SUM($M178:P178)))</f>
        <v>0</v>
      </c>
      <c r="S178" s="1100"/>
      <c r="T178" s="1100">
        <v>0</v>
      </c>
      <c r="U178" s="1101">
        <f>IF($BG178=0,0,IF(SUM($S178:T178)&lt;($J178-12),12,$J178-SUM($S178:T178)))</f>
        <v>0</v>
      </c>
      <c r="V178" s="1101">
        <f>IF($BG178=0,0,IF(SUM($S178:U178)&lt;($J178-12),12,$J178-SUM($S178:U178)))</f>
        <v>0</v>
      </c>
      <c r="W178" s="1101">
        <f>IF($BG178=0,0,IF(SUM($S178:V178)&lt;($J178-12),12,$J178-SUM($S178:V178)))</f>
        <v>0</v>
      </c>
      <c r="Y178" s="1100"/>
      <c r="Z178" s="1100"/>
      <c r="AA178" s="1100">
        <v>0</v>
      </c>
      <c r="AB178" s="1101">
        <f>IF($BH178=0,0,IF(SUM($Y178:AA178)&lt;($J178-12),12,$J178-SUM($Y178:AA178)))</f>
        <v>0</v>
      </c>
      <c r="AC178" s="1101">
        <f>IF($BH178=0,0,IF(SUM($Y178:AB178)&lt;($J178-12),12,$J178-SUM($Y178:AB178)))</f>
        <v>0</v>
      </c>
      <c r="AE178" s="1100"/>
      <c r="AF178" s="1100"/>
      <c r="AG178" s="1100"/>
      <c r="AH178" s="1100">
        <v>3</v>
      </c>
      <c r="AI178" s="1101">
        <f>IF($BI178=0,0,IF(SUM($AE178:AH178)&lt;($J178-12),12,$J178-SUM($AE178:AH178)))</f>
        <v>12</v>
      </c>
      <c r="AK178" s="1100"/>
      <c r="AL178" s="1100"/>
      <c r="AM178" s="1100"/>
      <c r="AN178" s="1100"/>
      <c r="AO178" s="1100">
        <v>0</v>
      </c>
      <c r="AQ178" s="153">
        <f t="shared" si="24"/>
        <v>0</v>
      </c>
      <c r="AR178" s="153">
        <f t="shared" si="25"/>
        <v>0</v>
      </c>
      <c r="AS178" s="153">
        <f t="shared" si="26"/>
        <v>0</v>
      </c>
      <c r="AT178" s="153">
        <f t="shared" si="27"/>
        <v>0.25</v>
      </c>
      <c r="AU178" s="153">
        <f t="shared" si="28"/>
        <v>0</v>
      </c>
      <c r="AW178" s="1543">
        <v>0</v>
      </c>
      <c r="AX178" s="1102"/>
      <c r="AY178" s="1544">
        <v>1</v>
      </c>
      <c r="BA178" s="1103">
        <v>0</v>
      </c>
      <c r="BB178" s="1103">
        <v>0</v>
      </c>
      <c r="BC178" s="1103">
        <v>0</v>
      </c>
      <c r="BD178" s="1103">
        <v>0</v>
      </c>
      <c r="BE178" s="1103">
        <v>0</v>
      </c>
      <c r="BF178" s="1103">
        <v>0</v>
      </c>
      <c r="BG178" s="1103">
        <v>0</v>
      </c>
      <c r="BH178" s="1103">
        <v>0</v>
      </c>
      <c r="BI178" s="1103">
        <v>2050</v>
      </c>
      <c r="BJ178" s="1103">
        <v>0</v>
      </c>
    </row>
    <row r="179" spans="2:62" hidden="1" outlineLevel="1">
      <c r="B179" s="1094"/>
      <c r="C179" s="1083" t="s">
        <v>456</v>
      </c>
      <c r="D179" s="1062" t="s">
        <v>450</v>
      </c>
      <c r="E179" s="1083" t="s">
        <v>453</v>
      </c>
      <c r="F179" s="1095" t="s">
        <v>414</v>
      </c>
      <c r="G179" s="1096">
        <f t="shared" si="21"/>
        <v>503.91570000000002</v>
      </c>
      <c r="H179" s="1083" t="s">
        <v>29</v>
      </c>
      <c r="I179" s="1097">
        <v>8</v>
      </c>
      <c r="J179" s="1098">
        <f t="shared" si="22"/>
        <v>96</v>
      </c>
      <c r="K179" s="153">
        <f t="shared" si="23"/>
        <v>0.125</v>
      </c>
      <c r="L179" s="1099"/>
      <c r="M179" s="1100">
        <v>0</v>
      </c>
      <c r="N179" s="1101">
        <f>IF($BF179=0,0,IF(SUM($M179:M179)&lt;($J179-12),12,$J179-SUM($M179:M179)))</f>
        <v>0</v>
      </c>
      <c r="O179" s="1101">
        <f>IF($BF179=0,0,IF(SUM($M179:N179)&lt;($J179-12),12,$J179-SUM($M179:N179)))</f>
        <v>0</v>
      </c>
      <c r="P179" s="1101">
        <f>IF($BF179=0,0,IF(SUM($M179:O179)&lt;($J179-12),12,$J179-SUM($M179:O179)))</f>
        <v>0</v>
      </c>
      <c r="Q179" s="1101">
        <f>IF($BF179=0,0,IF(SUM($M179:P179)&lt;($J179-12),12,$J179-SUM($M179:P179)))</f>
        <v>0</v>
      </c>
      <c r="S179" s="1100"/>
      <c r="T179" s="1100">
        <v>3</v>
      </c>
      <c r="U179" s="1101">
        <f>IF($BG179=0,0,IF(SUM($S179:T179)&lt;($J179-12),12,$J179-SUM($S179:T179)))</f>
        <v>12</v>
      </c>
      <c r="V179" s="1101">
        <f>IF($BG179=0,0,IF(SUM($S179:U179)&lt;($J179-12),12,$J179-SUM($S179:U179)))</f>
        <v>12</v>
      </c>
      <c r="W179" s="1101">
        <f>IF($BG179=0,0,IF(SUM($S179:V179)&lt;($J179-12),12,$J179-SUM($S179:V179)))</f>
        <v>12</v>
      </c>
      <c r="Y179" s="1100"/>
      <c r="Z179" s="1100"/>
      <c r="AA179" s="1100">
        <v>0</v>
      </c>
      <c r="AB179" s="1101">
        <f>IF($BH179=0,0,IF(SUM($Y179:AA179)&lt;($J179-12),12,$J179-SUM($Y179:AA179)))</f>
        <v>0</v>
      </c>
      <c r="AC179" s="1101">
        <f>IF($BH179=0,0,IF(SUM($Y179:AB179)&lt;($J179-12),12,$J179-SUM($Y179:AB179)))</f>
        <v>0</v>
      </c>
      <c r="AE179" s="1100"/>
      <c r="AF179" s="1100"/>
      <c r="AG179" s="1100"/>
      <c r="AH179" s="1100">
        <v>0</v>
      </c>
      <c r="AI179" s="1101">
        <f>IF($BI179=0,0,IF(SUM($AE179:AH179)&lt;($J179-12),12,$J179-SUM($AE179:AH179)))</f>
        <v>0</v>
      </c>
      <c r="AK179" s="1100"/>
      <c r="AL179" s="1100"/>
      <c r="AM179" s="1100"/>
      <c r="AN179" s="1100"/>
      <c r="AO179" s="1100">
        <v>0</v>
      </c>
      <c r="AQ179" s="153">
        <f t="shared" si="24"/>
        <v>0</v>
      </c>
      <c r="AR179" s="153">
        <f t="shared" si="25"/>
        <v>0.25</v>
      </c>
      <c r="AS179" s="153">
        <f t="shared" si="26"/>
        <v>0</v>
      </c>
      <c r="AT179" s="153">
        <f t="shared" si="27"/>
        <v>0</v>
      </c>
      <c r="AU179" s="153">
        <f t="shared" si="28"/>
        <v>0</v>
      </c>
      <c r="AW179" s="1543">
        <v>0</v>
      </c>
      <c r="AX179" s="1102"/>
      <c r="AY179" s="1544">
        <v>1</v>
      </c>
      <c r="BA179" s="1103">
        <v>0</v>
      </c>
      <c r="BB179" s="1103">
        <v>0</v>
      </c>
      <c r="BC179" s="1103">
        <v>0</v>
      </c>
      <c r="BD179" s="1103">
        <v>0</v>
      </c>
      <c r="BE179" s="1103">
        <v>0</v>
      </c>
      <c r="BF179" s="1103">
        <v>0</v>
      </c>
      <c r="BG179" s="1103">
        <v>503.91570000000002</v>
      </c>
      <c r="BH179" s="1103">
        <v>0</v>
      </c>
      <c r="BI179" s="1103">
        <v>0</v>
      </c>
      <c r="BJ179" s="1103">
        <v>0</v>
      </c>
    </row>
    <row r="180" spans="2:62" hidden="1" outlineLevel="1">
      <c r="B180" s="1094"/>
      <c r="C180" s="1083" t="s">
        <v>457</v>
      </c>
      <c r="D180" s="1062" t="s">
        <v>450</v>
      </c>
      <c r="E180" s="1083" t="s">
        <v>453</v>
      </c>
      <c r="F180" s="1095" t="s">
        <v>414</v>
      </c>
      <c r="G180" s="1096">
        <f t="shared" si="21"/>
        <v>259.77314000000001</v>
      </c>
      <c r="H180" s="1083" t="s">
        <v>29</v>
      </c>
      <c r="I180" s="1097">
        <v>8</v>
      </c>
      <c r="J180" s="1098">
        <f t="shared" si="22"/>
        <v>96</v>
      </c>
      <c r="K180" s="153">
        <f t="shared" si="23"/>
        <v>0.125</v>
      </c>
      <c r="L180" s="1099"/>
      <c r="M180" s="1100">
        <v>0</v>
      </c>
      <c r="N180" s="1101">
        <f>IF($BF180=0,0,IF(SUM($M180:M180)&lt;($J180-12),12,$J180-SUM($M180:M180)))</f>
        <v>0</v>
      </c>
      <c r="O180" s="1101">
        <f>IF($BF180=0,0,IF(SUM($M180:N180)&lt;($J180-12),12,$J180-SUM($M180:N180)))</f>
        <v>0</v>
      </c>
      <c r="P180" s="1101">
        <f>IF($BF180=0,0,IF(SUM($M180:O180)&lt;($J180-12),12,$J180-SUM($M180:O180)))</f>
        <v>0</v>
      </c>
      <c r="Q180" s="1101">
        <f>IF($BF180=0,0,IF(SUM($M180:P180)&lt;($J180-12),12,$J180-SUM($M180:P180)))</f>
        <v>0</v>
      </c>
      <c r="S180" s="1100"/>
      <c r="T180" s="1100">
        <v>0</v>
      </c>
      <c r="U180" s="1101">
        <f>IF($BG180=0,0,IF(SUM($S180:T180)&lt;($J180-12),12,$J180-SUM($S180:T180)))</f>
        <v>0</v>
      </c>
      <c r="V180" s="1101">
        <f>IF($BG180=0,0,IF(SUM($S180:U180)&lt;($J180-12),12,$J180-SUM($S180:U180)))</f>
        <v>0</v>
      </c>
      <c r="W180" s="1101">
        <f>IF($BG180=0,0,IF(SUM($S180:V180)&lt;($J180-12),12,$J180-SUM($S180:V180)))</f>
        <v>0</v>
      </c>
      <c r="Y180" s="1100"/>
      <c r="Z180" s="1100"/>
      <c r="AA180" s="1100">
        <v>12</v>
      </c>
      <c r="AB180" s="1101">
        <f>IF($BH180=0,0,IF(SUM($Y180:AA180)&lt;($J180-12),12,$J180-SUM($Y180:AA180)))</f>
        <v>12</v>
      </c>
      <c r="AC180" s="1101">
        <f>IF($BH180=0,0,IF(SUM($Y180:AB180)&lt;($J180-12),12,$J180-SUM($Y180:AB180)))</f>
        <v>12</v>
      </c>
      <c r="AE180" s="1100"/>
      <c r="AF180" s="1100"/>
      <c r="AG180" s="1100"/>
      <c r="AH180" s="1100">
        <v>0</v>
      </c>
      <c r="AI180" s="1101">
        <f>IF($BI180=0,0,IF(SUM($AE180:AH180)&lt;($J180-12),12,$J180-SUM($AE180:AH180)))</f>
        <v>0</v>
      </c>
      <c r="AK180" s="1100"/>
      <c r="AL180" s="1100"/>
      <c r="AM180" s="1100"/>
      <c r="AN180" s="1100"/>
      <c r="AO180" s="1100">
        <v>0</v>
      </c>
      <c r="AQ180" s="153">
        <f t="shared" si="24"/>
        <v>0</v>
      </c>
      <c r="AR180" s="153">
        <f t="shared" si="25"/>
        <v>0</v>
      </c>
      <c r="AS180" s="153">
        <f t="shared" si="26"/>
        <v>1</v>
      </c>
      <c r="AT180" s="153">
        <f t="shared" si="27"/>
        <v>0</v>
      </c>
      <c r="AU180" s="153">
        <f t="shared" si="28"/>
        <v>0</v>
      </c>
      <c r="AW180" s="1543">
        <v>0</v>
      </c>
      <c r="AX180" s="1102"/>
      <c r="AY180" s="1544">
        <v>1</v>
      </c>
      <c r="BA180" s="1103">
        <v>0</v>
      </c>
      <c r="BB180" s="1103">
        <v>0</v>
      </c>
      <c r="BC180" s="1103">
        <v>0</v>
      </c>
      <c r="BD180" s="1103">
        <v>0</v>
      </c>
      <c r="BE180" s="1103">
        <v>0</v>
      </c>
      <c r="BF180" s="1103">
        <v>0</v>
      </c>
      <c r="BG180" s="1103">
        <v>0</v>
      </c>
      <c r="BH180" s="1103">
        <v>259.77314000000001</v>
      </c>
      <c r="BI180" s="1103">
        <v>0</v>
      </c>
      <c r="BJ180" s="1103">
        <v>0</v>
      </c>
    </row>
    <row r="181" spans="2:62" hidden="1" outlineLevel="1">
      <c r="B181" s="1094"/>
      <c r="C181" s="1083" t="s">
        <v>458</v>
      </c>
      <c r="D181" s="1062" t="s">
        <v>450</v>
      </c>
      <c r="E181" s="1083" t="s">
        <v>453</v>
      </c>
      <c r="F181" s="1095" t="s">
        <v>414</v>
      </c>
      <c r="G181" s="1096">
        <f t="shared" si="21"/>
        <v>286.0564</v>
      </c>
      <c r="H181" s="1083" t="s">
        <v>29</v>
      </c>
      <c r="I181" s="1097">
        <v>8</v>
      </c>
      <c r="J181" s="1098">
        <f t="shared" si="22"/>
        <v>96</v>
      </c>
      <c r="K181" s="153">
        <f t="shared" si="23"/>
        <v>0.125</v>
      </c>
      <c r="L181" s="1099"/>
      <c r="M181" s="1100">
        <v>0</v>
      </c>
      <c r="N181" s="1101">
        <f>IF($BF181=0,0,IF(SUM($M181:M181)&lt;($J181-12),12,$J181-SUM($M181:M181)))</f>
        <v>0</v>
      </c>
      <c r="O181" s="1101">
        <f>IF($BF181=0,0,IF(SUM($M181:N181)&lt;($J181-12),12,$J181-SUM($M181:N181)))</f>
        <v>0</v>
      </c>
      <c r="P181" s="1101">
        <f>IF($BF181=0,0,IF(SUM($M181:O181)&lt;($J181-12),12,$J181-SUM($M181:O181)))</f>
        <v>0</v>
      </c>
      <c r="Q181" s="1101">
        <f>IF($BF181=0,0,IF(SUM($M181:P181)&lt;($J181-12),12,$J181-SUM($M181:P181)))</f>
        <v>0</v>
      </c>
      <c r="S181" s="1100"/>
      <c r="T181" s="1100">
        <v>0</v>
      </c>
      <c r="U181" s="1101">
        <f>IF($BG181=0,0,IF(SUM($S181:T181)&lt;($J181-12),12,$J181-SUM($S181:T181)))</f>
        <v>0</v>
      </c>
      <c r="V181" s="1101">
        <f>IF($BG181=0,0,IF(SUM($S181:U181)&lt;($J181-12),12,$J181-SUM($S181:U181)))</f>
        <v>0</v>
      </c>
      <c r="W181" s="1101">
        <f>IF($BG181=0,0,IF(SUM($S181:V181)&lt;($J181-12),12,$J181-SUM($S181:V181)))</f>
        <v>0</v>
      </c>
      <c r="Y181" s="1100"/>
      <c r="Z181" s="1100"/>
      <c r="AA181" s="1100">
        <v>9</v>
      </c>
      <c r="AB181" s="1101">
        <f>IF($BH181=0,0,IF(SUM($Y181:AA181)&lt;($J181-12),12,$J181-SUM($Y181:AA181)))</f>
        <v>12</v>
      </c>
      <c r="AC181" s="1101">
        <f>IF($BH181=0,0,IF(SUM($Y181:AB181)&lt;($J181-12),12,$J181-SUM($Y181:AB181)))</f>
        <v>12</v>
      </c>
      <c r="AE181" s="1100"/>
      <c r="AF181" s="1100"/>
      <c r="AG181" s="1100"/>
      <c r="AH181" s="1100">
        <v>0</v>
      </c>
      <c r="AI181" s="1101">
        <f>IF($BI181=0,0,IF(SUM($AE181:AH181)&lt;($J181-12),12,$J181-SUM($AE181:AH181)))</f>
        <v>0</v>
      </c>
      <c r="AK181" s="1100"/>
      <c r="AL181" s="1100"/>
      <c r="AM181" s="1100"/>
      <c r="AN181" s="1100"/>
      <c r="AO181" s="1100">
        <v>0</v>
      </c>
      <c r="AQ181" s="153">
        <f t="shared" si="24"/>
        <v>0</v>
      </c>
      <c r="AR181" s="153">
        <f t="shared" si="25"/>
        <v>0</v>
      </c>
      <c r="AS181" s="153">
        <f t="shared" si="26"/>
        <v>0.75</v>
      </c>
      <c r="AT181" s="153">
        <f t="shared" si="27"/>
        <v>0</v>
      </c>
      <c r="AU181" s="153">
        <f t="shared" si="28"/>
        <v>0</v>
      </c>
      <c r="AW181" s="1543">
        <v>0</v>
      </c>
      <c r="AX181" s="1102"/>
      <c r="AY181" s="1544">
        <v>1</v>
      </c>
      <c r="BA181" s="1103">
        <v>0</v>
      </c>
      <c r="BB181" s="1103">
        <v>0</v>
      </c>
      <c r="BC181" s="1103">
        <v>0</v>
      </c>
      <c r="BD181" s="1103">
        <v>0</v>
      </c>
      <c r="BE181" s="1103">
        <v>0</v>
      </c>
      <c r="BF181" s="1103">
        <v>0</v>
      </c>
      <c r="BG181" s="1103">
        <v>0</v>
      </c>
      <c r="BH181" s="1103">
        <v>286.0564</v>
      </c>
      <c r="BI181" s="1103">
        <v>0</v>
      </c>
      <c r="BJ181" s="1103">
        <v>0</v>
      </c>
    </row>
    <row r="182" spans="2:62" hidden="1" outlineLevel="1">
      <c r="B182" s="1094"/>
      <c r="C182" s="1083" t="s">
        <v>459</v>
      </c>
      <c r="D182" s="1062" t="s">
        <v>84</v>
      </c>
      <c r="E182" s="1083" t="s">
        <v>460</v>
      </c>
      <c r="F182" s="1095" t="s">
        <v>414</v>
      </c>
      <c r="G182" s="1096">
        <f t="shared" si="21"/>
        <v>0</v>
      </c>
      <c r="H182" s="1083" t="s">
        <v>29</v>
      </c>
      <c r="I182" s="1097">
        <v>1</v>
      </c>
      <c r="J182" s="1098">
        <f t="shared" si="22"/>
        <v>12</v>
      </c>
      <c r="K182" s="153">
        <f t="shared" si="23"/>
        <v>1</v>
      </c>
      <c r="L182" s="1099"/>
      <c r="M182" s="1100">
        <v>0</v>
      </c>
      <c r="N182" s="1101">
        <f>IF($BF182=0,0,IF(SUM($M182:M182)&lt;($J182-12),12,$J182-SUM($M182:M182)))</f>
        <v>0</v>
      </c>
      <c r="O182" s="1101">
        <f>IF($BF182=0,0,IF(SUM($M182:N182)&lt;($J182-12),12,$J182-SUM($M182:N182)))</f>
        <v>0</v>
      </c>
      <c r="P182" s="1101">
        <f>IF($BF182=0,0,IF(SUM($M182:O182)&lt;($J182-12),12,$J182-SUM($M182:O182)))</f>
        <v>0</v>
      </c>
      <c r="Q182" s="1101">
        <f>IF($BF182=0,0,IF(SUM($M182:P182)&lt;($J182-12),12,$J182-SUM($M182:P182)))</f>
        <v>0</v>
      </c>
      <c r="S182" s="1100"/>
      <c r="T182" s="1100">
        <v>0</v>
      </c>
      <c r="U182" s="1101">
        <f>IF($BG182=0,0,IF(SUM($S182:T182)&lt;($J182-12),12,$J182-SUM($S182:T182)))</f>
        <v>0</v>
      </c>
      <c r="V182" s="1101">
        <f>IF($BG182=0,0,IF(SUM($S182:U182)&lt;($J182-12),12,$J182-SUM($S182:U182)))</f>
        <v>0</v>
      </c>
      <c r="W182" s="1101">
        <f>IF($BG182=0,0,IF(SUM($S182:V182)&lt;($J182-12),12,$J182-SUM($S182:V182)))</f>
        <v>0</v>
      </c>
      <c r="Y182" s="1100"/>
      <c r="Z182" s="1100"/>
      <c r="AA182" s="1100">
        <v>0</v>
      </c>
      <c r="AB182" s="1101">
        <f>IF($BH182=0,0,IF(SUM($Y182:AA182)&lt;($J182-12),12,$J182-SUM($Y182:AA182)))</f>
        <v>0</v>
      </c>
      <c r="AC182" s="1101">
        <f>IF($BH182=0,0,IF(SUM($Y182:AB182)&lt;($J182-12),12,$J182-SUM($Y182:AB182)))</f>
        <v>0</v>
      </c>
      <c r="AE182" s="1100"/>
      <c r="AF182" s="1100"/>
      <c r="AG182" s="1100"/>
      <c r="AH182" s="1100">
        <v>0</v>
      </c>
      <c r="AI182" s="1101">
        <f>IF($BI182=0,0,IF(SUM($AE182:AH182)&lt;($J182-12),12,$J182-SUM($AE182:AH182)))</f>
        <v>0</v>
      </c>
      <c r="AK182" s="1100"/>
      <c r="AL182" s="1100"/>
      <c r="AM182" s="1100"/>
      <c r="AN182" s="1100"/>
      <c r="AO182" s="1100">
        <v>0</v>
      </c>
      <c r="AQ182" s="153">
        <f t="shared" si="24"/>
        <v>0</v>
      </c>
      <c r="AR182" s="153">
        <f t="shared" si="25"/>
        <v>0</v>
      </c>
      <c r="AS182" s="153">
        <f t="shared" si="26"/>
        <v>0</v>
      </c>
      <c r="AT182" s="153">
        <f t="shared" si="27"/>
        <v>0</v>
      </c>
      <c r="AU182" s="153">
        <f t="shared" si="28"/>
        <v>0</v>
      </c>
      <c r="AW182" s="1543">
        <v>0</v>
      </c>
      <c r="AX182" s="1102"/>
      <c r="AY182" s="1544">
        <v>0</v>
      </c>
      <c r="BA182" s="1103">
        <v>0</v>
      </c>
      <c r="BB182" s="1103">
        <v>0</v>
      </c>
      <c r="BC182" s="1103">
        <v>0</v>
      </c>
      <c r="BD182" s="1103">
        <v>0</v>
      </c>
      <c r="BE182" s="1103">
        <v>0</v>
      </c>
      <c r="BF182" s="1103">
        <v>0</v>
      </c>
      <c r="BG182" s="1103">
        <v>0</v>
      </c>
      <c r="BH182" s="1103">
        <v>0</v>
      </c>
      <c r="BI182" s="1103">
        <v>0</v>
      </c>
      <c r="BJ182" s="1103">
        <v>0</v>
      </c>
    </row>
    <row r="183" spans="2:62" hidden="1" outlineLevel="1">
      <c r="B183" s="1094"/>
      <c r="C183" s="1083" t="s">
        <v>461</v>
      </c>
      <c r="D183" s="1062" t="s">
        <v>84</v>
      </c>
      <c r="E183" s="1083" t="s">
        <v>460</v>
      </c>
      <c r="F183" s="1095" t="s">
        <v>414</v>
      </c>
      <c r="G183" s="1096">
        <f t="shared" si="21"/>
        <v>1857.5</v>
      </c>
      <c r="H183" s="1083" t="s">
        <v>29</v>
      </c>
      <c r="I183" s="1097">
        <v>8</v>
      </c>
      <c r="J183" s="1098">
        <f t="shared" si="22"/>
        <v>96</v>
      </c>
      <c r="K183" s="153">
        <f t="shared" si="23"/>
        <v>0.125</v>
      </c>
      <c r="L183" s="1099"/>
      <c r="M183" s="1100">
        <v>0</v>
      </c>
      <c r="N183" s="1101">
        <f>IF($BF183=0,0,IF(SUM($M183:M183)&lt;($J183-12),12,$J183-SUM($M183:M183)))</f>
        <v>0</v>
      </c>
      <c r="O183" s="1101">
        <f>IF($BF183=0,0,IF(SUM($M183:N183)&lt;($J183-12),12,$J183-SUM($M183:N183)))</f>
        <v>0</v>
      </c>
      <c r="P183" s="1101">
        <f>IF($BF183=0,0,IF(SUM($M183:O183)&lt;($J183-12),12,$J183-SUM($M183:O183)))</f>
        <v>0</v>
      </c>
      <c r="Q183" s="1101">
        <f>IF($BF183=0,0,IF(SUM($M183:P183)&lt;($J183-12),12,$J183-SUM($M183:P183)))</f>
        <v>0</v>
      </c>
      <c r="S183" s="1100"/>
      <c r="T183" s="1100">
        <v>0</v>
      </c>
      <c r="U183" s="1101">
        <f>IF($BG183=0,0,IF(SUM($S183:T183)&lt;($J183-12),12,$J183-SUM($S183:T183)))</f>
        <v>0</v>
      </c>
      <c r="V183" s="1101">
        <f>IF($BG183=0,0,IF(SUM($S183:U183)&lt;($J183-12),12,$J183-SUM($S183:U183)))</f>
        <v>0</v>
      </c>
      <c r="W183" s="1101">
        <f>IF($BG183=0,0,IF(SUM($S183:V183)&lt;($J183-12),12,$J183-SUM($S183:V183)))</f>
        <v>0</v>
      </c>
      <c r="Y183" s="1100"/>
      <c r="Z183" s="1100"/>
      <c r="AA183" s="1100">
        <v>0</v>
      </c>
      <c r="AB183" s="1101">
        <f>IF($BH183=0,0,IF(SUM($Y183:AA183)&lt;($J183-12),12,$J183-SUM($Y183:AA183)))</f>
        <v>0</v>
      </c>
      <c r="AC183" s="1101">
        <f>IF($BH183=0,0,IF(SUM($Y183:AB183)&lt;($J183-12),12,$J183-SUM($Y183:AB183)))</f>
        <v>0</v>
      </c>
      <c r="AE183" s="1100"/>
      <c r="AF183" s="1100"/>
      <c r="AG183" s="1100"/>
      <c r="AH183" s="1100">
        <v>12</v>
      </c>
      <c r="AI183" s="1101">
        <f>IF($BI183=0,0,IF(SUM($AE183:AH183)&lt;($J183-12),12,$J183-SUM($AE183:AH183)))</f>
        <v>12</v>
      </c>
      <c r="AK183" s="1100"/>
      <c r="AL183" s="1100"/>
      <c r="AM183" s="1100"/>
      <c r="AN183" s="1100"/>
      <c r="AO183" s="1100">
        <v>0</v>
      </c>
      <c r="AQ183" s="153">
        <f t="shared" si="24"/>
        <v>0</v>
      </c>
      <c r="AR183" s="153">
        <f t="shared" si="25"/>
        <v>0</v>
      </c>
      <c r="AS183" s="153">
        <f t="shared" si="26"/>
        <v>0</v>
      </c>
      <c r="AT183" s="153">
        <f t="shared" si="27"/>
        <v>1</v>
      </c>
      <c r="AU183" s="153">
        <f t="shared" si="28"/>
        <v>0</v>
      </c>
      <c r="AW183" s="1543">
        <v>1</v>
      </c>
      <c r="AX183" s="1102"/>
      <c r="AY183" s="1544">
        <v>0</v>
      </c>
      <c r="BA183" s="1103">
        <v>0</v>
      </c>
      <c r="BB183" s="1103">
        <v>0</v>
      </c>
      <c r="BC183" s="1103">
        <v>0</v>
      </c>
      <c r="BD183" s="1103">
        <v>0</v>
      </c>
      <c r="BE183" s="1103">
        <v>0</v>
      </c>
      <c r="BF183" s="1103">
        <v>0</v>
      </c>
      <c r="BG183" s="1103">
        <v>0</v>
      </c>
      <c r="BH183" s="1103">
        <v>0</v>
      </c>
      <c r="BI183" s="1103">
        <v>1857.5</v>
      </c>
      <c r="BJ183" s="1103">
        <v>0</v>
      </c>
    </row>
    <row r="184" spans="2:62" hidden="1" outlineLevel="1">
      <c r="B184" s="1094"/>
      <c r="C184" s="1083" t="s">
        <v>462</v>
      </c>
      <c r="D184" s="1062" t="s">
        <v>84</v>
      </c>
      <c r="E184" s="1083" t="s">
        <v>460</v>
      </c>
      <c r="F184" s="1095" t="s">
        <v>414</v>
      </c>
      <c r="G184" s="1096">
        <f t="shared" si="21"/>
        <v>307.5</v>
      </c>
      <c r="H184" s="1083" t="s">
        <v>29</v>
      </c>
      <c r="I184" s="1097">
        <v>8</v>
      </c>
      <c r="J184" s="1098">
        <f t="shared" si="22"/>
        <v>96</v>
      </c>
      <c r="K184" s="153">
        <f t="shared" si="23"/>
        <v>0.125</v>
      </c>
      <c r="L184" s="1099"/>
      <c r="M184" s="1100">
        <v>0</v>
      </c>
      <c r="N184" s="1101">
        <f>IF($BF184=0,0,IF(SUM($M184:M184)&lt;($J184-12),12,$J184-SUM($M184:M184)))</f>
        <v>0</v>
      </c>
      <c r="O184" s="1101">
        <f>IF($BF184=0,0,IF(SUM($M184:N184)&lt;($J184-12),12,$J184-SUM($M184:N184)))</f>
        <v>0</v>
      </c>
      <c r="P184" s="1101">
        <f>IF($BF184=0,0,IF(SUM($M184:O184)&lt;($J184-12),12,$J184-SUM($M184:O184)))</f>
        <v>0</v>
      </c>
      <c r="Q184" s="1101">
        <f>IF($BF184=0,0,IF(SUM($M184:P184)&lt;($J184-12),12,$J184-SUM($M184:P184)))</f>
        <v>0</v>
      </c>
      <c r="S184" s="1100"/>
      <c r="T184" s="1100">
        <v>0</v>
      </c>
      <c r="U184" s="1101">
        <f>IF($BG184=0,0,IF(SUM($S184:T184)&lt;($J184-12),12,$J184-SUM($S184:T184)))</f>
        <v>0</v>
      </c>
      <c r="V184" s="1101">
        <f>IF($BG184=0,0,IF(SUM($S184:U184)&lt;($J184-12),12,$J184-SUM($S184:U184)))</f>
        <v>0</v>
      </c>
      <c r="W184" s="1101">
        <f>IF($BG184=0,0,IF(SUM($S184:V184)&lt;($J184-12),12,$J184-SUM($S184:V184)))</f>
        <v>0</v>
      </c>
      <c r="Y184" s="1100"/>
      <c r="Z184" s="1100"/>
      <c r="AA184" s="1100">
        <v>3</v>
      </c>
      <c r="AB184" s="1101">
        <f>IF($BH184=0,0,IF(SUM($Y184:AA184)&lt;($J184-12),12,$J184-SUM($Y184:AA184)))</f>
        <v>12</v>
      </c>
      <c r="AC184" s="1101">
        <f>IF($BH184=0,0,IF(SUM($Y184:AB184)&lt;($J184-12),12,$J184-SUM($Y184:AB184)))</f>
        <v>12</v>
      </c>
      <c r="AE184" s="1100"/>
      <c r="AF184" s="1100"/>
      <c r="AG184" s="1100"/>
      <c r="AH184" s="1100">
        <v>0</v>
      </c>
      <c r="AI184" s="1101">
        <f>IF($BI184=0,0,IF(SUM($AE184:AH184)&lt;($J184-12),12,$J184-SUM($AE184:AH184)))</f>
        <v>0</v>
      </c>
      <c r="AK184" s="1100"/>
      <c r="AL184" s="1100"/>
      <c r="AM184" s="1100"/>
      <c r="AN184" s="1100"/>
      <c r="AO184" s="1100">
        <v>12</v>
      </c>
      <c r="AQ184" s="153">
        <f t="shared" si="24"/>
        <v>0</v>
      </c>
      <c r="AR184" s="153">
        <f t="shared" si="25"/>
        <v>0</v>
      </c>
      <c r="AS184" s="153">
        <f t="shared" si="26"/>
        <v>0.25</v>
      </c>
      <c r="AT184" s="153">
        <f t="shared" si="27"/>
        <v>0</v>
      </c>
      <c r="AU184" s="153">
        <f t="shared" si="28"/>
        <v>1</v>
      </c>
      <c r="AW184" s="1543">
        <v>0.75</v>
      </c>
      <c r="AX184" s="1102"/>
      <c r="AY184" s="1544">
        <v>0.25</v>
      </c>
      <c r="BA184" s="1103">
        <v>0</v>
      </c>
      <c r="BB184" s="1103">
        <v>0</v>
      </c>
      <c r="BC184" s="1103">
        <v>0</v>
      </c>
      <c r="BD184" s="1103">
        <v>0</v>
      </c>
      <c r="BE184" s="1103">
        <v>0</v>
      </c>
      <c r="BF184" s="1103">
        <v>0</v>
      </c>
      <c r="BG184" s="1103">
        <v>0</v>
      </c>
      <c r="BH184" s="1103">
        <v>75</v>
      </c>
      <c r="BI184" s="1103">
        <v>0</v>
      </c>
      <c r="BJ184" s="1103">
        <v>232.5</v>
      </c>
    </row>
    <row r="185" spans="2:62" hidden="1" outlineLevel="1">
      <c r="B185" s="1094"/>
      <c r="C185" s="1083" t="s">
        <v>463</v>
      </c>
      <c r="D185" s="1062" t="s">
        <v>84</v>
      </c>
      <c r="E185" s="1083" t="s">
        <v>460</v>
      </c>
      <c r="F185" s="1095" t="s">
        <v>414</v>
      </c>
      <c r="G185" s="1096">
        <f t="shared" si="21"/>
        <v>775</v>
      </c>
      <c r="H185" s="1083" t="s">
        <v>29</v>
      </c>
      <c r="I185" s="1097">
        <v>8</v>
      </c>
      <c r="J185" s="1098">
        <f t="shared" si="22"/>
        <v>96</v>
      </c>
      <c r="K185" s="153">
        <f t="shared" si="23"/>
        <v>0.125</v>
      </c>
      <c r="L185" s="1099"/>
      <c r="M185" s="1100">
        <v>0</v>
      </c>
      <c r="N185" s="1101">
        <f>IF($BF185=0,0,IF(SUM($M185:M185)&lt;($J185-12),12,$J185-SUM($M185:M185)))</f>
        <v>0</v>
      </c>
      <c r="O185" s="1101">
        <f>IF($BF185=0,0,IF(SUM($M185:N185)&lt;($J185-12),12,$J185-SUM($M185:N185)))</f>
        <v>0</v>
      </c>
      <c r="P185" s="1101">
        <f>IF($BF185=0,0,IF(SUM($M185:O185)&lt;($J185-12),12,$J185-SUM($M185:O185)))</f>
        <v>0</v>
      </c>
      <c r="Q185" s="1101">
        <f>IF($BF185=0,0,IF(SUM($M185:P185)&lt;($J185-12),12,$J185-SUM($M185:P185)))</f>
        <v>0</v>
      </c>
      <c r="S185" s="1100"/>
      <c r="T185" s="1100">
        <v>0</v>
      </c>
      <c r="U185" s="1101">
        <f>IF($BG185=0,0,IF(SUM($S185:T185)&lt;($J185-12),12,$J185-SUM($S185:T185)))</f>
        <v>0</v>
      </c>
      <c r="V185" s="1101">
        <f>IF($BG185=0,0,IF(SUM($S185:U185)&lt;($J185-12),12,$J185-SUM($S185:U185)))</f>
        <v>0</v>
      </c>
      <c r="W185" s="1101">
        <f>IF($BG185=0,0,IF(SUM($S185:V185)&lt;($J185-12),12,$J185-SUM($S185:V185)))</f>
        <v>0</v>
      </c>
      <c r="Y185" s="1100"/>
      <c r="Z185" s="1100"/>
      <c r="AA185" s="1100">
        <v>0</v>
      </c>
      <c r="AB185" s="1101">
        <f>IF($BH185=0,0,IF(SUM($Y185:AA185)&lt;($J185-12),12,$J185-SUM($Y185:AA185)))</f>
        <v>0</v>
      </c>
      <c r="AC185" s="1101">
        <f>IF($BH185=0,0,IF(SUM($Y185:AB185)&lt;($J185-12),12,$J185-SUM($Y185:AB185)))</f>
        <v>0</v>
      </c>
      <c r="AE185" s="1100"/>
      <c r="AF185" s="1100"/>
      <c r="AG185" s="1100"/>
      <c r="AH185" s="1100">
        <v>12</v>
      </c>
      <c r="AI185" s="1101">
        <f>IF($BI185=0,0,IF(SUM($AE185:AH185)&lt;($J185-12),12,$J185-SUM($AE185:AH185)))</f>
        <v>12</v>
      </c>
      <c r="AK185" s="1100"/>
      <c r="AL185" s="1100"/>
      <c r="AM185" s="1100"/>
      <c r="AN185" s="1100"/>
      <c r="AO185" s="1100">
        <v>0</v>
      </c>
      <c r="AQ185" s="153">
        <f t="shared" si="24"/>
        <v>0</v>
      </c>
      <c r="AR185" s="153">
        <f t="shared" si="25"/>
        <v>0</v>
      </c>
      <c r="AS185" s="153">
        <f t="shared" si="26"/>
        <v>0</v>
      </c>
      <c r="AT185" s="153">
        <f t="shared" si="27"/>
        <v>1</v>
      </c>
      <c r="AU185" s="153">
        <f t="shared" si="28"/>
        <v>0</v>
      </c>
      <c r="AW185" s="1543">
        <v>0</v>
      </c>
      <c r="AX185" s="1102"/>
      <c r="AY185" s="1544">
        <v>1</v>
      </c>
      <c r="BA185" s="1103">
        <v>0</v>
      </c>
      <c r="BB185" s="1103">
        <v>0</v>
      </c>
      <c r="BC185" s="1103">
        <v>0</v>
      </c>
      <c r="BD185" s="1103">
        <v>0</v>
      </c>
      <c r="BE185" s="1103">
        <v>0</v>
      </c>
      <c r="BF185" s="1103">
        <v>0</v>
      </c>
      <c r="BG185" s="1103">
        <v>0</v>
      </c>
      <c r="BH185" s="1103">
        <v>0</v>
      </c>
      <c r="BI185" s="1103">
        <v>775</v>
      </c>
      <c r="BJ185" s="1103">
        <v>0</v>
      </c>
    </row>
    <row r="186" spans="2:62" hidden="1" outlineLevel="1">
      <c r="B186" s="1094"/>
      <c r="C186" s="1083" t="s">
        <v>464</v>
      </c>
      <c r="D186" s="1062" t="s">
        <v>84</v>
      </c>
      <c r="E186" s="1083" t="s">
        <v>460</v>
      </c>
      <c r="F186" s="1095" t="s">
        <v>414</v>
      </c>
      <c r="G186" s="1096">
        <f t="shared" si="21"/>
        <v>1627.5</v>
      </c>
      <c r="H186" s="1083" t="s">
        <v>29</v>
      </c>
      <c r="I186" s="1097">
        <v>8</v>
      </c>
      <c r="J186" s="1098">
        <f t="shared" si="22"/>
        <v>96</v>
      </c>
      <c r="K186" s="153">
        <f t="shared" si="23"/>
        <v>0.125</v>
      </c>
      <c r="L186" s="1099"/>
      <c r="M186" s="1100">
        <v>0</v>
      </c>
      <c r="N186" s="1101">
        <f>IF($BF186=0,0,IF(SUM($M186:M186)&lt;($J186-12),12,$J186-SUM($M186:M186)))</f>
        <v>0</v>
      </c>
      <c r="O186" s="1101">
        <f>IF($BF186=0,0,IF(SUM($M186:N186)&lt;($J186-12),12,$J186-SUM($M186:N186)))</f>
        <v>0</v>
      </c>
      <c r="P186" s="1101">
        <f>IF($BF186=0,0,IF(SUM($M186:O186)&lt;($J186-12),12,$J186-SUM($M186:O186)))</f>
        <v>0</v>
      </c>
      <c r="Q186" s="1101">
        <f>IF($BF186=0,0,IF(SUM($M186:P186)&lt;($J186-12),12,$J186-SUM($M186:P186)))</f>
        <v>0</v>
      </c>
      <c r="S186" s="1100"/>
      <c r="T186" s="1100">
        <v>0</v>
      </c>
      <c r="U186" s="1101">
        <f>IF($BG186=0,0,IF(SUM($S186:T186)&lt;($J186-12),12,$J186-SUM($S186:T186)))</f>
        <v>0</v>
      </c>
      <c r="V186" s="1101">
        <f>IF($BG186=0,0,IF(SUM($S186:U186)&lt;($J186-12),12,$J186-SUM($S186:U186)))</f>
        <v>0</v>
      </c>
      <c r="W186" s="1101">
        <f>IF($BG186=0,0,IF(SUM($S186:V186)&lt;($J186-12),12,$J186-SUM($S186:V186)))</f>
        <v>0</v>
      </c>
      <c r="Y186" s="1100"/>
      <c r="Z186" s="1100"/>
      <c r="AA186" s="1100">
        <v>0</v>
      </c>
      <c r="AB186" s="1101">
        <f>IF($BH186=0,0,IF(SUM($Y186:AA186)&lt;($J186-12),12,$J186-SUM($Y186:AA186)))</f>
        <v>0</v>
      </c>
      <c r="AC186" s="1101">
        <f>IF($BH186=0,0,IF(SUM($Y186:AB186)&lt;($J186-12),12,$J186-SUM($Y186:AB186)))</f>
        <v>0</v>
      </c>
      <c r="AE186" s="1100"/>
      <c r="AF186" s="1100"/>
      <c r="AG186" s="1100"/>
      <c r="AH186" s="1100">
        <v>12</v>
      </c>
      <c r="AI186" s="1101">
        <f>IF($BI186=0,0,IF(SUM($AE186:AH186)&lt;($J186-12),12,$J186-SUM($AE186:AH186)))</f>
        <v>12</v>
      </c>
      <c r="AK186" s="1100"/>
      <c r="AL186" s="1100"/>
      <c r="AM186" s="1100"/>
      <c r="AN186" s="1100"/>
      <c r="AO186" s="1100">
        <v>0</v>
      </c>
      <c r="AQ186" s="153">
        <f t="shared" si="24"/>
        <v>0</v>
      </c>
      <c r="AR186" s="153">
        <f t="shared" si="25"/>
        <v>0</v>
      </c>
      <c r="AS186" s="153">
        <f t="shared" si="26"/>
        <v>0</v>
      </c>
      <c r="AT186" s="153">
        <f t="shared" si="27"/>
        <v>1</v>
      </c>
      <c r="AU186" s="153">
        <f t="shared" si="28"/>
        <v>0</v>
      </c>
      <c r="AW186" s="1543">
        <v>0.75</v>
      </c>
      <c r="AX186" s="1102"/>
      <c r="AY186" s="1544">
        <v>0.25</v>
      </c>
      <c r="BA186" s="1103">
        <v>0</v>
      </c>
      <c r="BB186" s="1103">
        <v>0</v>
      </c>
      <c r="BC186" s="1103">
        <v>0</v>
      </c>
      <c r="BD186" s="1103">
        <v>0</v>
      </c>
      <c r="BE186" s="1103">
        <v>0</v>
      </c>
      <c r="BF186" s="1103">
        <v>0</v>
      </c>
      <c r="BG186" s="1103">
        <v>0</v>
      </c>
      <c r="BH186" s="1103">
        <v>0</v>
      </c>
      <c r="BI186" s="1103">
        <v>1627.5</v>
      </c>
      <c r="BJ186" s="1103">
        <v>0</v>
      </c>
    </row>
    <row r="187" spans="2:62" hidden="1" outlineLevel="1">
      <c r="B187" s="1094"/>
      <c r="C187" s="1083" t="s">
        <v>465</v>
      </c>
      <c r="D187" s="1062" t="s">
        <v>84</v>
      </c>
      <c r="E187" s="1083" t="s">
        <v>460</v>
      </c>
      <c r="F187" s="1095" t="s">
        <v>414</v>
      </c>
      <c r="G187" s="1096">
        <f t="shared" si="21"/>
        <v>116.25</v>
      </c>
      <c r="H187" s="1083" t="s">
        <v>29</v>
      </c>
      <c r="I187" s="1097">
        <v>8</v>
      </c>
      <c r="J187" s="1098">
        <f t="shared" si="22"/>
        <v>96</v>
      </c>
      <c r="K187" s="153">
        <f t="shared" si="23"/>
        <v>0.125</v>
      </c>
      <c r="L187" s="1099"/>
      <c r="M187" s="1100">
        <v>0</v>
      </c>
      <c r="N187" s="1101">
        <f>IF($BF187=0,0,IF(SUM($M187:M187)&lt;($J187-12),12,$J187-SUM($M187:M187)))</f>
        <v>0</v>
      </c>
      <c r="O187" s="1101">
        <f>IF($BF187=0,0,IF(SUM($M187:N187)&lt;($J187-12),12,$J187-SUM($M187:N187)))</f>
        <v>0</v>
      </c>
      <c r="P187" s="1101">
        <f>IF($BF187=0,0,IF(SUM($M187:O187)&lt;($J187-12),12,$J187-SUM($M187:O187)))</f>
        <v>0</v>
      </c>
      <c r="Q187" s="1101">
        <f>IF($BF187=0,0,IF(SUM($M187:P187)&lt;($J187-12),12,$J187-SUM($M187:P187)))</f>
        <v>0</v>
      </c>
      <c r="S187" s="1100"/>
      <c r="T187" s="1100">
        <v>0</v>
      </c>
      <c r="U187" s="1101">
        <f>IF($BG187=0,0,IF(SUM($S187:T187)&lt;($J187-12),12,$J187-SUM($S187:T187)))</f>
        <v>0</v>
      </c>
      <c r="V187" s="1101">
        <f>IF($BG187=0,0,IF(SUM($S187:U187)&lt;($J187-12),12,$J187-SUM($S187:U187)))</f>
        <v>0</v>
      </c>
      <c r="W187" s="1101">
        <f>IF($BG187=0,0,IF(SUM($S187:V187)&lt;($J187-12),12,$J187-SUM($S187:V187)))</f>
        <v>0</v>
      </c>
      <c r="Y187" s="1100"/>
      <c r="Z187" s="1100"/>
      <c r="AA187" s="1100">
        <v>0</v>
      </c>
      <c r="AB187" s="1101">
        <f>IF($BH187=0,0,IF(SUM($Y187:AA187)&lt;($J187-12),12,$J187-SUM($Y187:AA187)))</f>
        <v>0</v>
      </c>
      <c r="AC187" s="1101">
        <f>IF($BH187=0,0,IF(SUM($Y187:AB187)&lt;($J187-12),12,$J187-SUM($Y187:AB187)))</f>
        <v>0</v>
      </c>
      <c r="AE187" s="1100"/>
      <c r="AF187" s="1100"/>
      <c r="AG187" s="1100"/>
      <c r="AH187" s="1100">
        <v>0</v>
      </c>
      <c r="AI187" s="1101">
        <f>IF($BI187=0,0,IF(SUM($AE187:AH187)&lt;($J187-12),12,$J187-SUM($AE187:AH187)))</f>
        <v>0</v>
      </c>
      <c r="AK187" s="1100"/>
      <c r="AL187" s="1100"/>
      <c r="AM187" s="1100"/>
      <c r="AN187" s="1100"/>
      <c r="AO187" s="1100">
        <v>12</v>
      </c>
      <c r="AQ187" s="153">
        <f t="shared" si="24"/>
        <v>0</v>
      </c>
      <c r="AR187" s="153">
        <f t="shared" si="25"/>
        <v>0</v>
      </c>
      <c r="AS187" s="153">
        <f t="shared" si="26"/>
        <v>0</v>
      </c>
      <c r="AT187" s="153">
        <f t="shared" si="27"/>
        <v>0</v>
      </c>
      <c r="AU187" s="153">
        <f t="shared" si="28"/>
        <v>1</v>
      </c>
      <c r="AW187" s="1543">
        <v>0</v>
      </c>
      <c r="AX187" s="1102"/>
      <c r="AY187" s="1544">
        <v>1</v>
      </c>
      <c r="BA187" s="1103">
        <v>0</v>
      </c>
      <c r="BB187" s="1103">
        <v>0</v>
      </c>
      <c r="BC187" s="1103">
        <v>0</v>
      </c>
      <c r="BD187" s="1103">
        <v>0</v>
      </c>
      <c r="BE187" s="1103">
        <v>0</v>
      </c>
      <c r="BF187" s="1103">
        <v>0</v>
      </c>
      <c r="BG187" s="1103">
        <v>0</v>
      </c>
      <c r="BH187" s="1103">
        <v>0</v>
      </c>
      <c r="BI187" s="1103">
        <v>0</v>
      </c>
      <c r="BJ187" s="1103">
        <v>116.25</v>
      </c>
    </row>
    <row r="188" spans="2:62" hidden="1" outlineLevel="1">
      <c r="B188" s="1094"/>
      <c r="C188" s="1083" t="s">
        <v>466</v>
      </c>
      <c r="D188" s="1062" t="s">
        <v>84</v>
      </c>
      <c r="E188" s="1083" t="s">
        <v>460</v>
      </c>
      <c r="F188" s="1095" t="s">
        <v>414</v>
      </c>
      <c r="G188" s="1096">
        <f t="shared" si="21"/>
        <v>2325</v>
      </c>
      <c r="H188" s="1083" t="s">
        <v>29</v>
      </c>
      <c r="I188" s="1097">
        <v>8</v>
      </c>
      <c r="J188" s="1098">
        <f t="shared" si="22"/>
        <v>96</v>
      </c>
      <c r="K188" s="153">
        <f t="shared" si="23"/>
        <v>0.125</v>
      </c>
      <c r="L188" s="1099"/>
      <c r="M188" s="1100">
        <v>0</v>
      </c>
      <c r="N188" s="1101">
        <f>IF($BF188=0,0,IF(SUM($M188:M188)&lt;($J188-12),12,$J188-SUM($M188:M188)))</f>
        <v>0</v>
      </c>
      <c r="O188" s="1101">
        <f>IF($BF188=0,0,IF(SUM($M188:N188)&lt;($J188-12),12,$J188-SUM($M188:N188)))</f>
        <v>0</v>
      </c>
      <c r="P188" s="1101">
        <f>IF($BF188=0,0,IF(SUM($M188:O188)&lt;($J188-12),12,$J188-SUM($M188:O188)))</f>
        <v>0</v>
      </c>
      <c r="Q188" s="1101">
        <f>IF($BF188=0,0,IF(SUM($M188:P188)&lt;($J188-12),12,$J188-SUM($M188:P188)))</f>
        <v>0</v>
      </c>
      <c r="S188" s="1100"/>
      <c r="T188" s="1100">
        <v>0</v>
      </c>
      <c r="U188" s="1101">
        <f>IF($BG188=0,0,IF(SUM($S188:T188)&lt;($J188-12),12,$J188-SUM($S188:T188)))</f>
        <v>0</v>
      </c>
      <c r="V188" s="1101">
        <f>IF($BG188=0,0,IF(SUM($S188:U188)&lt;($J188-12),12,$J188-SUM($S188:U188)))</f>
        <v>0</v>
      </c>
      <c r="W188" s="1101">
        <f>IF($BG188=0,0,IF(SUM($S188:V188)&lt;($J188-12),12,$J188-SUM($S188:V188)))</f>
        <v>0</v>
      </c>
      <c r="Y188" s="1100"/>
      <c r="Z188" s="1100"/>
      <c r="AA188" s="1100">
        <v>0</v>
      </c>
      <c r="AB188" s="1101">
        <f>IF($BH188=0,0,IF(SUM($Y188:AA188)&lt;($J188-12),12,$J188-SUM($Y188:AA188)))</f>
        <v>0</v>
      </c>
      <c r="AC188" s="1101">
        <f>IF($BH188=0,0,IF(SUM($Y188:AB188)&lt;($J188-12),12,$J188-SUM($Y188:AB188)))</f>
        <v>0</v>
      </c>
      <c r="AE188" s="1100"/>
      <c r="AF188" s="1100"/>
      <c r="AG188" s="1100"/>
      <c r="AH188" s="1100">
        <v>3</v>
      </c>
      <c r="AI188" s="1101">
        <f>IF($BI188=0,0,IF(SUM($AE188:AH188)&lt;($J188-12),12,$J188-SUM($AE188:AH188)))</f>
        <v>12</v>
      </c>
      <c r="AK188" s="1100"/>
      <c r="AL188" s="1100"/>
      <c r="AM188" s="1100"/>
      <c r="AN188" s="1100"/>
      <c r="AO188" s="1100">
        <v>0</v>
      </c>
      <c r="AQ188" s="153">
        <f t="shared" si="24"/>
        <v>0</v>
      </c>
      <c r="AR188" s="153">
        <f t="shared" si="25"/>
        <v>0</v>
      </c>
      <c r="AS188" s="153">
        <f t="shared" si="26"/>
        <v>0</v>
      </c>
      <c r="AT188" s="153">
        <f t="shared" si="27"/>
        <v>0.25</v>
      </c>
      <c r="AU188" s="153">
        <f t="shared" si="28"/>
        <v>0</v>
      </c>
      <c r="AW188" s="1543">
        <v>0.73</v>
      </c>
      <c r="AX188" s="1102"/>
      <c r="AY188" s="1544">
        <v>0.15</v>
      </c>
      <c r="BA188" s="1103">
        <v>0</v>
      </c>
      <c r="BB188" s="1103">
        <v>0</v>
      </c>
      <c r="BC188" s="1103">
        <v>0</v>
      </c>
      <c r="BD188" s="1103">
        <v>0</v>
      </c>
      <c r="BE188" s="1103">
        <v>0</v>
      </c>
      <c r="BF188" s="1103">
        <v>0</v>
      </c>
      <c r="BG188" s="1103">
        <v>0</v>
      </c>
      <c r="BH188" s="1103">
        <v>0</v>
      </c>
      <c r="BI188" s="1103">
        <v>2325</v>
      </c>
      <c r="BJ188" s="1103">
        <v>0</v>
      </c>
    </row>
    <row r="189" spans="2:62" hidden="1" outlineLevel="1">
      <c r="B189" s="1094"/>
      <c r="C189" s="1083" t="s">
        <v>467</v>
      </c>
      <c r="D189" s="1062" t="s">
        <v>467</v>
      </c>
      <c r="E189" s="1083" t="s">
        <v>468</v>
      </c>
      <c r="F189" s="1095" t="s">
        <v>414</v>
      </c>
      <c r="G189" s="1096">
        <f t="shared" si="21"/>
        <v>5300</v>
      </c>
      <c r="H189" s="1083" t="s">
        <v>29</v>
      </c>
      <c r="I189" s="1097">
        <v>5</v>
      </c>
      <c r="J189" s="1098">
        <f t="shared" si="22"/>
        <v>60</v>
      </c>
      <c r="K189" s="153">
        <f t="shared" si="23"/>
        <v>0.2</v>
      </c>
      <c r="L189" s="1099"/>
      <c r="M189" s="1100">
        <v>0</v>
      </c>
      <c r="N189" s="1101">
        <f>IF($BF189=0,0,IF(SUM($M189:M189)&lt;($J189-12),12,$J189-SUM($M189:M189)))</f>
        <v>0</v>
      </c>
      <c r="O189" s="1101">
        <f>IF($BF189=0,0,IF(SUM($M189:N189)&lt;($J189-12),12,$J189-SUM($M189:N189)))</f>
        <v>0</v>
      </c>
      <c r="P189" s="1101">
        <f>IF($BF189=0,0,IF(SUM($M189:O189)&lt;($J189-12),12,$J189-SUM($M189:O189)))</f>
        <v>0</v>
      </c>
      <c r="Q189" s="1101">
        <f>IF($BF189=0,0,IF(SUM($M189:P189)&lt;($J189-12),12,$J189-SUM($M189:P189)))</f>
        <v>0</v>
      </c>
      <c r="S189" s="1100"/>
      <c r="T189" s="1100">
        <v>4.2</v>
      </c>
      <c r="U189" s="1101">
        <f>IF($BG189=0,0,IF(SUM($S189:T189)&lt;($J189-12),12,$J189-SUM($S189:T189)))</f>
        <v>12</v>
      </c>
      <c r="V189" s="1101">
        <f>IF($BG189=0,0,IF(SUM($S189:U189)&lt;($J189-12),12,$J189-SUM($S189:U189)))</f>
        <v>12</v>
      </c>
      <c r="W189" s="1101">
        <f>IF($BG189=0,0,IF(SUM($S189:V189)&lt;($J189-12),12,$J189-SUM($S189:V189)))</f>
        <v>12</v>
      </c>
      <c r="Y189" s="1100"/>
      <c r="Z189" s="1100"/>
      <c r="AA189" s="1100">
        <v>5.1428571428571432</v>
      </c>
      <c r="AB189" s="1101">
        <f>IF($BH189=0,0,IF(SUM($Y189:AA189)&lt;($J189-12),12,$J189-SUM($Y189:AA189)))</f>
        <v>12</v>
      </c>
      <c r="AC189" s="1101">
        <f>IF($BH189=0,0,IF(SUM($Y189:AB189)&lt;($J189-12),12,$J189-SUM($Y189:AB189)))</f>
        <v>12</v>
      </c>
      <c r="AE189" s="1100"/>
      <c r="AF189" s="1100"/>
      <c r="AG189" s="1100"/>
      <c r="AH189" s="1100">
        <v>6.3870967741935489</v>
      </c>
      <c r="AI189" s="1101">
        <f>IF($BI189=0,0,IF(SUM($AE189:AH189)&lt;($J189-12),12,$J189-SUM($AE189:AH189)))</f>
        <v>12</v>
      </c>
      <c r="AK189" s="1100"/>
      <c r="AL189" s="1100"/>
      <c r="AM189" s="1100"/>
      <c r="AN189" s="1100"/>
      <c r="AO189" s="1100">
        <v>12</v>
      </c>
      <c r="AQ189" s="153">
        <f t="shared" si="24"/>
        <v>0</v>
      </c>
      <c r="AR189" s="153">
        <f t="shared" si="25"/>
        <v>0.35000000000000003</v>
      </c>
      <c r="AS189" s="153">
        <f t="shared" si="26"/>
        <v>0.4285714285714286</v>
      </c>
      <c r="AT189" s="153">
        <f t="shared" si="27"/>
        <v>0.53225806451612911</v>
      </c>
      <c r="AU189" s="153">
        <f t="shared" si="28"/>
        <v>1</v>
      </c>
      <c r="AW189" s="1543">
        <v>0.75</v>
      </c>
      <c r="AX189" s="1102"/>
      <c r="AY189" s="1544">
        <v>0.25</v>
      </c>
      <c r="BA189" s="1103">
        <v>0</v>
      </c>
      <c r="BB189" s="1103">
        <v>0</v>
      </c>
      <c r="BC189" s="1103">
        <v>0</v>
      </c>
      <c r="BD189" s="1103">
        <v>0</v>
      </c>
      <c r="BE189" s="1103">
        <v>0</v>
      </c>
      <c r="BF189" s="1103">
        <v>0</v>
      </c>
      <c r="BG189" s="1103">
        <v>500</v>
      </c>
      <c r="BH189" s="1103">
        <v>700</v>
      </c>
      <c r="BI189" s="1103">
        <v>3100</v>
      </c>
      <c r="BJ189" s="1103">
        <v>1000</v>
      </c>
    </row>
    <row r="190" spans="2:62" hidden="1" outlineLevel="1">
      <c r="B190" s="1094"/>
      <c r="C190" s="1083" t="s">
        <v>469</v>
      </c>
      <c r="D190" s="1062" t="s">
        <v>470</v>
      </c>
      <c r="E190" s="1083" t="s">
        <v>471</v>
      </c>
      <c r="F190" s="1095" t="s">
        <v>414</v>
      </c>
      <c r="G190" s="1096">
        <f t="shared" si="21"/>
        <v>2000</v>
      </c>
      <c r="H190" s="1083" t="s">
        <v>29</v>
      </c>
      <c r="I190" s="1097">
        <v>12</v>
      </c>
      <c r="J190" s="1098">
        <f t="shared" si="22"/>
        <v>144</v>
      </c>
      <c r="K190" s="153">
        <f t="shared" si="23"/>
        <v>8.3333333333333329E-2</v>
      </c>
      <c r="L190" s="1099"/>
      <c r="M190" s="1100">
        <v>0</v>
      </c>
      <c r="N190" s="1101">
        <f>IF($BF190=0,0,IF(SUM($M190:M190)&lt;($J190-12),12,$J190-SUM($M190:M190)))</f>
        <v>0</v>
      </c>
      <c r="O190" s="1101">
        <f>IF($BF190=0,0,IF(SUM($M190:N190)&lt;($J190-12),12,$J190-SUM($M190:N190)))</f>
        <v>0</v>
      </c>
      <c r="P190" s="1101">
        <f>IF($BF190=0,0,IF(SUM($M190:O190)&lt;($J190-12),12,$J190-SUM($M190:O190)))</f>
        <v>0</v>
      </c>
      <c r="Q190" s="1101">
        <f>IF($BF190=0,0,IF(SUM($M190:P190)&lt;($J190-12),12,$J190-SUM($M190:P190)))</f>
        <v>0</v>
      </c>
      <c r="S190" s="1100"/>
      <c r="T190" s="1100">
        <v>0</v>
      </c>
      <c r="U190" s="1101">
        <f>IF($BG190=0,0,IF(SUM($S190:T190)&lt;($J190-12),12,$J190-SUM($S190:T190)))</f>
        <v>0</v>
      </c>
      <c r="V190" s="1101">
        <f>IF($BG190=0,0,IF(SUM($S190:U190)&lt;($J190-12),12,$J190-SUM($S190:U190)))</f>
        <v>0</v>
      </c>
      <c r="W190" s="1101">
        <f>IF($BG190=0,0,IF(SUM($S190:V190)&lt;($J190-12),12,$J190-SUM($S190:V190)))</f>
        <v>0</v>
      </c>
      <c r="Y190" s="1100"/>
      <c r="Z190" s="1100"/>
      <c r="AA190" s="1100">
        <v>0</v>
      </c>
      <c r="AB190" s="1101">
        <f>IF($BH190=0,0,IF(SUM($Y190:AA190)&lt;($J190-12),12,$J190-SUM($Y190:AA190)))</f>
        <v>0</v>
      </c>
      <c r="AC190" s="1101">
        <f>IF($BH190=0,0,IF(SUM($Y190:AB190)&lt;($J190-12),12,$J190-SUM($Y190:AB190)))</f>
        <v>0</v>
      </c>
      <c r="AE190" s="1100"/>
      <c r="AF190" s="1100"/>
      <c r="AG190" s="1100"/>
      <c r="AH190" s="1100">
        <v>3</v>
      </c>
      <c r="AI190" s="1101">
        <f>IF($BI190=0,0,IF(SUM($AE190:AH190)&lt;($J190-12),12,$J190-SUM($AE190:AH190)))</f>
        <v>12</v>
      </c>
      <c r="AK190" s="1100"/>
      <c r="AL190" s="1100"/>
      <c r="AM190" s="1100"/>
      <c r="AN190" s="1100"/>
      <c r="AO190" s="1100">
        <v>0</v>
      </c>
      <c r="AQ190" s="153">
        <f t="shared" si="24"/>
        <v>0</v>
      </c>
      <c r="AR190" s="153">
        <f t="shared" si="25"/>
        <v>0</v>
      </c>
      <c r="AS190" s="153">
        <f t="shared" si="26"/>
        <v>0</v>
      </c>
      <c r="AT190" s="153">
        <f t="shared" si="27"/>
        <v>0.25</v>
      </c>
      <c r="AU190" s="153">
        <f t="shared" si="28"/>
        <v>0</v>
      </c>
      <c r="AW190" s="1543">
        <v>1</v>
      </c>
      <c r="AX190" s="1102"/>
      <c r="AY190" s="1544">
        <v>0</v>
      </c>
      <c r="BA190" s="1103">
        <v>0</v>
      </c>
      <c r="BB190" s="1103">
        <v>0</v>
      </c>
      <c r="BC190" s="1103">
        <v>0</v>
      </c>
      <c r="BD190" s="1103">
        <v>0</v>
      </c>
      <c r="BE190" s="1103">
        <v>0</v>
      </c>
      <c r="BF190" s="1103">
        <v>0</v>
      </c>
      <c r="BG190" s="1103">
        <v>0</v>
      </c>
      <c r="BH190" s="1103">
        <v>0</v>
      </c>
      <c r="BI190" s="1103">
        <v>2000</v>
      </c>
      <c r="BJ190" s="1103">
        <v>0</v>
      </c>
    </row>
    <row r="191" spans="2:62" hidden="1" outlineLevel="1">
      <c r="B191" s="1094"/>
      <c r="C191" s="1083" t="s">
        <v>472</v>
      </c>
      <c r="D191" s="1062" t="s">
        <v>470</v>
      </c>
      <c r="E191" s="1083" t="s">
        <v>471</v>
      </c>
      <c r="F191" s="1095" t="s">
        <v>414</v>
      </c>
      <c r="G191" s="1096">
        <f t="shared" si="21"/>
        <v>2000</v>
      </c>
      <c r="H191" s="1083" t="s">
        <v>29</v>
      </c>
      <c r="I191" s="1097">
        <v>12</v>
      </c>
      <c r="J191" s="1098">
        <f t="shared" si="22"/>
        <v>144</v>
      </c>
      <c r="K191" s="153">
        <f t="shared" si="23"/>
        <v>8.3333333333333329E-2</v>
      </c>
      <c r="L191" s="1099"/>
      <c r="M191" s="1100">
        <v>0</v>
      </c>
      <c r="N191" s="1101">
        <f>IF($BF191=0,0,IF(SUM($M191:M191)&lt;($J191-12),12,$J191-SUM($M191:M191)))</f>
        <v>0</v>
      </c>
      <c r="O191" s="1101">
        <f>IF($BF191=0,0,IF(SUM($M191:N191)&lt;($J191-12),12,$J191-SUM($M191:N191)))</f>
        <v>0</v>
      </c>
      <c r="P191" s="1101">
        <f>IF($BF191=0,0,IF(SUM($M191:O191)&lt;($J191-12),12,$J191-SUM($M191:O191)))</f>
        <v>0</v>
      </c>
      <c r="Q191" s="1101">
        <f>IF($BF191=0,0,IF(SUM($M191:P191)&lt;($J191-12),12,$J191-SUM($M191:P191)))</f>
        <v>0</v>
      </c>
      <c r="S191" s="1100"/>
      <c r="T191" s="1100">
        <v>0</v>
      </c>
      <c r="U191" s="1101">
        <f>IF($BG191=0,0,IF(SUM($S191:T191)&lt;($J191-12),12,$J191-SUM($S191:T191)))</f>
        <v>0</v>
      </c>
      <c r="V191" s="1101">
        <f>IF($BG191=0,0,IF(SUM($S191:U191)&lt;($J191-12),12,$J191-SUM($S191:U191)))</f>
        <v>0</v>
      </c>
      <c r="W191" s="1101">
        <f>IF($BG191=0,0,IF(SUM($S191:V191)&lt;($J191-12),12,$J191-SUM($S191:V191)))</f>
        <v>0</v>
      </c>
      <c r="Y191" s="1100"/>
      <c r="Z191" s="1100"/>
      <c r="AA191" s="1100">
        <v>0</v>
      </c>
      <c r="AB191" s="1101">
        <f>IF($BH191=0,0,IF(SUM($Y191:AA191)&lt;($J191-12),12,$J191-SUM($Y191:AA191)))</f>
        <v>0</v>
      </c>
      <c r="AC191" s="1101">
        <f>IF($BH191=0,0,IF(SUM($Y191:AB191)&lt;($J191-12),12,$J191-SUM($Y191:AB191)))</f>
        <v>0</v>
      </c>
      <c r="AE191" s="1100"/>
      <c r="AF191" s="1100"/>
      <c r="AG191" s="1100"/>
      <c r="AH191" s="1100">
        <v>0</v>
      </c>
      <c r="AI191" s="1101">
        <f>IF($BI191=0,0,IF(SUM($AE191:AH191)&lt;($J191-12),12,$J191-SUM($AE191:AH191)))</f>
        <v>0</v>
      </c>
      <c r="AK191" s="1100"/>
      <c r="AL191" s="1100"/>
      <c r="AM191" s="1100"/>
      <c r="AN191" s="1100"/>
      <c r="AO191" s="1100">
        <v>3</v>
      </c>
      <c r="AQ191" s="153">
        <f t="shared" si="24"/>
        <v>0</v>
      </c>
      <c r="AR191" s="153">
        <f t="shared" si="25"/>
        <v>0</v>
      </c>
      <c r="AS191" s="153">
        <f t="shared" si="26"/>
        <v>0</v>
      </c>
      <c r="AT191" s="153">
        <f t="shared" si="27"/>
        <v>0</v>
      </c>
      <c r="AU191" s="153">
        <f t="shared" si="28"/>
        <v>0.25</v>
      </c>
      <c r="AW191" s="1543">
        <v>1</v>
      </c>
      <c r="AX191" s="1102"/>
      <c r="AY191" s="1544">
        <v>0</v>
      </c>
      <c r="BA191" s="1103">
        <v>0</v>
      </c>
      <c r="BB191" s="1103">
        <v>0</v>
      </c>
      <c r="BC191" s="1103">
        <v>0</v>
      </c>
      <c r="BD191" s="1103">
        <v>0</v>
      </c>
      <c r="BE191" s="1103">
        <v>0</v>
      </c>
      <c r="BF191" s="1103">
        <v>0</v>
      </c>
      <c r="BG191" s="1103">
        <v>0</v>
      </c>
      <c r="BH191" s="1103">
        <v>0</v>
      </c>
      <c r="BI191" s="1103">
        <v>0</v>
      </c>
      <c r="BJ191" s="1103">
        <v>2000</v>
      </c>
    </row>
    <row r="192" spans="2:62" hidden="1" outlineLevel="1">
      <c r="B192" s="1094"/>
      <c r="C192" s="1083" t="s">
        <v>473</v>
      </c>
      <c r="D192" s="1062" t="s">
        <v>474</v>
      </c>
      <c r="E192" s="1083" t="s">
        <v>475</v>
      </c>
      <c r="F192" s="1095" t="s">
        <v>414</v>
      </c>
      <c r="G192" s="1096">
        <f t="shared" si="21"/>
        <v>0</v>
      </c>
      <c r="H192" s="1083" t="s">
        <v>29</v>
      </c>
      <c r="I192" s="1097">
        <v>0</v>
      </c>
      <c r="J192" s="1098">
        <f t="shared" si="22"/>
        <v>0</v>
      </c>
      <c r="K192" s="153">
        <f t="shared" si="23"/>
        <v>0</v>
      </c>
      <c r="L192" s="1099"/>
      <c r="M192" s="1100">
        <v>0</v>
      </c>
      <c r="N192" s="1101">
        <f>IF($BF192=0,0,IF(SUM($M192:M192)&lt;($J192-12),12,$J192-SUM($M192:M192)))</f>
        <v>0</v>
      </c>
      <c r="O192" s="1101">
        <f>IF($BF192=0,0,IF(SUM($M192:N192)&lt;($J192-12),12,$J192-SUM($M192:N192)))</f>
        <v>0</v>
      </c>
      <c r="P192" s="1101">
        <f>IF($BF192=0,0,IF(SUM($M192:O192)&lt;($J192-12),12,$J192-SUM($M192:O192)))</f>
        <v>0</v>
      </c>
      <c r="Q192" s="1101">
        <f>IF($BF192=0,0,IF(SUM($M192:P192)&lt;($J192-12),12,$J192-SUM($M192:P192)))</f>
        <v>0</v>
      </c>
      <c r="S192" s="1100"/>
      <c r="T192" s="1100">
        <v>0</v>
      </c>
      <c r="U192" s="1101">
        <f>IF($BG192=0,0,IF(SUM($S192:T192)&lt;($J192-12),12,$J192-SUM($S192:T192)))</f>
        <v>0</v>
      </c>
      <c r="V192" s="1101">
        <f>IF($BG192=0,0,IF(SUM($S192:U192)&lt;($J192-12),12,$J192-SUM($S192:U192)))</f>
        <v>0</v>
      </c>
      <c r="W192" s="1101">
        <f>IF($BG192=0,0,IF(SUM($S192:V192)&lt;($J192-12),12,$J192-SUM($S192:V192)))</f>
        <v>0</v>
      </c>
      <c r="Y192" s="1100"/>
      <c r="Z192" s="1100"/>
      <c r="AA192" s="1100">
        <v>0</v>
      </c>
      <c r="AB192" s="1101">
        <f>IF($BH192=0,0,IF(SUM($Y192:AA192)&lt;($J192-12),12,$J192-SUM($Y192:AA192)))</f>
        <v>0</v>
      </c>
      <c r="AC192" s="1101">
        <f>IF($BH192=0,0,IF(SUM($Y192:AB192)&lt;($J192-12),12,$J192-SUM($Y192:AB192)))</f>
        <v>0</v>
      </c>
      <c r="AE192" s="1100"/>
      <c r="AF192" s="1100"/>
      <c r="AG192" s="1100"/>
      <c r="AH192" s="1100">
        <v>0</v>
      </c>
      <c r="AI192" s="1101">
        <f>IF($BI192=0,0,IF(SUM($AE192:AH192)&lt;($J192-12),12,$J192-SUM($AE192:AH192)))</f>
        <v>0</v>
      </c>
      <c r="AK192" s="1100"/>
      <c r="AL192" s="1100"/>
      <c r="AM192" s="1100"/>
      <c r="AN192" s="1100"/>
      <c r="AO192" s="1100">
        <v>0</v>
      </c>
      <c r="AQ192" s="153">
        <f t="shared" si="24"/>
        <v>0</v>
      </c>
      <c r="AR192" s="153">
        <f t="shared" si="25"/>
        <v>0</v>
      </c>
      <c r="AS192" s="153">
        <f t="shared" si="26"/>
        <v>0</v>
      </c>
      <c r="AT192" s="153">
        <f t="shared" si="27"/>
        <v>0</v>
      </c>
      <c r="AU192" s="153">
        <f t="shared" si="28"/>
        <v>0</v>
      </c>
      <c r="AW192" s="1543">
        <v>0</v>
      </c>
      <c r="AX192" s="1102"/>
      <c r="AY192" s="1544">
        <v>0</v>
      </c>
      <c r="BA192" s="1103">
        <v>0</v>
      </c>
      <c r="BB192" s="1103">
        <v>0</v>
      </c>
      <c r="BC192" s="1103">
        <v>0</v>
      </c>
      <c r="BD192" s="1103">
        <v>0</v>
      </c>
      <c r="BE192" s="1103">
        <v>0</v>
      </c>
      <c r="BF192" s="1103">
        <v>0</v>
      </c>
      <c r="BG192" s="1103">
        <v>0</v>
      </c>
      <c r="BH192" s="1103">
        <v>0</v>
      </c>
      <c r="BI192" s="1103">
        <v>0</v>
      </c>
      <c r="BJ192" s="1103">
        <v>0</v>
      </c>
    </row>
    <row r="193" spans="2:62" hidden="1" outlineLevel="1">
      <c r="B193" s="1094"/>
      <c r="C193" s="1083" t="s">
        <v>476</v>
      </c>
      <c r="D193" s="1062" t="s">
        <v>474</v>
      </c>
      <c r="E193" s="1083" t="s">
        <v>477</v>
      </c>
      <c r="F193" s="1095" t="s">
        <v>414</v>
      </c>
      <c r="G193" s="1096">
        <f t="shared" si="21"/>
        <v>397.31047424999997</v>
      </c>
      <c r="H193" s="1083" t="s">
        <v>29</v>
      </c>
      <c r="I193" s="1097">
        <v>8</v>
      </c>
      <c r="J193" s="1098">
        <f t="shared" si="22"/>
        <v>96</v>
      </c>
      <c r="K193" s="153">
        <f t="shared" si="23"/>
        <v>0.125</v>
      </c>
      <c r="L193" s="1099"/>
      <c r="M193" s="1100">
        <v>0</v>
      </c>
      <c r="N193" s="1101">
        <f>IF($BF193=0,0,IF(SUM($M193:M193)&lt;($J193-12),12,$J193-SUM($M193:M193)))</f>
        <v>0</v>
      </c>
      <c r="O193" s="1101">
        <f>IF($BF193=0,0,IF(SUM($M193:N193)&lt;($J193-12),12,$J193-SUM($M193:N193)))</f>
        <v>0</v>
      </c>
      <c r="P193" s="1101">
        <f>IF($BF193=0,0,IF(SUM($M193:O193)&lt;($J193-12),12,$J193-SUM($M193:O193)))</f>
        <v>0</v>
      </c>
      <c r="Q193" s="1101">
        <f>IF($BF193=0,0,IF(SUM($M193:P193)&lt;($J193-12),12,$J193-SUM($M193:P193)))</f>
        <v>0</v>
      </c>
      <c r="S193" s="1100"/>
      <c r="T193" s="1100">
        <v>0</v>
      </c>
      <c r="U193" s="1101">
        <f>IF($BG193=0,0,IF(SUM($S193:T193)&lt;($J193-12),12,$J193-SUM($S193:T193)))</f>
        <v>0</v>
      </c>
      <c r="V193" s="1101">
        <f>IF($BG193=0,0,IF(SUM($S193:U193)&lt;($J193-12),12,$J193-SUM($S193:U193)))</f>
        <v>0</v>
      </c>
      <c r="W193" s="1101">
        <f>IF($BG193=0,0,IF(SUM($S193:V193)&lt;($J193-12),12,$J193-SUM($S193:V193)))</f>
        <v>0</v>
      </c>
      <c r="Y193" s="1100"/>
      <c r="Z193" s="1100"/>
      <c r="AA193" s="1100">
        <v>3</v>
      </c>
      <c r="AB193" s="1101">
        <f>IF($BH193=0,0,IF(SUM($Y193:AA193)&lt;($J193-12),12,$J193-SUM($Y193:AA193)))</f>
        <v>12</v>
      </c>
      <c r="AC193" s="1101">
        <f>IF($BH193=0,0,IF(SUM($Y193:AB193)&lt;($J193-12),12,$J193-SUM($Y193:AB193)))</f>
        <v>12</v>
      </c>
      <c r="AE193" s="1100"/>
      <c r="AF193" s="1100"/>
      <c r="AG193" s="1100"/>
      <c r="AH193" s="1100">
        <v>0</v>
      </c>
      <c r="AI193" s="1101">
        <f>IF($BI193=0,0,IF(SUM($AE193:AH193)&lt;($J193-12),12,$J193-SUM($AE193:AH193)))</f>
        <v>0</v>
      </c>
      <c r="AK193" s="1100"/>
      <c r="AL193" s="1100"/>
      <c r="AM193" s="1100"/>
      <c r="AN193" s="1100"/>
      <c r="AO193" s="1100">
        <v>0</v>
      </c>
      <c r="AQ193" s="153">
        <f t="shared" si="24"/>
        <v>0</v>
      </c>
      <c r="AR193" s="153">
        <f t="shared" si="25"/>
        <v>0</v>
      </c>
      <c r="AS193" s="153">
        <f t="shared" si="26"/>
        <v>0.25</v>
      </c>
      <c r="AT193" s="153">
        <f t="shared" si="27"/>
        <v>0</v>
      </c>
      <c r="AU193" s="153">
        <f t="shared" si="28"/>
        <v>0</v>
      </c>
      <c r="AW193" s="1543">
        <v>0</v>
      </c>
      <c r="AX193" s="1102"/>
      <c r="AY193" s="1544">
        <v>1</v>
      </c>
      <c r="BA193" s="1103">
        <v>0</v>
      </c>
      <c r="BB193" s="1103">
        <v>0</v>
      </c>
      <c r="BC193" s="1103">
        <v>0</v>
      </c>
      <c r="BD193" s="1103">
        <v>0</v>
      </c>
      <c r="BE193" s="1103">
        <v>0</v>
      </c>
      <c r="BF193" s="1103">
        <v>0</v>
      </c>
      <c r="BG193" s="1103">
        <v>0</v>
      </c>
      <c r="BH193" s="1103">
        <v>397.31047424999997</v>
      </c>
      <c r="BI193" s="1103">
        <v>0</v>
      </c>
      <c r="BJ193" s="1103">
        <v>0</v>
      </c>
    </row>
    <row r="194" spans="2:62" hidden="1" outlineLevel="1">
      <c r="B194" s="1094"/>
      <c r="C194" s="1083" t="s">
        <v>478</v>
      </c>
      <c r="D194" s="1062" t="s">
        <v>474</v>
      </c>
      <c r="E194" s="1083" t="s">
        <v>477</v>
      </c>
      <c r="F194" s="1095" t="s">
        <v>414</v>
      </c>
      <c r="G194" s="1096">
        <f t="shared" si="21"/>
        <v>1351.8704357500001</v>
      </c>
      <c r="H194" s="1083" t="s">
        <v>29</v>
      </c>
      <c r="I194" s="1097">
        <v>8</v>
      </c>
      <c r="J194" s="1098">
        <f t="shared" si="22"/>
        <v>96</v>
      </c>
      <c r="K194" s="153">
        <f t="shared" si="23"/>
        <v>0.125</v>
      </c>
      <c r="L194" s="1099"/>
      <c r="M194" s="1100">
        <v>0</v>
      </c>
      <c r="N194" s="1101">
        <f>IF($BF194=0,0,IF(SUM($M194:M194)&lt;($J194-12),12,$J194-SUM($M194:M194)))</f>
        <v>0</v>
      </c>
      <c r="O194" s="1101">
        <f>IF($BF194=0,0,IF(SUM($M194:N194)&lt;($J194-12),12,$J194-SUM($M194:N194)))</f>
        <v>0</v>
      </c>
      <c r="P194" s="1101">
        <f>IF($BF194=0,0,IF(SUM($M194:O194)&lt;($J194-12),12,$J194-SUM($M194:O194)))</f>
        <v>0</v>
      </c>
      <c r="Q194" s="1101">
        <f>IF($BF194=0,0,IF(SUM($M194:P194)&lt;($J194-12),12,$J194-SUM($M194:P194)))</f>
        <v>0</v>
      </c>
      <c r="S194" s="1100"/>
      <c r="T194" s="1100">
        <v>3</v>
      </c>
      <c r="U194" s="1101">
        <f>IF($BG194=0,0,IF(SUM($S194:T194)&lt;($J194-12),12,$J194-SUM($S194:T194)))</f>
        <v>12</v>
      </c>
      <c r="V194" s="1101">
        <f>IF($BG194=0,0,IF(SUM($S194:U194)&lt;($J194-12),12,$J194-SUM($S194:U194)))</f>
        <v>12</v>
      </c>
      <c r="W194" s="1101">
        <f>IF($BG194=0,0,IF(SUM($S194:V194)&lt;($J194-12),12,$J194-SUM($S194:V194)))</f>
        <v>12</v>
      </c>
      <c r="Y194" s="1100"/>
      <c r="Z194" s="1100"/>
      <c r="AA194" s="1100">
        <v>0</v>
      </c>
      <c r="AB194" s="1101">
        <f>IF($BH194=0,0,IF(SUM($Y194:AA194)&lt;($J194-12),12,$J194-SUM($Y194:AA194)))</f>
        <v>0</v>
      </c>
      <c r="AC194" s="1101">
        <f>IF($BH194=0,0,IF(SUM($Y194:AB194)&lt;($J194-12),12,$J194-SUM($Y194:AB194)))</f>
        <v>0</v>
      </c>
      <c r="AE194" s="1100"/>
      <c r="AF194" s="1100"/>
      <c r="AG194" s="1100"/>
      <c r="AH194" s="1100">
        <v>0</v>
      </c>
      <c r="AI194" s="1101">
        <f>IF($BI194=0,0,IF(SUM($AE194:AH194)&lt;($J194-12),12,$J194-SUM($AE194:AH194)))</f>
        <v>0</v>
      </c>
      <c r="AK194" s="1100"/>
      <c r="AL194" s="1100"/>
      <c r="AM194" s="1100"/>
      <c r="AN194" s="1100"/>
      <c r="AO194" s="1100">
        <v>0</v>
      </c>
      <c r="AQ194" s="153">
        <f t="shared" si="24"/>
        <v>0</v>
      </c>
      <c r="AR194" s="153">
        <f t="shared" si="25"/>
        <v>0.25</v>
      </c>
      <c r="AS194" s="153">
        <f t="shared" si="26"/>
        <v>0</v>
      </c>
      <c r="AT194" s="153">
        <f t="shared" si="27"/>
        <v>0</v>
      </c>
      <c r="AU194" s="153">
        <f t="shared" si="28"/>
        <v>0</v>
      </c>
      <c r="AW194" s="1543">
        <v>0.75</v>
      </c>
      <c r="AX194" s="1102"/>
      <c r="AY194" s="1544">
        <v>0.25</v>
      </c>
      <c r="BA194" s="1103">
        <v>0</v>
      </c>
      <c r="BB194" s="1103">
        <v>0</v>
      </c>
      <c r="BC194" s="1103">
        <v>0</v>
      </c>
      <c r="BD194" s="1103">
        <v>0</v>
      </c>
      <c r="BE194" s="1103">
        <v>0</v>
      </c>
      <c r="BF194" s="1103">
        <v>0</v>
      </c>
      <c r="BG194" s="1103">
        <v>1351.8704357500001</v>
      </c>
      <c r="BH194" s="1103">
        <v>0</v>
      </c>
      <c r="BI194" s="1103">
        <v>0</v>
      </c>
      <c r="BJ194" s="1103">
        <v>0</v>
      </c>
    </row>
    <row r="195" spans="2:62" hidden="1" outlineLevel="1">
      <c r="B195" s="1094"/>
      <c r="C195" s="1083" t="s">
        <v>479</v>
      </c>
      <c r="D195" s="1062" t="s">
        <v>474</v>
      </c>
      <c r="E195" s="1083" t="s">
        <v>477</v>
      </c>
      <c r="F195" s="1095" t="s">
        <v>414</v>
      </c>
      <c r="G195" s="1096">
        <f t="shared" si="21"/>
        <v>1349.4590000000001</v>
      </c>
      <c r="H195" s="1083" t="s">
        <v>29</v>
      </c>
      <c r="I195" s="1097">
        <v>8</v>
      </c>
      <c r="J195" s="1098">
        <f t="shared" si="22"/>
        <v>96</v>
      </c>
      <c r="K195" s="153">
        <f t="shared" si="23"/>
        <v>0.125</v>
      </c>
      <c r="L195" s="1099"/>
      <c r="M195" s="1100">
        <v>0</v>
      </c>
      <c r="N195" s="1101">
        <f>IF($BF195=0,0,IF(SUM($M195:M195)&lt;($J195-12),12,$J195-SUM($M195:M195)))</f>
        <v>0</v>
      </c>
      <c r="O195" s="1101">
        <f>IF($BF195=0,0,IF(SUM($M195:N195)&lt;($J195-12),12,$J195-SUM($M195:N195)))</f>
        <v>0</v>
      </c>
      <c r="P195" s="1101">
        <f>IF($BF195=0,0,IF(SUM($M195:O195)&lt;($J195-12),12,$J195-SUM($M195:O195)))</f>
        <v>0</v>
      </c>
      <c r="Q195" s="1101">
        <f>IF($BF195=0,0,IF(SUM($M195:P195)&lt;($J195-12),12,$J195-SUM($M195:P195)))</f>
        <v>0</v>
      </c>
      <c r="S195" s="1100"/>
      <c r="T195" s="1100">
        <v>0</v>
      </c>
      <c r="U195" s="1101">
        <f>IF($BG195=0,0,IF(SUM($S195:T195)&lt;($J195-12),12,$J195-SUM($S195:T195)))</f>
        <v>0</v>
      </c>
      <c r="V195" s="1101">
        <f>IF($BG195=0,0,IF(SUM($S195:U195)&lt;($J195-12),12,$J195-SUM($S195:U195)))</f>
        <v>0</v>
      </c>
      <c r="W195" s="1101">
        <f>IF($BG195=0,0,IF(SUM($S195:V195)&lt;($J195-12),12,$J195-SUM($S195:V195)))</f>
        <v>0</v>
      </c>
      <c r="Y195" s="1100"/>
      <c r="Z195" s="1100"/>
      <c r="AA195" s="1100">
        <v>0</v>
      </c>
      <c r="AB195" s="1101">
        <f>IF($BH195=0,0,IF(SUM($Y195:AA195)&lt;($J195-12),12,$J195-SUM($Y195:AA195)))</f>
        <v>0</v>
      </c>
      <c r="AC195" s="1101">
        <f>IF($BH195=0,0,IF(SUM($Y195:AB195)&lt;($J195-12),12,$J195-SUM($Y195:AB195)))</f>
        <v>0</v>
      </c>
      <c r="AE195" s="1100"/>
      <c r="AF195" s="1100"/>
      <c r="AG195" s="1100"/>
      <c r="AH195" s="1100">
        <v>0</v>
      </c>
      <c r="AI195" s="1101">
        <f>IF($BI195=0,0,IF(SUM($AE195:AH195)&lt;($J195-12),12,$J195-SUM($AE195:AH195)))</f>
        <v>0</v>
      </c>
      <c r="AK195" s="1100"/>
      <c r="AL195" s="1100"/>
      <c r="AM195" s="1100"/>
      <c r="AN195" s="1100"/>
      <c r="AO195" s="1100">
        <v>3</v>
      </c>
      <c r="AQ195" s="153">
        <f t="shared" si="24"/>
        <v>0</v>
      </c>
      <c r="AR195" s="153">
        <f t="shared" si="25"/>
        <v>0</v>
      </c>
      <c r="AS195" s="153">
        <f t="shared" si="26"/>
        <v>0</v>
      </c>
      <c r="AT195" s="153">
        <f t="shared" si="27"/>
        <v>0</v>
      </c>
      <c r="AU195" s="153">
        <f t="shared" si="28"/>
        <v>0.25</v>
      </c>
      <c r="AW195" s="1543">
        <v>1</v>
      </c>
      <c r="AX195" s="1102"/>
      <c r="AY195" s="1544">
        <v>0</v>
      </c>
      <c r="BA195" s="1103">
        <v>0</v>
      </c>
      <c r="BB195" s="1103">
        <v>0</v>
      </c>
      <c r="BC195" s="1103">
        <v>0</v>
      </c>
      <c r="BD195" s="1103">
        <v>0</v>
      </c>
      <c r="BE195" s="1103">
        <v>0</v>
      </c>
      <c r="BF195" s="1103">
        <v>0</v>
      </c>
      <c r="BG195" s="1103">
        <v>0</v>
      </c>
      <c r="BH195" s="1103">
        <v>0</v>
      </c>
      <c r="BI195" s="1103">
        <v>0</v>
      </c>
      <c r="BJ195" s="1103">
        <v>1349.4590000000001</v>
      </c>
    </row>
    <row r="196" spans="2:62" hidden="1" outlineLevel="1">
      <c r="B196" s="1094"/>
      <c r="C196" s="1083" t="s">
        <v>480</v>
      </c>
      <c r="D196" s="1062" t="s">
        <v>474</v>
      </c>
      <c r="E196" s="1083" t="s">
        <v>477</v>
      </c>
      <c r="F196" s="1095" t="s">
        <v>414</v>
      </c>
      <c r="G196" s="1096">
        <f t="shared" si="21"/>
        <v>300</v>
      </c>
      <c r="H196" s="1083" t="s">
        <v>29</v>
      </c>
      <c r="I196" s="1097">
        <v>8</v>
      </c>
      <c r="J196" s="1098">
        <f t="shared" si="22"/>
        <v>96</v>
      </c>
      <c r="K196" s="153">
        <f t="shared" si="23"/>
        <v>0.125</v>
      </c>
      <c r="L196" s="1099"/>
      <c r="M196" s="1100">
        <v>0</v>
      </c>
      <c r="N196" s="1101">
        <f>IF($BF196=0,0,IF(SUM($M196:M196)&lt;($J196-12),12,$J196-SUM($M196:M196)))</f>
        <v>0</v>
      </c>
      <c r="O196" s="1101">
        <f>IF($BF196=0,0,IF(SUM($M196:N196)&lt;($J196-12),12,$J196-SUM($M196:N196)))</f>
        <v>0</v>
      </c>
      <c r="P196" s="1101">
        <f>IF($BF196=0,0,IF(SUM($M196:O196)&lt;($J196-12),12,$J196-SUM($M196:O196)))</f>
        <v>0</v>
      </c>
      <c r="Q196" s="1101">
        <f>IF($BF196=0,0,IF(SUM($M196:P196)&lt;($J196-12),12,$J196-SUM($M196:P196)))</f>
        <v>0</v>
      </c>
      <c r="S196" s="1100"/>
      <c r="T196" s="1100">
        <v>0</v>
      </c>
      <c r="U196" s="1101">
        <f>IF($BG196=0,0,IF(SUM($S196:T196)&lt;($J196-12),12,$J196-SUM($S196:T196)))</f>
        <v>0</v>
      </c>
      <c r="V196" s="1101">
        <f>IF($BG196=0,0,IF(SUM($S196:U196)&lt;($J196-12),12,$J196-SUM($S196:U196)))</f>
        <v>0</v>
      </c>
      <c r="W196" s="1101">
        <f>IF($BG196=0,0,IF(SUM($S196:V196)&lt;($J196-12),12,$J196-SUM($S196:V196)))</f>
        <v>0</v>
      </c>
      <c r="Y196" s="1100"/>
      <c r="Z196" s="1100"/>
      <c r="AA196" s="1100">
        <v>0</v>
      </c>
      <c r="AB196" s="1101">
        <f>IF($BH196=0,0,IF(SUM($Y196:AA196)&lt;($J196-12),12,$J196-SUM($Y196:AA196)))</f>
        <v>0</v>
      </c>
      <c r="AC196" s="1101">
        <f>IF($BH196=0,0,IF(SUM($Y196:AB196)&lt;($J196-12),12,$J196-SUM($Y196:AB196)))</f>
        <v>0</v>
      </c>
      <c r="AE196" s="1100"/>
      <c r="AF196" s="1100"/>
      <c r="AG196" s="1100"/>
      <c r="AH196" s="1100">
        <v>3</v>
      </c>
      <c r="AI196" s="1101">
        <f>IF($BI196=0,0,IF(SUM($AE196:AH196)&lt;($J196-12),12,$J196-SUM($AE196:AH196)))</f>
        <v>12</v>
      </c>
      <c r="AK196" s="1100"/>
      <c r="AL196" s="1100"/>
      <c r="AM196" s="1100"/>
      <c r="AN196" s="1100"/>
      <c r="AO196" s="1100">
        <v>0</v>
      </c>
      <c r="AQ196" s="153">
        <f t="shared" si="24"/>
        <v>0</v>
      </c>
      <c r="AR196" s="153">
        <f t="shared" si="25"/>
        <v>0</v>
      </c>
      <c r="AS196" s="153">
        <f t="shared" si="26"/>
        <v>0</v>
      </c>
      <c r="AT196" s="153">
        <f t="shared" si="27"/>
        <v>0.25</v>
      </c>
      <c r="AU196" s="153">
        <f t="shared" si="28"/>
        <v>0</v>
      </c>
      <c r="AW196" s="1543">
        <v>0</v>
      </c>
      <c r="AX196" s="1102"/>
      <c r="AY196" s="1544">
        <v>1</v>
      </c>
      <c r="BA196" s="1103">
        <v>0</v>
      </c>
      <c r="BB196" s="1103">
        <v>0</v>
      </c>
      <c r="BC196" s="1103">
        <v>0</v>
      </c>
      <c r="BD196" s="1103">
        <v>0</v>
      </c>
      <c r="BE196" s="1103">
        <v>0</v>
      </c>
      <c r="BF196" s="1103">
        <v>0</v>
      </c>
      <c r="BG196" s="1103">
        <v>0</v>
      </c>
      <c r="BH196" s="1103">
        <v>0</v>
      </c>
      <c r="BI196" s="1103">
        <v>300</v>
      </c>
      <c r="BJ196" s="1103">
        <v>0</v>
      </c>
    </row>
    <row r="197" spans="2:62" hidden="1" outlineLevel="1">
      <c r="B197" s="1094"/>
      <c r="C197" s="1083" t="s">
        <v>481</v>
      </c>
      <c r="D197" s="1062" t="s">
        <v>474</v>
      </c>
      <c r="E197" s="1083" t="s">
        <v>477</v>
      </c>
      <c r="F197" s="1095" t="s">
        <v>414</v>
      </c>
      <c r="G197" s="1096">
        <f t="shared" si="21"/>
        <v>534.29999999999995</v>
      </c>
      <c r="H197" s="1083" t="s">
        <v>29</v>
      </c>
      <c r="I197" s="1097">
        <v>8</v>
      </c>
      <c r="J197" s="1098">
        <f t="shared" si="22"/>
        <v>96</v>
      </c>
      <c r="K197" s="153">
        <f t="shared" si="23"/>
        <v>0.125</v>
      </c>
      <c r="L197" s="1099"/>
      <c r="M197" s="1100">
        <v>0</v>
      </c>
      <c r="N197" s="1101">
        <f>IF($BF197=0,0,IF(SUM($M197:M197)&lt;($J197-12),12,$J197-SUM($M197:M197)))</f>
        <v>0</v>
      </c>
      <c r="O197" s="1101">
        <f>IF($BF197=0,0,IF(SUM($M197:N197)&lt;($J197-12),12,$J197-SUM($M197:N197)))</f>
        <v>0</v>
      </c>
      <c r="P197" s="1101">
        <f>IF($BF197=0,0,IF(SUM($M197:O197)&lt;($J197-12),12,$J197-SUM($M197:O197)))</f>
        <v>0</v>
      </c>
      <c r="Q197" s="1101">
        <f>IF($BF197=0,0,IF(SUM($M197:P197)&lt;($J197-12),12,$J197-SUM($M197:P197)))</f>
        <v>0</v>
      </c>
      <c r="S197" s="1100"/>
      <c r="T197" s="1100">
        <v>0</v>
      </c>
      <c r="U197" s="1101">
        <f>IF($BG197=0,0,IF(SUM($S197:T197)&lt;($J197-12),12,$J197-SUM($S197:T197)))</f>
        <v>0</v>
      </c>
      <c r="V197" s="1101">
        <f>IF($BG197=0,0,IF(SUM($S197:U197)&lt;($J197-12),12,$J197-SUM($S197:U197)))</f>
        <v>0</v>
      </c>
      <c r="W197" s="1101">
        <f>IF($BG197=0,0,IF(SUM($S197:V197)&lt;($J197-12),12,$J197-SUM($S197:V197)))</f>
        <v>0</v>
      </c>
      <c r="Y197" s="1100"/>
      <c r="Z197" s="1100"/>
      <c r="AA197" s="1100">
        <v>0</v>
      </c>
      <c r="AB197" s="1101">
        <f>IF($BH197=0,0,IF(SUM($Y197:AA197)&lt;($J197-12),12,$J197-SUM($Y197:AA197)))</f>
        <v>0</v>
      </c>
      <c r="AC197" s="1101">
        <f>IF($BH197=0,0,IF(SUM($Y197:AB197)&lt;($J197-12),12,$J197-SUM($Y197:AB197)))</f>
        <v>0</v>
      </c>
      <c r="AE197" s="1100"/>
      <c r="AF197" s="1100"/>
      <c r="AG197" s="1100"/>
      <c r="AH197" s="1100">
        <v>3</v>
      </c>
      <c r="AI197" s="1101">
        <f>IF($BI197=0,0,IF(SUM($AE197:AH197)&lt;($J197-12),12,$J197-SUM($AE197:AH197)))</f>
        <v>12</v>
      </c>
      <c r="AK197" s="1100"/>
      <c r="AL197" s="1100"/>
      <c r="AM197" s="1100"/>
      <c r="AN197" s="1100"/>
      <c r="AO197" s="1100">
        <v>0</v>
      </c>
      <c r="AQ197" s="153">
        <f t="shared" si="24"/>
        <v>0</v>
      </c>
      <c r="AR197" s="153">
        <f t="shared" si="25"/>
        <v>0</v>
      </c>
      <c r="AS197" s="153">
        <f t="shared" si="26"/>
        <v>0</v>
      </c>
      <c r="AT197" s="153">
        <f t="shared" si="27"/>
        <v>0.25</v>
      </c>
      <c r="AU197" s="153">
        <f t="shared" si="28"/>
        <v>0</v>
      </c>
      <c r="AW197" s="1543">
        <v>0.75</v>
      </c>
      <c r="AX197" s="1102"/>
      <c r="AY197" s="1544">
        <v>0.25</v>
      </c>
      <c r="BA197" s="1103">
        <v>0</v>
      </c>
      <c r="BB197" s="1103">
        <v>0</v>
      </c>
      <c r="BC197" s="1103">
        <v>0</v>
      </c>
      <c r="BD197" s="1103">
        <v>0</v>
      </c>
      <c r="BE197" s="1103">
        <v>0</v>
      </c>
      <c r="BF197" s="1103">
        <v>0</v>
      </c>
      <c r="BG197" s="1103">
        <v>0</v>
      </c>
      <c r="BH197" s="1103">
        <v>0</v>
      </c>
      <c r="BI197" s="1103">
        <v>534.29999999999995</v>
      </c>
      <c r="BJ197" s="1103">
        <v>0</v>
      </c>
    </row>
    <row r="198" spans="2:62" hidden="1" outlineLevel="1">
      <c r="B198" s="1094"/>
      <c r="C198" s="1083" t="s">
        <v>482</v>
      </c>
      <c r="D198" s="1062" t="s">
        <v>482</v>
      </c>
      <c r="E198" s="1083" t="s">
        <v>483</v>
      </c>
      <c r="F198" s="1095" t="s">
        <v>414</v>
      </c>
      <c r="G198" s="1096">
        <f t="shared" si="21"/>
        <v>3480</v>
      </c>
      <c r="H198" s="1083" t="s">
        <v>29</v>
      </c>
      <c r="I198" s="1097">
        <v>12</v>
      </c>
      <c r="J198" s="1098">
        <f t="shared" si="22"/>
        <v>144</v>
      </c>
      <c r="K198" s="153">
        <f t="shared" si="23"/>
        <v>8.3333333333333329E-2</v>
      </c>
      <c r="L198" s="1099"/>
      <c r="M198" s="1100">
        <v>0</v>
      </c>
      <c r="N198" s="1101">
        <f>IF($BF198=0,0,IF(SUM($M198:M198)&lt;($J198-12),12,$J198-SUM($M198:M198)))</f>
        <v>0</v>
      </c>
      <c r="O198" s="1101">
        <f>IF($BF198=0,0,IF(SUM($M198:N198)&lt;($J198-12),12,$J198-SUM($M198:N198)))</f>
        <v>0</v>
      </c>
      <c r="P198" s="1101">
        <f>IF($BF198=0,0,IF(SUM($M198:O198)&lt;($J198-12),12,$J198-SUM($M198:O198)))</f>
        <v>0</v>
      </c>
      <c r="Q198" s="1101">
        <f>IF($BF198=0,0,IF(SUM($M198:P198)&lt;($J198-12),12,$J198-SUM($M198:P198)))</f>
        <v>0</v>
      </c>
      <c r="S198" s="1100"/>
      <c r="T198" s="1100">
        <v>0</v>
      </c>
      <c r="U198" s="1101">
        <f>IF($BG198=0,0,IF(SUM($S198:T198)&lt;($J198-12),12,$J198-SUM($S198:T198)))</f>
        <v>0</v>
      </c>
      <c r="V198" s="1101">
        <f>IF($BG198=0,0,IF(SUM($S198:U198)&lt;($J198-12),12,$J198-SUM($S198:U198)))</f>
        <v>0</v>
      </c>
      <c r="W198" s="1101">
        <f>IF($BG198=0,0,IF(SUM($S198:V198)&lt;($J198-12),12,$J198-SUM($S198:V198)))</f>
        <v>0</v>
      </c>
      <c r="Y198" s="1100"/>
      <c r="Z198" s="1100"/>
      <c r="AA198" s="1100">
        <v>9</v>
      </c>
      <c r="AB198" s="1101">
        <f>IF($BH198=0,0,IF(SUM($Y198:AA198)&lt;($J198-12),12,$J198-SUM($Y198:AA198)))</f>
        <v>12</v>
      </c>
      <c r="AC198" s="1101">
        <f>IF($BH198=0,0,IF(SUM($Y198:AB198)&lt;($J198-12),12,$J198-SUM($Y198:AB198)))</f>
        <v>12</v>
      </c>
      <c r="AE198" s="1100"/>
      <c r="AF198" s="1100"/>
      <c r="AG198" s="1100"/>
      <c r="AH198" s="1100">
        <v>0</v>
      </c>
      <c r="AI198" s="1101">
        <f>IF($BI198=0,0,IF(SUM($AE198:AH198)&lt;($J198-12),12,$J198-SUM($AE198:AH198)))</f>
        <v>0</v>
      </c>
      <c r="AK198" s="1100"/>
      <c r="AL198" s="1100"/>
      <c r="AM198" s="1100"/>
      <c r="AN198" s="1100"/>
      <c r="AO198" s="1100">
        <v>0</v>
      </c>
      <c r="AQ198" s="153">
        <f t="shared" si="24"/>
        <v>0</v>
      </c>
      <c r="AR198" s="153">
        <f t="shared" si="25"/>
        <v>0</v>
      </c>
      <c r="AS198" s="153">
        <f t="shared" si="26"/>
        <v>0.75</v>
      </c>
      <c r="AT198" s="153">
        <f t="shared" si="27"/>
        <v>0</v>
      </c>
      <c r="AU198" s="153">
        <f t="shared" si="28"/>
        <v>0</v>
      </c>
      <c r="AW198" s="1543">
        <v>0.75</v>
      </c>
      <c r="AX198" s="1102"/>
      <c r="AY198" s="1544">
        <v>0.25</v>
      </c>
      <c r="BA198" s="1103">
        <v>0</v>
      </c>
      <c r="BB198" s="1103">
        <v>0</v>
      </c>
      <c r="BC198" s="1103">
        <v>0</v>
      </c>
      <c r="BD198" s="1103">
        <v>0</v>
      </c>
      <c r="BE198" s="1103">
        <v>0</v>
      </c>
      <c r="BF198" s="1103">
        <v>0</v>
      </c>
      <c r="BG198" s="1103">
        <v>0</v>
      </c>
      <c r="BH198" s="1103">
        <v>3480</v>
      </c>
      <c r="BI198" s="1103">
        <v>0</v>
      </c>
      <c r="BJ198" s="1103">
        <v>0</v>
      </c>
    </row>
    <row r="199" spans="2:62" hidden="1" outlineLevel="1">
      <c r="B199" s="1094"/>
      <c r="C199" s="1083" t="s">
        <v>484</v>
      </c>
      <c r="D199" s="1062" t="s">
        <v>85</v>
      </c>
      <c r="E199" s="1083" t="s">
        <v>485</v>
      </c>
      <c r="F199" s="1095" t="s">
        <v>414</v>
      </c>
      <c r="G199" s="1096">
        <f t="shared" si="21"/>
        <v>1937.5</v>
      </c>
      <c r="H199" s="1083" t="s">
        <v>29</v>
      </c>
      <c r="I199" s="1097">
        <v>20</v>
      </c>
      <c r="J199" s="1098">
        <f t="shared" si="22"/>
        <v>240</v>
      </c>
      <c r="K199" s="153">
        <f t="shared" si="23"/>
        <v>0.05</v>
      </c>
      <c r="L199" s="1099"/>
      <c r="M199" s="1100">
        <v>0</v>
      </c>
      <c r="N199" s="1101">
        <f>IF($BF199=0,0,IF(SUM($M199:M199)&lt;($J199-12),12,$J199-SUM($M199:M199)))</f>
        <v>0</v>
      </c>
      <c r="O199" s="1101">
        <f>IF($BF199=0,0,IF(SUM($M199:N199)&lt;($J199-12),12,$J199-SUM($M199:N199)))</f>
        <v>0</v>
      </c>
      <c r="P199" s="1101">
        <f>IF($BF199=0,0,IF(SUM($M199:O199)&lt;($J199-12),12,$J199-SUM($M199:O199)))</f>
        <v>0</v>
      </c>
      <c r="Q199" s="1101">
        <f>IF($BF199=0,0,IF(SUM($M199:P199)&lt;($J199-12),12,$J199-SUM($M199:P199)))</f>
        <v>0</v>
      </c>
      <c r="S199" s="1100"/>
      <c r="T199" s="1100">
        <v>0</v>
      </c>
      <c r="U199" s="1101">
        <f>IF($BG199=0,0,IF(SUM($S199:T199)&lt;($J199-12),12,$J199-SUM($S199:T199)))</f>
        <v>0</v>
      </c>
      <c r="V199" s="1101">
        <f>IF($BG199=0,0,IF(SUM($S199:U199)&lt;($J199-12),12,$J199-SUM($S199:U199)))</f>
        <v>0</v>
      </c>
      <c r="W199" s="1101">
        <f>IF($BG199=0,0,IF(SUM($S199:V199)&lt;($J199-12),12,$J199-SUM($S199:V199)))</f>
        <v>0</v>
      </c>
      <c r="Y199" s="1100"/>
      <c r="Z199" s="1100"/>
      <c r="AA199" s="1100">
        <v>0</v>
      </c>
      <c r="AB199" s="1101">
        <f>IF($BH199=0,0,IF(SUM($Y199:AA199)&lt;($J199-12),12,$J199-SUM($Y199:AA199)))</f>
        <v>0</v>
      </c>
      <c r="AC199" s="1101">
        <f>IF($BH199=0,0,IF(SUM($Y199:AB199)&lt;($J199-12),12,$J199-SUM($Y199:AB199)))</f>
        <v>0</v>
      </c>
      <c r="AE199" s="1100"/>
      <c r="AF199" s="1100"/>
      <c r="AG199" s="1100"/>
      <c r="AH199" s="1100">
        <v>0</v>
      </c>
      <c r="AI199" s="1101">
        <f>IF($BI199=0,0,IF(SUM($AE199:AH199)&lt;($J199-12),12,$J199-SUM($AE199:AH199)))</f>
        <v>0</v>
      </c>
      <c r="AK199" s="1100"/>
      <c r="AL199" s="1100"/>
      <c r="AM199" s="1100"/>
      <c r="AN199" s="1100"/>
      <c r="AO199" s="1100">
        <v>12</v>
      </c>
      <c r="AQ199" s="153">
        <f t="shared" si="24"/>
        <v>0</v>
      </c>
      <c r="AR199" s="153">
        <f t="shared" si="25"/>
        <v>0</v>
      </c>
      <c r="AS199" s="153">
        <f t="shared" si="26"/>
        <v>0</v>
      </c>
      <c r="AT199" s="153">
        <f t="shared" si="27"/>
        <v>0</v>
      </c>
      <c r="AU199" s="153">
        <f t="shared" si="28"/>
        <v>1</v>
      </c>
      <c r="AW199" s="1543">
        <v>0.75</v>
      </c>
      <c r="AX199" s="1102"/>
      <c r="AY199" s="1544">
        <v>0.25</v>
      </c>
      <c r="BA199" s="1103">
        <v>0</v>
      </c>
      <c r="BB199" s="1103">
        <v>0</v>
      </c>
      <c r="BC199" s="1103">
        <v>0</v>
      </c>
      <c r="BD199" s="1103">
        <v>0</v>
      </c>
      <c r="BE199" s="1103">
        <v>0</v>
      </c>
      <c r="BF199" s="1103">
        <v>0</v>
      </c>
      <c r="BG199" s="1103">
        <v>0</v>
      </c>
      <c r="BH199" s="1103">
        <v>0</v>
      </c>
      <c r="BI199" s="1103">
        <v>0</v>
      </c>
      <c r="BJ199" s="1103">
        <v>1937.5</v>
      </c>
    </row>
    <row r="200" spans="2:62" hidden="1" outlineLevel="1">
      <c r="B200" s="1094"/>
      <c r="C200" s="1083" t="s">
        <v>486</v>
      </c>
      <c r="D200" s="1062" t="s">
        <v>85</v>
      </c>
      <c r="E200" s="1083" t="s">
        <v>485</v>
      </c>
      <c r="F200" s="1095" t="s">
        <v>414</v>
      </c>
      <c r="G200" s="1096">
        <f t="shared" si="21"/>
        <v>930</v>
      </c>
      <c r="H200" s="1083" t="s">
        <v>29</v>
      </c>
      <c r="I200" s="1097">
        <v>20</v>
      </c>
      <c r="J200" s="1098">
        <f t="shared" si="22"/>
        <v>240</v>
      </c>
      <c r="K200" s="153">
        <f t="shared" si="23"/>
        <v>0.05</v>
      </c>
      <c r="L200" s="1099"/>
      <c r="M200" s="1100">
        <v>0</v>
      </c>
      <c r="N200" s="1101">
        <f>IF($BF200=0,0,IF(SUM($M200:M200)&lt;($J200-12),12,$J200-SUM($M200:M200)))</f>
        <v>0</v>
      </c>
      <c r="O200" s="1101">
        <f>IF($BF200=0,0,IF(SUM($M200:N200)&lt;($J200-12),12,$J200-SUM($M200:N200)))</f>
        <v>0</v>
      </c>
      <c r="P200" s="1101">
        <f>IF($BF200=0,0,IF(SUM($M200:O200)&lt;($J200-12),12,$J200-SUM($M200:O200)))</f>
        <v>0</v>
      </c>
      <c r="Q200" s="1101">
        <f>IF($BF200=0,0,IF(SUM($M200:P200)&lt;($J200-12),12,$J200-SUM($M200:P200)))</f>
        <v>0</v>
      </c>
      <c r="S200" s="1100"/>
      <c r="T200" s="1100">
        <v>0</v>
      </c>
      <c r="U200" s="1101">
        <f>IF($BG200=0,0,IF(SUM($S200:T200)&lt;($J200-12),12,$J200-SUM($S200:T200)))</f>
        <v>0</v>
      </c>
      <c r="V200" s="1101">
        <f>IF($BG200=0,0,IF(SUM($S200:U200)&lt;($J200-12),12,$J200-SUM($S200:U200)))</f>
        <v>0</v>
      </c>
      <c r="W200" s="1101">
        <f>IF($BG200=0,0,IF(SUM($S200:V200)&lt;($J200-12),12,$J200-SUM($S200:V200)))</f>
        <v>0</v>
      </c>
      <c r="Y200" s="1100"/>
      <c r="Z200" s="1100"/>
      <c r="AA200" s="1100">
        <v>3</v>
      </c>
      <c r="AB200" s="1101">
        <f>IF($BH200=0,0,IF(SUM($Y200:AA200)&lt;($J200-12),12,$J200-SUM($Y200:AA200)))</f>
        <v>12</v>
      </c>
      <c r="AC200" s="1101">
        <f>IF($BH200=0,0,IF(SUM($Y200:AB200)&lt;($J200-12),12,$J200-SUM($Y200:AB200)))</f>
        <v>12</v>
      </c>
      <c r="AE200" s="1100"/>
      <c r="AF200" s="1100"/>
      <c r="AG200" s="1100"/>
      <c r="AH200" s="1100">
        <v>0</v>
      </c>
      <c r="AI200" s="1101">
        <f>IF($BI200=0,0,IF(SUM($AE200:AH200)&lt;($J200-12),12,$J200-SUM($AE200:AH200)))</f>
        <v>0</v>
      </c>
      <c r="AK200" s="1100"/>
      <c r="AL200" s="1100"/>
      <c r="AM200" s="1100"/>
      <c r="AN200" s="1100"/>
      <c r="AO200" s="1100">
        <v>0</v>
      </c>
      <c r="AQ200" s="153">
        <f t="shared" si="24"/>
        <v>0</v>
      </c>
      <c r="AR200" s="153">
        <f t="shared" si="25"/>
        <v>0</v>
      </c>
      <c r="AS200" s="153">
        <f t="shared" si="26"/>
        <v>0.25</v>
      </c>
      <c r="AT200" s="153">
        <f t="shared" si="27"/>
        <v>0</v>
      </c>
      <c r="AU200" s="153">
        <f t="shared" si="28"/>
        <v>0</v>
      </c>
      <c r="AW200" s="1543">
        <v>1</v>
      </c>
      <c r="AX200" s="1102"/>
      <c r="AY200" s="1544">
        <v>0</v>
      </c>
      <c r="BA200" s="1103">
        <v>0</v>
      </c>
      <c r="BB200" s="1103">
        <v>0</v>
      </c>
      <c r="BC200" s="1103">
        <v>0</v>
      </c>
      <c r="BD200" s="1103">
        <v>0</v>
      </c>
      <c r="BE200" s="1103">
        <v>0</v>
      </c>
      <c r="BF200" s="1103">
        <v>0</v>
      </c>
      <c r="BG200" s="1103">
        <v>0</v>
      </c>
      <c r="BH200" s="1103">
        <v>930</v>
      </c>
      <c r="BI200" s="1103">
        <v>0</v>
      </c>
      <c r="BJ200" s="1103">
        <v>0</v>
      </c>
    </row>
    <row r="201" spans="2:62" hidden="1" outlineLevel="1">
      <c r="B201" s="1094"/>
      <c r="C201" s="1083" t="s">
        <v>487</v>
      </c>
      <c r="D201" s="1062" t="s">
        <v>85</v>
      </c>
      <c r="E201" s="1083" t="s">
        <v>485</v>
      </c>
      <c r="F201" s="1095" t="s">
        <v>414</v>
      </c>
      <c r="G201" s="1096">
        <f t="shared" si="21"/>
        <v>387.5</v>
      </c>
      <c r="H201" s="1083" t="s">
        <v>29</v>
      </c>
      <c r="I201" s="1097">
        <v>5</v>
      </c>
      <c r="J201" s="1098">
        <f t="shared" si="22"/>
        <v>60</v>
      </c>
      <c r="K201" s="153">
        <f t="shared" si="23"/>
        <v>0.2</v>
      </c>
      <c r="L201" s="1099"/>
      <c r="M201" s="1100">
        <v>0</v>
      </c>
      <c r="N201" s="1101">
        <f>IF($BF201=0,0,IF(SUM($M201:M201)&lt;($J201-12),12,$J201-SUM($M201:M201)))</f>
        <v>0</v>
      </c>
      <c r="O201" s="1101">
        <f>IF($BF201=0,0,IF(SUM($M201:N201)&lt;($J201-12),12,$J201-SUM($M201:N201)))</f>
        <v>0</v>
      </c>
      <c r="P201" s="1101">
        <f>IF($BF201=0,0,IF(SUM($M201:O201)&lt;($J201-12),12,$J201-SUM($M201:O201)))</f>
        <v>0</v>
      </c>
      <c r="Q201" s="1101">
        <f>IF($BF201=0,0,IF(SUM($M201:P201)&lt;($J201-12),12,$J201-SUM($M201:P201)))</f>
        <v>0</v>
      </c>
      <c r="S201" s="1100"/>
      <c r="T201" s="1100">
        <v>0</v>
      </c>
      <c r="U201" s="1101">
        <f>IF($BG201=0,0,IF(SUM($S201:T201)&lt;($J201-12),12,$J201-SUM($S201:T201)))</f>
        <v>0</v>
      </c>
      <c r="V201" s="1101">
        <f>IF($BG201=0,0,IF(SUM($S201:U201)&lt;($J201-12),12,$J201-SUM($S201:U201)))</f>
        <v>0</v>
      </c>
      <c r="W201" s="1101">
        <f>IF($BG201=0,0,IF(SUM($S201:V201)&lt;($J201-12),12,$J201-SUM($S201:V201)))</f>
        <v>0</v>
      </c>
      <c r="Y201" s="1100"/>
      <c r="Z201" s="1100"/>
      <c r="AA201" s="1100">
        <v>0</v>
      </c>
      <c r="AB201" s="1101">
        <f>IF($BH201=0,0,IF(SUM($Y201:AA201)&lt;($J201-12),12,$J201-SUM($Y201:AA201)))</f>
        <v>0</v>
      </c>
      <c r="AC201" s="1101">
        <f>IF($BH201=0,0,IF(SUM($Y201:AB201)&lt;($J201-12),12,$J201-SUM($Y201:AB201)))</f>
        <v>0</v>
      </c>
      <c r="AE201" s="1100"/>
      <c r="AF201" s="1100"/>
      <c r="AG201" s="1100"/>
      <c r="AH201" s="1100">
        <v>12</v>
      </c>
      <c r="AI201" s="1101">
        <f>IF($BI201=0,0,IF(SUM($AE201:AH201)&lt;($J201-12),12,$J201-SUM($AE201:AH201)))</f>
        <v>12</v>
      </c>
      <c r="AK201" s="1100"/>
      <c r="AL201" s="1100"/>
      <c r="AM201" s="1100"/>
      <c r="AN201" s="1100"/>
      <c r="AO201" s="1100">
        <v>0</v>
      </c>
      <c r="AQ201" s="153">
        <f t="shared" si="24"/>
        <v>0</v>
      </c>
      <c r="AR201" s="153">
        <f t="shared" si="25"/>
        <v>0</v>
      </c>
      <c r="AS201" s="153">
        <f t="shared" si="26"/>
        <v>0</v>
      </c>
      <c r="AT201" s="153">
        <f t="shared" si="27"/>
        <v>1</v>
      </c>
      <c r="AU201" s="153">
        <f t="shared" si="28"/>
        <v>0</v>
      </c>
      <c r="AW201" s="1543">
        <v>0</v>
      </c>
      <c r="AX201" s="1102"/>
      <c r="AY201" s="1544">
        <v>1</v>
      </c>
      <c r="BA201" s="1103">
        <v>0</v>
      </c>
      <c r="BB201" s="1103">
        <v>0</v>
      </c>
      <c r="BC201" s="1103">
        <v>0</v>
      </c>
      <c r="BD201" s="1103">
        <v>0</v>
      </c>
      <c r="BE201" s="1103">
        <v>0</v>
      </c>
      <c r="BF201" s="1103">
        <v>0</v>
      </c>
      <c r="BG201" s="1103">
        <v>0</v>
      </c>
      <c r="BH201" s="1103">
        <v>0</v>
      </c>
      <c r="BI201" s="1103">
        <v>387.5</v>
      </c>
      <c r="BJ201" s="1103">
        <v>0</v>
      </c>
    </row>
    <row r="202" spans="2:62" hidden="1" outlineLevel="1">
      <c r="B202" s="1094"/>
      <c r="C202" s="1083" t="s">
        <v>488</v>
      </c>
      <c r="D202" s="1062" t="s">
        <v>488</v>
      </c>
      <c r="E202" s="1083" t="s">
        <v>489</v>
      </c>
      <c r="F202" s="1095" t="s">
        <v>414</v>
      </c>
      <c r="G202" s="1096">
        <f t="shared" si="21"/>
        <v>3080</v>
      </c>
      <c r="H202" s="1083" t="s">
        <v>29</v>
      </c>
      <c r="I202" s="1097">
        <v>5</v>
      </c>
      <c r="J202" s="1098">
        <f t="shared" si="22"/>
        <v>60</v>
      </c>
      <c r="K202" s="153">
        <f t="shared" si="23"/>
        <v>0.2</v>
      </c>
      <c r="L202" s="1099"/>
      <c r="M202" s="1100">
        <v>0</v>
      </c>
      <c r="N202" s="1101">
        <f>IF($BF202=0,0,IF(SUM($M202:M202)&lt;($J202-12),12,$J202-SUM($M202:M202)))</f>
        <v>0</v>
      </c>
      <c r="O202" s="1101">
        <f>IF($BF202=0,0,IF(SUM($M202:N202)&lt;($J202-12),12,$J202-SUM($M202:N202)))</f>
        <v>0</v>
      </c>
      <c r="P202" s="1101">
        <f>IF($BF202=0,0,IF(SUM($M202:O202)&lt;($J202-12),12,$J202-SUM($M202:O202)))</f>
        <v>0</v>
      </c>
      <c r="Q202" s="1101">
        <f>IF($BF202=0,0,IF(SUM($M202:P202)&lt;($J202-12),12,$J202-SUM($M202:P202)))</f>
        <v>0</v>
      </c>
      <c r="S202" s="1100"/>
      <c r="T202" s="1100">
        <v>0</v>
      </c>
      <c r="U202" s="1101">
        <f>IF($BG202=0,0,IF(SUM($S202:T202)&lt;($J202-12),12,$J202-SUM($S202:T202)))</f>
        <v>0</v>
      </c>
      <c r="V202" s="1101">
        <f>IF($BG202=0,0,IF(SUM($S202:U202)&lt;($J202-12),12,$J202-SUM($S202:U202)))</f>
        <v>0</v>
      </c>
      <c r="W202" s="1101">
        <f>IF($BG202=0,0,IF(SUM($S202:V202)&lt;($J202-12),12,$J202-SUM($S202:V202)))</f>
        <v>0</v>
      </c>
      <c r="Y202" s="1100"/>
      <c r="Z202" s="1100"/>
      <c r="AA202" s="1100">
        <v>12</v>
      </c>
      <c r="AB202" s="1101">
        <f>IF($BH202=0,0,IF(SUM($Y202:AA202)&lt;($J202-12),12,$J202-SUM($Y202:AA202)))</f>
        <v>12</v>
      </c>
      <c r="AC202" s="1101">
        <f>IF($BH202=0,0,IF(SUM($Y202:AB202)&lt;($J202-12),12,$J202-SUM($Y202:AB202)))</f>
        <v>12</v>
      </c>
      <c r="AE202" s="1100"/>
      <c r="AF202" s="1100"/>
      <c r="AG202" s="1100"/>
      <c r="AH202" s="1100">
        <v>0</v>
      </c>
      <c r="AI202" s="1101">
        <f>IF($BI202=0,0,IF(SUM($AE202:AH202)&lt;($J202-12),12,$J202-SUM($AE202:AH202)))</f>
        <v>0</v>
      </c>
      <c r="AK202" s="1100"/>
      <c r="AL202" s="1100"/>
      <c r="AM202" s="1100"/>
      <c r="AN202" s="1100"/>
      <c r="AO202" s="1100">
        <v>0</v>
      </c>
      <c r="AQ202" s="153">
        <f t="shared" si="24"/>
        <v>0</v>
      </c>
      <c r="AR202" s="153">
        <f t="shared" si="25"/>
        <v>0</v>
      </c>
      <c r="AS202" s="153">
        <f t="shared" si="26"/>
        <v>1</v>
      </c>
      <c r="AT202" s="153">
        <f t="shared" si="27"/>
        <v>0</v>
      </c>
      <c r="AU202" s="153">
        <f t="shared" si="28"/>
        <v>0</v>
      </c>
      <c r="AW202" s="1543">
        <v>0.73</v>
      </c>
      <c r="AX202" s="1102"/>
      <c r="AY202" s="1544">
        <v>0.15</v>
      </c>
      <c r="BA202" s="1103">
        <v>0</v>
      </c>
      <c r="BB202" s="1103">
        <v>0</v>
      </c>
      <c r="BC202" s="1103">
        <v>0</v>
      </c>
      <c r="BD202" s="1103">
        <v>0</v>
      </c>
      <c r="BE202" s="1103">
        <v>0</v>
      </c>
      <c r="BF202" s="1103">
        <v>0</v>
      </c>
      <c r="BG202" s="1103">
        <v>0</v>
      </c>
      <c r="BH202" s="1103">
        <v>3080</v>
      </c>
      <c r="BI202" s="1103">
        <v>0</v>
      </c>
      <c r="BJ202" s="1103">
        <v>0</v>
      </c>
    </row>
    <row r="203" spans="2:62" hidden="1" outlineLevel="1">
      <c r="B203" s="1094"/>
      <c r="C203" s="1083" t="s">
        <v>490</v>
      </c>
      <c r="D203" s="1062" t="s">
        <v>490</v>
      </c>
      <c r="E203" s="1083" t="s">
        <v>491</v>
      </c>
      <c r="F203" s="1095" t="s">
        <v>414</v>
      </c>
      <c r="G203" s="1096">
        <f t="shared" si="21"/>
        <v>0</v>
      </c>
      <c r="H203" s="1083" t="s">
        <v>29</v>
      </c>
      <c r="I203" s="1097">
        <v>0</v>
      </c>
      <c r="J203" s="1098">
        <f t="shared" si="22"/>
        <v>0</v>
      </c>
      <c r="K203" s="153">
        <f t="shared" si="23"/>
        <v>0</v>
      </c>
      <c r="L203" s="1099"/>
      <c r="M203" s="1100">
        <v>0</v>
      </c>
      <c r="N203" s="1101">
        <f>IF($BF203=0,0,IF(SUM($M203:M203)&lt;($J203-12),12,$J203-SUM($M203:M203)))</f>
        <v>0</v>
      </c>
      <c r="O203" s="1101">
        <f>IF($BF203=0,0,IF(SUM($M203:N203)&lt;($J203-12),12,$J203-SUM($M203:N203)))</f>
        <v>0</v>
      </c>
      <c r="P203" s="1101">
        <f>IF($BF203=0,0,IF(SUM($M203:O203)&lt;($J203-12),12,$J203-SUM($M203:O203)))</f>
        <v>0</v>
      </c>
      <c r="Q203" s="1101">
        <f>IF($BF203=0,0,IF(SUM($M203:P203)&lt;($J203-12),12,$J203-SUM($M203:P203)))</f>
        <v>0</v>
      </c>
      <c r="S203" s="1100"/>
      <c r="T203" s="1100">
        <v>0</v>
      </c>
      <c r="U203" s="1101">
        <f>IF($BG203=0,0,IF(SUM($S203:T203)&lt;($J203-12),12,$J203-SUM($S203:T203)))</f>
        <v>0</v>
      </c>
      <c r="V203" s="1101">
        <f>IF($BG203=0,0,IF(SUM($S203:U203)&lt;($J203-12),12,$J203-SUM($S203:U203)))</f>
        <v>0</v>
      </c>
      <c r="W203" s="1101">
        <f>IF($BG203=0,0,IF(SUM($S203:V203)&lt;($J203-12),12,$J203-SUM($S203:V203)))</f>
        <v>0</v>
      </c>
      <c r="Y203" s="1100"/>
      <c r="Z203" s="1100"/>
      <c r="AA203" s="1100">
        <v>0</v>
      </c>
      <c r="AB203" s="1101">
        <f>IF($BH203=0,0,IF(SUM($Y203:AA203)&lt;($J203-12),12,$J203-SUM($Y203:AA203)))</f>
        <v>0</v>
      </c>
      <c r="AC203" s="1101">
        <f>IF($BH203=0,0,IF(SUM($Y203:AB203)&lt;($J203-12),12,$J203-SUM($Y203:AB203)))</f>
        <v>0</v>
      </c>
      <c r="AE203" s="1100"/>
      <c r="AF203" s="1100"/>
      <c r="AG203" s="1100"/>
      <c r="AH203" s="1100">
        <v>0</v>
      </c>
      <c r="AI203" s="1101">
        <f>IF($BI203=0,0,IF(SUM($AE203:AH203)&lt;($J203-12),12,$J203-SUM($AE203:AH203)))</f>
        <v>0</v>
      </c>
      <c r="AK203" s="1100"/>
      <c r="AL203" s="1100"/>
      <c r="AM203" s="1100"/>
      <c r="AN203" s="1100"/>
      <c r="AO203" s="1100">
        <v>0</v>
      </c>
      <c r="AQ203" s="153">
        <f t="shared" si="24"/>
        <v>0</v>
      </c>
      <c r="AR203" s="153">
        <f t="shared" si="25"/>
        <v>0</v>
      </c>
      <c r="AS203" s="153">
        <f t="shared" si="26"/>
        <v>0</v>
      </c>
      <c r="AT203" s="153">
        <f t="shared" si="27"/>
        <v>0</v>
      </c>
      <c r="AU203" s="153">
        <f t="shared" si="28"/>
        <v>0</v>
      </c>
      <c r="AW203" s="1543">
        <v>0</v>
      </c>
      <c r="AX203" s="1102"/>
      <c r="AY203" s="1544">
        <v>0</v>
      </c>
      <c r="BA203" s="1103">
        <v>0</v>
      </c>
      <c r="BB203" s="1103">
        <v>0</v>
      </c>
      <c r="BC203" s="1103">
        <v>0</v>
      </c>
      <c r="BD203" s="1103">
        <v>0</v>
      </c>
      <c r="BE203" s="1103">
        <v>0</v>
      </c>
      <c r="BF203" s="1103">
        <v>0</v>
      </c>
      <c r="BG203" s="1103">
        <v>0</v>
      </c>
      <c r="BH203" s="1103">
        <v>0</v>
      </c>
      <c r="BI203" s="1103">
        <v>0</v>
      </c>
      <c r="BJ203" s="1103">
        <v>0</v>
      </c>
    </row>
    <row r="204" spans="2:62" hidden="1" outlineLevel="1">
      <c r="B204" s="1094"/>
      <c r="C204" s="1083" t="s">
        <v>492</v>
      </c>
      <c r="D204" s="1062" t="s">
        <v>490</v>
      </c>
      <c r="E204" s="1083" t="s">
        <v>491</v>
      </c>
      <c r="F204" s="1095" t="s">
        <v>414</v>
      </c>
      <c r="G204" s="1096">
        <f t="shared" si="21"/>
        <v>1615.65</v>
      </c>
      <c r="H204" s="1083" t="s">
        <v>29</v>
      </c>
      <c r="I204" s="1097">
        <v>8</v>
      </c>
      <c r="J204" s="1098">
        <f t="shared" si="22"/>
        <v>96</v>
      </c>
      <c r="K204" s="153">
        <f t="shared" si="23"/>
        <v>0.125</v>
      </c>
      <c r="L204" s="1099"/>
      <c r="M204" s="1100">
        <v>0</v>
      </c>
      <c r="N204" s="1101">
        <f>IF($BF204=0,0,IF(SUM($M204:M204)&lt;($J204-12),12,$J204-SUM($M204:M204)))</f>
        <v>0</v>
      </c>
      <c r="O204" s="1101">
        <f>IF($BF204=0,0,IF(SUM($M204:N204)&lt;($J204-12),12,$J204-SUM($M204:N204)))</f>
        <v>0</v>
      </c>
      <c r="P204" s="1101">
        <f>IF($BF204=0,0,IF(SUM($M204:O204)&lt;($J204-12),12,$J204-SUM($M204:O204)))</f>
        <v>0</v>
      </c>
      <c r="Q204" s="1101">
        <f>IF($BF204=0,0,IF(SUM($M204:P204)&lt;($J204-12),12,$J204-SUM($M204:P204)))</f>
        <v>0</v>
      </c>
      <c r="S204" s="1100"/>
      <c r="T204" s="1100">
        <v>4.2007436864122303</v>
      </c>
      <c r="U204" s="1101">
        <f>IF($BG204=0,0,IF(SUM($S204:T204)&lt;($J204-12),12,$J204-SUM($S204:T204)))</f>
        <v>12</v>
      </c>
      <c r="V204" s="1101">
        <f>IF($BG204=0,0,IF(SUM($S204:U204)&lt;($J204-12),12,$J204-SUM($S204:U204)))</f>
        <v>12</v>
      </c>
      <c r="W204" s="1101">
        <f>IF($BG204=0,0,IF(SUM($S204:V204)&lt;($J204-12),12,$J204-SUM($S204:V204)))</f>
        <v>12</v>
      </c>
      <c r="Y204" s="1100"/>
      <c r="Z204" s="1100"/>
      <c r="AA204" s="1100">
        <v>6.2271137915659542</v>
      </c>
      <c r="AB204" s="1101">
        <f>IF($BH204=0,0,IF(SUM($Y204:AA204)&lt;($J204-12),12,$J204-SUM($Y204:AA204)))</f>
        <v>12</v>
      </c>
      <c r="AC204" s="1101">
        <f>IF($BH204=0,0,IF(SUM($Y204:AB204)&lt;($J204-12),12,$J204-SUM($Y204:AB204)))</f>
        <v>12</v>
      </c>
      <c r="AE204" s="1100"/>
      <c r="AF204" s="1100"/>
      <c r="AG204" s="1100"/>
      <c r="AH204" s="1100">
        <v>0</v>
      </c>
      <c r="AI204" s="1101">
        <f>IF($BI204=0,0,IF(SUM($AE204:AH204)&lt;($J204-12),12,$J204-SUM($AE204:AH204)))</f>
        <v>0</v>
      </c>
      <c r="AK204" s="1100"/>
      <c r="AL204" s="1100"/>
      <c r="AM204" s="1100"/>
      <c r="AN204" s="1100"/>
      <c r="AO204" s="1100">
        <v>3</v>
      </c>
      <c r="AQ204" s="153">
        <f t="shared" si="24"/>
        <v>0</v>
      </c>
      <c r="AR204" s="153">
        <f t="shared" si="25"/>
        <v>0.35006197386768584</v>
      </c>
      <c r="AS204" s="153">
        <f t="shared" si="26"/>
        <v>0.51892614929716285</v>
      </c>
      <c r="AT204" s="153">
        <f t="shared" si="27"/>
        <v>0</v>
      </c>
      <c r="AU204" s="153">
        <f t="shared" si="28"/>
        <v>0.25</v>
      </c>
      <c r="AW204" s="1543">
        <v>1</v>
      </c>
      <c r="AX204" s="1102"/>
      <c r="AY204" s="1544">
        <v>0</v>
      </c>
      <c r="BA204" s="1103">
        <v>0</v>
      </c>
      <c r="BB204" s="1103">
        <v>0</v>
      </c>
      <c r="BC204" s="1103">
        <v>0</v>
      </c>
      <c r="BD204" s="1103">
        <v>0</v>
      </c>
      <c r="BE204" s="1103">
        <v>0</v>
      </c>
      <c r="BF204" s="1103">
        <v>0</v>
      </c>
      <c r="BG204" s="1103">
        <v>484.07499999999999</v>
      </c>
      <c r="BH204" s="1103">
        <v>1065.325</v>
      </c>
      <c r="BI204" s="1103">
        <v>0</v>
      </c>
      <c r="BJ204" s="1103">
        <v>66.25</v>
      </c>
    </row>
    <row r="205" spans="2:62" hidden="1" outlineLevel="1">
      <c r="B205" s="1094"/>
      <c r="C205" s="1083" t="s">
        <v>493</v>
      </c>
      <c r="D205" s="1062" t="s">
        <v>490</v>
      </c>
      <c r="E205" s="1083" t="s">
        <v>491</v>
      </c>
      <c r="F205" s="1095" t="s">
        <v>414</v>
      </c>
      <c r="G205" s="1096">
        <f t="shared" si="21"/>
        <v>77.5</v>
      </c>
      <c r="H205" s="1083" t="s">
        <v>29</v>
      </c>
      <c r="I205" s="1097">
        <v>8</v>
      </c>
      <c r="J205" s="1098">
        <f t="shared" si="22"/>
        <v>96</v>
      </c>
      <c r="K205" s="153">
        <f t="shared" si="23"/>
        <v>0.125</v>
      </c>
      <c r="L205" s="1099"/>
      <c r="M205" s="1100">
        <v>0</v>
      </c>
      <c r="N205" s="1101">
        <f>IF($BF205=0,0,IF(SUM($M205:M205)&lt;($J205-12),12,$J205-SUM($M205:M205)))</f>
        <v>0</v>
      </c>
      <c r="O205" s="1101">
        <f>IF($BF205=0,0,IF(SUM($M205:N205)&lt;($J205-12),12,$J205-SUM($M205:N205)))</f>
        <v>0</v>
      </c>
      <c r="P205" s="1101">
        <f>IF($BF205=0,0,IF(SUM($M205:O205)&lt;($J205-12),12,$J205-SUM($M205:O205)))</f>
        <v>0</v>
      </c>
      <c r="Q205" s="1101">
        <f>IF($BF205=0,0,IF(SUM($M205:P205)&lt;($J205-12),12,$J205-SUM($M205:P205)))</f>
        <v>0</v>
      </c>
      <c r="S205" s="1100"/>
      <c r="T205" s="1100">
        <v>0</v>
      </c>
      <c r="U205" s="1101">
        <f>IF($BG205=0,0,IF(SUM($S205:T205)&lt;($J205-12),12,$J205-SUM($S205:T205)))</f>
        <v>0</v>
      </c>
      <c r="V205" s="1101">
        <f>IF($BG205=0,0,IF(SUM($S205:U205)&lt;($J205-12),12,$J205-SUM($S205:U205)))</f>
        <v>0</v>
      </c>
      <c r="W205" s="1101">
        <f>IF($BG205=0,0,IF(SUM($S205:V205)&lt;($J205-12),12,$J205-SUM($S205:V205)))</f>
        <v>0</v>
      </c>
      <c r="Y205" s="1100"/>
      <c r="Z205" s="1100"/>
      <c r="AA205" s="1100">
        <v>0</v>
      </c>
      <c r="AB205" s="1101">
        <f>IF($BH205=0,0,IF(SUM($Y205:AA205)&lt;($J205-12),12,$J205-SUM($Y205:AA205)))</f>
        <v>0</v>
      </c>
      <c r="AC205" s="1101">
        <f>IF($BH205=0,0,IF(SUM($Y205:AB205)&lt;($J205-12),12,$J205-SUM($Y205:AB205)))</f>
        <v>0</v>
      </c>
      <c r="AE205" s="1100"/>
      <c r="AF205" s="1100"/>
      <c r="AG205" s="1100"/>
      <c r="AH205" s="1100">
        <v>3</v>
      </c>
      <c r="AI205" s="1101">
        <f>IF($BI205=0,0,IF(SUM($AE205:AH205)&lt;($J205-12),12,$J205-SUM($AE205:AH205)))</f>
        <v>12</v>
      </c>
      <c r="AK205" s="1100"/>
      <c r="AL205" s="1100"/>
      <c r="AM205" s="1100"/>
      <c r="AN205" s="1100"/>
      <c r="AO205" s="1100">
        <v>12</v>
      </c>
      <c r="AQ205" s="153">
        <f t="shared" si="24"/>
        <v>0</v>
      </c>
      <c r="AR205" s="153">
        <f t="shared" si="25"/>
        <v>0</v>
      </c>
      <c r="AS205" s="153">
        <f t="shared" si="26"/>
        <v>0</v>
      </c>
      <c r="AT205" s="153">
        <f t="shared" si="27"/>
        <v>0.25</v>
      </c>
      <c r="AU205" s="153">
        <f t="shared" si="28"/>
        <v>1</v>
      </c>
      <c r="AW205" s="1543">
        <v>0.75</v>
      </c>
      <c r="AX205" s="1102"/>
      <c r="AY205" s="1544">
        <v>0.25</v>
      </c>
      <c r="BA205" s="1103">
        <v>0</v>
      </c>
      <c r="BB205" s="1103">
        <v>0</v>
      </c>
      <c r="BC205" s="1103">
        <v>0</v>
      </c>
      <c r="BD205" s="1103">
        <v>0</v>
      </c>
      <c r="BE205" s="1103">
        <v>0</v>
      </c>
      <c r="BF205" s="1103">
        <v>0</v>
      </c>
      <c r="BG205" s="1103">
        <v>0</v>
      </c>
      <c r="BH205" s="1103">
        <v>0</v>
      </c>
      <c r="BI205" s="1103">
        <v>27.5</v>
      </c>
      <c r="BJ205" s="1103">
        <v>50</v>
      </c>
    </row>
    <row r="206" spans="2:62" hidden="1" outlineLevel="1">
      <c r="B206" s="1094"/>
      <c r="C206" s="1083" t="s">
        <v>494</v>
      </c>
      <c r="D206" s="1062" t="s">
        <v>490</v>
      </c>
      <c r="E206" s="1083" t="s">
        <v>491</v>
      </c>
      <c r="F206" s="1095" t="s">
        <v>414</v>
      </c>
      <c r="G206" s="1096">
        <f t="shared" si="21"/>
        <v>734.7</v>
      </c>
      <c r="H206" s="1083" t="s">
        <v>29</v>
      </c>
      <c r="I206" s="1097">
        <v>8</v>
      </c>
      <c r="J206" s="1098">
        <f t="shared" si="22"/>
        <v>96</v>
      </c>
      <c r="K206" s="153">
        <f t="shared" si="23"/>
        <v>0.125</v>
      </c>
      <c r="L206" s="1099"/>
      <c r="M206" s="1100">
        <v>0</v>
      </c>
      <c r="N206" s="1101">
        <f>IF($BF206=0,0,IF(SUM($M206:M206)&lt;($J206-12),12,$J206-SUM($M206:M206)))</f>
        <v>0</v>
      </c>
      <c r="O206" s="1101">
        <f>IF($BF206=0,0,IF(SUM($M206:N206)&lt;($J206-12),12,$J206-SUM($M206:N206)))</f>
        <v>0</v>
      </c>
      <c r="P206" s="1101">
        <f>IF($BF206=0,0,IF(SUM($M206:O206)&lt;($J206-12),12,$J206-SUM($M206:O206)))</f>
        <v>0</v>
      </c>
      <c r="Q206" s="1101">
        <f>IF($BF206=0,0,IF(SUM($M206:P206)&lt;($J206-12),12,$J206-SUM($M206:P206)))</f>
        <v>0</v>
      </c>
      <c r="S206" s="1100"/>
      <c r="T206" s="1100">
        <v>0</v>
      </c>
      <c r="U206" s="1101">
        <f>IF($BG206=0,0,IF(SUM($S206:T206)&lt;($J206-12),12,$J206-SUM($S206:T206)))</f>
        <v>0</v>
      </c>
      <c r="V206" s="1101">
        <f>IF($BG206=0,0,IF(SUM($S206:U206)&lt;($J206-12),12,$J206-SUM($S206:U206)))</f>
        <v>0</v>
      </c>
      <c r="W206" s="1101">
        <f>IF($BG206=0,0,IF(SUM($S206:V206)&lt;($J206-12),12,$J206-SUM($S206:V206)))</f>
        <v>0</v>
      </c>
      <c r="Y206" s="1100"/>
      <c r="Z206" s="1100"/>
      <c r="AA206" s="1100">
        <v>5.056667153497882</v>
      </c>
      <c r="AB206" s="1101">
        <f>IF($BH206=0,0,IF(SUM($Y206:AA206)&lt;($J206-12),12,$J206-SUM($Y206:AA206)))</f>
        <v>12</v>
      </c>
      <c r="AC206" s="1101">
        <f>IF($BH206=0,0,IF(SUM($Y206:AB206)&lt;($J206-12),12,$J206-SUM($Y206:AB206)))</f>
        <v>12</v>
      </c>
      <c r="AE206" s="1100"/>
      <c r="AF206" s="1100"/>
      <c r="AG206" s="1100"/>
      <c r="AH206" s="1100">
        <v>12</v>
      </c>
      <c r="AI206" s="1101">
        <f>IF($BI206=0,0,IF(SUM($AE206:AH206)&lt;($J206-12),12,$J206-SUM($AE206:AH206)))</f>
        <v>12</v>
      </c>
      <c r="AK206" s="1100"/>
      <c r="AL206" s="1100"/>
      <c r="AM206" s="1100"/>
      <c r="AN206" s="1100"/>
      <c r="AO206" s="1100">
        <v>0</v>
      </c>
      <c r="AQ206" s="153">
        <f t="shared" si="24"/>
        <v>0</v>
      </c>
      <c r="AR206" s="153">
        <f t="shared" si="25"/>
        <v>0</v>
      </c>
      <c r="AS206" s="153">
        <f t="shared" si="26"/>
        <v>0.42138892945815681</v>
      </c>
      <c r="AT206" s="153">
        <f t="shared" si="27"/>
        <v>1</v>
      </c>
      <c r="AU206" s="153">
        <f t="shared" si="28"/>
        <v>0</v>
      </c>
      <c r="AW206" s="1543">
        <v>0</v>
      </c>
      <c r="AX206" s="1102"/>
      <c r="AY206" s="1544">
        <v>1</v>
      </c>
      <c r="BA206" s="1103">
        <v>0</v>
      </c>
      <c r="BB206" s="1103">
        <v>0</v>
      </c>
      <c r="BC206" s="1103">
        <v>0</v>
      </c>
      <c r="BD206" s="1103">
        <v>0</v>
      </c>
      <c r="BE206" s="1103">
        <v>0</v>
      </c>
      <c r="BF206" s="1103">
        <v>0</v>
      </c>
      <c r="BG206" s="1103">
        <v>0</v>
      </c>
      <c r="BH206" s="1103">
        <v>684.7</v>
      </c>
      <c r="BI206" s="1103">
        <v>50</v>
      </c>
      <c r="BJ206" s="1103">
        <v>0</v>
      </c>
    </row>
    <row r="207" spans="2:62" hidden="1" outlineLevel="1">
      <c r="B207" s="1094"/>
      <c r="C207" s="1083" t="s">
        <v>495</v>
      </c>
      <c r="D207" s="1062" t="s">
        <v>490</v>
      </c>
      <c r="E207" s="1083" t="s">
        <v>491</v>
      </c>
      <c r="F207" s="1095" t="s">
        <v>414</v>
      </c>
      <c r="G207" s="1096">
        <f t="shared" si="21"/>
        <v>155</v>
      </c>
      <c r="H207" s="1083" t="s">
        <v>29</v>
      </c>
      <c r="I207" s="1097">
        <v>8</v>
      </c>
      <c r="J207" s="1098">
        <f t="shared" si="22"/>
        <v>96</v>
      </c>
      <c r="K207" s="153">
        <f t="shared" si="23"/>
        <v>0.125</v>
      </c>
      <c r="L207" s="1099"/>
      <c r="M207" s="1100">
        <v>0</v>
      </c>
      <c r="N207" s="1101">
        <f>IF($BF207=0,0,IF(SUM($M207:M207)&lt;($J207-12),12,$J207-SUM($M207:M207)))</f>
        <v>0</v>
      </c>
      <c r="O207" s="1101">
        <f>IF($BF207=0,0,IF(SUM($M207:N207)&lt;($J207-12),12,$J207-SUM($M207:N207)))</f>
        <v>0</v>
      </c>
      <c r="P207" s="1101">
        <f>IF($BF207=0,0,IF(SUM($M207:O207)&lt;($J207-12),12,$J207-SUM($M207:O207)))</f>
        <v>0</v>
      </c>
      <c r="Q207" s="1101">
        <f>IF($BF207=0,0,IF(SUM($M207:P207)&lt;($J207-12),12,$J207-SUM($M207:P207)))</f>
        <v>0</v>
      </c>
      <c r="S207" s="1100"/>
      <c r="T207" s="1100">
        <v>0</v>
      </c>
      <c r="U207" s="1101">
        <f>IF($BG207=0,0,IF(SUM($S207:T207)&lt;($J207-12),12,$J207-SUM($S207:T207)))</f>
        <v>0</v>
      </c>
      <c r="V207" s="1101">
        <f>IF($BG207=0,0,IF(SUM($S207:U207)&lt;($J207-12),12,$J207-SUM($S207:U207)))</f>
        <v>0</v>
      </c>
      <c r="W207" s="1101">
        <f>IF($BG207=0,0,IF(SUM($S207:V207)&lt;($J207-12),12,$J207-SUM($S207:V207)))</f>
        <v>0</v>
      </c>
      <c r="Y207" s="1100"/>
      <c r="Z207" s="1100"/>
      <c r="AA207" s="1100">
        <v>6</v>
      </c>
      <c r="AB207" s="1101">
        <f>IF($BH207=0,0,IF(SUM($Y207:AA207)&lt;($J207-12),12,$J207-SUM($Y207:AA207)))</f>
        <v>12</v>
      </c>
      <c r="AC207" s="1101">
        <f>IF($BH207=0,0,IF(SUM($Y207:AB207)&lt;($J207-12),12,$J207-SUM($Y207:AB207)))</f>
        <v>12</v>
      </c>
      <c r="AE207" s="1100"/>
      <c r="AF207" s="1100"/>
      <c r="AG207" s="1100"/>
      <c r="AH207" s="1100">
        <v>0</v>
      </c>
      <c r="AI207" s="1101">
        <f>IF($BI207=0,0,IF(SUM($AE207:AH207)&lt;($J207-12),12,$J207-SUM($AE207:AH207)))</f>
        <v>0</v>
      </c>
      <c r="AK207" s="1100"/>
      <c r="AL207" s="1100"/>
      <c r="AM207" s="1100"/>
      <c r="AN207" s="1100"/>
      <c r="AO207" s="1100">
        <v>4.064516129032258</v>
      </c>
      <c r="AQ207" s="153">
        <f t="shared" si="24"/>
        <v>0</v>
      </c>
      <c r="AR207" s="153">
        <f t="shared" si="25"/>
        <v>0</v>
      </c>
      <c r="AS207" s="153">
        <f t="shared" si="26"/>
        <v>0.5</v>
      </c>
      <c r="AT207" s="153">
        <f t="shared" si="27"/>
        <v>0</v>
      </c>
      <c r="AU207" s="153">
        <f t="shared" si="28"/>
        <v>0.33870967741935482</v>
      </c>
      <c r="AW207" s="1543">
        <v>0.75</v>
      </c>
      <c r="AX207" s="1102"/>
      <c r="AY207" s="1544">
        <v>0.25</v>
      </c>
      <c r="BA207" s="1103">
        <v>0</v>
      </c>
      <c r="BB207" s="1103">
        <v>0</v>
      </c>
      <c r="BC207" s="1103">
        <v>0</v>
      </c>
      <c r="BD207" s="1103">
        <v>0</v>
      </c>
      <c r="BE207" s="1103">
        <v>0</v>
      </c>
      <c r="BF207" s="1103">
        <v>0</v>
      </c>
      <c r="BG207" s="1103">
        <v>0</v>
      </c>
      <c r="BH207" s="1103">
        <v>77.5</v>
      </c>
      <c r="BI207" s="1103">
        <v>0</v>
      </c>
      <c r="BJ207" s="1103">
        <v>77.5</v>
      </c>
    </row>
    <row r="208" spans="2:62" hidden="1" outlineLevel="1">
      <c r="B208" s="1094"/>
      <c r="C208" s="1083" t="s">
        <v>496</v>
      </c>
      <c r="D208" s="1062" t="s">
        <v>490</v>
      </c>
      <c r="E208" s="1083" t="s">
        <v>491</v>
      </c>
      <c r="F208" s="1095" t="s">
        <v>414</v>
      </c>
      <c r="G208" s="1096">
        <f t="shared" si="21"/>
        <v>116.25</v>
      </c>
      <c r="H208" s="1083" t="s">
        <v>29</v>
      </c>
      <c r="I208" s="1097">
        <v>8</v>
      </c>
      <c r="J208" s="1098">
        <f t="shared" si="22"/>
        <v>96</v>
      </c>
      <c r="K208" s="153">
        <f t="shared" si="23"/>
        <v>0.125</v>
      </c>
      <c r="L208" s="1099"/>
      <c r="M208" s="1100">
        <v>0</v>
      </c>
      <c r="N208" s="1101">
        <f>IF($BF208=0,0,IF(SUM($M208:M208)&lt;($J208-12),12,$J208-SUM($M208:M208)))</f>
        <v>0</v>
      </c>
      <c r="O208" s="1101">
        <f>IF($BF208=0,0,IF(SUM($M208:N208)&lt;($J208-12),12,$J208-SUM($M208:N208)))</f>
        <v>0</v>
      </c>
      <c r="P208" s="1101">
        <f>IF($BF208=0,0,IF(SUM($M208:O208)&lt;($J208-12),12,$J208-SUM($M208:O208)))</f>
        <v>0</v>
      </c>
      <c r="Q208" s="1101">
        <f>IF($BF208=0,0,IF(SUM($M208:P208)&lt;($J208-12),12,$J208-SUM($M208:P208)))</f>
        <v>0</v>
      </c>
      <c r="S208" s="1100"/>
      <c r="T208" s="1100">
        <v>0</v>
      </c>
      <c r="U208" s="1101">
        <f>IF($BG208=0,0,IF(SUM($S208:T208)&lt;($J208-12),12,$J208-SUM($S208:T208)))</f>
        <v>0</v>
      </c>
      <c r="V208" s="1101">
        <f>IF($BG208=0,0,IF(SUM($S208:U208)&lt;($J208-12),12,$J208-SUM($S208:U208)))</f>
        <v>0</v>
      </c>
      <c r="W208" s="1101">
        <f>IF($BG208=0,0,IF(SUM($S208:V208)&lt;($J208-12),12,$J208-SUM($S208:V208)))</f>
        <v>0</v>
      </c>
      <c r="Y208" s="1100"/>
      <c r="Z208" s="1100"/>
      <c r="AA208" s="1100">
        <v>0</v>
      </c>
      <c r="AB208" s="1101">
        <f>IF($BH208=0,0,IF(SUM($Y208:AA208)&lt;($J208-12),12,$J208-SUM($Y208:AA208)))</f>
        <v>0</v>
      </c>
      <c r="AC208" s="1101">
        <f>IF($BH208=0,0,IF(SUM($Y208:AB208)&lt;($J208-12),12,$J208-SUM($Y208:AB208)))</f>
        <v>0</v>
      </c>
      <c r="AE208" s="1100"/>
      <c r="AF208" s="1100"/>
      <c r="AG208" s="1100"/>
      <c r="AH208" s="1100">
        <v>4.5</v>
      </c>
      <c r="AI208" s="1101">
        <f>IF($BI208=0,0,IF(SUM($AE208:AH208)&lt;($J208-12),12,$J208-SUM($AE208:AH208)))</f>
        <v>12</v>
      </c>
      <c r="AK208" s="1100"/>
      <c r="AL208" s="1100"/>
      <c r="AM208" s="1100"/>
      <c r="AN208" s="1100"/>
      <c r="AO208" s="1100">
        <v>0</v>
      </c>
      <c r="AQ208" s="153">
        <f t="shared" si="24"/>
        <v>0</v>
      </c>
      <c r="AR208" s="153">
        <f t="shared" si="25"/>
        <v>0</v>
      </c>
      <c r="AS208" s="153">
        <f t="shared" si="26"/>
        <v>0</v>
      </c>
      <c r="AT208" s="153">
        <f t="shared" si="27"/>
        <v>0.375</v>
      </c>
      <c r="AU208" s="153">
        <f t="shared" si="28"/>
        <v>0</v>
      </c>
      <c r="AW208" s="1543">
        <v>0</v>
      </c>
      <c r="AX208" s="1102"/>
      <c r="AY208" s="1544">
        <v>1</v>
      </c>
      <c r="BA208" s="1103">
        <v>0</v>
      </c>
      <c r="BB208" s="1103">
        <v>0</v>
      </c>
      <c r="BC208" s="1103">
        <v>0</v>
      </c>
      <c r="BD208" s="1103">
        <v>0</v>
      </c>
      <c r="BE208" s="1103">
        <v>0</v>
      </c>
      <c r="BF208" s="1103">
        <v>0</v>
      </c>
      <c r="BG208" s="1103">
        <v>0</v>
      </c>
      <c r="BH208" s="1103">
        <v>0</v>
      </c>
      <c r="BI208" s="1103">
        <v>116.25</v>
      </c>
      <c r="BJ208" s="1103">
        <v>0</v>
      </c>
    </row>
    <row r="209" spans="2:62" hidden="1" outlineLevel="1">
      <c r="B209" s="1094"/>
      <c r="C209" s="1083" t="s">
        <v>497</v>
      </c>
      <c r="D209" s="1062" t="s">
        <v>498</v>
      </c>
      <c r="E209" s="1083" t="s">
        <v>499</v>
      </c>
      <c r="F209" s="1095" t="s">
        <v>414</v>
      </c>
      <c r="G209" s="1096">
        <f t="shared" si="21"/>
        <v>0</v>
      </c>
      <c r="H209" s="1083" t="s">
        <v>29</v>
      </c>
      <c r="I209" s="1097">
        <v>8</v>
      </c>
      <c r="J209" s="1098">
        <f t="shared" si="22"/>
        <v>96</v>
      </c>
      <c r="K209" s="153">
        <f t="shared" si="23"/>
        <v>0.125</v>
      </c>
      <c r="L209" s="1099"/>
      <c r="M209" s="1100">
        <v>0</v>
      </c>
      <c r="N209" s="1101">
        <f>IF($BF209=0,0,IF(SUM($M209:M209)&lt;($J209-12),12,$J209-SUM($M209:M209)))</f>
        <v>0</v>
      </c>
      <c r="O209" s="1101">
        <f>IF($BF209=0,0,IF(SUM($M209:N209)&lt;($J209-12),12,$J209-SUM($M209:N209)))</f>
        <v>0</v>
      </c>
      <c r="P209" s="1101">
        <f>IF($BF209=0,0,IF(SUM($M209:O209)&lt;($J209-12),12,$J209-SUM($M209:O209)))</f>
        <v>0</v>
      </c>
      <c r="Q209" s="1101">
        <f>IF($BF209=0,0,IF(SUM($M209:P209)&lt;($J209-12),12,$J209-SUM($M209:P209)))</f>
        <v>0</v>
      </c>
      <c r="S209" s="1100"/>
      <c r="T209" s="1100">
        <v>0</v>
      </c>
      <c r="U209" s="1101">
        <f>IF($BG209=0,0,IF(SUM($S209:T209)&lt;($J209-12),12,$J209-SUM($S209:T209)))</f>
        <v>0</v>
      </c>
      <c r="V209" s="1101">
        <f>IF($BG209=0,0,IF(SUM($S209:U209)&lt;($J209-12),12,$J209-SUM($S209:U209)))</f>
        <v>0</v>
      </c>
      <c r="W209" s="1101">
        <f>IF($BG209=0,0,IF(SUM($S209:V209)&lt;($J209-12),12,$J209-SUM($S209:V209)))</f>
        <v>0</v>
      </c>
      <c r="Y209" s="1100"/>
      <c r="Z209" s="1100"/>
      <c r="AA209" s="1100">
        <v>0</v>
      </c>
      <c r="AB209" s="1101">
        <f>IF($BH209=0,0,IF(SUM($Y209:AA209)&lt;($J209-12),12,$J209-SUM($Y209:AA209)))</f>
        <v>0</v>
      </c>
      <c r="AC209" s="1101">
        <f>IF($BH209=0,0,IF(SUM($Y209:AB209)&lt;($J209-12),12,$J209-SUM($Y209:AB209)))</f>
        <v>0</v>
      </c>
      <c r="AE209" s="1100"/>
      <c r="AF209" s="1100"/>
      <c r="AG209" s="1100"/>
      <c r="AH209" s="1100">
        <v>0</v>
      </c>
      <c r="AI209" s="1101">
        <f>IF($BI209=0,0,IF(SUM($AE209:AH209)&lt;($J209-12),12,$J209-SUM($AE209:AH209)))</f>
        <v>0</v>
      </c>
      <c r="AK209" s="1100"/>
      <c r="AL209" s="1100"/>
      <c r="AM209" s="1100"/>
      <c r="AN209" s="1100"/>
      <c r="AO209" s="1100">
        <v>0</v>
      </c>
      <c r="AQ209" s="153">
        <f t="shared" si="24"/>
        <v>0</v>
      </c>
      <c r="AR209" s="153">
        <f t="shared" si="25"/>
        <v>0</v>
      </c>
      <c r="AS209" s="153">
        <f t="shared" si="26"/>
        <v>0</v>
      </c>
      <c r="AT209" s="153">
        <f t="shared" si="27"/>
        <v>0</v>
      </c>
      <c r="AU209" s="153">
        <f t="shared" si="28"/>
        <v>0</v>
      </c>
      <c r="AW209" s="1543">
        <v>0.75</v>
      </c>
      <c r="AX209" s="1102"/>
      <c r="AY209" s="1544">
        <v>0.25</v>
      </c>
      <c r="BA209" s="1103">
        <v>0</v>
      </c>
      <c r="BB209" s="1103">
        <v>0</v>
      </c>
      <c r="BC209" s="1103">
        <v>0</v>
      </c>
      <c r="BD209" s="1103">
        <v>0</v>
      </c>
      <c r="BE209" s="1103">
        <v>0</v>
      </c>
      <c r="BF209" s="1103">
        <v>0</v>
      </c>
      <c r="BG209" s="1103">
        <v>0</v>
      </c>
      <c r="BH209" s="1103">
        <v>0</v>
      </c>
      <c r="BI209" s="1103">
        <v>0</v>
      </c>
      <c r="BJ209" s="1103">
        <v>0</v>
      </c>
    </row>
    <row r="210" spans="2:62" hidden="1" outlineLevel="1">
      <c r="B210" s="1094"/>
      <c r="C210" s="1083" t="s">
        <v>500</v>
      </c>
      <c r="D210" s="1062" t="s">
        <v>498</v>
      </c>
      <c r="E210" s="1083" t="s">
        <v>501</v>
      </c>
      <c r="F210" s="1095" t="s">
        <v>414</v>
      </c>
      <c r="G210" s="1096">
        <f t="shared" si="21"/>
        <v>2473.835</v>
      </c>
      <c r="H210" s="1083" t="s">
        <v>29</v>
      </c>
      <c r="I210" s="1097">
        <v>8</v>
      </c>
      <c r="J210" s="1098">
        <f t="shared" si="22"/>
        <v>96</v>
      </c>
      <c r="K210" s="153">
        <f t="shared" si="23"/>
        <v>0.125</v>
      </c>
      <c r="L210" s="1099"/>
      <c r="M210" s="1100">
        <v>0</v>
      </c>
      <c r="N210" s="1101">
        <f>IF($BF210=0,0,IF(SUM($M210:M210)&lt;($J210-12),12,$J210-SUM($M210:M210)))</f>
        <v>0</v>
      </c>
      <c r="O210" s="1101">
        <f>IF($BF210=0,0,IF(SUM($M210:N210)&lt;($J210-12),12,$J210-SUM($M210:N210)))</f>
        <v>0</v>
      </c>
      <c r="P210" s="1101">
        <f>IF($BF210=0,0,IF(SUM($M210:O210)&lt;($J210-12),12,$J210-SUM($M210:O210)))</f>
        <v>0</v>
      </c>
      <c r="Q210" s="1101">
        <f>IF($BF210=0,0,IF(SUM($M210:P210)&lt;($J210-12),12,$J210-SUM($M210:P210)))</f>
        <v>0</v>
      </c>
      <c r="S210" s="1100"/>
      <c r="T210" s="1100">
        <v>0</v>
      </c>
      <c r="U210" s="1101">
        <f>IF($BG210=0,0,IF(SUM($S210:T210)&lt;($J210-12),12,$J210-SUM($S210:T210)))</f>
        <v>0</v>
      </c>
      <c r="V210" s="1101">
        <f>IF($BG210=0,0,IF(SUM($S210:U210)&lt;($J210-12),12,$J210-SUM($S210:U210)))</f>
        <v>0</v>
      </c>
      <c r="W210" s="1101">
        <f>IF($BG210=0,0,IF(SUM($S210:V210)&lt;($J210-12),12,$J210-SUM($S210:V210)))</f>
        <v>0</v>
      </c>
      <c r="Y210" s="1100"/>
      <c r="Z210" s="1100"/>
      <c r="AA210" s="1100">
        <v>3</v>
      </c>
      <c r="AB210" s="1101">
        <f>IF($BH210=0,0,IF(SUM($Y210:AA210)&lt;($J210-12),12,$J210-SUM($Y210:AA210)))</f>
        <v>12</v>
      </c>
      <c r="AC210" s="1101">
        <f>IF($BH210=0,0,IF(SUM($Y210:AB210)&lt;($J210-12),12,$J210-SUM($Y210:AB210)))</f>
        <v>12</v>
      </c>
      <c r="AE210" s="1100"/>
      <c r="AF210" s="1100"/>
      <c r="AG210" s="1100"/>
      <c r="AH210" s="1100">
        <v>0</v>
      </c>
      <c r="AI210" s="1101">
        <f>IF($BI210=0,0,IF(SUM($AE210:AH210)&lt;($J210-12),12,$J210-SUM($AE210:AH210)))</f>
        <v>0</v>
      </c>
      <c r="AK210" s="1100"/>
      <c r="AL210" s="1100"/>
      <c r="AM210" s="1100"/>
      <c r="AN210" s="1100"/>
      <c r="AO210" s="1100">
        <v>0</v>
      </c>
      <c r="AQ210" s="153">
        <f t="shared" si="24"/>
        <v>0</v>
      </c>
      <c r="AR210" s="153">
        <f t="shared" si="25"/>
        <v>0</v>
      </c>
      <c r="AS210" s="153">
        <f t="shared" si="26"/>
        <v>0.25</v>
      </c>
      <c r="AT210" s="153">
        <f t="shared" si="27"/>
        <v>0</v>
      </c>
      <c r="AU210" s="153">
        <f t="shared" si="28"/>
        <v>0</v>
      </c>
      <c r="AW210" s="1543">
        <v>0.75</v>
      </c>
      <c r="AX210" s="1102"/>
      <c r="AY210" s="1544">
        <v>0.25</v>
      </c>
      <c r="BA210" s="1103">
        <v>0</v>
      </c>
      <c r="BB210" s="1103">
        <v>0</v>
      </c>
      <c r="BC210" s="1103">
        <v>0</v>
      </c>
      <c r="BD210" s="1103">
        <v>0</v>
      </c>
      <c r="BE210" s="1103">
        <v>0</v>
      </c>
      <c r="BF210" s="1103">
        <v>0</v>
      </c>
      <c r="BG210" s="1103">
        <v>0</v>
      </c>
      <c r="BH210" s="1103">
        <v>2473.835</v>
      </c>
      <c r="BI210" s="1103">
        <v>0</v>
      </c>
      <c r="BJ210" s="1103">
        <v>0</v>
      </c>
    </row>
    <row r="211" spans="2:62" hidden="1" outlineLevel="1">
      <c r="B211" s="1094"/>
      <c r="C211" s="1083" t="s">
        <v>502</v>
      </c>
      <c r="D211" s="1062" t="s">
        <v>502</v>
      </c>
      <c r="E211" s="1083" t="s">
        <v>503</v>
      </c>
      <c r="F211" s="1095" t="s">
        <v>414</v>
      </c>
      <c r="G211" s="1096">
        <f t="shared" si="21"/>
        <v>2325</v>
      </c>
      <c r="H211" s="1083" t="s">
        <v>29</v>
      </c>
      <c r="I211" s="1097">
        <v>20</v>
      </c>
      <c r="J211" s="1098">
        <f t="shared" si="22"/>
        <v>240</v>
      </c>
      <c r="K211" s="153">
        <f t="shared" si="23"/>
        <v>0.05</v>
      </c>
      <c r="L211" s="1099"/>
      <c r="M211" s="1100">
        <v>0</v>
      </c>
      <c r="N211" s="1101">
        <f>IF($BF211=0,0,IF(SUM($M211:M211)&lt;($J211-12),12,$J211-SUM($M211:M211)))</f>
        <v>0</v>
      </c>
      <c r="O211" s="1101">
        <f>IF($BF211=0,0,IF(SUM($M211:N211)&lt;($J211-12),12,$J211-SUM($M211:N211)))</f>
        <v>0</v>
      </c>
      <c r="P211" s="1101">
        <f>IF($BF211=0,0,IF(SUM($M211:O211)&lt;($J211-12),12,$J211-SUM($M211:O211)))</f>
        <v>0</v>
      </c>
      <c r="Q211" s="1101">
        <f>IF($BF211=0,0,IF(SUM($M211:P211)&lt;($J211-12),12,$J211-SUM($M211:P211)))</f>
        <v>0</v>
      </c>
      <c r="S211" s="1100"/>
      <c r="T211" s="1100">
        <v>0</v>
      </c>
      <c r="U211" s="1101">
        <f>IF($BG211=0,0,IF(SUM($S211:T211)&lt;($J211-12),12,$J211-SUM($S211:T211)))</f>
        <v>0</v>
      </c>
      <c r="V211" s="1101">
        <f>IF($BG211=0,0,IF(SUM($S211:U211)&lt;($J211-12),12,$J211-SUM($S211:U211)))</f>
        <v>0</v>
      </c>
      <c r="W211" s="1101">
        <f>IF($BG211=0,0,IF(SUM($S211:V211)&lt;($J211-12),12,$J211-SUM($S211:V211)))</f>
        <v>0</v>
      </c>
      <c r="Y211" s="1100"/>
      <c r="Z211" s="1100"/>
      <c r="AA211" s="1100">
        <v>0</v>
      </c>
      <c r="AB211" s="1101">
        <f>IF($BH211=0,0,IF(SUM($Y211:AA211)&lt;($J211-12),12,$J211-SUM($Y211:AA211)))</f>
        <v>0</v>
      </c>
      <c r="AC211" s="1101">
        <f>IF($BH211=0,0,IF(SUM($Y211:AB211)&lt;($J211-12),12,$J211-SUM($Y211:AB211)))</f>
        <v>0</v>
      </c>
      <c r="AE211" s="1100"/>
      <c r="AF211" s="1100"/>
      <c r="AG211" s="1100"/>
      <c r="AH211" s="1100">
        <v>0</v>
      </c>
      <c r="AI211" s="1101">
        <f>IF($BI211=0,0,IF(SUM($AE211:AH211)&lt;($J211-12),12,$J211-SUM($AE211:AH211)))</f>
        <v>0</v>
      </c>
      <c r="AK211" s="1100"/>
      <c r="AL211" s="1100"/>
      <c r="AM211" s="1100"/>
      <c r="AN211" s="1100"/>
      <c r="AO211" s="1100">
        <v>9</v>
      </c>
      <c r="AQ211" s="153">
        <f t="shared" si="24"/>
        <v>0</v>
      </c>
      <c r="AR211" s="153">
        <f t="shared" si="25"/>
        <v>0</v>
      </c>
      <c r="AS211" s="153">
        <f t="shared" si="26"/>
        <v>0</v>
      </c>
      <c r="AT211" s="153">
        <f t="shared" si="27"/>
        <v>0</v>
      </c>
      <c r="AU211" s="153">
        <f t="shared" si="28"/>
        <v>0.75</v>
      </c>
      <c r="AW211" s="1543">
        <v>0</v>
      </c>
      <c r="AX211" s="1102"/>
      <c r="AY211" s="1544">
        <v>1</v>
      </c>
      <c r="BA211" s="1103">
        <v>0</v>
      </c>
      <c r="BB211" s="1103">
        <v>0</v>
      </c>
      <c r="BC211" s="1103">
        <v>0</v>
      </c>
      <c r="BD211" s="1103">
        <v>0</v>
      </c>
      <c r="BE211" s="1103">
        <v>0</v>
      </c>
      <c r="BF211" s="1103">
        <v>0</v>
      </c>
      <c r="BG211" s="1103">
        <v>0</v>
      </c>
      <c r="BH211" s="1103">
        <v>0</v>
      </c>
      <c r="BI211" s="1103">
        <v>0</v>
      </c>
      <c r="BJ211" s="1103">
        <v>2325</v>
      </c>
    </row>
    <row r="212" spans="2:62" hidden="1" outlineLevel="1">
      <c r="B212" s="1094"/>
      <c r="C212" s="1083" t="s">
        <v>504</v>
      </c>
      <c r="D212" s="1062" t="s">
        <v>504</v>
      </c>
      <c r="E212" s="1083" t="s">
        <v>505</v>
      </c>
      <c r="F212" s="1095" t="s">
        <v>414</v>
      </c>
      <c r="G212" s="1096">
        <f t="shared" si="21"/>
        <v>0</v>
      </c>
      <c r="H212" s="1083" t="s">
        <v>29</v>
      </c>
      <c r="I212" s="1097">
        <v>0</v>
      </c>
      <c r="J212" s="1098">
        <f t="shared" si="22"/>
        <v>0</v>
      </c>
      <c r="K212" s="153">
        <f t="shared" si="23"/>
        <v>0</v>
      </c>
      <c r="L212" s="1099"/>
      <c r="M212" s="1100">
        <v>0</v>
      </c>
      <c r="N212" s="1101">
        <f>IF($BF212=0,0,IF(SUM($M212:M212)&lt;($J212-12),12,$J212-SUM($M212:M212)))</f>
        <v>0</v>
      </c>
      <c r="O212" s="1101">
        <f>IF($BF212=0,0,IF(SUM($M212:N212)&lt;($J212-12),12,$J212-SUM($M212:N212)))</f>
        <v>0</v>
      </c>
      <c r="P212" s="1101">
        <f>IF($BF212=0,0,IF(SUM($M212:O212)&lt;($J212-12),12,$J212-SUM($M212:O212)))</f>
        <v>0</v>
      </c>
      <c r="Q212" s="1101">
        <f>IF($BF212=0,0,IF(SUM($M212:P212)&lt;($J212-12),12,$J212-SUM($M212:P212)))</f>
        <v>0</v>
      </c>
      <c r="S212" s="1100"/>
      <c r="T212" s="1100">
        <v>0</v>
      </c>
      <c r="U212" s="1101">
        <f>IF($BG212=0,0,IF(SUM($S212:T212)&lt;($J212-12),12,$J212-SUM($S212:T212)))</f>
        <v>0</v>
      </c>
      <c r="V212" s="1101">
        <f>IF($BG212=0,0,IF(SUM($S212:U212)&lt;($J212-12),12,$J212-SUM($S212:U212)))</f>
        <v>0</v>
      </c>
      <c r="W212" s="1101">
        <f>IF($BG212=0,0,IF(SUM($S212:V212)&lt;($J212-12),12,$J212-SUM($S212:V212)))</f>
        <v>0</v>
      </c>
      <c r="Y212" s="1100"/>
      <c r="Z212" s="1100"/>
      <c r="AA212" s="1100">
        <v>0</v>
      </c>
      <c r="AB212" s="1101">
        <f>IF($BH212=0,0,IF(SUM($Y212:AA212)&lt;($J212-12),12,$J212-SUM($Y212:AA212)))</f>
        <v>0</v>
      </c>
      <c r="AC212" s="1101">
        <f>IF($BH212=0,0,IF(SUM($Y212:AB212)&lt;($J212-12),12,$J212-SUM($Y212:AB212)))</f>
        <v>0</v>
      </c>
      <c r="AE212" s="1100"/>
      <c r="AF212" s="1100"/>
      <c r="AG212" s="1100"/>
      <c r="AH212" s="1100">
        <v>0</v>
      </c>
      <c r="AI212" s="1101">
        <f>IF($BI212=0,0,IF(SUM($AE212:AH212)&lt;($J212-12),12,$J212-SUM($AE212:AH212)))</f>
        <v>0</v>
      </c>
      <c r="AK212" s="1100"/>
      <c r="AL212" s="1100"/>
      <c r="AM212" s="1100"/>
      <c r="AN212" s="1100"/>
      <c r="AO212" s="1100">
        <v>0</v>
      </c>
      <c r="AQ212" s="153">
        <f t="shared" si="24"/>
        <v>0</v>
      </c>
      <c r="AR212" s="153">
        <f t="shared" si="25"/>
        <v>0</v>
      </c>
      <c r="AS212" s="153">
        <f t="shared" si="26"/>
        <v>0</v>
      </c>
      <c r="AT212" s="153">
        <f t="shared" si="27"/>
        <v>0</v>
      </c>
      <c r="AU212" s="153">
        <f t="shared" si="28"/>
        <v>0</v>
      </c>
      <c r="AW212" s="1543">
        <v>0</v>
      </c>
      <c r="AX212" s="1102"/>
      <c r="AY212" s="1544">
        <v>0</v>
      </c>
      <c r="BA212" s="1103">
        <v>0</v>
      </c>
      <c r="BB212" s="1103">
        <v>0</v>
      </c>
      <c r="BC212" s="1103">
        <v>0</v>
      </c>
      <c r="BD212" s="1103">
        <v>0</v>
      </c>
      <c r="BE212" s="1103">
        <v>0</v>
      </c>
      <c r="BF212" s="1103">
        <v>0</v>
      </c>
      <c r="BG212" s="1103">
        <v>0</v>
      </c>
      <c r="BH212" s="1103">
        <v>0</v>
      </c>
      <c r="BI212" s="1103">
        <v>0</v>
      </c>
      <c r="BJ212" s="1103">
        <v>0</v>
      </c>
    </row>
    <row r="213" spans="2:62" hidden="1" outlineLevel="1">
      <c r="B213" s="1094"/>
      <c r="C213" s="1083" t="s">
        <v>506</v>
      </c>
      <c r="D213" s="1062" t="s">
        <v>504</v>
      </c>
      <c r="E213" s="1083" t="s">
        <v>507</v>
      </c>
      <c r="F213" s="1095" t="s">
        <v>414</v>
      </c>
      <c r="G213" s="1096">
        <f t="shared" si="21"/>
        <v>1258.4800000000007</v>
      </c>
      <c r="H213" s="1083" t="s">
        <v>29</v>
      </c>
      <c r="I213" s="1097">
        <v>5</v>
      </c>
      <c r="J213" s="1098">
        <f t="shared" si="22"/>
        <v>60</v>
      </c>
      <c r="K213" s="153">
        <f t="shared" si="23"/>
        <v>0.2</v>
      </c>
      <c r="L213" s="1099"/>
      <c r="M213" s="1100">
        <v>0</v>
      </c>
      <c r="N213" s="1101">
        <f>IF($BF213=0,0,IF(SUM($M213:M213)&lt;($J213-12),12,$J213-SUM($M213:M213)))</f>
        <v>0</v>
      </c>
      <c r="O213" s="1101">
        <f>IF($BF213=0,0,IF(SUM($M213:N213)&lt;($J213-12),12,$J213-SUM($M213:N213)))</f>
        <v>0</v>
      </c>
      <c r="P213" s="1101">
        <f>IF($BF213=0,0,IF(SUM($M213:O213)&lt;($J213-12),12,$J213-SUM($M213:O213)))</f>
        <v>0</v>
      </c>
      <c r="Q213" s="1101">
        <f>IF($BF213=0,0,IF(SUM($M213:P213)&lt;($J213-12),12,$J213-SUM($M213:P213)))</f>
        <v>0</v>
      </c>
      <c r="S213" s="1100"/>
      <c r="T213" s="1100">
        <v>5.2328928312816787</v>
      </c>
      <c r="U213" s="1101">
        <f>IF($BG213=0,0,IF(SUM($S213:T213)&lt;($J213-12),12,$J213-SUM($S213:T213)))</f>
        <v>12</v>
      </c>
      <c r="V213" s="1101">
        <f>IF($BG213=0,0,IF(SUM($S213:U213)&lt;($J213-12),12,$J213-SUM($S213:U213)))</f>
        <v>12</v>
      </c>
      <c r="W213" s="1101">
        <f>IF($BG213=0,0,IF(SUM($S213:V213)&lt;($J213-12),12,$J213-SUM($S213:V213)))</f>
        <v>12</v>
      </c>
      <c r="Y213" s="1100"/>
      <c r="Z213" s="1100"/>
      <c r="AA213" s="1100">
        <v>10.499999999999995</v>
      </c>
      <c r="AB213" s="1101">
        <f>IF($BH213=0,0,IF(SUM($Y213:AA213)&lt;($J213-12),12,$J213-SUM($Y213:AA213)))</f>
        <v>12</v>
      </c>
      <c r="AC213" s="1101">
        <f>IF($BH213=0,0,IF(SUM($Y213:AB213)&lt;($J213-12),12,$J213-SUM($Y213:AB213)))</f>
        <v>12</v>
      </c>
      <c r="AE213" s="1100"/>
      <c r="AF213" s="1100"/>
      <c r="AG213" s="1100"/>
      <c r="AH213" s="1100">
        <v>0</v>
      </c>
      <c r="AI213" s="1101">
        <f>IF($BI213=0,0,IF(SUM($AE213:AH213)&lt;($J213-12),12,$J213-SUM($AE213:AH213)))</f>
        <v>0</v>
      </c>
      <c r="AK213" s="1100"/>
      <c r="AL213" s="1100"/>
      <c r="AM213" s="1100"/>
      <c r="AN213" s="1100"/>
      <c r="AO213" s="1100">
        <v>0</v>
      </c>
      <c r="AQ213" s="153">
        <f t="shared" si="24"/>
        <v>0</v>
      </c>
      <c r="AR213" s="153">
        <f t="shared" si="25"/>
        <v>0.43607440260680658</v>
      </c>
      <c r="AS213" s="153">
        <f t="shared" si="26"/>
        <v>0.87499999999999956</v>
      </c>
      <c r="AT213" s="153">
        <f t="shared" si="27"/>
        <v>0</v>
      </c>
      <c r="AU213" s="153">
        <f t="shared" si="28"/>
        <v>0</v>
      </c>
      <c r="AW213" s="1543">
        <v>0.75</v>
      </c>
      <c r="AX213" s="1102"/>
      <c r="AY213" s="1544">
        <v>0.25</v>
      </c>
      <c r="BA213" s="1103">
        <v>0</v>
      </c>
      <c r="BB213" s="1103">
        <v>0</v>
      </c>
      <c r="BC213" s="1103">
        <v>0</v>
      </c>
      <c r="BD213" s="1103">
        <v>0</v>
      </c>
      <c r="BE213" s="1103">
        <v>0</v>
      </c>
      <c r="BF213" s="1103">
        <v>0</v>
      </c>
      <c r="BG213" s="1103">
        <v>1031.146666666667</v>
      </c>
      <c r="BH213" s="1103">
        <v>227.33333333333366</v>
      </c>
      <c r="BI213" s="1103">
        <v>0</v>
      </c>
      <c r="BJ213" s="1103">
        <v>0</v>
      </c>
    </row>
    <row r="214" spans="2:62" hidden="1" outlineLevel="1">
      <c r="B214" s="1094"/>
      <c r="C214" s="1083" t="s">
        <v>508</v>
      </c>
      <c r="D214" s="1062" t="s">
        <v>504</v>
      </c>
      <c r="E214" s="1083" t="s">
        <v>507</v>
      </c>
      <c r="F214" s="1095" t="s">
        <v>414</v>
      </c>
      <c r="G214" s="1096">
        <f t="shared" si="21"/>
        <v>622</v>
      </c>
      <c r="H214" s="1083" t="s">
        <v>29</v>
      </c>
      <c r="I214" s="1097">
        <v>5</v>
      </c>
      <c r="J214" s="1098">
        <f t="shared" si="22"/>
        <v>60</v>
      </c>
      <c r="K214" s="153">
        <f t="shared" si="23"/>
        <v>0.2</v>
      </c>
      <c r="L214" s="1099"/>
      <c r="M214" s="1100">
        <v>0</v>
      </c>
      <c r="N214" s="1101">
        <f>IF($BF214=0,0,IF(SUM($M214:M214)&lt;($J214-12),12,$J214-SUM($M214:M214)))</f>
        <v>0</v>
      </c>
      <c r="O214" s="1101">
        <f>IF($BF214=0,0,IF(SUM($M214:N214)&lt;($J214-12),12,$J214-SUM($M214:N214)))</f>
        <v>0</v>
      </c>
      <c r="P214" s="1101">
        <f>IF($BF214=0,0,IF(SUM($M214:O214)&lt;($J214-12),12,$J214-SUM($M214:O214)))</f>
        <v>0</v>
      </c>
      <c r="Q214" s="1101">
        <f>IF($BF214=0,0,IF(SUM($M214:P214)&lt;($J214-12),12,$J214-SUM($M214:P214)))</f>
        <v>0</v>
      </c>
      <c r="S214" s="1100"/>
      <c r="T214" s="1100">
        <v>6</v>
      </c>
      <c r="U214" s="1101">
        <f>IF($BG214=0,0,IF(SUM($S214:T214)&lt;($J214-12),12,$J214-SUM($S214:T214)))</f>
        <v>12</v>
      </c>
      <c r="V214" s="1101">
        <f>IF($BG214=0,0,IF(SUM($S214:U214)&lt;($J214-12),12,$J214-SUM($S214:U214)))</f>
        <v>12</v>
      </c>
      <c r="W214" s="1101">
        <f>IF($BG214=0,0,IF(SUM($S214:V214)&lt;($J214-12),12,$J214-SUM($S214:V214)))</f>
        <v>12</v>
      </c>
      <c r="Y214" s="1100"/>
      <c r="Z214" s="1100"/>
      <c r="AA214" s="1100">
        <v>12</v>
      </c>
      <c r="AB214" s="1101">
        <f>IF($BH214=0,0,IF(SUM($Y214:AA214)&lt;($J214-12),12,$J214-SUM($Y214:AA214)))</f>
        <v>12</v>
      </c>
      <c r="AC214" s="1101">
        <f>IF($BH214=0,0,IF(SUM($Y214:AB214)&lt;($J214-12),12,$J214-SUM($Y214:AB214)))</f>
        <v>12</v>
      </c>
      <c r="AE214" s="1100"/>
      <c r="AF214" s="1100"/>
      <c r="AG214" s="1100"/>
      <c r="AH214" s="1100">
        <v>0</v>
      </c>
      <c r="AI214" s="1101">
        <f>IF($BI214=0,0,IF(SUM($AE214:AH214)&lt;($J214-12),12,$J214-SUM($AE214:AH214)))</f>
        <v>0</v>
      </c>
      <c r="AK214" s="1100"/>
      <c r="AL214" s="1100"/>
      <c r="AM214" s="1100"/>
      <c r="AN214" s="1100"/>
      <c r="AO214" s="1100">
        <v>0</v>
      </c>
      <c r="AQ214" s="153">
        <f t="shared" si="24"/>
        <v>0</v>
      </c>
      <c r="AR214" s="153">
        <f t="shared" si="25"/>
        <v>0.5</v>
      </c>
      <c r="AS214" s="153">
        <f t="shared" si="26"/>
        <v>1</v>
      </c>
      <c r="AT214" s="153">
        <f t="shared" si="27"/>
        <v>0</v>
      </c>
      <c r="AU214" s="153">
        <f t="shared" si="28"/>
        <v>0</v>
      </c>
      <c r="AW214" s="1543">
        <v>0.75</v>
      </c>
      <c r="AX214" s="1102"/>
      <c r="AY214" s="1544">
        <v>0.25</v>
      </c>
      <c r="BA214" s="1103">
        <v>0</v>
      </c>
      <c r="BB214" s="1103">
        <v>0</v>
      </c>
      <c r="BC214" s="1103">
        <v>0</v>
      </c>
      <c r="BD214" s="1103">
        <v>0</v>
      </c>
      <c r="BE214" s="1103">
        <v>0</v>
      </c>
      <c r="BF214" s="1103">
        <v>0</v>
      </c>
      <c r="BG214" s="1103">
        <v>572</v>
      </c>
      <c r="BH214" s="1103">
        <v>50</v>
      </c>
      <c r="BI214" s="1103">
        <v>0</v>
      </c>
      <c r="BJ214" s="1103">
        <v>0</v>
      </c>
    </row>
    <row r="215" spans="2:62" hidden="1" outlineLevel="1">
      <c r="B215" s="1094"/>
      <c r="C215" s="1083" t="s">
        <v>509</v>
      </c>
      <c r="D215" s="1062" t="s">
        <v>504</v>
      </c>
      <c r="E215" s="1083" t="s">
        <v>507</v>
      </c>
      <c r="F215" s="1095" t="s">
        <v>414</v>
      </c>
      <c r="G215" s="1096">
        <f t="shared" si="21"/>
        <v>90</v>
      </c>
      <c r="H215" s="1083" t="s">
        <v>29</v>
      </c>
      <c r="I215" s="1097">
        <v>5</v>
      </c>
      <c r="J215" s="1098">
        <f t="shared" si="22"/>
        <v>60</v>
      </c>
      <c r="K215" s="153">
        <f t="shared" si="23"/>
        <v>0.2</v>
      </c>
      <c r="L215" s="1099"/>
      <c r="M215" s="1100">
        <v>0</v>
      </c>
      <c r="N215" s="1101">
        <f>IF($BF215=0,0,IF(SUM($M215:M215)&lt;($J215-12),12,$J215-SUM($M215:M215)))</f>
        <v>0</v>
      </c>
      <c r="O215" s="1101">
        <f>IF($BF215=0,0,IF(SUM($M215:N215)&lt;($J215-12),12,$J215-SUM($M215:N215)))</f>
        <v>0</v>
      </c>
      <c r="P215" s="1101">
        <f>IF($BF215=0,0,IF(SUM($M215:O215)&lt;($J215-12),12,$J215-SUM($M215:O215)))</f>
        <v>0</v>
      </c>
      <c r="Q215" s="1101">
        <f>IF($BF215=0,0,IF(SUM($M215:P215)&lt;($J215-12),12,$J215-SUM($M215:P215)))</f>
        <v>0</v>
      </c>
      <c r="S215" s="1100"/>
      <c r="T215" s="1100">
        <v>3</v>
      </c>
      <c r="U215" s="1101">
        <f>IF($BG215=0,0,IF(SUM($S215:T215)&lt;($J215-12),12,$J215-SUM($S215:T215)))</f>
        <v>12</v>
      </c>
      <c r="V215" s="1101">
        <f>IF($BG215=0,0,IF(SUM($S215:U215)&lt;($J215-12),12,$J215-SUM($S215:U215)))</f>
        <v>12</v>
      </c>
      <c r="W215" s="1101">
        <f>IF($BG215=0,0,IF(SUM($S215:V215)&lt;($J215-12),12,$J215-SUM($S215:V215)))</f>
        <v>12</v>
      </c>
      <c r="Y215" s="1100"/>
      <c r="Z215" s="1100"/>
      <c r="AA215" s="1100">
        <v>12</v>
      </c>
      <c r="AB215" s="1101">
        <f>IF($BH215=0,0,IF(SUM($Y215:AA215)&lt;($J215-12),12,$J215-SUM($Y215:AA215)))</f>
        <v>12</v>
      </c>
      <c r="AC215" s="1101">
        <f>IF($BH215=0,0,IF(SUM($Y215:AB215)&lt;($J215-12),12,$J215-SUM($Y215:AB215)))</f>
        <v>12</v>
      </c>
      <c r="AE215" s="1100"/>
      <c r="AF215" s="1100"/>
      <c r="AG215" s="1100"/>
      <c r="AH215" s="1100">
        <v>0</v>
      </c>
      <c r="AI215" s="1101">
        <f>IF($BI215=0,0,IF(SUM($AE215:AH215)&lt;($J215-12),12,$J215-SUM($AE215:AH215)))</f>
        <v>0</v>
      </c>
      <c r="AK215" s="1100"/>
      <c r="AL215" s="1100"/>
      <c r="AM215" s="1100"/>
      <c r="AN215" s="1100"/>
      <c r="AO215" s="1100">
        <v>0</v>
      </c>
      <c r="AQ215" s="153">
        <f t="shared" si="24"/>
        <v>0</v>
      </c>
      <c r="AR215" s="153">
        <f t="shared" si="25"/>
        <v>0.25</v>
      </c>
      <c r="AS215" s="153">
        <f t="shared" si="26"/>
        <v>1</v>
      </c>
      <c r="AT215" s="153">
        <f t="shared" si="27"/>
        <v>0</v>
      </c>
      <c r="AU215" s="153">
        <f t="shared" si="28"/>
        <v>0</v>
      </c>
      <c r="AW215" s="1543">
        <v>0.5</v>
      </c>
      <c r="AX215" s="1102"/>
      <c r="AY215" s="1544">
        <v>0.5</v>
      </c>
      <c r="BA215" s="1103">
        <v>0</v>
      </c>
      <c r="BB215" s="1103">
        <v>0</v>
      </c>
      <c r="BC215" s="1103">
        <v>0</v>
      </c>
      <c r="BD215" s="1103">
        <v>0</v>
      </c>
      <c r="BE215" s="1103">
        <v>0</v>
      </c>
      <c r="BF215" s="1103">
        <v>0</v>
      </c>
      <c r="BG215" s="1103">
        <v>69</v>
      </c>
      <c r="BH215" s="1103">
        <v>21</v>
      </c>
      <c r="BI215" s="1103">
        <v>0</v>
      </c>
      <c r="BJ215" s="1103">
        <v>0</v>
      </c>
    </row>
    <row r="216" spans="2:62" hidden="1" outlineLevel="1">
      <c r="B216" s="1094"/>
      <c r="C216" s="1083" t="s">
        <v>510</v>
      </c>
      <c r="D216" s="1062" t="s">
        <v>510</v>
      </c>
      <c r="E216" s="1083" t="s">
        <v>511</v>
      </c>
      <c r="F216" s="1095" t="s">
        <v>414</v>
      </c>
      <c r="G216" s="1096">
        <f t="shared" si="21"/>
        <v>1937.5</v>
      </c>
      <c r="H216" s="1083" t="s">
        <v>29</v>
      </c>
      <c r="I216" s="1097">
        <v>8</v>
      </c>
      <c r="J216" s="1098">
        <f t="shared" si="22"/>
        <v>96</v>
      </c>
      <c r="K216" s="153">
        <f t="shared" si="23"/>
        <v>0.125</v>
      </c>
      <c r="L216" s="1099"/>
      <c r="M216" s="1100">
        <v>0</v>
      </c>
      <c r="N216" s="1101">
        <f>IF($BF216=0,0,IF(SUM($M216:M216)&lt;($J216-12),12,$J216-SUM($M216:M216)))</f>
        <v>0</v>
      </c>
      <c r="O216" s="1101">
        <f>IF($BF216=0,0,IF(SUM($M216:N216)&lt;($J216-12),12,$J216-SUM($M216:N216)))</f>
        <v>0</v>
      </c>
      <c r="P216" s="1101">
        <f>IF($BF216=0,0,IF(SUM($M216:O216)&lt;($J216-12),12,$J216-SUM($M216:O216)))</f>
        <v>0</v>
      </c>
      <c r="Q216" s="1101">
        <f>IF($BF216=0,0,IF(SUM($M216:P216)&lt;($J216-12),12,$J216-SUM($M216:P216)))</f>
        <v>0</v>
      </c>
      <c r="S216" s="1100"/>
      <c r="T216" s="1100">
        <v>0</v>
      </c>
      <c r="U216" s="1101">
        <f>IF($BG216=0,0,IF(SUM($S216:T216)&lt;($J216-12),12,$J216-SUM($S216:T216)))</f>
        <v>0</v>
      </c>
      <c r="V216" s="1101">
        <f>IF($BG216=0,0,IF(SUM($S216:U216)&lt;($J216-12),12,$J216-SUM($S216:U216)))</f>
        <v>0</v>
      </c>
      <c r="W216" s="1101">
        <f>IF($BG216=0,0,IF(SUM($S216:V216)&lt;($J216-12),12,$J216-SUM($S216:V216)))</f>
        <v>0</v>
      </c>
      <c r="Y216" s="1100"/>
      <c r="Z216" s="1100"/>
      <c r="AA216" s="1100">
        <v>6</v>
      </c>
      <c r="AB216" s="1101">
        <f>IF($BH216=0,0,IF(SUM($Y216:AA216)&lt;($J216-12),12,$J216-SUM($Y216:AA216)))</f>
        <v>12</v>
      </c>
      <c r="AC216" s="1101">
        <f>IF($BH216=0,0,IF(SUM($Y216:AB216)&lt;($J216-12),12,$J216-SUM($Y216:AB216)))</f>
        <v>12</v>
      </c>
      <c r="AE216" s="1100"/>
      <c r="AF216" s="1100"/>
      <c r="AG216" s="1100"/>
      <c r="AH216" s="1100">
        <v>7.4999999999999991</v>
      </c>
      <c r="AI216" s="1101">
        <f>IF($BI216=0,0,IF(SUM($AE216:AH216)&lt;($J216-12),12,$J216-SUM($AE216:AH216)))</f>
        <v>12</v>
      </c>
      <c r="AK216" s="1100"/>
      <c r="AL216" s="1100"/>
      <c r="AM216" s="1100"/>
      <c r="AN216" s="1100"/>
      <c r="AO216" s="1100">
        <v>12</v>
      </c>
      <c r="AQ216" s="153">
        <f t="shared" si="24"/>
        <v>0</v>
      </c>
      <c r="AR216" s="153">
        <f t="shared" si="25"/>
        <v>0</v>
      </c>
      <c r="AS216" s="153">
        <f t="shared" si="26"/>
        <v>0.5</v>
      </c>
      <c r="AT216" s="153">
        <f t="shared" si="27"/>
        <v>0.62499999999999989</v>
      </c>
      <c r="AU216" s="153">
        <f t="shared" si="28"/>
        <v>1</v>
      </c>
      <c r="AW216" s="1543">
        <v>0.75</v>
      </c>
      <c r="AX216" s="1102"/>
      <c r="AY216" s="1544">
        <v>0.25</v>
      </c>
      <c r="BA216" s="1103">
        <v>0</v>
      </c>
      <c r="BB216" s="1103">
        <v>0</v>
      </c>
      <c r="BC216" s="1103">
        <v>0</v>
      </c>
      <c r="BD216" s="1103">
        <v>0</v>
      </c>
      <c r="BE216" s="1103">
        <v>0</v>
      </c>
      <c r="BF216" s="1103">
        <v>0</v>
      </c>
      <c r="BG216" s="1103">
        <v>0</v>
      </c>
      <c r="BH216" s="1103">
        <v>726.5625</v>
      </c>
      <c r="BI216" s="1103">
        <v>968.75</v>
      </c>
      <c r="BJ216" s="1103">
        <v>242.1875</v>
      </c>
    </row>
    <row r="217" spans="2:62" hidden="1" outlineLevel="1">
      <c r="B217" s="1094"/>
      <c r="C217" s="1083" t="s">
        <v>512</v>
      </c>
      <c r="D217" s="1062" t="s">
        <v>512</v>
      </c>
      <c r="E217" s="1083" t="s">
        <v>513</v>
      </c>
      <c r="F217" s="1095" t="s">
        <v>414</v>
      </c>
      <c r="G217" s="1096">
        <f t="shared" si="21"/>
        <v>0</v>
      </c>
      <c r="H217" s="1083" t="s">
        <v>29</v>
      </c>
      <c r="I217" s="1097">
        <v>0</v>
      </c>
      <c r="J217" s="1098">
        <f t="shared" si="22"/>
        <v>0</v>
      </c>
      <c r="K217" s="153">
        <f t="shared" si="23"/>
        <v>0</v>
      </c>
      <c r="L217" s="1099"/>
      <c r="M217" s="1100">
        <v>0</v>
      </c>
      <c r="N217" s="1101">
        <f>IF($BF217=0,0,IF(SUM($M217:M217)&lt;($J217-12),12,$J217-SUM($M217:M217)))</f>
        <v>0</v>
      </c>
      <c r="O217" s="1101">
        <f>IF($BF217=0,0,IF(SUM($M217:N217)&lt;($J217-12),12,$J217-SUM($M217:N217)))</f>
        <v>0</v>
      </c>
      <c r="P217" s="1101">
        <f>IF($BF217=0,0,IF(SUM($M217:O217)&lt;($J217-12),12,$J217-SUM($M217:O217)))</f>
        <v>0</v>
      </c>
      <c r="Q217" s="1101">
        <f>IF($BF217=0,0,IF(SUM($M217:P217)&lt;($J217-12),12,$J217-SUM($M217:P217)))</f>
        <v>0</v>
      </c>
      <c r="S217" s="1100"/>
      <c r="T217" s="1100">
        <v>0</v>
      </c>
      <c r="U217" s="1101">
        <f>IF($BG217=0,0,IF(SUM($S217:T217)&lt;($J217-12),12,$J217-SUM($S217:T217)))</f>
        <v>0</v>
      </c>
      <c r="V217" s="1101">
        <f>IF($BG217=0,0,IF(SUM($S217:U217)&lt;($J217-12),12,$J217-SUM($S217:U217)))</f>
        <v>0</v>
      </c>
      <c r="W217" s="1101">
        <f>IF($BG217=0,0,IF(SUM($S217:V217)&lt;($J217-12),12,$J217-SUM($S217:V217)))</f>
        <v>0</v>
      </c>
      <c r="Y217" s="1100"/>
      <c r="Z217" s="1100"/>
      <c r="AA217" s="1100">
        <v>0</v>
      </c>
      <c r="AB217" s="1101">
        <f>IF($BH217=0,0,IF(SUM($Y217:AA217)&lt;($J217-12),12,$J217-SUM($Y217:AA217)))</f>
        <v>0</v>
      </c>
      <c r="AC217" s="1101">
        <f>IF($BH217=0,0,IF(SUM($Y217:AB217)&lt;($J217-12),12,$J217-SUM($Y217:AB217)))</f>
        <v>0</v>
      </c>
      <c r="AE217" s="1100"/>
      <c r="AF217" s="1100"/>
      <c r="AG217" s="1100"/>
      <c r="AH217" s="1100">
        <v>0</v>
      </c>
      <c r="AI217" s="1101">
        <f>IF($BI217=0,0,IF(SUM($AE217:AH217)&lt;($J217-12),12,$J217-SUM($AE217:AH217)))</f>
        <v>0</v>
      </c>
      <c r="AK217" s="1100"/>
      <c r="AL217" s="1100"/>
      <c r="AM217" s="1100"/>
      <c r="AN217" s="1100"/>
      <c r="AO217" s="1100">
        <v>0</v>
      </c>
      <c r="AQ217" s="153">
        <f t="shared" si="24"/>
        <v>0</v>
      </c>
      <c r="AR217" s="153">
        <f t="shared" si="25"/>
        <v>0</v>
      </c>
      <c r="AS217" s="153">
        <f t="shared" si="26"/>
        <v>0</v>
      </c>
      <c r="AT217" s="153">
        <f t="shared" si="27"/>
        <v>0</v>
      </c>
      <c r="AU217" s="153">
        <f t="shared" si="28"/>
        <v>0</v>
      </c>
      <c r="AW217" s="1543">
        <v>0</v>
      </c>
      <c r="AX217" s="1102"/>
      <c r="AY217" s="1544">
        <v>0</v>
      </c>
      <c r="BA217" s="1103">
        <v>0</v>
      </c>
      <c r="BB217" s="1103">
        <v>0</v>
      </c>
      <c r="BC217" s="1103">
        <v>0</v>
      </c>
      <c r="BD217" s="1103">
        <v>0</v>
      </c>
      <c r="BE217" s="1103">
        <v>0</v>
      </c>
      <c r="BF217" s="1103">
        <v>0</v>
      </c>
      <c r="BG217" s="1103">
        <v>0</v>
      </c>
      <c r="BH217" s="1103">
        <v>0</v>
      </c>
      <c r="BI217" s="1103">
        <v>0</v>
      </c>
      <c r="BJ217" s="1103">
        <v>0</v>
      </c>
    </row>
    <row r="218" spans="2:62" hidden="1" outlineLevel="1">
      <c r="B218" s="1094"/>
      <c r="C218" s="1083" t="s">
        <v>514</v>
      </c>
      <c r="D218" s="1062" t="s">
        <v>512</v>
      </c>
      <c r="E218" s="1083" t="s">
        <v>515</v>
      </c>
      <c r="F218" s="1095" t="s">
        <v>414</v>
      </c>
      <c r="G218" s="1096">
        <f t="shared" si="21"/>
        <v>510</v>
      </c>
      <c r="H218" s="1083" t="s">
        <v>29</v>
      </c>
      <c r="I218" s="1097">
        <v>8</v>
      </c>
      <c r="J218" s="1098">
        <f t="shared" si="22"/>
        <v>96</v>
      </c>
      <c r="K218" s="153">
        <f t="shared" si="23"/>
        <v>0.125</v>
      </c>
      <c r="L218" s="1099"/>
      <c r="M218" s="1100">
        <v>0</v>
      </c>
      <c r="N218" s="1101">
        <f>IF($BF218=0,0,IF(SUM($M218:M218)&lt;($J218-12),12,$J218-SUM($M218:M218)))</f>
        <v>0</v>
      </c>
      <c r="O218" s="1101">
        <f>IF($BF218=0,0,IF(SUM($M218:N218)&lt;($J218-12),12,$J218-SUM($M218:N218)))</f>
        <v>0</v>
      </c>
      <c r="P218" s="1101">
        <f>IF($BF218=0,0,IF(SUM($M218:O218)&lt;($J218-12),12,$J218-SUM($M218:O218)))</f>
        <v>0</v>
      </c>
      <c r="Q218" s="1101">
        <f>IF($BF218=0,0,IF(SUM($M218:P218)&lt;($J218-12),12,$J218-SUM($M218:P218)))</f>
        <v>0</v>
      </c>
      <c r="S218" s="1100"/>
      <c r="T218" s="1100">
        <v>0</v>
      </c>
      <c r="U218" s="1101">
        <f>IF($BG218=0,0,IF(SUM($S218:T218)&lt;($J218-12),12,$J218-SUM($S218:T218)))</f>
        <v>0</v>
      </c>
      <c r="V218" s="1101">
        <f>IF($BG218=0,0,IF(SUM($S218:U218)&lt;($J218-12),12,$J218-SUM($S218:U218)))</f>
        <v>0</v>
      </c>
      <c r="W218" s="1101">
        <f>IF($BG218=0,0,IF(SUM($S218:V218)&lt;($J218-12),12,$J218-SUM($S218:V218)))</f>
        <v>0</v>
      </c>
      <c r="Y218" s="1100"/>
      <c r="Z218" s="1100"/>
      <c r="AA218" s="1100">
        <v>0</v>
      </c>
      <c r="AB218" s="1101">
        <f>IF($BH218=0,0,IF(SUM($Y218:AA218)&lt;($J218-12),12,$J218-SUM($Y218:AA218)))</f>
        <v>0</v>
      </c>
      <c r="AC218" s="1101">
        <f>IF($BH218=0,0,IF(SUM($Y218:AB218)&lt;($J218-12),12,$J218-SUM($Y218:AB218)))</f>
        <v>0</v>
      </c>
      <c r="AE218" s="1100"/>
      <c r="AF218" s="1100"/>
      <c r="AG218" s="1100"/>
      <c r="AH218" s="1100">
        <v>3</v>
      </c>
      <c r="AI218" s="1101">
        <f>IF($BI218=0,0,IF(SUM($AE218:AH218)&lt;($J218-12),12,$J218-SUM($AE218:AH218)))</f>
        <v>12</v>
      </c>
      <c r="AK218" s="1100"/>
      <c r="AL218" s="1100"/>
      <c r="AM218" s="1100"/>
      <c r="AN218" s="1100"/>
      <c r="AO218" s="1100">
        <v>0</v>
      </c>
      <c r="AQ218" s="153">
        <f t="shared" si="24"/>
        <v>0</v>
      </c>
      <c r="AR218" s="153">
        <f t="shared" si="25"/>
        <v>0</v>
      </c>
      <c r="AS218" s="153">
        <f t="shared" si="26"/>
        <v>0</v>
      </c>
      <c r="AT218" s="153">
        <f t="shared" si="27"/>
        <v>0.25</v>
      </c>
      <c r="AU218" s="153">
        <f t="shared" si="28"/>
        <v>0</v>
      </c>
      <c r="AW218" s="1543">
        <v>0</v>
      </c>
      <c r="AX218" s="1102"/>
      <c r="AY218" s="1544">
        <v>1</v>
      </c>
      <c r="BA218" s="1103">
        <v>0</v>
      </c>
      <c r="BB218" s="1103">
        <v>0</v>
      </c>
      <c r="BC218" s="1103">
        <v>0</v>
      </c>
      <c r="BD218" s="1103">
        <v>0</v>
      </c>
      <c r="BE218" s="1103">
        <v>0</v>
      </c>
      <c r="BF218" s="1103">
        <v>0</v>
      </c>
      <c r="BG218" s="1103">
        <v>0</v>
      </c>
      <c r="BH218" s="1103">
        <v>0</v>
      </c>
      <c r="BI218" s="1103">
        <v>510</v>
      </c>
      <c r="BJ218" s="1103">
        <v>0</v>
      </c>
    </row>
    <row r="219" spans="2:62" hidden="1" outlineLevel="1">
      <c r="B219" s="1094"/>
      <c r="C219" s="1083" t="s">
        <v>516</v>
      </c>
      <c r="D219" s="1062" t="s">
        <v>512</v>
      </c>
      <c r="E219" s="1083" t="s">
        <v>515</v>
      </c>
      <c r="F219" s="1095" t="s">
        <v>414</v>
      </c>
      <c r="G219" s="1096">
        <f t="shared" si="21"/>
        <v>917.57180000000005</v>
      </c>
      <c r="H219" s="1083" t="s">
        <v>29</v>
      </c>
      <c r="I219" s="1097">
        <v>8</v>
      </c>
      <c r="J219" s="1098">
        <f t="shared" si="22"/>
        <v>96</v>
      </c>
      <c r="K219" s="153">
        <f t="shared" si="23"/>
        <v>0.125</v>
      </c>
      <c r="L219" s="1099"/>
      <c r="M219" s="1100">
        <v>0</v>
      </c>
      <c r="N219" s="1101">
        <f>IF($BF219=0,0,IF(SUM($M219:M219)&lt;($J219-12),12,$J219-SUM($M219:M219)))</f>
        <v>0</v>
      </c>
      <c r="O219" s="1101">
        <f>IF($BF219=0,0,IF(SUM($M219:N219)&lt;($J219-12),12,$J219-SUM($M219:N219)))</f>
        <v>0</v>
      </c>
      <c r="P219" s="1101">
        <f>IF($BF219=0,0,IF(SUM($M219:O219)&lt;($J219-12),12,$J219-SUM($M219:O219)))</f>
        <v>0</v>
      </c>
      <c r="Q219" s="1101">
        <f>IF($BF219=0,0,IF(SUM($M219:P219)&lt;($J219-12),12,$J219-SUM($M219:P219)))</f>
        <v>0</v>
      </c>
      <c r="S219" s="1100"/>
      <c r="T219" s="1100">
        <v>0</v>
      </c>
      <c r="U219" s="1101">
        <f>IF($BG219=0,0,IF(SUM($S219:T219)&lt;($J219-12),12,$J219-SUM($S219:T219)))</f>
        <v>0</v>
      </c>
      <c r="V219" s="1101">
        <f>IF($BG219=0,0,IF(SUM($S219:U219)&lt;($J219-12),12,$J219-SUM($S219:U219)))</f>
        <v>0</v>
      </c>
      <c r="W219" s="1101">
        <f>IF($BG219=0,0,IF(SUM($S219:V219)&lt;($J219-12),12,$J219-SUM($S219:V219)))</f>
        <v>0</v>
      </c>
      <c r="Y219" s="1100"/>
      <c r="Z219" s="1100"/>
      <c r="AA219" s="1100">
        <v>9.0574509809477579</v>
      </c>
      <c r="AB219" s="1101">
        <f>IF($BH219=0,0,IF(SUM($Y219:AA219)&lt;($J219-12),12,$J219-SUM($Y219:AA219)))</f>
        <v>12</v>
      </c>
      <c r="AC219" s="1101">
        <f>IF($BH219=0,0,IF(SUM($Y219:AB219)&lt;($J219-12),12,$J219-SUM($Y219:AB219)))</f>
        <v>12</v>
      </c>
      <c r="AE219" s="1100"/>
      <c r="AF219" s="1100"/>
      <c r="AG219" s="1100"/>
      <c r="AH219" s="1100">
        <v>0</v>
      </c>
      <c r="AI219" s="1101">
        <f>IF($BI219=0,0,IF(SUM($AE219:AH219)&lt;($J219-12),12,$J219-SUM($AE219:AH219)))</f>
        <v>0</v>
      </c>
      <c r="AK219" s="1100"/>
      <c r="AL219" s="1100"/>
      <c r="AM219" s="1100"/>
      <c r="AN219" s="1100"/>
      <c r="AO219" s="1100">
        <v>0</v>
      </c>
      <c r="AQ219" s="153">
        <f t="shared" si="24"/>
        <v>0</v>
      </c>
      <c r="AR219" s="153">
        <f t="shared" si="25"/>
        <v>0</v>
      </c>
      <c r="AS219" s="153">
        <f t="shared" si="26"/>
        <v>0.75478758174564653</v>
      </c>
      <c r="AT219" s="153">
        <f t="shared" si="27"/>
        <v>0</v>
      </c>
      <c r="AU219" s="153">
        <f t="shared" si="28"/>
        <v>0</v>
      </c>
      <c r="AW219" s="1543">
        <v>0</v>
      </c>
      <c r="AX219" s="1102"/>
      <c r="AY219" s="1544">
        <v>1</v>
      </c>
      <c r="BA219" s="1103">
        <v>0</v>
      </c>
      <c r="BB219" s="1103">
        <v>0</v>
      </c>
      <c r="BC219" s="1103">
        <v>0</v>
      </c>
      <c r="BD219" s="1103">
        <v>0</v>
      </c>
      <c r="BE219" s="1103">
        <v>0</v>
      </c>
      <c r="BF219" s="1103">
        <v>0</v>
      </c>
      <c r="BG219" s="1103">
        <v>0</v>
      </c>
      <c r="BH219" s="1103">
        <v>917.57180000000005</v>
      </c>
      <c r="BI219" s="1103">
        <v>0</v>
      </c>
      <c r="BJ219" s="1103">
        <v>0</v>
      </c>
    </row>
    <row r="220" spans="2:62" hidden="1" outlineLevel="1">
      <c r="B220" s="1094"/>
      <c r="C220" s="1083" t="s">
        <v>517</v>
      </c>
      <c r="D220" s="1062" t="s">
        <v>512</v>
      </c>
      <c r="E220" s="1083" t="s">
        <v>515</v>
      </c>
      <c r="F220" s="1095" t="s">
        <v>414</v>
      </c>
      <c r="G220" s="1096">
        <f t="shared" si="21"/>
        <v>500</v>
      </c>
      <c r="H220" s="1083" t="s">
        <v>29</v>
      </c>
      <c r="I220" s="1097">
        <v>8</v>
      </c>
      <c r="J220" s="1098">
        <f t="shared" si="22"/>
        <v>96</v>
      </c>
      <c r="K220" s="153">
        <f t="shared" si="23"/>
        <v>0.125</v>
      </c>
      <c r="L220" s="1099"/>
      <c r="M220" s="1100">
        <v>0</v>
      </c>
      <c r="N220" s="1101">
        <f>IF($BF220=0,0,IF(SUM($M220:M220)&lt;($J220-12),12,$J220-SUM($M220:M220)))</f>
        <v>0</v>
      </c>
      <c r="O220" s="1101">
        <f>IF($BF220=0,0,IF(SUM($M220:N220)&lt;($J220-12),12,$J220-SUM($M220:N220)))</f>
        <v>0</v>
      </c>
      <c r="P220" s="1101">
        <f>IF($BF220=0,0,IF(SUM($M220:O220)&lt;($J220-12),12,$J220-SUM($M220:O220)))</f>
        <v>0</v>
      </c>
      <c r="Q220" s="1101">
        <f>IF($BF220=0,0,IF(SUM($M220:P220)&lt;($J220-12),12,$J220-SUM($M220:P220)))</f>
        <v>0</v>
      </c>
      <c r="S220" s="1100"/>
      <c r="T220" s="1100">
        <v>0</v>
      </c>
      <c r="U220" s="1101">
        <f>IF($BG220=0,0,IF(SUM($S220:T220)&lt;($J220-12),12,$J220-SUM($S220:T220)))</f>
        <v>0</v>
      </c>
      <c r="V220" s="1101">
        <f>IF($BG220=0,0,IF(SUM($S220:U220)&lt;($J220-12),12,$J220-SUM($S220:U220)))</f>
        <v>0</v>
      </c>
      <c r="W220" s="1101">
        <f>IF($BG220=0,0,IF(SUM($S220:V220)&lt;($J220-12),12,$J220-SUM($S220:V220)))</f>
        <v>0</v>
      </c>
      <c r="Y220" s="1100"/>
      <c r="Z220" s="1100"/>
      <c r="AA220" s="1100">
        <v>3</v>
      </c>
      <c r="AB220" s="1101">
        <f>IF($BH220=0,0,IF(SUM($Y220:AA220)&lt;($J220-12),12,$J220-SUM($Y220:AA220)))</f>
        <v>12</v>
      </c>
      <c r="AC220" s="1101">
        <f>IF($BH220=0,0,IF(SUM($Y220:AB220)&lt;($J220-12),12,$J220-SUM($Y220:AB220)))</f>
        <v>12</v>
      </c>
      <c r="AE220" s="1100"/>
      <c r="AF220" s="1100"/>
      <c r="AG220" s="1100"/>
      <c r="AH220" s="1100">
        <v>0</v>
      </c>
      <c r="AI220" s="1101">
        <f>IF($BI220=0,0,IF(SUM($AE220:AH220)&lt;($J220-12),12,$J220-SUM($AE220:AH220)))</f>
        <v>0</v>
      </c>
      <c r="AK220" s="1100"/>
      <c r="AL220" s="1100"/>
      <c r="AM220" s="1100"/>
      <c r="AN220" s="1100"/>
      <c r="AO220" s="1100">
        <v>0</v>
      </c>
      <c r="AQ220" s="153">
        <f t="shared" si="24"/>
        <v>0</v>
      </c>
      <c r="AR220" s="153">
        <f t="shared" si="25"/>
        <v>0</v>
      </c>
      <c r="AS220" s="153">
        <f t="shared" si="26"/>
        <v>0.25</v>
      </c>
      <c r="AT220" s="153">
        <f t="shared" si="27"/>
        <v>0</v>
      </c>
      <c r="AU220" s="153">
        <f t="shared" si="28"/>
        <v>0</v>
      </c>
      <c r="AW220" s="1543">
        <v>0</v>
      </c>
      <c r="AX220" s="1102"/>
      <c r="AY220" s="1544">
        <v>1</v>
      </c>
      <c r="BA220" s="1103">
        <v>0</v>
      </c>
      <c r="BB220" s="1103">
        <v>0</v>
      </c>
      <c r="BC220" s="1103">
        <v>0</v>
      </c>
      <c r="BD220" s="1103">
        <v>0</v>
      </c>
      <c r="BE220" s="1103">
        <v>0</v>
      </c>
      <c r="BF220" s="1103">
        <v>0</v>
      </c>
      <c r="BG220" s="1103">
        <v>0</v>
      </c>
      <c r="BH220" s="1103">
        <v>500</v>
      </c>
      <c r="BI220" s="1103">
        <v>0</v>
      </c>
      <c r="BJ220" s="1103">
        <v>0</v>
      </c>
    </row>
    <row r="221" spans="2:62" hidden="1" outlineLevel="1">
      <c r="B221" s="1094"/>
      <c r="C221" s="1083" t="s">
        <v>518</v>
      </c>
      <c r="D221" s="1062" t="s">
        <v>518</v>
      </c>
      <c r="E221" s="1083" t="s">
        <v>519</v>
      </c>
      <c r="F221" s="1095" t="s">
        <v>414</v>
      </c>
      <c r="G221" s="1096">
        <f t="shared" si="21"/>
        <v>0</v>
      </c>
      <c r="H221" s="1083" t="s">
        <v>29</v>
      </c>
      <c r="I221" s="1097">
        <v>0</v>
      </c>
      <c r="J221" s="1098">
        <f t="shared" si="22"/>
        <v>0</v>
      </c>
      <c r="K221" s="153">
        <f t="shared" si="23"/>
        <v>0</v>
      </c>
      <c r="L221" s="1099"/>
      <c r="M221" s="1100">
        <v>0</v>
      </c>
      <c r="N221" s="1101">
        <f>IF($BF221=0,0,IF(SUM($M221:M221)&lt;($J221-12),12,$J221-SUM($M221:M221)))</f>
        <v>0</v>
      </c>
      <c r="O221" s="1101">
        <f>IF($BF221=0,0,IF(SUM($M221:N221)&lt;($J221-12),12,$J221-SUM($M221:N221)))</f>
        <v>0</v>
      </c>
      <c r="P221" s="1101">
        <f>IF($BF221=0,0,IF(SUM($M221:O221)&lt;($J221-12),12,$J221-SUM($M221:O221)))</f>
        <v>0</v>
      </c>
      <c r="Q221" s="1101">
        <f>IF($BF221=0,0,IF(SUM($M221:P221)&lt;($J221-12),12,$J221-SUM($M221:P221)))</f>
        <v>0</v>
      </c>
      <c r="S221" s="1100"/>
      <c r="T221" s="1100">
        <v>0</v>
      </c>
      <c r="U221" s="1101">
        <f>IF($BG221=0,0,IF(SUM($S221:T221)&lt;($J221-12),12,$J221-SUM($S221:T221)))</f>
        <v>0</v>
      </c>
      <c r="V221" s="1101">
        <f>IF($BG221=0,0,IF(SUM($S221:U221)&lt;($J221-12),12,$J221-SUM($S221:U221)))</f>
        <v>0</v>
      </c>
      <c r="W221" s="1101">
        <f>IF($BG221=0,0,IF(SUM($S221:V221)&lt;($J221-12),12,$J221-SUM($S221:V221)))</f>
        <v>0</v>
      </c>
      <c r="Y221" s="1100"/>
      <c r="Z221" s="1100"/>
      <c r="AA221" s="1100">
        <v>0</v>
      </c>
      <c r="AB221" s="1101">
        <f>IF($BH221=0,0,IF(SUM($Y221:AA221)&lt;($J221-12),12,$J221-SUM($Y221:AA221)))</f>
        <v>0</v>
      </c>
      <c r="AC221" s="1101">
        <f>IF($BH221=0,0,IF(SUM($Y221:AB221)&lt;($J221-12),12,$J221-SUM($Y221:AB221)))</f>
        <v>0</v>
      </c>
      <c r="AE221" s="1100"/>
      <c r="AF221" s="1100"/>
      <c r="AG221" s="1100"/>
      <c r="AH221" s="1100">
        <v>0</v>
      </c>
      <c r="AI221" s="1101">
        <f>IF($BI221=0,0,IF(SUM($AE221:AH221)&lt;($J221-12),12,$J221-SUM($AE221:AH221)))</f>
        <v>0</v>
      </c>
      <c r="AK221" s="1100"/>
      <c r="AL221" s="1100"/>
      <c r="AM221" s="1100"/>
      <c r="AN221" s="1100"/>
      <c r="AO221" s="1100">
        <v>0</v>
      </c>
      <c r="AQ221" s="153">
        <f t="shared" si="24"/>
        <v>0</v>
      </c>
      <c r="AR221" s="153">
        <f t="shared" si="25"/>
        <v>0</v>
      </c>
      <c r="AS221" s="153">
        <f t="shared" si="26"/>
        <v>0</v>
      </c>
      <c r="AT221" s="153">
        <f t="shared" si="27"/>
        <v>0</v>
      </c>
      <c r="AU221" s="153">
        <f t="shared" si="28"/>
        <v>0</v>
      </c>
      <c r="AW221" s="1543">
        <v>0</v>
      </c>
      <c r="AX221" s="1102"/>
      <c r="AY221" s="1544">
        <v>0</v>
      </c>
      <c r="BA221" s="1103">
        <v>0</v>
      </c>
      <c r="BB221" s="1103">
        <v>0</v>
      </c>
      <c r="BC221" s="1103">
        <v>0</v>
      </c>
      <c r="BD221" s="1103">
        <v>0</v>
      </c>
      <c r="BE221" s="1103">
        <v>0</v>
      </c>
      <c r="BF221" s="1103">
        <v>0</v>
      </c>
      <c r="BG221" s="1103">
        <v>0</v>
      </c>
      <c r="BH221" s="1103">
        <v>0</v>
      </c>
      <c r="BI221" s="1103">
        <v>0</v>
      </c>
      <c r="BJ221" s="1103">
        <v>0</v>
      </c>
    </row>
    <row r="222" spans="2:62" hidden="1" outlineLevel="1">
      <c r="B222" s="1094"/>
      <c r="C222" s="1083" t="s">
        <v>520</v>
      </c>
      <c r="D222" s="1062" t="s">
        <v>518</v>
      </c>
      <c r="E222" s="1083" t="s">
        <v>521</v>
      </c>
      <c r="F222" s="1095" t="s">
        <v>414</v>
      </c>
      <c r="G222" s="1096">
        <f t="shared" si="21"/>
        <v>208.57282000000001</v>
      </c>
      <c r="H222" s="1083" t="s">
        <v>29</v>
      </c>
      <c r="I222" s="1097">
        <v>8</v>
      </c>
      <c r="J222" s="1098">
        <f t="shared" si="22"/>
        <v>96</v>
      </c>
      <c r="K222" s="153">
        <f t="shared" si="23"/>
        <v>0.125</v>
      </c>
      <c r="L222" s="1099"/>
      <c r="M222" s="1100">
        <v>0</v>
      </c>
      <c r="N222" s="1101">
        <f>IF($BF222=0,0,IF(SUM($M222:M222)&lt;($J222-12),12,$J222-SUM($M222:M222)))</f>
        <v>0</v>
      </c>
      <c r="O222" s="1101">
        <f>IF($BF222=0,0,IF(SUM($M222:N222)&lt;($J222-12),12,$J222-SUM($M222:N222)))</f>
        <v>0</v>
      </c>
      <c r="P222" s="1101">
        <f>IF($BF222=0,0,IF(SUM($M222:O222)&lt;($J222-12),12,$J222-SUM($M222:O222)))</f>
        <v>0</v>
      </c>
      <c r="Q222" s="1101">
        <f>IF($BF222=0,0,IF(SUM($M222:P222)&lt;($J222-12),12,$J222-SUM($M222:P222)))</f>
        <v>0</v>
      </c>
      <c r="S222" s="1100"/>
      <c r="T222" s="1100">
        <v>6</v>
      </c>
      <c r="U222" s="1101">
        <f>IF($BG222=0,0,IF(SUM($S222:T222)&lt;($J222-12),12,$J222-SUM($S222:T222)))</f>
        <v>12</v>
      </c>
      <c r="V222" s="1101">
        <f>IF($BG222=0,0,IF(SUM($S222:U222)&lt;($J222-12),12,$J222-SUM($S222:U222)))</f>
        <v>12</v>
      </c>
      <c r="W222" s="1101">
        <f>IF($BG222=0,0,IF(SUM($S222:V222)&lt;($J222-12),12,$J222-SUM($S222:V222)))</f>
        <v>12</v>
      </c>
      <c r="Y222" s="1100"/>
      <c r="Z222" s="1100"/>
      <c r="AA222" s="1100">
        <v>0</v>
      </c>
      <c r="AB222" s="1101">
        <f>IF($BH222=0,0,IF(SUM($Y222:AA222)&lt;($J222-12),12,$J222-SUM($Y222:AA222)))</f>
        <v>0</v>
      </c>
      <c r="AC222" s="1101">
        <f>IF($BH222=0,0,IF(SUM($Y222:AB222)&lt;($J222-12),12,$J222-SUM($Y222:AB222)))</f>
        <v>0</v>
      </c>
      <c r="AE222" s="1100"/>
      <c r="AF222" s="1100"/>
      <c r="AG222" s="1100"/>
      <c r="AH222" s="1100">
        <v>0</v>
      </c>
      <c r="AI222" s="1101">
        <f>IF($BI222=0,0,IF(SUM($AE222:AH222)&lt;($J222-12),12,$J222-SUM($AE222:AH222)))</f>
        <v>0</v>
      </c>
      <c r="AK222" s="1100"/>
      <c r="AL222" s="1100"/>
      <c r="AM222" s="1100"/>
      <c r="AN222" s="1100"/>
      <c r="AO222" s="1100">
        <v>0</v>
      </c>
      <c r="AQ222" s="153">
        <f t="shared" si="24"/>
        <v>0</v>
      </c>
      <c r="AR222" s="153">
        <f t="shared" si="25"/>
        <v>0.5</v>
      </c>
      <c r="AS222" s="153">
        <f t="shared" si="26"/>
        <v>0</v>
      </c>
      <c r="AT222" s="153">
        <f t="shared" si="27"/>
        <v>0</v>
      </c>
      <c r="AU222" s="153">
        <f t="shared" si="28"/>
        <v>0</v>
      </c>
      <c r="AW222" s="1543">
        <v>0</v>
      </c>
      <c r="AX222" s="1102"/>
      <c r="AY222" s="1544">
        <v>1</v>
      </c>
      <c r="BA222" s="1103">
        <v>0</v>
      </c>
      <c r="BB222" s="1103">
        <v>0</v>
      </c>
      <c r="BC222" s="1103">
        <v>0</v>
      </c>
      <c r="BD222" s="1103">
        <v>0</v>
      </c>
      <c r="BE222" s="1103">
        <v>0</v>
      </c>
      <c r="BF222" s="1103">
        <v>0</v>
      </c>
      <c r="BG222" s="1103">
        <v>208.57282000000001</v>
      </c>
      <c r="BH222" s="1103">
        <v>0</v>
      </c>
      <c r="BI222" s="1103">
        <v>0</v>
      </c>
      <c r="BJ222" s="1103">
        <v>0</v>
      </c>
    </row>
    <row r="223" spans="2:62" hidden="1" outlineLevel="1">
      <c r="B223" s="1094"/>
      <c r="C223" s="1083" t="s">
        <v>522</v>
      </c>
      <c r="D223" s="1062" t="s">
        <v>518</v>
      </c>
      <c r="E223" s="1083" t="s">
        <v>521</v>
      </c>
      <c r="F223" s="1095" t="s">
        <v>414</v>
      </c>
      <c r="G223" s="1096">
        <f t="shared" si="21"/>
        <v>530</v>
      </c>
      <c r="H223" s="1083" t="s">
        <v>29</v>
      </c>
      <c r="I223" s="1097">
        <v>8</v>
      </c>
      <c r="J223" s="1098">
        <f t="shared" si="22"/>
        <v>96</v>
      </c>
      <c r="K223" s="153">
        <f t="shared" si="23"/>
        <v>0.125</v>
      </c>
      <c r="L223" s="1099"/>
      <c r="M223" s="1100">
        <v>0</v>
      </c>
      <c r="N223" s="1101">
        <f>IF($BF223=0,0,IF(SUM($M223:M223)&lt;($J223-12),12,$J223-SUM($M223:M223)))</f>
        <v>0</v>
      </c>
      <c r="O223" s="1101">
        <f>IF($BF223=0,0,IF(SUM($M223:N223)&lt;($J223-12),12,$J223-SUM($M223:N223)))</f>
        <v>0</v>
      </c>
      <c r="P223" s="1101">
        <f>IF($BF223=0,0,IF(SUM($M223:O223)&lt;($J223-12),12,$J223-SUM($M223:O223)))</f>
        <v>0</v>
      </c>
      <c r="Q223" s="1101">
        <f>IF($BF223=0,0,IF(SUM($M223:P223)&lt;($J223-12),12,$J223-SUM($M223:P223)))</f>
        <v>0</v>
      </c>
      <c r="S223" s="1100"/>
      <c r="T223" s="1100">
        <v>0</v>
      </c>
      <c r="U223" s="1101">
        <f>IF($BG223=0,0,IF(SUM($S223:T223)&lt;($J223-12),12,$J223-SUM($S223:T223)))</f>
        <v>0</v>
      </c>
      <c r="V223" s="1101">
        <f>IF($BG223=0,0,IF(SUM($S223:U223)&lt;($J223-12),12,$J223-SUM($S223:U223)))</f>
        <v>0</v>
      </c>
      <c r="W223" s="1101">
        <f>IF($BG223=0,0,IF(SUM($S223:V223)&lt;($J223-12),12,$J223-SUM($S223:V223)))</f>
        <v>0</v>
      </c>
      <c r="Y223" s="1100"/>
      <c r="Z223" s="1100"/>
      <c r="AA223" s="1100">
        <v>0</v>
      </c>
      <c r="AB223" s="1101">
        <f>IF($BH223=0,0,IF(SUM($Y223:AA223)&lt;($J223-12),12,$J223-SUM($Y223:AA223)))</f>
        <v>0</v>
      </c>
      <c r="AC223" s="1101">
        <f>IF($BH223=0,0,IF(SUM($Y223:AB223)&lt;($J223-12),12,$J223-SUM($Y223:AB223)))</f>
        <v>0</v>
      </c>
      <c r="AE223" s="1100"/>
      <c r="AF223" s="1100"/>
      <c r="AG223" s="1100"/>
      <c r="AH223" s="1100">
        <v>6</v>
      </c>
      <c r="AI223" s="1101">
        <f>IF($BI223=0,0,IF(SUM($AE223:AH223)&lt;($J223-12),12,$J223-SUM($AE223:AH223)))</f>
        <v>12</v>
      </c>
      <c r="AK223" s="1100"/>
      <c r="AL223" s="1100"/>
      <c r="AM223" s="1100"/>
      <c r="AN223" s="1100"/>
      <c r="AO223" s="1100">
        <v>0</v>
      </c>
      <c r="AQ223" s="153">
        <f t="shared" si="24"/>
        <v>0</v>
      </c>
      <c r="AR223" s="153">
        <f t="shared" si="25"/>
        <v>0</v>
      </c>
      <c r="AS223" s="153">
        <f t="shared" si="26"/>
        <v>0</v>
      </c>
      <c r="AT223" s="153">
        <f t="shared" si="27"/>
        <v>0.5</v>
      </c>
      <c r="AU223" s="153">
        <f t="shared" si="28"/>
        <v>0</v>
      </c>
      <c r="AW223" s="1543">
        <v>0.75</v>
      </c>
      <c r="AX223" s="1102"/>
      <c r="AY223" s="1544">
        <v>0.25</v>
      </c>
      <c r="BA223" s="1103">
        <v>0</v>
      </c>
      <c r="BB223" s="1103">
        <v>0</v>
      </c>
      <c r="BC223" s="1103">
        <v>0</v>
      </c>
      <c r="BD223" s="1103">
        <v>0</v>
      </c>
      <c r="BE223" s="1103">
        <v>0</v>
      </c>
      <c r="BF223" s="1103">
        <v>0</v>
      </c>
      <c r="BG223" s="1103">
        <v>0</v>
      </c>
      <c r="BH223" s="1103">
        <v>0</v>
      </c>
      <c r="BI223" s="1103">
        <v>530</v>
      </c>
      <c r="BJ223" s="1103">
        <v>0</v>
      </c>
    </row>
    <row r="224" spans="2:62" hidden="1" outlineLevel="1">
      <c r="B224" s="1094"/>
      <c r="C224" s="1083" t="s">
        <v>523</v>
      </c>
      <c r="D224" s="1062" t="s">
        <v>518</v>
      </c>
      <c r="E224" s="1083" t="s">
        <v>521</v>
      </c>
      <c r="F224" s="1095" t="s">
        <v>414</v>
      </c>
      <c r="G224" s="1096">
        <f t="shared" si="21"/>
        <v>300</v>
      </c>
      <c r="H224" s="1083" t="s">
        <v>29</v>
      </c>
      <c r="I224" s="1097">
        <v>8</v>
      </c>
      <c r="J224" s="1098">
        <f t="shared" si="22"/>
        <v>96</v>
      </c>
      <c r="K224" s="153">
        <f t="shared" si="23"/>
        <v>0.125</v>
      </c>
      <c r="L224" s="1099"/>
      <c r="M224" s="1100">
        <v>0</v>
      </c>
      <c r="N224" s="1101">
        <f>IF($BF224=0,0,IF(SUM($M224:M224)&lt;($J224-12),12,$J224-SUM($M224:M224)))</f>
        <v>0</v>
      </c>
      <c r="O224" s="1101">
        <f>IF($BF224=0,0,IF(SUM($M224:N224)&lt;($J224-12),12,$J224-SUM($M224:N224)))</f>
        <v>0</v>
      </c>
      <c r="P224" s="1101">
        <f>IF($BF224=0,0,IF(SUM($M224:O224)&lt;($J224-12),12,$J224-SUM($M224:O224)))</f>
        <v>0</v>
      </c>
      <c r="Q224" s="1101">
        <f>IF($BF224=0,0,IF(SUM($M224:P224)&lt;($J224-12),12,$J224-SUM($M224:P224)))</f>
        <v>0</v>
      </c>
      <c r="S224" s="1100"/>
      <c r="T224" s="1100">
        <v>0</v>
      </c>
      <c r="U224" s="1101">
        <f>IF($BG224=0,0,IF(SUM($S224:T224)&lt;($J224-12),12,$J224-SUM($S224:T224)))</f>
        <v>0</v>
      </c>
      <c r="V224" s="1101">
        <f>IF($BG224=0,0,IF(SUM($S224:U224)&lt;($J224-12),12,$J224-SUM($S224:U224)))</f>
        <v>0</v>
      </c>
      <c r="W224" s="1101">
        <f>IF($BG224=0,0,IF(SUM($S224:V224)&lt;($J224-12),12,$J224-SUM($S224:V224)))</f>
        <v>0</v>
      </c>
      <c r="Y224" s="1100"/>
      <c r="Z224" s="1100"/>
      <c r="AA224" s="1100">
        <v>12</v>
      </c>
      <c r="AB224" s="1101">
        <f>IF($BH224=0,0,IF(SUM($Y224:AA224)&lt;($J224-12),12,$J224-SUM($Y224:AA224)))</f>
        <v>12</v>
      </c>
      <c r="AC224" s="1101">
        <f>IF($BH224=0,0,IF(SUM($Y224:AB224)&lt;($J224-12),12,$J224-SUM($Y224:AB224)))</f>
        <v>12</v>
      </c>
      <c r="AE224" s="1100"/>
      <c r="AF224" s="1100"/>
      <c r="AG224" s="1100"/>
      <c r="AH224" s="1100">
        <v>0</v>
      </c>
      <c r="AI224" s="1101">
        <f>IF($BI224=0,0,IF(SUM($AE224:AH224)&lt;($J224-12),12,$J224-SUM($AE224:AH224)))</f>
        <v>0</v>
      </c>
      <c r="AK224" s="1100"/>
      <c r="AL224" s="1100"/>
      <c r="AM224" s="1100"/>
      <c r="AN224" s="1100"/>
      <c r="AO224" s="1100">
        <v>0</v>
      </c>
      <c r="AQ224" s="153">
        <f t="shared" si="24"/>
        <v>0</v>
      </c>
      <c r="AR224" s="153">
        <f t="shared" si="25"/>
        <v>0</v>
      </c>
      <c r="AS224" s="153">
        <f t="shared" si="26"/>
        <v>1</v>
      </c>
      <c r="AT224" s="153">
        <f t="shared" si="27"/>
        <v>0</v>
      </c>
      <c r="AU224" s="153">
        <f t="shared" si="28"/>
        <v>0</v>
      </c>
      <c r="AW224" s="1543">
        <v>0</v>
      </c>
      <c r="AX224" s="1102"/>
      <c r="AY224" s="1544">
        <v>1</v>
      </c>
      <c r="BA224" s="1103">
        <v>0</v>
      </c>
      <c r="BB224" s="1103">
        <v>0</v>
      </c>
      <c r="BC224" s="1103">
        <v>0</v>
      </c>
      <c r="BD224" s="1103">
        <v>0</v>
      </c>
      <c r="BE224" s="1103">
        <v>0</v>
      </c>
      <c r="BF224" s="1103">
        <v>0</v>
      </c>
      <c r="BG224" s="1103">
        <v>0</v>
      </c>
      <c r="BH224" s="1103">
        <v>300</v>
      </c>
      <c r="BI224" s="1103">
        <v>0</v>
      </c>
      <c r="BJ224" s="1103">
        <v>0</v>
      </c>
    </row>
    <row r="225" spans="2:62" hidden="1" outlineLevel="1">
      <c r="B225" s="1094"/>
      <c r="C225" s="1083" t="s">
        <v>524</v>
      </c>
      <c r="D225" s="1062" t="s">
        <v>518</v>
      </c>
      <c r="E225" s="1083" t="s">
        <v>521</v>
      </c>
      <c r="F225" s="1095" t="s">
        <v>414</v>
      </c>
      <c r="G225" s="1096">
        <f t="shared" si="21"/>
        <v>780</v>
      </c>
      <c r="H225" s="1083" t="s">
        <v>29</v>
      </c>
      <c r="I225" s="1097">
        <v>8</v>
      </c>
      <c r="J225" s="1098">
        <f t="shared" si="22"/>
        <v>96</v>
      </c>
      <c r="K225" s="153">
        <f t="shared" si="23"/>
        <v>0.125</v>
      </c>
      <c r="L225" s="1099"/>
      <c r="M225" s="1100">
        <v>0</v>
      </c>
      <c r="N225" s="1101">
        <f>IF($BF225=0,0,IF(SUM($M225:M225)&lt;($J225-12),12,$J225-SUM($M225:M225)))</f>
        <v>0</v>
      </c>
      <c r="O225" s="1101">
        <f>IF($BF225=0,0,IF(SUM($M225:N225)&lt;($J225-12),12,$J225-SUM($M225:N225)))</f>
        <v>0</v>
      </c>
      <c r="P225" s="1101">
        <f>IF($BF225=0,0,IF(SUM($M225:O225)&lt;($J225-12),12,$J225-SUM($M225:O225)))</f>
        <v>0</v>
      </c>
      <c r="Q225" s="1101">
        <f>IF($BF225=0,0,IF(SUM($M225:P225)&lt;($J225-12),12,$J225-SUM($M225:P225)))</f>
        <v>0</v>
      </c>
      <c r="S225" s="1100"/>
      <c r="T225" s="1100">
        <v>0</v>
      </c>
      <c r="U225" s="1101">
        <f>IF($BG225=0,0,IF(SUM($S225:T225)&lt;($J225-12),12,$J225-SUM($S225:T225)))</f>
        <v>0</v>
      </c>
      <c r="V225" s="1101">
        <f>IF($BG225=0,0,IF(SUM($S225:U225)&lt;($J225-12),12,$J225-SUM($S225:U225)))</f>
        <v>0</v>
      </c>
      <c r="W225" s="1101">
        <f>IF($BG225=0,0,IF(SUM($S225:V225)&lt;($J225-12),12,$J225-SUM($S225:V225)))</f>
        <v>0</v>
      </c>
      <c r="Y225" s="1100"/>
      <c r="Z225" s="1100"/>
      <c r="AA225" s="1100">
        <v>6</v>
      </c>
      <c r="AB225" s="1101">
        <f>IF($BH225=0,0,IF(SUM($Y225:AA225)&lt;($J225-12),12,$J225-SUM($Y225:AA225)))</f>
        <v>12</v>
      </c>
      <c r="AC225" s="1101">
        <f>IF($BH225=0,0,IF(SUM($Y225:AB225)&lt;($J225-12),12,$J225-SUM($Y225:AB225)))</f>
        <v>12</v>
      </c>
      <c r="AE225" s="1100"/>
      <c r="AF225" s="1100"/>
      <c r="AG225" s="1100"/>
      <c r="AH225" s="1100">
        <v>3</v>
      </c>
      <c r="AI225" s="1101">
        <f>IF($BI225=0,0,IF(SUM($AE225:AH225)&lt;($J225-12),12,$J225-SUM($AE225:AH225)))</f>
        <v>12</v>
      </c>
      <c r="AK225" s="1100"/>
      <c r="AL225" s="1100"/>
      <c r="AM225" s="1100"/>
      <c r="AN225" s="1100"/>
      <c r="AO225" s="1100">
        <v>0</v>
      </c>
      <c r="AQ225" s="153">
        <f t="shared" si="24"/>
        <v>0</v>
      </c>
      <c r="AR225" s="153">
        <f t="shared" si="25"/>
        <v>0</v>
      </c>
      <c r="AS225" s="153">
        <f t="shared" si="26"/>
        <v>0.5</v>
      </c>
      <c r="AT225" s="153">
        <f t="shared" si="27"/>
        <v>0.25</v>
      </c>
      <c r="AU225" s="153">
        <f t="shared" si="28"/>
        <v>0</v>
      </c>
      <c r="AW225" s="1543">
        <v>1</v>
      </c>
      <c r="AX225" s="1102"/>
      <c r="AY225" s="1544">
        <v>0</v>
      </c>
      <c r="BA225" s="1103">
        <v>0</v>
      </c>
      <c r="BB225" s="1103">
        <v>0</v>
      </c>
      <c r="BC225" s="1103">
        <v>0</v>
      </c>
      <c r="BD225" s="1103">
        <v>0</v>
      </c>
      <c r="BE225" s="1103">
        <v>0</v>
      </c>
      <c r="BF225" s="1103">
        <v>0</v>
      </c>
      <c r="BG225" s="1103">
        <v>0</v>
      </c>
      <c r="BH225" s="1103">
        <v>420</v>
      </c>
      <c r="BI225" s="1103">
        <v>360</v>
      </c>
      <c r="BJ225" s="1103">
        <v>0</v>
      </c>
    </row>
    <row r="226" spans="2:62" hidden="1" outlineLevel="1">
      <c r="B226" s="1094"/>
      <c r="C226" s="1083" t="s">
        <v>525</v>
      </c>
      <c r="D226" s="1062" t="s">
        <v>526</v>
      </c>
      <c r="E226" s="1083" t="s">
        <v>527</v>
      </c>
      <c r="F226" s="1095" t="s">
        <v>414</v>
      </c>
      <c r="G226" s="1096">
        <f t="shared" si="21"/>
        <v>888.55140000000006</v>
      </c>
      <c r="H226" s="1083" t="s">
        <v>29</v>
      </c>
      <c r="I226" s="1097">
        <v>8</v>
      </c>
      <c r="J226" s="1098">
        <f t="shared" si="22"/>
        <v>96</v>
      </c>
      <c r="K226" s="153">
        <f t="shared" si="23"/>
        <v>0.125</v>
      </c>
      <c r="L226" s="1099"/>
      <c r="M226" s="1100">
        <v>0</v>
      </c>
      <c r="N226" s="1101">
        <f>IF($BF226=0,0,IF(SUM($M226:M226)&lt;($J226-12),12,$J226-SUM($M226:M226)))</f>
        <v>0</v>
      </c>
      <c r="O226" s="1101">
        <f>IF($BF226=0,0,IF(SUM($M226:N226)&lt;($J226-12),12,$J226-SUM($M226:N226)))</f>
        <v>0</v>
      </c>
      <c r="P226" s="1101">
        <f>IF($BF226=0,0,IF(SUM($M226:O226)&lt;($J226-12),12,$J226-SUM($M226:O226)))</f>
        <v>0</v>
      </c>
      <c r="Q226" s="1101">
        <f>IF($BF226=0,0,IF(SUM($M226:P226)&lt;($J226-12),12,$J226-SUM($M226:P226)))</f>
        <v>0</v>
      </c>
      <c r="S226" s="1100"/>
      <c r="T226" s="1100">
        <v>0</v>
      </c>
      <c r="U226" s="1101">
        <f>IF($BG226=0,0,IF(SUM($S226:T226)&lt;($J226-12),12,$J226-SUM($S226:T226)))</f>
        <v>0</v>
      </c>
      <c r="V226" s="1101">
        <f>IF($BG226=0,0,IF(SUM($S226:U226)&lt;($J226-12),12,$J226-SUM($S226:U226)))</f>
        <v>0</v>
      </c>
      <c r="W226" s="1101">
        <f>IF($BG226=0,0,IF(SUM($S226:V226)&lt;($J226-12),12,$J226-SUM($S226:V226)))</f>
        <v>0</v>
      </c>
      <c r="Y226" s="1100"/>
      <c r="Z226" s="1100"/>
      <c r="AA226" s="1100">
        <v>3</v>
      </c>
      <c r="AB226" s="1101">
        <f>IF($BH226=0,0,IF(SUM($Y226:AA226)&lt;($J226-12),12,$J226-SUM($Y226:AA226)))</f>
        <v>12</v>
      </c>
      <c r="AC226" s="1101">
        <f>IF($BH226=0,0,IF(SUM($Y226:AB226)&lt;($J226-12),12,$J226-SUM($Y226:AB226)))</f>
        <v>12</v>
      </c>
      <c r="AE226" s="1100"/>
      <c r="AF226" s="1100"/>
      <c r="AG226" s="1100"/>
      <c r="AH226" s="1100">
        <v>0</v>
      </c>
      <c r="AI226" s="1101">
        <f>IF($BI226=0,0,IF(SUM($AE226:AH226)&lt;($J226-12),12,$J226-SUM($AE226:AH226)))</f>
        <v>0</v>
      </c>
      <c r="AK226" s="1100"/>
      <c r="AL226" s="1100"/>
      <c r="AM226" s="1100"/>
      <c r="AN226" s="1100"/>
      <c r="AO226" s="1100">
        <v>0</v>
      </c>
      <c r="AQ226" s="153">
        <f t="shared" si="24"/>
        <v>0</v>
      </c>
      <c r="AR226" s="153">
        <f t="shared" si="25"/>
        <v>0</v>
      </c>
      <c r="AS226" s="153">
        <f t="shared" si="26"/>
        <v>0.25</v>
      </c>
      <c r="AT226" s="153">
        <f t="shared" si="27"/>
        <v>0</v>
      </c>
      <c r="AU226" s="153">
        <f t="shared" si="28"/>
        <v>0</v>
      </c>
      <c r="AW226" s="1543">
        <v>0.75</v>
      </c>
      <c r="AX226" s="1102"/>
      <c r="AY226" s="1544">
        <v>0.25</v>
      </c>
      <c r="BA226" s="1103">
        <v>0</v>
      </c>
      <c r="BB226" s="1103">
        <v>0</v>
      </c>
      <c r="BC226" s="1103">
        <v>0</v>
      </c>
      <c r="BD226" s="1103">
        <v>0</v>
      </c>
      <c r="BE226" s="1103">
        <v>0</v>
      </c>
      <c r="BF226" s="1103">
        <v>0</v>
      </c>
      <c r="BG226" s="1103">
        <v>0</v>
      </c>
      <c r="BH226" s="1103">
        <v>888.55140000000006</v>
      </c>
      <c r="BI226" s="1103">
        <v>0</v>
      </c>
      <c r="BJ226" s="1103">
        <v>0</v>
      </c>
    </row>
    <row r="227" spans="2:62" hidden="1" outlineLevel="1">
      <c r="B227" s="1094"/>
      <c r="C227" s="1083" t="s">
        <v>528</v>
      </c>
      <c r="D227" s="1062" t="s">
        <v>526</v>
      </c>
      <c r="E227" s="1083" t="s">
        <v>527</v>
      </c>
      <c r="F227" s="1095" t="s">
        <v>414</v>
      </c>
      <c r="G227" s="1096">
        <f t="shared" si="21"/>
        <v>888.55140000000006</v>
      </c>
      <c r="H227" s="1083" t="s">
        <v>29</v>
      </c>
      <c r="I227" s="1097">
        <v>8</v>
      </c>
      <c r="J227" s="1098">
        <f t="shared" si="22"/>
        <v>96</v>
      </c>
      <c r="K227" s="153">
        <f t="shared" si="23"/>
        <v>0.125</v>
      </c>
      <c r="L227" s="1099"/>
      <c r="M227" s="1100">
        <v>0</v>
      </c>
      <c r="N227" s="1101">
        <f>IF($BF227=0,0,IF(SUM($M227:M227)&lt;($J227-12),12,$J227-SUM($M227:M227)))</f>
        <v>0</v>
      </c>
      <c r="O227" s="1101">
        <f>IF($BF227=0,0,IF(SUM($M227:N227)&lt;($J227-12),12,$J227-SUM($M227:N227)))</f>
        <v>0</v>
      </c>
      <c r="P227" s="1101">
        <f>IF($BF227=0,0,IF(SUM($M227:O227)&lt;($J227-12),12,$J227-SUM($M227:O227)))</f>
        <v>0</v>
      </c>
      <c r="Q227" s="1101">
        <f>IF($BF227=0,0,IF(SUM($M227:P227)&lt;($J227-12),12,$J227-SUM($M227:P227)))</f>
        <v>0</v>
      </c>
      <c r="S227" s="1100"/>
      <c r="T227" s="1100">
        <v>3</v>
      </c>
      <c r="U227" s="1101">
        <f>IF($BG227=0,0,IF(SUM($S227:T227)&lt;($J227-12),12,$J227-SUM($S227:T227)))</f>
        <v>12</v>
      </c>
      <c r="V227" s="1101">
        <f>IF($BG227=0,0,IF(SUM($S227:U227)&lt;($J227-12),12,$J227-SUM($S227:U227)))</f>
        <v>12</v>
      </c>
      <c r="W227" s="1101">
        <f>IF($BG227=0,0,IF(SUM($S227:V227)&lt;($J227-12),12,$J227-SUM($S227:V227)))</f>
        <v>12</v>
      </c>
      <c r="Y227" s="1100"/>
      <c r="Z227" s="1100"/>
      <c r="AA227" s="1100">
        <v>0</v>
      </c>
      <c r="AB227" s="1101">
        <f>IF($BH227=0,0,IF(SUM($Y227:AA227)&lt;($J227-12),12,$J227-SUM($Y227:AA227)))</f>
        <v>0</v>
      </c>
      <c r="AC227" s="1101">
        <f>IF($BH227=0,0,IF(SUM($Y227:AB227)&lt;($J227-12),12,$J227-SUM($Y227:AB227)))</f>
        <v>0</v>
      </c>
      <c r="AE227" s="1100"/>
      <c r="AF227" s="1100"/>
      <c r="AG227" s="1100"/>
      <c r="AH227" s="1100">
        <v>0</v>
      </c>
      <c r="AI227" s="1101">
        <f>IF($BI227=0,0,IF(SUM($AE227:AH227)&lt;($J227-12),12,$J227-SUM($AE227:AH227)))</f>
        <v>0</v>
      </c>
      <c r="AK227" s="1100"/>
      <c r="AL227" s="1100"/>
      <c r="AM227" s="1100"/>
      <c r="AN227" s="1100"/>
      <c r="AO227" s="1100">
        <v>0</v>
      </c>
      <c r="AQ227" s="153">
        <f t="shared" si="24"/>
        <v>0</v>
      </c>
      <c r="AR227" s="153">
        <f t="shared" si="25"/>
        <v>0.25</v>
      </c>
      <c r="AS227" s="153">
        <f t="shared" si="26"/>
        <v>0</v>
      </c>
      <c r="AT227" s="153">
        <f t="shared" si="27"/>
        <v>0</v>
      </c>
      <c r="AU227" s="153">
        <f t="shared" si="28"/>
        <v>0</v>
      </c>
      <c r="AW227" s="1543">
        <v>0.75</v>
      </c>
      <c r="AX227" s="1102"/>
      <c r="AY227" s="1544">
        <v>0.25</v>
      </c>
      <c r="BA227" s="1103">
        <v>0</v>
      </c>
      <c r="BB227" s="1103">
        <v>0</v>
      </c>
      <c r="BC227" s="1103">
        <v>0</v>
      </c>
      <c r="BD227" s="1103">
        <v>0</v>
      </c>
      <c r="BE227" s="1103">
        <v>0</v>
      </c>
      <c r="BF227" s="1103">
        <v>0</v>
      </c>
      <c r="BG227" s="1103">
        <v>888.55140000000006</v>
      </c>
      <c r="BH227" s="1103">
        <v>0</v>
      </c>
      <c r="BI227" s="1103">
        <v>0</v>
      </c>
      <c r="BJ227" s="1103">
        <v>0</v>
      </c>
    </row>
    <row r="228" spans="2:62" hidden="1" outlineLevel="1">
      <c r="B228" s="1094"/>
      <c r="C228" s="1083" t="s">
        <v>529</v>
      </c>
      <c r="D228" s="1062" t="s">
        <v>529</v>
      </c>
      <c r="E228" s="1083" t="s">
        <v>530</v>
      </c>
      <c r="F228" s="1095" t="s">
        <v>414</v>
      </c>
      <c r="G228" s="1096">
        <f t="shared" si="21"/>
        <v>0</v>
      </c>
      <c r="H228" s="1083" t="s">
        <v>29</v>
      </c>
      <c r="I228" s="1097">
        <v>0</v>
      </c>
      <c r="J228" s="1098">
        <f t="shared" si="22"/>
        <v>0</v>
      </c>
      <c r="K228" s="153">
        <f t="shared" si="23"/>
        <v>0</v>
      </c>
      <c r="L228" s="1099"/>
      <c r="M228" s="1100">
        <v>0</v>
      </c>
      <c r="N228" s="1101">
        <f>IF($BF228=0,0,IF(SUM($M228:M228)&lt;($J228-12),12,$J228-SUM($M228:M228)))</f>
        <v>0</v>
      </c>
      <c r="O228" s="1101">
        <f>IF($BF228=0,0,IF(SUM($M228:N228)&lt;($J228-12),12,$J228-SUM($M228:N228)))</f>
        <v>0</v>
      </c>
      <c r="P228" s="1101">
        <f>IF($BF228=0,0,IF(SUM($M228:O228)&lt;($J228-12),12,$J228-SUM($M228:O228)))</f>
        <v>0</v>
      </c>
      <c r="Q228" s="1101">
        <f>IF($BF228=0,0,IF(SUM($M228:P228)&lt;($J228-12),12,$J228-SUM($M228:P228)))</f>
        <v>0</v>
      </c>
      <c r="S228" s="1100"/>
      <c r="T228" s="1100">
        <v>0</v>
      </c>
      <c r="U228" s="1101">
        <f>IF($BG228=0,0,IF(SUM($S228:T228)&lt;($J228-12),12,$J228-SUM($S228:T228)))</f>
        <v>0</v>
      </c>
      <c r="V228" s="1101">
        <f>IF($BG228=0,0,IF(SUM($S228:U228)&lt;($J228-12),12,$J228-SUM($S228:U228)))</f>
        <v>0</v>
      </c>
      <c r="W228" s="1101">
        <f>IF($BG228=0,0,IF(SUM($S228:V228)&lt;($J228-12),12,$J228-SUM($S228:V228)))</f>
        <v>0</v>
      </c>
      <c r="Y228" s="1100"/>
      <c r="Z228" s="1100"/>
      <c r="AA228" s="1100">
        <v>0</v>
      </c>
      <c r="AB228" s="1101">
        <f>IF($BH228=0,0,IF(SUM($Y228:AA228)&lt;($J228-12),12,$J228-SUM($Y228:AA228)))</f>
        <v>0</v>
      </c>
      <c r="AC228" s="1101">
        <f>IF($BH228=0,0,IF(SUM($Y228:AB228)&lt;($J228-12),12,$J228-SUM($Y228:AB228)))</f>
        <v>0</v>
      </c>
      <c r="AE228" s="1100"/>
      <c r="AF228" s="1100"/>
      <c r="AG228" s="1100"/>
      <c r="AH228" s="1100">
        <v>0</v>
      </c>
      <c r="AI228" s="1101">
        <f>IF($BI228=0,0,IF(SUM($AE228:AH228)&lt;($J228-12),12,$J228-SUM($AE228:AH228)))</f>
        <v>0</v>
      </c>
      <c r="AK228" s="1100"/>
      <c r="AL228" s="1100"/>
      <c r="AM228" s="1100"/>
      <c r="AN228" s="1100"/>
      <c r="AO228" s="1100">
        <v>0</v>
      </c>
      <c r="AQ228" s="153">
        <f t="shared" si="24"/>
        <v>0</v>
      </c>
      <c r="AR228" s="153">
        <f t="shared" si="25"/>
        <v>0</v>
      </c>
      <c r="AS228" s="153">
        <f t="shared" si="26"/>
        <v>0</v>
      </c>
      <c r="AT228" s="153">
        <f t="shared" si="27"/>
        <v>0</v>
      </c>
      <c r="AU228" s="153">
        <f t="shared" si="28"/>
        <v>0</v>
      </c>
      <c r="AW228" s="1543">
        <v>0</v>
      </c>
      <c r="AX228" s="1102"/>
      <c r="AY228" s="1544">
        <v>0</v>
      </c>
      <c r="BA228" s="1103">
        <v>0</v>
      </c>
      <c r="BB228" s="1103">
        <v>0</v>
      </c>
      <c r="BC228" s="1103">
        <v>0</v>
      </c>
      <c r="BD228" s="1103">
        <v>0</v>
      </c>
      <c r="BE228" s="1103">
        <v>0</v>
      </c>
      <c r="BF228" s="1103">
        <v>0</v>
      </c>
      <c r="BG228" s="1103">
        <v>0</v>
      </c>
      <c r="BH228" s="1103">
        <v>0</v>
      </c>
      <c r="BI228" s="1103">
        <v>0</v>
      </c>
      <c r="BJ228" s="1103">
        <v>0</v>
      </c>
    </row>
    <row r="229" spans="2:62" hidden="1" outlineLevel="1">
      <c r="B229" s="1094"/>
      <c r="C229" s="1083" t="s">
        <v>531</v>
      </c>
      <c r="D229" s="1062" t="s">
        <v>529</v>
      </c>
      <c r="E229" s="1083" t="s">
        <v>532</v>
      </c>
      <c r="F229" s="1095" t="s">
        <v>414</v>
      </c>
      <c r="G229" s="1096">
        <f t="shared" si="21"/>
        <v>1125.094476997145</v>
      </c>
      <c r="H229" s="1083" t="s">
        <v>29</v>
      </c>
      <c r="I229" s="1097">
        <v>5</v>
      </c>
      <c r="J229" s="1098">
        <f t="shared" si="22"/>
        <v>60</v>
      </c>
      <c r="K229" s="153">
        <f t="shared" si="23"/>
        <v>0.2</v>
      </c>
      <c r="L229" s="1099"/>
      <c r="M229" s="1100">
        <v>0</v>
      </c>
      <c r="N229" s="1101">
        <f>IF($BF229=0,0,IF(SUM($M229:M229)&lt;($J229-12),12,$J229-SUM($M229:M229)))</f>
        <v>0</v>
      </c>
      <c r="O229" s="1101">
        <f>IF($BF229=0,0,IF(SUM($M229:N229)&lt;($J229-12),12,$J229-SUM($M229:N229)))</f>
        <v>0</v>
      </c>
      <c r="P229" s="1101">
        <f>IF($BF229=0,0,IF(SUM($M229:O229)&lt;($J229-12),12,$J229-SUM($M229:O229)))</f>
        <v>0</v>
      </c>
      <c r="Q229" s="1101">
        <f>IF($BF229=0,0,IF(SUM($M229:P229)&lt;($J229-12),12,$J229-SUM($M229:P229)))</f>
        <v>0</v>
      </c>
      <c r="S229" s="1100"/>
      <c r="T229" s="1100">
        <v>4.5380831047971855</v>
      </c>
      <c r="U229" s="1101">
        <f>IF($BG229=0,0,IF(SUM($S229:T229)&lt;($J229-12),12,$J229-SUM($S229:T229)))</f>
        <v>12</v>
      </c>
      <c r="V229" s="1101">
        <f>IF($BG229=0,0,IF(SUM($S229:U229)&lt;($J229-12),12,$J229-SUM($S229:U229)))</f>
        <v>12</v>
      </c>
      <c r="W229" s="1101">
        <f>IF($BG229=0,0,IF(SUM($S229:V229)&lt;($J229-12),12,$J229-SUM($S229:V229)))</f>
        <v>12</v>
      </c>
      <c r="Y229" s="1100"/>
      <c r="Z229" s="1100"/>
      <c r="AA229" s="1100">
        <v>10.864979445015416</v>
      </c>
      <c r="AB229" s="1101">
        <f>IF($BH229=0,0,IF(SUM($Y229:AA229)&lt;($J229-12),12,$J229-SUM($Y229:AA229)))</f>
        <v>12</v>
      </c>
      <c r="AC229" s="1101">
        <f>IF($BH229=0,0,IF(SUM($Y229:AB229)&lt;($J229-12),12,$J229-SUM($Y229:AB229)))</f>
        <v>12</v>
      </c>
      <c r="AE229" s="1100"/>
      <c r="AF229" s="1100"/>
      <c r="AG229" s="1100"/>
      <c r="AH229" s="1100">
        <v>0</v>
      </c>
      <c r="AI229" s="1101">
        <f>IF($BI229=0,0,IF(SUM($AE229:AH229)&lt;($J229-12),12,$J229-SUM($AE229:AH229)))</f>
        <v>0</v>
      </c>
      <c r="AK229" s="1100"/>
      <c r="AL229" s="1100"/>
      <c r="AM229" s="1100"/>
      <c r="AN229" s="1100"/>
      <c r="AO229" s="1100">
        <v>0</v>
      </c>
      <c r="AQ229" s="153">
        <f t="shared" si="24"/>
        <v>0</v>
      </c>
      <c r="AR229" s="153">
        <f t="shared" si="25"/>
        <v>0.37817359206643214</v>
      </c>
      <c r="AS229" s="153">
        <f t="shared" si="26"/>
        <v>0.90541495375128467</v>
      </c>
      <c r="AT229" s="153">
        <f t="shared" si="27"/>
        <v>0</v>
      </c>
      <c r="AU229" s="153">
        <f t="shared" si="28"/>
        <v>0</v>
      </c>
      <c r="AW229" s="1543">
        <v>0.75</v>
      </c>
      <c r="AX229" s="1102"/>
      <c r="AY229" s="1544">
        <v>0.25</v>
      </c>
      <c r="BA229" s="1103">
        <v>0</v>
      </c>
      <c r="BB229" s="1103">
        <v>0</v>
      </c>
      <c r="BC229" s="1103">
        <v>0</v>
      </c>
      <c r="BD229" s="1103">
        <v>0</v>
      </c>
      <c r="BE229" s="1103">
        <v>0</v>
      </c>
      <c r="BF229" s="1103">
        <v>0</v>
      </c>
      <c r="BG229" s="1103">
        <v>735.89447699714503</v>
      </c>
      <c r="BH229" s="1103">
        <v>389.2</v>
      </c>
      <c r="BI229" s="1103">
        <v>0</v>
      </c>
      <c r="BJ229" s="1103">
        <v>0</v>
      </c>
    </row>
    <row r="230" spans="2:62" hidden="1" outlineLevel="1">
      <c r="B230" s="1094"/>
      <c r="C230" s="1083" t="s">
        <v>533</v>
      </c>
      <c r="D230" s="1062" t="s">
        <v>529</v>
      </c>
      <c r="E230" s="1083" t="s">
        <v>532</v>
      </c>
      <c r="F230" s="1095" t="s">
        <v>414</v>
      </c>
      <c r="G230" s="1096">
        <f t="shared" si="21"/>
        <v>311.24512562521102</v>
      </c>
      <c r="H230" s="1083" t="s">
        <v>29</v>
      </c>
      <c r="I230" s="1097">
        <v>5</v>
      </c>
      <c r="J230" s="1098">
        <f t="shared" si="22"/>
        <v>60</v>
      </c>
      <c r="K230" s="153">
        <f t="shared" si="23"/>
        <v>0.2</v>
      </c>
      <c r="L230" s="1099"/>
      <c r="M230" s="1100">
        <v>0</v>
      </c>
      <c r="N230" s="1101">
        <f>IF($BF230=0,0,IF(SUM($M230:M230)&lt;($J230-12),12,$J230-SUM($M230:M230)))</f>
        <v>0</v>
      </c>
      <c r="O230" s="1101">
        <f>IF($BF230=0,0,IF(SUM($M230:N230)&lt;($J230-12),12,$J230-SUM($M230:N230)))</f>
        <v>0</v>
      </c>
      <c r="P230" s="1101">
        <f>IF($BF230=0,0,IF(SUM($M230:O230)&lt;($J230-12),12,$J230-SUM($M230:O230)))</f>
        <v>0</v>
      </c>
      <c r="Q230" s="1101">
        <f>IF($BF230=0,0,IF(SUM($M230:P230)&lt;($J230-12),12,$J230-SUM($M230:P230)))</f>
        <v>0</v>
      </c>
      <c r="S230" s="1100"/>
      <c r="T230" s="1100">
        <v>9</v>
      </c>
      <c r="U230" s="1101">
        <f>IF($BG230=0,0,IF(SUM($S230:T230)&lt;($J230-12),12,$J230-SUM($S230:T230)))</f>
        <v>12</v>
      </c>
      <c r="V230" s="1101">
        <f>IF($BG230=0,0,IF(SUM($S230:U230)&lt;($J230-12),12,$J230-SUM($S230:U230)))</f>
        <v>12</v>
      </c>
      <c r="W230" s="1101">
        <f>IF($BG230=0,0,IF(SUM($S230:V230)&lt;($J230-12),12,$J230-SUM($S230:V230)))</f>
        <v>12</v>
      </c>
      <c r="Y230" s="1100"/>
      <c r="Z230" s="1100"/>
      <c r="AA230" s="1100">
        <v>0</v>
      </c>
      <c r="AB230" s="1101">
        <f>IF($BH230=0,0,IF(SUM($Y230:AA230)&lt;($J230-12),12,$J230-SUM($Y230:AA230)))</f>
        <v>0</v>
      </c>
      <c r="AC230" s="1101">
        <f>IF($BH230=0,0,IF(SUM($Y230:AB230)&lt;($J230-12),12,$J230-SUM($Y230:AB230)))</f>
        <v>0</v>
      </c>
      <c r="AE230" s="1100"/>
      <c r="AF230" s="1100"/>
      <c r="AG230" s="1100"/>
      <c r="AH230" s="1100">
        <v>0</v>
      </c>
      <c r="AI230" s="1101">
        <f>IF($BI230=0,0,IF(SUM($AE230:AH230)&lt;($J230-12),12,$J230-SUM($AE230:AH230)))</f>
        <v>0</v>
      </c>
      <c r="AK230" s="1100"/>
      <c r="AL230" s="1100"/>
      <c r="AM230" s="1100"/>
      <c r="AN230" s="1100"/>
      <c r="AO230" s="1100">
        <v>0</v>
      </c>
      <c r="AQ230" s="153">
        <f t="shared" si="24"/>
        <v>0</v>
      </c>
      <c r="AR230" s="153">
        <f t="shared" si="25"/>
        <v>0.75</v>
      </c>
      <c r="AS230" s="153">
        <f t="shared" si="26"/>
        <v>0</v>
      </c>
      <c r="AT230" s="153">
        <f t="shared" si="27"/>
        <v>0</v>
      </c>
      <c r="AU230" s="153">
        <f t="shared" si="28"/>
        <v>0</v>
      </c>
      <c r="AW230" s="1543">
        <v>0.75</v>
      </c>
      <c r="AX230" s="1102"/>
      <c r="AY230" s="1544">
        <v>0.25</v>
      </c>
      <c r="BA230" s="1103">
        <v>0</v>
      </c>
      <c r="BB230" s="1103">
        <v>0</v>
      </c>
      <c r="BC230" s="1103">
        <v>0</v>
      </c>
      <c r="BD230" s="1103">
        <v>0</v>
      </c>
      <c r="BE230" s="1103">
        <v>0</v>
      </c>
      <c r="BF230" s="1103">
        <v>0</v>
      </c>
      <c r="BG230" s="1103">
        <v>311.24512562521102</v>
      </c>
      <c r="BH230" s="1103">
        <v>0</v>
      </c>
      <c r="BI230" s="1103">
        <v>0</v>
      </c>
      <c r="BJ230" s="1103">
        <v>0</v>
      </c>
    </row>
    <row r="231" spans="2:62" hidden="1" outlineLevel="1">
      <c r="B231" s="1094"/>
      <c r="C231" s="1083" t="s">
        <v>534</v>
      </c>
      <c r="D231" s="1062" t="s">
        <v>529</v>
      </c>
      <c r="E231" s="1083" t="s">
        <v>532</v>
      </c>
      <c r="F231" s="1095" t="s">
        <v>414</v>
      </c>
      <c r="G231" s="1096">
        <f t="shared" si="21"/>
        <v>124.5375817221324</v>
      </c>
      <c r="H231" s="1083" t="s">
        <v>29</v>
      </c>
      <c r="I231" s="1097">
        <v>5</v>
      </c>
      <c r="J231" s="1098">
        <f t="shared" si="22"/>
        <v>60</v>
      </c>
      <c r="K231" s="153">
        <f t="shared" si="23"/>
        <v>0.2</v>
      </c>
      <c r="L231" s="1099"/>
      <c r="M231" s="1100">
        <v>0</v>
      </c>
      <c r="N231" s="1101">
        <f>IF($BF231=0,0,IF(SUM($M231:M231)&lt;($J231-12),12,$J231-SUM($M231:M231)))</f>
        <v>0</v>
      </c>
      <c r="O231" s="1101">
        <f>IF($BF231=0,0,IF(SUM($M231:N231)&lt;($J231-12),12,$J231-SUM($M231:N231)))</f>
        <v>0</v>
      </c>
      <c r="P231" s="1101">
        <f>IF($BF231=0,0,IF(SUM($M231:O231)&lt;($J231-12),12,$J231-SUM($M231:O231)))</f>
        <v>0</v>
      </c>
      <c r="Q231" s="1101">
        <f>IF($BF231=0,0,IF(SUM($M231:P231)&lt;($J231-12),12,$J231-SUM($M231:P231)))</f>
        <v>0</v>
      </c>
      <c r="S231" s="1100"/>
      <c r="T231" s="1100">
        <v>3</v>
      </c>
      <c r="U231" s="1101">
        <f>IF($BG231=0,0,IF(SUM($S231:T231)&lt;($J231-12),12,$J231-SUM($S231:T231)))</f>
        <v>12</v>
      </c>
      <c r="V231" s="1101">
        <f>IF($BG231=0,0,IF(SUM($S231:U231)&lt;($J231-12),12,$J231-SUM($S231:U231)))</f>
        <v>12</v>
      </c>
      <c r="W231" s="1101">
        <f>IF($BG231=0,0,IF(SUM($S231:V231)&lt;($J231-12),12,$J231-SUM($S231:V231)))</f>
        <v>12</v>
      </c>
      <c r="Y231" s="1100"/>
      <c r="Z231" s="1100"/>
      <c r="AA231" s="1100">
        <v>12</v>
      </c>
      <c r="AB231" s="1101">
        <f>IF($BH231=0,0,IF(SUM($Y231:AA231)&lt;($J231-12),12,$J231-SUM($Y231:AA231)))</f>
        <v>12</v>
      </c>
      <c r="AC231" s="1101">
        <f>IF($BH231=0,0,IF(SUM($Y231:AB231)&lt;($J231-12),12,$J231-SUM($Y231:AB231)))</f>
        <v>12</v>
      </c>
      <c r="AE231" s="1100"/>
      <c r="AF231" s="1100"/>
      <c r="AG231" s="1100"/>
      <c r="AH231" s="1100">
        <v>0</v>
      </c>
      <c r="AI231" s="1101">
        <f>IF($BI231=0,0,IF(SUM($AE231:AH231)&lt;($J231-12),12,$J231-SUM($AE231:AH231)))</f>
        <v>0</v>
      </c>
      <c r="AK231" s="1100"/>
      <c r="AL231" s="1100"/>
      <c r="AM231" s="1100"/>
      <c r="AN231" s="1100"/>
      <c r="AO231" s="1100">
        <v>0</v>
      </c>
      <c r="AQ231" s="153">
        <f t="shared" si="24"/>
        <v>0</v>
      </c>
      <c r="AR231" s="153">
        <f t="shared" si="25"/>
        <v>0.25</v>
      </c>
      <c r="AS231" s="153">
        <f t="shared" si="26"/>
        <v>1</v>
      </c>
      <c r="AT231" s="153">
        <f t="shared" si="27"/>
        <v>0</v>
      </c>
      <c r="AU231" s="153">
        <f t="shared" si="28"/>
        <v>0</v>
      </c>
      <c r="AW231" s="1543">
        <v>0.5</v>
      </c>
      <c r="AX231" s="1102"/>
      <c r="AY231" s="1544">
        <v>0.5</v>
      </c>
      <c r="BA231" s="1103">
        <v>0</v>
      </c>
      <c r="BB231" s="1103">
        <v>0</v>
      </c>
      <c r="BC231" s="1103">
        <v>0</v>
      </c>
      <c r="BD231" s="1103">
        <v>0</v>
      </c>
      <c r="BE231" s="1103">
        <v>0</v>
      </c>
      <c r="BF231" s="1103">
        <v>0</v>
      </c>
      <c r="BG231" s="1103">
        <v>101.5375817221324</v>
      </c>
      <c r="BH231" s="1103">
        <v>23</v>
      </c>
      <c r="BI231" s="1103">
        <v>0</v>
      </c>
      <c r="BJ231" s="1103">
        <v>0</v>
      </c>
    </row>
    <row r="232" spans="2:62" hidden="1" outlineLevel="1">
      <c r="B232" s="1094"/>
      <c r="C232" s="1083" t="s">
        <v>535</v>
      </c>
      <c r="D232" s="1062" t="s">
        <v>535</v>
      </c>
      <c r="E232" s="1083" t="s">
        <v>536</v>
      </c>
      <c r="F232" s="1095" t="s">
        <v>414</v>
      </c>
      <c r="G232" s="1096">
        <f t="shared" si="21"/>
        <v>1550</v>
      </c>
      <c r="H232" s="1083" t="s">
        <v>29</v>
      </c>
      <c r="I232" s="1097">
        <v>8</v>
      </c>
      <c r="J232" s="1098">
        <f t="shared" si="22"/>
        <v>96</v>
      </c>
      <c r="K232" s="153">
        <f t="shared" si="23"/>
        <v>0.125</v>
      </c>
      <c r="L232" s="1099"/>
      <c r="M232" s="1100">
        <v>0</v>
      </c>
      <c r="N232" s="1101">
        <f>IF($BF232=0,0,IF(SUM($M232:M232)&lt;($J232-12),12,$J232-SUM($M232:M232)))</f>
        <v>0</v>
      </c>
      <c r="O232" s="1101">
        <f>IF($BF232=0,0,IF(SUM($M232:N232)&lt;($J232-12),12,$J232-SUM($M232:N232)))</f>
        <v>0</v>
      </c>
      <c r="P232" s="1101">
        <f>IF($BF232=0,0,IF(SUM($M232:O232)&lt;($J232-12),12,$J232-SUM($M232:O232)))</f>
        <v>0</v>
      </c>
      <c r="Q232" s="1101">
        <f>IF($BF232=0,0,IF(SUM($M232:P232)&lt;($J232-12),12,$J232-SUM($M232:P232)))</f>
        <v>0</v>
      </c>
      <c r="S232" s="1100"/>
      <c r="T232" s="1100">
        <v>0</v>
      </c>
      <c r="U232" s="1101">
        <f>IF($BG232=0,0,IF(SUM($S232:T232)&lt;($J232-12),12,$J232-SUM($S232:T232)))</f>
        <v>0</v>
      </c>
      <c r="V232" s="1101">
        <f>IF($BG232=0,0,IF(SUM($S232:U232)&lt;($J232-12),12,$J232-SUM($S232:U232)))</f>
        <v>0</v>
      </c>
      <c r="W232" s="1101">
        <f>IF($BG232=0,0,IF(SUM($S232:V232)&lt;($J232-12),12,$J232-SUM($S232:V232)))</f>
        <v>0</v>
      </c>
      <c r="Y232" s="1100"/>
      <c r="Z232" s="1100"/>
      <c r="AA232" s="1100">
        <v>4.5</v>
      </c>
      <c r="AB232" s="1101">
        <f>IF($BH232=0,0,IF(SUM($Y232:AA232)&lt;($J232-12),12,$J232-SUM($Y232:AA232)))</f>
        <v>12</v>
      </c>
      <c r="AC232" s="1101">
        <f>IF($BH232=0,0,IF(SUM($Y232:AB232)&lt;($J232-12),12,$J232-SUM($Y232:AB232)))</f>
        <v>12</v>
      </c>
      <c r="AE232" s="1100"/>
      <c r="AF232" s="1100"/>
      <c r="AG232" s="1100"/>
      <c r="AH232" s="1100">
        <v>7.5</v>
      </c>
      <c r="AI232" s="1101">
        <f>IF($BI232=0,0,IF(SUM($AE232:AH232)&lt;($J232-12),12,$J232-SUM($AE232:AH232)))</f>
        <v>12</v>
      </c>
      <c r="AK232" s="1100"/>
      <c r="AL232" s="1100"/>
      <c r="AM232" s="1100"/>
      <c r="AN232" s="1100"/>
      <c r="AO232" s="1100">
        <v>7.5</v>
      </c>
      <c r="AQ232" s="153">
        <f t="shared" si="24"/>
        <v>0</v>
      </c>
      <c r="AR232" s="153">
        <f t="shared" si="25"/>
        <v>0</v>
      </c>
      <c r="AS232" s="153">
        <f t="shared" si="26"/>
        <v>0.375</v>
      </c>
      <c r="AT232" s="153">
        <f t="shared" si="27"/>
        <v>0.625</v>
      </c>
      <c r="AU232" s="153">
        <f t="shared" si="28"/>
        <v>0.625</v>
      </c>
      <c r="AW232" s="1543">
        <v>0.73</v>
      </c>
      <c r="AX232" s="1102"/>
      <c r="AY232" s="1544">
        <v>0.15</v>
      </c>
      <c r="BA232" s="1103">
        <v>0</v>
      </c>
      <c r="BB232" s="1103">
        <v>0</v>
      </c>
      <c r="BC232" s="1103">
        <v>0</v>
      </c>
      <c r="BD232" s="1103">
        <v>0</v>
      </c>
      <c r="BE232" s="1103">
        <v>0</v>
      </c>
      <c r="BF232" s="1103">
        <v>0</v>
      </c>
      <c r="BG232" s="1103">
        <v>0</v>
      </c>
      <c r="BH232" s="1103">
        <v>250</v>
      </c>
      <c r="BI232" s="1103">
        <v>700</v>
      </c>
      <c r="BJ232" s="1103">
        <v>600</v>
      </c>
    </row>
    <row r="233" spans="2:62" hidden="1" outlineLevel="1">
      <c r="B233" s="1094"/>
      <c r="C233" s="1083" t="s">
        <v>537</v>
      </c>
      <c r="D233" s="1062" t="s">
        <v>538</v>
      </c>
      <c r="E233" s="1083" t="s">
        <v>539</v>
      </c>
      <c r="F233" s="1095" t="s">
        <v>414</v>
      </c>
      <c r="G233" s="1096">
        <f t="shared" si="21"/>
        <v>975</v>
      </c>
      <c r="H233" s="1083" t="s">
        <v>29</v>
      </c>
      <c r="I233" s="1097">
        <v>8</v>
      </c>
      <c r="J233" s="1098">
        <f t="shared" si="22"/>
        <v>96</v>
      </c>
      <c r="K233" s="153">
        <f t="shared" si="23"/>
        <v>0.125</v>
      </c>
      <c r="L233" s="1099"/>
      <c r="M233" s="1100">
        <v>0</v>
      </c>
      <c r="N233" s="1101">
        <f>IF($BF233=0,0,IF(SUM($M233:M233)&lt;($J233-12),12,$J233-SUM($M233:M233)))</f>
        <v>0</v>
      </c>
      <c r="O233" s="1101">
        <f>IF($BF233=0,0,IF(SUM($M233:N233)&lt;($J233-12),12,$J233-SUM($M233:N233)))</f>
        <v>0</v>
      </c>
      <c r="P233" s="1101">
        <f>IF($BF233=0,0,IF(SUM($M233:O233)&lt;($J233-12),12,$J233-SUM($M233:O233)))</f>
        <v>0</v>
      </c>
      <c r="Q233" s="1101">
        <f>IF($BF233=0,0,IF(SUM($M233:P233)&lt;($J233-12),12,$J233-SUM($M233:P233)))</f>
        <v>0</v>
      </c>
      <c r="S233" s="1100"/>
      <c r="T233" s="1100">
        <v>0</v>
      </c>
      <c r="U233" s="1101">
        <f>IF($BG233=0,0,IF(SUM($S233:T233)&lt;($J233-12),12,$J233-SUM($S233:T233)))</f>
        <v>0</v>
      </c>
      <c r="V233" s="1101">
        <f>IF($BG233=0,0,IF(SUM($S233:U233)&lt;($J233-12),12,$J233-SUM($S233:U233)))</f>
        <v>0</v>
      </c>
      <c r="W233" s="1101">
        <f>IF($BG233=0,0,IF(SUM($S233:V233)&lt;($J233-12),12,$J233-SUM($S233:V233)))</f>
        <v>0</v>
      </c>
      <c r="Y233" s="1100"/>
      <c r="Z233" s="1100"/>
      <c r="AA233" s="1100">
        <v>0</v>
      </c>
      <c r="AB233" s="1101">
        <f>IF($BH233=0,0,IF(SUM($Y233:AA233)&lt;($J233-12),12,$J233-SUM($Y233:AA233)))</f>
        <v>0</v>
      </c>
      <c r="AC233" s="1101">
        <f>IF($BH233=0,0,IF(SUM($Y233:AB233)&lt;($J233-12),12,$J233-SUM($Y233:AB233)))</f>
        <v>0</v>
      </c>
      <c r="AE233" s="1100"/>
      <c r="AF233" s="1100"/>
      <c r="AG233" s="1100"/>
      <c r="AH233" s="1100">
        <v>3</v>
      </c>
      <c r="AI233" s="1101">
        <f>IF($BI233=0,0,IF(SUM($AE233:AH233)&lt;($J233-12),12,$J233-SUM($AE233:AH233)))</f>
        <v>12</v>
      </c>
      <c r="AK233" s="1100"/>
      <c r="AL233" s="1100"/>
      <c r="AM233" s="1100"/>
      <c r="AN233" s="1100"/>
      <c r="AO233" s="1100">
        <v>0</v>
      </c>
      <c r="AQ233" s="153">
        <f t="shared" si="24"/>
        <v>0</v>
      </c>
      <c r="AR233" s="153">
        <f t="shared" si="25"/>
        <v>0</v>
      </c>
      <c r="AS233" s="153">
        <f t="shared" si="26"/>
        <v>0</v>
      </c>
      <c r="AT233" s="153">
        <f t="shared" si="27"/>
        <v>0.25</v>
      </c>
      <c r="AU233" s="153">
        <f t="shared" si="28"/>
        <v>0</v>
      </c>
      <c r="AW233" s="1543">
        <v>0.75</v>
      </c>
      <c r="AX233" s="1102"/>
      <c r="AY233" s="1544">
        <v>0.25</v>
      </c>
      <c r="BA233" s="1103">
        <v>0</v>
      </c>
      <c r="BB233" s="1103">
        <v>0</v>
      </c>
      <c r="BC233" s="1103">
        <v>0</v>
      </c>
      <c r="BD233" s="1103">
        <v>0</v>
      </c>
      <c r="BE233" s="1103">
        <v>0</v>
      </c>
      <c r="BF233" s="1103">
        <v>0</v>
      </c>
      <c r="BG233" s="1103">
        <v>0</v>
      </c>
      <c r="BH233" s="1103">
        <v>0</v>
      </c>
      <c r="BI233" s="1103">
        <v>975</v>
      </c>
      <c r="BJ233" s="1103">
        <v>0</v>
      </c>
    </row>
    <row r="234" spans="2:62" hidden="1" outlineLevel="1">
      <c r="B234" s="1094"/>
      <c r="C234" s="1083" t="s">
        <v>540</v>
      </c>
      <c r="D234" s="1062" t="s">
        <v>538</v>
      </c>
      <c r="E234" s="1083" t="s">
        <v>539</v>
      </c>
      <c r="F234" s="1095" t="s">
        <v>414</v>
      </c>
      <c r="G234" s="1096">
        <f t="shared" si="21"/>
        <v>525</v>
      </c>
      <c r="H234" s="1083" t="s">
        <v>29</v>
      </c>
      <c r="I234" s="1097">
        <v>8</v>
      </c>
      <c r="J234" s="1098">
        <f t="shared" si="22"/>
        <v>96</v>
      </c>
      <c r="K234" s="153">
        <f t="shared" si="23"/>
        <v>0.125</v>
      </c>
      <c r="L234" s="1099"/>
      <c r="M234" s="1100">
        <v>0</v>
      </c>
      <c r="N234" s="1101">
        <f>IF($BF234=0,0,IF(SUM($M234:M234)&lt;($J234-12),12,$J234-SUM($M234:M234)))</f>
        <v>0</v>
      </c>
      <c r="O234" s="1101">
        <f>IF($BF234=0,0,IF(SUM($M234:N234)&lt;($J234-12),12,$J234-SUM($M234:N234)))</f>
        <v>0</v>
      </c>
      <c r="P234" s="1101">
        <f>IF($BF234=0,0,IF(SUM($M234:O234)&lt;($J234-12),12,$J234-SUM($M234:O234)))</f>
        <v>0</v>
      </c>
      <c r="Q234" s="1101">
        <f>IF($BF234=0,0,IF(SUM($M234:P234)&lt;($J234-12),12,$J234-SUM($M234:P234)))</f>
        <v>0</v>
      </c>
      <c r="S234" s="1100"/>
      <c r="T234" s="1100">
        <v>0</v>
      </c>
      <c r="U234" s="1101">
        <f>IF($BG234=0,0,IF(SUM($S234:T234)&lt;($J234-12),12,$J234-SUM($S234:T234)))</f>
        <v>0</v>
      </c>
      <c r="V234" s="1101">
        <f>IF($BG234=0,0,IF(SUM($S234:U234)&lt;($J234-12),12,$J234-SUM($S234:U234)))</f>
        <v>0</v>
      </c>
      <c r="W234" s="1101">
        <f>IF($BG234=0,0,IF(SUM($S234:V234)&lt;($J234-12),12,$J234-SUM($S234:V234)))</f>
        <v>0</v>
      </c>
      <c r="Y234" s="1100"/>
      <c r="Z234" s="1100"/>
      <c r="AA234" s="1100">
        <v>0</v>
      </c>
      <c r="AB234" s="1101">
        <f>IF($BH234=0,0,IF(SUM($Y234:AA234)&lt;($J234-12),12,$J234-SUM($Y234:AA234)))</f>
        <v>0</v>
      </c>
      <c r="AC234" s="1101">
        <f>IF($BH234=0,0,IF(SUM($Y234:AB234)&lt;($J234-12),12,$J234-SUM($Y234:AB234)))</f>
        <v>0</v>
      </c>
      <c r="AE234" s="1100"/>
      <c r="AF234" s="1100"/>
      <c r="AG234" s="1100"/>
      <c r="AH234" s="1100">
        <v>0</v>
      </c>
      <c r="AI234" s="1101">
        <f>IF($BI234=0,0,IF(SUM($AE234:AH234)&lt;($J234-12),12,$J234-SUM($AE234:AH234)))</f>
        <v>0</v>
      </c>
      <c r="AK234" s="1100"/>
      <c r="AL234" s="1100"/>
      <c r="AM234" s="1100"/>
      <c r="AN234" s="1100"/>
      <c r="AO234" s="1100">
        <v>3</v>
      </c>
      <c r="AQ234" s="153">
        <f t="shared" si="24"/>
        <v>0</v>
      </c>
      <c r="AR234" s="153">
        <f t="shared" si="25"/>
        <v>0</v>
      </c>
      <c r="AS234" s="153">
        <f t="shared" si="26"/>
        <v>0</v>
      </c>
      <c r="AT234" s="153">
        <f t="shared" si="27"/>
        <v>0</v>
      </c>
      <c r="AU234" s="153">
        <f t="shared" si="28"/>
        <v>0.25</v>
      </c>
      <c r="AW234" s="1543">
        <v>0.75</v>
      </c>
      <c r="AX234" s="1102"/>
      <c r="AY234" s="1544">
        <v>0.25</v>
      </c>
      <c r="BA234" s="1103">
        <v>0</v>
      </c>
      <c r="BB234" s="1103">
        <v>0</v>
      </c>
      <c r="BC234" s="1103">
        <v>0</v>
      </c>
      <c r="BD234" s="1103">
        <v>0</v>
      </c>
      <c r="BE234" s="1103">
        <v>0</v>
      </c>
      <c r="BF234" s="1103">
        <v>0</v>
      </c>
      <c r="BG234" s="1103">
        <v>0</v>
      </c>
      <c r="BH234" s="1103">
        <v>0</v>
      </c>
      <c r="BI234" s="1103">
        <v>0</v>
      </c>
      <c r="BJ234" s="1103">
        <v>525</v>
      </c>
    </row>
    <row r="235" spans="2:62" hidden="1" outlineLevel="1">
      <c r="B235" s="1094"/>
      <c r="C235" s="1083" t="s">
        <v>541</v>
      </c>
      <c r="D235" s="1062" t="s">
        <v>541</v>
      </c>
      <c r="E235" s="1083" t="s">
        <v>542</v>
      </c>
      <c r="F235" s="1095" t="s">
        <v>414</v>
      </c>
      <c r="G235" s="1096">
        <f t="shared" si="21"/>
        <v>0</v>
      </c>
      <c r="H235" s="1083" t="s">
        <v>29</v>
      </c>
      <c r="I235" s="1097">
        <v>0</v>
      </c>
      <c r="J235" s="1098">
        <f t="shared" si="22"/>
        <v>0</v>
      </c>
      <c r="K235" s="153">
        <f t="shared" si="23"/>
        <v>0</v>
      </c>
      <c r="L235" s="1099"/>
      <c r="M235" s="1100">
        <v>0</v>
      </c>
      <c r="N235" s="1101">
        <f>IF($BF235=0,0,IF(SUM($M235:M235)&lt;($J235-12),12,$J235-SUM($M235:M235)))</f>
        <v>0</v>
      </c>
      <c r="O235" s="1101">
        <f>IF($BF235=0,0,IF(SUM($M235:N235)&lt;($J235-12),12,$J235-SUM($M235:N235)))</f>
        <v>0</v>
      </c>
      <c r="P235" s="1101">
        <f>IF($BF235=0,0,IF(SUM($M235:O235)&lt;($J235-12),12,$J235-SUM($M235:O235)))</f>
        <v>0</v>
      </c>
      <c r="Q235" s="1101">
        <f>IF($BF235=0,0,IF(SUM($M235:P235)&lt;($J235-12),12,$J235-SUM($M235:P235)))</f>
        <v>0</v>
      </c>
      <c r="S235" s="1100"/>
      <c r="T235" s="1100">
        <v>0</v>
      </c>
      <c r="U235" s="1101">
        <f>IF($BG235=0,0,IF(SUM($S235:T235)&lt;($J235-12),12,$J235-SUM($S235:T235)))</f>
        <v>0</v>
      </c>
      <c r="V235" s="1101">
        <f>IF($BG235=0,0,IF(SUM($S235:U235)&lt;($J235-12),12,$J235-SUM($S235:U235)))</f>
        <v>0</v>
      </c>
      <c r="W235" s="1101">
        <f>IF($BG235=0,0,IF(SUM($S235:V235)&lt;($J235-12),12,$J235-SUM($S235:V235)))</f>
        <v>0</v>
      </c>
      <c r="Y235" s="1100"/>
      <c r="Z235" s="1100"/>
      <c r="AA235" s="1100">
        <v>0</v>
      </c>
      <c r="AB235" s="1101">
        <f>IF($BH235=0,0,IF(SUM($Y235:AA235)&lt;($J235-12),12,$J235-SUM($Y235:AA235)))</f>
        <v>0</v>
      </c>
      <c r="AC235" s="1101">
        <f>IF($BH235=0,0,IF(SUM($Y235:AB235)&lt;($J235-12),12,$J235-SUM($Y235:AB235)))</f>
        <v>0</v>
      </c>
      <c r="AE235" s="1100"/>
      <c r="AF235" s="1100"/>
      <c r="AG235" s="1100"/>
      <c r="AH235" s="1100">
        <v>0</v>
      </c>
      <c r="AI235" s="1101">
        <f>IF($BI235=0,0,IF(SUM($AE235:AH235)&lt;($J235-12),12,$J235-SUM($AE235:AH235)))</f>
        <v>0</v>
      </c>
      <c r="AK235" s="1100"/>
      <c r="AL235" s="1100"/>
      <c r="AM235" s="1100"/>
      <c r="AN235" s="1100"/>
      <c r="AO235" s="1100">
        <v>0</v>
      </c>
      <c r="AQ235" s="153">
        <f t="shared" si="24"/>
        <v>0</v>
      </c>
      <c r="AR235" s="153">
        <f t="shared" si="25"/>
        <v>0</v>
      </c>
      <c r="AS235" s="153">
        <f t="shared" si="26"/>
        <v>0</v>
      </c>
      <c r="AT235" s="153">
        <f t="shared" si="27"/>
        <v>0</v>
      </c>
      <c r="AU235" s="153">
        <f t="shared" si="28"/>
        <v>0</v>
      </c>
      <c r="AW235" s="1543">
        <v>0</v>
      </c>
      <c r="AX235" s="1102"/>
      <c r="AY235" s="1544">
        <v>0</v>
      </c>
      <c r="BA235" s="1103">
        <v>0</v>
      </c>
      <c r="BB235" s="1103">
        <v>0</v>
      </c>
      <c r="BC235" s="1103">
        <v>0</v>
      </c>
      <c r="BD235" s="1103">
        <v>0</v>
      </c>
      <c r="BE235" s="1103">
        <v>0</v>
      </c>
      <c r="BF235" s="1103">
        <v>0</v>
      </c>
      <c r="BG235" s="1103">
        <v>0</v>
      </c>
      <c r="BH235" s="1103">
        <v>0</v>
      </c>
      <c r="BI235" s="1103">
        <v>0</v>
      </c>
      <c r="BJ235" s="1103">
        <v>0</v>
      </c>
    </row>
    <row r="236" spans="2:62" hidden="1" outlineLevel="1">
      <c r="B236" s="1094"/>
      <c r="C236" s="1083" t="s">
        <v>543</v>
      </c>
      <c r="D236" s="1062" t="s">
        <v>541</v>
      </c>
      <c r="E236" s="1083" t="s">
        <v>542</v>
      </c>
      <c r="F236" s="1095" t="s">
        <v>414</v>
      </c>
      <c r="G236" s="1096">
        <f t="shared" si="21"/>
        <v>325.5</v>
      </c>
      <c r="H236" s="1083" t="s">
        <v>29</v>
      </c>
      <c r="I236" s="1097">
        <v>5</v>
      </c>
      <c r="J236" s="1098">
        <f t="shared" si="22"/>
        <v>60</v>
      </c>
      <c r="K236" s="153">
        <f t="shared" si="23"/>
        <v>0.2</v>
      </c>
      <c r="L236" s="1099"/>
      <c r="M236" s="1100">
        <v>0</v>
      </c>
      <c r="N236" s="1101">
        <f>IF($BF236=0,0,IF(SUM($M236:M236)&lt;($J236-12),12,$J236-SUM($M236:M236)))</f>
        <v>0</v>
      </c>
      <c r="O236" s="1101">
        <f>IF($BF236=0,0,IF(SUM($M236:N236)&lt;($J236-12),12,$J236-SUM($M236:N236)))</f>
        <v>0</v>
      </c>
      <c r="P236" s="1101">
        <f>IF($BF236=0,0,IF(SUM($M236:O236)&lt;($J236-12),12,$J236-SUM($M236:O236)))</f>
        <v>0</v>
      </c>
      <c r="Q236" s="1101">
        <f>IF($BF236=0,0,IF(SUM($M236:P236)&lt;($J236-12),12,$J236-SUM($M236:P236)))</f>
        <v>0</v>
      </c>
      <c r="S236" s="1100"/>
      <c r="T236" s="1100">
        <v>4.8235294117647056</v>
      </c>
      <c r="U236" s="1101">
        <f>IF($BG236=0,0,IF(SUM($S236:T236)&lt;($J236-12),12,$J236-SUM($S236:T236)))</f>
        <v>12</v>
      </c>
      <c r="V236" s="1101">
        <f>IF($BG236=0,0,IF(SUM($S236:U236)&lt;($J236-12),12,$J236-SUM($S236:U236)))</f>
        <v>12</v>
      </c>
      <c r="W236" s="1101">
        <f>IF($BG236=0,0,IF(SUM($S236:V236)&lt;($J236-12),12,$J236-SUM($S236:V236)))</f>
        <v>12</v>
      </c>
      <c r="Y236" s="1100"/>
      <c r="Z236" s="1100"/>
      <c r="AA236" s="1100">
        <v>6.2028985507246377</v>
      </c>
      <c r="AB236" s="1101">
        <f>IF($BH236=0,0,IF(SUM($Y236:AA236)&lt;($J236-12),12,$J236-SUM($Y236:AA236)))</f>
        <v>12</v>
      </c>
      <c r="AC236" s="1101">
        <f>IF($BH236=0,0,IF(SUM($Y236:AB236)&lt;($J236-12),12,$J236-SUM($Y236:AB236)))</f>
        <v>12</v>
      </c>
      <c r="AE236" s="1100"/>
      <c r="AF236" s="1100"/>
      <c r="AG236" s="1100"/>
      <c r="AH236" s="1100">
        <v>12</v>
      </c>
      <c r="AI236" s="1101">
        <f>IF($BI236=0,0,IF(SUM($AE236:AH236)&lt;($J236-12),12,$J236-SUM($AE236:AH236)))</f>
        <v>12</v>
      </c>
      <c r="AK236" s="1100"/>
      <c r="AL236" s="1100"/>
      <c r="AM236" s="1100"/>
      <c r="AN236" s="1100"/>
      <c r="AO236" s="1100">
        <v>0</v>
      </c>
      <c r="AQ236" s="153">
        <f t="shared" si="24"/>
        <v>0</v>
      </c>
      <c r="AR236" s="153">
        <f t="shared" si="25"/>
        <v>0.40196078431372545</v>
      </c>
      <c r="AS236" s="153">
        <f t="shared" si="26"/>
        <v>0.51690821256038644</v>
      </c>
      <c r="AT236" s="153">
        <f t="shared" si="27"/>
        <v>1</v>
      </c>
      <c r="AU236" s="153">
        <f t="shared" si="28"/>
        <v>0</v>
      </c>
      <c r="AW236" s="1543">
        <v>1</v>
      </c>
      <c r="AX236" s="1102"/>
      <c r="AY236" s="1544">
        <v>0</v>
      </c>
      <c r="BA236" s="1103">
        <v>0</v>
      </c>
      <c r="BB236" s="1103">
        <v>0</v>
      </c>
      <c r="BC236" s="1103">
        <v>0</v>
      </c>
      <c r="BD236" s="1103">
        <v>0</v>
      </c>
      <c r="BE236" s="1103">
        <v>0</v>
      </c>
      <c r="BF236" s="1103">
        <v>0</v>
      </c>
      <c r="BG236" s="1103">
        <v>76.5</v>
      </c>
      <c r="BH236" s="1103">
        <v>155.25</v>
      </c>
      <c r="BI236" s="1103">
        <v>93.75</v>
      </c>
      <c r="BJ236" s="1103">
        <v>0</v>
      </c>
    </row>
    <row r="237" spans="2:62" hidden="1" outlineLevel="1">
      <c r="B237" s="1094"/>
      <c r="C237" s="1083" t="s">
        <v>544</v>
      </c>
      <c r="D237" s="1062" t="s">
        <v>541</v>
      </c>
      <c r="E237" s="1083" t="s">
        <v>542</v>
      </c>
      <c r="F237" s="1095" t="s">
        <v>414</v>
      </c>
      <c r="G237" s="1096">
        <f t="shared" si="21"/>
        <v>515.06220000000008</v>
      </c>
      <c r="H237" s="1083" t="s">
        <v>29</v>
      </c>
      <c r="I237" s="1097">
        <v>5</v>
      </c>
      <c r="J237" s="1098">
        <f t="shared" si="22"/>
        <v>60</v>
      </c>
      <c r="K237" s="153">
        <f t="shared" si="23"/>
        <v>0.2</v>
      </c>
      <c r="L237" s="1099"/>
      <c r="M237" s="1100">
        <v>0</v>
      </c>
      <c r="N237" s="1101">
        <f>IF($BF237=0,0,IF(SUM($M237:M237)&lt;($J237-12),12,$J237-SUM($M237:M237)))</f>
        <v>0</v>
      </c>
      <c r="O237" s="1101">
        <f>IF($BF237=0,0,IF(SUM($M237:N237)&lt;($J237-12),12,$J237-SUM($M237:N237)))</f>
        <v>0</v>
      </c>
      <c r="P237" s="1101">
        <f>IF($BF237=0,0,IF(SUM($M237:O237)&lt;($J237-12),12,$J237-SUM($M237:O237)))</f>
        <v>0</v>
      </c>
      <c r="Q237" s="1101">
        <f>IF($BF237=0,0,IF(SUM($M237:P237)&lt;($J237-12),12,$J237-SUM($M237:P237)))</f>
        <v>0</v>
      </c>
      <c r="S237" s="1100"/>
      <c r="T237" s="1100">
        <v>4.4571551999012575</v>
      </c>
      <c r="U237" s="1101">
        <f>IF($BG237=0,0,IF(SUM($S237:T237)&lt;($J237-12),12,$J237-SUM($S237:T237)))</f>
        <v>12</v>
      </c>
      <c r="V237" s="1101">
        <f>IF($BG237=0,0,IF(SUM($S237:U237)&lt;($J237-12),12,$J237-SUM($S237:U237)))</f>
        <v>12</v>
      </c>
      <c r="W237" s="1101">
        <f>IF($BG237=0,0,IF(SUM($S237:V237)&lt;($J237-12),12,$J237-SUM($S237:V237)))</f>
        <v>12</v>
      </c>
      <c r="Y237" s="1100"/>
      <c r="Z237" s="1100"/>
      <c r="AA237" s="1100">
        <v>6.9419869470630884</v>
      </c>
      <c r="AB237" s="1101">
        <f>IF($BH237=0,0,IF(SUM($Y237:AA237)&lt;($J237-12),12,$J237-SUM($Y237:AA237)))</f>
        <v>12</v>
      </c>
      <c r="AC237" s="1101">
        <f>IF($BH237=0,0,IF(SUM($Y237:AB237)&lt;($J237-12),12,$J237-SUM($Y237:AB237)))</f>
        <v>12</v>
      </c>
      <c r="AE237" s="1100"/>
      <c r="AF237" s="1100"/>
      <c r="AG237" s="1100"/>
      <c r="AH237" s="1100">
        <v>3</v>
      </c>
      <c r="AI237" s="1101">
        <f>IF($BI237=0,0,IF(SUM($AE237:AH237)&lt;($J237-12),12,$J237-SUM($AE237:AH237)))</f>
        <v>12</v>
      </c>
      <c r="AK237" s="1100"/>
      <c r="AL237" s="1100"/>
      <c r="AM237" s="1100"/>
      <c r="AN237" s="1100"/>
      <c r="AO237" s="1100">
        <v>12</v>
      </c>
      <c r="AQ237" s="153">
        <f t="shared" si="24"/>
        <v>0</v>
      </c>
      <c r="AR237" s="153">
        <f t="shared" si="25"/>
        <v>0.37142959999177144</v>
      </c>
      <c r="AS237" s="153">
        <f t="shared" si="26"/>
        <v>0.5784989122552574</v>
      </c>
      <c r="AT237" s="153">
        <f t="shared" si="27"/>
        <v>0.25</v>
      </c>
      <c r="AU237" s="153">
        <f t="shared" si="28"/>
        <v>1</v>
      </c>
      <c r="AW237" s="1543">
        <v>0.75</v>
      </c>
      <c r="AX237" s="1102"/>
      <c r="AY237" s="1544">
        <v>0.25</v>
      </c>
      <c r="BA237" s="1103">
        <v>0</v>
      </c>
      <c r="BB237" s="1103">
        <v>0</v>
      </c>
      <c r="BC237" s="1103">
        <v>0</v>
      </c>
      <c r="BD237" s="1103">
        <v>0</v>
      </c>
      <c r="BE237" s="1103">
        <v>0</v>
      </c>
      <c r="BF237" s="1103">
        <v>0</v>
      </c>
      <c r="BG237" s="1103">
        <v>136.1122</v>
      </c>
      <c r="BH237" s="1103">
        <v>68.95</v>
      </c>
      <c r="BI237" s="1103">
        <v>232.5</v>
      </c>
      <c r="BJ237" s="1103">
        <v>77.5</v>
      </c>
    </row>
    <row r="238" spans="2:62" hidden="1" outlineLevel="1">
      <c r="B238" s="1094"/>
      <c r="C238" s="1083" t="s">
        <v>545</v>
      </c>
      <c r="D238" s="1062" t="s">
        <v>541</v>
      </c>
      <c r="E238" s="1083" t="s">
        <v>542</v>
      </c>
      <c r="F238" s="1095" t="s">
        <v>414</v>
      </c>
      <c r="G238" s="1096">
        <f t="shared" si="21"/>
        <v>415.42758000000003</v>
      </c>
      <c r="H238" s="1083" t="s">
        <v>29</v>
      </c>
      <c r="I238" s="1097">
        <v>5</v>
      </c>
      <c r="J238" s="1098">
        <f t="shared" si="22"/>
        <v>60</v>
      </c>
      <c r="K238" s="153">
        <f t="shared" si="23"/>
        <v>0.2</v>
      </c>
      <c r="L238" s="1099"/>
      <c r="M238" s="1100">
        <v>0</v>
      </c>
      <c r="N238" s="1101">
        <f>IF($BF238=0,0,IF(SUM($M238:M238)&lt;($J238-12),12,$J238-SUM($M238:M238)))</f>
        <v>0</v>
      </c>
      <c r="O238" s="1101">
        <f>IF($BF238=0,0,IF(SUM($M238:N238)&lt;($J238-12),12,$J238-SUM($M238:N238)))</f>
        <v>0</v>
      </c>
      <c r="P238" s="1101">
        <f>IF($BF238=0,0,IF(SUM($M238:O238)&lt;($J238-12),12,$J238-SUM($M238:O238)))</f>
        <v>0</v>
      </c>
      <c r="Q238" s="1101">
        <f>IF($BF238=0,0,IF(SUM($M238:P238)&lt;($J238-12),12,$J238-SUM($M238:P238)))</f>
        <v>0</v>
      </c>
      <c r="S238" s="1100"/>
      <c r="T238" s="1100">
        <v>3</v>
      </c>
      <c r="U238" s="1101">
        <f>IF($BG238=0,0,IF(SUM($S238:T238)&lt;($J238-12),12,$J238-SUM($S238:T238)))</f>
        <v>12</v>
      </c>
      <c r="V238" s="1101">
        <f>IF($BG238=0,0,IF(SUM($S238:U238)&lt;($J238-12),12,$J238-SUM($S238:U238)))</f>
        <v>12</v>
      </c>
      <c r="W238" s="1101">
        <f>IF($BG238=0,0,IF(SUM($S238:V238)&lt;($J238-12),12,$J238-SUM($S238:V238)))</f>
        <v>12</v>
      </c>
      <c r="Y238" s="1100"/>
      <c r="Z238" s="1100"/>
      <c r="AA238" s="1100">
        <v>6.8275862068965516</v>
      </c>
      <c r="AB238" s="1101">
        <f>IF($BH238=0,0,IF(SUM($Y238:AA238)&lt;($J238-12),12,$J238-SUM($Y238:AA238)))</f>
        <v>12</v>
      </c>
      <c r="AC238" s="1101">
        <f>IF($BH238=0,0,IF(SUM($Y238:AB238)&lt;($J238-12),12,$J238-SUM($Y238:AB238)))</f>
        <v>12</v>
      </c>
      <c r="AE238" s="1100"/>
      <c r="AF238" s="1100"/>
      <c r="AG238" s="1100"/>
      <c r="AH238" s="1100">
        <v>9.5294117647058822</v>
      </c>
      <c r="AI238" s="1101">
        <f>IF($BI238=0,0,IF(SUM($AE238:AH238)&lt;($J238-12),12,$J238-SUM($AE238:AH238)))</f>
        <v>12</v>
      </c>
      <c r="AK238" s="1100"/>
      <c r="AL238" s="1100"/>
      <c r="AM238" s="1100"/>
      <c r="AN238" s="1100"/>
      <c r="AO238" s="1100">
        <v>12</v>
      </c>
      <c r="AQ238" s="153">
        <f t="shared" si="24"/>
        <v>0</v>
      </c>
      <c r="AR238" s="153">
        <f t="shared" si="25"/>
        <v>0.25</v>
      </c>
      <c r="AS238" s="153">
        <f t="shared" si="26"/>
        <v>0.56896551724137934</v>
      </c>
      <c r="AT238" s="153">
        <f t="shared" si="27"/>
        <v>0.79411764705882348</v>
      </c>
      <c r="AU238" s="153">
        <f t="shared" si="28"/>
        <v>1</v>
      </c>
      <c r="AW238" s="1543">
        <v>0.75</v>
      </c>
      <c r="AX238" s="1102"/>
      <c r="AY238" s="1544">
        <v>0.25</v>
      </c>
      <c r="BA238" s="1103">
        <v>0</v>
      </c>
      <c r="BB238" s="1103">
        <v>0</v>
      </c>
      <c r="BC238" s="1103">
        <v>0</v>
      </c>
      <c r="BD238" s="1103">
        <v>0</v>
      </c>
      <c r="BE238" s="1103">
        <v>0</v>
      </c>
      <c r="BF238" s="1103">
        <v>0</v>
      </c>
      <c r="BG238" s="1103">
        <v>138.75258000000002</v>
      </c>
      <c r="BH238" s="1103">
        <v>67.424999999999997</v>
      </c>
      <c r="BI238" s="1103">
        <v>131.75</v>
      </c>
      <c r="BJ238" s="1103">
        <v>77.5</v>
      </c>
    </row>
    <row r="239" spans="2:62" hidden="1" outlineLevel="1">
      <c r="B239" s="1094"/>
      <c r="C239" s="1083" t="s">
        <v>546</v>
      </c>
      <c r="D239" s="1062" t="s">
        <v>541</v>
      </c>
      <c r="E239" s="1083" t="s">
        <v>542</v>
      </c>
      <c r="F239" s="1095" t="s">
        <v>414</v>
      </c>
      <c r="G239" s="1096">
        <f t="shared" ref="G239:G302" si="29">SUM(BA239:BJ239)</f>
        <v>107.85</v>
      </c>
      <c r="H239" s="1083" t="s">
        <v>29</v>
      </c>
      <c r="I239" s="1097">
        <v>5</v>
      </c>
      <c r="J239" s="1098">
        <f t="shared" ref="J239:J302" si="30">I239*12</f>
        <v>60</v>
      </c>
      <c r="K239" s="153">
        <f t="shared" ref="K239:K302" si="31">IFERROR(1/I239,0)</f>
        <v>0.2</v>
      </c>
      <c r="L239" s="1099"/>
      <c r="M239" s="1100">
        <v>0</v>
      </c>
      <c r="N239" s="1101">
        <f>IF($BF239=0,0,IF(SUM($M239:M239)&lt;($J239-12),12,$J239-SUM($M239:M239)))</f>
        <v>0</v>
      </c>
      <c r="O239" s="1101">
        <f>IF($BF239=0,0,IF(SUM($M239:N239)&lt;($J239-12),12,$J239-SUM($M239:N239)))</f>
        <v>0</v>
      </c>
      <c r="P239" s="1101">
        <f>IF($BF239=0,0,IF(SUM($M239:O239)&lt;($J239-12),12,$J239-SUM($M239:O239)))</f>
        <v>0</v>
      </c>
      <c r="Q239" s="1101">
        <f>IF($BF239=0,0,IF(SUM($M239:P239)&lt;($J239-12),12,$J239-SUM($M239:P239)))</f>
        <v>0</v>
      </c>
      <c r="S239" s="1100"/>
      <c r="T239" s="1100">
        <v>3</v>
      </c>
      <c r="U239" s="1101">
        <f>IF($BG239=0,0,IF(SUM($S239:T239)&lt;($J239-12),12,$J239-SUM($S239:T239)))</f>
        <v>12</v>
      </c>
      <c r="V239" s="1101">
        <f>IF($BG239=0,0,IF(SUM($S239:U239)&lt;($J239-12),12,$J239-SUM($S239:U239)))</f>
        <v>12</v>
      </c>
      <c r="W239" s="1101">
        <f>IF($BG239=0,0,IF(SUM($S239:V239)&lt;($J239-12),12,$J239-SUM($S239:V239)))</f>
        <v>12</v>
      </c>
      <c r="Y239" s="1100"/>
      <c r="Z239" s="1100"/>
      <c r="AA239" s="1100">
        <v>3</v>
      </c>
      <c r="AB239" s="1101">
        <f>IF($BH239=0,0,IF(SUM($Y239:AA239)&lt;($J239-12),12,$J239-SUM($Y239:AA239)))</f>
        <v>12</v>
      </c>
      <c r="AC239" s="1101">
        <f>IF($BH239=0,0,IF(SUM($Y239:AB239)&lt;($J239-12),12,$J239-SUM($Y239:AB239)))</f>
        <v>12</v>
      </c>
      <c r="AE239" s="1100"/>
      <c r="AF239" s="1100"/>
      <c r="AG239" s="1100"/>
      <c r="AH239" s="1100">
        <v>0</v>
      </c>
      <c r="AI239" s="1101">
        <f>IF($BI239=0,0,IF(SUM($AE239:AH239)&lt;($J239-12),12,$J239-SUM($AE239:AH239)))</f>
        <v>0</v>
      </c>
      <c r="AK239" s="1100"/>
      <c r="AL239" s="1100"/>
      <c r="AM239" s="1100"/>
      <c r="AN239" s="1100"/>
      <c r="AO239" s="1100">
        <v>0</v>
      </c>
      <c r="AQ239" s="153">
        <f t="shared" ref="AQ239:AQ302" si="32">M239/12</f>
        <v>0</v>
      </c>
      <c r="AR239" s="153">
        <f t="shared" ref="AR239:AR302" si="33">T239/12</f>
        <v>0.25</v>
      </c>
      <c r="AS239" s="153">
        <f t="shared" ref="AS239:AS302" si="34">AA239/12</f>
        <v>0.25</v>
      </c>
      <c r="AT239" s="153">
        <f t="shared" ref="AT239:AT302" si="35">AH239/12</f>
        <v>0</v>
      </c>
      <c r="AU239" s="153">
        <f t="shared" ref="AU239:AU302" si="36">AO239/12</f>
        <v>0</v>
      </c>
      <c r="AW239" s="1543">
        <v>0</v>
      </c>
      <c r="AX239" s="1102"/>
      <c r="AY239" s="1544">
        <v>1</v>
      </c>
      <c r="BA239" s="1103">
        <v>0</v>
      </c>
      <c r="BB239" s="1103">
        <v>0</v>
      </c>
      <c r="BC239" s="1103">
        <v>0</v>
      </c>
      <c r="BD239" s="1103">
        <v>0</v>
      </c>
      <c r="BE239" s="1103">
        <v>0</v>
      </c>
      <c r="BF239" s="1103">
        <v>0</v>
      </c>
      <c r="BG239" s="1103">
        <v>35</v>
      </c>
      <c r="BH239" s="1103">
        <v>72.849999999999994</v>
      </c>
      <c r="BI239" s="1103">
        <v>0</v>
      </c>
      <c r="BJ239" s="1103">
        <v>0</v>
      </c>
    </row>
    <row r="240" spans="2:62" hidden="1" outlineLevel="1">
      <c r="B240" s="1094"/>
      <c r="C240" s="1083" t="s">
        <v>547</v>
      </c>
      <c r="D240" s="1062" t="s">
        <v>541</v>
      </c>
      <c r="E240" s="1083" t="s">
        <v>542</v>
      </c>
      <c r="F240" s="1095" t="s">
        <v>414</v>
      </c>
      <c r="G240" s="1096">
        <f t="shared" si="29"/>
        <v>57.65</v>
      </c>
      <c r="H240" s="1083" t="s">
        <v>29</v>
      </c>
      <c r="I240" s="1097">
        <v>5</v>
      </c>
      <c r="J240" s="1098">
        <f t="shared" si="30"/>
        <v>60</v>
      </c>
      <c r="K240" s="153">
        <f t="shared" si="31"/>
        <v>0.2</v>
      </c>
      <c r="L240" s="1099"/>
      <c r="M240" s="1100">
        <v>0</v>
      </c>
      <c r="N240" s="1101">
        <f>IF($BF240=0,0,IF(SUM($M240:M240)&lt;($J240-12),12,$J240-SUM($M240:M240)))</f>
        <v>0</v>
      </c>
      <c r="O240" s="1101">
        <f>IF($BF240=0,0,IF(SUM($M240:N240)&lt;($J240-12),12,$J240-SUM($M240:N240)))</f>
        <v>0</v>
      </c>
      <c r="P240" s="1101">
        <f>IF($BF240=0,0,IF(SUM($M240:O240)&lt;($J240-12),12,$J240-SUM($M240:O240)))</f>
        <v>0</v>
      </c>
      <c r="Q240" s="1101">
        <f>IF($BF240=0,0,IF(SUM($M240:P240)&lt;($J240-12),12,$J240-SUM($M240:P240)))</f>
        <v>0</v>
      </c>
      <c r="S240" s="1100"/>
      <c r="T240" s="1100">
        <v>3</v>
      </c>
      <c r="U240" s="1101">
        <f>IF($BG240=0,0,IF(SUM($S240:T240)&lt;($J240-12),12,$J240-SUM($S240:T240)))</f>
        <v>12</v>
      </c>
      <c r="V240" s="1101">
        <f>IF($BG240=0,0,IF(SUM($S240:U240)&lt;($J240-12),12,$J240-SUM($S240:U240)))</f>
        <v>12</v>
      </c>
      <c r="W240" s="1101">
        <f>IF($BG240=0,0,IF(SUM($S240:V240)&lt;($J240-12),12,$J240-SUM($S240:V240)))</f>
        <v>12</v>
      </c>
      <c r="Y240" s="1100"/>
      <c r="Z240" s="1100"/>
      <c r="AA240" s="1100">
        <v>3</v>
      </c>
      <c r="AB240" s="1101">
        <f>IF($BH240=0,0,IF(SUM($Y240:AA240)&lt;($J240-12),12,$J240-SUM($Y240:AA240)))</f>
        <v>12</v>
      </c>
      <c r="AC240" s="1101">
        <f>IF($BH240=0,0,IF(SUM($Y240:AB240)&lt;($J240-12),12,$J240-SUM($Y240:AB240)))</f>
        <v>12</v>
      </c>
      <c r="AE240" s="1100"/>
      <c r="AF240" s="1100"/>
      <c r="AG240" s="1100"/>
      <c r="AH240" s="1100">
        <v>0</v>
      </c>
      <c r="AI240" s="1101">
        <f>IF($BI240=0,0,IF(SUM($AE240:AH240)&lt;($J240-12),12,$J240-SUM($AE240:AH240)))</f>
        <v>0</v>
      </c>
      <c r="AK240" s="1100"/>
      <c r="AL240" s="1100"/>
      <c r="AM240" s="1100"/>
      <c r="AN240" s="1100"/>
      <c r="AO240" s="1100">
        <v>0</v>
      </c>
      <c r="AQ240" s="153">
        <f t="shared" si="32"/>
        <v>0</v>
      </c>
      <c r="AR240" s="153">
        <f t="shared" si="33"/>
        <v>0.25</v>
      </c>
      <c r="AS240" s="153">
        <f t="shared" si="34"/>
        <v>0.25</v>
      </c>
      <c r="AT240" s="153">
        <f t="shared" si="35"/>
        <v>0</v>
      </c>
      <c r="AU240" s="153">
        <f t="shared" si="36"/>
        <v>0</v>
      </c>
      <c r="AW240" s="1543">
        <v>0</v>
      </c>
      <c r="AX240" s="1102"/>
      <c r="AY240" s="1544">
        <v>1</v>
      </c>
      <c r="BA240" s="1103">
        <v>0</v>
      </c>
      <c r="BB240" s="1103">
        <v>0</v>
      </c>
      <c r="BC240" s="1103">
        <v>0</v>
      </c>
      <c r="BD240" s="1103">
        <v>0</v>
      </c>
      <c r="BE240" s="1103">
        <v>0</v>
      </c>
      <c r="BF240" s="1103">
        <v>0</v>
      </c>
      <c r="BG240" s="1103">
        <v>20.149999999999999</v>
      </c>
      <c r="BH240" s="1103">
        <v>37.5</v>
      </c>
      <c r="BI240" s="1103">
        <v>0</v>
      </c>
      <c r="BJ240" s="1103">
        <v>0</v>
      </c>
    </row>
    <row r="241" spans="2:62" hidden="1" outlineLevel="1">
      <c r="B241" s="1094"/>
      <c r="C241" s="1083" t="s">
        <v>548</v>
      </c>
      <c r="D241" s="1062" t="s">
        <v>541</v>
      </c>
      <c r="E241" s="1083" t="s">
        <v>542</v>
      </c>
      <c r="F241" s="1095" t="s">
        <v>414</v>
      </c>
      <c r="G241" s="1096">
        <f t="shared" si="29"/>
        <v>77.5</v>
      </c>
      <c r="H241" s="1083" t="s">
        <v>29</v>
      </c>
      <c r="I241" s="1097">
        <v>5</v>
      </c>
      <c r="J241" s="1098">
        <f t="shared" si="30"/>
        <v>60</v>
      </c>
      <c r="K241" s="153">
        <f t="shared" si="31"/>
        <v>0.2</v>
      </c>
      <c r="L241" s="1099"/>
      <c r="M241" s="1100">
        <v>0</v>
      </c>
      <c r="N241" s="1101">
        <f>IF($BF241=0,0,IF(SUM($M241:M241)&lt;($J241-12),12,$J241-SUM($M241:M241)))</f>
        <v>0</v>
      </c>
      <c r="O241" s="1101">
        <f>IF($BF241=0,0,IF(SUM($M241:N241)&lt;($J241-12),12,$J241-SUM($M241:N241)))</f>
        <v>0</v>
      </c>
      <c r="P241" s="1101">
        <f>IF($BF241=0,0,IF(SUM($M241:O241)&lt;($J241-12),12,$J241-SUM($M241:O241)))</f>
        <v>0</v>
      </c>
      <c r="Q241" s="1101">
        <f>IF($BF241=0,0,IF(SUM($M241:P241)&lt;($J241-12),12,$J241-SUM($M241:P241)))</f>
        <v>0</v>
      </c>
      <c r="S241" s="1100"/>
      <c r="T241" s="1100">
        <v>0</v>
      </c>
      <c r="U241" s="1101">
        <f>IF($BG241=0,0,IF(SUM($S241:T241)&lt;($J241-12),12,$J241-SUM($S241:T241)))</f>
        <v>0</v>
      </c>
      <c r="V241" s="1101">
        <f>IF($BG241=0,0,IF(SUM($S241:U241)&lt;($J241-12),12,$J241-SUM($S241:U241)))</f>
        <v>0</v>
      </c>
      <c r="W241" s="1101">
        <f>IF($BG241=0,0,IF(SUM($S241:V241)&lt;($J241-12),12,$J241-SUM($S241:V241)))</f>
        <v>0</v>
      </c>
      <c r="Y241" s="1100"/>
      <c r="Z241" s="1100"/>
      <c r="AA241" s="1100">
        <v>0</v>
      </c>
      <c r="AB241" s="1101">
        <f>IF($BH241=0,0,IF(SUM($Y241:AA241)&lt;($J241-12),12,$J241-SUM($Y241:AA241)))</f>
        <v>0</v>
      </c>
      <c r="AC241" s="1101">
        <f>IF($BH241=0,0,IF(SUM($Y241:AB241)&lt;($J241-12),12,$J241-SUM($Y241:AB241)))</f>
        <v>0</v>
      </c>
      <c r="AE241" s="1100"/>
      <c r="AF241" s="1100"/>
      <c r="AG241" s="1100"/>
      <c r="AH241" s="1100">
        <v>12</v>
      </c>
      <c r="AI241" s="1101">
        <f>IF($BI241=0,0,IF(SUM($AE241:AH241)&lt;($J241-12),12,$J241-SUM($AE241:AH241)))</f>
        <v>12</v>
      </c>
      <c r="AK241" s="1100"/>
      <c r="AL241" s="1100"/>
      <c r="AM241" s="1100"/>
      <c r="AN241" s="1100"/>
      <c r="AO241" s="1100">
        <v>0</v>
      </c>
      <c r="AQ241" s="153">
        <f t="shared" si="32"/>
        <v>0</v>
      </c>
      <c r="AR241" s="153">
        <f t="shared" si="33"/>
        <v>0</v>
      </c>
      <c r="AS241" s="153">
        <f t="shared" si="34"/>
        <v>0</v>
      </c>
      <c r="AT241" s="153">
        <f t="shared" si="35"/>
        <v>1</v>
      </c>
      <c r="AU241" s="153">
        <f t="shared" si="36"/>
        <v>0</v>
      </c>
      <c r="AW241" s="1543">
        <v>0.73</v>
      </c>
      <c r="AX241" s="1102"/>
      <c r="AY241" s="1544">
        <v>0.15</v>
      </c>
      <c r="BA241" s="1103">
        <v>0</v>
      </c>
      <c r="BB241" s="1103">
        <v>0</v>
      </c>
      <c r="BC241" s="1103">
        <v>0</v>
      </c>
      <c r="BD241" s="1103">
        <v>0</v>
      </c>
      <c r="BE241" s="1103">
        <v>0</v>
      </c>
      <c r="BF241" s="1103">
        <v>0</v>
      </c>
      <c r="BG241" s="1103">
        <v>0</v>
      </c>
      <c r="BH241" s="1103">
        <v>0</v>
      </c>
      <c r="BI241" s="1103">
        <v>77.5</v>
      </c>
      <c r="BJ241" s="1103">
        <v>0</v>
      </c>
    </row>
    <row r="242" spans="2:62" hidden="1" outlineLevel="1">
      <c r="B242" s="1094"/>
      <c r="C242" s="1083" t="s">
        <v>549</v>
      </c>
      <c r="D242" s="1062" t="s">
        <v>549</v>
      </c>
      <c r="E242" s="1083" t="s">
        <v>550</v>
      </c>
      <c r="F242" s="1095" t="s">
        <v>414</v>
      </c>
      <c r="G242" s="1096">
        <f t="shared" si="29"/>
        <v>1300</v>
      </c>
      <c r="H242" s="1083" t="s">
        <v>29</v>
      </c>
      <c r="I242" s="1097">
        <v>8</v>
      </c>
      <c r="J242" s="1098">
        <f t="shared" si="30"/>
        <v>96</v>
      </c>
      <c r="K242" s="153">
        <f t="shared" si="31"/>
        <v>0.125</v>
      </c>
      <c r="L242" s="1099"/>
      <c r="M242" s="1100">
        <v>0</v>
      </c>
      <c r="N242" s="1101">
        <f>IF($BF242=0,0,IF(SUM($M242:M242)&lt;($J242-12),12,$J242-SUM($M242:M242)))</f>
        <v>0</v>
      </c>
      <c r="O242" s="1101">
        <f>IF($BF242=0,0,IF(SUM($M242:N242)&lt;($J242-12),12,$J242-SUM($M242:N242)))</f>
        <v>0</v>
      </c>
      <c r="P242" s="1101">
        <f>IF($BF242=0,0,IF(SUM($M242:O242)&lt;($J242-12),12,$J242-SUM($M242:O242)))</f>
        <v>0</v>
      </c>
      <c r="Q242" s="1101">
        <f>IF($BF242=0,0,IF(SUM($M242:P242)&lt;($J242-12),12,$J242-SUM($M242:P242)))</f>
        <v>0</v>
      </c>
      <c r="S242" s="1100"/>
      <c r="T242" s="1100">
        <v>0</v>
      </c>
      <c r="U242" s="1101">
        <f>IF($BG242=0,0,IF(SUM($S242:T242)&lt;($J242-12),12,$J242-SUM($S242:T242)))</f>
        <v>0</v>
      </c>
      <c r="V242" s="1101">
        <f>IF($BG242=0,0,IF(SUM($S242:U242)&lt;($J242-12),12,$J242-SUM($S242:U242)))</f>
        <v>0</v>
      </c>
      <c r="W242" s="1101">
        <f>IF($BG242=0,0,IF(SUM($S242:V242)&lt;($J242-12),12,$J242-SUM($S242:V242)))</f>
        <v>0</v>
      </c>
      <c r="Y242" s="1100"/>
      <c r="Z242" s="1100"/>
      <c r="AA242" s="1100">
        <v>6</v>
      </c>
      <c r="AB242" s="1101">
        <f>IF($BH242=0,0,IF(SUM($Y242:AA242)&lt;($J242-12),12,$J242-SUM($Y242:AA242)))</f>
        <v>12</v>
      </c>
      <c r="AC242" s="1101">
        <f>IF($BH242=0,0,IF(SUM($Y242:AB242)&lt;($J242-12),12,$J242-SUM($Y242:AB242)))</f>
        <v>12</v>
      </c>
      <c r="AE242" s="1100"/>
      <c r="AF242" s="1100"/>
      <c r="AG242" s="1100"/>
      <c r="AH242" s="1100">
        <v>0</v>
      </c>
      <c r="AI242" s="1101">
        <f>IF($BI242=0,0,IF(SUM($AE242:AH242)&lt;($J242-12),12,$J242-SUM($AE242:AH242)))</f>
        <v>0</v>
      </c>
      <c r="AK242" s="1100"/>
      <c r="AL242" s="1100"/>
      <c r="AM242" s="1100"/>
      <c r="AN242" s="1100"/>
      <c r="AO242" s="1100">
        <v>0</v>
      </c>
      <c r="AQ242" s="153">
        <f t="shared" si="32"/>
        <v>0</v>
      </c>
      <c r="AR242" s="153">
        <f t="shared" si="33"/>
        <v>0</v>
      </c>
      <c r="AS242" s="153">
        <f t="shared" si="34"/>
        <v>0.5</v>
      </c>
      <c r="AT242" s="153">
        <f t="shared" si="35"/>
        <v>0</v>
      </c>
      <c r="AU242" s="153">
        <f t="shared" si="36"/>
        <v>0</v>
      </c>
      <c r="AW242" s="1543">
        <v>0.75</v>
      </c>
      <c r="AX242" s="1102"/>
      <c r="AY242" s="1544">
        <v>0.25</v>
      </c>
      <c r="BA242" s="1103">
        <v>0</v>
      </c>
      <c r="BB242" s="1103">
        <v>0</v>
      </c>
      <c r="BC242" s="1103">
        <v>0</v>
      </c>
      <c r="BD242" s="1103">
        <v>0</v>
      </c>
      <c r="BE242" s="1103">
        <v>0</v>
      </c>
      <c r="BF242" s="1103">
        <v>0</v>
      </c>
      <c r="BG242" s="1103">
        <v>0</v>
      </c>
      <c r="BH242" s="1103">
        <v>1300</v>
      </c>
      <c r="BI242" s="1103">
        <v>0</v>
      </c>
      <c r="BJ242" s="1103">
        <v>0</v>
      </c>
    </row>
    <row r="243" spans="2:62" hidden="1" outlineLevel="1">
      <c r="B243" s="1094"/>
      <c r="C243" s="1083" t="s">
        <v>551</v>
      </c>
      <c r="D243" s="1062" t="s">
        <v>551</v>
      </c>
      <c r="E243" s="1083" t="s">
        <v>552</v>
      </c>
      <c r="F243" s="1095" t="s">
        <v>414</v>
      </c>
      <c r="G243" s="1096">
        <f t="shared" si="29"/>
        <v>1000</v>
      </c>
      <c r="H243" s="1083" t="s">
        <v>29</v>
      </c>
      <c r="I243" s="1097">
        <v>8</v>
      </c>
      <c r="J243" s="1098">
        <f t="shared" si="30"/>
        <v>96</v>
      </c>
      <c r="K243" s="153">
        <f t="shared" si="31"/>
        <v>0.125</v>
      </c>
      <c r="L243" s="1099"/>
      <c r="M243" s="1100">
        <v>0</v>
      </c>
      <c r="N243" s="1101">
        <f>IF($BF243=0,0,IF(SUM($M243:M243)&lt;($J243-12),12,$J243-SUM($M243:M243)))</f>
        <v>0</v>
      </c>
      <c r="O243" s="1101">
        <f>IF($BF243=0,0,IF(SUM($M243:N243)&lt;($J243-12),12,$J243-SUM($M243:N243)))</f>
        <v>0</v>
      </c>
      <c r="P243" s="1101">
        <f>IF($BF243=0,0,IF(SUM($M243:O243)&lt;($J243-12),12,$J243-SUM($M243:O243)))</f>
        <v>0</v>
      </c>
      <c r="Q243" s="1101">
        <f>IF($BF243=0,0,IF(SUM($M243:P243)&lt;($J243-12),12,$J243-SUM($M243:P243)))</f>
        <v>0</v>
      </c>
      <c r="S243" s="1100"/>
      <c r="T243" s="1100">
        <v>0</v>
      </c>
      <c r="U243" s="1101">
        <f>IF($BG243=0,0,IF(SUM($S243:T243)&lt;($J243-12),12,$J243-SUM($S243:T243)))</f>
        <v>0</v>
      </c>
      <c r="V243" s="1101">
        <f>IF($BG243=0,0,IF(SUM($S243:U243)&lt;($J243-12),12,$J243-SUM($S243:U243)))</f>
        <v>0</v>
      </c>
      <c r="W243" s="1101">
        <f>IF($BG243=0,0,IF(SUM($S243:V243)&lt;($J243-12),12,$J243-SUM($S243:V243)))</f>
        <v>0</v>
      </c>
      <c r="Y243" s="1100"/>
      <c r="Z243" s="1100"/>
      <c r="AA243" s="1100">
        <v>0</v>
      </c>
      <c r="AB243" s="1101">
        <f>IF($BH243=0,0,IF(SUM($Y243:AA243)&lt;($J243-12),12,$J243-SUM($Y243:AA243)))</f>
        <v>0</v>
      </c>
      <c r="AC243" s="1101">
        <f>IF($BH243=0,0,IF(SUM($Y243:AB243)&lt;($J243-12),12,$J243-SUM($Y243:AB243)))</f>
        <v>0</v>
      </c>
      <c r="AE243" s="1100"/>
      <c r="AF243" s="1100"/>
      <c r="AG243" s="1100"/>
      <c r="AH243" s="1100">
        <v>0</v>
      </c>
      <c r="AI243" s="1101">
        <f>IF($BI243=0,0,IF(SUM($AE243:AH243)&lt;($J243-12),12,$J243-SUM($AE243:AH243)))</f>
        <v>0</v>
      </c>
      <c r="AK243" s="1100"/>
      <c r="AL243" s="1100"/>
      <c r="AM243" s="1100"/>
      <c r="AN243" s="1100"/>
      <c r="AO243" s="1100">
        <v>3</v>
      </c>
      <c r="AQ243" s="153">
        <f t="shared" si="32"/>
        <v>0</v>
      </c>
      <c r="AR243" s="153">
        <f t="shared" si="33"/>
        <v>0</v>
      </c>
      <c r="AS243" s="153">
        <f t="shared" si="34"/>
        <v>0</v>
      </c>
      <c r="AT243" s="153">
        <f t="shared" si="35"/>
        <v>0</v>
      </c>
      <c r="AU243" s="153">
        <f t="shared" si="36"/>
        <v>0.25</v>
      </c>
      <c r="AW243" s="1543">
        <v>0</v>
      </c>
      <c r="AX243" s="1102"/>
      <c r="AY243" s="1544">
        <v>1</v>
      </c>
      <c r="BA243" s="1103">
        <v>0</v>
      </c>
      <c r="BB243" s="1103">
        <v>0</v>
      </c>
      <c r="BC243" s="1103">
        <v>0</v>
      </c>
      <c r="BD243" s="1103">
        <v>0</v>
      </c>
      <c r="BE243" s="1103">
        <v>0</v>
      </c>
      <c r="BF243" s="1103">
        <v>0</v>
      </c>
      <c r="BG243" s="1103">
        <v>0</v>
      </c>
      <c r="BH243" s="1103">
        <v>0</v>
      </c>
      <c r="BI243" s="1103">
        <v>0</v>
      </c>
      <c r="BJ243" s="1103">
        <v>1000</v>
      </c>
    </row>
    <row r="244" spans="2:62" hidden="1" outlineLevel="1">
      <c r="B244" s="1094"/>
      <c r="C244" s="1083" t="s">
        <v>553</v>
      </c>
      <c r="D244" s="1062" t="s">
        <v>553</v>
      </c>
      <c r="E244" s="1083" t="s">
        <v>554</v>
      </c>
      <c r="F244" s="1095" t="s">
        <v>414</v>
      </c>
      <c r="G244" s="1096">
        <f t="shared" si="29"/>
        <v>992.47812000000022</v>
      </c>
      <c r="H244" s="1083" t="s">
        <v>29</v>
      </c>
      <c r="I244" s="1097">
        <v>8</v>
      </c>
      <c r="J244" s="1098">
        <f t="shared" si="30"/>
        <v>96</v>
      </c>
      <c r="K244" s="153">
        <f t="shared" si="31"/>
        <v>0.125</v>
      </c>
      <c r="L244" s="1099"/>
      <c r="M244" s="1100">
        <v>0</v>
      </c>
      <c r="N244" s="1101">
        <f>IF($BF244=0,0,IF(SUM($M244:M244)&lt;($J244-12),12,$J244-SUM($M244:M244)))</f>
        <v>0</v>
      </c>
      <c r="O244" s="1101">
        <f>IF($BF244=0,0,IF(SUM($M244:N244)&lt;($J244-12),12,$J244-SUM($M244:N244)))</f>
        <v>0</v>
      </c>
      <c r="P244" s="1101">
        <f>IF($BF244=0,0,IF(SUM($M244:O244)&lt;($J244-12),12,$J244-SUM($M244:O244)))</f>
        <v>0</v>
      </c>
      <c r="Q244" s="1101">
        <f>IF($BF244=0,0,IF(SUM($M244:P244)&lt;($J244-12),12,$J244-SUM($M244:P244)))</f>
        <v>0</v>
      </c>
      <c r="S244" s="1100"/>
      <c r="T244" s="1100">
        <v>0</v>
      </c>
      <c r="U244" s="1101">
        <f>IF($BG244=0,0,IF(SUM($S244:T244)&lt;($J244-12),12,$J244-SUM($S244:T244)))</f>
        <v>0</v>
      </c>
      <c r="V244" s="1101">
        <f>IF($BG244=0,0,IF(SUM($S244:U244)&lt;($J244-12),12,$J244-SUM($S244:U244)))</f>
        <v>0</v>
      </c>
      <c r="W244" s="1101">
        <f>IF($BG244=0,0,IF(SUM($S244:V244)&lt;($J244-12),12,$J244-SUM($S244:V244)))</f>
        <v>0</v>
      </c>
      <c r="Y244" s="1100"/>
      <c r="Z244" s="1100"/>
      <c r="AA244" s="1100">
        <v>6</v>
      </c>
      <c r="AB244" s="1101">
        <f>IF($BH244=0,0,IF(SUM($Y244:AA244)&lt;($J244-12),12,$J244-SUM($Y244:AA244)))</f>
        <v>12</v>
      </c>
      <c r="AC244" s="1101">
        <f>IF($BH244=0,0,IF(SUM($Y244:AB244)&lt;($J244-12),12,$J244-SUM($Y244:AB244)))</f>
        <v>12</v>
      </c>
      <c r="AE244" s="1100"/>
      <c r="AF244" s="1100"/>
      <c r="AG244" s="1100"/>
      <c r="AH244" s="1100">
        <v>0</v>
      </c>
      <c r="AI244" s="1101">
        <f>IF($BI244=0,0,IF(SUM($AE244:AH244)&lt;($J244-12),12,$J244-SUM($AE244:AH244)))</f>
        <v>0</v>
      </c>
      <c r="AK244" s="1100"/>
      <c r="AL244" s="1100"/>
      <c r="AM244" s="1100"/>
      <c r="AN244" s="1100"/>
      <c r="AO244" s="1100">
        <v>0</v>
      </c>
      <c r="AQ244" s="153">
        <f t="shared" si="32"/>
        <v>0</v>
      </c>
      <c r="AR244" s="153">
        <f t="shared" si="33"/>
        <v>0</v>
      </c>
      <c r="AS244" s="153">
        <f t="shared" si="34"/>
        <v>0.5</v>
      </c>
      <c r="AT244" s="153">
        <f t="shared" si="35"/>
        <v>0</v>
      </c>
      <c r="AU244" s="153">
        <f t="shared" si="36"/>
        <v>0</v>
      </c>
      <c r="AW244" s="1543">
        <v>0.75</v>
      </c>
      <c r="AX244" s="1102"/>
      <c r="AY244" s="1544">
        <v>0.25</v>
      </c>
      <c r="BA244" s="1103">
        <v>0</v>
      </c>
      <c r="BB244" s="1103">
        <v>0</v>
      </c>
      <c r="BC244" s="1103">
        <v>0</v>
      </c>
      <c r="BD244" s="1103">
        <v>0</v>
      </c>
      <c r="BE244" s="1103">
        <v>0</v>
      </c>
      <c r="BF244" s="1103">
        <v>0</v>
      </c>
      <c r="BG244" s="1103">
        <v>0</v>
      </c>
      <c r="BH244" s="1103">
        <v>992.47812000000022</v>
      </c>
      <c r="BI244" s="1103">
        <v>0</v>
      </c>
      <c r="BJ244" s="1103">
        <v>0</v>
      </c>
    </row>
    <row r="245" spans="2:62" hidden="1" outlineLevel="1">
      <c r="B245" s="1094"/>
      <c r="C245" s="1083" t="s">
        <v>555</v>
      </c>
      <c r="D245" s="1062" t="s">
        <v>555</v>
      </c>
      <c r="E245" s="1083" t="s">
        <v>556</v>
      </c>
      <c r="F245" s="1095" t="s">
        <v>414</v>
      </c>
      <c r="G245" s="1096">
        <f t="shared" si="29"/>
        <v>938.15210000000002</v>
      </c>
      <c r="H245" s="1083" t="s">
        <v>29</v>
      </c>
      <c r="I245" s="1097">
        <v>5</v>
      </c>
      <c r="J245" s="1098">
        <f t="shared" si="30"/>
        <v>60</v>
      </c>
      <c r="K245" s="153">
        <f t="shared" si="31"/>
        <v>0.2</v>
      </c>
      <c r="L245" s="1099"/>
      <c r="M245" s="1100">
        <v>0</v>
      </c>
      <c r="N245" s="1101">
        <f>IF($BF245=0,0,IF(SUM($M245:M245)&lt;($J245-12),12,$J245-SUM($M245:M245)))</f>
        <v>0</v>
      </c>
      <c r="O245" s="1101">
        <f>IF($BF245=0,0,IF(SUM($M245:N245)&lt;($J245-12),12,$J245-SUM($M245:N245)))</f>
        <v>0</v>
      </c>
      <c r="P245" s="1101">
        <f>IF($BF245=0,0,IF(SUM($M245:O245)&lt;($J245-12),12,$J245-SUM($M245:O245)))</f>
        <v>0</v>
      </c>
      <c r="Q245" s="1101">
        <f>IF($BF245=0,0,IF(SUM($M245:P245)&lt;($J245-12),12,$J245-SUM($M245:P245)))</f>
        <v>0</v>
      </c>
      <c r="S245" s="1100"/>
      <c r="T245" s="1100">
        <v>4.0896346601404341</v>
      </c>
      <c r="U245" s="1101">
        <f>IF($BG245=0,0,IF(SUM($S245:T245)&lt;($J245-12),12,$J245-SUM($S245:T245)))</f>
        <v>12</v>
      </c>
      <c r="V245" s="1101">
        <f>IF($BG245=0,0,IF(SUM($S245:U245)&lt;($J245-12),12,$J245-SUM($S245:U245)))</f>
        <v>12</v>
      </c>
      <c r="W245" s="1101">
        <f>IF($BG245=0,0,IF(SUM($S245:V245)&lt;($J245-12),12,$J245-SUM($S245:V245)))</f>
        <v>12</v>
      </c>
      <c r="Y245" s="1100"/>
      <c r="Z245" s="1100"/>
      <c r="AA245" s="1100">
        <v>12</v>
      </c>
      <c r="AB245" s="1101">
        <f>IF($BH245=0,0,IF(SUM($Y245:AA245)&lt;($J245-12),12,$J245-SUM($Y245:AA245)))</f>
        <v>12</v>
      </c>
      <c r="AC245" s="1101">
        <f>IF($BH245=0,0,IF(SUM($Y245:AB245)&lt;($J245-12),12,$J245-SUM($Y245:AB245)))</f>
        <v>12</v>
      </c>
      <c r="AE245" s="1100"/>
      <c r="AF245" s="1100"/>
      <c r="AG245" s="1100"/>
      <c r="AH245" s="1100">
        <v>0</v>
      </c>
      <c r="AI245" s="1101">
        <f>IF($BI245=0,0,IF(SUM($AE245:AH245)&lt;($J245-12),12,$J245-SUM($AE245:AH245)))</f>
        <v>0</v>
      </c>
      <c r="AK245" s="1100"/>
      <c r="AL245" s="1100"/>
      <c r="AM245" s="1100"/>
      <c r="AN245" s="1100"/>
      <c r="AO245" s="1100">
        <v>0</v>
      </c>
      <c r="AQ245" s="153">
        <f t="shared" si="32"/>
        <v>0</v>
      </c>
      <c r="AR245" s="153">
        <f t="shared" si="33"/>
        <v>0.34080288834503619</v>
      </c>
      <c r="AS245" s="153">
        <f t="shared" si="34"/>
        <v>1</v>
      </c>
      <c r="AT245" s="153">
        <f t="shared" si="35"/>
        <v>0</v>
      </c>
      <c r="AU245" s="153">
        <f t="shared" si="36"/>
        <v>0</v>
      </c>
      <c r="AW245" s="1543">
        <v>0.75</v>
      </c>
      <c r="AX245" s="1102"/>
      <c r="AY245" s="1544">
        <v>0.25</v>
      </c>
      <c r="BA245" s="1103">
        <v>0</v>
      </c>
      <c r="BB245" s="1103">
        <v>0</v>
      </c>
      <c r="BC245" s="1103">
        <v>0</v>
      </c>
      <c r="BD245" s="1103">
        <v>0</v>
      </c>
      <c r="BE245" s="1103">
        <v>0</v>
      </c>
      <c r="BF245" s="1103">
        <v>0</v>
      </c>
      <c r="BG245" s="1103">
        <v>628.15210000000002</v>
      </c>
      <c r="BH245" s="1103">
        <v>310</v>
      </c>
      <c r="BI245" s="1103">
        <v>0</v>
      </c>
      <c r="BJ245" s="1103">
        <v>0</v>
      </c>
    </row>
    <row r="246" spans="2:62" hidden="1" outlineLevel="1">
      <c r="B246" s="1094"/>
      <c r="C246" s="1083" t="s">
        <v>557</v>
      </c>
      <c r="D246" s="1062" t="s">
        <v>558</v>
      </c>
      <c r="E246" s="1083" t="s">
        <v>559</v>
      </c>
      <c r="F246" s="1095" t="s">
        <v>414</v>
      </c>
      <c r="G246" s="1096">
        <f t="shared" si="29"/>
        <v>300</v>
      </c>
      <c r="H246" s="1083" t="s">
        <v>29</v>
      </c>
      <c r="I246" s="1097">
        <v>8</v>
      </c>
      <c r="J246" s="1098">
        <f t="shared" si="30"/>
        <v>96</v>
      </c>
      <c r="K246" s="153">
        <f t="shared" si="31"/>
        <v>0.125</v>
      </c>
      <c r="L246" s="1099"/>
      <c r="M246" s="1100">
        <v>0</v>
      </c>
      <c r="N246" s="1101">
        <f>IF($BF246=0,0,IF(SUM($M246:M246)&lt;($J246-12),12,$J246-SUM($M246:M246)))</f>
        <v>0</v>
      </c>
      <c r="O246" s="1101">
        <f>IF($BF246=0,0,IF(SUM($M246:N246)&lt;($J246-12),12,$J246-SUM($M246:N246)))</f>
        <v>0</v>
      </c>
      <c r="P246" s="1101">
        <f>IF($BF246=0,0,IF(SUM($M246:O246)&lt;($J246-12),12,$J246-SUM($M246:O246)))</f>
        <v>0</v>
      </c>
      <c r="Q246" s="1101">
        <f>IF($BF246=0,0,IF(SUM($M246:P246)&lt;($J246-12),12,$J246-SUM($M246:P246)))</f>
        <v>0</v>
      </c>
      <c r="S246" s="1100"/>
      <c r="T246" s="1100">
        <v>3</v>
      </c>
      <c r="U246" s="1101">
        <f>IF($BG246=0,0,IF(SUM($S246:T246)&lt;($J246-12),12,$J246-SUM($S246:T246)))</f>
        <v>12</v>
      </c>
      <c r="V246" s="1101">
        <f>IF($BG246=0,0,IF(SUM($S246:U246)&lt;($J246-12),12,$J246-SUM($S246:U246)))</f>
        <v>12</v>
      </c>
      <c r="W246" s="1101">
        <f>IF($BG246=0,0,IF(SUM($S246:V246)&lt;($J246-12),12,$J246-SUM($S246:V246)))</f>
        <v>12</v>
      </c>
      <c r="Y246" s="1100"/>
      <c r="Z246" s="1100"/>
      <c r="AA246" s="1100">
        <v>0</v>
      </c>
      <c r="AB246" s="1101">
        <f>IF($BH246=0,0,IF(SUM($Y246:AA246)&lt;($J246-12),12,$J246-SUM($Y246:AA246)))</f>
        <v>0</v>
      </c>
      <c r="AC246" s="1101">
        <f>IF($BH246=0,0,IF(SUM($Y246:AB246)&lt;($J246-12),12,$J246-SUM($Y246:AB246)))</f>
        <v>0</v>
      </c>
      <c r="AE246" s="1100"/>
      <c r="AF246" s="1100"/>
      <c r="AG246" s="1100"/>
      <c r="AH246" s="1100">
        <v>0</v>
      </c>
      <c r="AI246" s="1101">
        <f>IF($BI246=0,0,IF(SUM($AE246:AH246)&lt;($J246-12),12,$J246-SUM($AE246:AH246)))</f>
        <v>0</v>
      </c>
      <c r="AK246" s="1100"/>
      <c r="AL246" s="1100"/>
      <c r="AM246" s="1100"/>
      <c r="AN246" s="1100"/>
      <c r="AO246" s="1100">
        <v>0</v>
      </c>
      <c r="AQ246" s="153">
        <f t="shared" si="32"/>
        <v>0</v>
      </c>
      <c r="AR246" s="153">
        <f t="shared" si="33"/>
        <v>0.25</v>
      </c>
      <c r="AS246" s="153">
        <f t="shared" si="34"/>
        <v>0</v>
      </c>
      <c r="AT246" s="153">
        <f t="shared" si="35"/>
        <v>0</v>
      </c>
      <c r="AU246" s="153">
        <f t="shared" si="36"/>
        <v>0</v>
      </c>
      <c r="AW246" s="1543">
        <v>0.75</v>
      </c>
      <c r="AX246" s="1102"/>
      <c r="AY246" s="1544">
        <v>0.25</v>
      </c>
      <c r="BA246" s="1103">
        <v>0</v>
      </c>
      <c r="BB246" s="1103">
        <v>0</v>
      </c>
      <c r="BC246" s="1103">
        <v>0</v>
      </c>
      <c r="BD246" s="1103">
        <v>0</v>
      </c>
      <c r="BE246" s="1103">
        <v>0</v>
      </c>
      <c r="BF246" s="1103">
        <v>0</v>
      </c>
      <c r="BG246" s="1103">
        <v>300</v>
      </c>
      <c r="BH246" s="1103">
        <v>0</v>
      </c>
      <c r="BI246" s="1103">
        <v>0</v>
      </c>
      <c r="BJ246" s="1103">
        <v>0</v>
      </c>
    </row>
    <row r="247" spans="2:62" hidden="1" outlineLevel="1">
      <c r="B247" s="1094"/>
      <c r="C247" s="1083" t="s">
        <v>560</v>
      </c>
      <c r="D247" s="1062" t="s">
        <v>558</v>
      </c>
      <c r="E247" s="1083" t="s">
        <v>561</v>
      </c>
      <c r="F247" s="1095" t="s">
        <v>414</v>
      </c>
      <c r="G247" s="1096">
        <f t="shared" si="29"/>
        <v>300</v>
      </c>
      <c r="H247" s="1083" t="s">
        <v>29</v>
      </c>
      <c r="I247" s="1097">
        <v>8</v>
      </c>
      <c r="J247" s="1098">
        <f t="shared" si="30"/>
        <v>96</v>
      </c>
      <c r="K247" s="153">
        <f t="shared" si="31"/>
        <v>0.125</v>
      </c>
      <c r="L247" s="1099"/>
      <c r="M247" s="1100">
        <v>0</v>
      </c>
      <c r="N247" s="1101">
        <f>IF($BF247=0,0,IF(SUM($M247:M247)&lt;($J247-12),12,$J247-SUM($M247:M247)))</f>
        <v>0</v>
      </c>
      <c r="O247" s="1101">
        <f>IF($BF247=0,0,IF(SUM($M247:N247)&lt;($J247-12),12,$J247-SUM($M247:N247)))</f>
        <v>0</v>
      </c>
      <c r="P247" s="1101">
        <f>IF($BF247=0,0,IF(SUM($M247:O247)&lt;($J247-12),12,$J247-SUM($M247:O247)))</f>
        <v>0</v>
      </c>
      <c r="Q247" s="1101">
        <f>IF($BF247=0,0,IF(SUM($M247:P247)&lt;($J247-12),12,$J247-SUM($M247:P247)))</f>
        <v>0</v>
      </c>
      <c r="S247" s="1100"/>
      <c r="T247" s="1100">
        <v>3</v>
      </c>
      <c r="U247" s="1101">
        <f>IF($BG247=0,0,IF(SUM($S247:T247)&lt;($J247-12),12,$J247-SUM($S247:T247)))</f>
        <v>12</v>
      </c>
      <c r="V247" s="1101">
        <f>IF($BG247=0,0,IF(SUM($S247:U247)&lt;($J247-12),12,$J247-SUM($S247:U247)))</f>
        <v>12</v>
      </c>
      <c r="W247" s="1101">
        <f>IF($BG247=0,0,IF(SUM($S247:V247)&lt;($J247-12),12,$J247-SUM($S247:V247)))</f>
        <v>12</v>
      </c>
      <c r="Y247" s="1100"/>
      <c r="Z247" s="1100"/>
      <c r="AA247" s="1100">
        <v>0</v>
      </c>
      <c r="AB247" s="1101">
        <f>IF($BH247=0,0,IF(SUM($Y247:AA247)&lt;($J247-12),12,$J247-SUM($Y247:AA247)))</f>
        <v>0</v>
      </c>
      <c r="AC247" s="1101">
        <f>IF($BH247=0,0,IF(SUM($Y247:AB247)&lt;($J247-12),12,$J247-SUM($Y247:AB247)))</f>
        <v>0</v>
      </c>
      <c r="AE247" s="1100"/>
      <c r="AF247" s="1100"/>
      <c r="AG247" s="1100"/>
      <c r="AH247" s="1100">
        <v>0</v>
      </c>
      <c r="AI247" s="1101">
        <f>IF($BI247=0,0,IF(SUM($AE247:AH247)&lt;($J247-12),12,$J247-SUM($AE247:AH247)))</f>
        <v>0</v>
      </c>
      <c r="AK247" s="1100"/>
      <c r="AL247" s="1100"/>
      <c r="AM247" s="1100"/>
      <c r="AN247" s="1100"/>
      <c r="AO247" s="1100">
        <v>0</v>
      </c>
      <c r="AQ247" s="153">
        <f t="shared" si="32"/>
        <v>0</v>
      </c>
      <c r="AR247" s="153">
        <f t="shared" si="33"/>
        <v>0.25</v>
      </c>
      <c r="AS247" s="153">
        <f t="shared" si="34"/>
        <v>0</v>
      </c>
      <c r="AT247" s="153">
        <f t="shared" si="35"/>
        <v>0</v>
      </c>
      <c r="AU247" s="153">
        <f t="shared" si="36"/>
        <v>0</v>
      </c>
      <c r="AW247" s="1543">
        <v>0.5</v>
      </c>
      <c r="AX247" s="1102"/>
      <c r="AY247" s="1544">
        <v>0.5</v>
      </c>
      <c r="BA247" s="1103">
        <v>0</v>
      </c>
      <c r="BB247" s="1103">
        <v>0</v>
      </c>
      <c r="BC247" s="1103">
        <v>0</v>
      </c>
      <c r="BD247" s="1103">
        <v>0</v>
      </c>
      <c r="BE247" s="1103">
        <v>0</v>
      </c>
      <c r="BF247" s="1103">
        <v>0</v>
      </c>
      <c r="BG247" s="1103">
        <v>300</v>
      </c>
      <c r="BH247" s="1103">
        <v>0</v>
      </c>
      <c r="BI247" s="1103">
        <v>0</v>
      </c>
      <c r="BJ247" s="1103">
        <v>0</v>
      </c>
    </row>
    <row r="248" spans="2:62" hidden="1" outlineLevel="1">
      <c r="B248" s="1094"/>
      <c r="C248" s="1083" t="s">
        <v>562</v>
      </c>
      <c r="D248" s="1062" t="s">
        <v>558</v>
      </c>
      <c r="E248" s="1083" t="s">
        <v>561</v>
      </c>
      <c r="F248" s="1095" t="s">
        <v>414</v>
      </c>
      <c r="G248" s="1096">
        <f t="shared" si="29"/>
        <v>300</v>
      </c>
      <c r="H248" s="1083" t="s">
        <v>29</v>
      </c>
      <c r="I248" s="1097">
        <v>8</v>
      </c>
      <c r="J248" s="1098">
        <f t="shared" si="30"/>
        <v>96</v>
      </c>
      <c r="K248" s="153">
        <f t="shared" si="31"/>
        <v>0.125</v>
      </c>
      <c r="L248" s="1099"/>
      <c r="M248" s="1100">
        <v>0</v>
      </c>
      <c r="N248" s="1101">
        <f>IF($BF248=0,0,IF(SUM($M248:M248)&lt;($J248-12),12,$J248-SUM($M248:M248)))</f>
        <v>0</v>
      </c>
      <c r="O248" s="1101">
        <f>IF($BF248=0,0,IF(SUM($M248:N248)&lt;($J248-12),12,$J248-SUM($M248:N248)))</f>
        <v>0</v>
      </c>
      <c r="P248" s="1101">
        <f>IF($BF248=0,0,IF(SUM($M248:O248)&lt;($J248-12),12,$J248-SUM($M248:O248)))</f>
        <v>0</v>
      </c>
      <c r="Q248" s="1101">
        <f>IF($BF248=0,0,IF(SUM($M248:P248)&lt;($J248-12),12,$J248-SUM($M248:P248)))</f>
        <v>0</v>
      </c>
      <c r="S248" s="1100"/>
      <c r="T248" s="1100">
        <v>0</v>
      </c>
      <c r="U248" s="1101">
        <f>IF($BG248=0,0,IF(SUM($S248:T248)&lt;($J248-12),12,$J248-SUM($S248:T248)))</f>
        <v>0</v>
      </c>
      <c r="V248" s="1101">
        <f>IF($BG248=0,0,IF(SUM($S248:U248)&lt;($J248-12),12,$J248-SUM($S248:U248)))</f>
        <v>0</v>
      </c>
      <c r="W248" s="1101">
        <f>IF($BG248=0,0,IF(SUM($S248:V248)&lt;($J248-12),12,$J248-SUM($S248:V248)))</f>
        <v>0</v>
      </c>
      <c r="Y248" s="1100"/>
      <c r="Z248" s="1100"/>
      <c r="AA248" s="1100">
        <v>12</v>
      </c>
      <c r="AB248" s="1101">
        <f>IF($BH248=0,0,IF(SUM($Y248:AA248)&lt;($J248-12),12,$J248-SUM($Y248:AA248)))</f>
        <v>12</v>
      </c>
      <c r="AC248" s="1101">
        <f>IF($BH248=0,0,IF(SUM($Y248:AB248)&lt;($J248-12),12,$J248-SUM($Y248:AB248)))</f>
        <v>12</v>
      </c>
      <c r="AE248" s="1100"/>
      <c r="AF248" s="1100"/>
      <c r="AG248" s="1100"/>
      <c r="AH248" s="1100">
        <v>0</v>
      </c>
      <c r="AI248" s="1101">
        <f>IF($BI248=0,0,IF(SUM($AE248:AH248)&lt;($J248-12),12,$J248-SUM($AE248:AH248)))</f>
        <v>0</v>
      </c>
      <c r="AK248" s="1100"/>
      <c r="AL248" s="1100"/>
      <c r="AM248" s="1100"/>
      <c r="AN248" s="1100"/>
      <c r="AO248" s="1100">
        <v>0</v>
      </c>
      <c r="AQ248" s="153">
        <f t="shared" si="32"/>
        <v>0</v>
      </c>
      <c r="AR248" s="153">
        <f t="shared" si="33"/>
        <v>0</v>
      </c>
      <c r="AS248" s="153">
        <f t="shared" si="34"/>
        <v>1</v>
      </c>
      <c r="AT248" s="153">
        <f t="shared" si="35"/>
        <v>0</v>
      </c>
      <c r="AU248" s="153">
        <f t="shared" si="36"/>
        <v>0</v>
      </c>
      <c r="AW248" s="1543">
        <v>0.75</v>
      </c>
      <c r="AX248" s="1102"/>
      <c r="AY248" s="1544">
        <v>0.25</v>
      </c>
      <c r="BA248" s="1103">
        <v>0</v>
      </c>
      <c r="BB248" s="1103">
        <v>0</v>
      </c>
      <c r="BC248" s="1103">
        <v>0</v>
      </c>
      <c r="BD248" s="1103">
        <v>0</v>
      </c>
      <c r="BE248" s="1103">
        <v>0</v>
      </c>
      <c r="BF248" s="1103">
        <v>0</v>
      </c>
      <c r="BG248" s="1103">
        <v>0</v>
      </c>
      <c r="BH248" s="1103">
        <v>300</v>
      </c>
      <c r="BI248" s="1103">
        <v>0</v>
      </c>
      <c r="BJ248" s="1103">
        <v>0</v>
      </c>
    </row>
    <row r="249" spans="2:62" hidden="1" outlineLevel="1">
      <c r="B249" s="1094"/>
      <c r="C249" s="1083" t="s">
        <v>563</v>
      </c>
      <c r="D249" s="1062" t="s">
        <v>563</v>
      </c>
      <c r="E249" s="1083" t="s">
        <v>564</v>
      </c>
      <c r="F249" s="1095" t="s">
        <v>414</v>
      </c>
      <c r="G249" s="1096">
        <f t="shared" si="29"/>
        <v>800</v>
      </c>
      <c r="H249" s="1083" t="s">
        <v>29</v>
      </c>
      <c r="I249" s="1097">
        <v>3</v>
      </c>
      <c r="J249" s="1098">
        <f t="shared" si="30"/>
        <v>36</v>
      </c>
      <c r="K249" s="153">
        <f t="shared" si="31"/>
        <v>0.33333333333333331</v>
      </c>
      <c r="L249" s="1099"/>
      <c r="M249" s="1100">
        <v>0</v>
      </c>
      <c r="N249" s="1101">
        <f>IF($BF249=0,0,IF(SUM($M249:M249)&lt;($J249-12),12,$J249-SUM($M249:M249)))</f>
        <v>0</v>
      </c>
      <c r="O249" s="1101">
        <f>IF($BF249=0,0,IF(SUM($M249:N249)&lt;($J249-12),12,$J249-SUM($M249:N249)))</f>
        <v>0</v>
      </c>
      <c r="P249" s="1101">
        <f>IF($BF249=0,0,IF(SUM($M249:O249)&lt;($J249-12),12,$J249-SUM($M249:O249)))</f>
        <v>0</v>
      </c>
      <c r="Q249" s="1101">
        <f>IF($BF249=0,0,IF(SUM($M249:P249)&lt;($J249-12),12,$J249-SUM($M249:P249)))</f>
        <v>0</v>
      </c>
      <c r="S249" s="1100"/>
      <c r="T249" s="1100">
        <v>0</v>
      </c>
      <c r="U249" s="1101">
        <f>IF($BG249=0,0,IF(SUM($S249:T249)&lt;($J249-12),12,$J249-SUM($S249:T249)))</f>
        <v>0</v>
      </c>
      <c r="V249" s="1101">
        <f>IF($BG249=0,0,IF(SUM($S249:U249)&lt;($J249-12),12,$J249-SUM($S249:U249)))</f>
        <v>0</v>
      </c>
      <c r="W249" s="1101">
        <f>IF($BG249=0,0,IF(SUM($S249:V249)&lt;($J249-12),12,$J249-SUM($S249:V249)))</f>
        <v>0</v>
      </c>
      <c r="Y249" s="1100"/>
      <c r="Z249" s="1100"/>
      <c r="AA249" s="1100">
        <v>9</v>
      </c>
      <c r="AB249" s="1101">
        <f>IF($BH249=0,0,IF(SUM($Y249:AA249)&lt;($J249-12),12,$J249-SUM($Y249:AA249)))</f>
        <v>12</v>
      </c>
      <c r="AC249" s="1101">
        <f>IF($BH249=0,0,IF(SUM($Y249:AB249)&lt;($J249-12),12,$J249-SUM($Y249:AB249)))</f>
        <v>12</v>
      </c>
      <c r="AE249" s="1100"/>
      <c r="AF249" s="1100"/>
      <c r="AG249" s="1100"/>
      <c r="AH249" s="1100">
        <v>0</v>
      </c>
      <c r="AI249" s="1101">
        <f>IF($BI249=0,0,IF(SUM($AE249:AH249)&lt;($J249-12),12,$J249-SUM($AE249:AH249)))</f>
        <v>0</v>
      </c>
      <c r="AK249" s="1100"/>
      <c r="AL249" s="1100"/>
      <c r="AM249" s="1100"/>
      <c r="AN249" s="1100"/>
      <c r="AO249" s="1100">
        <v>3.0000000000000009</v>
      </c>
      <c r="AQ249" s="153">
        <f t="shared" si="32"/>
        <v>0</v>
      </c>
      <c r="AR249" s="153">
        <f t="shared" si="33"/>
        <v>0</v>
      </c>
      <c r="AS249" s="153">
        <f t="shared" si="34"/>
        <v>0.75</v>
      </c>
      <c r="AT249" s="153">
        <f t="shared" si="35"/>
        <v>0</v>
      </c>
      <c r="AU249" s="153">
        <f t="shared" si="36"/>
        <v>0.25000000000000006</v>
      </c>
      <c r="AW249" s="1543">
        <v>0.73</v>
      </c>
      <c r="AX249" s="1102"/>
      <c r="AY249" s="1544">
        <v>0.15</v>
      </c>
      <c r="BA249" s="1103">
        <v>0</v>
      </c>
      <c r="BB249" s="1103">
        <v>0</v>
      </c>
      <c r="BC249" s="1103">
        <v>0</v>
      </c>
      <c r="BD249" s="1103">
        <v>0</v>
      </c>
      <c r="BE249" s="1103">
        <v>0</v>
      </c>
      <c r="BF249" s="1103">
        <v>0</v>
      </c>
      <c r="BG249" s="1103">
        <v>0</v>
      </c>
      <c r="BH249" s="1103">
        <v>400</v>
      </c>
      <c r="BI249" s="1103">
        <v>0</v>
      </c>
      <c r="BJ249" s="1103">
        <v>400</v>
      </c>
    </row>
    <row r="250" spans="2:62" hidden="1" outlineLevel="1">
      <c r="B250" s="1094"/>
      <c r="C250" s="1083" t="s">
        <v>565</v>
      </c>
      <c r="D250" s="1062" t="s">
        <v>565</v>
      </c>
      <c r="E250" s="1083" t="s">
        <v>566</v>
      </c>
      <c r="F250" s="1095" t="s">
        <v>414</v>
      </c>
      <c r="G250" s="1096">
        <f t="shared" si="29"/>
        <v>792.33339000000001</v>
      </c>
      <c r="H250" s="1083" t="s">
        <v>29</v>
      </c>
      <c r="I250" s="1097">
        <v>8</v>
      </c>
      <c r="J250" s="1098">
        <f t="shared" si="30"/>
        <v>96</v>
      </c>
      <c r="K250" s="153">
        <f t="shared" si="31"/>
        <v>0.125</v>
      </c>
      <c r="L250" s="1099"/>
      <c r="M250" s="1100">
        <v>0</v>
      </c>
      <c r="N250" s="1101">
        <f>IF($BF250=0,0,IF(SUM($M250:M250)&lt;($J250-12),12,$J250-SUM($M250:M250)))</f>
        <v>0</v>
      </c>
      <c r="O250" s="1101">
        <f>IF($BF250=0,0,IF(SUM($M250:N250)&lt;($J250-12),12,$J250-SUM($M250:N250)))</f>
        <v>0</v>
      </c>
      <c r="P250" s="1101">
        <f>IF($BF250=0,0,IF(SUM($M250:O250)&lt;($J250-12),12,$J250-SUM($M250:O250)))</f>
        <v>0</v>
      </c>
      <c r="Q250" s="1101">
        <f>IF($BF250=0,0,IF(SUM($M250:P250)&lt;($J250-12),12,$J250-SUM($M250:P250)))</f>
        <v>0</v>
      </c>
      <c r="S250" s="1100"/>
      <c r="T250" s="1100">
        <v>9</v>
      </c>
      <c r="U250" s="1101">
        <f>IF($BG250=0,0,IF(SUM($S250:T250)&lt;($J250-12),12,$J250-SUM($S250:T250)))</f>
        <v>12</v>
      </c>
      <c r="V250" s="1101">
        <f>IF($BG250=0,0,IF(SUM($S250:U250)&lt;($J250-12),12,$J250-SUM($S250:U250)))</f>
        <v>12</v>
      </c>
      <c r="W250" s="1101">
        <f>IF($BG250=0,0,IF(SUM($S250:V250)&lt;($J250-12),12,$J250-SUM($S250:V250)))</f>
        <v>12</v>
      </c>
      <c r="Y250" s="1100"/>
      <c r="Z250" s="1100"/>
      <c r="AA250" s="1100">
        <v>3</v>
      </c>
      <c r="AB250" s="1101">
        <f>IF($BH250=0,0,IF(SUM($Y250:AA250)&lt;($J250-12),12,$J250-SUM($Y250:AA250)))</f>
        <v>12</v>
      </c>
      <c r="AC250" s="1101">
        <f>IF($BH250=0,0,IF(SUM($Y250:AB250)&lt;($J250-12),12,$J250-SUM($Y250:AB250)))</f>
        <v>12</v>
      </c>
      <c r="AE250" s="1100"/>
      <c r="AF250" s="1100"/>
      <c r="AG250" s="1100"/>
      <c r="AH250" s="1100">
        <v>0</v>
      </c>
      <c r="AI250" s="1101">
        <f>IF($BI250=0,0,IF(SUM($AE250:AH250)&lt;($J250-12),12,$J250-SUM($AE250:AH250)))</f>
        <v>0</v>
      </c>
      <c r="AK250" s="1100"/>
      <c r="AL250" s="1100"/>
      <c r="AM250" s="1100"/>
      <c r="AN250" s="1100"/>
      <c r="AO250" s="1100">
        <v>0</v>
      </c>
      <c r="AQ250" s="153">
        <f t="shared" si="32"/>
        <v>0</v>
      </c>
      <c r="AR250" s="153">
        <f t="shared" si="33"/>
        <v>0.75</v>
      </c>
      <c r="AS250" s="153">
        <f t="shared" si="34"/>
        <v>0.25</v>
      </c>
      <c r="AT250" s="153">
        <f t="shared" si="35"/>
        <v>0</v>
      </c>
      <c r="AU250" s="153">
        <f t="shared" si="36"/>
        <v>0</v>
      </c>
      <c r="AW250" s="1543">
        <v>1</v>
      </c>
      <c r="AX250" s="1102"/>
      <c r="AY250" s="1544">
        <v>0</v>
      </c>
      <c r="BA250" s="1103">
        <v>0</v>
      </c>
      <c r="BB250" s="1103">
        <v>0</v>
      </c>
      <c r="BC250" s="1103">
        <v>0</v>
      </c>
      <c r="BD250" s="1103">
        <v>0</v>
      </c>
      <c r="BE250" s="1103">
        <v>0</v>
      </c>
      <c r="BF250" s="1103">
        <v>0</v>
      </c>
      <c r="BG250" s="1103">
        <v>60</v>
      </c>
      <c r="BH250" s="1103">
        <v>732.33339000000001</v>
      </c>
      <c r="BI250" s="1103">
        <v>0</v>
      </c>
      <c r="BJ250" s="1103">
        <v>0</v>
      </c>
    </row>
    <row r="251" spans="2:62" hidden="1" outlineLevel="1">
      <c r="B251" s="1094"/>
      <c r="C251" s="1083" t="s">
        <v>567</v>
      </c>
      <c r="D251" s="1062" t="s">
        <v>567</v>
      </c>
      <c r="E251" s="1083" t="s">
        <v>568</v>
      </c>
      <c r="F251" s="1095" t="s">
        <v>414</v>
      </c>
      <c r="G251" s="1096">
        <f t="shared" si="29"/>
        <v>0</v>
      </c>
      <c r="H251" s="1083" t="s">
        <v>29</v>
      </c>
      <c r="I251" s="1097">
        <v>5</v>
      </c>
      <c r="J251" s="1098">
        <f t="shared" si="30"/>
        <v>60</v>
      </c>
      <c r="K251" s="153">
        <f t="shared" si="31"/>
        <v>0.2</v>
      </c>
      <c r="L251" s="1099"/>
      <c r="M251" s="1100">
        <v>0</v>
      </c>
      <c r="N251" s="1101">
        <f>IF($BF251=0,0,IF(SUM($M251:M251)&lt;($J251-12),12,$J251-SUM($M251:M251)))</f>
        <v>0</v>
      </c>
      <c r="O251" s="1101">
        <f>IF($BF251=0,0,IF(SUM($M251:N251)&lt;($J251-12),12,$J251-SUM($M251:N251)))</f>
        <v>0</v>
      </c>
      <c r="P251" s="1101">
        <f>IF($BF251=0,0,IF(SUM($M251:O251)&lt;($J251-12),12,$J251-SUM($M251:O251)))</f>
        <v>0</v>
      </c>
      <c r="Q251" s="1101">
        <f>IF($BF251=0,0,IF(SUM($M251:P251)&lt;($J251-12),12,$J251-SUM($M251:P251)))</f>
        <v>0</v>
      </c>
      <c r="S251" s="1100"/>
      <c r="T251" s="1100">
        <v>0</v>
      </c>
      <c r="U251" s="1101">
        <f>IF($BG251=0,0,IF(SUM($S251:T251)&lt;($J251-12),12,$J251-SUM($S251:T251)))</f>
        <v>0</v>
      </c>
      <c r="V251" s="1101">
        <f>IF($BG251=0,0,IF(SUM($S251:U251)&lt;($J251-12),12,$J251-SUM($S251:U251)))</f>
        <v>0</v>
      </c>
      <c r="W251" s="1101">
        <f>IF($BG251=0,0,IF(SUM($S251:V251)&lt;($J251-12),12,$J251-SUM($S251:V251)))</f>
        <v>0</v>
      </c>
      <c r="Y251" s="1100"/>
      <c r="Z251" s="1100"/>
      <c r="AA251" s="1100">
        <v>0</v>
      </c>
      <c r="AB251" s="1101">
        <f>IF($BH251=0,0,IF(SUM($Y251:AA251)&lt;($J251-12),12,$J251-SUM($Y251:AA251)))</f>
        <v>0</v>
      </c>
      <c r="AC251" s="1101">
        <f>IF($BH251=0,0,IF(SUM($Y251:AB251)&lt;($J251-12),12,$J251-SUM($Y251:AB251)))</f>
        <v>0</v>
      </c>
      <c r="AE251" s="1100"/>
      <c r="AF251" s="1100"/>
      <c r="AG251" s="1100"/>
      <c r="AH251" s="1100">
        <v>0</v>
      </c>
      <c r="AI251" s="1101">
        <f>IF($BI251=0,0,IF(SUM($AE251:AH251)&lt;($J251-12),12,$J251-SUM($AE251:AH251)))</f>
        <v>0</v>
      </c>
      <c r="AK251" s="1100"/>
      <c r="AL251" s="1100"/>
      <c r="AM251" s="1100"/>
      <c r="AN251" s="1100"/>
      <c r="AO251" s="1100">
        <v>0</v>
      </c>
      <c r="AQ251" s="153">
        <f t="shared" si="32"/>
        <v>0</v>
      </c>
      <c r="AR251" s="153">
        <f t="shared" si="33"/>
        <v>0</v>
      </c>
      <c r="AS251" s="153">
        <f t="shared" si="34"/>
        <v>0</v>
      </c>
      <c r="AT251" s="153">
        <f t="shared" si="35"/>
        <v>0</v>
      </c>
      <c r="AU251" s="153">
        <f t="shared" si="36"/>
        <v>0</v>
      </c>
      <c r="AW251" s="1543">
        <v>0.75</v>
      </c>
      <c r="AX251" s="1102"/>
      <c r="AY251" s="1544">
        <v>0.25</v>
      </c>
      <c r="BA251" s="1103">
        <v>0</v>
      </c>
      <c r="BB251" s="1103">
        <v>0</v>
      </c>
      <c r="BC251" s="1103">
        <v>0</v>
      </c>
      <c r="BD251" s="1103">
        <v>0</v>
      </c>
      <c r="BE251" s="1103">
        <v>0</v>
      </c>
      <c r="BF251" s="1103">
        <v>0</v>
      </c>
      <c r="BG251" s="1103">
        <v>0</v>
      </c>
      <c r="BH251" s="1103">
        <v>0</v>
      </c>
      <c r="BI251" s="1103">
        <v>0</v>
      </c>
      <c r="BJ251" s="1103">
        <v>0</v>
      </c>
    </row>
    <row r="252" spans="2:62" hidden="1" outlineLevel="1">
      <c r="B252" s="1094"/>
      <c r="C252" s="1083" t="s">
        <v>569</v>
      </c>
      <c r="D252" s="1062" t="s">
        <v>567</v>
      </c>
      <c r="E252" s="1083" t="s">
        <v>570</v>
      </c>
      <c r="F252" s="1095" t="s">
        <v>414</v>
      </c>
      <c r="G252" s="1096">
        <f t="shared" si="29"/>
        <v>155</v>
      </c>
      <c r="H252" s="1083" t="s">
        <v>29</v>
      </c>
      <c r="I252" s="1097">
        <v>5</v>
      </c>
      <c r="J252" s="1098">
        <f t="shared" si="30"/>
        <v>60</v>
      </c>
      <c r="K252" s="153">
        <f t="shared" si="31"/>
        <v>0.2</v>
      </c>
      <c r="L252" s="1099"/>
      <c r="M252" s="1100">
        <v>0</v>
      </c>
      <c r="N252" s="1101">
        <f>IF($BF252=0,0,IF(SUM($M252:M252)&lt;($J252-12),12,$J252-SUM($M252:M252)))</f>
        <v>0</v>
      </c>
      <c r="O252" s="1101">
        <f>IF($BF252=0,0,IF(SUM($M252:N252)&lt;($J252-12),12,$J252-SUM($M252:N252)))</f>
        <v>0</v>
      </c>
      <c r="P252" s="1101">
        <f>IF($BF252=0,0,IF(SUM($M252:O252)&lt;($J252-12),12,$J252-SUM($M252:O252)))</f>
        <v>0</v>
      </c>
      <c r="Q252" s="1101">
        <f>IF($BF252=0,0,IF(SUM($M252:P252)&lt;($J252-12),12,$J252-SUM($M252:P252)))</f>
        <v>0</v>
      </c>
      <c r="S252" s="1100"/>
      <c r="T252" s="1100">
        <v>3</v>
      </c>
      <c r="U252" s="1101">
        <f>IF($BG252=0,0,IF(SUM($S252:T252)&lt;($J252-12),12,$J252-SUM($S252:T252)))</f>
        <v>12</v>
      </c>
      <c r="V252" s="1101">
        <f>IF($BG252=0,0,IF(SUM($S252:U252)&lt;($J252-12),12,$J252-SUM($S252:U252)))</f>
        <v>12</v>
      </c>
      <c r="W252" s="1101">
        <f>IF($BG252=0,0,IF(SUM($S252:V252)&lt;($J252-12),12,$J252-SUM($S252:V252)))</f>
        <v>12</v>
      </c>
      <c r="Y252" s="1100"/>
      <c r="Z252" s="1100"/>
      <c r="AA252" s="1100">
        <v>12</v>
      </c>
      <c r="AB252" s="1101">
        <f>IF($BH252=0,0,IF(SUM($Y252:AA252)&lt;($J252-12),12,$J252-SUM($Y252:AA252)))</f>
        <v>12</v>
      </c>
      <c r="AC252" s="1101">
        <f>IF($BH252=0,0,IF(SUM($Y252:AB252)&lt;($J252-12),12,$J252-SUM($Y252:AB252)))</f>
        <v>12</v>
      </c>
      <c r="AE252" s="1100"/>
      <c r="AF252" s="1100"/>
      <c r="AG252" s="1100"/>
      <c r="AH252" s="1100">
        <v>0</v>
      </c>
      <c r="AI252" s="1101">
        <f>IF($BI252=0,0,IF(SUM($AE252:AH252)&lt;($J252-12),12,$J252-SUM($AE252:AH252)))</f>
        <v>0</v>
      </c>
      <c r="AK252" s="1100"/>
      <c r="AL252" s="1100"/>
      <c r="AM252" s="1100"/>
      <c r="AN252" s="1100"/>
      <c r="AO252" s="1100">
        <v>0</v>
      </c>
      <c r="AQ252" s="153">
        <f t="shared" si="32"/>
        <v>0</v>
      </c>
      <c r="AR252" s="153">
        <f t="shared" si="33"/>
        <v>0.25</v>
      </c>
      <c r="AS252" s="153">
        <f t="shared" si="34"/>
        <v>1</v>
      </c>
      <c r="AT252" s="153">
        <f t="shared" si="35"/>
        <v>0</v>
      </c>
      <c r="AU252" s="153">
        <f t="shared" si="36"/>
        <v>0</v>
      </c>
      <c r="AW252" s="1543">
        <v>1</v>
      </c>
      <c r="AX252" s="1102"/>
      <c r="AY252" s="1544">
        <v>0</v>
      </c>
      <c r="BA252" s="1103">
        <v>0</v>
      </c>
      <c r="BB252" s="1103">
        <v>0</v>
      </c>
      <c r="BC252" s="1103">
        <v>0</v>
      </c>
      <c r="BD252" s="1103">
        <v>0</v>
      </c>
      <c r="BE252" s="1103">
        <v>0</v>
      </c>
      <c r="BF252" s="1103">
        <v>0</v>
      </c>
      <c r="BG252" s="1103">
        <v>35</v>
      </c>
      <c r="BH252" s="1103">
        <v>120</v>
      </c>
      <c r="BI252" s="1103">
        <v>0</v>
      </c>
      <c r="BJ252" s="1103">
        <v>0</v>
      </c>
    </row>
    <row r="253" spans="2:62" hidden="1" outlineLevel="1">
      <c r="B253" s="1094"/>
      <c r="C253" s="1083" t="s">
        <v>571</v>
      </c>
      <c r="D253" s="1062" t="s">
        <v>567</v>
      </c>
      <c r="E253" s="1083" t="s">
        <v>570</v>
      </c>
      <c r="F253" s="1095" t="s">
        <v>414</v>
      </c>
      <c r="G253" s="1096">
        <f t="shared" si="29"/>
        <v>155</v>
      </c>
      <c r="H253" s="1083" t="s">
        <v>29</v>
      </c>
      <c r="I253" s="1097">
        <v>5</v>
      </c>
      <c r="J253" s="1098">
        <f t="shared" si="30"/>
        <v>60</v>
      </c>
      <c r="K253" s="153">
        <f t="shared" si="31"/>
        <v>0.2</v>
      </c>
      <c r="L253" s="1099"/>
      <c r="M253" s="1100">
        <v>0</v>
      </c>
      <c r="N253" s="1101">
        <f>IF($BF253=0,0,IF(SUM($M253:M253)&lt;($J253-12),12,$J253-SUM($M253:M253)))</f>
        <v>0</v>
      </c>
      <c r="O253" s="1101">
        <f>IF($BF253=0,0,IF(SUM($M253:N253)&lt;($J253-12),12,$J253-SUM($M253:N253)))</f>
        <v>0</v>
      </c>
      <c r="P253" s="1101">
        <f>IF($BF253=0,0,IF(SUM($M253:O253)&lt;($J253-12),12,$J253-SUM($M253:O253)))</f>
        <v>0</v>
      </c>
      <c r="Q253" s="1101">
        <f>IF($BF253=0,0,IF(SUM($M253:P253)&lt;($J253-12),12,$J253-SUM($M253:P253)))</f>
        <v>0</v>
      </c>
      <c r="S253" s="1100"/>
      <c r="T253" s="1100">
        <v>3</v>
      </c>
      <c r="U253" s="1101">
        <f>IF($BG253=0,0,IF(SUM($S253:T253)&lt;($J253-12),12,$J253-SUM($S253:T253)))</f>
        <v>12</v>
      </c>
      <c r="V253" s="1101">
        <f>IF($BG253=0,0,IF(SUM($S253:U253)&lt;($J253-12),12,$J253-SUM($S253:U253)))</f>
        <v>12</v>
      </c>
      <c r="W253" s="1101">
        <f>IF($BG253=0,0,IF(SUM($S253:V253)&lt;($J253-12),12,$J253-SUM($S253:V253)))</f>
        <v>12</v>
      </c>
      <c r="Y253" s="1100"/>
      <c r="Z253" s="1100"/>
      <c r="AA253" s="1100">
        <v>12</v>
      </c>
      <c r="AB253" s="1101">
        <f>IF($BH253=0,0,IF(SUM($Y253:AA253)&lt;($J253-12),12,$J253-SUM($Y253:AA253)))</f>
        <v>12</v>
      </c>
      <c r="AC253" s="1101">
        <f>IF($BH253=0,0,IF(SUM($Y253:AB253)&lt;($J253-12),12,$J253-SUM($Y253:AB253)))</f>
        <v>12</v>
      </c>
      <c r="AE253" s="1100"/>
      <c r="AF253" s="1100"/>
      <c r="AG253" s="1100"/>
      <c r="AH253" s="1100">
        <v>0</v>
      </c>
      <c r="AI253" s="1101">
        <f>IF($BI253=0,0,IF(SUM($AE253:AH253)&lt;($J253-12),12,$J253-SUM($AE253:AH253)))</f>
        <v>0</v>
      </c>
      <c r="AK253" s="1100"/>
      <c r="AL253" s="1100"/>
      <c r="AM253" s="1100"/>
      <c r="AN253" s="1100"/>
      <c r="AO253" s="1100">
        <v>0</v>
      </c>
      <c r="AQ253" s="153">
        <f t="shared" si="32"/>
        <v>0</v>
      </c>
      <c r="AR253" s="153">
        <f t="shared" si="33"/>
        <v>0.25</v>
      </c>
      <c r="AS253" s="153">
        <f t="shared" si="34"/>
        <v>1</v>
      </c>
      <c r="AT253" s="153">
        <f t="shared" si="35"/>
        <v>0</v>
      </c>
      <c r="AU253" s="153">
        <f t="shared" si="36"/>
        <v>0</v>
      </c>
      <c r="AW253" s="1543">
        <v>1</v>
      </c>
      <c r="AX253" s="1102"/>
      <c r="AY253" s="1544">
        <v>0</v>
      </c>
      <c r="BA253" s="1103">
        <v>0</v>
      </c>
      <c r="BB253" s="1103">
        <v>0</v>
      </c>
      <c r="BC253" s="1103">
        <v>0</v>
      </c>
      <c r="BD253" s="1103">
        <v>0</v>
      </c>
      <c r="BE253" s="1103">
        <v>0</v>
      </c>
      <c r="BF253" s="1103">
        <v>0</v>
      </c>
      <c r="BG253" s="1103">
        <v>35</v>
      </c>
      <c r="BH253" s="1103">
        <v>120</v>
      </c>
      <c r="BI253" s="1103">
        <v>0</v>
      </c>
      <c r="BJ253" s="1103">
        <v>0</v>
      </c>
    </row>
    <row r="254" spans="2:62" hidden="1" outlineLevel="1">
      <c r="B254" s="1094"/>
      <c r="C254" s="1083" t="s">
        <v>572</v>
      </c>
      <c r="D254" s="1062" t="s">
        <v>567</v>
      </c>
      <c r="E254" s="1083" t="s">
        <v>570</v>
      </c>
      <c r="F254" s="1095" t="s">
        <v>414</v>
      </c>
      <c r="G254" s="1096">
        <f t="shared" si="29"/>
        <v>77.5</v>
      </c>
      <c r="H254" s="1083" t="s">
        <v>29</v>
      </c>
      <c r="I254" s="1097">
        <v>5</v>
      </c>
      <c r="J254" s="1098">
        <f t="shared" si="30"/>
        <v>60</v>
      </c>
      <c r="K254" s="153">
        <f t="shared" si="31"/>
        <v>0.2</v>
      </c>
      <c r="L254" s="1099"/>
      <c r="M254" s="1100">
        <v>0</v>
      </c>
      <c r="N254" s="1101">
        <f>IF($BF254=0,0,IF(SUM($M254:M254)&lt;($J254-12),12,$J254-SUM($M254:M254)))</f>
        <v>0</v>
      </c>
      <c r="O254" s="1101">
        <f>IF($BF254=0,0,IF(SUM($M254:N254)&lt;($J254-12),12,$J254-SUM($M254:N254)))</f>
        <v>0</v>
      </c>
      <c r="P254" s="1101">
        <f>IF($BF254=0,0,IF(SUM($M254:O254)&lt;($J254-12),12,$J254-SUM($M254:O254)))</f>
        <v>0</v>
      </c>
      <c r="Q254" s="1101">
        <f>IF($BF254=0,0,IF(SUM($M254:P254)&lt;($J254-12),12,$J254-SUM($M254:P254)))</f>
        <v>0</v>
      </c>
      <c r="S254" s="1100"/>
      <c r="T254" s="1100">
        <v>3</v>
      </c>
      <c r="U254" s="1101">
        <f>IF($BG254=0,0,IF(SUM($S254:T254)&lt;($J254-12),12,$J254-SUM($S254:T254)))</f>
        <v>12</v>
      </c>
      <c r="V254" s="1101">
        <f>IF($BG254=0,0,IF(SUM($S254:U254)&lt;($J254-12),12,$J254-SUM($S254:U254)))</f>
        <v>12</v>
      </c>
      <c r="W254" s="1101">
        <f>IF($BG254=0,0,IF(SUM($S254:V254)&lt;($J254-12),12,$J254-SUM($S254:V254)))</f>
        <v>12</v>
      </c>
      <c r="Y254" s="1100"/>
      <c r="Z254" s="1100"/>
      <c r="AA254" s="1100">
        <v>12</v>
      </c>
      <c r="AB254" s="1101">
        <f>IF($BH254=0,0,IF(SUM($Y254:AA254)&lt;($J254-12),12,$J254-SUM($Y254:AA254)))</f>
        <v>12</v>
      </c>
      <c r="AC254" s="1101">
        <f>IF($BH254=0,0,IF(SUM($Y254:AB254)&lt;($J254-12),12,$J254-SUM($Y254:AB254)))</f>
        <v>12</v>
      </c>
      <c r="AE254" s="1100"/>
      <c r="AF254" s="1100"/>
      <c r="AG254" s="1100"/>
      <c r="AH254" s="1100">
        <v>0</v>
      </c>
      <c r="AI254" s="1101">
        <f>IF($BI254=0,0,IF(SUM($AE254:AH254)&lt;($J254-12),12,$J254-SUM($AE254:AH254)))</f>
        <v>0</v>
      </c>
      <c r="AK254" s="1100"/>
      <c r="AL254" s="1100"/>
      <c r="AM254" s="1100"/>
      <c r="AN254" s="1100"/>
      <c r="AO254" s="1100">
        <v>0</v>
      </c>
      <c r="AQ254" s="153">
        <f t="shared" si="32"/>
        <v>0</v>
      </c>
      <c r="AR254" s="153">
        <f t="shared" si="33"/>
        <v>0.25</v>
      </c>
      <c r="AS254" s="153">
        <f t="shared" si="34"/>
        <v>1</v>
      </c>
      <c r="AT254" s="153">
        <f t="shared" si="35"/>
        <v>0</v>
      </c>
      <c r="AU254" s="153">
        <f t="shared" si="36"/>
        <v>0</v>
      </c>
      <c r="AW254" s="1543">
        <v>1</v>
      </c>
      <c r="AX254" s="1102"/>
      <c r="AY254" s="1544">
        <v>0</v>
      </c>
      <c r="BA254" s="1103">
        <v>0</v>
      </c>
      <c r="BB254" s="1103">
        <v>0</v>
      </c>
      <c r="BC254" s="1103">
        <v>0</v>
      </c>
      <c r="BD254" s="1103">
        <v>0</v>
      </c>
      <c r="BE254" s="1103">
        <v>0</v>
      </c>
      <c r="BF254" s="1103">
        <v>0</v>
      </c>
      <c r="BG254" s="1103">
        <v>17.5</v>
      </c>
      <c r="BH254" s="1103">
        <v>60</v>
      </c>
      <c r="BI254" s="1103">
        <v>0</v>
      </c>
      <c r="BJ254" s="1103">
        <v>0</v>
      </c>
    </row>
    <row r="255" spans="2:62" hidden="1" outlineLevel="1">
      <c r="B255" s="1094"/>
      <c r="C255" s="1083" t="s">
        <v>573</v>
      </c>
      <c r="D255" s="1062" t="s">
        <v>567</v>
      </c>
      <c r="E255" s="1083" t="s">
        <v>570</v>
      </c>
      <c r="F255" s="1095" t="s">
        <v>414</v>
      </c>
      <c r="G255" s="1096">
        <f t="shared" si="29"/>
        <v>77.5</v>
      </c>
      <c r="H255" s="1083" t="s">
        <v>29</v>
      </c>
      <c r="I255" s="1097">
        <v>5</v>
      </c>
      <c r="J255" s="1098">
        <f t="shared" si="30"/>
        <v>60</v>
      </c>
      <c r="K255" s="153">
        <f t="shared" si="31"/>
        <v>0.2</v>
      </c>
      <c r="L255" s="1099"/>
      <c r="M255" s="1100">
        <v>0</v>
      </c>
      <c r="N255" s="1101">
        <f>IF($BF255=0,0,IF(SUM($M255:M255)&lt;($J255-12),12,$J255-SUM($M255:M255)))</f>
        <v>0</v>
      </c>
      <c r="O255" s="1101">
        <f>IF($BF255=0,0,IF(SUM($M255:N255)&lt;($J255-12),12,$J255-SUM($M255:N255)))</f>
        <v>0</v>
      </c>
      <c r="P255" s="1101">
        <f>IF($BF255=0,0,IF(SUM($M255:O255)&lt;($J255-12),12,$J255-SUM($M255:O255)))</f>
        <v>0</v>
      </c>
      <c r="Q255" s="1101">
        <f>IF($BF255=0,0,IF(SUM($M255:P255)&lt;($J255-12),12,$J255-SUM($M255:P255)))</f>
        <v>0</v>
      </c>
      <c r="S255" s="1100"/>
      <c r="T255" s="1100">
        <v>6</v>
      </c>
      <c r="U255" s="1101">
        <f>IF($BG255=0,0,IF(SUM($S255:T255)&lt;($J255-12),12,$J255-SUM($S255:T255)))</f>
        <v>12</v>
      </c>
      <c r="V255" s="1101">
        <f>IF($BG255=0,0,IF(SUM($S255:U255)&lt;($J255-12),12,$J255-SUM($S255:U255)))</f>
        <v>12</v>
      </c>
      <c r="W255" s="1101">
        <f>IF($BG255=0,0,IF(SUM($S255:V255)&lt;($J255-12),12,$J255-SUM($S255:V255)))</f>
        <v>12</v>
      </c>
      <c r="Y255" s="1100"/>
      <c r="Z255" s="1100"/>
      <c r="AA255" s="1100">
        <v>0</v>
      </c>
      <c r="AB255" s="1101">
        <f>IF($BH255=0,0,IF(SUM($Y255:AA255)&lt;($J255-12),12,$J255-SUM($Y255:AA255)))</f>
        <v>0</v>
      </c>
      <c r="AC255" s="1101">
        <f>IF($BH255=0,0,IF(SUM($Y255:AB255)&lt;($J255-12),12,$J255-SUM($Y255:AB255)))</f>
        <v>0</v>
      </c>
      <c r="AE255" s="1100"/>
      <c r="AF255" s="1100"/>
      <c r="AG255" s="1100"/>
      <c r="AH255" s="1100">
        <v>0</v>
      </c>
      <c r="AI255" s="1101">
        <f>IF($BI255=0,0,IF(SUM($AE255:AH255)&lt;($J255-12),12,$J255-SUM($AE255:AH255)))</f>
        <v>0</v>
      </c>
      <c r="AK255" s="1100"/>
      <c r="AL255" s="1100"/>
      <c r="AM255" s="1100"/>
      <c r="AN255" s="1100"/>
      <c r="AO255" s="1100">
        <v>0</v>
      </c>
      <c r="AQ255" s="153">
        <f t="shared" si="32"/>
        <v>0</v>
      </c>
      <c r="AR255" s="153">
        <f t="shared" si="33"/>
        <v>0.5</v>
      </c>
      <c r="AS255" s="153">
        <f t="shared" si="34"/>
        <v>0</v>
      </c>
      <c r="AT255" s="153">
        <f t="shared" si="35"/>
        <v>0</v>
      </c>
      <c r="AU255" s="153">
        <f t="shared" si="36"/>
        <v>0</v>
      </c>
      <c r="AW255" s="1543">
        <v>1</v>
      </c>
      <c r="AX255" s="1102"/>
      <c r="AY255" s="1544">
        <v>0</v>
      </c>
      <c r="BA255" s="1103">
        <v>0</v>
      </c>
      <c r="BB255" s="1103">
        <v>0</v>
      </c>
      <c r="BC255" s="1103">
        <v>0</v>
      </c>
      <c r="BD255" s="1103">
        <v>0</v>
      </c>
      <c r="BE255" s="1103">
        <v>0</v>
      </c>
      <c r="BF255" s="1103">
        <v>0</v>
      </c>
      <c r="BG255" s="1103">
        <v>77.5</v>
      </c>
      <c r="BH255" s="1103">
        <v>0</v>
      </c>
      <c r="BI255" s="1103">
        <v>0</v>
      </c>
      <c r="BJ255" s="1103">
        <v>0</v>
      </c>
    </row>
    <row r="256" spans="2:62" hidden="1" outlineLevel="1">
      <c r="B256" s="1094"/>
      <c r="C256" s="1083" t="s">
        <v>574</v>
      </c>
      <c r="D256" s="1062" t="s">
        <v>567</v>
      </c>
      <c r="E256" s="1083" t="s">
        <v>570</v>
      </c>
      <c r="F256" s="1095" t="s">
        <v>414</v>
      </c>
      <c r="G256" s="1096">
        <f t="shared" si="29"/>
        <v>77.5</v>
      </c>
      <c r="H256" s="1083" t="s">
        <v>29</v>
      </c>
      <c r="I256" s="1097">
        <v>5</v>
      </c>
      <c r="J256" s="1098">
        <f t="shared" si="30"/>
        <v>60</v>
      </c>
      <c r="K256" s="153">
        <f t="shared" si="31"/>
        <v>0.2</v>
      </c>
      <c r="L256" s="1099"/>
      <c r="M256" s="1100">
        <v>0</v>
      </c>
      <c r="N256" s="1101">
        <f>IF($BF256=0,0,IF(SUM($M256:M256)&lt;($J256-12),12,$J256-SUM($M256:M256)))</f>
        <v>0</v>
      </c>
      <c r="O256" s="1101">
        <f>IF($BF256=0,0,IF(SUM($M256:N256)&lt;($J256-12),12,$J256-SUM($M256:N256)))</f>
        <v>0</v>
      </c>
      <c r="P256" s="1101">
        <f>IF($BF256=0,0,IF(SUM($M256:O256)&lt;($J256-12),12,$J256-SUM($M256:O256)))</f>
        <v>0</v>
      </c>
      <c r="Q256" s="1101">
        <f>IF($BF256=0,0,IF(SUM($M256:P256)&lt;($J256-12),12,$J256-SUM($M256:P256)))</f>
        <v>0</v>
      </c>
      <c r="S256" s="1100"/>
      <c r="T256" s="1100">
        <v>6</v>
      </c>
      <c r="U256" s="1101">
        <f>IF($BG256=0,0,IF(SUM($S256:T256)&lt;($J256-12),12,$J256-SUM($S256:T256)))</f>
        <v>12</v>
      </c>
      <c r="V256" s="1101">
        <f>IF($BG256=0,0,IF(SUM($S256:U256)&lt;($J256-12),12,$J256-SUM($S256:U256)))</f>
        <v>12</v>
      </c>
      <c r="W256" s="1101">
        <f>IF($BG256=0,0,IF(SUM($S256:V256)&lt;($J256-12),12,$J256-SUM($S256:V256)))</f>
        <v>12</v>
      </c>
      <c r="Y256" s="1100"/>
      <c r="Z256" s="1100"/>
      <c r="AA256" s="1100">
        <v>0</v>
      </c>
      <c r="AB256" s="1101">
        <f>IF($BH256=0,0,IF(SUM($Y256:AA256)&lt;($J256-12),12,$J256-SUM($Y256:AA256)))</f>
        <v>0</v>
      </c>
      <c r="AC256" s="1101">
        <f>IF($BH256=0,0,IF(SUM($Y256:AB256)&lt;($J256-12),12,$J256-SUM($Y256:AB256)))</f>
        <v>0</v>
      </c>
      <c r="AE256" s="1100"/>
      <c r="AF256" s="1100"/>
      <c r="AG256" s="1100"/>
      <c r="AH256" s="1100">
        <v>0</v>
      </c>
      <c r="AI256" s="1101">
        <f>IF($BI256=0,0,IF(SUM($AE256:AH256)&lt;($J256-12),12,$J256-SUM($AE256:AH256)))</f>
        <v>0</v>
      </c>
      <c r="AK256" s="1100"/>
      <c r="AL256" s="1100"/>
      <c r="AM256" s="1100"/>
      <c r="AN256" s="1100"/>
      <c r="AO256" s="1100">
        <v>0</v>
      </c>
      <c r="AQ256" s="153">
        <f t="shared" si="32"/>
        <v>0</v>
      </c>
      <c r="AR256" s="153">
        <f t="shared" si="33"/>
        <v>0.5</v>
      </c>
      <c r="AS256" s="153">
        <f t="shared" si="34"/>
        <v>0</v>
      </c>
      <c r="AT256" s="153">
        <f t="shared" si="35"/>
        <v>0</v>
      </c>
      <c r="AU256" s="153">
        <f t="shared" si="36"/>
        <v>0</v>
      </c>
      <c r="AW256" s="1543">
        <v>0.75</v>
      </c>
      <c r="AX256" s="1102"/>
      <c r="AY256" s="1544">
        <v>0.25</v>
      </c>
      <c r="BA256" s="1103">
        <v>0</v>
      </c>
      <c r="BB256" s="1103">
        <v>0</v>
      </c>
      <c r="BC256" s="1103">
        <v>0</v>
      </c>
      <c r="BD256" s="1103">
        <v>0</v>
      </c>
      <c r="BE256" s="1103">
        <v>0</v>
      </c>
      <c r="BF256" s="1103">
        <v>0</v>
      </c>
      <c r="BG256" s="1103">
        <v>77.5</v>
      </c>
      <c r="BH256" s="1103">
        <v>0</v>
      </c>
      <c r="BI256" s="1103">
        <v>0</v>
      </c>
      <c r="BJ256" s="1103">
        <v>0</v>
      </c>
    </row>
    <row r="257" spans="2:62" hidden="1" outlineLevel="1">
      <c r="B257" s="1094"/>
      <c r="C257" s="1083" t="s">
        <v>575</v>
      </c>
      <c r="D257" s="1062" t="s">
        <v>567</v>
      </c>
      <c r="E257" s="1083" t="s">
        <v>570</v>
      </c>
      <c r="F257" s="1095" t="s">
        <v>414</v>
      </c>
      <c r="G257" s="1096">
        <f t="shared" si="29"/>
        <v>155</v>
      </c>
      <c r="H257" s="1083" t="s">
        <v>29</v>
      </c>
      <c r="I257" s="1097">
        <v>5</v>
      </c>
      <c r="J257" s="1098">
        <f t="shared" si="30"/>
        <v>60</v>
      </c>
      <c r="K257" s="153">
        <f t="shared" si="31"/>
        <v>0.2</v>
      </c>
      <c r="L257" s="1099"/>
      <c r="M257" s="1100">
        <v>0</v>
      </c>
      <c r="N257" s="1101">
        <f>IF($BF257=0,0,IF(SUM($M257:M257)&lt;($J257-12),12,$J257-SUM($M257:M257)))</f>
        <v>0</v>
      </c>
      <c r="O257" s="1101">
        <f>IF($BF257=0,0,IF(SUM($M257:N257)&lt;($J257-12),12,$J257-SUM($M257:N257)))</f>
        <v>0</v>
      </c>
      <c r="P257" s="1101">
        <f>IF($BF257=0,0,IF(SUM($M257:O257)&lt;($J257-12),12,$J257-SUM($M257:O257)))</f>
        <v>0</v>
      </c>
      <c r="Q257" s="1101">
        <f>IF($BF257=0,0,IF(SUM($M257:P257)&lt;($J257-12),12,$J257-SUM($M257:P257)))</f>
        <v>0</v>
      </c>
      <c r="S257" s="1100"/>
      <c r="T257" s="1100">
        <v>0</v>
      </c>
      <c r="U257" s="1101">
        <f>IF($BG257=0,0,IF(SUM($S257:T257)&lt;($J257-12),12,$J257-SUM($S257:T257)))</f>
        <v>0</v>
      </c>
      <c r="V257" s="1101">
        <f>IF($BG257=0,0,IF(SUM($S257:U257)&lt;($J257-12),12,$J257-SUM($S257:U257)))</f>
        <v>0</v>
      </c>
      <c r="W257" s="1101">
        <f>IF($BG257=0,0,IF(SUM($S257:V257)&lt;($J257-12),12,$J257-SUM($S257:V257)))</f>
        <v>0</v>
      </c>
      <c r="Y257" s="1100"/>
      <c r="Z257" s="1100"/>
      <c r="AA257" s="1100">
        <v>0</v>
      </c>
      <c r="AB257" s="1101">
        <f>IF($BH257=0,0,IF(SUM($Y257:AA257)&lt;($J257-12),12,$J257-SUM($Y257:AA257)))</f>
        <v>0</v>
      </c>
      <c r="AC257" s="1101">
        <f>IF($BH257=0,0,IF(SUM($Y257:AB257)&lt;($J257-12),12,$J257-SUM($Y257:AB257)))</f>
        <v>0</v>
      </c>
      <c r="AE257" s="1100"/>
      <c r="AF257" s="1100"/>
      <c r="AG257" s="1100"/>
      <c r="AH257" s="1100">
        <v>3</v>
      </c>
      <c r="AI257" s="1101">
        <f>IF($BI257=0,0,IF(SUM($AE257:AH257)&lt;($J257-12),12,$J257-SUM($AE257:AH257)))</f>
        <v>12</v>
      </c>
      <c r="AK257" s="1100"/>
      <c r="AL257" s="1100"/>
      <c r="AM257" s="1100"/>
      <c r="AN257" s="1100"/>
      <c r="AO257" s="1100">
        <v>3.6774193548387095</v>
      </c>
      <c r="AQ257" s="153">
        <f t="shared" si="32"/>
        <v>0</v>
      </c>
      <c r="AR257" s="153">
        <f t="shared" si="33"/>
        <v>0</v>
      </c>
      <c r="AS257" s="153">
        <f t="shared" si="34"/>
        <v>0</v>
      </c>
      <c r="AT257" s="153">
        <f t="shared" si="35"/>
        <v>0.25</v>
      </c>
      <c r="AU257" s="153">
        <f t="shared" si="36"/>
        <v>0.30645161290322581</v>
      </c>
      <c r="AW257" s="1543">
        <v>0.75</v>
      </c>
      <c r="AX257" s="1102"/>
      <c r="AY257" s="1544">
        <v>0.25</v>
      </c>
      <c r="BA257" s="1103">
        <v>0</v>
      </c>
      <c r="BB257" s="1103">
        <v>0</v>
      </c>
      <c r="BC257" s="1103">
        <v>0</v>
      </c>
      <c r="BD257" s="1103">
        <v>0</v>
      </c>
      <c r="BE257" s="1103">
        <v>0</v>
      </c>
      <c r="BF257" s="1103">
        <v>0</v>
      </c>
      <c r="BG257" s="1103">
        <v>0</v>
      </c>
      <c r="BH257" s="1103">
        <v>0</v>
      </c>
      <c r="BI257" s="1103">
        <v>77.5</v>
      </c>
      <c r="BJ257" s="1103">
        <v>77.5</v>
      </c>
    </row>
    <row r="258" spans="2:62" hidden="1" outlineLevel="1">
      <c r="B258" s="1094"/>
      <c r="C258" s="1083" t="s">
        <v>576</v>
      </c>
      <c r="D258" s="1062" t="s">
        <v>576</v>
      </c>
      <c r="E258" s="1083" t="s">
        <v>577</v>
      </c>
      <c r="F258" s="1095" t="s">
        <v>414</v>
      </c>
      <c r="G258" s="1096">
        <f t="shared" si="29"/>
        <v>694.98500000000001</v>
      </c>
      <c r="H258" s="1083" t="s">
        <v>29</v>
      </c>
      <c r="I258" s="1097">
        <v>8</v>
      </c>
      <c r="J258" s="1098">
        <f t="shared" si="30"/>
        <v>96</v>
      </c>
      <c r="K258" s="153">
        <f t="shared" si="31"/>
        <v>0.125</v>
      </c>
      <c r="L258" s="1099"/>
      <c r="M258" s="1100">
        <v>0</v>
      </c>
      <c r="N258" s="1101">
        <f>IF($BF258=0,0,IF(SUM($M258:M258)&lt;($J258-12),12,$J258-SUM($M258:M258)))</f>
        <v>0</v>
      </c>
      <c r="O258" s="1101">
        <f>IF($BF258=0,0,IF(SUM($M258:N258)&lt;($J258-12),12,$J258-SUM($M258:N258)))</f>
        <v>0</v>
      </c>
      <c r="P258" s="1101">
        <f>IF($BF258=0,0,IF(SUM($M258:O258)&lt;($J258-12),12,$J258-SUM($M258:O258)))</f>
        <v>0</v>
      </c>
      <c r="Q258" s="1101">
        <f>IF($BF258=0,0,IF(SUM($M258:P258)&lt;($J258-12),12,$J258-SUM($M258:P258)))</f>
        <v>0</v>
      </c>
      <c r="S258" s="1100"/>
      <c r="T258" s="1100">
        <v>0</v>
      </c>
      <c r="U258" s="1101">
        <f>IF($BG258=0,0,IF(SUM($S258:T258)&lt;($J258-12),12,$J258-SUM($S258:T258)))</f>
        <v>0</v>
      </c>
      <c r="V258" s="1101">
        <f>IF($BG258=0,0,IF(SUM($S258:U258)&lt;($J258-12),12,$J258-SUM($S258:U258)))</f>
        <v>0</v>
      </c>
      <c r="W258" s="1101">
        <f>IF($BG258=0,0,IF(SUM($S258:V258)&lt;($J258-12),12,$J258-SUM($S258:V258)))</f>
        <v>0</v>
      </c>
      <c r="Y258" s="1100"/>
      <c r="Z258" s="1100"/>
      <c r="AA258" s="1100">
        <v>0</v>
      </c>
      <c r="AB258" s="1101">
        <f>IF($BH258=0,0,IF(SUM($Y258:AA258)&lt;($J258-12),12,$J258-SUM($Y258:AA258)))</f>
        <v>0</v>
      </c>
      <c r="AC258" s="1101">
        <f>IF($BH258=0,0,IF(SUM($Y258:AB258)&lt;($J258-12),12,$J258-SUM($Y258:AB258)))</f>
        <v>0</v>
      </c>
      <c r="AE258" s="1100"/>
      <c r="AF258" s="1100"/>
      <c r="AG258" s="1100"/>
      <c r="AH258" s="1100">
        <v>12</v>
      </c>
      <c r="AI258" s="1101">
        <f>IF($BI258=0,0,IF(SUM($AE258:AH258)&lt;($J258-12),12,$J258-SUM($AE258:AH258)))</f>
        <v>12</v>
      </c>
      <c r="AK258" s="1100"/>
      <c r="AL258" s="1100"/>
      <c r="AM258" s="1100"/>
      <c r="AN258" s="1100"/>
      <c r="AO258" s="1100">
        <v>0</v>
      </c>
      <c r="AQ258" s="153">
        <f t="shared" si="32"/>
        <v>0</v>
      </c>
      <c r="AR258" s="153">
        <f t="shared" si="33"/>
        <v>0</v>
      </c>
      <c r="AS258" s="153">
        <f t="shared" si="34"/>
        <v>0</v>
      </c>
      <c r="AT258" s="153">
        <f t="shared" si="35"/>
        <v>1</v>
      </c>
      <c r="AU258" s="153">
        <f t="shared" si="36"/>
        <v>0</v>
      </c>
      <c r="AW258" s="1543">
        <v>0.75</v>
      </c>
      <c r="AX258" s="1102"/>
      <c r="AY258" s="1544">
        <v>0.25</v>
      </c>
      <c r="BA258" s="1103">
        <v>0</v>
      </c>
      <c r="BB258" s="1103">
        <v>0</v>
      </c>
      <c r="BC258" s="1103">
        <v>0</v>
      </c>
      <c r="BD258" s="1103">
        <v>0</v>
      </c>
      <c r="BE258" s="1103">
        <v>0</v>
      </c>
      <c r="BF258" s="1103">
        <v>0</v>
      </c>
      <c r="BG258" s="1103">
        <v>0</v>
      </c>
      <c r="BH258" s="1103">
        <v>0</v>
      </c>
      <c r="BI258" s="1103">
        <v>694.98500000000001</v>
      </c>
      <c r="BJ258" s="1103">
        <v>0</v>
      </c>
    </row>
    <row r="259" spans="2:62" hidden="1" outlineLevel="1">
      <c r="B259" s="1094"/>
      <c r="C259" s="1083" t="s">
        <v>578</v>
      </c>
      <c r="D259" s="1062" t="s">
        <v>578</v>
      </c>
      <c r="E259" s="1083" t="s">
        <v>579</v>
      </c>
      <c r="F259" s="1095" t="s">
        <v>414</v>
      </c>
      <c r="G259" s="1096">
        <f t="shared" si="29"/>
        <v>650</v>
      </c>
      <c r="H259" s="1083" t="s">
        <v>29</v>
      </c>
      <c r="I259" s="1097">
        <v>3</v>
      </c>
      <c r="J259" s="1098">
        <f t="shared" si="30"/>
        <v>36</v>
      </c>
      <c r="K259" s="153">
        <f t="shared" si="31"/>
        <v>0.33333333333333331</v>
      </c>
      <c r="L259" s="1099"/>
      <c r="M259" s="1100">
        <v>0</v>
      </c>
      <c r="N259" s="1101">
        <f>IF($BF259=0,0,IF(SUM($M259:M259)&lt;($J259-12),12,$J259-SUM($M259:M259)))</f>
        <v>0</v>
      </c>
      <c r="O259" s="1101">
        <f>IF($BF259=0,0,IF(SUM($M259:N259)&lt;($J259-12),12,$J259-SUM($M259:N259)))</f>
        <v>0</v>
      </c>
      <c r="P259" s="1101">
        <f>IF($BF259=0,0,IF(SUM($M259:O259)&lt;($J259-12),12,$J259-SUM($M259:O259)))</f>
        <v>0</v>
      </c>
      <c r="Q259" s="1101">
        <f>IF($BF259=0,0,IF(SUM($M259:P259)&lt;($J259-12),12,$J259-SUM($M259:P259)))</f>
        <v>0</v>
      </c>
      <c r="S259" s="1100"/>
      <c r="T259" s="1100">
        <v>0</v>
      </c>
      <c r="U259" s="1101">
        <f>IF($BG259=0,0,IF(SUM($S259:T259)&lt;($J259-12),12,$J259-SUM($S259:T259)))</f>
        <v>0</v>
      </c>
      <c r="V259" s="1101">
        <f>IF($BG259=0,0,IF(SUM($S259:U259)&lt;($J259-12),12,$J259-SUM($S259:U259)))</f>
        <v>0</v>
      </c>
      <c r="W259" s="1101">
        <f>IF($BG259=0,0,IF(SUM($S259:V259)&lt;($J259-12),12,$J259-SUM($S259:V259)))</f>
        <v>0</v>
      </c>
      <c r="Y259" s="1100"/>
      <c r="Z259" s="1100"/>
      <c r="AA259" s="1100">
        <v>9.4285714285714288</v>
      </c>
      <c r="AB259" s="1101">
        <f>IF($BH259=0,0,IF(SUM($Y259:AA259)&lt;($J259-12),12,$J259-SUM($Y259:AA259)))</f>
        <v>12</v>
      </c>
      <c r="AC259" s="1101">
        <f>IF($BH259=0,0,IF(SUM($Y259:AB259)&lt;($J259-12),12,$J259-SUM($Y259:AB259)))</f>
        <v>12</v>
      </c>
      <c r="AE259" s="1100"/>
      <c r="AF259" s="1100"/>
      <c r="AG259" s="1100"/>
      <c r="AH259" s="1100">
        <v>6.0000000000000027</v>
      </c>
      <c r="AI259" s="1101">
        <f>IF($BI259=0,0,IF(SUM($AE259:AH259)&lt;($J259-12),12,$J259-SUM($AE259:AH259)))</f>
        <v>12</v>
      </c>
      <c r="AK259" s="1100"/>
      <c r="AL259" s="1100"/>
      <c r="AM259" s="1100"/>
      <c r="AN259" s="1100"/>
      <c r="AO259" s="1100">
        <v>6.0000000000000027</v>
      </c>
      <c r="AQ259" s="153">
        <f t="shared" si="32"/>
        <v>0</v>
      </c>
      <c r="AR259" s="153">
        <f t="shared" si="33"/>
        <v>0</v>
      </c>
      <c r="AS259" s="153">
        <f t="shared" si="34"/>
        <v>0.7857142857142857</v>
      </c>
      <c r="AT259" s="153">
        <f t="shared" si="35"/>
        <v>0.50000000000000022</v>
      </c>
      <c r="AU259" s="153">
        <f t="shared" si="36"/>
        <v>0.50000000000000022</v>
      </c>
      <c r="AW259" s="1543">
        <v>0.73</v>
      </c>
      <c r="AX259" s="1102"/>
      <c r="AY259" s="1544">
        <v>0.15</v>
      </c>
      <c r="BA259" s="1103">
        <v>0</v>
      </c>
      <c r="BB259" s="1103">
        <v>0</v>
      </c>
      <c r="BC259" s="1103">
        <v>0</v>
      </c>
      <c r="BD259" s="1103">
        <v>0</v>
      </c>
      <c r="BE259" s="1103">
        <v>0</v>
      </c>
      <c r="BF259" s="1103">
        <v>0</v>
      </c>
      <c r="BG259" s="1103">
        <v>0</v>
      </c>
      <c r="BH259" s="1103">
        <v>350</v>
      </c>
      <c r="BI259" s="1103">
        <v>150</v>
      </c>
      <c r="BJ259" s="1103">
        <v>150</v>
      </c>
    </row>
    <row r="260" spans="2:62" hidden="1" outlineLevel="1">
      <c r="B260" s="1094"/>
      <c r="C260" s="1083" t="s">
        <v>580</v>
      </c>
      <c r="D260" s="1062" t="s">
        <v>581</v>
      </c>
      <c r="E260" s="1083" t="s">
        <v>582</v>
      </c>
      <c r="F260" s="1095" t="s">
        <v>414</v>
      </c>
      <c r="G260" s="1096">
        <f t="shared" si="29"/>
        <v>0</v>
      </c>
      <c r="H260" s="1083" t="s">
        <v>29</v>
      </c>
      <c r="I260" s="1097">
        <v>0</v>
      </c>
      <c r="J260" s="1098">
        <f t="shared" si="30"/>
        <v>0</v>
      </c>
      <c r="K260" s="153">
        <f t="shared" si="31"/>
        <v>0</v>
      </c>
      <c r="L260" s="1099"/>
      <c r="M260" s="1100">
        <v>0</v>
      </c>
      <c r="N260" s="1101">
        <f>IF($BF260=0,0,IF(SUM($M260:M260)&lt;($J260-12),12,$J260-SUM($M260:M260)))</f>
        <v>0</v>
      </c>
      <c r="O260" s="1101">
        <f>IF($BF260=0,0,IF(SUM($M260:N260)&lt;($J260-12),12,$J260-SUM($M260:N260)))</f>
        <v>0</v>
      </c>
      <c r="P260" s="1101">
        <f>IF($BF260=0,0,IF(SUM($M260:O260)&lt;($J260-12),12,$J260-SUM($M260:O260)))</f>
        <v>0</v>
      </c>
      <c r="Q260" s="1101">
        <f>IF($BF260=0,0,IF(SUM($M260:P260)&lt;($J260-12),12,$J260-SUM($M260:P260)))</f>
        <v>0</v>
      </c>
      <c r="S260" s="1100"/>
      <c r="T260" s="1100">
        <v>0</v>
      </c>
      <c r="U260" s="1101">
        <f>IF($BG260=0,0,IF(SUM($S260:T260)&lt;($J260-12),12,$J260-SUM($S260:T260)))</f>
        <v>0</v>
      </c>
      <c r="V260" s="1101">
        <f>IF($BG260=0,0,IF(SUM($S260:U260)&lt;($J260-12),12,$J260-SUM($S260:U260)))</f>
        <v>0</v>
      </c>
      <c r="W260" s="1101">
        <f>IF($BG260=0,0,IF(SUM($S260:V260)&lt;($J260-12),12,$J260-SUM($S260:V260)))</f>
        <v>0</v>
      </c>
      <c r="Y260" s="1100"/>
      <c r="Z260" s="1100"/>
      <c r="AA260" s="1100">
        <v>0</v>
      </c>
      <c r="AB260" s="1101">
        <f>IF($BH260=0,0,IF(SUM($Y260:AA260)&lt;($J260-12),12,$J260-SUM($Y260:AA260)))</f>
        <v>0</v>
      </c>
      <c r="AC260" s="1101">
        <f>IF($BH260=0,0,IF(SUM($Y260:AB260)&lt;($J260-12),12,$J260-SUM($Y260:AB260)))</f>
        <v>0</v>
      </c>
      <c r="AE260" s="1100"/>
      <c r="AF260" s="1100"/>
      <c r="AG260" s="1100"/>
      <c r="AH260" s="1100">
        <v>0</v>
      </c>
      <c r="AI260" s="1101">
        <f>IF($BI260=0,0,IF(SUM($AE260:AH260)&lt;($J260-12),12,$J260-SUM($AE260:AH260)))</f>
        <v>0</v>
      </c>
      <c r="AK260" s="1100"/>
      <c r="AL260" s="1100"/>
      <c r="AM260" s="1100"/>
      <c r="AN260" s="1100"/>
      <c r="AO260" s="1100">
        <v>0</v>
      </c>
      <c r="AQ260" s="153">
        <f t="shared" si="32"/>
        <v>0</v>
      </c>
      <c r="AR260" s="153">
        <f t="shared" si="33"/>
        <v>0</v>
      </c>
      <c r="AS260" s="153">
        <f t="shared" si="34"/>
        <v>0</v>
      </c>
      <c r="AT260" s="153">
        <f t="shared" si="35"/>
        <v>0</v>
      </c>
      <c r="AU260" s="153">
        <f t="shared" si="36"/>
        <v>0</v>
      </c>
      <c r="AW260" s="1543">
        <v>0</v>
      </c>
      <c r="AX260" s="1102"/>
      <c r="AY260" s="1544">
        <v>0</v>
      </c>
      <c r="BA260" s="1103">
        <v>0</v>
      </c>
      <c r="BB260" s="1103">
        <v>0</v>
      </c>
      <c r="BC260" s="1103">
        <v>0</v>
      </c>
      <c r="BD260" s="1103">
        <v>0</v>
      </c>
      <c r="BE260" s="1103">
        <v>0</v>
      </c>
      <c r="BF260" s="1103">
        <v>0</v>
      </c>
      <c r="BG260" s="1103">
        <v>0</v>
      </c>
      <c r="BH260" s="1103">
        <v>0</v>
      </c>
      <c r="BI260" s="1103">
        <v>0</v>
      </c>
      <c r="BJ260" s="1103">
        <v>0</v>
      </c>
    </row>
    <row r="261" spans="2:62" hidden="1" outlineLevel="1">
      <c r="B261" s="1094"/>
      <c r="C261" s="1083" t="s">
        <v>583</v>
      </c>
      <c r="D261" s="1062" t="s">
        <v>581</v>
      </c>
      <c r="E261" s="1083" t="s">
        <v>584</v>
      </c>
      <c r="F261" s="1095" t="s">
        <v>414</v>
      </c>
      <c r="G261" s="1096">
        <f t="shared" si="29"/>
        <v>459.51799</v>
      </c>
      <c r="H261" s="1083" t="s">
        <v>29</v>
      </c>
      <c r="I261" s="1097">
        <v>8</v>
      </c>
      <c r="J261" s="1098">
        <f t="shared" si="30"/>
        <v>96</v>
      </c>
      <c r="K261" s="153">
        <f t="shared" si="31"/>
        <v>0.125</v>
      </c>
      <c r="L261" s="1099"/>
      <c r="M261" s="1100">
        <v>0</v>
      </c>
      <c r="N261" s="1101">
        <f>IF($BF261=0,0,IF(SUM($M261:M261)&lt;($J261-12),12,$J261-SUM($M261:M261)))</f>
        <v>0</v>
      </c>
      <c r="O261" s="1101">
        <f>IF($BF261=0,0,IF(SUM($M261:N261)&lt;($J261-12),12,$J261-SUM($M261:N261)))</f>
        <v>0</v>
      </c>
      <c r="P261" s="1101">
        <f>IF($BF261=0,0,IF(SUM($M261:O261)&lt;($J261-12),12,$J261-SUM($M261:O261)))</f>
        <v>0</v>
      </c>
      <c r="Q261" s="1101">
        <f>IF($BF261=0,0,IF(SUM($M261:P261)&lt;($J261-12),12,$J261-SUM($M261:P261)))</f>
        <v>0</v>
      </c>
      <c r="S261" s="1100"/>
      <c r="T261" s="1100">
        <v>6</v>
      </c>
      <c r="U261" s="1101">
        <f>IF($BG261=0,0,IF(SUM($S261:T261)&lt;($J261-12),12,$J261-SUM($S261:T261)))</f>
        <v>12</v>
      </c>
      <c r="V261" s="1101">
        <f>IF($BG261=0,0,IF(SUM($S261:U261)&lt;($J261-12),12,$J261-SUM($S261:U261)))</f>
        <v>12</v>
      </c>
      <c r="W261" s="1101">
        <f>IF($BG261=0,0,IF(SUM($S261:V261)&lt;($J261-12),12,$J261-SUM($S261:V261)))</f>
        <v>12</v>
      </c>
      <c r="Y261" s="1100"/>
      <c r="Z261" s="1100"/>
      <c r="AA261" s="1100">
        <v>0</v>
      </c>
      <c r="AB261" s="1101">
        <f>IF($BH261=0,0,IF(SUM($Y261:AA261)&lt;($J261-12),12,$J261-SUM($Y261:AA261)))</f>
        <v>0</v>
      </c>
      <c r="AC261" s="1101">
        <f>IF($BH261=0,0,IF(SUM($Y261:AB261)&lt;($J261-12),12,$J261-SUM($Y261:AB261)))</f>
        <v>0</v>
      </c>
      <c r="AE261" s="1100"/>
      <c r="AF261" s="1100"/>
      <c r="AG261" s="1100"/>
      <c r="AH261" s="1100">
        <v>0</v>
      </c>
      <c r="AI261" s="1101">
        <f>IF($BI261=0,0,IF(SUM($AE261:AH261)&lt;($J261-12),12,$J261-SUM($AE261:AH261)))</f>
        <v>0</v>
      </c>
      <c r="AK261" s="1100"/>
      <c r="AL261" s="1100"/>
      <c r="AM261" s="1100"/>
      <c r="AN261" s="1100"/>
      <c r="AO261" s="1100">
        <v>0</v>
      </c>
      <c r="AQ261" s="153">
        <f t="shared" si="32"/>
        <v>0</v>
      </c>
      <c r="AR261" s="153">
        <f t="shared" si="33"/>
        <v>0.5</v>
      </c>
      <c r="AS261" s="153">
        <f t="shared" si="34"/>
        <v>0</v>
      </c>
      <c r="AT261" s="153">
        <f t="shared" si="35"/>
        <v>0</v>
      </c>
      <c r="AU261" s="153">
        <f t="shared" si="36"/>
        <v>0</v>
      </c>
      <c r="AW261" s="1543">
        <v>1</v>
      </c>
      <c r="AX261" s="1102"/>
      <c r="AY261" s="1544">
        <v>0</v>
      </c>
      <c r="BA261" s="1103">
        <v>0</v>
      </c>
      <c r="BB261" s="1103">
        <v>0</v>
      </c>
      <c r="BC261" s="1103">
        <v>0</v>
      </c>
      <c r="BD261" s="1103">
        <v>0</v>
      </c>
      <c r="BE261" s="1103">
        <v>0</v>
      </c>
      <c r="BF261" s="1103">
        <v>0</v>
      </c>
      <c r="BG261" s="1103">
        <v>459.51799</v>
      </c>
      <c r="BH261" s="1103">
        <v>0</v>
      </c>
      <c r="BI261" s="1103">
        <v>0</v>
      </c>
      <c r="BJ261" s="1103">
        <v>0</v>
      </c>
    </row>
    <row r="262" spans="2:62" hidden="1" outlineLevel="1">
      <c r="B262" s="1094"/>
      <c r="C262" s="1083" t="s">
        <v>585</v>
      </c>
      <c r="D262" s="1062" t="s">
        <v>581</v>
      </c>
      <c r="E262" s="1083" t="s">
        <v>584</v>
      </c>
      <c r="F262" s="1095" t="s">
        <v>414</v>
      </c>
      <c r="G262" s="1096">
        <f t="shared" si="29"/>
        <v>105</v>
      </c>
      <c r="H262" s="1083" t="s">
        <v>29</v>
      </c>
      <c r="I262" s="1097">
        <v>8</v>
      </c>
      <c r="J262" s="1098">
        <f t="shared" si="30"/>
        <v>96</v>
      </c>
      <c r="K262" s="153">
        <f t="shared" si="31"/>
        <v>0.125</v>
      </c>
      <c r="L262" s="1099"/>
      <c r="M262" s="1100">
        <v>0</v>
      </c>
      <c r="N262" s="1101">
        <f>IF($BF262=0,0,IF(SUM($M262:M262)&lt;($J262-12),12,$J262-SUM($M262:M262)))</f>
        <v>0</v>
      </c>
      <c r="O262" s="1101">
        <f>IF($BF262=0,0,IF(SUM($M262:N262)&lt;($J262-12),12,$J262-SUM($M262:N262)))</f>
        <v>0</v>
      </c>
      <c r="P262" s="1101">
        <f>IF($BF262=0,0,IF(SUM($M262:O262)&lt;($J262-12),12,$J262-SUM($M262:O262)))</f>
        <v>0</v>
      </c>
      <c r="Q262" s="1101">
        <f>IF($BF262=0,0,IF(SUM($M262:P262)&lt;($J262-12),12,$J262-SUM($M262:P262)))</f>
        <v>0</v>
      </c>
      <c r="S262" s="1100"/>
      <c r="T262" s="1100">
        <v>6</v>
      </c>
      <c r="U262" s="1101">
        <f>IF($BG262=0,0,IF(SUM($S262:T262)&lt;($J262-12),12,$J262-SUM($S262:T262)))</f>
        <v>12</v>
      </c>
      <c r="V262" s="1101">
        <f>IF($BG262=0,0,IF(SUM($S262:U262)&lt;($J262-12),12,$J262-SUM($S262:U262)))</f>
        <v>12</v>
      </c>
      <c r="W262" s="1101">
        <f>IF($BG262=0,0,IF(SUM($S262:V262)&lt;($J262-12),12,$J262-SUM($S262:V262)))</f>
        <v>12</v>
      </c>
      <c r="Y262" s="1100"/>
      <c r="Z262" s="1100"/>
      <c r="AA262" s="1100">
        <v>0</v>
      </c>
      <c r="AB262" s="1101">
        <f>IF($BH262=0,0,IF(SUM($Y262:AA262)&lt;($J262-12),12,$J262-SUM($Y262:AA262)))</f>
        <v>0</v>
      </c>
      <c r="AC262" s="1101">
        <f>IF($BH262=0,0,IF(SUM($Y262:AB262)&lt;($J262-12),12,$J262-SUM($Y262:AB262)))</f>
        <v>0</v>
      </c>
      <c r="AE262" s="1100"/>
      <c r="AF262" s="1100"/>
      <c r="AG262" s="1100"/>
      <c r="AH262" s="1100">
        <v>0</v>
      </c>
      <c r="AI262" s="1101">
        <f>IF($BI262=0,0,IF(SUM($AE262:AH262)&lt;($J262-12),12,$J262-SUM($AE262:AH262)))</f>
        <v>0</v>
      </c>
      <c r="AK262" s="1100"/>
      <c r="AL262" s="1100"/>
      <c r="AM262" s="1100"/>
      <c r="AN262" s="1100"/>
      <c r="AO262" s="1100">
        <v>0</v>
      </c>
      <c r="AQ262" s="153">
        <f t="shared" si="32"/>
        <v>0</v>
      </c>
      <c r="AR262" s="153">
        <f t="shared" si="33"/>
        <v>0.5</v>
      </c>
      <c r="AS262" s="153">
        <f t="shared" si="34"/>
        <v>0</v>
      </c>
      <c r="AT262" s="153">
        <f t="shared" si="35"/>
        <v>0</v>
      </c>
      <c r="AU262" s="153">
        <f t="shared" si="36"/>
        <v>0</v>
      </c>
      <c r="AW262" s="1543">
        <v>1</v>
      </c>
      <c r="AX262" s="1102"/>
      <c r="AY262" s="1544">
        <v>0</v>
      </c>
      <c r="BA262" s="1103">
        <v>0</v>
      </c>
      <c r="BB262" s="1103">
        <v>0</v>
      </c>
      <c r="BC262" s="1103">
        <v>0</v>
      </c>
      <c r="BD262" s="1103">
        <v>0</v>
      </c>
      <c r="BE262" s="1103">
        <v>0</v>
      </c>
      <c r="BF262" s="1103">
        <v>0</v>
      </c>
      <c r="BG262" s="1103">
        <v>105</v>
      </c>
      <c r="BH262" s="1103">
        <v>0</v>
      </c>
      <c r="BI262" s="1103">
        <v>0</v>
      </c>
      <c r="BJ262" s="1103">
        <v>0</v>
      </c>
    </row>
    <row r="263" spans="2:62" hidden="1" outlineLevel="1">
      <c r="C263" s="1083" t="s">
        <v>586</v>
      </c>
      <c r="D263" s="1062" t="s">
        <v>587</v>
      </c>
      <c r="E263" s="1083" t="s">
        <v>588</v>
      </c>
      <c r="F263" s="1095" t="s">
        <v>414</v>
      </c>
      <c r="G263" s="1096">
        <f t="shared" si="29"/>
        <v>0</v>
      </c>
      <c r="H263" s="1083" t="s">
        <v>29</v>
      </c>
      <c r="I263" s="1097">
        <v>0</v>
      </c>
      <c r="J263" s="1098">
        <f t="shared" si="30"/>
        <v>0</v>
      </c>
      <c r="K263" s="153">
        <f t="shared" si="31"/>
        <v>0</v>
      </c>
      <c r="L263" s="1099"/>
      <c r="M263" s="1100">
        <v>0</v>
      </c>
      <c r="N263" s="1101">
        <f>IF($BF263=0,0,IF(SUM($M263:M263)&lt;($J263-12),12,$J263-SUM($M263:M263)))</f>
        <v>0</v>
      </c>
      <c r="O263" s="1101">
        <f>IF($BF263=0,0,IF(SUM($M263:N263)&lt;($J263-12),12,$J263-SUM($M263:N263)))</f>
        <v>0</v>
      </c>
      <c r="P263" s="1101">
        <f>IF($BF263=0,0,IF(SUM($M263:O263)&lt;($J263-12),12,$J263-SUM($M263:O263)))</f>
        <v>0</v>
      </c>
      <c r="Q263" s="1101">
        <f>IF($BF263=0,0,IF(SUM($M263:P263)&lt;($J263-12),12,$J263-SUM($M263:P263)))</f>
        <v>0</v>
      </c>
      <c r="S263" s="1100"/>
      <c r="T263" s="1100">
        <v>0</v>
      </c>
      <c r="U263" s="1101">
        <f>IF($BG263=0,0,IF(SUM($S263:T263)&lt;($J263-12),12,$J263-SUM($S263:T263)))</f>
        <v>0</v>
      </c>
      <c r="V263" s="1101">
        <f>IF($BG263=0,0,IF(SUM($S263:U263)&lt;($J263-12),12,$J263-SUM($S263:U263)))</f>
        <v>0</v>
      </c>
      <c r="W263" s="1101">
        <f>IF($BG263=0,0,IF(SUM($S263:V263)&lt;($J263-12),12,$J263-SUM($S263:V263)))</f>
        <v>0</v>
      </c>
      <c r="Y263" s="1100"/>
      <c r="Z263" s="1100"/>
      <c r="AA263" s="1100">
        <v>0</v>
      </c>
      <c r="AB263" s="1101">
        <f>IF($BH263=0,0,IF(SUM($Y263:AA263)&lt;($J263-12),12,$J263-SUM($Y263:AA263)))</f>
        <v>0</v>
      </c>
      <c r="AC263" s="1101">
        <f>IF($BH263=0,0,IF(SUM($Y263:AB263)&lt;($J263-12),12,$J263-SUM($Y263:AB263)))</f>
        <v>0</v>
      </c>
      <c r="AE263" s="1100"/>
      <c r="AF263" s="1100"/>
      <c r="AG263" s="1100"/>
      <c r="AH263" s="1100">
        <v>0</v>
      </c>
      <c r="AI263" s="1101">
        <f>IF($BI263=0,0,IF(SUM($AE263:AH263)&lt;($J263-12),12,$J263-SUM($AE263:AH263)))</f>
        <v>0</v>
      </c>
      <c r="AK263" s="1100"/>
      <c r="AL263" s="1100"/>
      <c r="AM263" s="1100"/>
      <c r="AN263" s="1100"/>
      <c r="AO263" s="1100">
        <v>0</v>
      </c>
      <c r="AQ263" s="153">
        <f t="shared" si="32"/>
        <v>0</v>
      </c>
      <c r="AR263" s="153">
        <f t="shared" si="33"/>
        <v>0</v>
      </c>
      <c r="AS263" s="153">
        <f t="shared" si="34"/>
        <v>0</v>
      </c>
      <c r="AT263" s="153">
        <f t="shared" si="35"/>
        <v>0</v>
      </c>
      <c r="AU263" s="153">
        <f t="shared" si="36"/>
        <v>0</v>
      </c>
      <c r="AW263" s="1543">
        <v>0</v>
      </c>
      <c r="AX263" s="1102"/>
      <c r="AY263" s="1544">
        <v>0</v>
      </c>
      <c r="BA263" s="1103">
        <v>0</v>
      </c>
      <c r="BB263" s="1103">
        <v>0</v>
      </c>
      <c r="BC263" s="1103">
        <v>0</v>
      </c>
      <c r="BD263" s="1103">
        <v>0</v>
      </c>
      <c r="BE263" s="1103">
        <v>0</v>
      </c>
      <c r="BF263" s="1103">
        <v>0</v>
      </c>
      <c r="BG263" s="1103">
        <v>0</v>
      </c>
      <c r="BH263" s="1103">
        <v>0</v>
      </c>
      <c r="BI263" s="1103">
        <v>0</v>
      </c>
      <c r="BJ263" s="1103">
        <v>0</v>
      </c>
    </row>
    <row r="264" spans="2:62" hidden="1" outlineLevel="1">
      <c r="C264" s="1083" t="s">
        <v>589</v>
      </c>
      <c r="D264" s="1062" t="s">
        <v>587</v>
      </c>
      <c r="E264" s="1083" t="s">
        <v>590</v>
      </c>
      <c r="F264" s="1095" t="s">
        <v>414</v>
      </c>
      <c r="G264" s="1096">
        <f t="shared" si="29"/>
        <v>500</v>
      </c>
      <c r="H264" s="1083" t="s">
        <v>29</v>
      </c>
      <c r="I264" s="1097">
        <v>8</v>
      </c>
      <c r="J264" s="1098">
        <f t="shared" si="30"/>
        <v>96</v>
      </c>
      <c r="K264" s="153">
        <f t="shared" si="31"/>
        <v>0.125</v>
      </c>
      <c r="L264" s="1099"/>
      <c r="M264" s="1100">
        <v>0</v>
      </c>
      <c r="N264" s="1101">
        <f>IF($BF264=0,0,IF(SUM($M264:M264)&lt;($J264-12),12,$J264-SUM($M264:M264)))</f>
        <v>0</v>
      </c>
      <c r="O264" s="1101">
        <f>IF($BF264=0,0,IF(SUM($M264:N264)&lt;($J264-12),12,$J264-SUM($M264:N264)))</f>
        <v>0</v>
      </c>
      <c r="P264" s="1101">
        <f>IF($BF264=0,0,IF(SUM($M264:O264)&lt;($J264-12),12,$J264-SUM($M264:O264)))</f>
        <v>0</v>
      </c>
      <c r="Q264" s="1101">
        <f>IF($BF264=0,0,IF(SUM($M264:P264)&lt;($J264-12),12,$J264-SUM($M264:P264)))</f>
        <v>0</v>
      </c>
      <c r="S264" s="1100"/>
      <c r="T264" s="1100">
        <v>0</v>
      </c>
      <c r="U264" s="1101">
        <f>IF($BG264=0,0,IF(SUM($S264:T264)&lt;($J264-12),12,$J264-SUM($S264:T264)))</f>
        <v>0</v>
      </c>
      <c r="V264" s="1101">
        <f>IF($BG264=0,0,IF(SUM($S264:U264)&lt;($J264-12),12,$J264-SUM($S264:U264)))</f>
        <v>0</v>
      </c>
      <c r="W264" s="1101">
        <f>IF($BG264=0,0,IF(SUM($S264:V264)&lt;($J264-12),12,$J264-SUM($S264:V264)))</f>
        <v>0</v>
      </c>
      <c r="Y264" s="1100"/>
      <c r="Z264" s="1100"/>
      <c r="AA264" s="1100">
        <v>0</v>
      </c>
      <c r="AB264" s="1101">
        <f>IF($BH264=0,0,IF(SUM($Y264:AA264)&lt;($J264-12),12,$J264-SUM($Y264:AA264)))</f>
        <v>0</v>
      </c>
      <c r="AC264" s="1101">
        <f>IF($BH264=0,0,IF(SUM($Y264:AB264)&lt;($J264-12),12,$J264-SUM($Y264:AB264)))</f>
        <v>0</v>
      </c>
      <c r="AE264" s="1100"/>
      <c r="AF264" s="1100"/>
      <c r="AG264" s="1100"/>
      <c r="AH264" s="1100">
        <v>12</v>
      </c>
      <c r="AI264" s="1101">
        <f>IF($BI264=0,0,IF(SUM($AE264:AH264)&lt;($J264-12),12,$J264-SUM($AE264:AH264)))</f>
        <v>12</v>
      </c>
      <c r="AK264" s="1100"/>
      <c r="AL264" s="1100"/>
      <c r="AM264" s="1100"/>
      <c r="AN264" s="1100"/>
      <c r="AO264" s="1100">
        <v>0</v>
      </c>
      <c r="AQ264" s="153">
        <f t="shared" si="32"/>
        <v>0</v>
      </c>
      <c r="AR264" s="153">
        <f t="shared" si="33"/>
        <v>0</v>
      </c>
      <c r="AS264" s="153">
        <f t="shared" si="34"/>
        <v>0</v>
      </c>
      <c r="AT264" s="153">
        <f t="shared" si="35"/>
        <v>1</v>
      </c>
      <c r="AU264" s="153">
        <f t="shared" si="36"/>
        <v>0</v>
      </c>
      <c r="AW264" s="1543">
        <v>0.75</v>
      </c>
      <c r="AX264" s="1102"/>
      <c r="AY264" s="1544">
        <v>0.25</v>
      </c>
      <c r="BA264" s="1103">
        <v>0</v>
      </c>
      <c r="BB264" s="1103">
        <v>0</v>
      </c>
      <c r="BC264" s="1103">
        <v>0</v>
      </c>
      <c r="BD264" s="1103">
        <v>0</v>
      </c>
      <c r="BE264" s="1103">
        <v>0</v>
      </c>
      <c r="BF264" s="1103">
        <v>0</v>
      </c>
      <c r="BG264" s="1103">
        <v>0</v>
      </c>
      <c r="BH264" s="1103">
        <v>0</v>
      </c>
      <c r="BI264" s="1103">
        <v>500</v>
      </c>
      <c r="BJ264" s="1103">
        <v>0</v>
      </c>
    </row>
    <row r="265" spans="2:62" hidden="1" outlineLevel="1">
      <c r="C265" s="1083" t="s">
        <v>591</v>
      </c>
      <c r="D265" s="1062" t="s">
        <v>592</v>
      </c>
      <c r="E265" s="1083" t="s">
        <v>593</v>
      </c>
      <c r="F265" s="1095" t="s">
        <v>414</v>
      </c>
      <c r="G265" s="1096">
        <f t="shared" si="29"/>
        <v>0</v>
      </c>
      <c r="H265" s="1083" t="s">
        <v>29</v>
      </c>
      <c r="I265" s="1097">
        <v>0</v>
      </c>
      <c r="J265" s="1098">
        <f t="shared" si="30"/>
        <v>0</v>
      </c>
      <c r="K265" s="153">
        <f t="shared" si="31"/>
        <v>0</v>
      </c>
      <c r="L265" s="1099"/>
      <c r="M265" s="1100">
        <v>0</v>
      </c>
      <c r="N265" s="1101">
        <f>IF($BF265=0,0,IF(SUM($M265:M265)&lt;($J265-12),12,$J265-SUM($M265:M265)))</f>
        <v>0</v>
      </c>
      <c r="O265" s="1101">
        <f>IF($BF265=0,0,IF(SUM($M265:N265)&lt;($J265-12),12,$J265-SUM($M265:N265)))</f>
        <v>0</v>
      </c>
      <c r="P265" s="1101">
        <f>IF($BF265=0,0,IF(SUM($M265:O265)&lt;($J265-12),12,$J265-SUM($M265:O265)))</f>
        <v>0</v>
      </c>
      <c r="Q265" s="1101">
        <f>IF($BF265=0,0,IF(SUM($M265:P265)&lt;($J265-12),12,$J265-SUM($M265:P265)))</f>
        <v>0</v>
      </c>
      <c r="S265" s="1100"/>
      <c r="T265" s="1100">
        <v>0</v>
      </c>
      <c r="U265" s="1101">
        <f>IF($BG265=0,0,IF(SUM($S265:T265)&lt;($J265-12),12,$J265-SUM($S265:T265)))</f>
        <v>0</v>
      </c>
      <c r="V265" s="1101">
        <f>IF($BG265=0,0,IF(SUM($S265:U265)&lt;($J265-12),12,$J265-SUM($S265:U265)))</f>
        <v>0</v>
      </c>
      <c r="W265" s="1101">
        <f>IF($BG265=0,0,IF(SUM($S265:V265)&lt;($J265-12),12,$J265-SUM($S265:V265)))</f>
        <v>0</v>
      </c>
      <c r="Y265" s="1100"/>
      <c r="Z265" s="1100"/>
      <c r="AA265" s="1100">
        <v>0</v>
      </c>
      <c r="AB265" s="1101">
        <f>IF($BH265=0,0,IF(SUM($Y265:AA265)&lt;($J265-12),12,$J265-SUM($Y265:AA265)))</f>
        <v>0</v>
      </c>
      <c r="AC265" s="1101">
        <f>IF($BH265=0,0,IF(SUM($Y265:AB265)&lt;($J265-12),12,$J265-SUM($Y265:AB265)))</f>
        <v>0</v>
      </c>
      <c r="AE265" s="1100"/>
      <c r="AF265" s="1100"/>
      <c r="AG265" s="1100"/>
      <c r="AH265" s="1100">
        <v>0</v>
      </c>
      <c r="AI265" s="1101">
        <f>IF($BI265=0,0,IF(SUM($AE265:AH265)&lt;($J265-12),12,$J265-SUM($AE265:AH265)))</f>
        <v>0</v>
      </c>
      <c r="AK265" s="1100"/>
      <c r="AL265" s="1100"/>
      <c r="AM265" s="1100"/>
      <c r="AN265" s="1100"/>
      <c r="AO265" s="1100">
        <v>0</v>
      </c>
      <c r="AQ265" s="153">
        <f t="shared" si="32"/>
        <v>0</v>
      </c>
      <c r="AR265" s="153">
        <f t="shared" si="33"/>
        <v>0</v>
      </c>
      <c r="AS265" s="153">
        <f t="shared" si="34"/>
        <v>0</v>
      </c>
      <c r="AT265" s="153">
        <f t="shared" si="35"/>
        <v>0</v>
      </c>
      <c r="AU265" s="153">
        <f t="shared" si="36"/>
        <v>0</v>
      </c>
      <c r="AW265" s="1543">
        <v>0</v>
      </c>
      <c r="AX265" s="1102"/>
      <c r="AY265" s="1544">
        <v>0</v>
      </c>
      <c r="BA265" s="1103">
        <v>0</v>
      </c>
      <c r="BB265" s="1103">
        <v>0</v>
      </c>
      <c r="BC265" s="1103">
        <v>0</v>
      </c>
      <c r="BD265" s="1103">
        <v>0</v>
      </c>
      <c r="BE265" s="1103">
        <v>0</v>
      </c>
      <c r="BF265" s="1103">
        <v>0</v>
      </c>
      <c r="BG265" s="1103">
        <v>0</v>
      </c>
      <c r="BH265" s="1103">
        <v>0</v>
      </c>
      <c r="BI265" s="1103">
        <v>0</v>
      </c>
      <c r="BJ265" s="1103">
        <v>0</v>
      </c>
    </row>
    <row r="266" spans="2:62" hidden="1" outlineLevel="1">
      <c r="C266" s="1083" t="s">
        <v>594</v>
      </c>
      <c r="D266" s="1062" t="s">
        <v>592</v>
      </c>
      <c r="E266" s="1083" t="s">
        <v>595</v>
      </c>
      <c r="F266" s="1095" t="s">
        <v>414</v>
      </c>
      <c r="G266" s="1096">
        <f t="shared" si="29"/>
        <v>250</v>
      </c>
      <c r="H266" s="1083" t="s">
        <v>29</v>
      </c>
      <c r="I266" s="1097">
        <v>8</v>
      </c>
      <c r="J266" s="1098">
        <f t="shared" si="30"/>
        <v>96</v>
      </c>
      <c r="K266" s="153">
        <f t="shared" si="31"/>
        <v>0.125</v>
      </c>
      <c r="L266" s="1099"/>
      <c r="M266" s="1100">
        <v>0</v>
      </c>
      <c r="N266" s="1101">
        <f>IF($BF266=0,0,IF(SUM($M266:M266)&lt;($J266-12),12,$J266-SUM($M266:M266)))</f>
        <v>0</v>
      </c>
      <c r="O266" s="1101">
        <f>IF($BF266=0,0,IF(SUM($M266:N266)&lt;($J266-12),12,$J266-SUM($M266:N266)))</f>
        <v>0</v>
      </c>
      <c r="P266" s="1101">
        <f>IF($BF266=0,0,IF(SUM($M266:O266)&lt;($J266-12),12,$J266-SUM($M266:O266)))</f>
        <v>0</v>
      </c>
      <c r="Q266" s="1101">
        <f>IF($BF266=0,0,IF(SUM($M266:P266)&lt;($J266-12),12,$J266-SUM($M266:P266)))</f>
        <v>0</v>
      </c>
      <c r="S266" s="1100"/>
      <c r="T266" s="1100">
        <v>0</v>
      </c>
      <c r="U266" s="1101">
        <f>IF($BG266=0,0,IF(SUM($S266:T266)&lt;($J266-12),12,$J266-SUM($S266:T266)))</f>
        <v>0</v>
      </c>
      <c r="V266" s="1101">
        <f>IF($BG266=0,0,IF(SUM($S266:U266)&lt;($J266-12),12,$J266-SUM($S266:U266)))</f>
        <v>0</v>
      </c>
      <c r="W266" s="1101">
        <f>IF($BG266=0,0,IF(SUM($S266:V266)&lt;($J266-12),12,$J266-SUM($S266:V266)))</f>
        <v>0</v>
      </c>
      <c r="Y266" s="1100"/>
      <c r="Z266" s="1100"/>
      <c r="AA266" s="1100">
        <v>3</v>
      </c>
      <c r="AB266" s="1101">
        <f>IF($BH266=0,0,IF(SUM($Y266:AA266)&lt;($J266-12),12,$J266-SUM($Y266:AA266)))</f>
        <v>12</v>
      </c>
      <c r="AC266" s="1101">
        <f>IF($BH266=0,0,IF(SUM($Y266:AB266)&lt;($J266-12),12,$J266-SUM($Y266:AB266)))</f>
        <v>12</v>
      </c>
      <c r="AE266" s="1100"/>
      <c r="AF266" s="1100"/>
      <c r="AG266" s="1100"/>
      <c r="AH266" s="1100">
        <v>0</v>
      </c>
      <c r="AI266" s="1101">
        <f>IF($BI266=0,0,IF(SUM($AE266:AH266)&lt;($J266-12),12,$J266-SUM($AE266:AH266)))</f>
        <v>0</v>
      </c>
      <c r="AK266" s="1100"/>
      <c r="AL266" s="1100"/>
      <c r="AM266" s="1100"/>
      <c r="AN266" s="1100"/>
      <c r="AO266" s="1100">
        <v>0</v>
      </c>
      <c r="AQ266" s="153">
        <f t="shared" si="32"/>
        <v>0</v>
      </c>
      <c r="AR266" s="153">
        <f t="shared" si="33"/>
        <v>0</v>
      </c>
      <c r="AS266" s="153">
        <f t="shared" si="34"/>
        <v>0.25</v>
      </c>
      <c r="AT266" s="153">
        <f t="shared" si="35"/>
        <v>0</v>
      </c>
      <c r="AU266" s="153">
        <f t="shared" si="36"/>
        <v>0</v>
      </c>
      <c r="AW266" s="1543">
        <v>0.75</v>
      </c>
      <c r="AX266" s="1102"/>
      <c r="AY266" s="1544">
        <v>0.25</v>
      </c>
      <c r="BA266" s="1103">
        <v>0</v>
      </c>
      <c r="BB266" s="1103">
        <v>0</v>
      </c>
      <c r="BC266" s="1103">
        <v>0</v>
      </c>
      <c r="BD266" s="1103">
        <v>0</v>
      </c>
      <c r="BE266" s="1103">
        <v>0</v>
      </c>
      <c r="BF266" s="1103">
        <v>0</v>
      </c>
      <c r="BG266" s="1103">
        <v>0</v>
      </c>
      <c r="BH266" s="1103">
        <v>250</v>
      </c>
      <c r="BI266" s="1103">
        <v>0</v>
      </c>
      <c r="BJ266" s="1103">
        <v>0</v>
      </c>
    </row>
    <row r="267" spans="2:62" hidden="1" outlineLevel="1">
      <c r="C267" s="1083" t="s">
        <v>596</v>
      </c>
      <c r="D267" s="1062" t="s">
        <v>592</v>
      </c>
      <c r="E267" s="1083" t="s">
        <v>595</v>
      </c>
      <c r="F267" s="1095" t="s">
        <v>414</v>
      </c>
      <c r="G267" s="1096">
        <f t="shared" si="29"/>
        <v>250</v>
      </c>
      <c r="H267" s="1083" t="s">
        <v>29</v>
      </c>
      <c r="I267" s="1097">
        <v>8</v>
      </c>
      <c r="J267" s="1098">
        <f t="shared" si="30"/>
        <v>96</v>
      </c>
      <c r="K267" s="153">
        <f t="shared" si="31"/>
        <v>0.125</v>
      </c>
      <c r="L267" s="1099"/>
      <c r="M267" s="1100">
        <v>0</v>
      </c>
      <c r="N267" s="1101">
        <f>IF($BF267=0,0,IF(SUM($M267:M267)&lt;($J267-12),12,$J267-SUM($M267:M267)))</f>
        <v>0</v>
      </c>
      <c r="O267" s="1101">
        <f>IF($BF267=0,0,IF(SUM($M267:N267)&lt;($J267-12),12,$J267-SUM($M267:N267)))</f>
        <v>0</v>
      </c>
      <c r="P267" s="1101">
        <f>IF($BF267=0,0,IF(SUM($M267:O267)&lt;($J267-12),12,$J267-SUM($M267:O267)))</f>
        <v>0</v>
      </c>
      <c r="Q267" s="1101">
        <f>IF($BF267=0,0,IF(SUM($M267:P267)&lt;($J267-12),12,$J267-SUM($M267:P267)))</f>
        <v>0</v>
      </c>
      <c r="S267" s="1100"/>
      <c r="T267" s="1100">
        <v>0</v>
      </c>
      <c r="U267" s="1101">
        <f>IF($BG267=0,0,IF(SUM($S267:T267)&lt;($J267-12),12,$J267-SUM($S267:T267)))</f>
        <v>0</v>
      </c>
      <c r="V267" s="1101">
        <f>IF($BG267=0,0,IF(SUM($S267:U267)&lt;($J267-12),12,$J267-SUM($S267:U267)))</f>
        <v>0</v>
      </c>
      <c r="W267" s="1101">
        <f>IF($BG267=0,0,IF(SUM($S267:V267)&lt;($J267-12),12,$J267-SUM($S267:V267)))</f>
        <v>0</v>
      </c>
      <c r="Y267" s="1100"/>
      <c r="Z267" s="1100"/>
      <c r="AA267" s="1100">
        <v>0</v>
      </c>
      <c r="AB267" s="1101">
        <f>IF($BH267=0,0,IF(SUM($Y267:AA267)&lt;($J267-12),12,$J267-SUM($Y267:AA267)))</f>
        <v>0</v>
      </c>
      <c r="AC267" s="1101">
        <f>IF($BH267=0,0,IF(SUM($Y267:AB267)&lt;($J267-12),12,$J267-SUM($Y267:AB267)))</f>
        <v>0</v>
      </c>
      <c r="AE267" s="1100"/>
      <c r="AF267" s="1100"/>
      <c r="AG267" s="1100"/>
      <c r="AH267" s="1100">
        <v>3</v>
      </c>
      <c r="AI267" s="1101">
        <f>IF($BI267=0,0,IF(SUM($AE267:AH267)&lt;($J267-12),12,$J267-SUM($AE267:AH267)))</f>
        <v>12</v>
      </c>
      <c r="AK267" s="1100"/>
      <c r="AL267" s="1100"/>
      <c r="AM267" s="1100"/>
      <c r="AN267" s="1100"/>
      <c r="AO267" s="1100">
        <v>0</v>
      </c>
      <c r="AQ267" s="153">
        <f t="shared" si="32"/>
        <v>0</v>
      </c>
      <c r="AR267" s="153">
        <f t="shared" si="33"/>
        <v>0</v>
      </c>
      <c r="AS267" s="153">
        <f t="shared" si="34"/>
        <v>0</v>
      </c>
      <c r="AT267" s="153">
        <f t="shared" si="35"/>
        <v>0.25</v>
      </c>
      <c r="AU267" s="153">
        <f t="shared" si="36"/>
        <v>0</v>
      </c>
      <c r="AW267" s="1543">
        <v>1</v>
      </c>
      <c r="AX267" s="1102"/>
      <c r="AY267" s="1544">
        <v>0</v>
      </c>
      <c r="BA267" s="1103">
        <v>0</v>
      </c>
      <c r="BB267" s="1103">
        <v>0</v>
      </c>
      <c r="BC267" s="1103">
        <v>0</v>
      </c>
      <c r="BD267" s="1103">
        <v>0</v>
      </c>
      <c r="BE267" s="1103">
        <v>0</v>
      </c>
      <c r="BF267" s="1103">
        <v>0</v>
      </c>
      <c r="BG267" s="1103">
        <v>0</v>
      </c>
      <c r="BH267" s="1103">
        <v>0</v>
      </c>
      <c r="BI267" s="1103">
        <v>250</v>
      </c>
      <c r="BJ267" s="1103">
        <v>0</v>
      </c>
    </row>
    <row r="268" spans="2:62" hidden="1" outlineLevel="1">
      <c r="C268" s="1083" t="s">
        <v>597</v>
      </c>
      <c r="D268" s="1062" t="s">
        <v>597</v>
      </c>
      <c r="E268" s="1083" t="s">
        <v>598</v>
      </c>
      <c r="F268" s="1095" t="s">
        <v>414</v>
      </c>
      <c r="G268" s="1096">
        <f t="shared" si="29"/>
        <v>500</v>
      </c>
      <c r="H268" s="1083" t="s">
        <v>29</v>
      </c>
      <c r="I268" s="1097">
        <v>8</v>
      </c>
      <c r="J268" s="1098">
        <f t="shared" si="30"/>
        <v>96</v>
      </c>
      <c r="K268" s="153">
        <f t="shared" si="31"/>
        <v>0.125</v>
      </c>
      <c r="L268" s="1099"/>
      <c r="M268" s="1100">
        <v>0</v>
      </c>
      <c r="N268" s="1101">
        <f>IF($BF268=0,0,IF(SUM($M268:M268)&lt;($J268-12),12,$J268-SUM($M268:M268)))</f>
        <v>0</v>
      </c>
      <c r="O268" s="1101">
        <f>IF($BF268=0,0,IF(SUM($M268:N268)&lt;($J268-12),12,$J268-SUM($M268:N268)))</f>
        <v>0</v>
      </c>
      <c r="P268" s="1101">
        <f>IF($BF268=0,0,IF(SUM($M268:O268)&lt;($J268-12),12,$J268-SUM($M268:O268)))</f>
        <v>0</v>
      </c>
      <c r="Q268" s="1101">
        <f>IF($BF268=0,0,IF(SUM($M268:P268)&lt;($J268-12),12,$J268-SUM($M268:P268)))</f>
        <v>0</v>
      </c>
      <c r="S268" s="1100"/>
      <c r="T268" s="1100">
        <v>0</v>
      </c>
      <c r="U268" s="1101">
        <f>IF($BG268=0,0,IF(SUM($S268:T268)&lt;($J268-12),12,$J268-SUM($S268:T268)))</f>
        <v>0</v>
      </c>
      <c r="V268" s="1101">
        <f>IF($BG268=0,0,IF(SUM($S268:U268)&lt;($J268-12),12,$J268-SUM($S268:U268)))</f>
        <v>0</v>
      </c>
      <c r="W268" s="1101">
        <f>IF($BG268=0,0,IF(SUM($S268:V268)&lt;($J268-12),12,$J268-SUM($S268:V268)))</f>
        <v>0</v>
      </c>
      <c r="Y268" s="1100"/>
      <c r="Z268" s="1100"/>
      <c r="AA268" s="1100">
        <v>3</v>
      </c>
      <c r="AB268" s="1101">
        <f>IF($BH268=0,0,IF(SUM($Y268:AA268)&lt;($J268-12),12,$J268-SUM($Y268:AA268)))</f>
        <v>12</v>
      </c>
      <c r="AC268" s="1101">
        <f>IF($BH268=0,0,IF(SUM($Y268:AB268)&lt;($J268-12),12,$J268-SUM($Y268:AB268)))</f>
        <v>12</v>
      </c>
      <c r="AE268" s="1100"/>
      <c r="AF268" s="1100"/>
      <c r="AG268" s="1100"/>
      <c r="AH268" s="1100">
        <v>3</v>
      </c>
      <c r="AI268" s="1101">
        <f>IF($BI268=0,0,IF(SUM($AE268:AH268)&lt;($J268-12),12,$J268-SUM($AE268:AH268)))</f>
        <v>12</v>
      </c>
      <c r="AK268" s="1100"/>
      <c r="AL268" s="1100"/>
      <c r="AM268" s="1100"/>
      <c r="AN268" s="1100"/>
      <c r="AO268" s="1100">
        <v>0</v>
      </c>
      <c r="AQ268" s="153">
        <f t="shared" si="32"/>
        <v>0</v>
      </c>
      <c r="AR268" s="153">
        <f t="shared" si="33"/>
        <v>0</v>
      </c>
      <c r="AS268" s="153">
        <f t="shared" si="34"/>
        <v>0.25</v>
      </c>
      <c r="AT268" s="153">
        <f t="shared" si="35"/>
        <v>0.25</v>
      </c>
      <c r="AU268" s="153">
        <f t="shared" si="36"/>
        <v>0</v>
      </c>
      <c r="AW268" s="1543">
        <v>1</v>
      </c>
      <c r="AX268" s="1102"/>
      <c r="AY268" s="1544">
        <v>0</v>
      </c>
      <c r="BA268" s="1103">
        <v>0</v>
      </c>
      <c r="BB268" s="1103">
        <v>0</v>
      </c>
      <c r="BC268" s="1103">
        <v>0</v>
      </c>
      <c r="BD268" s="1103">
        <v>0</v>
      </c>
      <c r="BE268" s="1103">
        <v>0</v>
      </c>
      <c r="BF268" s="1103">
        <v>0</v>
      </c>
      <c r="BG268" s="1103">
        <v>0</v>
      </c>
      <c r="BH268" s="1103">
        <v>250</v>
      </c>
      <c r="BI268" s="1103">
        <v>250</v>
      </c>
      <c r="BJ268" s="1103">
        <v>0</v>
      </c>
    </row>
    <row r="269" spans="2:62" hidden="1" outlineLevel="1">
      <c r="C269" s="1083" t="s">
        <v>599</v>
      </c>
      <c r="D269" s="1062" t="s">
        <v>600</v>
      </c>
      <c r="E269" s="1083" t="s">
        <v>601</v>
      </c>
      <c r="F269" s="1095" t="s">
        <v>414</v>
      </c>
      <c r="G269" s="1096">
        <f t="shared" si="29"/>
        <v>0</v>
      </c>
      <c r="H269" s="1083" t="s">
        <v>29</v>
      </c>
      <c r="I269" s="1097">
        <v>0</v>
      </c>
      <c r="J269" s="1098">
        <f t="shared" si="30"/>
        <v>0</v>
      </c>
      <c r="K269" s="153">
        <f t="shared" si="31"/>
        <v>0</v>
      </c>
      <c r="L269" s="1099"/>
      <c r="M269" s="1100">
        <v>0</v>
      </c>
      <c r="N269" s="1101">
        <f>IF($BF269=0,0,IF(SUM($M269:M269)&lt;($J269-12),12,$J269-SUM($M269:M269)))</f>
        <v>0</v>
      </c>
      <c r="O269" s="1101">
        <f>IF($BF269=0,0,IF(SUM($M269:N269)&lt;($J269-12),12,$J269-SUM($M269:N269)))</f>
        <v>0</v>
      </c>
      <c r="P269" s="1101">
        <f>IF($BF269=0,0,IF(SUM($M269:O269)&lt;($J269-12),12,$J269-SUM($M269:O269)))</f>
        <v>0</v>
      </c>
      <c r="Q269" s="1101">
        <f>IF($BF269=0,0,IF(SUM($M269:P269)&lt;($J269-12),12,$J269-SUM($M269:P269)))</f>
        <v>0</v>
      </c>
      <c r="S269" s="1100"/>
      <c r="T269" s="1100">
        <v>0</v>
      </c>
      <c r="U269" s="1101">
        <f>IF($BG269=0,0,IF(SUM($S269:T269)&lt;($J269-12),12,$J269-SUM($S269:T269)))</f>
        <v>0</v>
      </c>
      <c r="V269" s="1101">
        <f>IF($BG269=0,0,IF(SUM($S269:U269)&lt;($J269-12),12,$J269-SUM($S269:U269)))</f>
        <v>0</v>
      </c>
      <c r="W269" s="1101">
        <f>IF($BG269=0,0,IF(SUM($S269:V269)&lt;($J269-12),12,$J269-SUM($S269:V269)))</f>
        <v>0</v>
      </c>
      <c r="Y269" s="1100"/>
      <c r="Z269" s="1100"/>
      <c r="AA269" s="1100">
        <v>0</v>
      </c>
      <c r="AB269" s="1101">
        <f>IF($BH269=0,0,IF(SUM($Y269:AA269)&lt;($J269-12),12,$J269-SUM($Y269:AA269)))</f>
        <v>0</v>
      </c>
      <c r="AC269" s="1101">
        <f>IF($BH269=0,0,IF(SUM($Y269:AB269)&lt;($J269-12),12,$J269-SUM($Y269:AB269)))</f>
        <v>0</v>
      </c>
      <c r="AE269" s="1100"/>
      <c r="AF269" s="1100"/>
      <c r="AG269" s="1100"/>
      <c r="AH269" s="1100">
        <v>0</v>
      </c>
      <c r="AI269" s="1101">
        <f>IF($BI269=0,0,IF(SUM($AE269:AH269)&lt;($J269-12),12,$J269-SUM($AE269:AH269)))</f>
        <v>0</v>
      </c>
      <c r="AK269" s="1100"/>
      <c r="AL269" s="1100"/>
      <c r="AM269" s="1100"/>
      <c r="AN269" s="1100"/>
      <c r="AO269" s="1100">
        <v>0</v>
      </c>
      <c r="AQ269" s="153">
        <f t="shared" si="32"/>
        <v>0</v>
      </c>
      <c r="AR269" s="153">
        <f t="shared" si="33"/>
        <v>0</v>
      </c>
      <c r="AS269" s="153">
        <f t="shared" si="34"/>
        <v>0</v>
      </c>
      <c r="AT269" s="153">
        <f t="shared" si="35"/>
        <v>0</v>
      </c>
      <c r="AU269" s="153">
        <f t="shared" si="36"/>
        <v>0</v>
      </c>
      <c r="AW269" s="1543">
        <v>0</v>
      </c>
      <c r="AX269" s="1102"/>
      <c r="AY269" s="1544">
        <v>0</v>
      </c>
      <c r="BA269" s="1103">
        <v>0</v>
      </c>
      <c r="BB269" s="1103">
        <v>0</v>
      </c>
      <c r="BC269" s="1103">
        <v>0</v>
      </c>
      <c r="BD269" s="1103">
        <v>0</v>
      </c>
      <c r="BE269" s="1103">
        <v>0</v>
      </c>
      <c r="BF269" s="1103">
        <v>0</v>
      </c>
      <c r="BG269" s="1103">
        <v>0</v>
      </c>
      <c r="BH269" s="1103">
        <v>0</v>
      </c>
      <c r="BI269" s="1103">
        <v>0</v>
      </c>
      <c r="BJ269" s="1103">
        <v>0</v>
      </c>
    </row>
    <row r="270" spans="2:62" hidden="1" outlineLevel="1">
      <c r="C270" s="1083" t="s">
        <v>602</v>
      </c>
      <c r="D270" s="1062" t="s">
        <v>600</v>
      </c>
      <c r="E270" s="1083" t="s">
        <v>603</v>
      </c>
      <c r="F270" s="1095" t="s">
        <v>414</v>
      </c>
      <c r="G270" s="1096">
        <f t="shared" si="29"/>
        <v>142</v>
      </c>
      <c r="H270" s="1083" t="s">
        <v>29</v>
      </c>
      <c r="I270" s="1097">
        <v>8</v>
      </c>
      <c r="J270" s="1098">
        <f t="shared" si="30"/>
        <v>96</v>
      </c>
      <c r="K270" s="153">
        <f t="shared" si="31"/>
        <v>0.125</v>
      </c>
      <c r="L270" s="1099"/>
      <c r="M270" s="1100">
        <v>0</v>
      </c>
      <c r="N270" s="1101">
        <f>IF($BF270=0,0,IF(SUM($M270:M270)&lt;($J270-12),12,$J270-SUM($M270:M270)))</f>
        <v>0</v>
      </c>
      <c r="O270" s="1101">
        <f>IF($BF270=0,0,IF(SUM($M270:N270)&lt;($J270-12),12,$J270-SUM($M270:N270)))</f>
        <v>0</v>
      </c>
      <c r="P270" s="1101">
        <f>IF($BF270=0,0,IF(SUM($M270:O270)&lt;($J270-12),12,$J270-SUM($M270:O270)))</f>
        <v>0</v>
      </c>
      <c r="Q270" s="1101">
        <f>IF($BF270=0,0,IF(SUM($M270:P270)&lt;($J270-12),12,$J270-SUM($M270:P270)))</f>
        <v>0</v>
      </c>
      <c r="S270" s="1100"/>
      <c r="T270" s="1100">
        <v>6</v>
      </c>
      <c r="U270" s="1101">
        <f>IF($BG270=0,0,IF(SUM($S270:T270)&lt;($J270-12),12,$J270-SUM($S270:T270)))</f>
        <v>12</v>
      </c>
      <c r="V270" s="1101">
        <f>IF($BG270=0,0,IF(SUM($S270:U270)&lt;($J270-12),12,$J270-SUM($S270:U270)))</f>
        <v>12</v>
      </c>
      <c r="W270" s="1101">
        <f>IF($BG270=0,0,IF(SUM($S270:V270)&lt;($J270-12),12,$J270-SUM($S270:V270)))</f>
        <v>12</v>
      </c>
      <c r="Y270" s="1100"/>
      <c r="Z270" s="1100"/>
      <c r="AA270" s="1100">
        <v>0</v>
      </c>
      <c r="AB270" s="1101">
        <f>IF($BH270=0,0,IF(SUM($Y270:AA270)&lt;($J270-12),12,$J270-SUM($Y270:AA270)))</f>
        <v>0</v>
      </c>
      <c r="AC270" s="1101">
        <f>IF($BH270=0,0,IF(SUM($Y270:AB270)&lt;($J270-12),12,$J270-SUM($Y270:AB270)))</f>
        <v>0</v>
      </c>
      <c r="AE270" s="1100"/>
      <c r="AF270" s="1100"/>
      <c r="AG270" s="1100"/>
      <c r="AH270" s="1100">
        <v>0</v>
      </c>
      <c r="AI270" s="1101">
        <f>IF($BI270=0,0,IF(SUM($AE270:AH270)&lt;($J270-12),12,$J270-SUM($AE270:AH270)))</f>
        <v>0</v>
      </c>
      <c r="AK270" s="1100"/>
      <c r="AL270" s="1100"/>
      <c r="AM270" s="1100"/>
      <c r="AN270" s="1100"/>
      <c r="AO270" s="1100">
        <v>0</v>
      </c>
      <c r="AQ270" s="153">
        <f t="shared" si="32"/>
        <v>0</v>
      </c>
      <c r="AR270" s="153">
        <f t="shared" si="33"/>
        <v>0.5</v>
      </c>
      <c r="AS270" s="153">
        <f t="shared" si="34"/>
        <v>0</v>
      </c>
      <c r="AT270" s="153">
        <f t="shared" si="35"/>
        <v>0</v>
      </c>
      <c r="AU270" s="153">
        <f t="shared" si="36"/>
        <v>0</v>
      </c>
      <c r="AW270" s="1543">
        <v>0.75</v>
      </c>
      <c r="AX270" s="1102"/>
      <c r="AY270" s="1544">
        <v>0.25</v>
      </c>
      <c r="BA270" s="1103">
        <v>0</v>
      </c>
      <c r="BB270" s="1103">
        <v>0</v>
      </c>
      <c r="BC270" s="1103">
        <v>0</v>
      </c>
      <c r="BD270" s="1103">
        <v>0</v>
      </c>
      <c r="BE270" s="1103">
        <v>0</v>
      </c>
      <c r="BF270" s="1103">
        <v>0</v>
      </c>
      <c r="BG270" s="1103">
        <v>142</v>
      </c>
      <c r="BH270" s="1103">
        <v>0</v>
      </c>
      <c r="BI270" s="1103">
        <v>0</v>
      </c>
      <c r="BJ270" s="1103">
        <v>0</v>
      </c>
    </row>
    <row r="271" spans="2:62" hidden="1" outlineLevel="1">
      <c r="C271" s="1083" t="s">
        <v>604</v>
      </c>
      <c r="D271" s="1062" t="s">
        <v>600</v>
      </c>
      <c r="E271" s="1083" t="s">
        <v>603</v>
      </c>
      <c r="F271" s="1095" t="s">
        <v>414</v>
      </c>
      <c r="G271" s="1096">
        <f t="shared" si="29"/>
        <v>100</v>
      </c>
      <c r="H271" s="1083" t="s">
        <v>29</v>
      </c>
      <c r="I271" s="1097">
        <v>8</v>
      </c>
      <c r="J271" s="1098">
        <f t="shared" si="30"/>
        <v>96</v>
      </c>
      <c r="K271" s="153">
        <f t="shared" si="31"/>
        <v>0.125</v>
      </c>
      <c r="L271" s="1099"/>
      <c r="M271" s="1100">
        <v>0</v>
      </c>
      <c r="N271" s="1101">
        <f>IF($BF271=0,0,IF(SUM($M271:M271)&lt;($J271-12),12,$J271-SUM($M271:M271)))</f>
        <v>0</v>
      </c>
      <c r="O271" s="1101">
        <f>IF($BF271=0,0,IF(SUM($M271:N271)&lt;($J271-12),12,$J271-SUM($M271:N271)))</f>
        <v>0</v>
      </c>
      <c r="P271" s="1101">
        <f>IF($BF271=0,0,IF(SUM($M271:O271)&lt;($J271-12),12,$J271-SUM($M271:O271)))</f>
        <v>0</v>
      </c>
      <c r="Q271" s="1101">
        <f>IF($BF271=0,0,IF(SUM($M271:P271)&lt;($J271-12),12,$J271-SUM($M271:P271)))</f>
        <v>0</v>
      </c>
      <c r="S271" s="1100"/>
      <c r="T271" s="1100">
        <v>0</v>
      </c>
      <c r="U271" s="1101">
        <f>IF($BG271=0,0,IF(SUM($S271:T271)&lt;($J271-12),12,$J271-SUM($S271:T271)))</f>
        <v>0</v>
      </c>
      <c r="V271" s="1101">
        <f>IF($BG271=0,0,IF(SUM($S271:U271)&lt;($J271-12),12,$J271-SUM($S271:U271)))</f>
        <v>0</v>
      </c>
      <c r="W271" s="1101">
        <f>IF($BG271=0,0,IF(SUM($S271:V271)&lt;($J271-12),12,$J271-SUM($S271:V271)))</f>
        <v>0</v>
      </c>
      <c r="Y271" s="1100"/>
      <c r="Z271" s="1100"/>
      <c r="AA271" s="1100">
        <v>0</v>
      </c>
      <c r="AB271" s="1101">
        <f>IF($BH271=0,0,IF(SUM($Y271:AA271)&lt;($J271-12),12,$J271-SUM($Y271:AA271)))</f>
        <v>0</v>
      </c>
      <c r="AC271" s="1101">
        <f>IF($BH271=0,0,IF(SUM($Y271:AB271)&lt;($J271-12),12,$J271-SUM($Y271:AB271)))</f>
        <v>0</v>
      </c>
      <c r="AE271" s="1100"/>
      <c r="AF271" s="1100"/>
      <c r="AG271" s="1100"/>
      <c r="AH271" s="1100">
        <v>9</v>
      </c>
      <c r="AI271" s="1101">
        <f>IF($BI271=0,0,IF(SUM($AE271:AH271)&lt;($J271-12),12,$J271-SUM($AE271:AH271)))</f>
        <v>12</v>
      </c>
      <c r="AK271" s="1100"/>
      <c r="AL271" s="1100"/>
      <c r="AM271" s="1100"/>
      <c r="AN271" s="1100"/>
      <c r="AO271" s="1100">
        <v>0</v>
      </c>
      <c r="AQ271" s="153">
        <f t="shared" si="32"/>
        <v>0</v>
      </c>
      <c r="AR271" s="153">
        <f t="shared" si="33"/>
        <v>0</v>
      </c>
      <c r="AS271" s="153">
        <f t="shared" si="34"/>
        <v>0</v>
      </c>
      <c r="AT271" s="153">
        <f t="shared" si="35"/>
        <v>0.75</v>
      </c>
      <c r="AU271" s="153">
        <f t="shared" si="36"/>
        <v>0</v>
      </c>
      <c r="AW271" s="1543">
        <v>1</v>
      </c>
      <c r="AX271" s="1102"/>
      <c r="AY271" s="1544">
        <v>0</v>
      </c>
      <c r="BA271" s="1103">
        <v>0</v>
      </c>
      <c r="BB271" s="1103">
        <v>0</v>
      </c>
      <c r="BC271" s="1103">
        <v>0</v>
      </c>
      <c r="BD271" s="1103">
        <v>0</v>
      </c>
      <c r="BE271" s="1103">
        <v>0</v>
      </c>
      <c r="BF271" s="1103">
        <v>0</v>
      </c>
      <c r="BG271" s="1103">
        <v>0</v>
      </c>
      <c r="BH271" s="1103">
        <v>0</v>
      </c>
      <c r="BI271" s="1103">
        <v>100</v>
      </c>
      <c r="BJ271" s="1103">
        <v>0</v>
      </c>
    </row>
    <row r="272" spans="2:62" hidden="1" outlineLevel="1">
      <c r="C272" s="1083" t="s">
        <v>605</v>
      </c>
      <c r="D272" s="1062" t="s">
        <v>600</v>
      </c>
      <c r="E272" s="1083" t="s">
        <v>603</v>
      </c>
      <c r="F272" s="1095" t="s">
        <v>414</v>
      </c>
      <c r="G272" s="1096">
        <f t="shared" si="29"/>
        <v>177.15124000000003</v>
      </c>
      <c r="H272" s="1083" t="s">
        <v>29</v>
      </c>
      <c r="I272" s="1097">
        <v>8</v>
      </c>
      <c r="J272" s="1098">
        <f t="shared" si="30"/>
        <v>96</v>
      </c>
      <c r="K272" s="153">
        <f t="shared" si="31"/>
        <v>0.125</v>
      </c>
      <c r="L272" s="1099"/>
      <c r="M272" s="1100">
        <v>0</v>
      </c>
      <c r="N272" s="1101">
        <f>IF($BF272=0,0,IF(SUM($M272:M272)&lt;($J272-12),12,$J272-SUM($M272:M272)))</f>
        <v>0</v>
      </c>
      <c r="O272" s="1101">
        <f>IF($BF272=0,0,IF(SUM($M272:N272)&lt;($J272-12),12,$J272-SUM($M272:N272)))</f>
        <v>0</v>
      </c>
      <c r="P272" s="1101">
        <f>IF($BF272=0,0,IF(SUM($M272:O272)&lt;($J272-12),12,$J272-SUM($M272:O272)))</f>
        <v>0</v>
      </c>
      <c r="Q272" s="1101">
        <f>IF($BF272=0,0,IF(SUM($M272:P272)&lt;($J272-12),12,$J272-SUM($M272:P272)))</f>
        <v>0</v>
      </c>
      <c r="S272" s="1100"/>
      <c r="T272" s="1100">
        <v>3</v>
      </c>
      <c r="U272" s="1101">
        <f>IF($BG272=0,0,IF(SUM($S272:T272)&lt;($J272-12),12,$J272-SUM($S272:T272)))</f>
        <v>12</v>
      </c>
      <c r="V272" s="1101">
        <f>IF($BG272=0,0,IF(SUM($S272:U272)&lt;($J272-12),12,$J272-SUM($S272:U272)))</f>
        <v>12</v>
      </c>
      <c r="W272" s="1101">
        <f>IF($BG272=0,0,IF(SUM($S272:V272)&lt;($J272-12),12,$J272-SUM($S272:V272)))</f>
        <v>12</v>
      </c>
      <c r="Y272" s="1100"/>
      <c r="Z272" s="1100"/>
      <c r="AA272" s="1100">
        <v>3</v>
      </c>
      <c r="AB272" s="1101">
        <f>IF($BH272=0,0,IF(SUM($Y272:AA272)&lt;($J272-12),12,$J272-SUM($Y272:AA272)))</f>
        <v>12</v>
      </c>
      <c r="AC272" s="1101">
        <f>IF($BH272=0,0,IF(SUM($Y272:AB272)&lt;($J272-12),12,$J272-SUM($Y272:AB272)))</f>
        <v>12</v>
      </c>
      <c r="AE272" s="1100"/>
      <c r="AF272" s="1100"/>
      <c r="AG272" s="1100"/>
      <c r="AH272" s="1100">
        <v>0</v>
      </c>
      <c r="AI272" s="1101">
        <f>IF($BI272=0,0,IF(SUM($AE272:AH272)&lt;($J272-12),12,$J272-SUM($AE272:AH272)))</f>
        <v>0</v>
      </c>
      <c r="AK272" s="1100"/>
      <c r="AL272" s="1100"/>
      <c r="AM272" s="1100"/>
      <c r="AN272" s="1100"/>
      <c r="AO272" s="1100">
        <v>0</v>
      </c>
      <c r="AQ272" s="153">
        <f t="shared" si="32"/>
        <v>0</v>
      </c>
      <c r="AR272" s="153">
        <f t="shared" si="33"/>
        <v>0.25</v>
      </c>
      <c r="AS272" s="153">
        <f t="shared" si="34"/>
        <v>0.25</v>
      </c>
      <c r="AT272" s="153">
        <f t="shared" si="35"/>
        <v>0</v>
      </c>
      <c r="AU272" s="153">
        <f t="shared" si="36"/>
        <v>0</v>
      </c>
      <c r="AW272" s="1543">
        <v>1</v>
      </c>
      <c r="AX272" s="1102"/>
      <c r="AY272" s="1544">
        <v>0</v>
      </c>
      <c r="BA272" s="1103">
        <v>0</v>
      </c>
      <c r="BB272" s="1103">
        <v>0</v>
      </c>
      <c r="BC272" s="1103">
        <v>0</v>
      </c>
      <c r="BD272" s="1103">
        <v>0</v>
      </c>
      <c r="BE272" s="1103">
        <v>0</v>
      </c>
      <c r="BF272" s="1103">
        <v>0</v>
      </c>
      <c r="BG272" s="1103">
        <v>82.151240000000016</v>
      </c>
      <c r="BH272" s="1103">
        <v>95</v>
      </c>
      <c r="BI272" s="1103">
        <v>0</v>
      </c>
      <c r="BJ272" s="1103">
        <v>0</v>
      </c>
    </row>
    <row r="273" spans="3:62" hidden="1" outlineLevel="1">
      <c r="C273" s="1083" t="s">
        <v>606</v>
      </c>
      <c r="D273" s="1062" t="s">
        <v>607</v>
      </c>
      <c r="E273" s="1083" t="s">
        <v>608</v>
      </c>
      <c r="F273" s="1095" t="s">
        <v>414</v>
      </c>
      <c r="G273" s="1096">
        <f t="shared" si="29"/>
        <v>0</v>
      </c>
      <c r="H273" s="1083" t="s">
        <v>29</v>
      </c>
      <c r="I273" s="1097">
        <v>0</v>
      </c>
      <c r="J273" s="1098">
        <f t="shared" si="30"/>
        <v>0</v>
      </c>
      <c r="K273" s="153">
        <f t="shared" si="31"/>
        <v>0</v>
      </c>
      <c r="L273" s="1099"/>
      <c r="M273" s="1100">
        <v>0</v>
      </c>
      <c r="N273" s="1101">
        <f>IF($BF273=0,0,IF(SUM($M273:M273)&lt;($J273-12),12,$J273-SUM($M273:M273)))</f>
        <v>0</v>
      </c>
      <c r="O273" s="1101">
        <f>IF($BF273=0,0,IF(SUM($M273:N273)&lt;($J273-12),12,$J273-SUM($M273:N273)))</f>
        <v>0</v>
      </c>
      <c r="P273" s="1101">
        <f>IF($BF273=0,0,IF(SUM($M273:O273)&lt;($J273-12),12,$J273-SUM($M273:O273)))</f>
        <v>0</v>
      </c>
      <c r="Q273" s="1101">
        <f>IF($BF273=0,0,IF(SUM($M273:P273)&lt;($J273-12),12,$J273-SUM($M273:P273)))</f>
        <v>0</v>
      </c>
      <c r="S273" s="1100"/>
      <c r="T273" s="1100">
        <v>0</v>
      </c>
      <c r="U273" s="1101">
        <f>IF($BG273=0,0,IF(SUM($S273:T273)&lt;($J273-12),12,$J273-SUM($S273:T273)))</f>
        <v>0</v>
      </c>
      <c r="V273" s="1101">
        <f>IF($BG273=0,0,IF(SUM($S273:U273)&lt;($J273-12),12,$J273-SUM($S273:U273)))</f>
        <v>0</v>
      </c>
      <c r="W273" s="1101">
        <f>IF($BG273=0,0,IF(SUM($S273:V273)&lt;($J273-12),12,$J273-SUM($S273:V273)))</f>
        <v>0</v>
      </c>
      <c r="Y273" s="1100"/>
      <c r="Z273" s="1100"/>
      <c r="AA273" s="1100">
        <v>0</v>
      </c>
      <c r="AB273" s="1101">
        <f>IF($BH273=0,0,IF(SUM($Y273:AA273)&lt;($J273-12),12,$J273-SUM($Y273:AA273)))</f>
        <v>0</v>
      </c>
      <c r="AC273" s="1101">
        <f>IF($BH273=0,0,IF(SUM($Y273:AB273)&lt;($J273-12),12,$J273-SUM($Y273:AB273)))</f>
        <v>0</v>
      </c>
      <c r="AE273" s="1100"/>
      <c r="AF273" s="1100"/>
      <c r="AG273" s="1100"/>
      <c r="AH273" s="1100">
        <v>0</v>
      </c>
      <c r="AI273" s="1101">
        <f>IF($BI273=0,0,IF(SUM($AE273:AH273)&lt;($J273-12),12,$J273-SUM($AE273:AH273)))</f>
        <v>0</v>
      </c>
      <c r="AK273" s="1100"/>
      <c r="AL273" s="1100"/>
      <c r="AM273" s="1100"/>
      <c r="AN273" s="1100"/>
      <c r="AO273" s="1100">
        <v>0</v>
      </c>
      <c r="AQ273" s="153">
        <f t="shared" si="32"/>
        <v>0</v>
      </c>
      <c r="AR273" s="153">
        <f t="shared" si="33"/>
        <v>0</v>
      </c>
      <c r="AS273" s="153">
        <f t="shared" si="34"/>
        <v>0</v>
      </c>
      <c r="AT273" s="153">
        <f t="shared" si="35"/>
        <v>0</v>
      </c>
      <c r="AU273" s="153">
        <f t="shared" si="36"/>
        <v>0</v>
      </c>
      <c r="AW273" s="1543">
        <v>0</v>
      </c>
      <c r="AX273" s="1102"/>
      <c r="AY273" s="1544">
        <v>0</v>
      </c>
      <c r="BA273" s="1103">
        <v>0</v>
      </c>
      <c r="BB273" s="1103">
        <v>0</v>
      </c>
      <c r="BC273" s="1103">
        <v>0</v>
      </c>
      <c r="BD273" s="1103">
        <v>0</v>
      </c>
      <c r="BE273" s="1103">
        <v>0</v>
      </c>
      <c r="BF273" s="1103">
        <v>0</v>
      </c>
      <c r="BG273" s="1103">
        <v>0</v>
      </c>
      <c r="BH273" s="1103">
        <v>0</v>
      </c>
      <c r="BI273" s="1103">
        <v>0</v>
      </c>
      <c r="BJ273" s="1103">
        <v>0</v>
      </c>
    </row>
    <row r="274" spans="3:62" hidden="1" outlineLevel="1">
      <c r="C274" s="1083" t="s">
        <v>609</v>
      </c>
      <c r="D274" s="1062" t="s">
        <v>607</v>
      </c>
      <c r="E274" s="1083" t="s">
        <v>610</v>
      </c>
      <c r="F274" s="1095" t="s">
        <v>414</v>
      </c>
      <c r="G274" s="1096">
        <f t="shared" si="29"/>
        <v>215.12124</v>
      </c>
      <c r="H274" s="1083" t="s">
        <v>29</v>
      </c>
      <c r="I274" s="1097">
        <v>8</v>
      </c>
      <c r="J274" s="1098">
        <f t="shared" si="30"/>
        <v>96</v>
      </c>
      <c r="K274" s="153">
        <f t="shared" si="31"/>
        <v>0.125</v>
      </c>
      <c r="L274" s="1099"/>
      <c r="M274" s="1100">
        <v>0</v>
      </c>
      <c r="N274" s="1101">
        <f>IF($BF274=0,0,IF(SUM($M274:M274)&lt;($J274-12),12,$J274-SUM($M274:M274)))</f>
        <v>0</v>
      </c>
      <c r="O274" s="1101">
        <f>IF($BF274=0,0,IF(SUM($M274:N274)&lt;($J274-12),12,$J274-SUM($M274:N274)))</f>
        <v>0</v>
      </c>
      <c r="P274" s="1101">
        <f>IF($BF274=0,0,IF(SUM($M274:O274)&lt;($J274-12),12,$J274-SUM($M274:O274)))</f>
        <v>0</v>
      </c>
      <c r="Q274" s="1101">
        <f>IF($BF274=0,0,IF(SUM($M274:P274)&lt;($J274-12),12,$J274-SUM($M274:P274)))</f>
        <v>0</v>
      </c>
      <c r="S274" s="1100"/>
      <c r="T274" s="1100">
        <v>6</v>
      </c>
      <c r="U274" s="1101">
        <f>IF($BG274=0,0,IF(SUM($S274:T274)&lt;($J274-12),12,$J274-SUM($S274:T274)))</f>
        <v>12</v>
      </c>
      <c r="V274" s="1101">
        <f>IF($BG274=0,0,IF(SUM($S274:U274)&lt;($J274-12),12,$J274-SUM($S274:U274)))</f>
        <v>12</v>
      </c>
      <c r="W274" s="1101">
        <f>IF($BG274=0,0,IF(SUM($S274:V274)&lt;($J274-12),12,$J274-SUM($S274:V274)))</f>
        <v>12</v>
      </c>
      <c r="Y274" s="1100"/>
      <c r="Z274" s="1100"/>
      <c r="AA274" s="1100">
        <v>0</v>
      </c>
      <c r="AB274" s="1101">
        <f>IF($BH274=0,0,IF(SUM($Y274:AA274)&lt;($J274-12),12,$J274-SUM($Y274:AA274)))</f>
        <v>0</v>
      </c>
      <c r="AC274" s="1101">
        <f>IF($BH274=0,0,IF(SUM($Y274:AB274)&lt;($J274-12),12,$J274-SUM($Y274:AB274)))</f>
        <v>0</v>
      </c>
      <c r="AE274" s="1100"/>
      <c r="AF274" s="1100"/>
      <c r="AG274" s="1100"/>
      <c r="AH274" s="1100">
        <v>0</v>
      </c>
      <c r="AI274" s="1101">
        <f>IF($BI274=0,0,IF(SUM($AE274:AH274)&lt;($J274-12),12,$J274-SUM($AE274:AH274)))</f>
        <v>0</v>
      </c>
      <c r="AK274" s="1100"/>
      <c r="AL274" s="1100"/>
      <c r="AM274" s="1100"/>
      <c r="AN274" s="1100"/>
      <c r="AO274" s="1100">
        <v>0</v>
      </c>
      <c r="AQ274" s="153">
        <f t="shared" si="32"/>
        <v>0</v>
      </c>
      <c r="AR274" s="153">
        <f t="shared" si="33"/>
        <v>0.5</v>
      </c>
      <c r="AS274" s="153">
        <f t="shared" si="34"/>
        <v>0</v>
      </c>
      <c r="AT274" s="153">
        <f t="shared" si="35"/>
        <v>0</v>
      </c>
      <c r="AU274" s="153">
        <f t="shared" si="36"/>
        <v>0</v>
      </c>
      <c r="AW274" s="1543">
        <v>0.75</v>
      </c>
      <c r="AX274" s="1102"/>
      <c r="AY274" s="1544">
        <v>0.25</v>
      </c>
      <c r="BA274" s="1103">
        <v>0</v>
      </c>
      <c r="BB274" s="1103">
        <v>0</v>
      </c>
      <c r="BC274" s="1103">
        <v>0</v>
      </c>
      <c r="BD274" s="1103">
        <v>0</v>
      </c>
      <c r="BE274" s="1103">
        <v>0</v>
      </c>
      <c r="BF274" s="1103">
        <v>0</v>
      </c>
      <c r="BG274" s="1103">
        <v>215.12124</v>
      </c>
      <c r="BH274" s="1103">
        <v>0</v>
      </c>
      <c r="BI274" s="1103">
        <v>0</v>
      </c>
      <c r="BJ274" s="1103">
        <v>0</v>
      </c>
    </row>
    <row r="275" spans="3:62" hidden="1" outlineLevel="1">
      <c r="C275" s="1083" t="s">
        <v>611</v>
      </c>
      <c r="D275" s="1062" t="s">
        <v>607</v>
      </c>
      <c r="E275" s="1083" t="s">
        <v>610</v>
      </c>
      <c r="F275" s="1095" t="s">
        <v>414</v>
      </c>
      <c r="G275" s="1096">
        <f t="shared" si="29"/>
        <v>200</v>
      </c>
      <c r="H275" s="1083" t="s">
        <v>29</v>
      </c>
      <c r="I275" s="1097">
        <v>8</v>
      </c>
      <c r="J275" s="1098">
        <f t="shared" si="30"/>
        <v>96</v>
      </c>
      <c r="K275" s="153">
        <f t="shared" si="31"/>
        <v>0.125</v>
      </c>
      <c r="L275" s="1099"/>
      <c r="M275" s="1100">
        <v>0</v>
      </c>
      <c r="N275" s="1101">
        <f>IF($BF275=0,0,IF(SUM($M275:M275)&lt;($J275-12),12,$J275-SUM($M275:M275)))</f>
        <v>0</v>
      </c>
      <c r="O275" s="1101">
        <f>IF($BF275=0,0,IF(SUM($M275:N275)&lt;($J275-12),12,$J275-SUM($M275:N275)))</f>
        <v>0</v>
      </c>
      <c r="P275" s="1101">
        <f>IF($BF275=0,0,IF(SUM($M275:O275)&lt;($J275-12),12,$J275-SUM($M275:O275)))</f>
        <v>0</v>
      </c>
      <c r="Q275" s="1101">
        <f>IF($BF275=0,0,IF(SUM($M275:P275)&lt;($J275-12),12,$J275-SUM($M275:P275)))</f>
        <v>0</v>
      </c>
      <c r="S275" s="1100"/>
      <c r="T275" s="1100">
        <v>6</v>
      </c>
      <c r="U275" s="1101">
        <f>IF($BG275=0,0,IF(SUM($S275:T275)&lt;($J275-12),12,$J275-SUM($S275:T275)))</f>
        <v>12</v>
      </c>
      <c r="V275" s="1101">
        <f>IF($BG275=0,0,IF(SUM($S275:U275)&lt;($J275-12),12,$J275-SUM($S275:U275)))</f>
        <v>12</v>
      </c>
      <c r="W275" s="1101">
        <f>IF($BG275=0,0,IF(SUM($S275:V275)&lt;($J275-12),12,$J275-SUM($S275:V275)))</f>
        <v>12</v>
      </c>
      <c r="Y275" s="1100"/>
      <c r="Z275" s="1100"/>
      <c r="AA275" s="1100">
        <v>0</v>
      </c>
      <c r="AB275" s="1101">
        <f>IF($BH275=0,0,IF(SUM($Y275:AA275)&lt;($J275-12),12,$J275-SUM($Y275:AA275)))</f>
        <v>0</v>
      </c>
      <c r="AC275" s="1101">
        <f>IF($BH275=0,0,IF(SUM($Y275:AB275)&lt;($J275-12),12,$J275-SUM($Y275:AB275)))</f>
        <v>0</v>
      </c>
      <c r="AE275" s="1100"/>
      <c r="AF275" s="1100"/>
      <c r="AG275" s="1100"/>
      <c r="AH275" s="1100">
        <v>0</v>
      </c>
      <c r="AI275" s="1101">
        <f>IF($BI275=0,0,IF(SUM($AE275:AH275)&lt;($J275-12),12,$J275-SUM($AE275:AH275)))</f>
        <v>0</v>
      </c>
      <c r="AK275" s="1100"/>
      <c r="AL275" s="1100"/>
      <c r="AM275" s="1100"/>
      <c r="AN275" s="1100"/>
      <c r="AO275" s="1100">
        <v>0</v>
      </c>
      <c r="AQ275" s="153">
        <f t="shared" si="32"/>
        <v>0</v>
      </c>
      <c r="AR275" s="153">
        <f t="shared" si="33"/>
        <v>0.5</v>
      </c>
      <c r="AS275" s="153">
        <f t="shared" si="34"/>
        <v>0</v>
      </c>
      <c r="AT275" s="153">
        <f t="shared" si="35"/>
        <v>0</v>
      </c>
      <c r="AU275" s="153">
        <f t="shared" si="36"/>
        <v>0</v>
      </c>
      <c r="AW275" s="1543">
        <v>0.75</v>
      </c>
      <c r="AX275" s="1102"/>
      <c r="AY275" s="1544">
        <v>0.25</v>
      </c>
      <c r="BA275" s="1103">
        <v>0</v>
      </c>
      <c r="BB275" s="1103">
        <v>0</v>
      </c>
      <c r="BC275" s="1103">
        <v>0</v>
      </c>
      <c r="BD275" s="1103">
        <v>0</v>
      </c>
      <c r="BE275" s="1103">
        <v>0</v>
      </c>
      <c r="BF275" s="1103">
        <v>0</v>
      </c>
      <c r="BG275" s="1103">
        <v>200</v>
      </c>
      <c r="BH275" s="1103">
        <v>0</v>
      </c>
      <c r="BI275" s="1103">
        <v>0</v>
      </c>
      <c r="BJ275" s="1103">
        <v>0</v>
      </c>
    </row>
    <row r="276" spans="3:62" hidden="1" outlineLevel="1">
      <c r="C276" s="1083" t="s">
        <v>612</v>
      </c>
      <c r="D276" s="1062" t="s">
        <v>612</v>
      </c>
      <c r="E276" s="1083" t="s">
        <v>613</v>
      </c>
      <c r="F276" s="1095" t="s">
        <v>414</v>
      </c>
      <c r="G276" s="1096">
        <f t="shared" si="29"/>
        <v>411.01049999999998</v>
      </c>
      <c r="H276" s="1083" t="s">
        <v>29</v>
      </c>
      <c r="I276" s="1097">
        <v>8</v>
      </c>
      <c r="J276" s="1098">
        <f t="shared" si="30"/>
        <v>96</v>
      </c>
      <c r="K276" s="153">
        <f t="shared" si="31"/>
        <v>0.125</v>
      </c>
      <c r="L276" s="1099"/>
      <c r="M276" s="1100">
        <v>0</v>
      </c>
      <c r="N276" s="1101">
        <f>IF($BF276=0,0,IF(SUM($M276:M276)&lt;($J276-12),12,$J276-SUM($M276:M276)))</f>
        <v>0</v>
      </c>
      <c r="O276" s="1101">
        <f>IF($BF276=0,0,IF(SUM($M276:N276)&lt;($J276-12),12,$J276-SUM($M276:N276)))</f>
        <v>0</v>
      </c>
      <c r="P276" s="1101">
        <f>IF($BF276=0,0,IF(SUM($M276:O276)&lt;($J276-12),12,$J276-SUM($M276:O276)))</f>
        <v>0</v>
      </c>
      <c r="Q276" s="1101">
        <f>IF($BF276=0,0,IF(SUM($M276:P276)&lt;($J276-12),12,$J276-SUM($M276:P276)))</f>
        <v>0</v>
      </c>
      <c r="S276" s="1100"/>
      <c r="T276" s="1100">
        <v>0</v>
      </c>
      <c r="U276" s="1101">
        <f>IF($BG276=0,0,IF(SUM($S276:T276)&lt;($J276-12),12,$J276-SUM($S276:T276)))</f>
        <v>0</v>
      </c>
      <c r="V276" s="1101">
        <f>IF($BG276=0,0,IF(SUM($S276:U276)&lt;($J276-12),12,$J276-SUM($S276:U276)))</f>
        <v>0</v>
      </c>
      <c r="W276" s="1101">
        <f>IF($BG276=0,0,IF(SUM($S276:V276)&lt;($J276-12),12,$J276-SUM($S276:V276)))</f>
        <v>0</v>
      </c>
      <c r="Y276" s="1100"/>
      <c r="Z276" s="1100"/>
      <c r="AA276" s="1100">
        <v>0</v>
      </c>
      <c r="AB276" s="1101">
        <f>IF($BH276=0,0,IF(SUM($Y276:AA276)&lt;($J276-12),12,$J276-SUM($Y276:AA276)))</f>
        <v>0</v>
      </c>
      <c r="AC276" s="1101">
        <f>IF($BH276=0,0,IF(SUM($Y276:AB276)&lt;($J276-12),12,$J276-SUM($Y276:AB276)))</f>
        <v>0</v>
      </c>
      <c r="AE276" s="1100"/>
      <c r="AF276" s="1100"/>
      <c r="AG276" s="1100"/>
      <c r="AH276" s="1100">
        <v>3</v>
      </c>
      <c r="AI276" s="1101">
        <f>IF($BI276=0,0,IF(SUM($AE276:AH276)&lt;($J276-12),12,$J276-SUM($AE276:AH276)))</f>
        <v>12</v>
      </c>
      <c r="AK276" s="1100"/>
      <c r="AL276" s="1100"/>
      <c r="AM276" s="1100"/>
      <c r="AN276" s="1100"/>
      <c r="AO276" s="1100">
        <v>0</v>
      </c>
      <c r="AQ276" s="153">
        <f t="shared" si="32"/>
        <v>0</v>
      </c>
      <c r="AR276" s="153">
        <f t="shared" si="33"/>
        <v>0</v>
      </c>
      <c r="AS276" s="153">
        <f t="shared" si="34"/>
        <v>0</v>
      </c>
      <c r="AT276" s="153">
        <f t="shared" si="35"/>
        <v>0.25</v>
      </c>
      <c r="AU276" s="153">
        <f t="shared" si="36"/>
        <v>0</v>
      </c>
      <c r="AW276" s="1543">
        <v>0.75</v>
      </c>
      <c r="AX276" s="1102"/>
      <c r="AY276" s="1544">
        <v>0.25</v>
      </c>
      <c r="BA276" s="1103">
        <v>0</v>
      </c>
      <c r="BB276" s="1103">
        <v>0</v>
      </c>
      <c r="BC276" s="1103">
        <v>0</v>
      </c>
      <c r="BD276" s="1103">
        <v>0</v>
      </c>
      <c r="BE276" s="1103">
        <v>0</v>
      </c>
      <c r="BF276" s="1103">
        <v>0</v>
      </c>
      <c r="BG276" s="1103">
        <v>0</v>
      </c>
      <c r="BH276" s="1103">
        <v>0</v>
      </c>
      <c r="BI276" s="1103">
        <v>411.01049999999998</v>
      </c>
      <c r="BJ276" s="1103">
        <v>0</v>
      </c>
    </row>
    <row r="277" spans="3:62" hidden="1" outlineLevel="1">
      <c r="C277" s="1083" t="s">
        <v>614</v>
      </c>
      <c r="D277" s="1062" t="s">
        <v>614</v>
      </c>
      <c r="E277" s="1083" t="s">
        <v>615</v>
      </c>
      <c r="F277" s="1095" t="s">
        <v>414</v>
      </c>
      <c r="G277" s="1096">
        <f t="shared" si="29"/>
        <v>406.67764999999997</v>
      </c>
      <c r="H277" s="1083" t="s">
        <v>29</v>
      </c>
      <c r="I277" s="1097">
        <v>8</v>
      </c>
      <c r="J277" s="1098">
        <f t="shared" si="30"/>
        <v>96</v>
      </c>
      <c r="K277" s="153">
        <f t="shared" si="31"/>
        <v>0.125</v>
      </c>
      <c r="L277" s="1099"/>
      <c r="M277" s="1100">
        <v>0</v>
      </c>
      <c r="N277" s="1101">
        <f>IF($BF277=0,0,IF(SUM($M277:M277)&lt;($J277-12),12,$J277-SUM($M277:M277)))</f>
        <v>0</v>
      </c>
      <c r="O277" s="1101">
        <f>IF($BF277=0,0,IF(SUM($M277:N277)&lt;($J277-12),12,$J277-SUM($M277:N277)))</f>
        <v>0</v>
      </c>
      <c r="P277" s="1101">
        <f>IF($BF277=0,0,IF(SUM($M277:O277)&lt;($J277-12),12,$J277-SUM($M277:O277)))</f>
        <v>0</v>
      </c>
      <c r="Q277" s="1101">
        <f>IF($BF277=0,0,IF(SUM($M277:P277)&lt;($J277-12),12,$J277-SUM($M277:P277)))</f>
        <v>0</v>
      </c>
      <c r="S277" s="1100"/>
      <c r="T277" s="1100">
        <v>3</v>
      </c>
      <c r="U277" s="1101">
        <f>IF($BG277=0,0,IF(SUM($S277:T277)&lt;($J277-12),12,$J277-SUM($S277:T277)))</f>
        <v>12</v>
      </c>
      <c r="V277" s="1101">
        <f>IF($BG277=0,0,IF(SUM($S277:U277)&lt;($J277-12),12,$J277-SUM($S277:U277)))</f>
        <v>12</v>
      </c>
      <c r="W277" s="1101">
        <f>IF($BG277=0,0,IF(SUM($S277:V277)&lt;($J277-12),12,$J277-SUM($S277:V277)))</f>
        <v>12</v>
      </c>
      <c r="Y277" s="1100"/>
      <c r="Z277" s="1100"/>
      <c r="AA277" s="1100">
        <v>0</v>
      </c>
      <c r="AB277" s="1101">
        <f>IF($BH277=0,0,IF(SUM($Y277:AA277)&lt;($J277-12),12,$J277-SUM($Y277:AA277)))</f>
        <v>0</v>
      </c>
      <c r="AC277" s="1101">
        <f>IF($BH277=0,0,IF(SUM($Y277:AB277)&lt;($J277-12),12,$J277-SUM($Y277:AB277)))</f>
        <v>0</v>
      </c>
      <c r="AE277" s="1100"/>
      <c r="AF277" s="1100"/>
      <c r="AG277" s="1100"/>
      <c r="AH277" s="1100">
        <v>12.000000000000005</v>
      </c>
      <c r="AI277" s="1101">
        <f>IF($BI277=0,0,IF(SUM($AE277:AH277)&lt;($J277-12),12,$J277-SUM($AE277:AH277)))</f>
        <v>12</v>
      </c>
      <c r="AK277" s="1100"/>
      <c r="AL277" s="1100"/>
      <c r="AM277" s="1100"/>
      <c r="AN277" s="1100"/>
      <c r="AO277" s="1100">
        <v>0</v>
      </c>
      <c r="AQ277" s="153">
        <f t="shared" si="32"/>
        <v>0</v>
      </c>
      <c r="AR277" s="153">
        <f t="shared" si="33"/>
        <v>0.25</v>
      </c>
      <c r="AS277" s="153">
        <f t="shared" si="34"/>
        <v>0</v>
      </c>
      <c r="AT277" s="153">
        <f t="shared" si="35"/>
        <v>1.0000000000000004</v>
      </c>
      <c r="AU277" s="153">
        <f t="shared" si="36"/>
        <v>0</v>
      </c>
      <c r="AW277" s="1543">
        <v>0</v>
      </c>
      <c r="AX277" s="1102"/>
      <c r="AY277" s="1544">
        <v>1</v>
      </c>
      <c r="BA277" s="1103">
        <v>0</v>
      </c>
      <c r="BB277" s="1103">
        <v>0</v>
      </c>
      <c r="BC277" s="1103">
        <v>0</v>
      </c>
      <c r="BD277" s="1103">
        <v>0</v>
      </c>
      <c r="BE277" s="1103">
        <v>0</v>
      </c>
      <c r="BF277" s="1103">
        <v>0</v>
      </c>
      <c r="BG277" s="1103">
        <v>256.67764999999997</v>
      </c>
      <c r="BH277" s="1103">
        <v>0</v>
      </c>
      <c r="BI277" s="1103">
        <v>150</v>
      </c>
      <c r="BJ277" s="1103">
        <v>0</v>
      </c>
    </row>
    <row r="278" spans="3:62" hidden="1" outlineLevel="1">
      <c r="C278" s="1083" t="s">
        <v>616</v>
      </c>
      <c r="D278" s="1062" t="s">
        <v>616</v>
      </c>
      <c r="E278" s="1083" t="s">
        <v>617</v>
      </c>
      <c r="F278" s="1095" t="s">
        <v>414</v>
      </c>
      <c r="G278" s="1096">
        <f t="shared" si="29"/>
        <v>0</v>
      </c>
      <c r="H278" s="1083" t="s">
        <v>29</v>
      </c>
      <c r="I278" s="1097">
        <v>0</v>
      </c>
      <c r="J278" s="1098">
        <f t="shared" si="30"/>
        <v>0</v>
      </c>
      <c r="K278" s="153">
        <f t="shared" si="31"/>
        <v>0</v>
      </c>
      <c r="L278" s="1099"/>
      <c r="M278" s="1100">
        <v>0</v>
      </c>
      <c r="N278" s="1101">
        <f>IF($BF278=0,0,IF(SUM($M278:M278)&lt;($J278-12),12,$J278-SUM($M278:M278)))</f>
        <v>0</v>
      </c>
      <c r="O278" s="1101">
        <f>IF($BF278=0,0,IF(SUM($M278:N278)&lt;($J278-12),12,$J278-SUM($M278:N278)))</f>
        <v>0</v>
      </c>
      <c r="P278" s="1101">
        <f>IF($BF278=0,0,IF(SUM($M278:O278)&lt;($J278-12),12,$J278-SUM($M278:O278)))</f>
        <v>0</v>
      </c>
      <c r="Q278" s="1101">
        <f>IF($BF278=0,0,IF(SUM($M278:P278)&lt;($J278-12),12,$J278-SUM($M278:P278)))</f>
        <v>0</v>
      </c>
      <c r="S278" s="1100"/>
      <c r="T278" s="1100">
        <v>0</v>
      </c>
      <c r="U278" s="1101">
        <f>IF($BG278=0,0,IF(SUM($S278:T278)&lt;($J278-12),12,$J278-SUM($S278:T278)))</f>
        <v>0</v>
      </c>
      <c r="V278" s="1101">
        <f>IF($BG278=0,0,IF(SUM($S278:U278)&lt;($J278-12),12,$J278-SUM($S278:U278)))</f>
        <v>0</v>
      </c>
      <c r="W278" s="1101">
        <f>IF($BG278=0,0,IF(SUM($S278:V278)&lt;($J278-12),12,$J278-SUM($S278:V278)))</f>
        <v>0</v>
      </c>
      <c r="Y278" s="1100"/>
      <c r="Z278" s="1100"/>
      <c r="AA278" s="1100">
        <v>0</v>
      </c>
      <c r="AB278" s="1101">
        <f>IF($BH278=0,0,IF(SUM($Y278:AA278)&lt;($J278-12),12,$J278-SUM($Y278:AA278)))</f>
        <v>0</v>
      </c>
      <c r="AC278" s="1101">
        <f>IF($BH278=0,0,IF(SUM($Y278:AB278)&lt;($J278-12),12,$J278-SUM($Y278:AB278)))</f>
        <v>0</v>
      </c>
      <c r="AE278" s="1100"/>
      <c r="AF278" s="1100"/>
      <c r="AG278" s="1100"/>
      <c r="AH278" s="1100">
        <v>0</v>
      </c>
      <c r="AI278" s="1101">
        <f>IF($BI278=0,0,IF(SUM($AE278:AH278)&lt;($J278-12),12,$J278-SUM($AE278:AH278)))</f>
        <v>0</v>
      </c>
      <c r="AK278" s="1100"/>
      <c r="AL278" s="1100"/>
      <c r="AM278" s="1100"/>
      <c r="AN278" s="1100"/>
      <c r="AO278" s="1100">
        <v>0</v>
      </c>
      <c r="AQ278" s="153">
        <f t="shared" si="32"/>
        <v>0</v>
      </c>
      <c r="AR278" s="153">
        <f t="shared" si="33"/>
        <v>0</v>
      </c>
      <c r="AS278" s="153">
        <f t="shared" si="34"/>
        <v>0</v>
      </c>
      <c r="AT278" s="153">
        <f t="shared" si="35"/>
        <v>0</v>
      </c>
      <c r="AU278" s="153">
        <f t="shared" si="36"/>
        <v>0</v>
      </c>
      <c r="AW278" s="1543">
        <v>0</v>
      </c>
      <c r="AX278" s="1102"/>
      <c r="AY278" s="1544">
        <v>0</v>
      </c>
      <c r="BA278" s="1103">
        <v>0</v>
      </c>
      <c r="BB278" s="1103">
        <v>0</v>
      </c>
      <c r="BC278" s="1103">
        <v>0</v>
      </c>
      <c r="BD278" s="1103">
        <v>0</v>
      </c>
      <c r="BE278" s="1103">
        <v>0</v>
      </c>
      <c r="BF278" s="1103">
        <v>0</v>
      </c>
      <c r="BG278" s="1103">
        <v>0</v>
      </c>
      <c r="BH278" s="1103">
        <v>0</v>
      </c>
      <c r="BI278" s="1103">
        <v>0</v>
      </c>
      <c r="BJ278" s="1103">
        <v>0</v>
      </c>
    </row>
    <row r="279" spans="3:62" hidden="1" outlineLevel="1">
      <c r="C279" s="1083" t="s">
        <v>618</v>
      </c>
      <c r="D279" s="1062" t="s">
        <v>616</v>
      </c>
      <c r="E279" s="1083" t="s">
        <v>619</v>
      </c>
      <c r="F279" s="1095" t="s">
        <v>414</v>
      </c>
      <c r="G279" s="1096">
        <f t="shared" si="29"/>
        <v>227.5</v>
      </c>
      <c r="H279" s="1083" t="s">
        <v>29</v>
      </c>
      <c r="I279" s="1097">
        <v>3</v>
      </c>
      <c r="J279" s="1098">
        <f t="shared" si="30"/>
        <v>36</v>
      </c>
      <c r="K279" s="153">
        <f t="shared" si="31"/>
        <v>0.33333333333333331</v>
      </c>
      <c r="L279" s="1099"/>
      <c r="M279" s="1100">
        <v>0</v>
      </c>
      <c r="N279" s="1101">
        <f>IF($BF279=0,0,IF(SUM($M279:M279)&lt;($J279-12),12,$J279-SUM($M279:M279)))</f>
        <v>0</v>
      </c>
      <c r="O279" s="1101">
        <f>IF($BF279=0,0,IF(SUM($M279:N279)&lt;($J279-12),12,$J279-SUM($M279:N279)))</f>
        <v>0</v>
      </c>
      <c r="P279" s="1101">
        <f>IF($BF279=0,0,IF(SUM($M279:O279)&lt;($J279-12),12,$J279-SUM($M279:O279)))</f>
        <v>0</v>
      </c>
      <c r="Q279" s="1101">
        <f>IF($BF279=0,0,IF(SUM($M279:P279)&lt;($J279-12),12,$J279-SUM($M279:P279)))</f>
        <v>0</v>
      </c>
      <c r="S279" s="1100"/>
      <c r="T279" s="1100">
        <v>0</v>
      </c>
      <c r="U279" s="1101">
        <f>IF($BG279=0,0,IF(SUM($S279:T279)&lt;($J279-12),12,$J279-SUM($S279:T279)))</f>
        <v>0</v>
      </c>
      <c r="V279" s="1101">
        <f>IF($BG279=0,0,IF(SUM($S279:U279)&lt;($J279-12),12,$J279-SUM($S279:U279)))</f>
        <v>0</v>
      </c>
      <c r="W279" s="1101">
        <f>IF($BG279=0,0,IF(SUM($S279:V279)&lt;($J279-12),12,$J279-SUM($S279:V279)))</f>
        <v>0</v>
      </c>
      <c r="Y279" s="1100"/>
      <c r="Z279" s="1100"/>
      <c r="AA279" s="1100">
        <v>6</v>
      </c>
      <c r="AB279" s="1101">
        <f>IF($BH279=0,0,IF(SUM($Y279:AA279)&lt;($J279-12),12,$J279-SUM($Y279:AA279)))</f>
        <v>12</v>
      </c>
      <c r="AC279" s="1101">
        <f>IF($BH279=0,0,IF(SUM($Y279:AB279)&lt;($J279-12),12,$J279-SUM($Y279:AB279)))</f>
        <v>12</v>
      </c>
      <c r="AE279" s="1100"/>
      <c r="AF279" s="1100"/>
      <c r="AG279" s="1100"/>
      <c r="AH279" s="1100">
        <v>0</v>
      </c>
      <c r="AI279" s="1101">
        <f>IF($BI279=0,0,IF(SUM($AE279:AH279)&lt;($J279-12),12,$J279-SUM($AE279:AH279)))</f>
        <v>0</v>
      </c>
      <c r="AK279" s="1100"/>
      <c r="AL279" s="1100"/>
      <c r="AM279" s="1100"/>
      <c r="AN279" s="1100"/>
      <c r="AO279" s="1100">
        <v>0</v>
      </c>
      <c r="AQ279" s="153">
        <f t="shared" si="32"/>
        <v>0</v>
      </c>
      <c r="AR279" s="153">
        <f t="shared" si="33"/>
        <v>0</v>
      </c>
      <c r="AS279" s="153">
        <f t="shared" si="34"/>
        <v>0.5</v>
      </c>
      <c r="AT279" s="153">
        <f t="shared" si="35"/>
        <v>0</v>
      </c>
      <c r="AU279" s="153">
        <f t="shared" si="36"/>
        <v>0</v>
      </c>
      <c r="AW279" s="1543">
        <v>0.73</v>
      </c>
      <c r="AX279" s="1102"/>
      <c r="AY279" s="1544">
        <v>0.15</v>
      </c>
      <c r="BA279" s="1103">
        <v>0</v>
      </c>
      <c r="BB279" s="1103">
        <v>0</v>
      </c>
      <c r="BC279" s="1103">
        <v>0</v>
      </c>
      <c r="BD279" s="1103">
        <v>0</v>
      </c>
      <c r="BE279" s="1103">
        <v>0</v>
      </c>
      <c r="BF279" s="1103">
        <v>0</v>
      </c>
      <c r="BG279" s="1103">
        <v>0</v>
      </c>
      <c r="BH279" s="1103">
        <v>227.5</v>
      </c>
      <c r="BI279" s="1103">
        <v>0</v>
      </c>
      <c r="BJ279" s="1103">
        <v>0</v>
      </c>
    </row>
    <row r="280" spans="3:62" hidden="1" outlineLevel="1">
      <c r="C280" s="1083" t="s">
        <v>620</v>
      </c>
      <c r="D280" s="1062" t="s">
        <v>616</v>
      </c>
      <c r="E280" s="1083" t="s">
        <v>619</v>
      </c>
      <c r="F280" s="1095" t="s">
        <v>414</v>
      </c>
      <c r="G280" s="1096">
        <f t="shared" si="29"/>
        <v>122.5</v>
      </c>
      <c r="H280" s="1083" t="s">
        <v>29</v>
      </c>
      <c r="I280" s="1097">
        <v>3</v>
      </c>
      <c r="J280" s="1098">
        <f t="shared" si="30"/>
        <v>36</v>
      </c>
      <c r="K280" s="153">
        <f t="shared" si="31"/>
        <v>0.33333333333333331</v>
      </c>
      <c r="L280" s="1099"/>
      <c r="M280" s="1100">
        <v>0</v>
      </c>
      <c r="N280" s="1101">
        <f>IF($BF280=0,0,IF(SUM($M280:M280)&lt;($J280-12),12,$J280-SUM($M280:M280)))</f>
        <v>0</v>
      </c>
      <c r="O280" s="1101">
        <f>IF($BF280=0,0,IF(SUM($M280:N280)&lt;($J280-12),12,$J280-SUM($M280:N280)))</f>
        <v>0</v>
      </c>
      <c r="P280" s="1101">
        <f>IF($BF280=0,0,IF(SUM($M280:O280)&lt;($J280-12),12,$J280-SUM($M280:O280)))</f>
        <v>0</v>
      </c>
      <c r="Q280" s="1101">
        <f>IF($BF280=0,0,IF(SUM($M280:P280)&lt;($J280-12),12,$J280-SUM($M280:P280)))</f>
        <v>0</v>
      </c>
      <c r="S280" s="1100"/>
      <c r="T280" s="1100">
        <v>0</v>
      </c>
      <c r="U280" s="1101">
        <f>IF($BG280=0,0,IF(SUM($S280:T280)&lt;($J280-12),12,$J280-SUM($S280:T280)))</f>
        <v>0</v>
      </c>
      <c r="V280" s="1101">
        <f>IF($BG280=0,0,IF(SUM($S280:U280)&lt;($J280-12),12,$J280-SUM($S280:U280)))</f>
        <v>0</v>
      </c>
      <c r="W280" s="1101">
        <f>IF($BG280=0,0,IF(SUM($S280:V280)&lt;($J280-12),12,$J280-SUM($S280:V280)))</f>
        <v>0</v>
      </c>
      <c r="Y280" s="1100"/>
      <c r="Z280" s="1100"/>
      <c r="AA280" s="1100">
        <v>6</v>
      </c>
      <c r="AB280" s="1101">
        <f>IF($BH280=0,0,IF(SUM($Y280:AA280)&lt;($J280-12),12,$J280-SUM($Y280:AA280)))</f>
        <v>12</v>
      </c>
      <c r="AC280" s="1101">
        <f>IF($BH280=0,0,IF(SUM($Y280:AB280)&lt;($J280-12),12,$J280-SUM($Y280:AB280)))</f>
        <v>12</v>
      </c>
      <c r="AE280" s="1100"/>
      <c r="AF280" s="1100"/>
      <c r="AG280" s="1100"/>
      <c r="AH280" s="1100">
        <v>0</v>
      </c>
      <c r="AI280" s="1101">
        <f>IF($BI280=0,0,IF(SUM($AE280:AH280)&lt;($J280-12),12,$J280-SUM($AE280:AH280)))</f>
        <v>0</v>
      </c>
      <c r="AK280" s="1100"/>
      <c r="AL280" s="1100"/>
      <c r="AM280" s="1100"/>
      <c r="AN280" s="1100"/>
      <c r="AO280" s="1100">
        <v>0</v>
      </c>
      <c r="AQ280" s="153">
        <f t="shared" si="32"/>
        <v>0</v>
      </c>
      <c r="AR280" s="153">
        <f t="shared" si="33"/>
        <v>0</v>
      </c>
      <c r="AS280" s="153">
        <f t="shared" si="34"/>
        <v>0.5</v>
      </c>
      <c r="AT280" s="153">
        <f t="shared" si="35"/>
        <v>0</v>
      </c>
      <c r="AU280" s="153">
        <f t="shared" si="36"/>
        <v>0</v>
      </c>
      <c r="AW280" s="1543">
        <v>0.75</v>
      </c>
      <c r="AX280" s="1102"/>
      <c r="AY280" s="1544">
        <v>0.25</v>
      </c>
      <c r="BA280" s="1103">
        <v>0</v>
      </c>
      <c r="BB280" s="1103">
        <v>0</v>
      </c>
      <c r="BC280" s="1103">
        <v>0</v>
      </c>
      <c r="BD280" s="1103">
        <v>0</v>
      </c>
      <c r="BE280" s="1103">
        <v>0</v>
      </c>
      <c r="BF280" s="1103">
        <v>0</v>
      </c>
      <c r="BG280" s="1103">
        <v>0</v>
      </c>
      <c r="BH280" s="1103">
        <v>122.5</v>
      </c>
      <c r="BI280" s="1103">
        <v>0</v>
      </c>
      <c r="BJ280" s="1103">
        <v>0</v>
      </c>
    </row>
    <row r="281" spans="3:62" hidden="1" outlineLevel="1">
      <c r="C281" s="1083" t="s">
        <v>621</v>
      </c>
      <c r="D281" s="1062" t="s">
        <v>621</v>
      </c>
      <c r="E281" s="1083" t="s">
        <v>622</v>
      </c>
      <c r="F281" s="1095" t="s">
        <v>414</v>
      </c>
      <c r="G281" s="1096">
        <f t="shared" si="29"/>
        <v>0</v>
      </c>
      <c r="H281" s="1083" t="s">
        <v>29</v>
      </c>
      <c r="I281" s="1097">
        <v>0</v>
      </c>
      <c r="J281" s="1098">
        <f t="shared" si="30"/>
        <v>0</v>
      </c>
      <c r="K281" s="153">
        <f t="shared" si="31"/>
        <v>0</v>
      </c>
      <c r="L281" s="1099"/>
      <c r="M281" s="1100">
        <v>0</v>
      </c>
      <c r="N281" s="1101">
        <f>IF($BF281=0,0,IF(SUM($M281:M281)&lt;($J281-12),12,$J281-SUM($M281:M281)))</f>
        <v>0</v>
      </c>
      <c r="O281" s="1101">
        <f>IF($BF281=0,0,IF(SUM($M281:N281)&lt;($J281-12),12,$J281-SUM($M281:N281)))</f>
        <v>0</v>
      </c>
      <c r="P281" s="1101">
        <f>IF($BF281=0,0,IF(SUM($M281:O281)&lt;($J281-12),12,$J281-SUM($M281:O281)))</f>
        <v>0</v>
      </c>
      <c r="Q281" s="1101">
        <f>IF($BF281=0,0,IF(SUM($M281:P281)&lt;($J281-12),12,$J281-SUM($M281:P281)))</f>
        <v>0</v>
      </c>
      <c r="S281" s="1100"/>
      <c r="T281" s="1100">
        <v>0</v>
      </c>
      <c r="U281" s="1101">
        <f>IF($BG281=0,0,IF(SUM($S281:T281)&lt;($J281-12),12,$J281-SUM($S281:T281)))</f>
        <v>0</v>
      </c>
      <c r="V281" s="1101">
        <f>IF($BG281=0,0,IF(SUM($S281:U281)&lt;($J281-12),12,$J281-SUM($S281:U281)))</f>
        <v>0</v>
      </c>
      <c r="W281" s="1101">
        <f>IF($BG281=0,0,IF(SUM($S281:V281)&lt;($J281-12),12,$J281-SUM($S281:V281)))</f>
        <v>0</v>
      </c>
      <c r="Y281" s="1100"/>
      <c r="Z281" s="1100"/>
      <c r="AA281" s="1100">
        <v>0</v>
      </c>
      <c r="AB281" s="1101">
        <f>IF($BH281=0,0,IF(SUM($Y281:AA281)&lt;($J281-12),12,$J281-SUM($Y281:AA281)))</f>
        <v>0</v>
      </c>
      <c r="AC281" s="1101">
        <f>IF($BH281=0,0,IF(SUM($Y281:AB281)&lt;($J281-12),12,$J281-SUM($Y281:AB281)))</f>
        <v>0</v>
      </c>
      <c r="AE281" s="1100"/>
      <c r="AF281" s="1100"/>
      <c r="AG281" s="1100"/>
      <c r="AH281" s="1100">
        <v>0</v>
      </c>
      <c r="AI281" s="1101">
        <f>IF($BI281=0,0,IF(SUM($AE281:AH281)&lt;($J281-12),12,$J281-SUM($AE281:AH281)))</f>
        <v>0</v>
      </c>
      <c r="AK281" s="1100"/>
      <c r="AL281" s="1100"/>
      <c r="AM281" s="1100"/>
      <c r="AN281" s="1100"/>
      <c r="AO281" s="1100">
        <v>0</v>
      </c>
      <c r="AQ281" s="153">
        <f t="shared" si="32"/>
        <v>0</v>
      </c>
      <c r="AR281" s="153">
        <f t="shared" si="33"/>
        <v>0</v>
      </c>
      <c r="AS281" s="153">
        <f t="shared" si="34"/>
        <v>0</v>
      </c>
      <c r="AT281" s="153">
        <f t="shared" si="35"/>
        <v>0</v>
      </c>
      <c r="AU281" s="153">
        <f t="shared" si="36"/>
        <v>0</v>
      </c>
      <c r="AW281" s="1543">
        <v>0</v>
      </c>
      <c r="AX281" s="1102"/>
      <c r="AY281" s="1544">
        <v>0</v>
      </c>
      <c r="BA281" s="1103">
        <v>0</v>
      </c>
      <c r="BB281" s="1103">
        <v>0</v>
      </c>
      <c r="BC281" s="1103">
        <v>0</v>
      </c>
      <c r="BD281" s="1103">
        <v>0</v>
      </c>
      <c r="BE281" s="1103">
        <v>0</v>
      </c>
      <c r="BF281" s="1103">
        <v>0</v>
      </c>
      <c r="BG281" s="1103">
        <v>0</v>
      </c>
      <c r="BH281" s="1103">
        <v>0</v>
      </c>
      <c r="BI281" s="1103">
        <v>0</v>
      </c>
      <c r="BJ281" s="1103">
        <v>0</v>
      </c>
    </row>
    <row r="282" spans="3:62" hidden="1" outlineLevel="1">
      <c r="C282" s="1083" t="s">
        <v>623</v>
      </c>
      <c r="D282" s="1062" t="s">
        <v>621</v>
      </c>
      <c r="E282" s="1083" t="s">
        <v>624</v>
      </c>
      <c r="F282" s="1095" t="s">
        <v>414</v>
      </c>
      <c r="G282" s="1096">
        <f t="shared" si="29"/>
        <v>7.291058924999998</v>
      </c>
      <c r="H282" s="1083" t="s">
        <v>29</v>
      </c>
      <c r="I282" s="1097">
        <v>3</v>
      </c>
      <c r="J282" s="1098">
        <f t="shared" si="30"/>
        <v>36</v>
      </c>
      <c r="K282" s="153">
        <f t="shared" si="31"/>
        <v>0.33333333333333331</v>
      </c>
      <c r="L282" s="1099"/>
      <c r="M282" s="1100">
        <v>0</v>
      </c>
      <c r="N282" s="1101">
        <f>IF($BF282=0,0,IF(SUM($M282:M282)&lt;($J282-12),12,$J282-SUM($M282:M282)))</f>
        <v>0</v>
      </c>
      <c r="O282" s="1101">
        <f>IF($BF282=0,0,IF(SUM($M282:N282)&lt;($J282-12),12,$J282-SUM($M282:N282)))</f>
        <v>0</v>
      </c>
      <c r="P282" s="1101">
        <f>IF($BF282=0,0,IF(SUM($M282:O282)&lt;($J282-12),12,$J282-SUM($M282:O282)))</f>
        <v>0</v>
      </c>
      <c r="Q282" s="1101">
        <f>IF($BF282=0,0,IF(SUM($M282:P282)&lt;($J282-12),12,$J282-SUM($M282:P282)))</f>
        <v>0</v>
      </c>
      <c r="S282" s="1100"/>
      <c r="T282" s="1100">
        <v>9</v>
      </c>
      <c r="U282" s="1101">
        <f>IF($BG282=0,0,IF(SUM($S282:T282)&lt;($J282-12),12,$J282-SUM($S282:T282)))</f>
        <v>12</v>
      </c>
      <c r="V282" s="1101">
        <f>IF($BG282=0,0,IF(SUM($S282:U282)&lt;($J282-12),12,$J282-SUM($S282:U282)))</f>
        <v>12</v>
      </c>
      <c r="W282" s="1101">
        <f>IF($BG282=0,0,IF(SUM($S282:V282)&lt;($J282-12),12,$J282-SUM($S282:V282)))</f>
        <v>3</v>
      </c>
      <c r="Y282" s="1100"/>
      <c r="Z282" s="1100"/>
      <c r="AA282" s="1100">
        <v>0</v>
      </c>
      <c r="AB282" s="1101">
        <f>IF($BH282=0,0,IF(SUM($Y282:AA282)&lt;($J282-12),12,$J282-SUM($Y282:AA282)))</f>
        <v>0</v>
      </c>
      <c r="AC282" s="1101">
        <f>IF($BH282=0,0,IF(SUM($Y282:AB282)&lt;($J282-12),12,$J282-SUM($Y282:AB282)))</f>
        <v>0</v>
      </c>
      <c r="AE282" s="1100"/>
      <c r="AF282" s="1100"/>
      <c r="AG282" s="1100"/>
      <c r="AH282" s="1100">
        <v>0</v>
      </c>
      <c r="AI282" s="1101">
        <f>IF($BI282=0,0,IF(SUM($AE282:AH282)&lt;($J282-12),12,$J282-SUM($AE282:AH282)))</f>
        <v>0</v>
      </c>
      <c r="AK282" s="1100"/>
      <c r="AL282" s="1100"/>
      <c r="AM282" s="1100"/>
      <c r="AN282" s="1100"/>
      <c r="AO282" s="1100">
        <v>0</v>
      </c>
      <c r="AQ282" s="153">
        <f t="shared" si="32"/>
        <v>0</v>
      </c>
      <c r="AR282" s="153">
        <f t="shared" si="33"/>
        <v>0.75</v>
      </c>
      <c r="AS282" s="153">
        <f t="shared" si="34"/>
        <v>0</v>
      </c>
      <c r="AT282" s="153">
        <f t="shared" si="35"/>
        <v>0</v>
      </c>
      <c r="AU282" s="153">
        <f t="shared" si="36"/>
        <v>0</v>
      </c>
      <c r="AW282" s="1543">
        <v>0.73</v>
      </c>
      <c r="AX282" s="1102"/>
      <c r="AY282" s="1544">
        <v>0.15</v>
      </c>
      <c r="BA282" s="1103">
        <v>0</v>
      </c>
      <c r="BB282" s="1103">
        <v>0</v>
      </c>
      <c r="BC282" s="1103">
        <v>0</v>
      </c>
      <c r="BD282" s="1103">
        <v>0</v>
      </c>
      <c r="BE282" s="1103">
        <v>0</v>
      </c>
      <c r="BF282" s="1103">
        <v>0</v>
      </c>
      <c r="BG282" s="1103">
        <v>7.291058924999998</v>
      </c>
      <c r="BH282" s="1103">
        <v>0</v>
      </c>
      <c r="BI282" s="1103">
        <v>0</v>
      </c>
      <c r="BJ282" s="1103">
        <v>0</v>
      </c>
    </row>
    <row r="283" spans="3:62" hidden="1" outlineLevel="1">
      <c r="C283" s="1083" t="s">
        <v>625</v>
      </c>
      <c r="D283" s="1062" t="s">
        <v>621</v>
      </c>
      <c r="E283" s="1083" t="s">
        <v>624</v>
      </c>
      <c r="F283" s="1095" t="s">
        <v>414</v>
      </c>
      <c r="G283" s="1096">
        <f t="shared" si="29"/>
        <v>7.291058924999998</v>
      </c>
      <c r="H283" s="1083" t="s">
        <v>29</v>
      </c>
      <c r="I283" s="1097">
        <v>3</v>
      </c>
      <c r="J283" s="1098">
        <f t="shared" si="30"/>
        <v>36</v>
      </c>
      <c r="K283" s="153">
        <f t="shared" si="31"/>
        <v>0.33333333333333331</v>
      </c>
      <c r="L283" s="1099"/>
      <c r="M283" s="1100">
        <v>0</v>
      </c>
      <c r="N283" s="1101">
        <f>IF($BF283=0,0,IF(SUM($M283:M283)&lt;($J283-12),12,$J283-SUM($M283:M283)))</f>
        <v>0</v>
      </c>
      <c r="O283" s="1101">
        <f>IF($BF283=0,0,IF(SUM($M283:N283)&lt;($J283-12),12,$J283-SUM($M283:N283)))</f>
        <v>0</v>
      </c>
      <c r="P283" s="1101">
        <f>IF($BF283=0,0,IF(SUM($M283:O283)&lt;($J283-12),12,$J283-SUM($M283:O283)))</f>
        <v>0</v>
      </c>
      <c r="Q283" s="1101">
        <f>IF($BF283=0,0,IF(SUM($M283:P283)&lt;($J283-12),12,$J283-SUM($M283:P283)))</f>
        <v>0</v>
      </c>
      <c r="S283" s="1100"/>
      <c r="T283" s="1100">
        <v>9</v>
      </c>
      <c r="U283" s="1101">
        <f>IF($BG283=0,0,IF(SUM($S283:T283)&lt;($J283-12),12,$J283-SUM($S283:T283)))</f>
        <v>12</v>
      </c>
      <c r="V283" s="1101">
        <f>IF($BG283=0,0,IF(SUM($S283:U283)&lt;($J283-12),12,$J283-SUM($S283:U283)))</f>
        <v>12</v>
      </c>
      <c r="W283" s="1101">
        <f>IF($BG283=0,0,IF(SUM($S283:V283)&lt;($J283-12),12,$J283-SUM($S283:V283)))</f>
        <v>3</v>
      </c>
      <c r="Y283" s="1100"/>
      <c r="Z283" s="1100"/>
      <c r="AA283" s="1100">
        <v>0</v>
      </c>
      <c r="AB283" s="1101">
        <f>IF($BH283=0,0,IF(SUM($Y283:AA283)&lt;($J283-12),12,$J283-SUM($Y283:AA283)))</f>
        <v>0</v>
      </c>
      <c r="AC283" s="1101">
        <f>IF($BH283=0,0,IF(SUM($Y283:AB283)&lt;($J283-12),12,$J283-SUM($Y283:AB283)))</f>
        <v>0</v>
      </c>
      <c r="AE283" s="1100"/>
      <c r="AF283" s="1100"/>
      <c r="AG283" s="1100"/>
      <c r="AH283" s="1100">
        <v>0</v>
      </c>
      <c r="AI283" s="1101">
        <f>IF($BI283=0,0,IF(SUM($AE283:AH283)&lt;($J283-12),12,$J283-SUM($AE283:AH283)))</f>
        <v>0</v>
      </c>
      <c r="AK283" s="1100"/>
      <c r="AL283" s="1100"/>
      <c r="AM283" s="1100"/>
      <c r="AN283" s="1100"/>
      <c r="AO283" s="1100">
        <v>0</v>
      </c>
      <c r="AQ283" s="153">
        <f t="shared" si="32"/>
        <v>0</v>
      </c>
      <c r="AR283" s="153">
        <f t="shared" si="33"/>
        <v>0.75</v>
      </c>
      <c r="AS283" s="153">
        <f t="shared" si="34"/>
        <v>0</v>
      </c>
      <c r="AT283" s="153">
        <f t="shared" si="35"/>
        <v>0</v>
      </c>
      <c r="AU283" s="153">
        <f t="shared" si="36"/>
        <v>0</v>
      </c>
      <c r="AW283" s="1543">
        <v>0.75</v>
      </c>
      <c r="AX283" s="1102"/>
      <c r="AY283" s="1544">
        <v>0.25</v>
      </c>
      <c r="BA283" s="1103">
        <v>0</v>
      </c>
      <c r="BB283" s="1103">
        <v>0</v>
      </c>
      <c r="BC283" s="1103">
        <v>0</v>
      </c>
      <c r="BD283" s="1103">
        <v>0</v>
      </c>
      <c r="BE283" s="1103">
        <v>0</v>
      </c>
      <c r="BF283" s="1103">
        <v>0</v>
      </c>
      <c r="BG283" s="1103">
        <v>7.291058924999998</v>
      </c>
      <c r="BH283" s="1103">
        <v>0</v>
      </c>
      <c r="BI283" s="1103">
        <v>0</v>
      </c>
      <c r="BJ283" s="1103">
        <v>0</v>
      </c>
    </row>
    <row r="284" spans="3:62" hidden="1" outlineLevel="1">
      <c r="C284" s="1083" t="s">
        <v>626</v>
      </c>
      <c r="D284" s="1062" t="s">
        <v>621</v>
      </c>
      <c r="E284" s="1083" t="s">
        <v>624</v>
      </c>
      <c r="F284" s="1095" t="s">
        <v>414</v>
      </c>
      <c r="G284" s="1096">
        <f t="shared" si="29"/>
        <v>7.291058924999998</v>
      </c>
      <c r="H284" s="1083" t="s">
        <v>29</v>
      </c>
      <c r="I284" s="1097">
        <v>3</v>
      </c>
      <c r="J284" s="1098">
        <f t="shared" si="30"/>
        <v>36</v>
      </c>
      <c r="K284" s="153">
        <f t="shared" si="31"/>
        <v>0.33333333333333331</v>
      </c>
      <c r="L284" s="1099"/>
      <c r="M284" s="1100">
        <v>0</v>
      </c>
      <c r="N284" s="1101">
        <f>IF($BF284=0,0,IF(SUM($M284:M284)&lt;($J284-12),12,$J284-SUM($M284:M284)))</f>
        <v>0</v>
      </c>
      <c r="O284" s="1101">
        <f>IF($BF284=0,0,IF(SUM($M284:N284)&lt;($J284-12),12,$J284-SUM($M284:N284)))</f>
        <v>0</v>
      </c>
      <c r="P284" s="1101">
        <f>IF($BF284=0,0,IF(SUM($M284:O284)&lt;($J284-12),12,$J284-SUM($M284:O284)))</f>
        <v>0</v>
      </c>
      <c r="Q284" s="1101">
        <f>IF($BF284=0,0,IF(SUM($M284:P284)&lt;($J284-12),12,$J284-SUM($M284:P284)))</f>
        <v>0</v>
      </c>
      <c r="S284" s="1100"/>
      <c r="T284" s="1100">
        <v>9</v>
      </c>
      <c r="U284" s="1101">
        <f>IF($BG284=0,0,IF(SUM($S284:T284)&lt;($J284-12),12,$J284-SUM($S284:T284)))</f>
        <v>12</v>
      </c>
      <c r="V284" s="1101">
        <f>IF($BG284=0,0,IF(SUM($S284:U284)&lt;($J284-12),12,$J284-SUM($S284:U284)))</f>
        <v>12</v>
      </c>
      <c r="W284" s="1101">
        <f>IF($BG284=0,0,IF(SUM($S284:V284)&lt;($J284-12),12,$J284-SUM($S284:V284)))</f>
        <v>3</v>
      </c>
      <c r="Y284" s="1100"/>
      <c r="Z284" s="1100"/>
      <c r="AA284" s="1100">
        <v>0</v>
      </c>
      <c r="AB284" s="1101">
        <f>IF($BH284=0,0,IF(SUM($Y284:AA284)&lt;($J284-12),12,$J284-SUM($Y284:AA284)))</f>
        <v>0</v>
      </c>
      <c r="AC284" s="1101">
        <f>IF($BH284=0,0,IF(SUM($Y284:AB284)&lt;($J284-12),12,$J284-SUM($Y284:AB284)))</f>
        <v>0</v>
      </c>
      <c r="AE284" s="1100"/>
      <c r="AF284" s="1100"/>
      <c r="AG284" s="1100"/>
      <c r="AH284" s="1100">
        <v>0</v>
      </c>
      <c r="AI284" s="1101">
        <f>IF($BI284=0,0,IF(SUM($AE284:AH284)&lt;($J284-12),12,$J284-SUM($AE284:AH284)))</f>
        <v>0</v>
      </c>
      <c r="AK284" s="1100"/>
      <c r="AL284" s="1100"/>
      <c r="AM284" s="1100"/>
      <c r="AN284" s="1100"/>
      <c r="AO284" s="1100">
        <v>0</v>
      </c>
      <c r="AQ284" s="153">
        <f t="shared" si="32"/>
        <v>0</v>
      </c>
      <c r="AR284" s="153">
        <f t="shared" si="33"/>
        <v>0.75</v>
      </c>
      <c r="AS284" s="153">
        <f t="shared" si="34"/>
        <v>0</v>
      </c>
      <c r="AT284" s="153">
        <f t="shared" si="35"/>
        <v>0</v>
      </c>
      <c r="AU284" s="153">
        <f t="shared" si="36"/>
        <v>0</v>
      </c>
      <c r="AW284" s="1543">
        <v>0.75</v>
      </c>
      <c r="AX284" s="1102"/>
      <c r="AY284" s="1544">
        <v>0.25</v>
      </c>
      <c r="BA284" s="1103">
        <v>0</v>
      </c>
      <c r="BB284" s="1103">
        <v>0</v>
      </c>
      <c r="BC284" s="1103">
        <v>0</v>
      </c>
      <c r="BD284" s="1103">
        <v>0</v>
      </c>
      <c r="BE284" s="1103">
        <v>0</v>
      </c>
      <c r="BF284" s="1103">
        <v>0</v>
      </c>
      <c r="BG284" s="1103">
        <v>7.291058924999998</v>
      </c>
      <c r="BH284" s="1103">
        <v>0</v>
      </c>
      <c r="BI284" s="1103">
        <v>0</v>
      </c>
      <c r="BJ284" s="1103">
        <v>0</v>
      </c>
    </row>
    <row r="285" spans="3:62" hidden="1" outlineLevel="1">
      <c r="C285" s="1083" t="s">
        <v>627</v>
      </c>
      <c r="D285" s="1062" t="s">
        <v>621</v>
      </c>
      <c r="E285" s="1083" t="s">
        <v>628</v>
      </c>
      <c r="F285" s="1095" t="s">
        <v>414</v>
      </c>
      <c r="G285" s="1096">
        <f t="shared" si="29"/>
        <v>0</v>
      </c>
      <c r="H285" s="1083" t="s">
        <v>29</v>
      </c>
      <c r="I285" s="1097">
        <v>0</v>
      </c>
      <c r="J285" s="1098">
        <f t="shared" si="30"/>
        <v>0</v>
      </c>
      <c r="K285" s="153">
        <f t="shared" si="31"/>
        <v>0</v>
      </c>
      <c r="L285" s="1099"/>
      <c r="M285" s="1100">
        <v>0</v>
      </c>
      <c r="N285" s="1101">
        <f>IF($BF285=0,0,IF(SUM($M285:M285)&lt;($J285-12),12,$J285-SUM($M285:M285)))</f>
        <v>0</v>
      </c>
      <c r="O285" s="1101">
        <f>IF($BF285=0,0,IF(SUM($M285:N285)&lt;($J285-12),12,$J285-SUM($M285:N285)))</f>
        <v>0</v>
      </c>
      <c r="P285" s="1101">
        <f>IF($BF285=0,0,IF(SUM($M285:O285)&lt;($J285-12),12,$J285-SUM($M285:O285)))</f>
        <v>0</v>
      </c>
      <c r="Q285" s="1101">
        <f>IF($BF285=0,0,IF(SUM($M285:P285)&lt;($J285-12),12,$J285-SUM($M285:P285)))</f>
        <v>0</v>
      </c>
      <c r="S285" s="1100"/>
      <c r="T285" s="1100">
        <v>0</v>
      </c>
      <c r="U285" s="1101">
        <f>IF($BG285=0,0,IF(SUM($S285:T285)&lt;($J285-12),12,$J285-SUM($S285:T285)))</f>
        <v>0</v>
      </c>
      <c r="V285" s="1101">
        <f>IF($BG285=0,0,IF(SUM($S285:U285)&lt;($J285-12),12,$J285-SUM($S285:U285)))</f>
        <v>0</v>
      </c>
      <c r="W285" s="1101">
        <f>IF($BG285=0,0,IF(SUM($S285:V285)&lt;($J285-12),12,$J285-SUM($S285:V285)))</f>
        <v>0</v>
      </c>
      <c r="Y285" s="1100"/>
      <c r="Z285" s="1100"/>
      <c r="AA285" s="1100">
        <v>0</v>
      </c>
      <c r="AB285" s="1101">
        <f>IF($BH285=0,0,IF(SUM($Y285:AA285)&lt;($J285-12),12,$J285-SUM($Y285:AA285)))</f>
        <v>0</v>
      </c>
      <c r="AC285" s="1101">
        <f>IF($BH285=0,0,IF(SUM($Y285:AB285)&lt;($J285-12),12,$J285-SUM($Y285:AB285)))</f>
        <v>0</v>
      </c>
      <c r="AE285" s="1100"/>
      <c r="AF285" s="1100"/>
      <c r="AG285" s="1100"/>
      <c r="AH285" s="1100">
        <v>0</v>
      </c>
      <c r="AI285" s="1101">
        <f>IF($BI285=0,0,IF(SUM($AE285:AH285)&lt;($J285-12),12,$J285-SUM($AE285:AH285)))</f>
        <v>0</v>
      </c>
      <c r="AK285" s="1100"/>
      <c r="AL285" s="1100"/>
      <c r="AM285" s="1100"/>
      <c r="AN285" s="1100"/>
      <c r="AO285" s="1100">
        <v>0</v>
      </c>
      <c r="AQ285" s="153">
        <f t="shared" si="32"/>
        <v>0</v>
      </c>
      <c r="AR285" s="153">
        <f t="shared" si="33"/>
        <v>0</v>
      </c>
      <c r="AS285" s="153">
        <f t="shared" si="34"/>
        <v>0</v>
      </c>
      <c r="AT285" s="153">
        <f t="shared" si="35"/>
        <v>0</v>
      </c>
      <c r="AU285" s="153">
        <f t="shared" si="36"/>
        <v>0</v>
      </c>
      <c r="AW285" s="1543">
        <v>0</v>
      </c>
      <c r="AX285" s="1102"/>
      <c r="AY285" s="1544">
        <v>0</v>
      </c>
      <c r="BA285" s="1103">
        <v>0</v>
      </c>
      <c r="BB285" s="1103">
        <v>0</v>
      </c>
      <c r="BC285" s="1103">
        <v>0</v>
      </c>
      <c r="BD285" s="1103">
        <v>0</v>
      </c>
      <c r="BE285" s="1103">
        <v>0</v>
      </c>
      <c r="BF285" s="1103">
        <v>0</v>
      </c>
      <c r="BG285" s="1103">
        <v>0</v>
      </c>
      <c r="BH285" s="1103">
        <v>0</v>
      </c>
      <c r="BI285" s="1103">
        <v>0</v>
      </c>
      <c r="BJ285" s="1103">
        <v>0</v>
      </c>
    </row>
    <row r="286" spans="3:62" hidden="1" outlineLevel="1">
      <c r="C286" s="1083" t="s">
        <v>623</v>
      </c>
      <c r="D286" s="1062" t="s">
        <v>621</v>
      </c>
      <c r="E286" s="1083" t="s">
        <v>629</v>
      </c>
      <c r="F286" s="1095" t="s">
        <v>414</v>
      </c>
      <c r="G286" s="1096">
        <f t="shared" si="29"/>
        <v>175</v>
      </c>
      <c r="H286" s="1083" t="s">
        <v>29</v>
      </c>
      <c r="I286" s="1097">
        <v>3</v>
      </c>
      <c r="J286" s="1098">
        <f t="shared" si="30"/>
        <v>36</v>
      </c>
      <c r="K286" s="153">
        <f t="shared" si="31"/>
        <v>0.33333333333333331</v>
      </c>
      <c r="L286" s="1099"/>
      <c r="M286" s="1100">
        <v>0</v>
      </c>
      <c r="N286" s="1101">
        <f>IF($BF286=0,0,IF(SUM($M286:M286)&lt;($J286-12),12,$J286-SUM($M286:M286)))</f>
        <v>0</v>
      </c>
      <c r="O286" s="1101">
        <f>IF($BF286=0,0,IF(SUM($M286:N286)&lt;($J286-12),12,$J286-SUM($M286:N286)))</f>
        <v>0</v>
      </c>
      <c r="P286" s="1101">
        <f>IF($BF286=0,0,IF(SUM($M286:O286)&lt;($J286-12),12,$J286-SUM($M286:O286)))</f>
        <v>0</v>
      </c>
      <c r="Q286" s="1101">
        <f>IF($BF286=0,0,IF(SUM($M286:P286)&lt;($J286-12),12,$J286-SUM($M286:P286)))</f>
        <v>0</v>
      </c>
      <c r="S286" s="1100"/>
      <c r="T286" s="1100">
        <v>7.4999999999999991</v>
      </c>
      <c r="U286" s="1101">
        <f>IF($BG286=0,0,IF(SUM($S286:T286)&lt;($J286-12),12,$J286-SUM($S286:T286)))</f>
        <v>12</v>
      </c>
      <c r="V286" s="1101">
        <f>IF($BG286=0,0,IF(SUM($S286:U286)&lt;($J286-12),12,$J286-SUM($S286:U286)))</f>
        <v>12</v>
      </c>
      <c r="W286" s="1101">
        <f>IF($BG286=0,0,IF(SUM($S286:V286)&lt;($J286-12),12,$J286-SUM($S286:V286)))</f>
        <v>4.5</v>
      </c>
      <c r="Y286" s="1100"/>
      <c r="Z286" s="1100"/>
      <c r="AA286" s="1100">
        <v>7.4999999999999973</v>
      </c>
      <c r="AB286" s="1101">
        <f>IF($BH286=0,0,IF(SUM($Y286:AA286)&lt;($J286-12),12,$J286-SUM($Y286:AA286)))</f>
        <v>12</v>
      </c>
      <c r="AC286" s="1101">
        <f>IF($BH286=0,0,IF(SUM($Y286:AB286)&lt;($J286-12),12,$J286-SUM($Y286:AB286)))</f>
        <v>12</v>
      </c>
      <c r="AE286" s="1100"/>
      <c r="AF286" s="1100"/>
      <c r="AG286" s="1100"/>
      <c r="AH286" s="1100">
        <v>7.5000000000000036</v>
      </c>
      <c r="AI286" s="1101">
        <f>IF($BI286=0,0,IF(SUM($AE286:AH286)&lt;($J286-12),12,$J286-SUM($AE286:AH286)))</f>
        <v>12</v>
      </c>
      <c r="AK286" s="1100"/>
      <c r="AL286" s="1100"/>
      <c r="AM286" s="1100"/>
      <c r="AN286" s="1100"/>
      <c r="AO286" s="1100">
        <v>7.5000000000000036</v>
      </c>
      <c r="AQ286" s="153">
        <f t="shared" si="32"/>
        <v>0</v>
      </c>
      <c r="AR286" s="153">
        <f t="shared" si="33"/>
        <v>0.62499999999999989</v>
      </c>
      <c r="AS286" s="153">
        <f t="shared" si="34"/>
        <v>0.62499999999999978</v>
      </c>
      <c r="AT286" s="153">
        <f t="shared" si="35"/>
        <v>0.62500000000000033</v>
      </c>
      <c r="AU286" s="153">
        <f t="shared" si="36"/>
        <v>0.62500000000000033</v>
      </c>
      <c r="AW286" s="1543">
        <v>0.73</v>
      </c>
      <c r="AX286" s="1102"/>
      <c r="AY286" s="1544">
        <v>0.15</v>
      </c>
      <c r="BA286" s="1103">
        <v>0</v>
      </c>
      <c r="BB286" s="1103">
        <v>0</v>
      </c>
      <c r="BC286" s="1103">
        <v>0</v>
      </c>
      <c r="BD286" s="1103">
        <v>0</v>
      </c>
      <c r="BE286" s="1103">
        <v>0</v>
      </c>
      <c r="BF286" s="1103">
        <v>0</v>
      </c>
      <c r="BG286" s="1103">
        <v>43.75</v>
      </c>
      <c r="BH286" s="1103">
        <v>43.75</v>
      </c>
      <c r="BI286" s="1103">
        <v>43.75</v>
      </c>
      <c r="BJ286" s="1103">
        <v>43.75</v>
      </c>
    </row>
    <row r="287" spans="3:62" hidden="1" outlineLevel="1">
      <c r="C287" s="1083" t="s">
        <v>625</v>
      </c>
      <c r="D287" s="1062" t="s">
        <v>621</v>
      </c>
      <c r="E287" s="1083" t="s">
        <v>629</v>
      </c>
      <c r="F287" s="1095" t="s">
        <v>414</v>
      </c>
      <c r="G287" s="1096">
        <f t="shared" si="29"/>
        <v>75</v>
      </c>
      <c r="H287" s="1083" t="s">
        <v>29</v>
      </c>
      <c r="I287" s="1097">
        <v>3</v>
      </c>
      <c r="J287" s="1098">
        <f t="shared" si="30"/>
        <v>36</v>
      </c>
      <c r="K287" s="153">
        <f t="shared" si="31"/>
        <v>0.33333333333333331</v>
      </c>
      <c r="L287" s="1099"/>
      <c r="M287" s="1100">
        <v>0</v>
      </c>
      <c r="N287" s="1101">
        <f>IF($BF287=0,0,IF(SUM($M287:M287)&lt;($J287-12),12,$J287-SUM($M287:M287)))</f>
        <v>0</v>
      </c>
      <c r="O287" s="1101">
        <f>IF($BF287=0,0,IF(SUM($M287:N287)&lt;($J287-12),12,$J287-SUM($M287:N287)))</f>
        <v>0</v>
      </c>
      <c r="P287" s="1101">
        <f>IF($BF287=0,0,IF(SUM($M287:O287)&lt;($J287-12),12,$J287-SUM($M287:O287)))</f>
        <v>0</v>
      </c>
      <c r="Q287" s="1101">
        <f>IF($BF287=0,0,IF(SUM($M287:P287)&lt;($J287-12),12,$J287-SUM($M287:P287)))</f>
        <v>0</v>
      </c>
      <c r="S287" s="1100"/>
      <c r="T287" s="1100">
        <v>7.5</v>
      </c>
      <c r="U287" s="1101">
        <f>IF($BG287=0,0,IF(SUM($S287:T287)&lt;($J287-12),12,$J287-SUM($S287:T287)))</f>
        <v>12</v>
      </c>
      <c r="V287" s="1101">
        <f>IF($BG287=0,0,IF(SUM($S287:U287)&lt;($J287-12),12,$J287-SUM($S287:U287)))</f>
        <v>12</v>
      </c>
      <c r="W287" s="1101">
        <f>IF($BG287=0,0,IF(SUM($S287:V287)&lt;($J287-12),12,$J287-SUM($S287:V287)))</f>
        <v>4.5</v>
      </c>
      <c r="Y287" s="1100"/>
      <c r="Z287" s="1100"/>
      <c r="AA287" s="1100">
        <v>7.4999999999999991</v>
      </c>
      <c r="AB287" s="1101">
        <f>IF($BH287=0,0,IF(SUM($Y287:AA287)&lt;($J287-12),12,$J287-SUM($Y287:AA287)))</f>
        <v>12</v>
      </c>
      <c r="AC287" s="1101">
        <f>IF($BH287=0,0,IF(SUM($Y287:AB287)&lt;($J287-12),12,$J287-SUM($Y287:AB287)))</f>
        <v>12</v>
      </c>
      <c r="AE287" s="1100"/>
      <c r="AF287" s="1100"/>
      <c r="AG287" s="1100"/>
      <c r="AH287" s="1100">
        <v>7.4999999999999991</v>
      </c>
      <c r="AI287" s="1101">
        <f>IF($BI287=0,0,IF(SUM($AE287:AH287)&lt;($J287-12),12,$J287-SUM($AE287:AH287)))</f>
        <v>12</v>
      </c>
      <c r="AK287" s="1100"/>
      <c r="AL287" s="1100"/>
      <c r="AM287" s="1100"/>
      <c r="AN287" s="1100"/>
      <c r="AO287" s="1100">
        <v>7.4999999999999991</v>
      </c>
      <c r="AQ287" s="153">
        <f t="shared" si="32"/>
        <v>0</v>
      </c>
      <c r="AR287" s="153">
        <f t="shared" si="33"/>
        <v>0.625</v>
      </c>
      <c r="AS287" s="153">
        <f t="shared" si="34"/>
        <v>0.62499999999999989</v>
      </c>
      <c r="AT287" s="153">
        <f t="shared" si="35"/>
        <v>0.62499999999999989</v>
      </c>
      <c r="AU287" s="153">
        <f t="shared" si="36"/>
        <v>0.62499999999999989</v>
      </c>
      <c r="AW287" s="1543">
        <v>0.75</v>
      </c>
      <c r="AX287" s="1102"/>
      <c r="AY287" s="1544">
        <v>0.25</v>
      </c>
      <c r="BA287" s="1103">
        <v>0</v>
      </c>
      <c r="BB287" s="1103">
        <v>0</v>
      </c>
      <c r="BC287" s="1103">
        <v>0</v>
      </c>
      <c r="BD287" s="1103">
        <v>0</v>
      </c>
      <c r="BE287" s="1103">
        <v>0</v>
      </c>
      <c r="BF287" s="1103">
        <v>0</v>
      </c>
      <c r="BG287" s="1103">
        <v>18.75</v>
      </c>
      <c r="BH287" s="1103">
        <v>18.75</v>
      </c>
      <c r="BI287" s="1103">
        <v>18.75</v>
      </c>
      <c r="BJ287" s="1103">
        <v>18.75</v>
      </c>
    </row>
    <row r="288" spans="3:62" hidden="1" outlineLevel="1">
      <c r="C288" s="1083" t="s">
        <v>626</v>
      </c>
      <c r="D288" s="1062" t="s">
        <v>621</v>
      </c>
      <c r="E288" s="1083" t="s">
        <v>629</v>
      </c>
      <c r="F288" s="1095" t="s">
        <v>414</v>
      </c>
      <c r="G288" s="1096">
        <f t="shared" si="29"/>
        <v>75</v>
      </c>
      <c r="H288" s="1083" t="s">
        <v>29</v>
      </c>
      <c r="I288" s="1097">
        <v>3</v>
      </c>
      <c r="J288" s="1098">
        <f t="shared" si="30"/>
        <v>36</v>
      </c>
      <c r="K288" s="153">
        <f t="shared" si="31"/>
        <v>0.33333333333333331</v>
      </c>
      <c r="L288" s="1099"/>
      <c r="M288" s="1100">
        <v>0</v>
      </c>
      <c r="N288" s="1101">
        <f>IF($BF288=0,0,IF(SUM($M288:M288)&lt;($J288-12),12,$J288-SUM($M288:M288)))</f>
        <v>0</v>
      </c>
      <c r="O288" s="1101">
        <f>IF($BF288=0,0,IF(SUM($M288:N288)&lt;($J288-12),12,$J288-SUM($M288:N288)))</f>
        <v>0</v>
      </c>
      <c r="P288" s="1101">
        <f>IF($BF288=0,0,IF(SUM($M288:O288)&lt;($J288-12),12,$J288-SUM($M288:O288)))</f>
        <v>0</v>
      </c>
      <c r="Q288" s="1101">
        <f>IF($BF288=0,0,IF(SUM($M288:P288)&lt;($J288-12),12,$J288-SUM($M288:P288)))</f>
        <v>0</v>
      </c>
      <c r="S288" s="1100"/>
      <c r="T288" s="1100">
        <v>7.5</v>
      </c>
      <c r="U288" s="1101">
        <f>IF($BG288=0,0,IF(SUM($S288:T288)&lt;($J288-12),12,$J288-SUM($S288:T288)))</f>
        <v>12</v>
      </c>
      <c r="V288" s="1101">
        <f>IF($BG288=0,0,IF(SUM($S288:U288)&lt;($J288-12),12,$J288-SUM($S288:U288)))</f>
        <v>12</v>
      </c>
      <c r="W288" s="1101">
        <f>IF($BG288=0,0,IF(SUM($S288:V288)&lt;($J288-12),12,$J288-SUM($S288:V288)))</f>
        <v>4.5</v>
      </c>
      <c r="Y288" s="1100"/>
      <c r="Z288" s="1100"/>
      <c r="AA288" s="1100">
        <v>7.4999999999999991</v>
      </c>
      <c r="AB288" s="1101">
        <f>IF($BH288=0,0,IF(SUM($Y288:AA288)&lt;($J288-12),12,$J288-SUM($Y288:AA288)))</f>
        <v>12</v>
      </c>
      <c r="AC288" s="1101">
        <f>IF($BH288=0,0,IF(SUM($Y288:AB288)&lt;($J288-12),12,$J288-SUM($Y288:AB288)))</f>
        <v>12</v>
      </c>
      <c r="AE288" s="1100"/>
      <c r="AF288" s="1100"/>
      <c r="AG288" s="1100"/>
      <c r="AH288" s="1100">
        <v>7.4999999999999991</v>
      </c>
      <c r="AI288" s="1101">
        <f>IF($BI288=0,0,IF(SUM($AE288:AH288)&lt;($J288-12),12,$J288-SUM($AE288:AH288)))</f>
        <v>12</v>
      </c>
      <c r="AK288" s="1100"/>
      <c r="AL288" s="1100"/>
      <c r="AM288" s="1100"/>
      <c r="AN288" s="1100"/>
      <c r="AO288" s="1100">
        <v>7.4999999999999991</v>
      </c>
      <c r="AQ288" s="153">
        <f t="shared" si="32"/>
        <v>0</v>
      </c>
      <c r="AR288" s="153">
        <f t="shared" si="33"/>
        <v>0.625</v>
      </c>
      <c r="AS288" s="153">
        <f t="shared" si="34"/>
        <v>0.62499999999999989</v>
      </c>
      <c r="AT288" s="153">
        <f t="shared" si="35"/>
        <v>0.62499999999999989</v>
      </c>
      <c r="AU288" s="153">
        <f t="shared" si="36"/>
        <v>0.62499999999999989</v>
      </c>
      <c r="AW288" s="1543">
        <v>0.75</v>
      </c>
      <c r="AX288" s="1102"/>
      <c r="AY288" s="1544">
        <v>0.25</v>
      </c>
      <c r="BA288" s="1103">
        <v>0</v>
      </c>
      <c r="BB288" s="1103">
        <v>0</v>
      </c>
      <c r="BC288" s="1103">
        <v>0</v>
      </c>
      <c r="BD288" s="1103">
        <v>0</v>
      </c>
      <c r="BE288" s="1103">
        <v>0</v>
      </c>
      <c r="BF288" s="1103">
        <v>0</v>
      </c>
      <c r="BG288" s="1103">
        <v>18.75</v>
      </c>
      <c r="BH288" s="1103">
        <v>18.75</v>
      </c>
      <c r="BI288" s="1103">
        <v>18.75</v>
      </c>
      <c r="BJ288" s="1103">
        <v>18.75</v>
      </c>
    </row>
    <row r="289" spans="3:62" hidden="1" outlineLevel="1">
      <c r="C289" s="1083" t="s">
        <v>630</v>
      </c>
      <c r="D289" s="1062" t="s">
        <v>630</v>
      </c>
      <c r="E289" s="1083" t="s">
        <v>631</v>
      </c>
      <c r="F289" s="1095" t="s">
        <v>414</v>
      </c>
      <c r="G289" s="1096">
        <f t="shared" si="29"/>
        <v>334.36851000000001</v>
      </c>
      <c r="H289" s="1083" t="s">
        <v>29</v>
      </c>
      <c r="I289" s="1097">
        <v>8</v>
      </c>
      <c r="J289" s="1098">
        <f t="shared" si="30"/>
        <v>96</v>
      </c>
      <c r="K289" s="153">
        <f t="shared" si="31"/>
        <v>0.125</v>
      </c>
      <c r="L289" s="1099"/>
      <c r="M289" s="1100">
        <v>0</v>
      </c>
      <c r="N289" s="1101">
        <f>IF($BF289=0,0,IF(SUM($M289:M289)&lt;($J289-12),12,$J289-SUM($M289:M289)))</f>
        <v>0</v>
      </c>
      <c r="O289" s="1101">
        <f>IF($BF289=0,0,IF(SUM($M289:N289)&lt;($J289-12),12,$J289-SUM($M289:N289)))</f>
        <v>0</v>
      </c>
      <c r="P289" s="1101">
        <f>IF($BF289=0,0,IF(SUM($M289:O289)&lt;($J289-12),12,$J289-SUM($M289:O289)))</f>
        <v>0</v>
      </c>
      <c r="Q289" s="1101">
        <f>IF($BF289=0,0,IF(SUM($M289:P289)&lt;($J289-12),12,$J289-SUM($M289:P289)))</f>
        <v>0</v>
      </c>
      <c r="S289" s="1100"/>
      <c r="T289" s="1100">
        <v>0</v>
      </c>
      <c r="U289" s="1101">
        <f>IF($BG289=0,0,IF(SUM($S289:T289)&lt;($J289-12),12,$J289-SUM($S289:T289)))</f>
        <v>0</v>
      </c>
      <c r="V289" s="1101">
        <f>IF($BG289=0,0,IF(SUM($S289:U289)&lt;($J289-12),12,$J289-SUM($S289:U289)))</f>
        <v>0</v>
      </c>
      <c r="W289" s="1101">
        <f>IF($BG289=0,0,IF(SUM($S289:V289)&lt;($J289-12),12,$J289-SUM($S289:V289)))</f>
        <v>0</v>
      </c>
      <c r="Y289" s="1100"/>
      <c r="Z289" s="1100"/>
      <c r="AA289" s="1100">
        <v>3</v>
      </c>
      <c r="AB289" s="1101">
        <f>IF($BH289=0,0,IF(SUM($Y289:AA289)&lt;($J289-12),12,$J289-SUM($Y289:AA289)))</f>
        <v>12</v>
      </c>
      <c r="AC289" s="1101">
        <f>IF($BH289=0,0,IF(SUM($Y289:AB289)&lt;($J289-12),12,$J289-SUM($Y289:AB289)))</f>
        <v>12</v>
      </c>
      <c r="AE289" s="1100"/>
      <c r="AF289" s="1100"/>
      <c r="AG289" s="1100"/>
      <c r="AH289" s="1100">
        <v>0</v>
      </c>
      <c r="AI289" s="1101">
        <f>IF($BI289=0,0,IF(SUM($AE289:AH289)&lt;($J289-12),12,$J289-SUM($AE289:AH289)))</f>
        <v>0</v>
      </c>
      <c r="AK289" s="1100"/>
      <c r="AL289" s="1100"/>
      <c r="AM289" s="1100"/>
      <c r="AN289" s="1100"/>
      <c r="AO289" s="1100">
        <v>0</v>
      </c>
      <c r="AQ289" s="153">
        <f t="shared" si="32"/>
        <v>0</v>
      </c>
      <c r="AR289" s="153">
        <f t="shared" si="33"/>
        <v>0</v>
      </c>
      <c r="AS289" s="153">
        <f t="shared" si="34"/>
        <v>0.25</v>
      </c>
      <c r="AT289" s="153">
        <f t="shared" si="35"/>
        <v>0</v>
      </c>
      <c r="AU289" s="153">
        <f t="shared" si="36"/>
        <v>0</v>
      </c>
      <c r="AW289" s="1543">
        <v>0.75</v>
      </c>
      <c r="AX289" s="1102"/>
      <c r="AY289" s="1544">
        <v>0.25</v>
      </c>
      <c r="BA289" s="1103">
        <v>0</v>
      </c>
      <c r="BB289" s="1103">
        <v>0</v>
      </c>
      <c r="BC289" s="1103">
        <v>0</v>
      </c>
      <c r="BD289" s="1103">
        <v>0</v>
      </c>
      <c r="BE289" s="1103">
        <v>0</v>
      </c>
      <c r="BF289" s="1103">
        <v>0</v>
      </c>
      <c r="BG289" s="1103">
        <v>0</v>
      </c>
      <c r="BH289" s="1103">
        <v>334.36851000000001</v>
      </c>
      <c r="BI289" s="1103">
        <v>0</v>
      </c>
      <c r="BJ289" s="1103">
        <v>0</v>
      </c>
    </row>
    <row r="290" spans="3:62" hidden="1" outlineLevel="1">
      <c r="C290" s="1083" t="s">
        <v>632</v>
      </c>
      <c r="D290" s="1062" t="s">
        <v>633</v>
      </c>
      <c r="E290" s="1083" t="s">
        <v>634</v>
      </c>
      <c r="F290" s="1095" t="s">
        <v>414</v>
      </c>
      <c r="G290" s="1096">
        <f t="shared" si="29"/>
        <v>0</v>
      </c>
      <c r="H290" s="1083" t="s">
        <v>29</v>
      </c>
      <c r="I290" s="1097">
        <v>0</v>
      </c>
      <c r="J290" s="1098">
        <f t="shared" si="30"/>
        <v>0</v>
      </c>
      <c r="K290" s="153">
        <f t="shared" si="31"/>
        <v>0</v>
      </c>
      <c r="L290" s="1099"/>
      <c r="M290" s="1100">
        <v>0</v>
      </c>
      <c r="N290" s="1101">
        <f>IF($BF290=0,0,IF(SUM($M290:M290)&lt;($J290-12),12,$J290-SUM($M290:M290)))</f>
        <v>0</v>
      </c>
      <c r="O290" s="1101">
        <f>IF($BF290=0,0,IF(SUM($M290:N290)&lt;($J290-12),12,$J290-SUM($M290:N290)))</f>
        <v>0</v>
      </c>
      <c r="P290" s="1101">
        <f>IF($BF290=0,0,IF(SUM($M290:O290)&lt;($J290-12),12,$J290-SUM($M290:O290)))</f>
        <v>0</v>
      </c>
      <c r="Q290" s="1101">
        <f>IF($BF290=0,0,IF(SUM($M290:P290)&lt;($J290-12),12,$J290-SUM($M290:P290)))</f>
        <v>0</v>
      </c>
      <c r="S290" s="1100"/>
      <c r="T290" s="1100">
        <v>0</v>
      </c>
      <c r="U290" s="1101">
        <f>IF($BG290=0,0,IF(SUM($S290:T290)&lt;($J290-12),12,$J290-SUM($S290:T290)))</f>
        <v>0</v>
      </c>
      <c r="V290" s="1101">
        <f>IF($BG290=0,0,IF(SUM($S290:U290)&lt;($J290-12),12,$J290-SUM($S290:U290)))</f>
        <v>0</v>
      </c>
      <c r="W290" s="1101">
        <f>IF($BG290=0,0,IF(SUM($S290:V290)&lt;($J290-12),12,$J290-SUM($S290:V290)))</f>
        <v>0</v>
      </c>
      <c r="Y290" s="1100"/>
      <c r="Z290" s="1100"/>
      <c r="AA290" s="1100">
        <v>0</v>
      </c>
      <c r="AB290" s="1101">
        <f>IF($BH290=0,0,IF(SUM($Y290:AA290)&lt;($J290-12),12,$J290-SUM($Y290:AA290)))</f>
        <v>0</v>
      </c>
      <c r="AC290" s="1101">
        <f>IF($BH290=0,0,IF(SUM($Y290:AB290)&lt;($J290-12),12,$J290-SUM($Y290:AB290)))</f>
        <v>0</v>
      </c>
      <c r="AE290" s="1100"/>
      <c r="AF290" s="1100"/>
      <c r="AG290" s="1100"/>
      <c r="AH290" s="1100">
        <v>0</v>
      </c>
      <c r="AI290" s="1101">
        <f>IF($BI290=0,0,IF(SUM($AE290:AH290)&lt;($J290-12),12,$J290-SUM($AE290:AH290)))</f>
        <v>0</v>
      </c>
      <c r="AK290" s="1100"/>
      <c r="AL290" s="1100"/>
      <c r="AM290" s="1100"/>
      <c r="AN290" s="1100"/>
      <c r="AO290" s="1100">
        <v>0</v>
      </c>
      <c r="AQ290" s="153">
        <f t="shared" si="32"/>
        <v>0</v>
      </c>
      <c r="AR290" s="153">
        <f t="shared" si="33"/>
        <v>0</v>
      </c>
      <c r="AS290" s="153">
        <f t="shared" si="34"/>
        <v>0</v>
      </c>
      <c r="AT290" s="153">
        <f t="shared" si="35"/>
        <v>0</v>
      </c>
      <c r="AU290" s="153">
        <f t="shared" si="36"/>
        <v>0</v>
      </c>
      <c r="AW290" s="1543">
        <v>0</v>
      </c>
      <c r="AX290" s="1102"/>
      <c r="AY290" s="1544">
        <v>0</v>
      </c>
      <c r="BA290" s="1103">
        <v>0</v>
      </c>
      <c r="BB290" s="1103">
        <v>0</v>
      </c>
      <c r="BC290" s="1103">
        <v>0</v>
      </c>
      <c r="BD290" s="1103">
        <v>0</v>
      </c>
      <c r="BE290" s="1103">
        <v>0</v>
      </c>
      <c r="BF290" s="1103">
        <v>0</v>
      </c>
      <c r="BG290" s="1103">
        <v>0</v>
      </c>
      <c r="BH290" s="1103">
        <v>0</v>
      </c>
      <c r="BI290" s="1103">
        <v>0</v>
      </c>
      <c r="BJ290" s="1103">
        <v>0</v>
      </c>
    </row>
    <row r="291" spans="3:62" hidden="1" outlineLevel="1">
      <c r="C291" s="1083" t="s">
        <v>635</v>
      </c>
      <c r="D291" s="1062" t="s">
        <v>633</v>
      </c>
      <c r="E291" s="1083" t="s">
        <v>636</v>
      </c>
      <c r="F291" s="1095" t="s">
        <v>414</v>
      </c>
      <c r="G291" s="1096">
        <f t="shared" si="29"/>
        <v>322.40484999999995</v>
      </c>
      <c r="H291" s="1083" t="s">
        <v>29</v>
      </c>
      <c r="I291" s="1097">
        <v>8</v>
      </c>
      <c r="J291" s="1098">
        <f t="shared" si="30"/>
        <v>96</v>
      </c>
      <c r="K291" s="153">
        <f t="shared" si="31"/>
        <v>0.125</v>
      </c>
      <c r="L291" s="1099"/>
      <c r="M291" s="1100">
        <v>0</v>
      </c>
      <c r="N291" s="1101">
        <f>IF($BF291=0,0,IF(SUM($M291:M291)&lt;($J291-12),12,$J291-SUM($M291:M291)))</f>
        <v>0</v>
      </c>
      <c r="O291" s="1101">
        <f>IF($BF291=0,0,IF(SUM($M291:N291)&lt;($J291-12),12,$J291-SUM($M291:N291)))</f>
        <v>0</v>
      </c>
      <c r="P291" s="1101">
        <f>IF($BF291=0,0,IF(SUM($M291:O291)&lt;($J291-12),12,$J291-SUM($M291:O291)))</f>
        <v>0</v>
      </c>
      <c r="Q291" s="1101">
        <f>IF($BF291=0,0,IF(SUM($M291:P291)&lt;($J291-12),12,$J291-SUM($M291:P291)))</f>
        <v>0</v>
      </c>
      <c r="S291" s="1100"/>
      <c r="T291" s="1100">
        <v>6</v>
      </c>
      <c r="U291" s="1101">
        <f>IF($BG291=0,0,IF(SUM($S291:T291)&lt;($J291-12),12,$J291-SUM($S291:T291)))</f>
        <v>12</v>
      </c>
      <c r="V291" s="1101">
        <f>IF($BG291=0,0,IF(SUM($S291:U291)&lt;($J291-12),12,$J291-SUM($S291:U291)))</f>
        <v>12</v>
      </c>
      <c r="W291" s="1101">
        <f>IF($BG291=0,0,IF(SUM($S291:V291)&lt;($J291-12),12,$J291-SUM($S291:V291)))</f>
        <v>12</v>
      </c>
      <c r="Y291" s="1100"/>
      <c r="Z291" s="1100"/>
      <c r="AA291" s="1100">
        <v>0</v>
      </c>
      <c r="AB291" s="1101">
        <f>IF($BH291=0,0,IF(SUM($Y291:AA291)&lt;($J291-12),12,$J291-SUM($Y291:AA291)))</f>
        <v>0</v>
      </c>
      <c r="AC291" s="1101">
        <f>IF($BH291=0,0,IF(SUM($Y291:AB291)&lt;($J291-12),12,$J291-SUM($Y291:AB291)))</f>
        <v>0</v>
      </c>
      <c r="AE291" s="1100"/>
      <c r="AF291" s="1100"/>
      <c r="AG291" s="1100"/>
      <c r="AH291" s="1100">
        <v>0</v>
      </c>
      <c r="AI291" s="1101">
        <f>IF($BI291=0,0,IF(SUM($AE291:AH291)&lt;($J291-12),12,$J291-SUM($AE291:AH291)))</f>
        <v>0</v>
      </c>
      <c r="AK291" s="1100"/>
      <c r="AL291" s="1100"/>
      <c r="AM291" s="1100"/>
      <c r="AN291" s="1100"/>
      <c r="AO291" s="1100">
        <v>0</v>
      </c>
      <c r="AQ291" s="153">
        <f t="shared" si="32"/>
        <v>0</v>
      </c>
      <c r="AR291" s="153">
        <f t="shared" si="33"/>
        <v>0.5</v>
      </c>
      <c r="AS291" s="153">
        <f t="shared" si="34"/>
        <v>0</v>
      </c>
      <c r="AT291" s="153">
        <f t="shared" si="35"/>
        <v>0</v>
      </c>
      <c r="AU291" s="153">
        <f t="shared" si="36"/>
        <v>0</v>
      </c>
      <c r="AW291" s="1543">
        <v>0.75</v>
      </c>
      <c r="AX291" s="1102"/>
      <c r="AY291" s="1544">
        <v>0.25</v>
      </c>
      <c r="BA291" s="1103">
        <v>0</v>
      </c>
      <c r="BB291" s="1103">
        <v>0</v>
      </c>
      <c r="BC291" s="1103">
        <v>0</v>
      </c>
      <c r="BD291" s="1103">
        <v>0</v>
      </c>
      <c r="BE291" s="1103">
        <v>0</v>
      </c>
      <c r="BF291" s="1103">
        <v>0</v>
      </c>
      <c r="BG291" s="1103">
        <v>322.40484999999995</v>
      </c>
      <c r="BH291" s="1103">
        <v>0</v>
      </c>
      <c r="BI291" s="1103">
        <v>0</v>
      </c>
      <c r="BJ291" s="1103">
        <v>0</v>
      </c>
    </row>
    <row r="292" spans="3:62" hidden="1" outlineLevel="1">
      <c r="C292" s="1083" t="s">
        <v>637</v>
      </c>
      <c r="D292" s="1062" t="s">
        <v>637</v>
      </c>
      <c r="E292" s="1083" t="s">
        <v>638</v>
      </c>
      <c r="F292" s="1095" t="s">
        <v>414</v>
      </c>
      <c r="G292" s="1096">
        <f t="shared" si="29"/>
        <v>300</v>
      </c>
      <c r="H292" s="1083" t="s">
        <v>29</v>
      </c>
      <c r="I292" s="1097">
        <v>8</v>
      </c>
      <c r="J292" s="1098">
        <f t="shared" si="30"/>
        <v>96</v>
      </c>
      <c r="K292" s="153">
        <f t="shared" si="31"/>
        <v>0.125</v>
      </c>
      <c r="L292" s="1099"/>
      <c r="M292" s="1100">
        <v>0</v>
      </c>
      <c r="N292" s="1101">
        <f>IF($BF292=0,0,IF(SUM($M292:M292)&lt;($J292-12),12,$J292-SUM($M292:M292)))</f>
        <v>0</v>
      </c>
      <c r="O292" s="1101">
        <f>IF($BF292=0,0,IF(SUM($M292:N292)&lt;($J292-12),12,$J292-SUM($M292:N292)))</f>
        <v>0</v>
      </c>
      <c r="P292" s="1101">
        <f>IF($BF292=0,0,IF(SUM($M292:O292)&lt;($J292-12),12,$J292-SUM($M292:O292)))</f>
        <v>0</v>
      </c>
      <c r="Q292" s="1101">
        <f>IF($BF292=0,0,IF(SUM($M292:P292)&lt;($J292-12),12,$J292-SUM($M292:P292)))</f>
        <v>0</v>
      </c>
      <c r="S292" s="1100"/>
      <c r="T292" s="1100">
        <v>0</v>
      </c>
      <c r="U292" s="1101">
        <f>IF($BG292=0,0,IF(SUM($S292:T292)&lt;($J292-12),12,$J292-SUM($S292:T292)))</f>
        <v>0</v>
      </c>
      <c r="V292" s="1101">
        <f>IF($BG292=0,0,IF(SUM($S292:U292)&lt;($J292-12),12,$J292-SUM($S292:U292)))</f>
        <v>0</v>
      </c>
      <c r="W292" s="1101">
        <f>IF($BG292=0,0,IF(SUM($S292:V292)&lt;($J292-12),12,$J292-SUM($S292:V292)))</f>
        <v>0</v>
      </c>
      <c r="Y292" s="1100"/>
      <c r="Z292" s="1100"/>
      <c r="AA292" s="1100">
        <v>0</v>
      </c>
      <c r="AB292" s="1101">
        <f>IF($BH292=0,0,IF(SUM($Y292:AA292)&lt;($J292-12),12,$J292-SUM($Y292:AA292)))</f>
        <v>0</v>
      </c>
      <c r="AC292" s="1101">
        <f>IF($BH292=0,0,IF(SUM($Y292:AB292)&lt;($J292-12),12,$J292-SUM($Y292:AB292)))</f>
        <v>0</v>
      </c>
      <c r="AE292" s="1100"/>
      <c r="AF292" s="1100"/>
      <c r="AG292" s="1100"/>
      <c r="AH292" s="1100">
        <v>12</v>
      </c>
      <c r="AI292" s="1101">
        <f>IF($BI292=0,0,IF(SUM($AE292:AH292)&lt;($J292-12),12,$J292-SUM($AE292:AH292)))</f>
        <v>12</v>
      </c>
      <c r="AK292" s="1100"/>
      <c r="AL292" s="1100"/>
      <c r="AM292" s="1100"/>
      <c r="AN292" s="1100"/>
      <c r="AO292" s="1100">
        <v>0</v>
      </c>
      <c r="AQ292" s="153">
        <f t="shared" si="32"/>
        <v>0</v>
      </c>
      <c r="AR292" s="153">
        <f t="shared" si="33"/>
        <v>0</v>
      </c>
      <c r="AS292" s="153">
        <f t="shared" si="34"/>
        <v>0</v>
      </c>
      <c r="AT292" s="153">
        <f t="shared" si="35"/>
        <v>1</v>
      </c>
      <c r="AU292" s="153">
        <f t="shared" si="36"/>
        <v>0</v>
      </c>
      <c r="AW292" s="1543">
        <v>0.75</v>
      </c>
      <c r="AX292" s="1102"/>
      <c r="AY292" s="1544">
        <v>0.25</v>
      </c>
      <c r="BA292" s="1103">
        <v>0</v>
      </c>
      <c r="BB292" s="1103">
        <v>0</v>
      </c>
      <c r="BC292" s="1103">
        <v>0</v>
      </c>
      <c r="BD292" s="1103">
        <v>0</v>
      </c>
      <c r="BE292" s="1103">
        <v>0</v>
      </c>
      <c r="BF292" s="1103">
        <v>0</v>
      </c>
      <c r="BG292" s="1103">
        <v>0</v>
      </c>
      <c r="BH292" s="1103">
        <v>0</v>
      </c>
      <c r="BI292" s="1103">
        <v>300</v>
      </c>
      <c r="BJ292" s="1103">
        <v>0</v>
      </c>
    </row>
    <row r="293" spans="3:62" hidden="1" outlineLevel="1">
      <c r="C293" s="1083" t="s">
        <v>639</v>
      </c>
      <c r="D293" s="1062" t="s">
        <v>639</v>
      </c>
      <c r="E293" s="1083" t="s">
        <v>640</v>
      </c>
      <c r="F293" s="1095" t="s">
        <v>414</v>
      </c>
      <c r="G293" s="1096">
        <f t="shared" si="29"/>
        <v>0</v>
      </c>
      <c r="H293" s="1083" t="s">
        <v>29</v>
      </c>
      <c r="I293" s="1097">
        <v>0</v>
      </c>
      <c r="J293" s="1098">
        <f t="shared" si="30"/>
        <v>0</v>
      </c>
      <c r="K293" s="153">
        <f t="shared" si="31"/>
        <v>0</v>
      </c>
      <c r="L293" s="1099"/>
      <c r="M293" s="1100">
        <v>0</v>
      </c>
      <c r="N293" s="1101">
        <f>IF($BF293=0,0,IF(SUM($M293:M293)&lt;($J293-12),12,$J293-SUM($M293:M293)))</f>
        <v>0</v>
      </c>
      <c r="O293" s="1101">
        <f>IF($BF293=0,0,IF(SUM($M293:N293)&lt;($J293-12),12,$J293-SUM($M293:N293)))</f>
        <v>0</v>
      </c>
      <c r="P293" s="1101">
        <f>IF($BF293=0,0,IF(SUM($M293:O293)&lt;($J293-12),12,$J293-SUM($M293:O293)))</f>
        <v>0</v>
      </c>
      <c r="Q293" s="1101">
        <f>IF($BF293=0,0,IF(SUM($M293:P293)&lt;($J293-12),12,$J293-SUM($M293:P293)))</f>
        <v>0</v>
      </c>
      <c r="S293" s="1100"/>
      <c r="T293" s="1100">
        <v>0</v>
      </c>
      <c r="U293" s="1101">
        <f>IF($BG293=0,0,IF(SUM($S293:T293)&lt;($J293-12),12,$J293-SUM($S293:T293)))</f>
        <v>0</v>
      </c>
      <c r="V293" s="1101">
        <f>IF($BG293=0,0,IF(SUM($S293:U293)&lt;($J293-12),12,$J293-SUM($S293:U293)))</f>
        <v>0</v>
      </c>
      <c r="W293" s="1101">
        <f>IF($BG293=0,0,IF(SUM($S293:V293)&lt;($J293-12),12,$J293-SUM($S293:V293)))</f>
        <v>0</v>
      </c>
      <c r="Y293" s="1100"/>
      <c r="Z293" s="1100"/>
      <c r="AA293" s="1100">
        <v>0</v>
      </c>
      <c r="AB293" s="1101">
        <f>IF($BH293=0,0,IF(SUM($Y293:AA293)&lt;($J293-12),12,$J293-SUM($Y293:AA293)))</f>
        <v>0</v>
      </c>
      <c r="AC293" s="1101">
        <f>IF($BH293=0,0,IF(SUM($Y293:AB293)&lt;($J293-12),12,$J293-SUM($Y293:AB293)))</f>
        <v>0</v>
      </c>
      <c r="AE293" s="1100"/>
      <c r="AF293" s="1100"/>
      <c r="AG293" s="1100"/>
      <c r="AH293" s="1100">
        <v>0</v>
      </c>
      <c r="AI293" s="1101">
        <f>IF($BI293=0,0,IF(SUM($AE293:AH293)&lt;($J293-12),12,$J293-SUM($AE293:AH293)))</f>
        <v>0</v>
      </c>
      <c r="AK293" s="1100"/>
      <c r="AL293" s="1100"/>
      <c r="AM293" s="1100"/>
      <c r="AN293" s="1100"/>
      <c r="AO293" s="1100">
        <v>0</v>
      </c>
      <c r="AQ293" s="153">
        <f t="shared" si="32"/>
        <v>0</v>
      </c>
      <c r="AR293" s="153">
        <f t="shared" si="33"/>
        <v>0</v>
      </c>
      <c r="AS293" s="153">
        <f t="shared" si="34"/>
        <v>0</v>
      </c>
      <c r="AT293" s="153">
        <f t="shared" si="35"/>
        <v>0</v>
      </c>
      <c r="AU293" s="153">
        <f t="shared" si="36"/>
        <v>0</v>
      </c>
      <c r="AW293" s="1543">
        <v>0</v>
      </c>
      <c r="AX293" s="1102"/>
      <c r="AY293" s="1544">
        <v>0</v>
      </c>
      <c r="BA293" s="1103">
        <v>0</v>
      </c>
      <c r="BB293" s="1103">
        <v>0</v>
      </c>
      <c r="BC293" s="1103">
        <v>0</v>
      </c>
      <c r="BD293" s="1103">
        <v>0</v>
      </c>
      <c r="BE293" s="1103">
        <v>0</v>
      </c>
      <c r="BF293" s="1103">
        <v>0</v>
      </c>
      <c r="BG293" s="1103">
        <v>0</v>
      </c>
      <c r="BH293" s="1103">
        <v>0</v>
      </c>
      <c r="BI293" s="1103">
        <v>0</v>
      </c>
      <c r="BJ293" s="1103">
        <v>0</v>
      </c>
    </row>
    <row r="294" spans="3:62" hidden="1" outlineLevel="1">
      <c r="C294" s="1083" t="s">
        <v>641</v>
      </c>
      <c r="D294" s="1062" t="s">
        <v>639</v>
      </c>
      <c r="E294" s="1083" t="s">
        <v>640</v>
      </c>
      <c r="F294" s="1095" t="s">
        <v>414</v>
      </c>
      <c r="G294" s="1096">
        <f t="shared" si="29"/>
        <v>300</v>
      </c>
      <c r="H294" s="1083" t="s">
        <v>29</v>
      </c>
      <c r="I294" s="1097">
        <v>8</v>
      </c>
      <c r="J294" s="1098">
        <f t="shared" si="30"/>
        <v>96</v>
      </c>
      <c r="K294" s="153">
        <f t="shared" si="31"/>
        <v>0.125</v>
      </c>
      <c r="L294" s="1099"/>
      <c r="M294" s="1100">
        <v>0</v>
      </c>
      <c r="N294" s="1101">
        <f>IF($BF294=0,0,IF(SUM($M294:M294)&lt;($J294-12),12,$J294-SUM($M294:M294)))</f>
        <v>0</v>
      </c>
      <c r="O294" s="1101">
        <f>IF($BF294=0,0,IF(SUM($M294:N294)&lt;($J294-12),12,$J294-SUM($M294:N294)))</f>
        <v>0</v>
      </c>
      <c r="P294" s="1101">
        <f>IF($BF294=0,0,IF(SUM($M294:O294)&lt;($J294-12),12,$J294-SUM($M294:O294)))</f>
        <v>0</v>
      </c>
      <c r="Q294" s="1101">
        <f>IF($BF294=0,0,IF(SUM($M294:P294)&lt;($J294-12),12,$J294-SUM($M294:P294)))</f>
        <v>0</v>
      </c>
      <c r="S294" s="1100"/>
      <c r="T294" s="1100">
        <v>0</v>
      </c>
      <c r="U294" s="1101">
        <f>IF($BG294=0,0,IF(SUM($S294:T294)&lt;($J294-12),12,$J294-SUM($S294:T294)))</f>
        <v>0</v>
      </c>
      <c r="V294" s="1101">
        <f>IF($BG294=0,0,IF(SUM($S294:U294)&lt;($J294-12),12,$J294-SUM($S294:U294)))</f>
        <v>0</v>
      </c>
      <c r="W294" s="1101">
        <f>IF($BG294=0,0,IF(SUM($S294:V294)&lt;($J294-12),12,$J294-SUM($S294:V294)))</f>
        <v>0</v>
      </c>
      <c r="Y294" s="1100"/>
      <c r="Z294" s="1100"/>
      <c r="AA294" s="1100">
        <v>3</v>
      </c>
      <c r="AB294" s="1101">
        <f>IF($BH294=0,0,IF(SUM($Y294:AA294)&lt;($J294-12),12,$J294-SUM($Y294:AA294)))</f>
        <v>12</v>
      </c>
      <c r="AC294" s="1101">
        <f>IF($BH294=0,0,IF(SUM($Y294:AB294)&lt;($J294-12),12,$J294-SUM($Y294:AB294)))</f>
        <v>12</v>
      </c>
      <c r="AE294" s="1100"/>
      <c r="AF294" s="1100"/>
      <c r="AG294" s="1100"/>
      <c r="AH294" s="1100">
        <v>3</v>
      </c>
      <c r="AI294" s="1101">
        <f>IF($BI294=0,0,IF(SUM($AE294:AH294)&lt;($J294-12),12,$J294-SUM($AE294:AH294)))</f>
        <v>12</v>
      </c>
      <c r="AK294" s="1100"/>
      <c r="AL294" s="1100"/>
      <c r="AM294" s="1100"/>
      <c r="AN294" s="1100"/>
      <c r="AO294" s="1100">
        <v>0</v>
      </c>
      <c r="AQ294" s="153">
        <f t="shared" si="32"/>
        <v>0</v>
      </c>
      <c r="AR294" s="153">
        <f t="shared" si="33"/>
        <v>0</v>
      </c>
      <c r="AS294" s="153">
        <f t="shared" si="34"/>
        <v>0.25</v>
      </c>
      <c r="AT294" s="153">
        <f t="shared" si="35"/>
        <v>0.25</v>
      </c>
      <c r="AU294" s="153">
        <f t="shared" si="36"/>
        <v>0</v>
      </c>
      <c r="AW294" s="1543">
        <v>0.75</v>
      </c>
      <c r="AX294" s="1102"/>
      <c r="AY294" s="1544">
        <v>0.25</v>
      </c>
      <c r="BA294" s="1103">
        <v>0</v>
      </c>
      <c r="BB294" s="1103">
        <v>0</v>
      </c>
      <c r="BC294" s="1103">
        <v>0</v>
      </c>
      <c r="BD294" s="1103">
        <v>0</v>
      </c>
      <c r="BE294" s="1103">
        <v>0</v>
      </c>
      <c r="BF294" s="1103">
        <v>0</v>
      </c>
      <c r="BG294" s="1103">
        <v>0</v>
      </c>
      <c r="BH294" s="1103">
        <v>150</v>
      </c>
      <c r="BI294" s="1103">
        <v>150</v>
      </c>
      <c r="BJ294" s="1103">
        <v>0</v>
      </c>
    </row>
    <row r="295" spans="3:62" hidden="1" outlineLevel="1">
      <c r="C295" s="1083" t="s">
        <v>642</v>
      </c>
      <c r="D295" s="1062" t="s">
        <v>642</v>
      </c>
      <c r="E295" s="1083" t="s">
        <v>643</v>
      </c>
      <c r="F295" s="1095" t="s">
        <v>414</v>
      </c>
      <c r="G295" s="1096">
        <f t="shared" si="29"/>
        <v>0</v>
      </c>
      <c r="H295" s="1083" t="s">
        <v>29</v>
      </c>
      <c r="I295" s="1097">
        <v>0</v>
      </c>
      <c r="J295" s="1098">
        <f t="shared" si="30"/>
        <v>0</v>
      </c>
      <c r="K295" s="153">
        <f t="shared" si="31"/>
        <v>0</v>
      </c>
      <c r="L295" s="1099"/>
      <c r="M295" s="1100">
        <v>0</v>
      </c>
      <c r="N295" s="1101">
        <f>IF($BF295=0,0,IF(SUM($M295:M295)&lt;($J295-12),12,$J295-SUM($M295:M295)))</f>
        <v>0</v>
      </c>
      <c r="O295" s="1101">
        <f>IF($BF295=0,0,IF(SUM($M295:N295)&lt;($J295-12),12,$J295-SUM($M295:N295)))</f>
        <v>0</v>
      </c>
      <c r="P295" s="1101">
        <f>IF($BF295=0,0,IF(SUM($M295:O295)&lt;($J295-12),12,$J295-SUM($M295:O295)))</f>
        <v>0</v>
      </c>
      <c r="Q295" s="1101">
        <f>IF($BF295=0,0,IF(SUM($M295:P295)&lt;($J295-12),12,$J295-SUM($M295:P295)))</f>
        <v>0</v>
      </c>
      <c r="S295" s="1100"/>
      <c r="T295" s="1100">
        <v>0</v>
      </c>
      <c r="U295" s="1101">
        <f>IF($BG295=0,0,IF(SUM($S295:T295)&lt;($J295-12),12,$J295-SUM($S295:T295)))</f>
        <v>0</v>
      </c>
      <c r="V295" s="1101">
        <f>IF($BG295=0,0,IF(SUM($S295:U295)&lt;($J295-12),12,$J295-SUM($S295:U295)))</f>
        <v>0</v>
      </c>
      <c r="W295" s="1101">
        <f>IF($BG295=0,0,IF(SUM($S295:V295)&lt;($J295-12),12,$J295-SUM($S295:V295)))</f>
        <v>0</v>
      </c>
      <c r="Y295" s="1100"/>
      <c r="Z295" s="1100"/>
      <c r="AA295" s="1100">
        <v>0</v>
      </c>
      <c r="AB295" s="1101">
        <f>IF($BH295=0,0,IF(SUM($Y295:AA295)&lt;($J295-12),12,$J295-SUM($Y295:AA295)))</f>
        <v>0</v>
      </c>
      <c r="AC295" s="1101">
        <f>IF($BH295=0,0,IF(SUM($Y295:AB295)&lt;($J295-12),12,$J295-SUM($Y295:AB295)))</f>
        <v>0</v>
      </c>
      <c r="AE295" s="1100"/>
      <c r="AF295" s="1100"/>
      <c r="AG295" s="1100"/>
      <c r="AH295" s="1100">
        <v>0</v>
      </c>
      <c r="AI295" s="1101">
        <f>IF($BI295=0,0,IF(SUM($AE295:AH295)&lt;($J295-12),12,$J295-SUM($AE295:AH295)))</f>
        <v>0</v>
      </c>
      <c r="AK295" s="1100"/>
      <c r="AL295" s="1100"/>
      <c r="AM295" s="1100"/>
      <c r="AN295" s="1100"/>
      <c r="AO295" s="1100">
        <v>0</v>
      </c>
      <c r="AQ295" s="153">
        <f t="shared" si="32"/>
        <v>0</v>
      </c>
      <c r="AR295" s="153">
        <f t="shared" si="33"/>
        <v>0</v>
      </c>
      <c r="AS295" s="153">
        <f t="shared" si="34"/>
        <v>0</v>
      </c>
      <c r="AT295" s="153">
        <f t="shared" si="35"/>
        <v>0</v>
      </c>
      <c r="AU295" s="153">
        <f t="shared" si="36"/>
        <v>0</v>
      </c>
      <c r="AW295" s="1543">
        <v>0</v>
      </c>
      <c r="AX295" s="1102"/>
      <c r="AY295" s="1544">
        <v>0</v>
      </c>
      <c r="BA295" s="1103">
        <v>0</v>
      </c>
      <c r="BB295" s="1103">
        <v>0</v>
      </c>
      <c r="BC295" s="1103">
        <v>0</v>
      </c>
      <c r="BD295" s="1103">
        <v>0</v>
      </c>
      <c r="BE295" s="1103">
        <v>0</v>
      </c>
      <c r="BF295" s="1103">
        <v>0</v>
      </c>
      <c r="BG295" s="1103">
        <v>0</v>
      </c>
      <c r="BH295" s="1103">
        <v>0</v>
      </c>
      <c r="BI295" s="1103">
        <v>0</v>
      </c>
      <c r="BJ295" s="1103">
        <v>0</v>
      </c>
    </row>
    <row r="296" spans="3:62" hidden="1" outlineLevel="1">
      <c r="C296" s="1083" t="s">
        <v>644</v>
      </c>
      <c r="D296" s="1062" t="s">
        <v>642</v>
      </c>
      <c r="E296" s="1083" t="s">
        <v>645</v>
      </c>
      <c r="F296" s="1095" t="s">
        <v>414</v>
      </c>
      <c r="G296" s="1096">
        <f t="shared" si="29"/>
        <v>150</v>
      </c>
      <c r="H296" s="1083" t="s">
        <v>29</v>
      </c>
      <c r="I296" s="1097">
        <v>3</v>
      </c>
      <c r="J296" s="1098">
        <f t="shared" si="30"/>
        <v>36</v>
      </c>
      <c r="K296" s="153">
        <f t="shared" si="31"/>
        <v>0.33333333333333331</v>
      </c>
      <c r="L296" s="1099"/>
      <c r="M296" s="1100">
        <v>0</v>
      </c>
      <c r="N296" s="1101">
        <f>IF($BF296=0,0,IF(SUM($M296:M296)&lt;($J296-12),12,$J296-SUM($M296:M296)))</f>
        <v>0</v>
      </c>
      <c r="O296" s="1101">
        <f>IF($BF296=0,0,IF(SUM($M296:N296)&lt;($J296-12),12,$J296-SUM($M296:N296)))</f>
        <v>0</v>
      </c>
      <c r="P296" s="1101">
        <f>IF($BF296=0,0,IF(SUM($M296:O296)&lt;($J296-12),12,$J296-SUM($M296:O296)))</f>
        <v>0</v>
      </c>
      <c r="Q296" s="1101">
        <f>IF($BF296=0,0,IF(SUM($M296:P296)&lt;($J296-12),12,$J296-SUM($M296:P296)))</f>
        <v>0</v>
      </c>
      <c r="S296" s="1100"/>
      <c r="T296" s="1100">
        <v>6</v>
      </c>
      <c r="U296" s="1101">
        <f>IF($BG296=0,0,IF(SUM($S296:T296)&lt;($J296-12),12,$J296-SUM($S296:T296)))</f>
        <v>12</v>
      </c>
      <c r="V296" s="1101">
        <f>IF($BG296=0,0,IF(SUM($S296:U296)&lt;($J296-12),12,$J296-SUM($S296:U296)))</f>
        <v>12</v>
      </c>
      <c r="W296" s="1101">
        <f>IF($BG296=0,0,IF(SUM($S296:V296)&lt;($J296-12),12,$J296-SUM($S296:V296)))</f>
        <v>6</v>
      </c>
      <c r="Y296" s="1100"/>
      <c r="Z296" s="1100"/>
      <c r="AA296" s="1100">
        <v>9</v>
      </c>
      <c r="AB296" s="1101">
        <f>IF($BH296=0,0,IF(SUM($Y296:AA296)&lt;($J296-12),12,$J296-SUM($Y296:AA296)))</f>
        <v>12</v>
      </c>
      <c r="AC296" s="1101">
        <f>IF($BH296=0,0,IF(SUM($Y296:AB296)&lt;($J296-12),12,$J296-SUM($Y296:AB296)))</f>
        <v>12</v>
      </c>
      <c r="AE296" s="1100"/>
      <c r="AF296" s="1100"/>
      <c r="AG296" s="1100"/>
      <c r="AH296" s="1100">
        <v>0</v>
      </c>
      <c r="AI296" s="1101">
        <f>IF($BI296=0,0,IF(SUM($AE296:AH296)&lt;($J296-12),12,$J296-SUM($AE296:AH296)))</f>
        <v>0</v>
      </c>
      <c r="AK296" s="1100"/>
      <c r="AL296" s="1100"/>
      <c r="AM296" s="1100"/>
      <c r="AN296" s="1100"/>
      <c r="AO296" s="1100">
        <v>0</v>
      </c>
      <c r="AQ296" s="153">
        <f t="shared" si="32"/>
        <v>0</v>
      </c>
      <c r="AR296" s="153">
        <f t="shared" si="33"/>
        <v>0.5</v>
      </c>
      <c r="AS296" s="153">
        <f t="shared" si="34"/>
        <v>0.75</v>
      </c>
      <c r="AT296" s="153">
        <f t="shared" si="35"/>
        <v>0</v>
      </c>
      <c r="AU296" s="153">
        <f t="shared" si="36"/>
        <v>0</v>
      </c>
      <c r="AW296" s="1543">
        <v>0.73</v>
      </c>
      <c r="AX296" s="1102"/>
      <c r="AY296" s="1544">
        <v>0.15</v>
      </c>
      <c r="BA296" s="1103">
        <v>0</v>
      </c>
      <c r="BB296" s="1103">
        <v>0</v>
      </c>
      <c r="BC296" s="1103">
        <v>0</v>
      </c>
      <c r="BD296" s="1103">
        <v>0</v>
      </c>
      <c r="BE296" s="1103">
        <v>0</v>
      </c>
      <c r="BF296" s="1103">
        <v>0</v>
      </c>
      <c r="BG296" s="1103">
        <v>75</v>
      </c>
      <c r="BH296" s="1103">
        <v>75</v>
      </c>
      <c r="BI296" s="1103">
        <v>0</v>
      </c>
      <c r="BJ296" s="1103">
        <v>0</v>
      </c>
    </row>
    <row r="297" spans="3:62" hidden="1" outlineLevel="1">
      <c r="C297" s="1083" t="s">
        <v>646</v>
      </c>
      <c r="D297" s="1062" t="s">
        <v>642</v>
      </c>
      <c r="E297" s="1083" t="s">
        <v>645</v>
      </c>
      <c r="F297" s="1095" t="s">
        <v>414</v>
      </c>
      <c r="G297" s="1096">
        <f t="shared" si="29"/>
        <v>150</v>
      </c>
      <c r="H297" s="1083" t="s">
        <v>29</v>
      </c>
      <c r="I297" s="1097">
        <v>3</v>
      </c>
      <c r="J297" s="1098">
        <f t="shared" si="30"/>
        <v>36</v>
      </c>
      <c r="K297" s="153">
        <f t="shared" si="31"/>
        <v>0.33333333333333331</v>
      </c>
      <c r="L297" s="1099"/>
      <c r="M297" s="1100">
        <v>0</v>
      </c>
      <c r="N297" s="1101">
        <f>IF($BF297=0,0,IF(SUM($M297:M297)&lt;($J297-12),12,$J297-SUM($M297:M297)))</f>
        <v>0</v>
      </c>
      <c r="O297" s="1101">
        <f>IF($BF297=0,0,IF(SUM($M297:N297)&lt;($J297-12),12,$J297-SUM($M297:N297)))</f>
        <v>0</v>
      </c>
      <c r="P297" s="1101">
        <f>IF($BF297=0,0,IF(SUM($M297:O297)&lt;($J297-12),12,$J297-SUM($M297:O297)))</f>
        <v>0</v>
      </c>
      <c r="Q297" s="1101">
        <f>IF($BF297=0,0,IF(SUM($M297:P297)&lt;($J297-12),12,$J297-SUM($M297:P297)))</f>
        <v>0</v>
      </c>
      <c r="S297" s="1100"/>
      <c r="T297" s="1100">
        <v>6</v>
      </c>
      <c r="U297" s="1101">
        <f>IF($BG297=0,0,IF(SUM($S297:T297)&lt;($J297-12),12,$J297-SUM($S297:T297)))</f>
        <v>12</v>
      </c>
      <c r="V297" s="1101">
        <f>IF($BG297=0,0,IF(SUM($S297:U297)&lt;($J297-12),12,$J297-SUM($S297:U297)))</f>
        <v>12</v>
      </c>
      <c r="W297" s="1101">
        <f>IF($BG297=0,0,IF(SUM($S297:V297)&lt;($J297-12),12,$J297-SUM($S297:V297)))</f>
        <v>6</v>
      </c>
      <c r="Y297" s="1100"/>
      <c r="Z297" s="1100"/>
      <c r="AA297" s="1100">
        <v>9</v>
      </c>
      <c r="AB297" s="1101">
        <f>IF($BH297=0,0,IF(SUM($Y297:AA297)&lt;($J297-12),12,$J297-SUM($Y297:AA297)))</f>
        <v>12</v>
      </c>
      <c r="AC297" s="1101">
        <f>IF($BH297=0,0,IF(SUM($Y297:AB297)&lt;($J297-12),12,$J297-SUM($Y297:AB297)))</f>
        <v>12</v>
      </c>
      <c r="AE297" s="1100"/>
      <c r="AF297" s="1100"/>
      <c r="AG297" s="1100"/>
      <c r="AH297" s="1100">
        <v>0</v>
      </c>
      <c r="AI297" s="1101">
        <f>IF($BI297=0,0,IF(SUM($AE297:AH297)&lt;($J297-12),12,$J297-SUM($AE297:AH297)))</f>
        <v>0</v>
      </c>
      <c r="AK297" s="1100"/>
      <c r="AL297" s="1100"/>
      <c r="AM297" s="1100"/>
      <c r="AN297" s="1100"/>
      <c r="AO297" s="1100">
        <v>0</v>
      </c>
      <c r="AQ297" s="153">
        <f t="shared" si="32"/>
        <v>0</v>
      </c>
      <c r="AR297" s="153">
        <f t="shared" si="33"/>
        <v>0.5</v>
      </c>
      <c r="AS297" s="153">
        <f t="shared" si="34"/>
        <v>0.75</v>
      </c>
      <c r="AT297" s="153">
        <f t="shared" si="35"/>
        <v>0</v>
      </c>
      <c r="AU297" s="153">
        <f t="shared" si="36"/>
        <v>0</v>
      </c>
      <c r="AW297" s="1543">
        <v>0.75</v>
      </c>
      <c r="AX297" s="1102"/>
      <c r="AY297" s="1544">
        <v>0.25</v>
      </c>
      <c r="BA297" s="1103">
        <v>0</v>
      </c>
      <c r="BB297" s="1103">
        <v>0</v>
      </c>
      <c r="BC297" s="1103">
        <v>0</v>
      </c>
      <c r="BD297" s="1103">
        <v>0</v>
      </c>
      <c r="BE297" s="1103">
        <v>0</v>
      </c>
      <c r="BF297" s="1103">
        <v>0</v>
      </c>
      <c r="BG297" s="1103">
        <v>75</v>
      </c>
      <c r="BH297" s="1103">
        <v>75</v>
      </c>
      <c r="BI297" s="1103">
        <v>0</v>
      </c>
      <c r="BJ297" s="1103">
        <v>0</v>
      </c>
    </row>
    <row r="298" spans="3:62" hidden="1" outlineLevel="1">
      <c r="C298" s="1083" t="s">
        <v>647</v>
      </c>
      <c r="D298" s="1062" t="s">
        <v>648</v>
      </c>
      <c r="E298" s="1083" t="s">
        <v>649</v>
      </c>
      <c r="F298" s="1095" t="s">
        <v>414</v>
      </c>
      <c r="G298" s="1096">
        <f t="shared" si="29"/>
        <v>0</v>
      </c>
      <c r="H298" s="1083" t="s">
        <v>29</v>
      </c>
      <c r="I298" s="1097">
        <v>0</v>
      </c>
      <c r="J298" s="1098">
        <f t="shared" si="30"/>
        <v>0</v>
      </c>
      <c r="K298" s="153">
        <f t="shared" si="31"/>
        <v>0</v>
      </c>
      <c r="L298" s="1099"/>
      <c r="M298" s="1100">
        <v>0</v>
      </c>
      <c r="N298" s="1101">
        <f>IF($BF298=0,0,IF(SUM($M298:M298)&lt;($J298-12),12,$J298-SUM($M298:M298)))</f>
        <v>0</v>
      </c>
      <c r="O298" s="1101">
        <f>IF($BF298=0,0,IF(SUM($M298:N298)&lt;($J298-12),12,$J298-SUM($M298:N298)))</f>
        <v>0</v>
      </c>
      <c r="P298" s="1101">
        <f>IF($BF298=0,0,IF(SUM($M298:O298)&lt;($J298-12),12,$J298-SUM($M298:O298)))</f>
        <v>0</v>
      </c>
      <c r="Q298" s="1101">
        <f>IF($BF298=0,0,IF(SUM($M298:P298)&lt;($J298-12),12,$J298-SUM($M298:P298)))</f>
        <v>0</v>
      </c>
      <c r="S298" s="1100"/>
      <c r="T298" s="1100">
        <v>0</v>
      </c>
      <c r="U298" s="1101">
        <f>IF($BG298=0,0,IF(SUM($S298:T298)&lt;($J298-12),12,$J298-SUM($S298:T298)))</f>
        <v>0</v>
      </c>
      <c r="V298" s="1101">
        <f>IF($BG298=0,0,IF(SUM($S298:U298)&lt;($J298-12),12,$J298-SUM($S298:U298)))</f>
        <v>0</v>
      </c>
      <c r="W298" s="1101">
        <f>IF($BG298=0,0,IF(SUM($S298:V298)&lt;($J298-12),12,$J298-SUM($S298:V298)))</f>
        <v>0</v>
      </c>
      <c r="Y298" s="1100"/>
      <c r="Z298" s="1100"/>
      <c r="AA298" s="1100">
        <v>0</v>
      </c>
      <c r="AB298" s="1101">
        <f>IF($BH298=0,0,IF(SUM($Y298:AA298)&lt;($J298-12),12,$J298-SUM($Y298:AA298)))</f>
        <v>0</v>
      </c>
      <c r="AC298" s="1101">
        <f>IF($BH298=0,0,IF(SUM($Y298:AB298)&lt;($J298-12),12,$J298-SUM($Y298:AB298)))</f>
        <v>0</v>
      </c>
      <c r="AE298" s="1100"/>
      <c r="AF298" s="1100"/>
      <c r="AG298" s="1100"/>
      <c r="AH298" s="1100">
        <v>0</v>
      </c>
      <c r="AI298" s="1101">
        <f>IF($BI298=0,0,IF(SUM($AE298:AH298)&lt;($J298-12),12,$J298-SUM($AE298:AH298)))</f>
        <v>0</v>
      </c>
      <c r="AK298" s="1100"/>
      <c r="AL298" s="1100"/>
      <c r="AM298" s="1100"/>
      <c r="AN298" s="1100"/>
      <c r="AO298" s="1100">
        <v>0</v>
      </c>
      <c r="AQ298" s="153">
        <f t="shared" si="32"/>
        <v>0</v>
      </c>
      <c r="AR298" s="153">
        <f t="shared" si="33"/>
        <v>0</v>
      </c>
      <c r="AS298" s="153">
        <f t="shared" si="34"/>
        <v>0</v>
      </c>
      <c r="AT298" s="153">
        <f t="shared" si="35"/>
        <v>0</v>
      </c>
      <c r="AU298" s="153">
        <f t="shared" si="36"/>
        <v>0</v>
      </c>
      <c r="AW298" s="1543">
        <v>0</v>
      </c>
      <c r="AX298" s="1102"/>
      <c r="AY298" s="1544">
        <v>0</v>
      </c>
      <c r="BA298" s="1103">
        <v>0</v>
      </c>
      <c r="BB298" s="1103">
        <v>0</v>
      </c>
      <c r="BC298" s="1103">
        <v>0</v>
      </c>
      <c r="BD298" s="1103">
        <v>0</v>
      </c>
      <c r="BE298" s="1103">
        <v>0</v>
      </c>
      <c r="BF298" s="1103">
        <v>0</v>
      </c>
      <c r="BG298" s="1103">
        <v>0</v>
      </c>
      <c r="BH298" s="1103">
        <v>0</v>
      </c>
      <c r="BI298" s="1103">
        <v>0</v>
      </c>
      <c r="BJ298" s="1103">
        <v>0</v>
      </c>
    </row>
    <row r="299" spans="3:62" hidden="1" outlineLevel="1">
      <c r="C299" s="1083" t="s">
        <v>650</v>
      </c>
      <c r="D299" s="1062" t="s">
        <v>648</v>
      </c>
      <c r="E299" s="1083" t="s">
        <v>651</v>
      </c>
      <c r="F299" s="1095" t="s">
        <v>414</v>
      </c>
      <c r="G299" s="1096">
        <f t="shared" si="29"/>
        <v>14.666459999999875</v>
      </c>
      <c r="H299" s="1083" t="s">
        <v>29</v>
      </c>
      <c r="I299" s="1097">
        <v>3</v>
      </c>
      <c r="J299" s="1098">
        <f t="shared" si="30"/>
        <v>36</v>
      </c>
      <c r="K299" s="153">
        <f t="shared" si="31"/>
        <v>0.33333333333333331</v>
      </c>
      <c r="L299" s="1099"/>
      <c r="M299" s="1100">
        <v>0</v>
      </c>
      <c r="N299" s="1101">
        <f>IF($BF299=0,0,IF(SUM($M299:M299)&lt;($J299-12),12,$J299-SUM($M299:M299)))</f>
        <v>0</v>
      </c>
      <c r="O299" s="1101">
        <f>IF($BF299=0,0,IF(SUM($M299:N299)&lt;($J299-12),12,$J299-SUM($M299:N299)))</f>
        <v>0</v>
      </c>
      <c r="P299" s="1101">
        <f>IF($BF299=0,0,IF(SUM($M299:O299)&lt;($J299-12),12,$J299-SUM($M299:O299)))</f>
        <v>0</v>
      </c>
      <c r="Q299" s="1101">
        <f>IF($BF299=0,0,IF(SUM($M299:P299)&lt;($J299-12),12,$J299-SUM($M299:P299)))</f>
        <v>0</v>
      </c>
      <c r="S299" s="1100"/>
      <c r="T299" s="1100">
        <v>9</v>
      </c>
      <c r="U299" s="1101">
        <f>IF($BG299=0,0,IF(SUM($S299:T299)&lt;($J299-12),12,$J299-SUM($S299:T299)))</f>
        <v>12</v>
      </c>
      <c r="V299" s="1101">
        <f>IF($BG299=0,0,IF(SUM($S299:U299)&lt;($J299-12),12,$J299-SUM($S299:U299)))</f>
        <v>12</v>
      </c>
      <c r="W299" s="1101">
        <f>IF($BG299=0,0,IF(SUM($S299:V299)&lt;($J299-12),12,$J299-SUM($S299:V299)))</f>
        <v>3</v>
      </c>
      <c r="Y299" s="1100"/>
      <c r="Z299" s="1100"/>
      <c r="AA299" s="1100">
        <v>0</v>
      </c>
      <c r="AB299" s="1101">
        <f>IF($BH299=0,0,IF(SUM($Y299:AA299)&lt;($J299-12),12,$J299-SUM($Y299:AA299)))</f>
        <v>0</v>
      </c>
      <c r="AC299" s="1101">
        <f>IF($BH299=0,0,IF(SUM($Y299:AB299)&lt;($J299-12),12,$J299-SUM($Y299:AB299)))</f>
        <v>0</v>
      </c>
      <c r="AE299" s="1100"/>
      <c r="AF299" s="1100"/>
      <c r="AG299" s="1100"/>
      <c r="AH299" s="1100">
        <v>0</v>
      </c>
      <c r="AI299" s="1101">
        <f>IF($BI299=0,0,IF(SUM($AE299:AH299)&lt;($J299-12),12,$J299-SUM($AE299:AH299)))</f>
        <v>0</v>
      </c>
      <c r="AK299" s="1100"/>
      <c r="AL299" s="1100"/>
      <c r="AM299" s="1100"/>
      <c r="AN299" s="1100"/>
      <c r="AO299" s="1100">
        <v>0</v>
      </c>
      <c r="AQ299" s="153">
        <f t="shared" si="32"/>
        <v>0</v>
      </c>
      <c r="AR299" s="153">
        <f t="shared" si="33"/>
        <v>0.75</v>
      </c>
      <c r="AS299" s="153">
        <f t="shared" si="34"/>
        <v>0</v>
      </c>
      <c r="AT299" s="153">
        <f t="shared" si="35"/>
        <v>0</v>
      </c>
      <c r="AU299" s="153">
        <f t="shared" si="36"/>
        <v>0</v>
      </c>
      <c r="AW299" s="1543">
        <v>0.73</v>
      </c>
      <c r="AX299" s="1102"/>
      <c r="AY299" s="1544">
        <v>0.15</v>
      </c>
      <c r="BA299" s="1103">
        <v>0</v>
      </c>
      <c r="BB299" s="1103">
        <v>0</v>
      </c>
      <c r="BC299" s="1103">
        <v>0</v>
      </c>
      <c r="BD299" s="1103">
        <v>0</v>
      </c>
      <c r="BE299" s="1103">
        <v>0</v>
      </c>
      <c r="BF299" s="1103">
        <v>0</v>
      </c>
      <c r="BG299" s="1103">
        <v>14.666459999999875</v>
      </c>
      <c r="BH299" s="1103">
        <v>0</v>
      </c>
      <c r="BI299" s="1103">
        <v>0</v>
      </c>
      <c r="BJ299" s="1103">
        <v>0</v>
      </c>
    </row>
    <row r="300" spans="3:62" hidden="1" outlineLevel="1">
      <c r="C300" s="1083" t="s">
        <v>652</v>
      </c>
      <c r="D300" s="1062" t="s">
        <v>648</v>
      </c>
      <c r="E300" s="1083" t="s">
        <v>651</v>
      </c>
      <c r="F300" s="1095" t="s">
        <v>414</v>
      </c>
      <c r="G300" s="1096">
        <f t="shared" si="29"/>
        <v>0</v>
      </c>
      <c r="H300" s="1083" t="s">
        <v>29</v>
      </c>
      <c r="I300" s="1097">
        <v>3</v>
      </c>
      <c r="J300" s="1098">
        <f t="shared" si="30"/>
        <v>36</v>
      </c>
      <c r="K300" s="153">
        <f t="shared" si="31"/>
        <v>0.33333333333333331</v>
      </c>
      <c r="L300" s="1099"/>
      <c r="M300" s="1100">
        <v>0</v>
      </c>
      <c r="N300" s="1101">
        <f>IF($BF300=0,0,IF(SUM($M300:M300)&lt;($J300-12),12,$J300-SUM($M300:M300)))</f>
        <v>0</v>
      </c>
      <c r="O300" s="1101">
        <f>IF($BF300=0,0,IF(SUM($M300:N300)&lt;($J300-12),12,$J300-SUM($M300:N300)))</f>
        <v>0</v>
      </c>
      <c r="P300" s="1101">
        <f>IF($BF300=0,0,IF(SUM($M300:O300)&lt;($J300-12),12,$J300-SUM($M300:O300)))</f>
        <v>0</v>
      </c>
      <c r="Q300" s="1101">
        <f>IF($BF300=0,0,IF(SUM($M300:P300)&lt;($J300-12),12,$J300-SUM($M300:P300)))</f>
        <v>0</v>
      </c>
      <c r="S300" s="1100"/>
      <c r="T300" s="1100">
        <v>0</v>
      </c>
      <c r="U300" s="1101">
        <f>IF($BG300=0,0,IF(SUM($S300:T300)&lt;($J300-12),12,$J300-SUM($S300:T300)))</f>
        <v>0</v>
      </c>
      <c r="V300" s="1101">
        <f>IF($BG300=0,0,IF(SUM($S300:U300)&lt;($J300-12),12,$J300-SUM($S300:U300)))</f>
        <v>0</v>
      </c>
      <c r="W300" s="1101">
        <f>IF($BG300=0,0,IF(SUM($S300:V300)&lt;($J300-12),12,$J300-SUM($S300:V300)))</f>
        <v>0</v>
      </c>
      <c r="Y300" s="1100"/>
      <c r="Z300" s="1100"/>
      <c r="AA300" s="1100">
        <v>0</v>
      </c>
      <c r="AB300" s="1101">
        <f>IF($BH300=0,0,IF(SUM($Y300:AA300)&lt;($J300-12),12,$J300-SUM($Y300:AA300)))</f>
        <v>0</v>
      </c>
      <c r="AC300" s="1101">
        <f>IF($BH300=0,0,IF(SUM($Y300:AB300)&lt;($J300-12),12,$J300-SUM($Y300:AB300)))</f>
        <v>0</v>
      </c>
      <c r="AE300" s="1100"/>
      <c r="AF300" s="1100"/>
      <c r="AG300" s="1100"/>
      <c r="AH300" s="1100">
        <v>0</v>
      </c>
      <c r="AI300" s="1101">
        <f>IF($BI300=0,0,IF(SUM($AE300:AH300)&lt;($J300-12),12,$J300-SUM($AE300:AH300)))</f>
        <v>0</v>
      </c>
      <c r="AK300" s="1100"/>
      <c r="AL300" s="1100"/>
      <c r="AM300" s="1100"/>
      <c r="AN300" s="1100"/>
      <c r="AO300" s="1100">
        <v>0</v>
      </c>
      <c r="AQ300" s="153">
        <f t="shared" si="32"/>
        <v>0</v>
      </c>
      <c r="AR300" s="153">
        <f t="shared" si="33"/>
        <v>0</v>
      </c>
      <c r="AS300" s="153">
        <f t="shared" si="34"/>
        <v>0</v>
      </c>
      <c r="AT300" s="153">
        <f t="shared" si="35"/>
        <v>0</v>
      </c>
      <c r="AU300" s="153">
        <f t="shared" si="36"/>
        <v>0</v>
      </c>
      <c r="AW300" s="1543">
        <v>0.75</v>
      </c>
      <c r="AX300" s="1102"/>
      <c r="AY300" s="1544">
        <v>0.25</v>
      </c>
      <c r="BA300" s="1103">
        <v>0</v>
      </c>
      <c r="BB300" s="1103">
        <v>0</v>
      </c>
      <c r="BC300" s="1103">
        <v>0</v>
      </c>
      <c r="BD300" s="1103">
        <v>0</v>
      </c>
      <c r="BE300" s="1103">
        <v>0</v>
      </c>
      <c r="BF300" s="1103">
        <v>0</v>
      </c>
      <c r="BG300" s="1103">
        <v>0</v>
      </c>
      <c r="BH300" s="1103">
        <v>0</v>
      </c>
      <c r="BI300" s="1103">
        <v>0</v>
      </c>
      <c r="BJ300" s="1103">
        <v>0</v>
      </c>
    </row>
    <row r="301" spans="3:62" hidden="1" outlineLevel="1">
      <c r="C301" s="1083" t="s">
        <v>653</v>
      </c>
      <c r="D301" s="1062" t="s">
        <v>648</v>
      </c>
      <c r="E301" s="1083" t="s">
        <v>651</v>
      </c>
      <c r="F301" s="1095" t="s">
        <v>414</v>
      </c>
      <c r="G301" s="1096">
        <f t="shared" si="29"/>
        <v>0</v>
      </c>
      <c r="H301" s="1083" t="s">
        <v>29</v>
      </c>
      <c r="I301" s="1097">
        <v>3</v>
      </c>
      <c r="J301" s="1098">
        <f t="shared" si="30"/>
        <v>36</v>
      </c>
      <c r="K301" s="153">
        <f t="shared" si="31"/>
        <v>0.33333333333333331</v>
      </c>
      <c r="L301" s="1099"/>
      <c r="M301" s="1100">
        <v>0</v>
      </c>
      <c r="N301" s="1101">
        <f>IF($BF301=0,0,IF(SUM($M301:M301)&lt;($J301-12),12,$J301-SUM($M301:M301)))</f>
        <v>0</v>
      </c>
      <c r="O301" s="1101">
        <f>IF($BF301=0,0,IF(SUM($M301:N301)&lt;($J301-12),12,$J301-SUM($M301:N301)))</f>
        <v>0</v>
      </c>
      <c r="P301" s="1101">
        <f>IF($BF301=0,0,IF(SUM($M301:O301)&lt;($J301-12),12,$J301-SUM($M301:O301)))</f>
        <v>0</v>
      </c>
      <c r="Q301" s="1101">
        <f>IF($BF301=0,0,IF(SUM($M301:P301)&lt;($J301-12),12,$J301-SUM($M301:P301)))</f>
        <v>0</v>
      </c>
      <c r="S301" s="1100"/>
      <c r="T301" s="1100">
        <v>0</v>
      </c>
      <c r="U301" s="1101">
        <f>IF($BG301=0,0,IF(SUM($S301:T301)&lt;($J301-12),12,$J301-SUM($S301:T301)))</f>
        <v>0</v>
      </c>
      <c r="V301" s="1101">
        <f>IF($BG301=0,0,IF(SUM($S301:U301)&lt;($J301-12),12,$J301-SUM($S301:U301)))</f>
        <v>0</v>
      </c>
      <c r="W301" s="1101">
        <f>IF($BG301=0,0,IF(SUM($S301:V301)&lt;($J301-12),12,$J301-SUM($S301:V301)))</f>
        <v>0</v>
      </c>
      <c r="Y301" s="1100"/>
      <c r="Z301" s="1100"/>
      <c r="AA301" s="1100">
        <v>0</v>
      </c>
      <c r="AB301" s="1101">
        <f>IF($BH301=0,0,IF(SUM($Y301:AA301)&lt;($J301-12),12,$J301-SUM($Y301:AA301)))</f>
        <v>0</v>
      </c>
      <c r="AC301" s="1101">
        <f>IF($BH301=0,0,IF(SUM($Y301:AB301)&lt;($J301-12),12,$J301-SUM($Y301:AB301)))</f>
        <v>0</v>
      </c>
      <c r="AE301" s="1100"/>
      <c r="AF301" s="1100"/>
      <c r="AG301" s="1100"/>
      <c r="AH301" s="1100">
        <v>0</v>
      </c>
      <c r="AI301" s="1101">
        <f>IF($BI301=0,0,IF(SUM($AE301:AH301)&lt;($J301-12),12,$J301-SUM($AE301:AH301)))</f>
        <v>0</v>
      </c>
      <c r="AK301" s="1100"/>
      <c r="AL301" s="1100"/>
      <c r="AM301" s="1100"/>
      <c r="AN301" s="1100"/>
      <c r="AO301" s="1100">
        <v>0</v>
      </c>
      <c r="AQ301" s="153">
        <f t="shared" si="32"/>
        <v>0</v>
      </c>
      <c r="AR301" s="153">
        <f t="shared" si="33"/>
        <v>0</v>
      </c>
      <c r="AS301" s="153">
        <f t="shared" si="34"/>
        <v>0</v>
      </c>
      <c r="AT301" s="153">
        <f t="shared" si="35"/>
        <v>0</v>
      </c>
      <c r="AU301" s="153">
        <f t="shared" si="36"/>
        <v>0</v>
      </c>
      <c r="AW301" s="1543">
        <v>0.75</v>
      </c>
      <c r="AX301" s="1102"/>
      <c r="AY301" s="1544">
        <v>0.25</v>
      </c>
      <c r="BA301" s="1103">
        <v>0</v>
      </c>
      <c r="BB301" s="1103">
        <v>0</v>
      </c>
      <c r="BC301" s="1103">
        <v>0</v>
      </c>
      <c r="BD301" s="1103">
        <v>0</v>
      </c>
      <c r="BE301" s="1103">
        <v>0</v>
      </c>
      <c r="BF301" s="1103">
        <v>0</v>
      </c>
      <c r="BG301" s="1103">
        <v>0</v>
      </c>
      <c r="BH301" s="1103">
        <v>0</v>
      </c>
      <c r="BI301" s="1103">
        <v>0</v>
      </c>
      <c r="BJ301" s="1103">
        <v>0</v>
      </c>
    </row>
    <row r="302" spans="3:62" hidden="1" outlineLevel="1">
      <c r="C302" s="1083" t="s">
        <v>654</v>
      </c>
      <c r="D302" s="1062" t="s">
        <v>648</v>
      </c>
      <c r="E302" s="1083" t="s">
        <v>655</v>
      </c>
      <c r="F302" s="1095" t="s">
        <v>414</v>
      </c>
      <c r="G302" s="1096">
        <f t="shared" si="29"/>
        <v>0</v>
      </c>
      <c r="H302" s="1083" t="s">
        <v>29</v>
      </c>
      <c r="I302" s="1097">
        <v>0</v>
      </c>
      <c r="J302" s="1098">
        <f t="shared" si="30"/>
        <v>0</v>
      </c>
      <c r="K302" s="153">
        <f t="shared" si="31"/>
        <v>0</v>
      </c>
      <c r="L302" s="1099"/>
      <c r="M302" s="1100">
        <v>0</v>
      </c>
      <c r="N302" s="1101">
        <f>IF($BF302=0,0,IF(SUM($M302:M302)&lt;($J302-12),12,$J302-SUM($M302:M302)))</f>
        <v>0</v>
      </c>
      <c r="O302" s="1101">
        <f>IF($BF302=0,0,IF(SUM($M302:N302)&lt;($J302-12),12,$J302-SUM($M302:N302)))</f>
        <v>0</v>
      </c>
      <c r="P302" s="1101">
        <f>IF($BF302=0,0,IF(SUM($M302:O302)&lt;($J302-12),12,$J302-SUM($M302:O302)))</f>
        <v>0</v>
      </c>
      <c r="Q302" s="1101">
        <f>IF($BF302=0,0,IF(SUM($M302:P302)&lt;($J302-12),12,$J302-SUM($M302:P302)))</f>
        <v>0</v>
      </c>
      <c r="S302" s="1100"/>
      <c r="T302" s="1100">
        <v>0</v>
      </c>
      <c r="U302" s="1101">
        <f>IF($BG302=0,0,IF(SUM($S302:T302)&lt;($J302-12),12,$J302-SUM($S302:T302)))</f>
        <v>0</v>
      </c>
      <c r="V302" s="1101">
        <f>IF($BG302=0,0,IF(SUM($S302:U302)&lt;($J302-12),12,$J302-SUM($S302:U302)))</f>
        <v>0</v>
      </c>
      <c r="W302" s="1101">
        <f>IF($BG302=0,0,IF(SUM($S302:V302)&lt;($J302-12),12,$J302-SUM($S302:V302)))</f>
        <v>0</v>
      </c>
      <c r="Y302" s="1100"/>
      <c r="Z302" s="1100"/>
      <c r="AA302" s="1100">
        <v>0</v>
      </c>
      <c r="AB302" s="1101">
        <f>IF($BH302=0,0,IF(SUM($Y302:AA302)&lt;($J302-12),12,$J302-SUM($Y302:AA302)))</f>
        <v>0</v>
      </c>
      <c r="AC302" s="1101">
        <f>IF($BH302=0,0,IF(SUM($Y302:AB302)&lt;($J302-12),12,$J302-SUM($Y302:AB302)))</f>
        <v>0</v>
      </c>
      <c r="AE302" s="1100"/>
      <c r="AF302" s="1100"/>
      <c r="AG302" s="1100"/>
      <c r="AH302" s="1100">
        <v>0</v>
      </c>
      <c r="AI302" s="1101">
        <f>IF($BI302=0,0,IF(SUM($AE302:AH302)&lt;($J302-12),12,$J302-SUM($AE302:AH302)))</f>
        <v>0</v>
      </c>
      <c r="AK302" s="1100"/>
      <c r="AL302" s="1100"/>
      <c r="AM302" s="1100"/>
      <c r="AN302" s="1100"/>
      <c r="AO302" s="1100">
        <v>0</v>
      </c>
      <c r="AQ302" s="153">
        <f t="shared" si="32"/>
        <v>0</v>
      </c>
      <c r="AR302" s="153">
        <f t="shared" si="33"/>
        <v>0</v>
      </c>
      <c r="AS302" s="153">
        <f t="shared" si="34"/>
        <v>0</v>
      </c>
      <c r="AT302" s="153">
        <f t="shared" si="35"/>
        <v>0</v>
      </c>
      <c r="AU302" s="153">
        <f t="shared" si="36"/>
        <v>0</v>
      </c>
      <c r="AW302" s="1543">
        <v>0</v>
      </c>
      <c r="AX302" s="1102"/>
      <c r="AY302" s="1544">
        <v>0</v>
      </c>
      <c r="BA302" s="1103">
        <v>0</v>
      </c>
      <c r="BB302" s="1103">
        <v>0</v>
      </c>
      <c r="BC302" s="1103">
        <v>0</v>
      </c>
      <c r="BD302" s="1103">
        <v>0</v>
      </c>
      <c r="BE302" s="1103">
        <v>0</v>
      </c>
      <c r="BF302" s="1103">
        <v>0</v>
      </c>
      <c r="BG302" s="1103">
        <v>0</v>
      </c>
      <c r="BH302" s="1103">
        <v>0</v>
      </c>
      <c r="BI302" s="1103">
        <v>0</v>
      </c>
      <c r="BJ302" s="1103">
        <v>0</v>
      </c>
    </row>
    <row r="303" spans="3:62" hidden="1" outlineLevel="1">
      <c r="C303" s="1083" t="s">
        <v>650</v>
      </c>
      <c r="D303" s="1062" t="s">
        <v>648</v>
      </c>
      <c r="E303" s="1083" t="s">
        <v>656</v>
      </c>
      <c r="F303" s="1095" t="s">
        <v>414</v>
      </c>
      <c r="G303" s="1096">
        <f t="shared" ref="G303:G342" si="37">SUM(BA303:BJ303)</f>
        <v>140</v>
      </c>
      <c r="H303" s="1083" t="s">
        <v>29</v>
      </c>
      <c r="I303" s="1097">
        <v>3</v>
      </c>
      <c r="J303" s="1098">
        <f t="shared" ref="J303:J342" si="38">I303*12</f>
        <v>36</v>
      </c>
      <c r="K303" s="153">
        <f t="shared" ref="K303:K342" si="39">IFERROR(1/I303,0)</f>
        <v>0.33333333333333331</v>
      </c>
      <c r="L303" s="1099"/>
      <c r="M303" s="1100">
        <v>0</v>
      </c>
      <c r="N303" s="1101">
        <f>IF($BF303=0,0,IF(SUM($M303:M303)&lt;($J303-12),12,$J303-SUM($M303:M303)))</f>
        <v>0</v>
      </c>
      <c r="O303" s="1101">
        <f>IF($BF303=0,0,IF(SUM($M303:N303)&lt;($J303-12),12,$J303-SUM($M303:N303)))</f>
        <v>0</v>
      </c>
      <c r="P303" s="1101">
        <f>IF($BF303=0,0,IF(SUM($M303:O303)&lt;($J303-12),12,$J303-SUM($M303:O303)))</f>
        <v>0</v>
      </c>
      <c r="Q303" s="1101">
        <f>IF($BF303=0,0,IF(SUM($M303:P303)&lt;($J303-12),12,$J303-SUM($M303:P303)))</f>
        <v>0</v>
      </c>
      <c r="S303" s="1100"/>
      <c r="T303" s="1100">
        <v>7.5000000000000018</v>
      </c>
      <c r="U303" s="1101">
        <f>IF($BG303=0,0,IF(SUM($S303:T303)&lt;($J303-12),12,$J303-SUM($S303:T303)))</f>
        <v>12</v>
      </c>
      <c r="V303" s="1101">
        <f>IF($BG303=0,0,IF(SUM($S303:U303)&lt;($J303-12),12,$J303-SUM($S303:U303)))</f>
        <v>12</v>
      </c>
      <c r="W303" s="1101">
        <f>IF($BG303=0,0,IF(SUM($S303:V303)&lt;($J303-12),12,$J303-SUM($S303:V303)))</f>
        <v>4.5</v>
      </c>
      <c r="Y303" s="1100"/>
      <c r="Z303" s="1100"/>
      <c r="AA303" s="1100">
        <v>7.5000000000000036</v>
      </c>
      <c r="AB303" s="1101">
        <f>IF($BH303=0,0,IF(SUM($Y303:AA303)&lt;($J303-12),12,$J303-SUM($Y303:AA303)))</f>
        <v>12</v>
      </c>
      <c r="AC303" s="1101">
        <f>IF($BH303=0,0,IF(SUM($Y303:AB303)&lt;($J303-12),12,$J303-SUM($Y303:AB303)))</f>
        <v>12</v>
      </c>
      <c r="AE303" s="1100"/>
      <c r="AF303" s="1100"/>
      <c r="AG303" s="1100"/>
      <c r="AH303" s="1100">
        <v>7.5000000000000107</v>
      </c>
      <c r="AI303" s="1101">
        <f>IF($BI303=0,0,IF(SUM($AE303:AH303)&lt;($J303-12),12,$J303-SUM($AE303:AH303)))</f>
        <v>12</v>
      </c>
      <c r="AK303" s="1100"/>
      <c r="AL303" s="1100"/>
      <c r="AM303" s="1100"/>
      <c r="AN303" s="1100"/>
      <c r="AO303" s="1100">
        <v>7.5000000000000107</v>
      </c>
      <c r="AQ303" s="153">
        <f t="shared" ref="AQ303:AQ342" si="40">M303/12</f>
        <v>0</v>
      </c>
      <c r="AR303" s="153">
        <f t="shared" ref="AR303:AR342" si="41">T303/12</f>
        <v>0.62500000000000011</v>
      </c>
      <c r="AS303" s="153">
        <f t="shared" ref="AS303:AS342" si="42">AA303/12</f>
        <v>0.62500000000000033</v>
      </c>
      <c r="AT303" s="153">
        <f t="shared" ref="AT303:AT342" si="43">AH303/12</f>
        <v>0.62500000000000089</v>
      </c>
      <c r="AU303" s="153">
        <f t="shared" ref="AU303:AU342" si="44">AO303/12</f>
        <v>0.62500000000000089</v>
      </c>
      <c r="AW303" s="1543">
        <v>0.73</v>
      </c>
      <c r="AX303" s="1102"/>
      <c r="AY303" s="1544">
        <v>0.15</v>
      </c>
      <c r="BA303" s="1103">
        <v>0</v>
      </c>
      <c r="BB303" s="1103">
        <v>0</v>
      </c>
      <c r="BC303" s="1103">
        <v>0</v>
      </c>
      <c r="BD303" s="1103">
        <v>0</v>
      </c>
      <c r="BE303" s="1103">
        <v>0</v>
      </c>
      <c r="BF303" s="1103">
        <v>0</v>
      </c>
      <c r="BG303" s="1103">
        <v>35</v>
      </c>
      <c r="BH303" s="1103">
        <v>35</v>
      </c>
      <c r="BI303" s="1103">
        <v>35</v>
      </c>
      <c r="BJ303" s="1103">
        <v>35</v>
      </c>
    </row>
    <row r="304" spans="3:62" hidden="1" outlineLevel="1">
      <c r="C304" s="1083" t="s">
        <v>652</v>
      </c>
      <c r="D304" s="1062" t="s">
        <v>648</v>
      </c>
      <c r="E304" s="1083" t="s">
        <v>656</v>
      </c>
      <c r="F304" s="1095" t="s">
        <v>414</v>
      </c>
      <c r="G304" s="1096">
        <f t="shared" si="37"/>
        <v>60</v>
      </c>
      <c r="H304" s="1083" t="s">
        <v>29</v>
      </c>
      <c r="I304" s="1097">
        <v>3</v>
      </c>
      <c r="J304" s="1098">
        <f t="shared" si="38"/>
        <v>36</v>
      </c>
      <c r="K304" s="153">
        <f t="shared" si="39"/>
        <v>0.33333333333333331</v>
      </c>
      <c r="L304" s="1099"/>
      <c r="M304" s="1100">
        <v>0</v>
      </c>
      <c r="N304" s="1101">
        <f>IF($BF304=0,0,IF(SUM($M304:M304)&lt;($J304-12),12,$J304-SUM($M304:M304)))</f>
        <v>0</v>
      </c>
      <c r="O304" s="1101">
        <f>IF($BF304=0,0,IF(SUM($M304:N304)&lt;($J304-12),12,$J304-SUM($M304:N304)))</f>
        <v>0</v>
      </c>
      <c r="P304" s="1101">
        <f>IF($BF304=0,0,IF(SUM($M304:O304)&lt;($J304-12),12,$J304-SUM($M304:O304)))</f>
        <v>0</v>
      </c>
      <c r="Q304" s="1101">
        <f>IF($BF304=0,0,IF(SUM($M304:P304)&lt;($J304-12),12,$J304-SUM($M304:P304)))</f>
        <v>0</v>
      </c>
      <c r="S304" s="1100"/>
      <c r="T304" s="1100">
        <v>7.4999999999999982</v>
      </c>
      <c r="U304" s="1101">
        <f>IF($BG304=0,0,IF(SUM($S304:T304)&lt;($J304-12),12,$J304-SUM($S304:T304)))</f>
        <v>12</v>
      </c>
      <c r="V304" s="1101">
        <f>IF($BG304=0,0,IF(SUM($S304:U304)&lt;($J304-12),12,$J304-SUM($S304:U304)))</f>
        <v>12</v>
      </c>
      <c r="W304" s="1101">
        <f>IF($BG304=0,0,IF(SUM($S304:V304)&lt;($J304-12),12,$J304-SUM($S304:V304)))</f>
        <v>4.5</v>
      </c>
      <c r="Y304" s="1100"/>
      <c r="Z304" s="1100"/>
      <c r="AA304" s="1100">
        <v>7.5</v>
      </c>
      <c r="AB304" s="1101">
        <f>IF($BH304=0,0,IF(SUM($Y304:AA304)&lt;($J304-12),12,$J304-SUM($Y304:AA304)))</f>
        <v>12</v>
      </c>
      <c r="AC304" s="1101">
        <f>IF($BH304=0,0,IF(SUM($Y304:AB304)&lt;($J304-12),12,$J304-SUM($Y304:AB304)))</f>
        <v>12</v>
      </c>
      <c r="AE304" s="1100"/>
      <c r="AF304" s="1100"/>
      <c r="AG304" s="1100"/>
      <c r="AH304" s="1100">
        <v>7.5</v>
      </c>
      <c r="AI304" s="1101">
        <f>IF($BI304=0,0,IF(SUM($AE304:AH304)&lt;($J304-12),12,$J304-SUM($AE304:AH304)))</f>
        <v>12</v>
      </c>
      <c r="AK304" s="1100"/>
      <c r="AL304" s="1100"/>
      <c r="AM304" s="1100"/>
      <c r="AN304" s="1100"/>
      <c r="AO304" s="1100">
        <v>7.5</v>
      </c>
      <c r="AQ304" s="153">
        <f t="shared" si="40"/>
        <v>0</v>
      </c>
      <c r="AR304" s="153">
        <f t="shared" si="41"/>
        <v>0.62499999999999989</v>
      </c>
      <c r="AS304" s="153">
        <f t="shared" si="42"/>
        <v>0.625</v>
      </c>
      <c r="AT304" s="153">
        <f t="shared" si="43"/>
        <v>0.625</v>
      </c>
      <c r="AU304" s="153">
        <f t="shared" si="44"/>
        <v>0.625</v>
      </c>
      <c r="AW304" s="1543">
        <v>0.75</v>
      </c>
      <c r="AX304" s="1102"/>
      <c r="AY304" s="1544">
        <v>0.25</v>
      </c>
      <c r="BA304" s="1103">
        <v>0</v>
      </c>
      <c r="BB304" s="1103">
        <v>0</v>
      </c>
      <c r="BC304" s="1103">
        <v>0</v>
      </c>
      <c r="BD304" s="1103">
        <v>0</v>
      </c>
      <c r="BE304" s="1103">
        <v>0</v>
      </c>
      <c r="BF304" s="1103">
        <v>0</v>
      </c>
      <c r="BG304" s="1103">
        <v>15</v>
      </c>
      <c r="BH304" s="1103">
        <v>15</v>
      </c>
      <c r="BI304" s="1103">
        <v>15</v>
      </c>
      <c r="BJ304" s="1103">
        <v>15</v>
      </c>
    </row>
    <row r="305" spans="3:62" hidden="1" outlineLevel="1">
      <c r="C305" s="1083" t="s">
        <v>653</v>
      </c>
      <c r="D305" s="1062" t="s">
        <v>648</v>
      </c>
      <c r="E305" s="1083" t="s">
        <v>656</v>
      </c>
      <c r="F305" s="1095" t="s">
        <v>414</v>
      </c>
      <c r="G305" s="1096">
        <f t="shared" si="37"/>
        <v>60</v>
      </c>
      <c r="H305" s="1083" t="s">
        <v>29</v>
      </c>
      <c r="I305" s="1097">
        <v>3</v>
      </c>
      <c r="J305" s="1098">
        <f t="shared" si="38"/>
        <v>36</v>
      </c>
      <c r="K305" s="153">
        <f t="shared" si="39"/>
        <v>0.33333333333333331</v>
      </c>
      <c r="L305" s="1099"/>
      <c r="M305" s="1100">
        <v>0</v>
      </c>
      <c r="N305" s="1101">
        <f>IF($BF305=0,0,IF(SUM($M305:M305)&lt;($J305-12),12,$J305-SUM($M305:M305)))</f>
        <v>0</v>
      </c>
      <c r="O305" s="1101">
        <f>IF($BF305=0,0,IF(SUM($M305:N305)&lt;($J305-12),12,$J305-SUM($M305:N305)))</f>
        <v>0</v>
      </c>
      <c r="P305" s="1101">
        <f>IF($BF305=0,0,IF(SUM($M305:O305)&lt;($J305-12),12,$J305-SUM($M305:O305)))</f>
        <v>0</v>
      </c>
      <c r="Q305" s="1101">
        <f>IF($BF305=0,0,IF(SUM($M305:P305)&lt;($J305-12),12,$J305-SUM($M305:P305)))</f>
        <v>0</v>
      </c>
      <c r="S305" s="1100"/>
      <c r="T305" s="1100">
        <v>7.4999999999999982</v>
      </c>
      <c r="U305" s="1101">
        <f>IF($BG305=0,0,IF(SUM($S305:T305)&lt;($J305-12),12,$J305-SUM($S305:T305)))</f>
        <v>12</v>
      </c>
      <c r="V305" s="1101">
        <f>IF($BG305=0,0,IF(SUM($S305:U305)&lt;($J305-12),12,$J305-SUM($S305:U305)))</f>
        <v>12</v>
      </c>
      <c r="W305" s="1101">
        <f>IF($BG305=0,0,IF(SUM($S305:V305)&lt;($J305-12),12,$J305-SUM($S305:V305)))</f>
        <v>4.5</v>
      </c>
      <c r="Y305" s="1100"/>
      <c r="Z305" s="1100"/>
      <c r="AA305" s="1100">
        <v>7.5</v>
      </c>
      <c r="AB305" s="1101">
        <f>IF($BH305=0,0,IF(SUM($Y305:AA305)&lt;($J305-12),12,$J305-SUM($Y305:AA305)))</f>
        <v>12</v>
      </c>
      <c r="AC305" s="1101">
        <f>IF($BH305=0,0,IF(SUM($Y305:AB305)&lt;($J305-12),12,$J305-SUM($Y305:AB305)))</f>
        <v>12</v>
      </c>
      <c r="AE305" s="1100"/>
      <c r="AF305" s="1100"/>
      <c r="AG305" s="1100"/>
      <c r="AH305" s="1100">
        <v>7.5</v>
      </c>
      <c r="AI305" s="1101">
        <f>IF($BI305=0,0,IF(SUM($AE305:AH305)&lt;($J305-12),12,$J305-SUM($AE305:AH305)))</f>
        <v>12</v>
      </c>
      <c r="AK305" s="1100"/>
      <c r="AL305" s="1100"/>
      <c r="AM305" s="1100"/>
      <c r="AN305" s="1100"/>
      <c r="AO305" s="1100">
        <v>7.5</v>
      </c>
      <c r="AQ305" s="153">
        <f t="shared" si="40"/>
        <v>0</v>
      </c>
      <c r="AR305" s="153">
        <f t="shared" si="41"/>
        <v>0.62499999999999989</v>
      </c>
      <c r="AS305" s="153">
        <f t="shared" si="42"/>
        <v>0.625</v>
      </c>
      <c r="AT305" s="153">
        <f t="shared" si="43"/>
        <v>0.625</v>
      </c>
      <c r="AU305" s="153">
        <f t="shared" si="44"/>
        <v>0.625</v>
      </c>
      <c r="AW305" s="1543">
        <v>0.75</v>
      </c>
      <c r="AX305" s="1102"/>
      <c r="AY305" s="1544">
        <v>0.25</v>
      </c>
      <c r="BA305" s="1103">
        <v>0</v>
      </c>
      <c r="BB305" s="1103">
        <v>0</v>
      </c>
      <c r="BC305" s="1103">
        <v>0</v>
      </c>
      <c r="BD305" s="1103">
        <v>0</v>
      </c>
      <c r="BE305" s="1103">
        <v>0</v>
      </c>
      <c r="BF305" s="1103">
        <v>0</v>
      </c>
      <c r="BG305" s="1103">
        <v>15</v>
      </c>
      <c r="BH305" s="1103">
        <v>15</v>
      </c>
      <c r="BI305" s="1103">
        <v>15</v>
      </c>
      <c r="BJ305" s="1103">
        <v>15</v>
      </c>
    </row>
    <row r="306" spans="3:62" hidden="1" outlineLevel="1">
      <c r="C306" s="1083" t="s">
        <v>657</v>
      </c>
      <c r="D306" s="1062" t="s">
        <v>657</v>
      </c>
      <c r="E306" s="1083" t="s">
        <v>658</v>
      </c>
      <c r="F306" s="1095" t="s">
        <v>414</v>
      </c>
      <c r="G306" s="1096">
        <f t="shared" si="37"/>
        <v>200</v>
      </c>
      <c r="H306" s="1083" t="s">
        <v>29</v>
      </c>
      <c r="I306" s="1097">
        <v>8</v>
      </c>
      <c r="J306" s="1098">
        <f t="shared" si="38"/>
        <v>96</v>
      </c>
      <c r="K306" s="153">
        <f t="shared" si="39"/>
        <v>0.125</v>
      </c>
      <c r="L306" s="1099"/>
      <c r="M306" s="1100">
        <v>0</v>
      </c>
      <c r="N306" s="1101">
        <f>IF($BF306=0,0,IF(SUM($M306:M306)&lt;($J306-12),12,$J306-SUM($M306:M306)))</f>
        <v>0</v>
      </c>
      <c r="O306" s="1101">
        <f>IF($BF306=0,0,IF(SUM($M306:N306)&lt;($J306-12),12,$J306-SUM($M306:N306)))</f>
        <v>0</v>
      </c>
      <c r="P306" s="1101">
        <f>IF($BF306=0,0,IF(SUM($M306:O306)&lt;($J306-12),12,$J306-SUM($M306:O306)))</f>
        <v>0</v>
      </c>
      <c r="Q306" s="1101">
        <f>IF($BF306=0,0,IF(SUM($M306:P306)&lt;($J306-12),12,$J306-SUM($M306:P306)))</f>
        <v>0</v>
      </c>
      <c r="S306" s="1100"/>
      <c r="T306" s="1100">
        <v>0</v>
      </c>
      <c r="U306" s="1101">
        <f>IF($BG306=0,0,IF(SUM($S306:T306)&lt;($J306-12),12,$J306-SUM($S306:T306)))</f>
        <v>0</v>
      </c>
      <c r="V306" s="1101">
        <f>IF($BG306=0,0,IF(SUM($S306:U306)&lt;($J306-12),12,$J306-SUM($S306:U306)))</f>
        <v>0</v>
      </c>
      <c r="W306" s="1101">
        <f>IF($BG306=0,0,IF(SUM($S306:V306)&lt;($J306-12),12,$J306-SUM($S306:V306)))</f>
        <v>0</v>
      </c>
      <c r="Y306" s="1100"/>
      <c r="Z306" s="1100"/>
      <c r="AA306" s="1100">
        <v>3</v>
      </c>
      <c r="AB306" s="1101">
        <f>IF($BH306=0,0,IF(SUM($Y306:AA306)&lt;($J306-12),12,$J306-SUM($Y306:AA306)))</f>
        <v>12</v>
      </c>
      <c r="AC306" s="1101">
        <f>IF($BH306=0,0,IF(SUM($Y306:AB306)&lt;($J306-12),12,$J306-SUM($Y306:AB306)))</f>
        <v>12</v>
      </c>
      <c r="AE306" s="1100"/>
      <c r="AF306" s="1100"/>
      <c r="AG306" s="1100"/>
      <c r="AH306" s="1100">
        <v>0</v>
      </c>
      <c r="AI306" s="1101">
        <f>IF($BI306=0,0,IF(SUM($AE306:AH306)&lt;($J306-12),12,$J306-SUM($AE306:AH306)))</f>
        <v>0</v>
      </c>
      <c r="AK306" s="1100"/>
      <c r="AL306" s="1100"/>
      <c r="AM306" s="1100"/>
      <c r="AN306" s="1100"/>
      <c r="AO306" s="1100">
        <v>0</v>
      </c>
      <c r="AQ306" s="153">
        <f t="shared" si="40"/>
        <v>0</v>
      </c>
      <c r="AR306" s="153">
        <f t="shared" si="41"/>
        <v>0</v>
      </c>
      <c r="AS306" s="153">
        <f t="shared" si="42"/>
        <v>0.25</v>
      </c>
      <c r="AT306" s="153">
        <f t="shared" si="43"/>
        <v>0</v>
      </c>
      <c r="AU306" s="153">
        <f t="shared" si="44"/>
        <v>0</v>
      </c>
      <c r="AW306" s="1543">
        <v>0.75</v>
      </c>
      <c r="AX306" s="1102"/>
      <c r="AY306" s="1544">
        <v>0.25</v>
      </c>
      <c r="BA306" s="1103">
        <v>0</v>
      </c>
      <c r="BB306" s="1103">
        <v>0</v>
      </c>
      <c r="BC306" s="1103">
        <v>0</v>
      </c>
      <c r="BD306" s="1103">
        <v>0</v>
      </c>
      <c r="BE306" s="1103">
        <v>0</v>
      </c>
      <c r="BF306" s="1103">
        <v>0</v>
      </c>
      <c r="BG306" s="1103">
        <v>0</v>
      </c>
      <c r="BH306" s="1103">
        <v>200</v>
      </c>
      <c r="BI306" s="1103">
        <v>0</v>
      </c>
      <c r="BJ306" s="1103">
        <v>0</v>
      </c>
    </row>
    <row r="307" spans="3:62" hidden="1" outlineLevel="1">
      <c r="C307" s="1083" t="s">
        <v>659</v>
      </c>
      <c r="D307" s="1062" t="s">
        <v>659</v>
      </c>
      <c r="E307" s="1083" t="s">
        <v>660</v>
      </c>
      <c r="F307" s="1095" t="s">
        <v>414</v>
      </c>
      <c r="G307" s="1096">
        <f t="shared" si="37"/>
        <v>0</v>
      </c>
      <c r="H307" s="1083" t="s">
        <v>29</v>
      </c>
      <c r="I307" s="1097">
        <v>8</v>
      </c>
      <c r="J307" s="1098">
        <f t="shared" si="38"/>
        <v>96</v>
      </c>
      <c r="K307" s="153">
        <f t="shared" si="39"/>
        <v>0.125</v>
      </c>
      <c r="L307" s="1099"/>
      <c r="M307" s="1100">
        <v>0</v>
      </c>
      <c r="N307" s="1101">
        <f>IF($BF307=0,0,IF(SUM($M307:M307)&lt;($J307-12),12,$J307-SUM($M307:M307)))</f>
        <v>0</v>
      </c>
      <c r="O307" s="1101">
        <f>IF($BF307=0,0,IF(SUM($M307:N307)&lt;($J307-12),12,$J307-SUM($M307:N307)))</f>
        <v>0</v>
      </c>
      <c r="P307" s="1101">
        <f>IF($BF307=0,0,IF(SUM($M307:O307)&lt;($J307-12),12,$J307-SUM($M307:O307)))</f>
        <v>0</v>
      </c>
      <c r="Q307" s="1101">
        <f>IF($BF307=0,0,IF(SUM($M307:P307)&lt;($J307-12),12,$J307-SUM($M307:P307)))</f>
        <v>0</v>
      </c>
      <c r="S307" s="1100"/>
      <c r="T307" s="1100">
        <v>0</v>
      </c>
      <c r="U307" s="1101">
        <f>IF($BG307=0,0,IF(SUM($S307:T307)&lt;($J307-12),12,$J307-SUM($S307:T307)))</f>
        <v>0</v>
      </c>
      <c r="V307" s="1101">
        <f>IF($BG307=0,0,IF(SUM($S307:U307)&lt;($J307-12),12,$J307-SUM($S307:U307)))</f>
        <v>0</v>
      </c>
      <c r="W307" s="1101">
        <f>IF($BG307=0,0,IF(SUM($S307:V307)&lt;($J307-12),12,$J307-SUM($S307:V307)))</f>
        <v>0</v>
      </c>
      <c r="Y307" s="1100"/>
      <c r="Z307" s="1100"/>
      <c r="AA307" s="1100">
        <v>0</v>
      </c>
      <c r="AB307" s="1101">
        <f>IF($BH307=0,0,IF(SUM($Y307:AA307)&lt;($J307-12),12,$J307-SUM($Y307:AA307)))</f>
        <v>0</v>
      </c>
      <c r="AC307" s="1101">
        <f>IF($BH307=0,0,IF(SUM($Y307:AB307)&lt;($J307-12),12,$J307-SUM($Y307:AB307)))</f>
        <v>0</v>
      </c>
      <c r="AE307" s="1100"/>
      <c r="AF307" s="1100"/>
      <c r="AG307" s="1100"/>
      <c r="AH307" s="1100">
        <v>0</v>
      </c>
      <c r="AI307" s="1101">
        <f>IF($BI307=0,0,IF(SUM($AE307:AH307)&lt;($J307-12),12,$J307-SUM($AE307:AH307)))</f>
        <v>0</v>
      </c>
      <c r="AK307" s="1100"/>
      <c r="AL307" s="1100"/>
      <c r="AM307" s="1100"/>
      <c r="AN307" s="1100"/>
      <c r="AO307" s="1100">
        <v>0</v>
      </c>
      <c r="AQ307" s="153">
        <f t="shared" si="40"/>
        <v>0</v>
      </c>
      <c r="AR307" s="153">
        <f t="shared" si="41"/>
        <v>0</v>
      </c>
      <c r="AS307" s="153">
        <f t="shared" si="42"/>
        <v>0</v>
      </c>
      <c r="AT307" s="153">
        <f t="shared" si="43"/>
        <v>0</v>
      </c>
      <c r="AU307" s="153">
        <f t="shared" si="44"/>
        <v>0</v>
      </c>
      <c r="AW307" s="1543">
        <v>1</v>
      </c>
      <c r="AX307" s="1102"/>
      <c r="AY307" s="1544">
        <v>0</v>
      </c>
      <c r="BA307" s="1103">
        <v>0</v>
      </c>
      <c r="BB307" s="1103">
        <v>0</v>
      </c>
      <c r="BC307" s="1103">
        <v>0</v>
      </c>
      <c r="BD307" s="1103">
        <v>0</v>
      </c>
      <c r="BE307" s="1103">
        <v>0</v>
      </c>
      <c r="BF307" s="1103">
        <v>0</v>
      </c>
      <c r="BG307" s="1103">
        <v>0</v>
      </c>
      <c r="BH307" s="1103">
        <v>0</v>
      </c>
      <c r="BI307" s="1103">
        <v>0</v>
      </c>
      <c r="BJ307" s="1103">
        <v>0</v>
      </c>
    </row>
    <row r="308" spans="3:62" hidden="1" outlineLevel="1">
      <c r="C308" s="1083" t="s">
        <v>661</v>
      </c>
      <c r="D308" s="1062" t="s">
        <v>659</v>
      </c>
      <c r="E308" s="1083" t="s">
        <v>662</v>
      </c>
      <c r="F308" s="1095" t="s">
        <v>414</v>
      </c>
      <c r="G308" s="1096">
        <f t="shared" si="37"/>
        <v>198.31106000000426</v>
      </c>
      <c r="H308" s="1083" t="s">
        <v>29</v>
      </c>
      <c r="I308" s="1097">
        <v>8</v>
      </c>
      <c r="J308" s="1098">
        <f t="shared" si="38"/>
        <v>96</v>
      </c>
      <c r="K308" s="153">
        <f t="shared" si="39"/>
        <v>0.125</v>
      </c>
      <c r="L308" s="1099"/>
      <c r="M308" s="1100">
        <v>0</v>
      </c>
      <c r="N308" s="1101">
        <f>IF($BF308=0,0,IF(SUM($M308:M308)&lt;($J308-12),12,$J308-SUM($M308:M308)))</f>
        <v>0</v>
      </c>
      <c r="O308" s="1101">
        <f>IF($BF308=0,0,IF(SUM($M308:N308)&lt;($J308-12),12,$J308-SUM($M308:N308)))</f>
        <v>0</v>
      </c>
      <c r="P308" s="1101">
        <f>IF($BF308=0,0,IF(SUM($M308:O308)&lt;($J308-12),12,$J308-SUM($M308:O308)))</f>
        <v>0</v>
      </c>
      <c r="Q308" s="1101">
        <f>IF($BF308=0,0,IF(SUM($M308:P308)&lt;($J308-12),12,$J308-SUM($M308:P308)))</f>
        <v>0</v>
      </c>
      <c r="S308" s="1100"/>
      <c r="T308" s="1100">
        <v>0</v>
      </c>
      <c r="U308" s="1101">
        <f>IF($BG308=0,0,IF(SUM($S308:T308)&lt;($J308-12),12,$J308-SUM($S308:T308)))</f>
        <v>0</v>
      </c>
      <c r="V308" s="1101">
        <f>IF($BG308=0,0,IF(SUM($S308:U308)&lt;($J308-12),12,$J308-SUM($S308:U308)))</f>
        <v>0</v>
      </c>
      <c r="W308" s="1101">
        <f>IF($BG308=0,0,IF(SUM($S308:V308)&lt;($J308-12),12,$J308-SUM($S308:V308)))</f>
        <v>0</v>
      </c>
      <c r="Y308" s="1100"/>
      <c r="Z308" s="1100"/>
      <c r="AA308" s="1100">
        <v>3</v>
      </c>
      <c r="AB308" s="1101">
        <f>IF($BH308=0,0,IF(SUM($Y308:AA308)&lt;($J308-12),12,$J308-SUM($Y308:AA308)))</f>
        <v>12</v>
      </c>
      <c r="AC308" s="1101">
        <f>IF($BH308=0,0,IF(SUM($Y308:AB308)&lt;($J308-12),12,$J308-SUM($Y308:AB308)))</f>
        <v>12</v>
      </c>
      <c r="AE308" s="1100"/>
      <c r="AF308" s="1100"/>
      <c r="AG308" s="1100"/>
      <c r="AH308" s="1100">
        <v>0</v>
      </c>
      <c r="AI308" s="1101">
        <f>IF($BI308=0,0,IF(SUM($AE308:AH308)&lt;($J308-12),12,$J308-SUM($AE308:AH308)))</f>
        <v>0</v>
      </c>
      <c r="AK308" s="1100"/>
      <c r="AL308" s="1100"/>
      <c r="AM308" s="1100"/>
      <c r="AN308" s="1100"/>
      <c r="AO308" s="1100">
        <v>0</v>
      </c>
      <c r="AQ308" s="153">
        <f t="shared" si="40"/>
        <v>0</v>
      </c>
      <c r="AR308" s="153">
        <f t="shared" si="41"/>
        <v>0</v>
      </c>
      <c r="AS308" s="153">
        <f t="shared" si="42"/>
        <v>0.25</v>
      </c>
      <c r="AT308" s="153">
        <f t="shared" si="43"/>
        <v>0</v>
      </c>
      <c r="AU308" s="153">
        <f t="shared" si="44"/>
        <v>0</v>
      </c>
      <c r="AW308" s="1543">
        <v>1</v>
      </c>
      <c r="AX308" s="1102"/>
      <c r="AY308" s="1544">
        <v>0</v>
      </c>
      <c r="BA308" s="1103">
        <v>0</v>
      </c>
      <c r="BB308" s="1103">
        <v>0</v>
      </c>
      <c r="BC308" s="1103">
        <v>0</v>
      </c>
      <c r="BD308" s="1103">
        <v>0</v>
      </c>
      <c r="BE308" s="1103">
        <v>0</v>
      </c>
      <c r="BF308" s="1103">
        <v>0</v>
      </c>
      <c r="BG308" s="1103">
        <v>0</v>
      </c>
      <c r="BH308" s="1103">
        <v>198.31106000000426</v>
      </c>
      <c r="BI308" s="1103">
        <v>0</v>
      </c>
      <c r="BJ308" s="1103">
        <v>0</v>
      </c>
    </row>
    <row r="309" spans="3:62" hidden="1" outlineLevel="1">
      <c r="C309" s="1083" t="s">
        <v>663</v>
      </c>
      <c r="D309" s="1062" t="s">
        <v>659</v>
      </c>
      <c r="E309" s="1083" t="s">
        <v>662</v>
      </c>
      <c r="F309" s="1095" t="s">
        <v>414</v>
      </c>
      <c r="G309" s="1096">
        <f t="shared" si="37"/>
        <v>0</v>
      </c>
      <c r="H309" s="1083" t="s">
        <v>29</v>
      </c>
      <c r="I309" s="1097">
        <v>20</v>
      </c>
      <c r="J309" s="1098">
        <f t="shared" si="38"/>
        <v>240</v>
      </c>
      <c r="K309" s="153">
        <f t="shared" si="39"/>
        <v>0.05</v>
      </c>
      <c r="L309" s="1099"/>
      <c r="M309" s="1100">
        <v>0</v>
      </c>
      <c r="N309" s="1101">
        <f>IF($BF309=0,0,IF(SUM($M309:M309)&lt;($J309-12),12,$J309-SUM($M309:M309)))</f>
        <v>0</v>
      </c>
      <c r="O309" s="1101">
        <f>IF($BF309=0,0,IF(SUM($M309:N309)&lt;($J309-12),12,$J309-SUM($M309:N309)))</f>
        <v>0</v>
      </c>
      <c r="P309" s="1101">
        <f>IF($BF309=0,0,IF(SUM($M309:O309)&lt;($J309-12),12,$J309-SUM($M309:O309)))</f>
        <v>0</v>
      </c>
      <c r="Q309" s="1101">
        <f>IF($BF309=0,0,IF(SUM($M309:P309)&lt;($J309-12),12,$J309-SUM($M309:P309)))</f>
        <v>0</v>
      </c>
      <c r="S309" s="1100"/>
      <c r="T309" s="1100">
        <v>0</v>
      </c>
      <c r="U309" s="1101">
        <f>IF($BG309=0,0,IF(SUM($S309:T309)&lt;($J309-12),12,$J309-SUM($S309:T309)))</f>
        <v>0</v>
      </c>
      <c r="V309" s="1101">
        <f>IF($BG309=0,0,IF(SUM($S309:U309)&lt;($J309-12),12,$J309-SUM($S309:U309)))</f>
        <v>0</v>
      </c>
      <c r="W309" s="1101">
        <f>IF($BG309=0,0,IF(SUM($S309:V309)&lt;($J309-12),12,$J309-SUM($S309:V309)))</f>
        <v>0</v>
      </c>
      <c r="Y309" s="1100"/>
      <c r="Z309" s="1100"/>
      <c r="AA309" s="1100">
        <v>0</v>
      </c>
      <c r="AB309" s="1101">
        <f>IF($BH309=0,0,IF(SUM($Y309:AA309)&lt;($J309-12),12,$J309-SUM($Y309:AA309)))</f>
        <v>0</v>
      </c>
      <c r="AC309" s="1101">
        <f>IF($BH309=0,0,IF(SUM($Y309:AB309)&lt;($J309-12),12,$J309-SUM($Y309:AB309)))</f>
        <v>0</v>
      </c>
      <c r="AE309" s="1100"/>
      <c r="AF309" s="1100"/>
      <c r="AG309" s="1100"/>
      <c r="AH309" s="1100">
        <v>0</v>
      </c>
      <c r="AI309" s="1101">
        <f>IF($BI309=0,0,IF(SUM($AE309:AH309)&lt;($J309-12),12,$J309-SUM($AE309:AH309)))</f>
        <v>0</v>
      </c>
      <c r="AK309" s="1100"/>
      <c r="AL309" s="1100"/>
      <c r="AM309" s="1100"/>
      <c r="AN309" s="1100"/>
      <c r="AO309" s="1100">
        <v>0</v>
      </c>
      <c r="AQ309" s="153">
        <f t="shared" si="40"/>
        <v>0</v>
      </c>
      <c r="AR309" s="153">
        <f t="shared" si="41"/>
        <v>0</v>
      </c>
      <c r="AS309" s="153">
        <f t="shared" si="42"/>
        <v>0</v>
      </c>
      <c r="AT309" s="153">
        <f t="shared" si="43"/>
        <v>0</v>
      </c>
      <c r="AU309" s="153">
        <f t="shared" si="44"/>
        <v>0</v>
      </c>
      <c r="AW309" s="1543">
        <v>1</v>
      </c>
      <c r="AX309" s="1102"/>
      <c r="AY309" s="1544">
        <v>0</v>
      </c>
      <c r="BA309" s="1103">
        <v>0</v>
      </c>
      <c r="BB309" s="1103">
        <v>0</v>
      </c>
      <c r="BC309" s="1103">
        <v>0</v>
      </c>
      <c r="BD309" s="1103">
        <v>0</v>
      </c>
      <c r="BE309" s="1103">
        <v>0</v>
      </c>
      <c r="BF309" s="1103">
        <v>0</v>
      </c>
      <c r="BG309" s="1103">
        <v>0</v>
      </c>
      <c r="BH309" s="1103">
        <v>0</v>
      </c>
      <c r="BI309" s="1103">
        <v>0</v>
      </c>
      <c r="BJ309" s="1103">
        <v>0</v>
      </c>
    </row>
    <row r="310" spans="3:62" hidden="1" outlineLevel="1">
      <c r="C310" s="1083" t="s">
        <v>664</v>
      </c>
      <c r="D310" s="1062" t="s">
        <v>664</v>
      </c>
      <c r="E310" s="1083" t="s">
        <v>665</v>
      </c>
      <c r="F310" s="1095" t="s">
        <v>414</v>
      </c>
      <c r="G310" s="1096">
        <f t="shared" si="37"/>
        <v>153.30981000000051</v>
      </c>
      <c r="H310" s="1083" t="s">
        <v>29</v>
      </c>
      <c r="I310" s="1097">
        <v>8</v>
      </c>
      <c r="J310" s="1098">
        <f t="shared" si="38"/>
        <v>96</v>
      </c>
      <c r="K310" s="153">
        <f t="shared" si="39"/>
        <v>0.125</v>
      </c>
      <c r="L310" s="1099"/>
      <c r="M310" s="1100">
        <v>0</v>
      </c>
      <c r="N310" s="1101">
        <f>IF($BF310=0,0,IF(SUM($M310:M310)&lt;($J310-12),12,$J310-SUM($M310:M310)))</f>
        <v>0</v>
      </c>
      <c r="O310" s="1101">
        <f>IF($BF310=0,0,IF(SUM($M310:N310)&lt;($J310-12),12,$J310-SUM($M310:N310)))</f>
        <v>0</v>
      </c>
      <c r="P310" s="1101">
        <f>IF($BF310=0,0,IF(SUM($M310:O310)&lt;($J310-12),12,$J310-SUM($M310:O310)))</f>
        <v>0</v>
      </c>
      <c r="Q310" s="1101">
        <f>IF($BF310=0,0,IF(SUM($M310:P310)&lt;($J310-12),12,$J310-SUM($M310:P310)))</f>
        <v>0</v>
      </c>
      <c r="S310" s="1100"/>
      <c r="T310" s="1100">
        <v>6</v>
      </c>
      <c r="U310" s="1101">
        <f>IF($BG310=0,0,IF(SUM($S310:T310)&lt;($J310-12),12,$J310-SUM($S310:T310)))</f>
        <v>12</v>
      </c>
      <c r="V310" s="1101">
        <f>IF($BG310=0,0,IF(SUM($S310:U310)&lt;($J310-12),12,$J310-SUM($S310:U310)))</f>
        <v>12</v>
      </c>
      <c r="W310" s="1101">
        <f>IF($BG310=0,0,IF(SUM($S310:V310)&lt;($J310-12),12,$J310-SUM($S310:V310)))</f>
        <v>12</v>
      </c>
      <c r="Y310" s="1100"/>
      <c r="Z310" s="1100"/>
      <c r="AA310" s="1100">
        <v>0</v>
      </c>
      <c r="AB310" s="1101">
        <f>IF($BH310=0,0,IF(SUM($Y310:AA310)&lt;($J310-12),12,$J310-SUM($Y310:AA310)))</f>
        <v>0</v>
      </c>
      <c r="AC310" s="1101">
        <f>IF($BH310=0,0,IF(SUM($Y310:AB310)&lt;($J310-12),12,$J310-SUM($Y310:AB310)))</f>
        <v>0</v>
      </c>
      <c r="AE310" s="1100"/>
      <c r="AF310" s="1100"/>
      <c r="AG310" s="1100"/>
      <c r="AH310" s="1100">
        <v>0</v>
      </c>
      <c r="AI310" s="1101">
        <f>IF($BI310=0,0,IF(SUM($AE310:AH310)&lt;($J310-12),12,$J310-SUM($AE310:AH310)))</f>
        <v>0</v>
      </c>
      <c r="AK310" s="1100"/>
      <c r="AL310" s="1100"/>
      <c r="AM310" s="1100"/>
      <c r="AN310" s="1100"/>
      <c r="AO310" s="1100">
        <v>0</v>
      </c>
      <c r="AQ310" s="153">
        <f t="shared" si="40"/>
        <v>0</v>
      </c>
      <c r="AR310" s="153">
        <f t="shared" si="41"/>
        <v>0.5</v>
      </c>
      <c r="AS310" s="153">
        <f t="shared" si="42"/>
        <v>0</v>
      </c>
      <c r="AT310" s="153">
        <f t="shared" si="43"/>
        <v>0</v>
      </c>
      <c r="AU310" s="153">
        <f t="shared" si="44"/>
        <v>0</v>
      </c>
      <c r="AW310" s="1543">
        <v>0.75</v>
      </c>
      <c r="AX310" s="1102"/>
      <c r="AY310" s="1544">
        <v>0.25</v>
      </c>
      <c r="BA310" s="1103">
        <v>0</v>
      </c>
      <c r="BB310" s="1103">
        <v>0</v>
      </c>
      <c r="BC310" s="1103">
        <v>0</v>
      </c>
      <c r="BD310" s="1103">
        <v>0</v>
      </c>
      <c r="BE310" s="1103">
        <v>0</v>
      </c>
      <c r="BF310" s="1103">
        <v>0</v>
      </c>
      <c r="BG310" s="1103">
        <v>153.30981000000051</v>
      </c>
      <c r="BH310" s="1103">
        <v>0</v>
      </c>
      <c r="BI310" s="1103">
        <v>0</v>
      </c>
      <c r="BJ310" s="1103">
        <v>0</v>
      </c>
    </row>
    <row r="311" spans="3:62" hidden="1" outlineLevel="1">
      <c r="C311" s="1083" t="s">
        <v>666</v>
      </c>
      <c r="D311" s="1062" t="s">
        <v>666</v>
      </c>
      <c r="E311" s="1083" t="s">
        <v>667</v>
      </c>
      <c r="F311" s="1095" t="s">
        <v>414</v>
      </c>
      <c r="G311" s="1096">
        <f t="shared" si="37"/>
        <v>150</v>
      </c>
      <c r="H311" s="1083" t="s">
        <v>29</v>
      </c>
      <c r="I311" s="1097">
        <v>8</v>
      </c>
      <c r="J311" s="1098">
        <f t="shared" si="38"/>
        <v>96</v>
      </c>
      <c r="K311" s="153">
        <f t="shared" si="39"/>
        <v>0.125</v>
      </c>
      <c r="L311" s="1099"/>
      <c r="M311" s="1100">
        <v>0</v>
      </c>
      <c r="N311" s="1101">
        <f>IF($BF311=0,0,IF(SUM($M311:M311)&lt;($J311-12),12,$J311-SUM($M311:M311)))</f>
        <v>0</v>
      </c>
      <c r="O311" s="1101">
        <f>IF($BF311=0,0,IF(SUM($M311:N311)&lt;($J311-12),12,$J311-SUM($M311:N311)))</f>
        <v>0</v>
      </c>
      <c r="P311" s="1101">
        <f>IF($BF311=0,0,IF(SUM($M311:O311)&lt;($J311-12),12,$J311-SUM($M311:O311)))</f>
        <v>0</v>
      </c>
      <c r="Q311" s="1101">
        <f>IF($BF311=0,0,IF(SUM($M311:P311)&lt;($J311-12),12,$J311-SUM($M311:P311)))</f>
        <v>0</v>
      </c>
      <c r="S311" s="1100"/>
      <c r="T311" s="1100">
        <v>0</v>
      </c>
      <c r="U311" s="1101">
        <f>IF($BG311=0,0,IF(SUM($S311:T311)&lt;($J311-12),12,$J311-SUM($S311:T311)))</f>
        <v>0</v>
      </c>
      <c r="V311" s="1101">
        <f>IF($BG311=0,0,IF(SUM($S311:U311)&lt;($J311-12),12,$J311-SUM($S311:U311)))</f>
        <v>0</v>
      </c>
      <c r="W311" s="1101">
        <f>IF($BG311=0,0,IF(SUM($S311:V311)&lt;($J311-12),12,$J311-SUM($S311:V311)))</f>
        <v>0</v>
      </c>
      <c r="Y311" s="1100"/>
      <c r="Z311" s="1100"/>
      <c r="AA311" s="1100">
        <v>0</v>
      </c>
      <c r="AB311" s="1101">
        <f>IF($BH311=0,0,IF(SUM($Y311:AA311)&lt;($J311-12),12,$J311-SUM($Y311:AA311)))</f>
        <v>0</v>
      </c>
      <c r="AC311" s="1101">
        <f>IF($BH311=0,0,IF(SUM($Y311:AB311)&lt;($J311-12),12,$J311-SUM($Y311:AB311)))</f>
        <v>0</v>
      </c>
      <c r="AE311" s="1100"/>
      <c r="AF311" s="1100"/>
      <c r="AG311" s="1100"/>
      <c r="AH311" s="1100">
        <v>0</v>
      </c>
      <c r="AI311" s="1101">
        <f>IF($BI311=0,0,IF(SUM($AE311:AH311)&lt;($J311-12),12,$J311-SUM($AE311:AH311)))</f>
        <v>0</v>
      </c>
      <c r="AK311" s="1100"/>
      <c r="AL311" s="1100"/>
      <c r="AM311" s="1100"/>
      <c r="AN311" s="1100"/>
      <c r="AO311" s="1100">
        <v>9</v>
      </c>
      <c r="AQ311" s="153">
        <f t="shared" si="40"/>
        <v>0</v>
      </c>
      <c r="AR311" s="153">
        <f t="shared" si="41"/>
        <v>0</v>
      </c>
      <c r="AS311" s="153">
        <f t="shared" si="42"/>
        <v>0</v>
      </c>
      <c r="AT311" s="153">
        <f t="shared" si="43"/>
        <v>0</v>
      </c>
      <c r="AU311" s="153">
        <f t="shared" si="44"/>
        <v>0.75</v>
      </c>
      <c r="AW311" s="1543">
        <v>0</v>
      </c>
      <c r="AX311" s="1102"/>
      <c r="AY311" s="1544">
        <v>1</v>
      </c>
      <c r="BA311" s="1103">
        <v>0</v>
      </c>
      <c r="BB311" s="1103">
        <v>0</v>
      </c>
      <c r="BC311" s="1103">
        <v>0</v>
      </c>
      <c r="BD311" s="1103">
        <v>0</v>
      </c>
      <c r="BE311" s="1103">
        <v>0</v>
      </c>
      <c r="BF311" s="1103">
        <v>0</v>
      </c>
      <c r="BG311" s="1103">
        <v>0</v>
      </c>
      <c r="BH311" s="1103">
        <v>0</v>
      </c>
      <c r="BI311" s="1103">
        <v>0</v>
      </c>
      <c r="BJ311" s="1103">
        <v>150</v>
      </c>
    </row>
    <row r="312" spans="3:62" hidden="1" outlineLevel="1">
      <c r="C312" s="1083" t="s">
        <v>668</v>
      </c>
      <c r="D312" s="1062" t="s">
        <v>668</v>
      </c>
      <c r="E312" s="1083" t="s">
        <v>669</v>
      </c>
      <c r="F312" s="1095" t="s">
        <v>414</v>
      </c>
      <c r="G312" s="1096">
        <f t="shared" si="37"/>
        <v>150</v>
      </c>
      <c r="H312" s="1083" t="s">
        <v>29</v>
      </c>
      <c r="I312" s="1097">
        <v>8</v>
      </c>
      <c r="J312" s="1098">
        <f t="shared" si="38"/>
        <v>96</v>
      </c>
      <c r="K312" s="153">
        <f t="shared" si="39"/>
        <v>0.125</v>
      </c>
      <c r="L312" s="1099"/>
      <c r="M312" s="1100">
        <v>0</v>
      </c>
      <c r="N312" s="1101">
        <f>IF($BF312=0,0,IF(SUM($M312:M312)&lt;($J312-12),12,$J312-SUM($M312:M312)))</f>
        <v>0</v>
      </c>
      <c r="O312" s="1101">
        <f>IF($BF312=0,0,IF(SUM($M312:N312)&lt;($J312-12),12,$J312-SUM($M312:N312)))</f>
        <v>0</v>
      </c>
      <c r="P312" s="1101">
        <f>IF($BF312=0,0,IF(SUM($M312:O312)&lt;($J312-12),12,$J312-SUM($M312:O312)))</f>
        <v>0</v>
      </c>
      <c r="Q312" s="1101">
        <f>IF($BF312=0,0,IF(SUM($M312:P312)&lt;($J312-12),12,$J312-SUM($M312:P312)))</f>
        <v>0</v>
      </c>
      <c r="S312" s="1100"/>
      <c r="T312" s="1100">
        <v>0</v>
      </c>
      <c r="U312" s="1101">
        <f>IF($BG312=0,0,IF(SUM($S312:T312)&lt;($J312-12),12,$J312-SUM($S312:T312)))</f>
        <v>0</v>
      </c>
      <c r="V312" s="1101">
        <f>IF($BG312=0,0,IF(SUM($S312:U312)&lt;($J312-12),12,$J312-SUM($S312:U312)))</f>
        <v>0</v>
      </c>
      <c r="W312" s="1101">
        <f>IF($BG312=0,0,IF(SUM($S312:V312)&lt;($J312-12),12,$J312-SUM($S312:V312)))</f>
        <v>0</v>
      </c>
      <c r="Y312" s="1100"/>
      <c r="Z312" s="1100"/>
      <c r="AA312" s="1100">
        <v>0</v>
      </c>
      <c r="AB312" s="1101">
        <f>IF($BH312=0,0,IF(SUM($Y312:AA312)&lt;($J312-12),12,$J312-SUM($Y312:AA312)))</f>
        <v>0</v>
      </c>
      <c r="AC312" s="1101">
        <f>IF($BH312=0,0,IF(SUM($Y312:AB312)&lt;($J312-12),12,$J312-SUM($Y312:AB312)))</f>
        <v>0</v>
      </c>
      <c r="AE312" s="1100"/>
      <c r="AF312" s="1100"/>
      <c r="AG312" s="1100"/>
      <c r="AH312" s="1100">
        <v>12</v>
      </c>
      <c r="AI312" s="1101">
        <f>IF($BI312=0,0,IF(SUM($AE312:AH312)&lt;($J312-12),12,$J312-SUM($AE312:AH312)))</f>
        <v>12</v>
      </c>
      <c r="AK312" s="1100"/>
      <c r="AL312" s="1100"/>
      <c r="AM312" s="1100"/>
      <c r="AN312" s="1100"/>
      <c r="AO312" s="1100">
        <v>0</v>
      </c>
      <c r="AQ312" s="153">
        <f t="shared" si="40"/>
        <v>0</v>
      </c>
      <c r="AR312" s="153">
        <f t="shared" si="41"/>
        <v>0</v>
      </c>
      <c r="AS312" s="153">
        <f t="shared" si="42"/>
        <v>0</v>
      </c>
      <c r="AT312" s="153">
        <f t="shared" si="43"/>
        <v>1</v>
      </c>
      <c r="AU312" s="153">
        <f t="shared" si="44"/>
        <v>0</v>
      </c>
      <c r="AW312" s="1543">
        <v>0.73</v>
      </c>
      <c r="AX312" s="1102"/>
      <c r="AY312" s="1544">
        <v>0.15</v>
      </c>
      <c r="BA312" s="1103">
        <v>0</v>
      </c>
      <c r="BB312" s="1103">
        <v>0</v>
      </c>
      <c r="BC312" s="1103">
        <v>0</v>
      </c>
      <c r="BD312" s="1103">
        <v>0</v>
      </c>
      <c r="BE312" s="1103">
        <v>0</v>
      </c>
      <c r="BF312" s="1103">
        <v>0</v>
      </c>
      <c r="BG312" s="1103">
        <v>0</v>
      </c>
      <c r="BH312" s="1103">
        <v>0</v>
      </c>
      <c r="BI312" s="1103">
        <v>150</v>
      </c>
      <c r="BJ312" s="1103">
        <v>0</v>
      </c>
    </row>
    <row r="313" spans="3:62" hidden="1" outlineLevel="1">
      <c r="C313" s="1083" t="s">
        <v>670</v>
      </c>
      <c r="D313" s="1062" t="s">
        <v>670</v>
      </c>
      <c r="E313" s="1083" t="s">
        <v>671</v>
      </c>
      <c r="F313" s="1095" t="s">
        <v>414</v>
      </c>
      <c r="G313" s="1096">
        <f t="shared" si="37"/>
        <v>130</v>
      </c>
      <c r="H313" s="1083" t="s">
        <v>29</v>
      </c>
      <c r="I313" s="1097">
        <v>8</v>
      </c>
      <c r="J313" s="1098">
        <f t="shared" si="38"/>
        <v>96</v>
      </c>
      <c r="K313" s="153">
        <f t="shared" si="39"/>
        <v>0.125</v>
      </c>
      <c r="L313" s="1099"/>
      <c r="M313" s="1100">
        <v>0</v>
      </c>
      <c r="N313" s="1101">
        <f>IF($BF313=0,0,IF(SUM($M313:M313)&lt;($J313-12),12,$J313-SUM($M313:M313)))</f>
        <v>0</v>
      </c>
      <c r="O313" s="1101">
        <f>IF($BF313=0,0,IF(SUM($M313:N313)&lt;($J313-12),12,$J313-SUM($M313:N313)))</f>
        <v>0</v>
      </c>
      <c r="P313" s="1101">
        <f>IF($BF313=0,0,IF(SUM($M313:O313)&lt;($J313-12),12,$J313-SUM($M313:O313)))</f>
        <v>0</v>
      </c>
      <c r="Q313" s="1101">
        <f>IF($BF313=0,0,IF(SUM($M313:P313)&lt;($J313-12),12,$J313-SUM($M313:P313)))</f>
        <v>0</v>
      </c>
      <c r="S313" s="1100"/>
      <c r="T313" s="1100">
        <v>0</v>
      </c>
      <c r="U313" s="1101">
        <f>IF($BG313=0,0,IF(SUM($S313:T313)&lt;($J313-12),12,$J313-SUM($S313:T313)))</f>
        <v>0</v>
      </c>
      <c r="V313" s="1101">
        <f>IF($BG313=0,0,IF(SUM($S313:U313)&lt;($J313-12),12,$J313-SUM($S313:U313)))</f>
        <v>0</v>
      </c>
      <c r="W313" s="1101">
        <f>IF($BG313=0,0,IF(SUM($S313:V313)&lt;($J313-12),12,$J313-SUM($S313:V313)))</f>
        <v>0</v>
      </c>
      <c r="Y313" s="1100"/>
      <c r="Z313" s="1100"/>
      <c r="AA313" s="1100">
        <v>12</v>
      </c>
      <c r="AB313" s="1101">
        <f>IF($BH313=0,0,IF(SUM($Y313:AA313)&lt;($J313-12),12,$J313-SUM($Y313:AA313)))</f>
        <v>12</v>
      </c>
      <c r="AC313" s="1101">
        <f>IF($BH313=0,0,IF(SUM($Y313:AB313)&lt;($J313-12),12,$J313-SUM($Y313:AB313)))</f>
        <v>12</v>
      </c>
      <c r="AE313" s="1100"/>
      <c r="AF313" s="1100"/>
      <c r="AG313" s="1100"/>
      <c r="AH313" s="1100">
        <v>0</v>
      </c>
      <c r="AI313" s="1101">
        <f>IF($BI313=0,0,IF(SUM($AE313:AH313)&lt;($J313-12),12,$J313-SUM($AE313:AH313)))</f>
        <v>0</v>
      </c>
      <c r="AK313" s="1100"/>
      <c r="AL313" s="1100"/>
      <c r="AM313" s="1100"/>
      <c r="AN313" s="1100"/>
      <c r="AO313" s="1100">
        <v>0</v>
      </c>
      <c r="AQ313" s="153">
        <f t="shared" si="40"/>
        <v>0</v>
      </c>
      <c r="AR313" s="153">
        <f t="shared" si="41"/>
        <v>0</v>
      </c>
      <c r="AS313" s="153">
        <f t="shared" si="42"/>
        <v>1</v>
      </c>
      <c r="AT313" s="153">
        <f t="shared" si="43"/>
        <v>0</v>
      </c>
      <c r="AU313" s="153">
        <f t="shared" si="44"/>
        <v>0</v>
      </c>
      <c r="AW313" s="1543">
        <v>0.75</v>
      </c>
      <c r="AX313" s="1102"/>
      <c r="AY313" s="1544">
        <v>0.25</v>
      </c>
      <c r="BA313" s="1103">
        <v>0</v>
      </c>
      <c r="BB313" s="1103">
        <v>0</v>
      </c>
      <c r="BC313" s="1103">
        <v>0</v>
      </c>
      <c r="BD313" s="1103">
        <v>0</v>
      </c>
      <c r="BE313" s="1103">
        <v>0</v>
      </c>
      <c r="BF313" s="1103">
        <v>0</v>
      </c>
      <c r="BG313" s="1103">
        <v>0</v>
      </c>
      <c r="BH313" s="1103">
        <v>130</v>
      </c>
      <c r="BI313" s="1103">
        <v>0</v>
      </c>
      <c r="BJ313" s="1103">
        <v>0</v>
      </c>
    </row>
    <row r="314" spans="3:62" hidden="1" outlineLevel="1">
      <c r="C314" s="1083" t="s">
        <v>672</v>
      </c>
      <c r="D314" s="1062" t="s">
        <v>672</v>
      </c>
      <c r="E314" s="1083" t="s">
        <v>673</v>
      </c>
      <c r="F314" s="1095" t="s">
        <v>414</v>
      </c>
      <c r="G314" s="1096">
        <f t="shared" si="37"/>
        <v>115</v>
      </c>
      <c r="H314" s="1083" t="s">
        <v>29</v>
      </c>
      <c r="I314" s="1097">
        <v>8</v>
      </c>
      <c r="J314" s="1098">
        <f t="shared" si="38"/>
        <v>96</v>
      </c>
      <c r="K314" s="153">
        <f t="shared" si="39"/>
        <v>0.125</v>
      </c>
      <c r="L314" s="1099"/>
      <c r="M314" s="1100">
        <v>0</v>
      </c>
      <c r="N314" s="1101">
        <f>IF($BF314=0,0,IF(SUM($M314:M314)&lt;($J314-12),12,$J314-SUM($M314:M314)))</f>
        <v>0</v>
      </c>
      <c r="O314" s="1101">
        <f>IF($BF314=0,0,IF(SUM($M314:N314)&lt;($J314-12),12,$J314-SUM($M314:N314)))</f>
        <v>0</v>
      </c>
      <c r="P314" s="1101">
        <f>IF($BF314=0,0,IF(SUM($M314:O314)&lt;($J314-12),12,$J314-SUM($M314:O314)))</f>
        <v>0</v>
      </c>
      <c r="Q314" s="1101">
        <f>IF($BF314=0,0,IF(SUM($M314:P314)&lt;($J314-12),12,$J314-SUM($M314:P314)))</f>
        <v>0</v>
      </c>
      <c r="S314" s="1100"/>
      <c r="T314" s="1100">
        <v>3</v>
      </c>
      <c r="U314" s="1101">
        <f>IF($BG314=0,0,IF(SUM($S314:T314)&lt;($J314-12),12,$J314-SUM($S314:T314)))</f>
        <v>12</v>
      </c>
      <c r="V314" s="1101">
        <f>IF($BG314=0,0,IF(SUM($S314:U314)&lt;($J314-12),12,$J314-SUM($S314:U314)))</f>
        <v>12</v>
      </c>
      <c r="W314" s="1101">
        <f>IF($BG314=0,0,IF(SUM($S314:V314)&lt;($J314-12),12,$J314-SUM($S314:V314)))</f>
        <v>12</v>
      </c>
      <c r="Y314" s="1100"/>
      <c r="Z314" s="1100"/>
      <c r="AA314" s="1100">
        <v>0</v>
      </c>
      <c r="AB314" s="1101">
        <f>IF($BH314=0,0,IF(SUM($Y314:AA314)&lt;($J314-12),12,$J314-SUM($Y314:AA314)))</f>
        <v>0</v>
      </c>
      <c r="AC314" s="1101">
        <f>IF($BH314=0,0,IF(SUM($Y314:AB314)&lt;($J314-12),12,$J314-SUM($Y314:AB314)))</f>
        <v>0</v>
      </c>
      <c r="AE314" s="1100"/>
      <c r="AF314" s="1100"/>
      <c r="AG314" s="1100"/>
      <c r="AH314" s="1100">
        <v>0</v>
      </c>
      <c r="AI314" s="1101">
        <f>IF($BI314=0,0,IF(SUM($AE314:AH314)&lt;($J314-12),12,$J314-SUM($AE314:AH314)))</f>
        <v>0</v>
      </c>
      <c r="AK314" s="1100"/>
      <c r="AL314" s="1100"/>
      <c r="AM314" s="1100"/>
      <c r="AN314" s="1100"/>
      <c r="AO314" s="1100">
        <v>0</v>
      </c>
      <c r="AQ314" s="153">
        <f t="shared" si="40"/>
        <v>0</v>
      </c>
      <c r="AR314" s="153">
        <f t="shared" si="41"/>
        <v>0.25</v>
      </c>
      <c r="AS314" s="153">
        <f t="shared" si="42"/>
        <v>0</v>
      </c>
      <c r="AT314" s="153">
        <f t="shared" si="43"/>
        <v>0</v>
      </c>
      <c r="AU314" s="153">
        <f t="shared" si="44"/>
        <v>0</v>
      </c>
      <c r="AW314" s="1543">
        <v>0.75</v>
      </c>
      <c r="AX314" s="1102"/>
      <c r="AY314" s="1544">
        <v>0.25</v>
      </c>
      <c r="BA314" s="1103">
        <v>0</v>
      </c>
      <c r="BB314" s="1103">
        <v>0</v>
      </c>
      <c r="BC314" s="1103">
        <v>0</v>
      </c>
      <c r="BD314" s="1103">
        <v>0</v>
      </c>
      <c r="BE314" s="1103">
        <v>0</v>
      </c>
      <c r="BF314" s="1103">
        <v>0</v>
      </c>
      <c r="BG314" s="1103">
        <v>115</v>
      </c>
      <c r="BH314" s="1103">
        <v>0</v>
      </c>
      <c r="BI314" s="1103">
        <v>0</v>
      </c>
      <c r="BJ314" s="1103">
        <v>0</v>
      </c>
    </row>
    <row r="315" spans="3:62" hidden="1" outlineLevel="1">
      <c r="C315" s="1083" t="s">
        <v>674</v>
      </c>
      <c r="D315" s="1062" t="s">
        <v>675</v>
      </c>
      <c r="E315" s="1083" t="s">
        <v>676</v>
      </c>
      <c r="F315" s="1095" t="s">
        <v>414</v>
      </c>
      <c r="G315" s="1096">
        <f t="shared" si="37"/>
        <v>0</v>
      </c>
      <c r="H315" s="1083" t="s">
        <v>29</v>
      </c>
      <c r="I315" s="1097">
        <v>0</v>
      </c>
      <c r="J315" s="1098">
        <f t="shared" si="38"/>
        <v>0</v>
      </c>
      <c r="K315" s="153">
        <f t="shared" si="39"/>
        <v>0</v>
      </c>
      <c r="L315" s="1099"/>
      <c r="M315" s="1100">
        <v>0</v>
      </c>
      <c r="N315" s="1101">
        <f>IF($BF315=0,0,IF(SUM($M315:M315)&lt;($J315-12),12,$J315-SUM($M315:M315)))</f>
        <v>0</v>
      </c>
      <c r="O315" s="1101">
        <f>IF($BF315=0,0,IF(SUM($M315:N315)&lt;($J315-12),12,$J315-SUM($M315:N315)))</f>
        <v>0</v>
      </c>
      <c r="P315" s="1101">
        <f>IF($BF315=0,0,IF(SUM($M315:O315)&lt;($J315-12),12,$J315-SUM($M315:O315)))</f>
        <v>0</v>
      </c>
      <c r="Q315" s="1101">
        <f>IF($BF315=0,0,IF(SUM($M315:P315)&lt;($J315-12),12,$J315-SUM($M315:P315)))</f>
        <v>0</v>
      </c>
      <c r="S315" s="1100"/>
      <c r="T315" s="1100">
        <v>0</v>
      </c>
      <c r="U315" s="1101">
        <f>IF($BG315=0,0,IF(SUM($S315:T315)&lt;($J315-12),12,$J315-SUM($S315:T315)))</f>
        <v>0</v>
      </c>
      <c r="V315" s="1101">
        <f>IF($BG315=0,0,IF(SUM($S315:U315)&lt;($J315-12),12,$J315-SUM($S315:U315)))</f>
        <v>0</v>
      </c>
      <c r="W315" s="1101">
        <f>IF($BG315=0,0,IF(SUM($S315:V315)&lt;($J315-12),12,$J315-SUM($S315:V315)))</f>
        <v>0</v>
      </c>
      <c r="Y315" s="1100"/>
      <c r="Z315" s="1100"/>
      <c r="AA315" s="1100">
        <v>0</v>
      </c>
      <c r="AB315" s="1101">
        <f>IF($BH315=0,0,IF(SUM($Y315:AA315)&lt;($J315-12),12,$J315-SUM($Y315:AA315)))</f>
        <v>0</v>
      </c>
      <c r="AC315" s="1101">
        <f>IF($BH315=0,0,IF(SUM($Y315:AB315)&lt;($J315-12),12,$J315-SUM($Y315:AB315)))</f>
        <v>0</v>
      </c>
      <c r="AE315" s="1100"/>
      <c r="AF315" s="1100"/>
      <c r="AG315" s="1100"/>
      <c r="AH315" s="1100">
        <v>0</v>
      </c>
      <c r="AI315" s="1101">
        <f>IF($BI315=0,0,IF(SUM($AE315:AH315)&lt;($J315-12),12,$J315-SUM($AE315:AH315)))</f>
        <v>0</v>
      </c>
      <c r="AK315" s="1100"/>
      <c r="AL315" s="1100"/>
      <c r="AM315" s="1100"/>
      <c r="AN315" s="1100"/>
      <c r="AO315" s="1100">
        <v>0</v>
      </c>
      <c r="AQ315" s="153">
        <f t="shared" si="40"/>
        <v>0</v>
      </c>
      <c r="AR315" s="153">
        <f t="shared" si="41"/>
        <v>0</v>
      </c>
      <c r="AS315" s="153">
        <f t="shared" si="42"/>
        <v>0</v>
      </c>
      <c r="AT315" s="153">
        <f t="shared" si="43"/>
        <v>0</v>
      </c>
      <c r="AU315" s="153">
        <f t="shared" si="44"/>
        <v>0</v>
      </c>
      <c r="AW315" s="1543">
        <v>0</v>
      </c>
      <c r="AX315" s="1102"/>
      <c r="AY315" s="1544">
        <v>0</v>
      </c>
      <c r="BA315" s="1103">
        <v>0</v>
      </c>
      <c r="BB315" s="1103">
        <v>0</v>
      </c>
      <c r="BC315" s="1103">
        <v>0</v>
      </c>
      <c r="BD315" s="1103">
        <v>0</v>
      </c>
      <c r="BE315" s="1103">
        <v>0</v>
      </c>
      <c r="BF315" s="1103">
        <v>0</v>
      </c>
      <c r="BG315" s="1103">
        <v>0</v>
      </c>
      <c r="BH315" s="1103">
        <v>0</v>
      </c>
      <c r="BI315" s="1103">
        <v>0</v>
      </c>
      <c r="BJ315" s="1103">
        <v>0</v>
      </c>
    </row>
    <row r="316" spans="3:62" hidden="1" outlineLevel="1">
      <c r="C316" s="1083" t="s">
        <v>677</v>
      </c>
      <c r="D316" s="1062" t="s">
        <v>675</v>
      </c>
      <c r="E316" s="1083" t="s">
        <v>678</v>
      </c>
      <c r="F316" s="1095" t="s">
        <v>414</v>
      </c>
      <c r="G316" s="1096">
        <f t="shared" si="37"/>
        <v>51.133998730158901</v>
      </c>
      <c r="H316" s="1083" t="s">
        <v>29</v>
      </c>
      <c r="I316" s="1097">
        <v>8</v>
      </c>
      <c r="J316" s="1098">
        <f t="shared" si="38"/>
        <v>96</v>
      </c>
      <c r="K316" s="153">
        <f t="shared" si="39"/>
        <v>0.125</v>
      </c>
      <c r="L316" s="1099"/>
      <c r="M316" s="1100">
        <v>0</v>
      </c>
      <c r="N316" s="1101">
        <f>IF($BF316=0,0,IF(SUM($M316:M316)&lt;($J316-12),12,$J316-SUM($M316:M316)))</f>
        <v>0</v>
      </c>
      <c r="O316" s="1101">
        <f>IF($BF316=0,0,IF(SUM($M316:N316)&lt;($J316-12),12,$J316-SUM($M316:N316)))</f>
        <v>0</v>
      </c>
      <c r="P316" s="1101">
        <f>IF($BF316=0,0,IF(SUM($M316:O316)&lt;($J316-12),12,$J316-SUM($M316:O316)))</f>
        <v>0</v>
      </c>
      <c r="Q316" s="1101">
        <f>IF($BF316=0,0,IF(SUM($M316:P316)&lt;($J316-12),12,$J316-SUM($M316:P316)))</f>
        <v>0</v>
      </c>
      <c r="S316" s="1100"/>
      <c r="T316" s="1100">
        <v>9.0665310023655596</v>
      </c>
      <c r="U316" s="1101">
        <f>IF($BG316=0,0,IF(SUM($S316:T316)&lt;($J316-12),12,$J316-SUM($S316:T316)))</f>
        <v>12</v>
      </c>
      <c r="V316" s="1101">
        <f>IF($BG316=0,0,IF(SUM($S316:U316)&lt;($J316-12),12,$J316-SUM($S316:U316)))</f>
        <v>12</v>
      </c>
      <c r="W316" s="1101">
        <f>IF($BG316=0,0,IF(SUM($S316:V316)&lt;($J316-12),12,$J316-SUM($S316:V316)))</f>
        <v>12</v>
      </c>
      <c r="Y316" s="1100"/>
      <c r="Z316" s="1100"/>
      <c r="AA316" s="1100">
        <v>0</v>
      </c>
      <c r="AB316" s="1101">
        <f>IF($BH316=0,0,IF(SUM($Y316:AA316)&lt;($J316-12),12,$J316-SUM($Y316:AA316)))</f>
        <v>0</v>
      </c>
      <c r="AC316" s="1101">
        <f>IF($BH316=0,0,IF(SUM($Y316:AB316)&lt;($J316-12),12,$J316-SUM($Y316:AB316)))</f>
        <v>0</v>
      </c>
      <c r="AE316" s="1100"/>
      <c r="AF316" s="1100"/>
      <c r="AG316" s="1100"/>
      <c r="AH316" s="1100">
        <v>0</v>
      </c>
      <c r="AI316" s="1101">
        <f>IF($BI316=0,0,IF(SUM($AE316:AH316)&lt;($J316-12),12,$J316-SUM($AE316:AH316)))</f>
        <v>0</v>
      </c>
      <c r="AK316" s="1100"/>
      <c r="AL316" s="1100"/>
      <c r="AM316" s="1100"/>
      <c r="AN316" s="1100"/>
      <c r="AO316" s="1100">
        <v>0</v>
      </c>
      <c r="AQ316" s="153">
        <f t="shared" si="40"/>
        <v>0</v>
      </c>
      <c r="AR316" s="153">
        <f t="shared" si="41"/>
        <v>0.75554425019713001</v>
      </c>
      <c r="AS316" s="153">
        <f t="shared" si="42"/>
        <v>0</v>
      </c>
      <c r="AT316" s="153">
        <f t="shared" si="43"/>
        <v>0</v>
      </c>
      <c r="AU316" s="153">
        <f t="shared" si="44"/>
        <v>0</v>
      </c>
      <c r="AW316" s="1543">
        <v>0.75</v>
      </c>
      <c r="AX316" s="1102"/>
      <c r="AY316" s="1544">
        <v>0.25</v>
      </c>
      <c r="BA316" s="1103">
        <v>0</v>
      </c>
      <c r="BB316" s="1103">
        <v>0</v>
      </c>
      <c r="BC316" s="1103">
        <v>0</v>
      </c>
      <c r="BD316" s="1103">
        <v>0</v>
      </c>
      <c r="BE316" s="1103">
        <v>0</v>
      </c>
      <c r="BF316" s="1103">
        <v>0</v>
      </c>
      <c r="BG316" s="1103">
        <v>51.133998730158901</v>
      </c>
      <c r="BH316" s="1103">
        <v>0</v>
      </c>
      <c r="BI316" s="1103">
        <v>0</v>
      </c>
      <c r="BJ316" s="1103">
        <v>0</v>
      </c>
    </row>
    <row r="317" spans="3:62" hidden="1" outlineLevel="1">
      <c r="C317" s="1083" t="s">
        <v>679</v>
      </c>
      <c r="D317" s="1062" t="s">
        <v>675</v>
      </c>
      <c r="E317" s="1083" t="s">
        <v>678</v>
      </c>
      <c r="F317" s="1095" t="s">
        <v>414</v>
      </c>
      <c r="G317" s="1096">
        <f t="shared" si="37"/>
        <v>50</v>
      </c>
      <c r="H317" s="1083" t="s">
        <v>29</v>
      </c>
      <c r="I317" s="1097">
        <v>8</v>
      </c>
      <c r="J317" s="1098">
        <f t="shared" si="38"/>
        <v>96</v>
      </c>
      <c r="K317" s="153">
        <f t="shared" si="39"/>
        <v>0.125</v>
      </c>
      <c r="L317" s="1099"/>
      <c r="M317" s="1100">
        <v>0</v>
      </c>
      <c r="N317" s="1101">
        <f>IF($BF317=0,0,IF(SUM($M317:M317)&lt;($J317-12),12,$J317-SUM($M317:M317)))</f>
        <v>0</v>
      </c>
      <c r="O317" s="1101">
        <f>IF($BF317=0,0,IF(SUM($M317:N317)&lt;($J317-12),12,$J317-SUM($M317:N317)))</f>
        <v>0</v>
      </c>
      <c r="P317" s="1101">
        <f>IF($BF317=0,0,IF(SUM($M317:O317)&lt;($J317-12),12,$J317-SUM($M317:O317)))</f>
        <v>0</v>
      </c>
      <c r="Q317" s="1101">
        <f>IF($BF317=0,0,IF(SUM($M317:P317)&lt;($J317-12),12,$J317-SUM($M317:P317)))</f>
        <v>0</v>
      </c>
      <c r="S317" s="1100"/>
      <c r="T317" s="1100">
        <v>9</v>
      </c>
      <c r="U317" s="1101">
        <f>IF($BG317=0,0,IF(SUM($S317:T317)&lt;($J317-12),12,$J317-SUM($S317:T317)))</f>
        <v>12</v>
      </c>
      <c r="V317" s="1101">
        <f>IF($BG317=0,0,IF(SUM($S317:U317)&lt;($J317-12),12,$J317-SUM($S317:U317)))</f>
        <v>12</v>
      </c>
      <c r="W317" s="1101">
        <f>IF($BG317=0,0,IF(SUM($S317:V317)&lt;($J317-12),12,$J317-SUM($S317:V317)))</f>
        <v>12</v>
      </c>
      <c r="Y317" s="1100"/>
      <c r="Z317" s="1100"/>
      <c r="AA317" s="1100">
        <v>0</v>
      </c>
      <c r="AB317" s="1101">
        <f>IF($BH317=0,0,IF(SUM($Y317:AA317)&lt;($J317-12),12,$J317-SUM($Y317:AA317)))</f>
        <v>0</v>
      </c>
      <c r="AC317" s="1101">
        <f>IF($BH317=0,0,IF(SUM($Y317:AB317)&lt;($J317-12),12,$J317-SUM($Y317:AB317)))</f>
        <v>0</v>
      </c>
      <c r="AE317" s="1100"/>
      <c r="AF317" s="1100"/>
      <c r="AG317" s="1100"/>
      <c r="AH317" s="1100">
        <v>0</v>
      </c>
      <c r="AI317" s="1101">
        <f>IF($BI317=0,0,IF(SUM($AE317:AH317)&lt;($J317-12),12,$J317-SUM($AE317:AH317)))</f>
        <v>0</v>
      </c>
      <c r="AK317" s="1100"/>
      <c r="AL317" s="1100"/>
      <c r="AM317" s="1100"/>
      <c r="AN317" s="1100"/>
      <c r="AO317" s="1100">
        <v>0</v>
      </c>
      <c r="AQ317" s="153">
        <f t="shared" si="40"/>
        <v>0</v>
      </c>
      <c r="AR317" s="153">
        <f t="shared" si="41"/>
        <v>0.75</v>
      </c>
      <c r="AS317" s="153">
        <f t="shared" si="42"/>
        <v>0</v>
      </c>
      <c r="AT317" s="153">
        <f t="shared" si="43"/>
        <v>0</v>
      </c>
      <c r="AU317" s="153">
        <f t="shared" si="44"/>
        <v>0</v>
      </c>
      <c r="AW317" s="1543">
        <v>0.75</v>
      </c>
      <c r="AX317" s="1102"/>
      <c r="AY317" s="1544">
        <v>0.25</v>
      </c>
      <c r="BA317" s="1103">
        <v>0</v>
      </c>
      <c r="BB317" s="1103">
        <v>0</v>
      </c>
      <c r="BC317" s="1103">
        <v>0</v>
      </c>
      <c r="BD317" s="1103">
        <v>0</v>
      </c>
      <c r="BE317" s="1103">
        <v>0</v>
      </c>
      <c r="BF317" s="1103">
        <v>0</v>
      </c>
      <c r="BG317" s="1103">
        <v>50</v>
      </c>
      <c r="BH317" s="1103">
        <v>0</v>
      </c>
      <c r="BI317" s="1103">
        <v>0</v>
      </c>
      <c r="BJ317" s="1103">
        <v>0</v>
      </c>
    </row>
    <row r="318" spans="3:62" hidden="1" outlineLevel="1">
      <c r="C318" s="1083" t="s">
        <v>680</v>
      </c>
      <c r="D318" s="1062" t="s">
        <v>680</v>
      </c>
      <c r="E318" s="1083" t="s">
        <v>681</v>
      </c>
      <c r="F318" s="1095" t="s">
        <v>414</v>
      </c>
      <c r="G318" s="1096">
        <f t="shared" si="37"/>
        <v>100</v>
      </c>
      <c r="H318" s="1083" t="s">
        <v>29</v>
      </c>
      <c r="I318" s="1097">
        <v>8</v>
      </c>
      <c r="J318" s="1098">
        <f t="shared" si="38"/>
        <v>96</v>
      </c>
      <c r="K318" s="153">
        <f t="shared" si="39"/>
        <v>0.125</v>
      </c>
      <c r="L318" s="1099"/>
      <c r="M318" s="1100">
        <v>0</v>
      </c>
      <c r="N318" s="1101">
        <f>IF($BF318=0,0,IF(SUM($M318:M318)&lt;($J318-12),12,$J318-SUM($M318:M318)))</f>
        <v>0</v>
      </c>
      <c r="O318" s="1101">
        <f>IF($BF318=0,0,IF(SUM($M318:N318)&lt;($J318-12),12,$J318-SUM($M318:N318)))</f>
        <v>0</v>
      </c>
      <c r="P318" s="1101">
        <f>IF($BF318=0,0,IF(SUM($M318:O318)&lt;($J318-12),12,$J318-SUM($M318:O318)))</f>
        <v>0</v>
      </c>
      <c r="Q318" s="1101">
        <f>IF($BF318=0,0,IF(SUM($M318:P318)&lt;($J318-12),12,$J318-SUM($M318:P318)))</f>
        <v>0</v>
      </c>
      <c r="S318" s="1100"/>
      <c r="T318" s="1100">
        <v>0</v>
      </c>
      <c r="U318" s="1101">
        <f>IF($BG318=0,0,IF(SUM($S318:T318)&lt;($J318-12),12,$J318-SUM($S318:T318)))</f>
        <v>0</v>
      </c>
      <c r="V318" s="1101">
        <f>IF($BG318=0,0,IF(SUM($S318:U318)&lt;($J318-12),12,$J318-SUM($S318:U318)))</f>
        <v>0</v>
      </c>
      <c r="W318" s="1101">
        <f>IF($BG318=0,0,IF(SUM($S318:V318)&lt;($J318-12),12,$J318-SUM($S318:V318)))</f>
        <v>0</v>
      </c>
      <c r="Y318" s="1100"/>
      <c r="Z318" s="1100"/>
      <c r="AA318" s="1100">
        <v>3</v>
      </c>
      <c r="AB318" s="1101">
        <f>IF($BH318=0,0,IF(SUM($Y318:AA318)&lt;($J318-12),12,$J318-SUM($Y318:AA318)))</f>
        <v>12</v>
      </c>
      <c r="AC318" s="1101">
        <f>IF($BH318=0,0,IF(SUM($Y318:AB318)&lt;($J318-12),12,$J318-SUM($Y318:AB318)))</f>
        <v>12</v>
      </c>
      <c r="AE318" s="1100"/>
      <c r="AF318" s="1100"/>
      <c r="AG318" s="1100"/>
      <c r="AH318" s="1100">
        <v>0</v>
      </c>
      <c r="AI318" s="1101">
        <f>IF($BI318=0,0,IF(SUM($AE318:AH318)&lt;($J318-12),12,$J318-SUM($AE318:AH318)))</f>
        <v>0</v>
      </c>
      <c r="AK318" s="1100"/>
      <c r="AL318" s="1100"/>
      <c r="AM318" s="1100"/>
      <c r="AN318" s="1100"/>
      <c r="AO318" s="1100">
        <v>0</v>
      </c>
      <c r="AQ318" s="153">
        <f t="shared" si="40"/>
        <v>0</v>
      </c>
      <c r="AR318" s="153">
        <f t="shared" si="41"/>
        <v>0</v>
      </c>
      <c r="AS318" s="153">
        <f t="shared" si="42"/>
        <v>0.25</v>
      </c>
      <c r="AT318" s="153">
        <f t="shared" si="43"/>
        <v>0</v>
      </c>
      <c r="AU318" s="153">
        <f t="shared" si="44"/>
        <v>0</v>
      </c>
      <c r="AW318" s="1543">
        <v>0.75</v>
      </c>
      <c r="AX318" s="1102"/>
      <c r="AY318" s="1544">
        <v>0.25</v>
      </c>
      <c r="BA318" s="1103">
        <v>0</v>
      </c>
      <c r="BB318" s="1103">
        <v>0</v>
      </c>
      <c r="BC318" s="1103">
        <v>0</v>
      </c>
      <c r="BD318" s="1103">
        <v>0</v>
      </c>
      <c r="BE318" s="1103">
        <v>0</v>
      </c>
      <c r="BF318" s="1103">
        <v>0</v>
      </c>
      <c r="BG318" s="1103">
        <v>0</v>
      </c>
      <c r="BH318" s="1103">
        <v>100</v>
      </c>
      <c r="BI318" s="1103">
        <v>0</v>
      </c>
      <c r="BJ318" s="1103">
        <v>0</v>
      </c>
    </row>
    <row r="319" spans="3:62" hidden="1" outlineLevel="1">
      <c r="C319" s="1083" t="s">
        <v>682</v>
      </c>
      <c r="D319" s="1062" t="s">
        <v>682</v>
      </c>
      <c r="E319" s="1083" t="s">
        <v>683</v>
      </c>
      <c r="F319" s="1095" t="s">
        <v>414</v>
      </c>
      <c r="G319" s="1096">
        <f t="shared" si="37"/>
        <v>100</v>
      </c>
      <c r="H319" s="1083" t="s">
        <v>29</v>
      </c>
      <c r="I319" s="1097">
        <v>5</v>
      </c>
      <c r="J319" s="1098">
        <f t="shared" si="38"/>
        <v>60</v>
      </c>
      <c r="K319" s="153">
        <f t="shared" si="39"/>
        <v>0.2</v>
      </c>
      <c r="L319" s="1099"/>
      <c r="M319" s="1100">
        <v>0</v>
      </c>
      <c r="N319" s="1101">
        <f>IF($BF319=0,0,IF(SUM($M319:M319)&lt;($J319-12),12,$J319-SUM($M319:M319)))</f>
        <v>0</v>
      </c>
      <c r="O319" s="1101">
        <f>IF($BF319=0,0,IF(SUM($M319:N319)&lt;($J319-12),12,$J319-SUM($M319:N319)))</f>
        <v>0</v>
      </c>
      <c r="P319" s="1101">
        <f>IF($BF319=0,0,IF(SUM($M319:O319)&lt;($J319-12),12,$J319-SUM($M319:O319)))</f>
        <v>0</v>
      </c>
      <c r="Q319" s="1101">
        <f>IF($BF319=0,0,IF(SUM($M319:P319)&lt;($J319-12),12,$J319-SUM($M319:P319)))</f>
        <v>0</v>
      </c>
      <c r="S319" s="1100"/>
      <c r="T319" s="1100">
        <v>3</v>
      </c>
      <c r="U319" s="1101">
        <f>IF($BG319=0,0,IF(SUM($S319:T319)&lt;($J319-12),12,$J319-SUM($S319:T319)))</f>
        <v>12</v>
      </c>
      <c r="V319" s="1101">
        <f>IF($BG319=0,0,IF(SUM($S319:U319)&lt;($J319-12),12,$J319-SUM($S319:U319)))</f>
        <v>12</v>
      </c>
      <c r="W319" s="1101">
        <f>IF($BG319=0,0,IF(SUM($S319:V319)&lt;($J319-12),12,$J319-SUM($S319:V319)))</f>
        <v>12</v>
      </c>
      <c r="Y319" s="1100"/>
      <c r="Z319" s="1100"/>
      <c r="AA319" s="1100">
        <v>0</v>
      </c>
      <c r="AB319" s="1101">
        <f>IF($BH319=0,0,IF(SUM($Y319:AA319)&lt;($J319-12),12,$J319-SUM($Y319:AA319)))</f>
        <v>0</v>
      </c>
      <c r="AC319" s="1101">
        <f>IF($BH319=0,0,IF(SUM($Y319:AB319)&lt;($J319-12),12,$J319-SUM($Y319:AB319)))</f>
        <v>0</v>
      </c>
      <c r="AE319" s="1100"/>
      <c r="AF319" s="1100"/>
      <c r="AG319" s="1100"/>
      <c r="AH319" s="1100">
        <v>0</v>
      </c>
      <c r="AI319" s="1101">
        <f>IF($BI319=0,0,IF(SUM($AE319:AH319)&lt;($J319-12),12,$J319-SUM($AE319:AH319)))</f>
        <v>0</v>
      </c>
      <c r="AK319" s="1100"/>
      <c r="AL319" s="1100"/>
      <c r="AM319" s="1100"/>
      <c r="AN319" s="1100"/>
      <c r="AO319" s="1100">
        <v>0</v>
      </c>
      <c r="AQ319" s="153">
        <f t="shared" si="40"/>
        <v>0</v>
      </c>
      <c r="AR319" s="153">
        <f t="shared" si="41"/>
        <v>0.25</v>
      </c>
      <c r="AS319" s="153">
        <f t="shared" si="42"/>
        <v>0</v>
      </c>
      <c r="AT319" s="153">
        <f t="shared" si="43"/>
        <v>0</v>
      </c>
      <c r="AU319" s="153">
        <f t="shared" si="44"/>
        <v>0</v>
      </c>
      <c r="AW319" s="1543">
        <v>0.75</v>
      </c>
      <c r="AX319" s="1102"/>
      <c r="AY319" s="1544">
        <v>0.25</v>
      </c>
      <c r="BA319" s="1103">
        <v>0</v>
      </c>
      <c r="BB319" s="1103">
        <v>0</v>
      </c>
      <c r="BC319" s="1103">
        <v>0</v>
      </c>
      <c r="BD319" s="1103">
        <v>0</v>
      </c>
      <c r="BE319" s="1103">
        <v>0</v>
      </c>
      <c r="BF319" s="1103">
        <v>0</v>
      </c>
      <c r="BG319" s="1103">
        <v>100</v>
      </c>
      <c r="BH319" s="1103">
        <v>0</v>
      </c>
      <c r="BI319" s="1103">
        <v>0</v>
      </c>
      <c r="BJ319" s="1103">
        <v>0</v>
      </c>
    </row>
    <row r="320" spans="3:62" hidden="1" outlineLevel="1">
      <c r="C320" s="1083" t="s">
        <v>684</v>
      </c>
      <c r="D320" s="1062" t="s">
        <v>684</v>
      </c>
      <c r="E320" s="1083" t="s">
        <v>685</v>
      </c>
      <c r="F320" s="1095" t="s">
        <v>414</v>
      </c>
      <c r="G320" s="1096">
        <f t="shared" si="37"/>
        <v>100</v>
      </c>
      <c r="H320" s="1083" t="s">
        <v>29</v>
      </c>
      <c r="I320" s="1097">
        <v>5</v>
      </c>
      <c r="J320" s="1098">
        <f t="shared" si="38"/>
        <v>60</v>
      </c>
      <c r="K320" s="153">
        <f t="shared" si="39"/>
        <v>0.2</v>
      </c>
      <c r="L320" s="1099"/>
      <c r="M320" s="1100">
        <v>0</v>
      </c>
      <c r="N320" s="1101">
        <f>IF($BF320=0,0,IF(SUM($M320:M320)&lt;($J320-12),12,$J320-SUM($M320:M320)))</f>
        <v>0</v>
      </c>
      <c r="O320" s="1101">
        <f>IF($BF320=0,0,IF(SUM($M320:N320)&lt;($J320-12),12,$J320-SUM($M320:N320)))</f>
        <v>0</v>
      </c>
      <c r="P320" s="1101">
        <f>IF($BF320=0,0,IF(SUM($M320:O320)&lt;($J320-12),12,$J320-SUM($M320:O320)))</f>
        <v>0</v>
      </c>
      <c r="Q320" s="1101">
        <f>IF($BF320=0,0,IF(SUM($M320:P320)&lt;($J320-12),12,$J320-SUM($M320:P320)))</f>
        <v>0</v>
      </c>
      <c r="S320" s="1100"/>
      <c r="T320" s="1100">
        <v>4.5</v>
      </c>
      <c r="U320" s="1101">
        <f>IF($BG320=0,0,IF(SUM($S320:T320)&lt;($J320-12),12,$J320-SUM($S320:T320)))</f>
        <v>12</v>
      </c>
      <c r="V320" s="1101">
        <f>IF($BG320=0,0,IF(SUM($S320:U320)&lt;($J320-12),12,$J320-SUM($S320:U320)))</f>
        <v>12</v>
      </c>
      <c r="W320" s="1101">
        <f>IF($BG320=0,0,IF(SUM($S320:V320)&lt;($J320-12),12,$J320-SUM($S320:V320)))</f>
        <v>12</v>
      </c>
      <c r="Y320" s="1100"/>
      <c r="Z320" s="1100"/>
      <c r="AA320" s="1100">
        <v>10.5</v>
      </c>
      <c r="AB320" s="1101">
        <f>IF($BH320=0,0,IF(SUM($Y320:AA320)&lt;($J320-12),12,$J320-SUM($Y320:AA320)))</f>
        <v>12</v>
      </c>
      <c r="AC320" s="1101">
        <f>IF($BH320=0,0,IF(SUM($Y320:AB320)&lt;($J320-12),12,$J320-SUM($Y320:AB320)))</f>
        <v>12</v>
      </c>
      <c r="AE320" s="1100"/>
      <c r="AF320" s="1100"/>
      <c r="AG320" s="1100"/>
      <c r="AH320" s="1100">
        <v>0</v>
      </c>
      <c r="AI320" s="1101">
        <f>IF($BI320=0,0,IF(SUM($AE320:AH320)&lt;($J320-12),12,$J320-SUM($AE320:AH320)))</f>
        <v>0</v>
      </c>
      <c r="AK320" s="1100"/>
      <c r="AL320" s="1100"/>
      <c r="AM320" s="1100"/>
      <c r="AN320" s="1100"/>
      <c r="AO320" s="1100">
        <v>0</v>
      </c>
      <c r="AQ320" s="153">
        <f t="shared" si="40"/>
        <v>0</v>
      </c>
      <c r="AR320" s="153">
        <f t="shared" si="41"/>
        <v>0.375</v>
      </c>
      <c r="AS320" s="153">
        <f t="shared" si="42"/>
        <v>0.875</v>
      </c>
      <c r="AT320" s="153">
        <f t="shared" si="43"/>
        <v>0</v>
      </c>
      <c r="AU320" s="153">
        <f t="shared" si="44"/>
        <v>0</v>
      </c>
      <c r="AW320" s="1543">
        <v>0.73</v>
      </c>
      <c r="AX320" s="1102"/>
      <c r="AY320" s="1544">
        <v>0.15</v>
      </c>
      <c r="BA320" s="1103">
        <v>0</v>
      </c>
      <c r="BB320" s="1103">
        <v>0</v>
      </c>
      <c r="BC320" s="1103">
        <v>0</v>
      </c>
      <c r="BD320" s="1103">
        <v>0</v>
      </c>
      <c r="BE320" s="1103">
        <v>0</v>
      </c>
      <c r="BF320" s="1103">
        <v>0</v>
      </c>
      <c r="BG320" s="1103">
        <v>50</v>
      </c>
      <c r="BH320" s="1103">
        <v>50</v>
      </c>
      <c r="BI320" s="1103">
        <v>0</v>
      </c>
      <c r="BJ320" s="1103">
        <v>0</v>
      </c>
    </row>
    <row r="321" spans="3:62" hidden="1" outlineLevel="1">
      <c r="C321" s="1083" t="s">
        <v>686</v>
      </c>
      <c r="D321" s="1062" t="s">
        <v>686</v>
      </c>
      <c r="E321" s="1083" t="s">
        <v>687</v>
      </c>
      <c r="F321" s="1095" t="s">
        <v>414</v>
      </c>
      <c r="G321" s="1096">
        <f t="shared" si="37"/>
        <v>100</v>
      </c>
      <c r="H321" s="1083" t="s">
        <v>29</v>
      </c>
      <c r="I321" s="1097">
        <v>3</v>
      </c>
      <c r="J321" s="1098">
        <f t="shared" si="38"/>
        <v>36</v>
      </c>
      <c r="K321" s="153">
        <f t="shared" si="39"/>
        <v>0.33333333333333331</v>
      </c>
      <c r="L321" s="1099"/>
      <c r="M321" s="1100">
        <v>0</v>
      </c>
      <c r="N321" s="1101">
        <f>IF($BF321=0,0,IF(SUM($M321:M321)&lt;($J321-12),12,$J321-SUM($M321:M321)))</f>
        <v>0</v>
      </c>
      <c r="O321" s="1101">
        <f>IF($BF321=0,0,IF(SUM($M321:N321)&lt;($J321-12),12,$J321-SUM($M321:N321)))</f>
        <v>0</v>
      </c>
      <c r="P321" s="1101">
        <f>IF($BF321=0,0,IF(SUM($M321:O321)&lt;($J321-12),12,$J321-SUM($M321:O321)))</f>
        <v>0</v>
      </c>
      <c r="Q321" s="1101">
        <f>IF($BF321=0,0,IF(SUM($M321:P321)&lt;($J321-12),12,$J321-SUM($M321:P321)))</f>
        <v>0</v>
      </c>
      <c r="S321" s="1100"/>
      <c r="T321" s="1100">
        <v>4.5</v>
      </c>
      <c r="U321" s="1101">
        <f>IF($BG321=0,0,IF(SUM($S321:T321)&lt;($J321-12),12,$J321-SUM($S321:T321)))</f>
        <v>12</v>
      </c>
      <c r="V321" s="1101">
        <f>IF($BG321=0,0,IF(SUM($S321:U321)&lt;($J321-12),12,$J321-SUM($S321:U321)))</f>
        <v>12</v>
      </c>
      <c r="W321" s="1101">
        <f>IF($BG321=0,0,IF(SUM($S321:V321)&lt;($J321-12),12,$J321-SUM($S321:V321)))</f>
        <v>7.5</v>
      </c>
      <c r="Y321" s="1100"/>
      <c r="Z321" s="1100"/>
      <c r="AA321" s="1100">
        <v>10.499999999999998</v>
      </c>
      <c r="AB321" s="1101">
        <f>IF($BH321=0,0,IF(SUM($Y321:AA321)&lt;($J321-12),12,$J321-SUM($Y321:AA321)))</f>
        <v>12</v>
      </c>
      <c r="AC321" s="1101">
        <f>IF($BH321=0,0,IF(SUM($Y321:AB321)&lt;($J321-12),12,$J321-SUM($Y321:AB321)))</f>
        <v>12</v>
      </c>
      <c r="AE321" s="1100"/>
      <c r="AF321" s="1100"/>
      <c r="AG321" s="1100"/>
      <c r="AH321" s="1100">
        <v>0</v>
      </c>
      <c r="AI321" s="1101">
        <f>IF($BI321=0,0,IF(SUM($AE321:AH321)&lt;($J321-12),12,$J321-SUM($AE321:AH321)))</f>
        <v>0</v>
      </c>
      <c r="AK321" s="1100"/>
      <c r="AL321" s="1100"/>
      <c r="AM321" s="1100"/>
      <c r="AN321" s="1100"/>
      <c r="AO321" s="1100">
        <v>0</v>
      </c>
      <c r="AQ321" s="153">
        <f t="shared" si="40"/>
        <v>0</v>
      </c>
      <c r="AR321" s="153">
        <f t="shared" si="41"/>
        <v>0.375</v>
      </c>
      <c r="AS321" s="153">
        <f t="shared" si="42"/>
        <v>0.87499999999999989</v>
      </c>
      <c r="AT321" s="153">
        <f t="shared" si="43"/>
        <v>0</v>
      </c>
      <c r="AU321" s="153">
        <f t="shared" si="44"/>
        <v>0</v>
      </c>
      <c r="AW321" s="1543">
        <v>0.73</v>
      </c>
      <c r="AX321" s="1102"/>
      <c r="AY321" s="1544">
        <v>0.15</v>
      </c>
      <c r="BA321" s="1103">
        <v>0</v>
      </c>
      <c r="BB321" s="1103">
        <v>0</v>
      </c>
      <c r="BC321" s="1103">
        <v>0</v>
      </c>
      <c r="BD321" s="1103">
        <v>0</v>
      </c>
      <c r="BE321" s="1103">
        <v>0</v>
      </c>
      <c r="BF321" s="1103">
        <v>0</v>
      </c>
      <c r="BG321" s="1103">
        <v>50</v>
      </c>
      <c r="BH321" s="1103">
        <v>50</v>
      </c>
      <c r="BI321" s="1103">
        <v>0</v>
      </c>
      <c r="BJ321" s="1103">
        <v>0</v>
      </c>
    </row>
    <row r="322" spans="3:62" hidden="1" outlineLevel="1">
      <c r="C322" s="1083" t="s">
        <v>688</v>
      </c>
      <c r="D322" s="1062" t="s">
        <v>688</v>
      </c>
      <c r="E322" s="1083" t="s">
        <v>689</v>
      </c>
      <c r="F322" s="1095" t="s">
        <v>414</v>
      </c>
      <c r="G322" s="1096">
        <f t="shared" si="37"/>
        <v>0</v>
      </c>
      <c r="H322" s="1083" t="s">
        <v>29</v>
      </c>
      <c r="I322" s="1097">
        <v>0</v>
      </c>
      <c r="J322" s="1098">
        <f t="shared" si="38"/>
        <v>0</v>
      </c>
      <c r="K322" s="153">
        <f t="shared" si="39"/>
        <v>0</v>
      </c>
      <c r="L322" s="1099"/>
      <c r="M322" s="1100">
        <v>0</v>
      </c>
      <c r="N322" s="1101">
        <f>IF($BF322=0,0,IF(SUM($M322:M322)&lt;($J322-12),12,$J322-SUM($M322:M322)))</f>
        <v>0</v>
      </c>
      <c r="O322" s="1101">
        <f>IF($BF322=0,0,IF(SUM($M322:N322)&lt;($J322-12),12,$J322-SUM($M322:N322)))</f>
        <v>0</v>
      </c>
      <c r="P322" s="1101">
        <f>IF($BF322=0,0,IF(SUM($M322:O322)&lt;($J322-12),12,$J322-SUM($M322:O322)))</f>
        <v>0</v>
      </c>
      <c r="Q322" s="1101">
        <f>IF($BF322=0,0,IF(SUM($M322:P322)&lt;($J322-12),12,$J322-SUM($M322:P322)))</f>
        <v>0</v>
      </c>
      <c r="S322" s="1100"/>
      <c r="T322" s="1100">
        <v>0</v>
      </c>
      <c r="U322" s="1101">
        <f>IF($BG322=0,0,IF(SUM($S322:T322)&lt;($J322-12),12,$J322-SUM($S322:T322)))</f>
        <v>0</v>
      </c>
      <c r="V322" s="1101">
        <f>IF($BG322=0,0,IF(SUM($S322:U322)&lt;($J322-12),12,$J322-SUM($S322:U322)))</f>
        <v>0</v>
      </c>
      <c r="W322" s="1101">
        <f>IF($BG322=0,0,IF(SUM($S322:V322)&lt;($J322-12),12,$J322-SUM($S322:V322)))</f>
        <v>0</v>
      </c>
      <c r="Y322" s="1100"/>
      <c r="Z322" s="1100"/>
      <c r="AA322" s="1100">
        <v>0</v>
      </c>
      <c r="AB322" s="1101">
        <f>IF($BH322=0,0,IF(SUM($Y322:AA322)&lt;($J322-12),12,$J322-SUM($Y322:AA322)))</f>
        <v>0</v>
      </c>
      <c r="AC322" s="1101">
        <f>IF($BH322=0,0,IF(SUM($Y322:AB322)&lt;($J322-12),12,$J322-SUM($Y322:AB322)))</f>
        <v>0</v>
      </c>
      <c r="AE322" s="1100"/>
      <c r="AF322" s="1100"/>
      <c r="AG322" s="1100"/>
      <c r="AH322" s="1100">
        <v>0</v>
      </c>
      <c r="AI322" s="1101">
        <f>IF($BI322=0,0,IF(SUM($AE322:AH322)&lt;($J322-12),12,$J322-SUM($AE322:AH322)))</f>
        <v>0</v>
      </c>
      <c r="AK322" s="1100"/>
      <c r="AL322" s="1100"/>
      <c r="AM322" s="1100"/>
      <c r="AN322" s="1100"/>
      <c r="AO322" s="1100">
        <v>0</v>
      </c>
      <c r="AQ322" s="153">
        <f t="shared" si="40"/>
        <v>0</v>
      </c>
      <c r="AR322" s="153">
        <f t="shared" si="41"/>
        <v>0</v>
      </c>
      <c r="AS322" s="153">
        <f t="shared" si="42"/>
        <v>0</v>
      </c>
      <c r="AT322" s="153">
        <f t="shared" si="43"/>
        <v>0</v>
      </c>
      <c r="AU322" s="153">
        <f t="shared" si="44"/>
        <v>0</v>
      </c>
      <c r="AW322" s="1543">
        <v>0</v>
      </c>
      <c r="AX322" s="1102"/>
      <c r="AY322" s="1544">
        <v>0</v>
      </c>
      <c r="BA322" s="1103">
        <v>0</v>
      </c>
      <c r="BB322" s="1103">
        <v>0</v>
      </c>
      <c r="BC322" s="1103">
        <v>0</v>
      </c>
      <c r="BD322" s="1103">
        <v>0</v>
      </c>
      <c r="BE322" s="1103">
        <v>0</v>
      </c>
      <c r="BF322" s="1103">
        <v>0</v>
      </c>
      <c r="BG322" s="1103">
        <v>0</v>
      </c>
      <c r="BH322" s="1103">
        <v>0</v>
      </c>
      <c r="BI322" s="1103">
        <v>0</v>
      </c>
      <c r="BJ322" s="1103">
        <v>0</v>
      </c>
    </row>
    <row r="323" spans="3:62" hidden="1" outlineLevel="1">
      <c r="C323" s="1083" t="s">
        <v>690</v>
      </c>
      <c r="D323" s="1062" t="s">
        <v>688</v>
      </c>
      <c r="E323" s="1083" t="s">
        <v>691</v>
      </c>
      <c r="F323" s="1095" t="s">
        <v>414</v>
      </c>
      <c r="G323" s="1096">
        <f t="shared" si="37"/>
        <v>99.271999999999991</v>
      </c>
      <c r="H323" s="1083" t="s">
        <v>29</v>
      </c>
      <c r="I323" s="1097">
        <v>3</v>
      </c>
      <c r="J323" s="1098">
        <f t="shared" si="38"/>
        <v>36</v>
      </c>
      <c r="K323" s="153">
        <f t="shared" si="39"/>
        <v>0.33333333333333331</v>
      </c>
      <c r="L323" s="1099"/>
      <c r="M323" s="1100">
        <v>0</v>
      </c>
      <c r="N323" s="1101">
        <f>IF($BF323=0,0,IF(SUM($M323:M323)&lt;($J323-12),12,$J323-SUM($M323:M323)))</f>
        <v>0</v>
      </c>
      <c r="O323" s="1101">
        <f>IF($BF323=0,0,IF(SUM($M323:N323)&lt;($J323-12),12,$J323-SUM($M323:N323)))</f>
        <v>0</v>
      </c>
      <c r="P323" s="1101">
        <f>IF($BF323=0,0,IF(SUM($M323:O323)&lt;($J323-12),12,$J323-SUM($M323:O323)))</f>
        <v>0</v>
      </c>
      <c r="Q323" s="1101">
        <f>IF($BF323=0,0,IF(SUM($M323:P323)&lt;($J323-12),12,$J323-SUM($M323:P323)))</f>
        <v>0</v>
      </c>
      <c r="S323" s="1100"/>
      <c r="T323" s="1100">
        <v>4.5</v>
      </c>
      <c r="U323" s="1101">
        <f>IF($BG323=0,0,IF(SUM($S323:T323)&lt;($J323-12),12,$J323-SUM($S323:T323)))</f>
        <v>12</v>
      </c>
      <c r="V323" s="1101">
        <f>IF($BG323=0,0,IF(SUM($S323:U323)&lt;($J323-12),12,$J323-SUM($S323:U323)))</f>
        <v>12</v>
      </c>
      <c r="W323" s="1101">
        <f>IF($BG323=0,0,IF(SUM($S323:V323)&lt;($J323-12),12,$J323-SUM($S323:V323)))</f>
        <v>7.5</v>
      </c>
      <c r="Y323" s="1100"/>
      <c r="Z323" s="1100"/>
      <c r="AA323" s="1100">
        <v>12.000000000000002</v>
      </c>
      <c r="AB323" s="1101">
        <f>IF($BH323=0,0,IF(SUM($Y323:AA323)&lt;($J323-12),12,$J323-SUM($Y323:AA323)))</f>
        <v>12</v>
      </c>
      <c r="AC323" s="1101">
        <f>IF($BH323=0,0,IF(SUM($Y323:AB323)&lt;($J323-12),12,$J323-SUM($Y323:AB323)))</f>
        <v>12</v>
      </c>
      <c r="AE323" s="1100"/>
      <c r="AF323" s="1100"/>
      <c r="AG323" s="1100"/>
      <c r="AH323" s="1100">
        <v>0</v>
      </c>
      <c r="AI323" s="1101">
        <f>IF($BI323=0,0,IF(SUM($AE323:AH323)&lt;($J323-12),12,$J323-SUM($AE323:AH323)))</f>
        <v>0</v>
      </c>
      <c r="AK323" s="1100"/>
      <c r="AL323" s="1100"/>
      <c r="AM323" s="1100"/>
      <c r="AN323" s="1100"/>
      <c r="AO323" s="1100">
        <v>0</v>
      </c>
      <c r="AQ323" s="153">
        <f t="shared" si="40"/>
        <v>0</v>
      </c>
      <c r="AR323" s="153">
        <f t="shared" si="41"/>
        <v>0.375</v>
      </c>
      <c r="AS323" s="153">
        <f t="shared" si="42"/>
        <v>1.0000000000000002</v>
      </c>
      <c r="AT323" s="153">
        <f t="shared" si="43"/>
        <v>0</v>
      </c>
      <c r="AU323" s="153">
        <f t="shared" si="44"/>
        <v>0</v>
      </c>
      <c r="AW323" s="1543">
        <v>0.73</v>
      </c>
      <c r="AX323" s="1102"/>
      <c r="AY323" s="1544">
        <v>0.15</v>
      </c>
      <c r="BA323" s="1103">
        <v>0</v>
      </c>
      <c r="BB323" s="1103">
        <v>0</v>
      </c>
      <c r="BC323" s="1103">
        <v>0</v>
      </c>
      <c r="BD323" s="1103">
        <v>0</v>
      </c>
      <c r="BE323" s="1103">
        <v>0</v>
      </c>
      <c r="BF323" s="1103">
        <v>0</v>
      </c>
      <c r="BG323" s="1103">
        <v>66.181333333333328</v>
      </c>
      <c r="BH323" s="1103">
        <v>33.090666666666664</v>
      </c>
      <c r="BI323" s="1103">
        <v>0</v>
      </c>
      <c r="BJ323" s="1103">
        <v>0</v>
      </c>
    </row>
    <row r="324" spans="3:62" hidden="1" outlineLevel="1">
      <c r="C324" s="1083" t="s">
        <v>692</v>
      </c>
      <c r="D324" s="1062" t="s">
        <v>688</v>
      </c>
      <c r="E324" s="1083" t="s">
        <v>691</v>
      </c>
      <c r="F324" s="1095" t="s">
        <v>414</v>
      </c>
      <c r="G324" s="1096">
        <f t="shared" si="37"/>
        <v>0</v>
      </c>
      <c r="H324" s="1083" t="s">
        <v>29</v>
      </c>
      <c r="I324" s="1097">
        <v>3</v>
      </c>
      <c r="J324" s="1098">
        <f t="shared" si="38"/>
        <v>36</v>
      </c>
      <c r="K324" s="153">
        <f t="shared" si="39"/>
        <v>0.33333333333333331</v>
      </c>
      <c r="L324" s="1099"/>
      <c r="M324" s="1100">
        <v>0</v>
      </c>
      <c r="N324" s="1101">
        <f>IF($BF324=0,0,IF(SUM($M324:M324)&lt;($J324-12),12,$J324-SUM($M324:M324)))</f>
        <v>0</v>
      </c>
      <c r="O324" s="1101">
        <f>IF($BF324=0,0,IF(SUM($M324:N324)&lt;($J324-12),12,$J324-SUM($M324:N324)))</f>
        <v>0</v>
      </c>
      <c r="P324" s="1101">
        <f>IF($BF324=0,0,IF(SUM($M324:O324)&lt;($J324-12),12,$J324-SUM($M324:O324)))</f>
        <v>0</v>
      </c>
      <c r="Q324" s="1101">
        <f>IF($BF324=0,0,IF(SUM($M324:P324)&lt;($J324-12),12,$J324-SUM($M324:P324)))</f>
        <v>0</v>
      </c>
      <c r="S324" s="1100"/>
      <c r="T324" s="1100">
        <v>0</v>
      </c>
      <c r="U324" s="1101">
        <f>IF($BG324=0,0,IF(SUM($S324:T324)&lt;($J324-12),12,$J324-SUM($S324:T324)))</f>
        <v>0</v>
      </c>
      <c r="V324" s="1101">
        <f>IF($BG324=0,0,IF(SUM($S324:U324)&lt;($J324-12),12,$J324-SUM($S324:U324)))</f>
        <v>0</v>
      </c>
      <c r="W324" s="1101">
        <f>IF($BG324=0,0,IF(SUM($S324:V324)&lt;($J324-12),12,$J324-SUM($S324:V324)))</f>
        <v>0</v>
      </c>
      <c r="Y324" s="1100"/>
      <c r="Z324" s="1100"/>
      <c r="AA324" s="1100">
        <v>0</v>
      </c>
      <c r="AB324" s="1101">
        <f>IF($BH324=0,0,IF(SUM($Y324:AA324)&lt;($J324-12),12,$J324-SUM($Y324:AA324)))</f>
        <v>0</v>
      </c>
      <c r="AC324" s="1101">
        <f>IF($BH324=0,0,IF(SUM($Y324:AB324)&lt;($J324-12),12,$J324-SUM($Y324:AB324)))</f>
        <v>0</v>
      </c>
      <c r="AE324" s="1100"/>
      <c r="AF324" s="1100"/>
      <c r="AG324" s="1100"/>
      <c r="AH324" s="1100">
        <v>0</v>
      </c>
      <c r="AI324" s="1101">
        <f>IF($BI324=0,0,IF(SUM($AE324:AH324)&lt;($J324-12),12,$J324-SUM($AE324:AH324)))</f>
        <v>0</v>
      </c>
      <c r="AK324" s="1100"/>
      <c r="AL324" s="1100"/>
      <c r="AM324" s="1100"/>
      <c r="AN324" s="1100"/>
      <c r="AO324" s="1100">
        <v>0</v>
      </c>
      <c r="AQ324" s="153">
        <f t="shared" si="40"/>
        <v>0</v>
      </c>
      <c r="AR324" s="153">
        <f t="shared" si="41"/>
        <v>0</v>
      </c>
      <c r="AS324" s="153">
        <f t="shared" si="42"/>
        <v>0</v>
      </c>
      <c r="AT324" s="153">
        <f t="shared" si="43"/>
        <v>0</v>
      </c>
      <c r="AU324" s="153">
        <f t="shared" si="44"/>
        <v>0</v>
      </c>
      <c r="AW324" s="1543">
        <v>0.75</v>
      </c>
      <c r="AX324" s="1102"/>
      <c r="AY324" s="1544">
        <v>0.25</v>
      </c>
      <c r="BA324" s="1103">
        <v>0</v>
      </c>
      <c r="BB324" s="1103">
        <v>0</v>
      </c>
      <c r="BC324" s="1103">
        <v>0</v>
      </c>
      <c r="BD324" s="1103">
        <v>0</v>
      </c>
      <c r="BE324" s="1103">
        <v>0</v>
      </c>
      <c r="BF324" s="1103">
        <v>0</v>
      </c>
      <c r="BG324" s="1103">
        <v>0</v>
      </c>
      <c r="BH324" s="1103">
        <v>0</v>
      </c>
      <c r="BI324" s="1103">
        <v>0</v>
      </c>
      <c r="BJ324" s="1103">
        <v>0</v>
      </c>
    </row>
    <row r="325" spans="3:62" hidden="1" outlineLevel="1">
      <c r="C325" s="1083" t="s">
        <v>693</v>
      </c>
      <c r="D325" s="1062" t="s">
        <v>693</v>
      </c>
      <c r="E325" s="1083" t="s">
        <v>694</v>
      </c>
      <c r="F325" s="1095" t="s">
        <v>414</v>
      </c>
      <c r="G325" s="1096">
        <f t="shared" si="37"/>
        <v>0</v>
      </c>
      <c r="H325" s="1083" t="s">
        <v>29</v>
      </c>
      <c r="I325" s="1097">
        <v>0</v>
      </c>
      <c r="J325" s="1098">
        <f t="shared" si="38"/>
        <v>0</v>
      </c>
      <c r="K325" s="153">
        <f t="shared" si="39"/>
        <v>0</v>
      </c>
      <c r="L325" s="1099"/>
      <c r="M325" s="1100">
        <v>0</v>
      </c>
      <c r="N325" s="1101">
        <f>IF($BF325=0,0,IF(SUM($M325:M325)&lt;($J325-12),12,$J325-SUM($M325:M325)))</f>
        <v>0</v>
      </c>
      <c r="O325" s="1101">
        <f>IF($BF325=0,0,IF(SUM($M325:N325)&lt;($J325-12),12,$J325-SUM($M325:N325)))</f>
        <v>0</v>
      </c>
      <c r="P325" s="1101">
        <f>IF($BF325=0,0,IF(SUM($M325:O325)&lt;($J325-12),12,$J325-SUM($M325:O325)))</f>
        <v>0</v>
      </c>
      <c r="Q325" s="1101">
        <f>IF($BF325=0,0,IF(SUM($M325:P325)&lt;($J325-12),12,$J325-SUM($M325:P325)))</f>
        <v>0</v>
      </c>
      <c r="S325" s="1100"/>
      <c r="T325" s="1100">
        <v>0</v>
      </c>
      <c r="U325" s="1101">
        <f>IF($BG325=0,0,IF(SUM($S325:T325)&lt;($J325-12),12,$J325-SUM($S325:T325)))</f>
        <v>0</v>
      </c>
      <c r="V325" s="1101">
        <f>IF($BG325=0,0,IF(SUM($S325:U325)&lt;($J325-12),12,$J325-SUM($S325:U325)))</f>
        <v>0</v>
      </c>
      <c r="W325" s="1101">
        <f>IF($BG325=0,0,IF(SUM($S325:V325)&lt;($J325-12),12,$J325-SUM($S325:V325)))</f>
        <v>0</v>
      </c>
      <c r="Y325" s="1100"/>
      <c r="Z325" s="1100"/>
      <c r="AA325" s="1100">
        <v>0</v>
      </c>
      <c r="AB325" s="1101">
        <f>IF($BH325=0,0,IF(SUM($Y325:AA325)&lt;($J325-12),12,$J325-SUM($Y325:AA325)))</f>
        <v>0</v>
      </c>
      <c r="AC325" s="1101">
        <f>IF($BH325=0,0,IF(SUM($Y325:AB325)&lt;($J325-12),12,$J325-SUM($Y325:AB325)))</f>
        <v>0</v>
      </c>
      <c r="AE325" s="1100"/>
      <c r="AF325" s="1100"/>
      <c r="AG325" s="1100"/>
      <c r="AH325" s="1100">
        <v>0</v>
      </c>
      <c r="AI325" s="1101">
        <f>IF($BI325=0,0,IF(SUM($AE325:AH325)&lt;($J325-12),12,$J325-SUM($AE325:AH325)))</f>
        <v>0</v>
      </c>
      <c r="AK325" s="1100"/>
      <c r="AL325" s="1100"/>
      <c r="AM325" s="1100"/>
      <c r="AN325" s="1100"/>
      <c r="AO325" s="1100">
        <v>0</v>
      </c>
      <c r="AQ325" s="153">
        <f t="shared" si="40"/>
        <v>0</v>
      </c>
      <c r="AR325" s="153">
        <f t="shared" si="41"/>
        <v>0</v>
      </c>
      <c r="AS325" s="153">
        <f t="shared" si="42"/>
        <v>0</v>
      </c>
      <c r="AT325" s="153">
        <f t="shared" si="43"/>
        <v>0</v>
      </c>
      <c r="AU325" s="153">
        <f t="shared" si="44"/>
        <v>0</v>
      </c>
      <c r="AW325" s="1543">
        <v>0</v>
      </c>
      <c r="AX325" s="1102"/>
      <c r="AY325" s="1544">
        <v>0</v>
      </c>
      <c r="BA325" s="1103">
        <v>0</v>
      </c>
      <c r="BB325" s="1103">
        <v>0</v>
      </c>
      <c r="BC325" s="1103">
        <v>0</v>
      </c>
      <c r="BD325" s="1103">
        <v>0</v>
      </c>
      <c r="BE325" s="1103">
        <v>0</v>
      </c>
      <c r="BF325" s="1103">
        <v>0</v>
      </c>
      <c r="BG325" s="1103">
        <v>0</v>
      </c>
      <c r="BH325" s="1103">
        <v>0</v>
      </c>
      <c r="BI325" s="1103">
        <v>0</v>
      </c>
      <c r="BJ325" s="1103">
        <v>0</v>
      </c>
    </row>
    <row r="326" spans="3:62" hidden="1" outlineLevel="1">
      <c r="C326" s="1083" t="s">
        <v>695</v>
      </c>
      <c r="D326" s="1062" t="s">
        <v>693</v>
      </c>
      <c r="E326" s="1083" t="s">
        <v>696</v>
      </c>
      <c r="F326" s="1095" t="s">
        <v>414</v>
      </c>
      <c r="G326" s="1096">
        <f t="shared" si="37"/>
        <v>37.445</v>
      </c>
      <c r="H326" s="1083" t="s">
        <v>29</v>
      </c>
      <c r="I326" s="1097">
        <v>5</v>
      </c>
      <c r="J326" s="1098">
        <f t="shared" si="38"/>
        <v>60</v>
      </c>
      <c r="K326" s="153">
        <f t="shared" si="39"/>
        <v>0.2</v>
      </c>
      <c r="L326" s="1099"/>
      <c r="M326" s="1100">
        <v>0</v>
      </c>
      <c r="N326" s="1101">
        <f>IF($BF326=0,0,IF(SUM($M326:M326)&lt;($J326-12),12,$J326-SUM($M326:M326)))</f>
        <v>0</v>
      </c>
      <c r="O326" s="1101">
        <f>IF($BF326=0,0,IF(SUM($M326:N326)&lt;($J326-12),12,$J326-SUM($M326:N326)))</f>
        <v>0</v>
      </c>
      <c r="P326" s="1101">
        <f>IF($BF326=0,0,IF(SUM($M326:O326)&lt;($J326-12),12,$J326-SUM($M326:O326)))</f>
        <v>0</v>
      </c>
      <c r="Q326" s="1101">
        <f>IF($BF326=0,0,IF(SUM($M326:P326)&lt;($J326-12),12,$J326-SUM($M326:P326)))</f>
        <v>0</v>
      </c>
      <c r="S326" s="1100"/>
      <c r="T326" s="1100">
        <v>6</v>
      </c>
      <c r="U326" s="1101">
        <f>IF($BG326=0,0,IF(SUM($S326:T326)&lt;($J326-12),12,$J326-SUM($S326:T326)))</f>
        <v>12</v>
      </c>
      <c r="V326" s="1101">
        <f>IF($BG326=0,0,IF(SUM($S326:U326)&lt;($J326-12),12,$J326-SUM($S326:U326)))</f>
        <v>12</v>
      </c>
      <c r="W326" s="1101">
        <f>IF($BG326=0,0,IF(SUM($S326:V326)&lt;($J326-12),12,$J326-SUM($S326:V326)))</f>
        <v>12</v>
      </c>
      <c r="Y326" s="1100"/>
      <c r="Z326" s="1100"/>
      <c r="AA326" s="1100">
        <v>0</v>
      </c>
      <c r="AB326" s="1101">
        <f>IF($BH326=0,0,IF(SUM($Y326:AA326)&lt;($J326-12),12,$J326-SUM($Y326:AA326)))</f>
        <v>0</v>
      </c>
      <c r="AC326" s="1101">
        <f>IF($BH326=0,0,IF(SUM($Y326:AB326)&lt;($J326-12),12,$J326-SUM($Y326:AB326)))</f>
        <v>0</v>
      </c>
      <c r="AE326" s="1100"/>
      <c r="AF326" s="1100"/>
      <c r="AG326" s="1100"/>
      <c r="AH326" s="1100">
        <v>0</v>
      </c>
      <c r="AI326" s="1101">
        <f>IF($BI326=0,0,IF(SUM($AE326:AH326)&lt;($J326-12),12,$J326-SUM($AE326:AH326)))</f>
        <v>0</v>
      </c>
      <c r="AK326" s="1100"/>
      <c r="AL326" s="1100"/>
      <c r="AM326" s="1100"/>
      <c r="AN326" s="1100"/>
      <c r="AO326" s="1100">
        <v>0</v>
      </c>
      <c r="AQ326" s="153">
        <f t="shared" si="40"/>
        <v>0</v>
      </c>
      <c r="AR326" s="153">
        <f t="shared" si="41"/>
        <v>0.5</v>
      </c>
      <c r="AS326" s="153">
        <f t="shared" si="42"/>
        <v>0</v>
      </c>
      <c r="AT326" s="153">
        <f t="shared" si="43"/>
        <v>0</v>
      </c>
      <c r="AU326" s="153">
        <f t="shared" si="44"/>
        <v>0</v>
      </c>
      <c r="AW326" s="1543">
        <v>0.75</v>
      </c>
      <c r="AX326" s="1102"/>
      <c r="AY326" s="1544">
        <v>0.25</v>
      </c>
      <c r="BA326" s="1103">
        <v>0</v>
      </c>
      <c r="BB326" s="1103">
        <v>0</v>
      </c>
      <c r="BC326" s="1103">
        <v>0</v>
      </c>
      <c r="BD326" s="1103">
        <v>0</v>
      </c>
      <c r="BE326" s="1103">
        <v>0</v>
      </c>
      <c r="BF326" s="1103">
        <v>0</v>
      </c>
      <c r="BG326" s="1103">
        <v>37.445</v>
      </c>
      <c r="BH326" s="1103">
        <v>0</v>
      </c>
      <c r="BI326" s="1103">
        <v>0</v>
      </c>
      <c r="BJ326" s="1103">
        <v>0</v>
      </c>
    </row>
    <row r="327" spans="3:62" hidden="1" outlineLevel="1">
      <c r="C327" s="1083" t="s">
        <v>697</v>
      </c>
      <c r="D327" s="1062" t="s">
        <v>693</v>
      </c>
      <c r="E327" s="1083" t="s">
        <v>696</v>
      </c>
      <c r="F327" s="1095" t="s">
        <v>414</v>
      </c>
      <c r="G327" s="1096">
        <f t="shared" si="37"/>
        <v>0</v>
      </c>
      <c r="H327" s="1083" t="s">
        <v>29</v>
      </c>
      <c r="I327" s="1097">
        <v>5</v>
      </c>
      <c r="J327" s="1098">
        <f t="shared" si="38"/>
        <v>60</v>
      </c>
      <c r="K327" s="153">
        <f t="shared" si="39"/>
        <v>0.2</v>
      </c>
      <c r="L327" s="1099"/>
      <c r="M327" s="1100">
        <v>0</v>
      </c>
      <c r="N327" s="1101">
        <f>IF($BF327=0,0,IF(SUM($M327:M327)&lt;($J327-12),12,$J327-SUM($M327:M327)))</f>
        <v>0</v>
      </c>
      <c r="O327" s="1101">
        <f>IF($BF327=0,0,IF(SUM($M327:N327)&lt;($J327-12),12,$J327-SUM($M327:N327)))</f>
        <v>0</v>
      </c>
      <c r="P327" s="1101">
        <f>IF($BF327=0,0,IF(SUM($M327:O327)&lt;($J327-12),12,$J327-SUM($M327:O327)))</f>
        <v>0</v>
      </c>
      <c r="Q327" s="1101">
        <f>IF($BF327=0,0,IF(SUM($M327:P327)&lt;($J327-12),12,$J327-SUM($M327:P327)))</f>
        <v>0</v>
      </c>
      <c r="S327" s="1100"/>
      <c r="T327" s="1100">
        <v>0</v>
      </c>
      <c r="U327" s="1101">
        <f>IF($BG327=0,0,IF(SUM($S327:T327)&lt;($J327-12),12,$J327-SUM($S327:T327)))</f>
        <v>0</v>
      </c>
      <c r="V327" s="1101">
        <f>IF($BG327=0,0,IF(SUM($S327:U327)&lt;($J327-12),12,$J327-SUM($S327:U327)))</f>
        <v>0</v>
      </c>
      <c r="W327" s="1101">
        <f>IF($BG327=0,0,IF(SUM($S327:V327)&lt;($J327-12),12,$J327-SUM($S327:V327)))</f>
        <v>0</v>
      </c>
      <c r="Y327" s="1100"/>
      <c r="Z327" s="1100"/>
      <c r="AA327" s="1100">
        <v>0</v>
      </c>
      <c r="AB327" s="1101">
        <f>IF($BH327=0,0,IF(SUM($Y327:AA327)&lt;($J327-12),12,$J327-SUM($Y327:AA327)))</f>
        <v>0</v>
      </c>
      <c r="AC327" s="1101">
        <f>IF($BH327=0,0,IF(SUM($Y327:AB327)&lt;($J327-12),12,$J327-SUM($Y327:AB327)))</f>
        <v>0</v>
      </c>
      <c r="AE327" s="1100"/>
      <c r="AF327" s="1100"/>
      <c r="AG327" s="1100"/>
      <c r="AH327" s="1100">
        <v>0</v>
      </c>
      <c r="AI327" s="1101">
        <f>IF($BI327=0,0,IF(SUM($AE327:AH327)&lt;($J327-12),12,$J327-SUM($AE327:AH327)))</f>
        <v>0</v>
      </c>
      <c r="AK327" s="1100"/>
      <c r="AL327" s="1100"/>
      <c r="AM327" s="1100"/>
      <c r="AN327" s="1100"/>
      <c r="AO327" s="1100">
        <v>0</v>
      </c>
      <c r="AQ327" s="153">
        <f t="shared" si="40"/>
        <v>0</v>
      </c>
      <c r="AR327" s="153">
        <f t="shared" si="41"/>
        <v>0</v>
      </c>
      <c r="AS327" s="153">
        <f t="shared" si="42"/>
        <v>0</v>
      </c>
      <c r="AT327" s="153">
        <f t="shared" si="43"/>
        <v>0</v>
      </c>
      <c r="AU327" s="153">
        <f t="shared" si="44"/>
        <v>0</v>
      </c>
      <c r="AW327" s="1543">
        <v>0.5</v>
      </c>
      <c r="AX327" s="1102"/>
      <c r="AY327" s="1544">
        <v>0.5</v>
      </c>
      <c r="BA327" s="1103">
        <v>0</v>
      </c>
      <c r="BB327" s="1103">
        <v>0</v>
      </c>
      <c r="BC327" s="1103">
        <v>0</v>
      </c>
      <c r="BD327" s="1103">
        <v>0</v>
      </c>
      <c r="BE327" s="1103">
        <v>0</v>
      </c>
      <c r="BF327" s="1103">
        <v>0</v>
      </c>
      <c r="BG327" s="1103">
        <v>0</v>
      </c>
      <c r="BH327" s="1103">
        <v>0</v>
      </c>
      <c r="BI327" s="1103">
        <v>0</v>
      </c>
      <c r="BJ327" s="1103">
        <v>0</v>
      </c>
    </row>
    <row r="328" spans="3:62" hidden="1" outlineLevel="1">
      <c r="C328" s="1083" t="s">
        <v>698</v>
      </c>
      <c r="D328" s="1062" t="s">
        <v>693</v>
      </c>
      <c r="E328" s="1083" t="s">
        <v>696</v>
      </c>
      <c r="F328" s="1095" t="s">
        <v>414</v>
      </c>
      <c r="G328" s="1096">
        <f t="shared" si="37"/>
        <v>55.268999999999998</v>
      </c>
      <c r="H328" s="1083" t="s">
        <v>29</v>
      </c>
      <c r="I328" s="1097">
        <v>5</v>
      </c>
      <c r="J328" s="1098">
        <f t="shared" si="38"/>
        <v>60</v>
      </c>
      <c r="K328" s="153">
        <f t="shared" si="39"/>
        <v>0.2</v>
      </c>
      <c r="L328" s="1099"/>
      <c r="M328" s="1100">
        <v>0</v>
      </c>
      <c r="N328" s="1101">
        <f>IF($BF328=0,0,IF(SUM($M328:M328)&lt;($J328-12),12,$J328-SUM($M328:M328)))</f>
        <v>0</v>
      </c>
      <c r="O328" s="1101">
        <f>IF($BF328=0,0,IF(SUM($M328:N328)&lt;($J328-12),12,$J328-SUM($M328:N328)))</f>
        <v>0</v>
      </c>
      <c r="P328" s="1101">
        <f>IF($BF328=0,0,IF(SUM($M328:O328)&lt;($J328-12),12,$J328-SUM($M328:O328)))</f>
        <v>0</v>
      </c>
      <c r="Q328" s="1101">
        <f>IF($BF328=0,0,IF(SUM($M328:P328)&lt;($J328-12),12,$J328-SUM($M328:P328)))</f>
        <v>0</v>
      </c>
      <c r="S328" s="1100"/>
      <c r="T328" s="1100">
        <v>6</v>
      </c>
      <c r="U328" s="1101">
        <f>IF($BG328=0,0,IF(SUM($S328:T328)&lt;($J328-12),12,$J328-SUM($S328:T328)))</f>
        <v>12</v>
      </c>
      <c r="V328" s="1101">
        <f>IF($BG328=0,0,IF(SUM($S328:U328)&lt;($J328-12),12,$J328-SUM($S328:U328)))</f>
        <v>12</v>
      </c>
      <c r="W328" s="1101">
        <f>IF($BG328=0,0,IF(SUM($S328:V328)&lt;($J328-12),12,$J328-SUM($S328:V328)))</f>
        <v>12</v>
      </c>
      <c r="Y328" s="1100"/>
      <c r="Z328" s="1100"/>
      <c r="AA328" s="1100">
        <v>0</v>
      </c>
      <c r="AB328" s="1101">
        <f>IF($BH328=0,0,IF(SUM($Y328:AA328)&lt;($J328-12),12,$J328-SUM($Y328:AA328)))</f>
        <v>0</v>
      </c>
      <c r="AC328" s="1101">
        <f>IF($BH328=0,0,IF(SUM($Y328:AB328)&lt;($J328-12),12,$J328-SUM($Y328:AB328)))</f>
        <v>0</v>
      </c>
      <c r="AE328" s="1100"/>
      <c r="AF328" s="1100"/>
      <c r="AG328" s="1100"/>
      <c r="AH328" s="1100">
        <v>0</v>
      </c>
      <c r="AI328" s="1101">
        <f>IF($BI328=0,0,IF(SUM($AE328:AH328)&lt;($J328-12),12,$J328-SUM($AE328:AH328)))</f>
        <v>0</v>
      </c>
      <c r="AK328" s="1100"/>
      <c r="AL328" s="1100"/>
      <c r="AM328" s="1100"/>
      <c r="AN328" s="1100"/>
      <c r="AO328" s="1100">
        <v>0</v>
      </c>
      <c r="AQ328" s="153">
        <f t="shared" si="40"/>
        <v>0</v>
      </c>
      <c r="AR328" s="153">
        <f t="shared" si="41"/>
        <v>0.5</v>
      </c>
      <c r="AS328" s="153">
        <f t="shared" si="42"/>
        <v>0</v>
      </c>
      <c r="AT328" s="153">
        <f t="shared" si="43"/>
        <v>0</v>
      </c>
      <c r="AU328" s="153">
        <f t="shared" si="44"/>
        <v>0</v>
      </c>
      <c r="AW328" s="1543">
        <v>1</v>
      </c>
      <c r="AX328" s="1102"/>
      <c r="AY328" s="1544">
        <v>0</v>
      </c>
      <c r="BA328" s="1103">
        <v>0</v>
      </c>
      <c r="BB328" s="1103">
        <v>0</v>
      </c>
      <c r="BC328" s="1103">
        <v>0</v>
      </c>
      <c r="BD328" s="1103">
        <v>0</v>
      </c>
      <c r="BE328" s="1103">
        <v>0</v>
      </c>
      <c r="BF328" s="1103">
        <v>0</v>
      </c>
      <c r="BG328" s="1103">
        <v>55.268999999999998</v>
      </c>
      <c r="BH328" s="1103">
        <v>0</v>
      </c>
      <c r="BI328" s="1103">
        <v>0</v>
      </c>
      <c r="BJ328" s="1103">
        <v>0</v>
      </c>
    </row>
    <row r="329" spans="3:62" hidden="1" outlineLevel="1">
      <c r="C329" s="1083" t="s">
        <v>699</v>
      </c>
      <c r="D329" s="1062" t="s">
        <v>699</v>
      </c>
      <c r="E329" s="1083" t="s">
        <v>700</v>
      </c>
      <c r="F329" s="1095" t="s">
        <v>414</v>
      </c>
      <c r="G329" s="1096">
        <f t="shared" si="37"/>
        <v>90</v>
      </c>
      <c r="H329" s="1083" t="s">
        <v>29</v>
      </c>
      <c r="I329" s="1097">
        <v>5</v>
      </c>
      <c r="J329" s="1098">
        <f t="shared" si="38"/>
        <v>60</v>
      </c>
      <c r="K329" s="153">
        <f t="shared" si="39"/>
        <v>0.2</v>
      </c>
      <c r="L329" s="1099"/>
      <c r="M329" s="1100">
        <v>0</v>
      </c>
      <c r="N329" s="1101">
        <f>IF($BF329=0,0,IF(SUM($M329:M329)&lt;($J329-12),12,$J329-SUM($M329:M329)))</f>
        <v>0</v>
      </c>
      <c r="O329" s="1101">
        <f>IF($BF329=0,0,IF(SUM($M329:N329)&lt;($J329-12),12,$J329-SUM($M329:N329)))</f>
        <v>0</v>
      </c>
      <c r="P329" s="1101">
        <f>IF($BF329=0,0,IF(SUM($M329:O329)&lt;($J329-12),12,$J329-SUM($M329:O329)))</f>
        <v>0</v>
      </c>
      <c r="Q329" s="1101">
        <f>IF($BF329=0,0,IF(SUM($M329:P329)&lt;($J329-12),12,$J329-SUM($M329:P329)))</f>
        <v>0</v>
      </c>
      <c r="S329" s="1100"/>
      <c r="T329" s="1100">
        <v>0</v>
      </c>
      <c r="U329" s="1101">
        <f>IF($BG329=0,0,IF(SUM($S329:T329)&lt;($J329-12),12,$J329-SUM($S329:T329)))</f>
        <v>0</v>
      </c>
      <c r="V329" s="1101">
        <f>IF($BG329=0,0,IF(SUM($S329:U329)&lt;($J329-12),12,$J329-SUM($S329:U329)))</f>
        <v>0</v>
      </c>
      <c r="W329" s="1101">
        <f>IF($BG329=0,0,IF(SUM($S329:V329)&lt;($J329-12),12,$J329-SUM($S329:V329)))</f>
        <v>0</v>
      </c>
      <c r="Y329" s="1100"/>
      <c r="Z329" s="1100"/>
      <c r="AA329" s="1100">
        <v>0</v>
      </c>
      <c r="AB329" s="1101">
        <f>IF($BH329=0,0,IF(SUM($Y329:AA329)&lt;($J329-12),12,$J329-SUM($Y329:AA329)))</f>
        <v>0</v>
      </c>
      <c r="AC329" s="1101">
        <f>IF($BH329=0,0,IF(SUM($Y329:AB329)&lt;($J329-12),12,$J329-SUM($Y329:AB329)))</f>
        <v>0</v>
      </c>
      <c r="AE329" s="1100"/>
      <c r="AF329" s="1100"/>
      <c r="AG329" s="1100"/>
      <c r="AH329" s="1100">
        <v>3</v>
      </c>
      <c r="AI329" s="1101">
        <f>IF($BI329=0,0,IF(SUM($AE329:AH329)&lt;($J329-12),12,$J329-SUM($AE329:AH329)))</f>
        <v>12</v>
      </c>
      <c r="AK329" s="1100"/>
      <c r="AL329" s="1100"/>
      <c r="AM329" s="1100"/>
      <c r="AN329" s="1100"/>
      <c r="AO329" s="1100">
        <v>0</v>
      </c>
      <c r="AQ329" s="153">
        <f t="shared" si="40"/>
        <v>0</v>
      </c>
      <c r="AR329" s="153">
        <f t="shared" si="41"/>
        <v>0</v>
      </c>
      <c r="AS329" s="153">
        <f t="shared" si="42"/>
        <v>0</v>
      </c>
      <c r="AT329" s="153">
        <f t="shared" si="43"/>
        <v>0.25</v>
      </c>
      <c r="AU329" s="153">
        <f t="shared" si="44"/>
        <v>0</v>
      </c>
      <c r="AW329" s="1543">
        <v>0.75</v>
      </c>
      <c r="AX329" s="1102"/>
      <c r="AY329" s="1544">
        <v>0.25</v>
      </c>
      <c r="BA329" s="1103">
        <v>0</v>
      </c>
      <c r="BB329" s="1103">
        <v>0</v>
      </c>
      <c r="BC329" s="1103">
        <v>0</v>
      </c>
      <c r="BD329" s="1103">
        <v>0</v>
      </c>
      <c r="BE329" s="1103">
        <v>0</v>
      </c>
      <c r="BF329" s="1103">
        <v>0</v>
      </c>
      <c r="BG329" s="1103">
        <v>0</v>
      </c>
      <c r="BH329" s="1103">
        <v>0</v>
      </c>
      <c r="BI329" s="1103">
        <v>90</v>
      </c>
      <c r="BJ329" s="1103">
        <v>0</v>
      </c>
    </row>
    <row r="330" spans="3:62" hidden="1" outlineLevel="1">
      <c r="C330" s="1083" t="s">
        <v>701</v>
      </c>
      <c r="D330" s="1062" t="s">
        <v>701</v>
      </c>
      <c r="E330" s="1083" t="s">
        <v>702</v>
      </c>
      <c r="F330" s="1095" t="s">
        <v>414</v>
      </c>
      <c r="G330" s="1096">
        <f t="shared" si="37"/>
        <v>90</v>
      </c>
      <c r="H330" s="1083" t="s">
        <v>29</v>
      </c>
      <c r="I330" s="1097">
        <v>3</v>
      </c>
      <c r="J330" s="1098">
        <f t="shared" si="38"/>
        <v>36</v>
      </c>
      <c r="K330" s="153">
        <f t="shared" si="39"/>
        <v>0.33333333333333331</v>
      </c>
      <c r="L330" s="1099"/>
      <c r="M330" s="1100">
        <v>0</v>
      </c>
      <c r="N330" s="1101">
        <f>IF($BF330=0,0,IF(SUM($M330:M330)&lt;($J330-12),12,$J330-SUM($M330:M330)))</f>
        <v>0</v>
      </c>
      <c r="O330" s="1101">
        <f>IF($BF330=0,0,IF(SUM($M330:N330)&lt;($J330-12),12,$J330-SUM($M330:N330)))</f>
        <v>0</v>
      </c>
      <c r="P330" s="1101">
        <f>IF($BF330=0,0,IF(SUM($M330:O330)&lt;($J330-12),12,$J330-SUM($M330:O330)))</f>
        <v>0</v>
      </c>
      <c r="Q330" s="1101">
        <f>IF($BF330=0,0,IF(SUM($M330:P330)&lt;($J330-12),12,$J330-SUM($M330:P330)))</f>
        <v>0</v>
      </c>
      <c r="S330" s="1100"/>
      <c r="T330" s="1100">
        <v>4.5</v>
      </c>
      <c r="U330" s="1101">
        <f>IF($BG330=0,0,IF(SUM($S330:T330)&lt;($J330-12),12,$J330-SUM($S330:T330)))</f>
        <v>12</v>
      </c>
      <c r="V330" s="1101">
        <f>IF($BG330=0,0,IF(SUM($S330:U330)&lt;($J330-12),12,$J330-SUM($S330:U330)))</f>
        <v>12</v>
      </c>
      <c r="W330" s="1101">
        <f>IF($BG330=0,0,IF(SUM($S330:V330)&lt;($J330-12),12,$J330-SUM($S330:V330)))</f>
        <v>7.5</v>
      </c>
      <c r="Y330" s="1100"/>
      <c r="Z330" s="1100"/>
      <c r="AA330" s="1100">
        <v>12</v>
      </c>
      <c r="AB330" s="1101">
        <f>IF($BH330=0,0,IF(SUM($Y330:AA330)&lt;($J330-12),12,$J330-SUM($Y330:AA330)))</f>
        <v>12</v>
      </c>
      <c r="AC330" s="1101">
        <f>IF($BH330=0,0,IF(SUM($Y330:AB330)&lt;($J330-12),12,$J330-SUM($Y330:AB330)))</f>
        <v>12</v>
      </c>
      <c r="AE330" s="1100"/>
      <c r="AF330" s="1100"/>
      <c r="AG330" s="1100"/>
      <c r="AH330" s="1100">
        <v>0</v>
      </c>
      <c r="AI330" s="1101">
        <f>IF($BI330=0,0,IF(SUM($AE330:AH330)&lt;($J330-12),12,$J330-SUM($AE330:AH330)))</f>
        <v>0</v>
      </c>
      <c r="AK330" s="1100"/>
      <c r="AL330" s="1100"/>
      <c r="AM330" s="1100"/>
      <c r="AN330" s="1100"/>
      <c r="AO330" s="1100">
        <v>0</v>
      </c>
      <c r="AQ330" s="153">
        <f t="shared" si="40"/>
        <v>0</v>
      </c>
      <c r="AR330" s="153">
        <f t="shared" si="41"/>
        <v>0.375</v>
      </c>
      <c r="AS330" s="153">
        <f t="shared" si="42"/>
        <v>1</v>
      </c>
      <c r="AT330" s="153">
        <f t="shared" si="43"/>
        <v>0</v>
      </c>
      <c r="AU330" s="153">
        <f t="shared" si="44"/>
        <v>0</v>
      </c>
      <c r="AW330" s="1543">
        <v>0.73</v>
      </c>
      <c r="AX330" s="1102"/>
      <c r="AY330" s="1544">
        <v>0.15</v>
      </c>
      <c r="BA330" s="1103">
        <v>0</v>
      </c>
      <c r="BB330" s="1103">
        <v>0</v>
      </c>
      <c r="BC330" s="1103">
        <v>0</v>
      </c>
      <c r="BD330" s="1103">
        <v>0</v>
      </c>
      <c r="BE330" s="1103">
        <v>0</v>
      </c>
      <c r="BF330" s="1103">
        <v>0</v>
      </c>
      <c r="BG330" s="1103">
        <v>60</v>
      </c>
      <c r="BH330" s="1103">
        <v>30</v>
      </c>
      <c r="BI330" s="1103">
        <v>0</v>
      </c>
      <c r="BJ330" s="1103">
        <v>0</v>
      </c>
    </row>
    <row r="331" spans="3:62" hidden="1" outlineLevel="1">
      <c r="C331" s="1083" t="s">
        <v>703</v>
      </c>
      <c r="D331" s="1062" t="s">
        <v>703</v>
      </c>
      <c r="E331" s="1083" t="s">
        <v>704</v>
      </c>
      <c r="F331" s="1095" t="s">
        <v>414</v>
      </c>
      <c r="G331" s="1096">
        <f t="shared" si="37"/>
        <v>83.806950000000015</v>
      </c>
      <c r="H331" s="1083" t="s">
        <v>29</v>
      </c>
      <c r="I331" s="1097">
        <v>8</v>
      </c>
      <c r="J331" s="1098">
        <f t="shared" si="38"/>
        <v>96</v>
      </c>
      <c r="K331" s="153">
        <f t="shared" si="39"/>
        <v>0.125</v>
      </c>
      <c r="L331" s="1099"/>
      <c r="M331" s="1100">
        <v>0</v>
      </c>
      <c r="N331" s="1101">
        <f>IF($BF331=0,0,IF(SUM($M331:M331)&lt;($J331-12),12,$J331-SUM($M331:M331)))</f>
        <v>0</v>
      </c>
      <c r="O331" s="1101">
        <f>IF($BF331=0,0,IF(SUM($M331:N331)&lt;($J331-12),12,$J331-SUM($M331:N331)))</f>
        <v>0</v>
      </c>
      <c r="P331" s="1101">
        <f>IF($BF331=0,0,IF(SUM($M331:O331)&lt;($J331-12),12,$J331-SUM($M331:O331)))</f>
        <v>0</v>
      </c>
      <c r="Q331" s="1101">
        <f>IF($BF331=0,0,IF(SUM($M331:P331)&lt;($J331-12),12,$J331-SUM($M331:P331)))</f>
        <v>0</v>
      </c>
      <c r="S331" s="1100"/>
      <c r="T331" s="1100">
        <v>3</v>
      </c>
      <c r="U331" s="1101">
        <f>IF($BG331=0,0,IF(SUM($S331:T331)&lt;($J331-12),12,$J331-SUM($S331:T331)))</f>
        <v>12</v>
      </c>
      <c r="V331" s="1101">
        <f>IF($BG331=0,0,IF(SUM($S331:U331)&lt;($J331-12),12,$J331-SUM($S331:U331)))</f>
        <v>12</v>
      </c>
      <c r="W331" s="1101">
        <f>IF($BG331=0,0,IF(SUM($S331:V331)&lt;($J331-12),12,$J331-SUM($S331:V331)))</f>
        <v>12</v>
      </c>
      <c r="Y331" s="1100"/>
      <c r="Z331" s="1100"/>
      <c r="AA331" s="1100">
        <v>0</v>
      </c>
      <c r="AB331" s="1101">
        <f>IF($BH331=0,0,IF(SUM($Y331:AA331)&lt;($J331-12),12,$J331-SUM($Y331:AA331)))</f>
        <v>0</v>
      </c>
      <c r="AC331" s="1101">
        <f>IF($BH331=0,0,IF(SUM($Y331:AB331)&lt;($J331-12),12,$J331-SUM($Y331:AB331)))</f>
        <v>0</v>
      </c>
      <c r="AE331" s="1100"/>
      <c r="AF331" s="1100"/>
      <c r="AG331" s="1100"/>
      <c r="AH331" s="1100">
        <v>0</v>
      </c>
      <c r="AI331" s="1101">
        <f>IF($BI331=0,0,IF(SUM($AE331:AH331)&lt;($J331-12),12,$J331-SUM($AE331:AH331)))</f>
        <v>0</v>
      </c>
      <c r="AK331" s="1100"/>
      <c r="AL331" s="1100"/>
      <c r="AM331" s="1100"/>
      <c r="AN331" s="1100"/>
      <c r="AO331" s="1100">
        <v>0</v>
      </c>
      <c r="AQ331" s="153">
        <f t="shared" si="40"/>
        <v>0</v>
      </c>
      <c r="AR331" s="153">
        <f t="shared" si="41"/>
        <v>0.25</v>
      </c>
      <c r="AS331" s="153">
        <f t="shared" si="42"/>
        <v>0</v>
      </c>
      <c r="AT331" s="153">
        <f t="shared" si="43"/>
        <v>0</v>
      </c>
      <c r="AU331" s="153">
        <f t="shared" si="44"/>
        <v>0</v>
      </c>
      <c r="AW331" s="1543">
        <v>0.75</v>
      </c>
      <c r="AX331" s="1102"/>
      <c r="AY331" s="1544">
        <v>0.25</v>
      </c>
      <c r="BA331" s="1103">
        <v>0</v>
      </c>
      <c r="BB331" s="1103">
        <v>0</v>
      </c>
      <c r="BC331" s="1103">
        <v>0</v>
      </c>
      <c r="BD331" s="1103">
        <v>0</v>
      </c>
      <c r="BE331" s="1103">
        <v>0</v>
      </c>
      <c r="BF331" s="1103">
        <v>0</v>
      </c>
      <c r="BG331" s="1103">
        <v>83.806950000000015</v>
      </c>
      <c r="BH331" s="1103">
        <v>0</v>
      </c>
      <c r="BI331" s="1103">
        <v>0</v>
      </c>
      <c r="BJ331" s="1103">
        <v>0</v>
      </c>
    </row>
    <row r="332" spans="3:62" hidden="1" outlineLevel="1">
      <c r="C332" s="1083" t="s">
        <v>705</v>
      </c>
      <c r="D332" s="1062" t="s">
        <v>705</v>
      </c>
      <c r="E332" s="1083" t="s">
        <v>706</v>
      </c>
      <c r="F332" s="1095" t="s">
        <v>414</v>
      </c>
      <c r="G332" s="1096">
        <f t="shared" si="37"/>
        <v>81.596910000000008</v>
      </c>
      <c r="H332" s="1083" t="s">
        <v>29</v>
      </c>
      <c r="I332" s="1097">
        <v>8</v>
      </c>
      <c r="J332" s="1098">
        <f t="shared" si="38"/>
        <v>96</v>
      </c>
      <c r="K332" s="153">
        <f t="shared" si="39"/>
        <v>0.125</v>
      </c>
      <c r="L332" s="1099"/>
      <c r="M332" s="1100">
        <v>0</v>
      </c>
      <c r="N332" s="1101">
        <f>IF($BF332=0,0,IF(SUM($M332:M332)&lt;($J332-12),12,$J332-SUM($M332:M332)))</f>
        <v>0</v>
      </c>
      <c r="O332" s="1101">
        <f>IF($BF332=0,0,IF(SUM($M332:N332)&lt;($J332-12),12,$J332-SUM($M332:N332)))</f>
        <v>0</v>
      </c>
      <c r="P332" s="1101">
        <f>IF($BF332=0,0,IF(SUM($M332:O332)&lt;($J332-12),12,$J332-SUM($M332:O332)))</f>
        <v>0</v>
      </c>
      <c r="Q332" s="1101">
        <f>IF($BF332=0,0,IF(SUM($M332:P332)&lt;($J332-12),12,$J332-SUM($M332:P332)))</f>
        <v>0</v>
      </c>
      <c r="S332" s="1100"/>
      <c r="T332" s="1100">
        <v>6</v>
      </c>
      <c r="U332" s="1101">
        <f>IF($BG332=0,0,IF(SUM($S332:T332)&lt;($J332-12),12,$J332-SUM($S332:T332)))</f>
        <v>12</v>
      </c>
      <c r="V332" s="1101">
        <f>IF($BG332=0,0,IF(SUM($S332:U332)&lt;($J332-12),12,$J332-SUM($S332:U332)))</f>
        <v>12</v>
      </c>
      <c r="W332" s="1101">
        <f>IF($BG332=0,0,IF(SUM($S332:V332)&lt;($J332-12),12,$J332-SUM($S332:V332)))</f>
        <v>12</v>
      </c>
      <c r="Y332" s="1100"/>
      <c r="Z332" s="1100"/>
      <c r="AA332" s="1100">
        <v>0</v>
      </c>
      <c r="AB332" s="1101">
        <f>IF($BH332=0,0,IF(SUM($Y332:AA332)&lt;($J332-12),12,$J332-SUM($Y332:AA332)))</f>
        <v>0</v>
      </c>
      <c r="AC332" s="1101">
        <f>IF($BH332=0,0,IF(SUM($Y332:AB332)&lt;($J332-12),12,$J332-SUM($Y332:AB332)))</f>
        <v>0</v>
      </c>
      <c r="AE332" s="1100"/>
      <c r="AF332" s="1100"/>
      <c r="AG332" s="1100"/>
      <c r="AH332" s="1100">
        <v>0</v>
      </c>
      <c r="AI332" s="1101">
        <f>IF($BI332=0,0,IF(SUM($AE332:AH332)&lt;($J332-12),12,$J332-SUM($AE332:AH332)))</f>
        <v>0</v>
      </c>
      <c r="AK332" s="1100"/>
      <c r="AL332" s="1100"/>
      <c r="AM332" s="1100"/>
      <c r="AN332" s="1100"/>
      <c r="AO332" s="1100">
        <v>0</v>
      </c>
      <c r="AQ332" s="153">
        <f t="shared" si="40"/>
        <v>0</v>
      </c>
      <c r="AR332" s="153">
        <f t="shared" si="41"/>
        <v>0.5</v>
      </c>
      <c r="AS332" s="153">
        <f t="shared" si="42"/>
        <v>0</v>
      </c>
      <c r="AT332" s="153">
        <f t="shared" si="43"/>
        <v>0</v>
      </c>
      <c r="AU332" s="153">
        <f t="shared" si="44"/>
        <v>0</v>
      </c>
      <c r="AW332" s="1543">
        <v>0.75</v>
      </c>
      <c r="AX332" s="1102"/>
      <c r="AY332" s="1544">
        <v>0.25</v>
      </c>
      <c r="BA332" s="1103">
        <v>0</v>
      </c>
      <c r="BB332" s="1103">
        <v>0</v>
      </c>
      <c r="BC332" s="1103">
        <v>0</v>
      </c>
      <c r="BD332" s="1103">
        <v>0</v>
      </c>
      <c r="BE332" s="1103">
        <v>0</v>
      </c>
      <c r="BF332" s="1103">
        <v>0</v>
      </c>
      <c r="BG332" s="1103">
        <v>81.596910000000008</v>
      </c>
      <c r="BH332" s="1103">
        <v>0</v>
      </c>
      <c r="BI332" s="1103">
        <v>0</v>
      </c>
      <c r="BJ332" s="1103">
        <v>0</v>
      </c>
    </row>
    <row r="333" spans="3:62" hidden="1" outlineLevel="1">
      <c r="C333" s="1083" t="s">
        <v>707</v>
      </c>
      <c r="D333" s="1062" t="s">
        <v>707</v>
      </c>
      <c r="E333" s="1083" t="s">
        <v>708</v>
      </c>
      <c r="F333" s="1095" t="s">
        <v>414</v>
      </c>
      <c r="G333" s="1096">
        <f t="shared" si="37"/>
        <v>0</v>
      </c>
      <c r="H333" s="1083" t="s">
        <v>29</v>
      </c>
      <c r="I333" s="1097">
        <v>0</v>
      </c>
      <c r="J333" s="1098">
        <f t="shared" si="38"/>
        <v>0</v>
      </c>
      <c r="K333" s="153">
        <f t="shared" si="39"/>
        <v>0</v>
      </c>
      <c r="L333" s="1099"/>
      <c r="M333" s="1100">
        <v>0</v>
      </c>
      <c r="N333" s="1101">
        <f>IF($BF333=0,0,IF(SUM($M333:M333)&lt;($J333-12),12,$J333-SUM($M333:M333)))</f>
        <v>0</v>
      </c>
      <c r="O333" s="1101">
        <f>IF($BF333=0,0,IF(SUM($M333:N333)&lt;($J333-12),12,$J333-SUM($M333:N333)))</f>
        <v>0</v>
      </c>
      <c r="P333" s="1101">
        <f>IF($BF333=0,0,IF(SUM($M333:O333)&lt;($J333-12),12,$J333-SUM($M333:O333)))</f>
        <v>0</v>
      </c>
      <c r="Q333" s="1101">
        <f>IF($BF333=0,0,IF(SUM($M333:P333)&lt;($J333-12),12,$J333-SUM($M333:P333)))</f>
        <v>0</v>
      </c>
      <c r="S333" s="1100"/>
      <c r="T333" s="1100">
        <v>0</v>
      </c>
      <c r="U333" s="1101">
        <f>IF($BG333=0,0,IF(SUM($S333:T333)&lt;($J333-12),12,$J333-SUM($S333:T333)))</f>
        <v>0</v>
      </c>
      <c r="V333" s="1101">
        <f>IF($BG333=0,0,IF(SUM($S333:U333)&lt;($J333-12),12,$J333-SUM($S333:U333)))</f>
        <v>0</v>
      </c>
      <c r="W333" s="1101">
        <f>IF($BG333=0,0,IF(SUM($S333:V333)&lt;($J333-12),12,$J333-SUM($S333:V333)))</f>
        <v>0</v>
      </c>
      <c r="Y333" s="1100"/>
      <c r="Z333" s="1100"/>
      <c r="AA333" s="1100">
        <v>0</v>
      </c>
      <c r="AB333" s="1101">
        <f>IF($BH333=0,0,IF(SUM($Y333:AA333)&lt;($J333-12),12,$J333-SUM($Y333:AA333)))</f>
        <v>0</v>
      </c>
      <c r="AC333" s="1101">
        <f>IF($BH333=0,0,IF(SUM($Y333:AB333)&lt;($J333-12),12,$J333-SUM($Y333:AB333)))</f>
        <v>0</v>
      </c>
      <c r="AE333" s="1100"/>
      <c r="AF333" s="1100"/>
      <c r="AG333" s="1100"/>
      <c r="AH333" s="1100">
        <v>0</v>
      </c>
      <c r="AI333" s="1101">
        <f>IF($BI333=0,0,IF(SUM($AE333:AH333)&lt;($J333-12),12,$J333-SUM($AE333:AH333)))</f>
        <v>0</v>
      </c>
      <c r="AK333" s="1100"/>
      <c r="AL333" s="1100"/>
      <c r="AM333" s="1100"/>
      <c r="AN333" s="1100"/>
      <c r="AO333" s="1100">
        <v>0</v>
      </c>
      <c r="AQ333" s="153">
        <f t="shared" si="40"/>
        <v>0</v>
      </c>
      <c r="AR333" s="153">
        <f t="shared" si="41"/>
        <v>0</v>
      </c>
      <c r="AS333" s="153">
        <f t="shared" si="42"/>
        <v>0</v>
      </c>
      <c r="AT333" s="153">
        <f t="shared" si="43"/>
        <v>0</v>
      </c>
      <c r="AU333" s="153">
        <f t="shared" si="44"/>
        <v>0</v>
      </c>
      <c r="AW333" s="1543">
        <v>0</v>
      </c>
      <c r="AX333" s="1102"/>
      <c r="AY333" s="1544">
        <v>0</v>
      </c>
      <c r="BA333" s="1103">
        <v>0</v>
      </c>
      <c r="BB333" s="1103">
        <v>0</v>
      </c>
      <c r="BC333" s="1103">
        <v>0</v>
      </c>
      <c r="BD333" s="1103">
        <v>0</v>
      </c>
      <c r="BE333" s="1103">
        <v>0</v>
      </c>
      <c r="BF333" s="1103">
        <v>0</v>
      </c>
      <c r="BG333" s="1103">
        <v>0</v>
      </c>
      <c r="BH333" s="1103">
        <v>0</v>
      </c>
      <c r="BI333" s="1103">
        <v>0</v>
      </c>
      <c r="BJ333" s="1103">
        <v>0</v>
      </c>
    </row>
    <row r="334" spans="3:62" hidden="1" outlineLevel="1">
      <c r="C334" s="1083" t="s">
        <v>709</v>
      </c>
      <c r="D334" s="1062" t="s">
        <v>707</v>
      </c>
      <c r="E334" s="1083" t="s">
        <v>710</v>
      </c>
      <c r="F334" s="1095" t="s">
        <v>414</v>
      </c>
      <c r="G334" s="1096">
        <f t="shared" si="37"/>
        <v>80</v>
      </c>
      <c r="H334" s="1083" t="s">
        <v>29</v>
      </c>
      <c r="I334" s="1097">
        <v>8</v>
      </c>
      <c r="J334" s="1098">
        <f t="shared" si="38"/>
        <v>96</v>
      </c>
      <c r="K334" s="153">
        <f t="shared" si="39"/>
        <v>0.125</v>
      </c>
      <c r="L334" s="1099"/>
      <c r="M334" s="1100">
        <v>0</v>
      </c>
      <c r="N334" s="1101">
        <f>IF($BF334=0,0,IF(SUM($M334:M334)&lt;($J334-12),12,$J334-SUM($M334:M334)))</f>
        <v>0</v>
      </c>
      <c r="O334" s="1101">
        <f>IF($BF334=0,0,IF(SUM($M334:N334)&lt;($J334-12),12,$J334-SUM($M334:N334)))</f>
        <v>0</v>
      </c>
      <c r="P334" s="1101">
        <f>IF($BF334=0,0,IF(SUM($M334:O334)&lt;($J334-12),12,$J334-SUM($M334:O334)))</f>
        <v>0</v>
      </c>
      <c r="Q334" s="1101">
        <f>IF($BF334=0,0,IF(SUM($M334:P334)&lt;($J334-12),12,$J334-SUM($M334:P334)))</f>
        <v>0</v>
      </c>
      <c r="S334" s="1100"/>
      <c r="T334" s="1100">
        <v>0</v>
      </c>
      <c r="U334" s="1101">
        <f>IF($BG334=0,0,IF(SUM($S334:T334)&lt;($J334-12),12,$J334-SUM($S334:T334)))</f>
        <v>0</v>
      </c>
      <c r="V334" s="1101">
        <f>IF($BG334=0,0,IF(SUM($S334:U334)&lt;($J334-12),12,$J334-SUM($S334:U334)))</f>
        <v>0</v>
      </c>
      <c r="W334" s="1101">
        <f>IF($BG334=0,0,IF(SUM($S334:V334)&lt;($J334-12),12,$J334-SUM($S334:V334)))</f>
        <v>0</v>
      </c>
      <c r="Y334" s="1100"/>
      <c r="Z334" s="1100"/>
      <c r="AA334" s="1100">
        <v>12</v>
      </c>
      <c r="AB334" s="1101">
        <f>IF($BH334=0,0,IF(SUM($Y334:AA334)&lt;($J334-12),12,$J334-SUM($Y334:AA334)))</f>
        <v>12</v>
      </c>
      <c r="AC334" s="1101">
        <f>IF($BH334=0,0,IF(SUM($Y334:AB334)&lt;($J334-12),12,$J334-SUM($Y334:AB334)))</f>
        <v>12</v>
      </c>
      <c r="AE334" s="1100"/>
      <c r="AF334" s="1100"/>
      <c r="AG334" s="1100"/>
      <c r="AH334" s="1100">
        <v>0</v>
      </c>
      <c r="AI334" s="1101">
        <f>IF($BI334=0,0,IF(SUM($AE334:AH334)&lt;($J334-12),12,$J334-SUM($AE334:AH334)))</f>
        <v>0</v>
      </c>
      <c r="AK334" s="1100"/>
      <c r="AL334" s="1100"/>
      <c r="AM334" s="1100"/>
      <c r="AN334" s="1100"/>
      <c r="AO334" s="1100">
        <v>0</v>
      </c>
      <c r="AQ334" s="153">
        <f t="shared" si="40"/>
        <v>0</v>
      </c>
      <c r="AR334" s="153">
        <f t="shared" si="41"/>
        <v>0</v>
      </c>
      <c r="AS334" s="153">
        <f t="shared" si="42"/>
        <v>1</v>
      </c>
      <c r="AT334" s="153">
        <f t="shared" si="43"/>
        <v>0</v>
      </c>
      <c r="AU334" s="153">
        <f t="shared" si="44"/>
        <v>0</v>
      </c>
      <c r="AW334" s="1543">
        <v>0.75</v>
      </c>
      <c r="AX334" s="1102"/>
      <c r="AY334" s="1544">
        <v>0.25</v>
      </c>
      <c r="BA334" s="1103">
        <v>0</v>
      </c>
      <c r="BB334" s="1103">
        <v>0</v>
      </c>
      <c r="BC334" s="1103">
        <v>0</v>
      </c>
      <c r="BD334" s="1103">
        <v>0</v>
      </c>
      <c r="BE334" s="1103">
        <v>0</v>
      </c>
      <c r="BF334" s="1103">
        <v>0</v>
      </c>
      <c r="BG334" s="1103">
        <v>0</v>
      </c>
      <c r="BH334" s="1103">
        <v>80</v>
      </c>
      <c r="BI334" s="1103">
        <v>0</v>
      </c>
      <c r="BJ334" s="1103">
        <v>0</v>
      </c>
    </row>
    <row r="335" spans="3:62" hidden="1" outlineLevel="1">
      <c r="C335" s="1083" t="s">
        <v>711</v>
      </c>
      <c r="D335" s="1062" t="s">
        <v>712</v>
      </c>
      <c r="E335" s="1083" t="s">
        <v>713</v>
      </c>
      <c r="F335" s="1095" t="s">
        <v>414</v>
      </c>
      <c r="G335" s="1096">
        <f t="shared" si="37"/>
        <v>0</v>
      </c>
      <c r="H335" s="1083" t="s">
        <v>29</v>
      </c>
      <c r="I335" s="1097">
        <v>0</v>
      </c>
      <c r="J335" s="1098">
        <f t="shared" si="38"/>
        <v>0</v>
      </c>
      <c r="K335" s="153">
        <f t="shared" si="39"/>
        <v>0</v>
      </c>
      <c r="L335" s="1099"/>
      <c r="M335" s="1100">
        <v>0</v>
      </c>
      <c r="N335" s="1101">
        <f>IF($BF335=0,0,IF(SUM($M335:M335)&lt;($J335-12),12,$J335-SUM($M335:M335)))</f>
        <v>0</v>
      </c>
      <c r="O335" s="1101">
        <f>IF($BF335=0,0,IF(SUM($M335:N335)&lt;($J335-12),12,$J335-SUM($M335:N335)))</f>
        <v>0</v>
      </c>
      <c r="P335" s="1101">
        <f>IF($BF335=0,0,IF(SUM($M335:O335)&lt;($J335-12),12,$J335-SUM($M335:O335)))</f>
        <v>0</v>
      </c>
      <c r="Q335" s="1101">
        <f>IF($BF335=0,0,IF(SUM($M335:P335)&lt;($J335-12),12,$J335-SUM($M335:P335)))</f>
        <v>0</v>
      </c>
      <c r="S335" s="1100"/>
      <c r="T335" s="1100">
        <v>0</v>
      </c>
      <c r="U335" s="1101">
        <f>IF($BG335=0,0,IF(SUM($S335:T335)&lt;($J335-12),12,$J335-SUM($S335:T335)))</f>
        <v>0</v>
      </c>
      <c r="V335" s="1101">
        <f>IF($BG335=0,0,IF(SUM($S335:U335)&lt;($J335-12),12,$J335-SUM($S335:U335)))</f>
        <v>0</v>
      </c>
      <c r="W335" s="1101">
        <f>IF($BG335=0,0,IF(SUM($S335:V335)&lt;($J335-12),12,$J335-SUM($S335:V335)))</f>
        <v>0</v>
      </c>
      <c r="Y335" s="1100"/>
      <c r="Z335" s="1100"/>
      <c r="AA335" s="1100">
        <v>0</v>
      </c>
      <c r="AB335" s="1101">
        <f>IF($BH335=0,0,IF(SUM($Y335:AA335)&lt;($J335-12),12,$J335-SUM($Y335:AA335)))</f>
        <v>0</v>
      </c>
      <c r="AC335" s="1101">
        <f>IF($BH335=0,0,IF(SUM($Y335:AB335)&lt;($J335-12),12,$J335-SUM($Y335:AB335)))</f>
        <v>0</v>
      </c>
      <c r="AE335" s="1100"/>
      <c r="AF335" s="1100"/>
      <c r="AG335" s="1100"/>
      <c r="AH335" s="1100">
        <v>0</v>
      </c>
      <c r="AI335" s="1101">
        <f>IF($BI335=0,0,IF(SUM($AE335:AH335)&lt;($J335-12),12,$J335-SUM($AE335:AH335)))</f>
        <v>0</v>
      </c>
      <c r="AK335" s="1100"/>
      <c r="AL335" s="1100"/>
      <c r="AM335" s="1100"/>
      <c r="AN335" s="1100"/>
      <c r="AO335" s="1100">
        <v>0</v>
      </c>
      <c r="AQ335" s="153">
        <f t="shared" si="40"/>
        <v>0</v>
      </c>
      <c r="AR335" s="153">
        <f t="shared" si="41"/>
        <v>0</v>
      </c>
      <c r="AS335" s="153">
        <f t="shared" si="42"/>
        <v>0</v>
      </c>
      <c r="AT335" s="153">
        <f t="shared" si="43"/>
        <v>0</v>
      </c>
      <c r="AU335" s="153">
        <f t="shared" si="44"/>
        <v>0</v>
      </c>
      <c r="AW335" s="1543">
        <v>0</v>
      </c>
      <c r="AX335" s="1102"/>
      <c r="AY335" s="1544">
        <v>0</v>
      </c>
      <c r="BA335" s="1103">
        <v>0</v>
      </c>
      <c r="BB335" s="1103">
        <v>0</v>
      </c>
      <c r="BC335" s="1103">
        <v>0</v>
      </c>
      <c r="BD335" s="1103">
        <v>0</v>
      </c>
      <c r="BE335" s="1103">
        <v>0</v>
      </c>
      <c r="BF335" s="1103">
        <v>0</v>
      </c>
      <c r="BG335" s="1103">
        <v>0</v>
      </c>
      <c r="BH335" s="1103">
        <v>0</v>
      </c>
      <c r="BI335" s="1103">
        <v>0</v>
      </c>
      <c r="BJ335" s="1103">
        <v>0</v>
      </c>
    </row>
    <row r="336" spans="3:62" hidden="1" outlineLevel="1">
      <c r="C336" s="1083" t="s">
        <v>714</v>
      </c>
      <c r="D336" s="1062" t="s">
        <v>712</v>
      </c>
      <c r="E336" s="1083" t="s">
        <v>715</v>
      </c>
      <c r="F336" s="1095" t="s">
        <v>414</v>
      </c>
      <c r="G336" s="1096">
        <f t="shared" si="37"/>
        <v>37.912599999999948</v>
      </c>
      <c r="H336" s="1083" t="s">
        <v>29</v>
      </c>
      <c r="I336" s="1097">
        <v>8</v>
      </c>
      <c r="J336" s="1098">
        <f t="shared" si="38"/>
        <v>96</v>
      </c>
      <c r="K336" s="153">
        <f t="shared" si="39"/>
        <v>0.125</v>
      </c>
      <c r="L336" s="1099"/>
      <c r="M336" s="1100">
        <v>0</v>
      </c>
      <c r="N336" s="1101">
        <f>IF($BF336=0,0,IF(SUM($M336:M336)&lt;($J336-12),12,$J336-SUM($M336:M336)))</f>
        <v>0</v>
      </c>
      <c r="O336" s="1101">
        <f>IF($BF336=0,0,IF(SUM($M336:N336)&lt;($J336-12),12,$J336-SUM($M336:N336)))</f>
        <v>0</v>
      </c>
      <c r="P336" s="1101">
        <f>IF($BF336=0,0,IF(SUM($M336:O336)&lt;($J336-12),12,$J336-SUM($M336:O336)))</f>
        <v>0</v>
      </c>
      <c r="Q336" s="1101">
        <f>IF($BF336=0,0,IF(SUM($M336:P336)&lt;($J336-12),12,$J336-SUM($M336:P336)))</f>
        <v>0</v>
      </c>
      <c r="S336" s="1100"/>
      <c r="T336" s="1100">
        <v>3</v>
      </c>
      <c r="U336" s="1101">
        <f>IF($BG336=0,0,IF(SUM($S336:T336)&lt;($J336-12),12,$J336-SUM($S336:T336)))</f>
        <v>12</v>
      </c>
      <c r="V336" s="1101">
        <f>IF($BG336=0,0,IF(SUM($S336:U336)&lt;($J336-12),12,$J336-SUM($S336:U336)))</f>
        <v>12</v>
      </c>
      <c r="W336" s="1101">
        <f>IF($BG336=0,0,IF(SUM($S336:V336)&lt;($J336-12),12,$J336-SUM($S336:V336)))</f>
        <v>12</v>
      </c>
      <c r="Y336" s="1100"/>
      <c r="Z336" s="1100"/>
      <c r="AA336" s="1100">
        <v>0</v>
      </c>
      <c r="AB336" s="1101">
        <f>IF($BH336=0,0,IF(SUM($Y336:AA336)&lt;($J336-12),12,$J336-SUM($Y336:AA336)))</f>
        <v>0</v>
      </c>
      <c r="AC336" s="1101">
        <f>IF($BH336=0,0,IF(SUM($Y336:AB336)&lt;($J336-12),12,$J336-SUM($Y336:AB336)))</f>
        <v>0</v>
      </c>
      <c r="AE336" s="1100"/>
      <c r="AF336" s="1100"/>
      <c r="AG336" s="1100"/>
      <c r="AH336" s="1100">
        <v>0</v>
      </c>
      <c r="AI336" s="1101">
        <f>IF($BI336=0,0,IF(SUM($AE336:AH336)&lt;($J336-12),12,$J336-SUM($AE336:AH336)))</f>
        <v>0</v>
      </c>
      <c r="AK336" s="1100"/>
      <c r="AL336" s="1100"/>
      <c r="AM336" s="1100"/>
      <c r="AN336" s="1100"/>
      <c r="AO336" s="1100">
        <v>0</v>
      </c>
      <c r="AQ336" s="153">
        <f t="shared" si="40"/>
        <v>0</v>
      </c>
      <c r="AR336" s="153">
        <f t="shared" si="41"/>
        <v>0.25</v>
      </c>
      <c r="AS336" s="153">
        <f t="shared" si="42"/>
        <v>0</v>
      </c>
      <c r="AT336" s="153">
        <f t="shared" si="43"/>
        <v>0</v>
      </c>
      <c r="AU336" s="153">
        <f t="shared" si="44"/>
        <v>0</v>
      </c>
      <c r="AW336" s="1543">
        <v>0</v>
      </c>
      <c r="AX336" s="1102"/>
      <c r="AY336" s="1544">
        <v>1</v>
      </c>
      <c r="BA336" s="1103">
        <v>0</v>
      </c>
      <c r="BB336" s="1103">
        <v>0</v>
      </c>
      <c r="BC336" s="1103">
        <v>0</v>
      </c>
      <c r="BD336" s="1103">
        <v>0</v>
      </c>
      <c r="BE336" s="1103">
        <v>0</v>
      </c>
      <c r="BF336" s="1103">
        <v>0</v>
      </c>
      <c r="BG336" s="1103">
        <v>37.912599999999948</v>
      </c>
      <c r="BH336" s="1103">
        <v>0</v>
      </c>
      <c r="BI336" s="1103">
        <v>0</v>
      </c>
      <c r="BJ336" s="1103">
        <v>0</v>
      </c>
    </row>
    <row r="337" spans="2:62" hidden="1" outlineLevel="1">
      <c r="C337" s="1083" t="s">
        <v>716</v>
      </c>
      <c r="D337" s="1062" t="s">
        <v>712</v>
      </c>
      <c r="E337" s="1083" t="s">
        <v>715</v>
      </c>
      <c r="F337" s="1095" t="s">
        <v>414</v>
      </c>
      <c r="G337" s="1096">
        <f t="shared" si="37"/>
        <v>0</v>
      </c>
      <c r="H337" s="1083" t="s">
        <v>29</v>
      </c>
      <c r="I337" s="1097">
        <v>8</v>
      </c>
      <c r="J337" s="1098">
        <f t="shared" si="38"/>
        <v>96</v>
      </c>
      <c r="K337" s="153">
        <f t="shared" si="39"/>
        <v>0.125</v>
      </c>
      <c r="L337" s="1099"/>
      <c r="M337" s="1100">
        <v>0</v>
      </c>
      <c r="N337" s="1101">
        <f>IF($BF337=0,0,IF(SUM($M337:M337)&lt;($J337-12),12,$J337-SUM($M337:M337)))</f>
        <v>0</v>
      </c>
      <c r="O337" s="1101">
        <f>IF($BF337=0,0,IF(SUM($M337:N337)&lt;($J337-12),12,$J337-SUM($M337:N337)))</f>
        <v>0</v>
      </c>
      <c r="P337" s="1101">
        <f>IF($BF337=0,0,IF(SUM($M337:O337)&lt;($J337-12),12,$J337-SUM($M337:O337)))</f>
        <v>0</v>
      </c>
      <c r="Q337" s="1101">
        <f>IF($BF337=0,0,IF(SUM($M337:P337)&lt;($J337-12),12,$J337-SUM($M337:P337)))</f>
        <v>0</v>
      </c>
      <c r="S337" s="1100"/>
      <c r="T337" s="1100">
        <v>0</v>
      </c>
      <c r="U337" s="1101">
        <f>IF($BG337=0,0,IF(SUM($S337:T337)&lt;($J337-12),12,$J337-SUM($S337:T337)))</f>
        <v>0</v>
      </c>
      <c r="V337" s="1101">
        <f>IF($BG337=0,0,IF(SUM($S337:U337)&lt;($J337-12),12,$J337-SUM($S337:U337)))</f>
        <v>0</v>
      </c>
      <c r="W337" s="1101">
        <f>IF($BG337=0,0,IF(SUM($S337:V337)&lt;($J337-12),12,$J337-SUM($S337:V337)))</f>
        <v>0</v>
      </c>
      <c r="Y337" s="1100"/>
      <c r="Z337" s="1100"/>
      <c r="AA337" s="1100">
        <v>0</v>
      </c>
      <c r="AB337" s="1101">
        <f>IF($BH337=0,0,IF(SUM($Y337:AA337)&lt;($J337-12),12,$J337-SUM($Y337:AA337)))</f>
        <v>0</v>
      </c>
      <c r="AC337" s="1101">
        <f>IF($BH337=0,0,IF(SUM($Y337:AB337)&lt;($J337-12),12,$J337-SUM($Y337:AB337)))</f>
        <v>0</v>
      </c>
      <c r="AE337" s="1100"/>
      <c r="AF337" s="1100"/>
      <c r="AG337" s="1100"/>
      <c r="AH337" s="1100">
        <v>0</v>
      </c>
      <c r="AI337" s="1101">
        <f>IF($BI337=0,0,IF(SUM($AE337:AH337)&lt;($J337-12),12,$J337-SUM($AE337:AH337)))</f>
        <v>0</v>
      </c>
      <c r="AK337" s="1100"/>
      <c r="AL337" s="1100"/>
      <c r="AM337" s="1100"/>
      <c r="AN337" s="1100"/>
      <c r="AO337" s="1100">
        <v>0</v>
      </c>
      <c r="AQ337" s="153">
        <f t="shared" si="40"/>
        <v>0</v>
      </c>
      <c r="AR337" s="153">
        <f t="shared" si="41"/>
        <v>0</v>
      </c>
      <c r="AS337" s="153">
        <f t="shared" si="42"/>
        <v>0</v>
      </c>
      <c r="AT337" s="153">
        <f t="shared" si="43"/>
        <v>0</v>
      </c>
      <c r="AU337" s="153">
        <f t="shared" si="44"/>
        <v>0</v>
      </c>
      <c r="AW337" s="1543">
        <v>0</v>
      </c>
      <c r="AX337" s="1102"/>
      <c r="AY337" s="1544">
        <v>1</v>
      </c>
      <c r="BA337" s="1103">
        <v>0</v>
      </c>
      <c r="BB337" s="1103">
        <v>0</v>
      </c>
      <c r="BC337" s="1103">
        <v>0</v>
      </c>
      <c r="BD337" s="1103">
        <v>0</v>
      </c>
      <c r="BE337" s="1103">
        <v>0</v>
      </c>
      <c r="BF337" s="1103">
        <v>0</v>
      </c>
      <c r="BG337" s="1103">
        <v>0</v>
      </c>
      <c r="BH337" s="1103">
        <v>0</v>
      </c>
      <c r="BI337" s="1103">
        <v>0</v>
      </c>
      <c r="BJ337" s="1103">
        <v>0</v>
      </c>
    </row>
    <row r="338" spans="2:62" hidden="1" outlineLevel="1">
      <c r="C338" s="1083" t="s">
        <v>717</v>
      </c>
      <c r="D338" s="1062" t="s">
        <v>712</v>
      </c>
      <c r="E338" s="1083" t="s">
        <v>715</v>
      </c>
      <c r="F338" s="1095" t="s">
        <v>414</v>
      </c>
      <c r="G338" s="1096">
        <f t="shared" si="37"/>
        <v>35</v>
      </c>
      <c r="H338" s="1083" t="s">
        <v>29</v>
      </c>
      <c r="I338" s="1097">
        <v>8</v>
      </c>
      <c r="J338" s="1098">
        <f t="shared" si="38"/>
        <v>96</v>
      </c>
      <c r="K338" s="153">
        <f t="shared" si="39"/>
        <v>0.125</v>
      </c>
      <c r="L338" s="1099"/>
      <c r="M338" s="1100">
        <v>0</v>
      </c>
      <c r="N338" s="1101">
        <f>IF($BF338=0,0,IF(SUM($M338:M338)&lt;($J338-12),12,$J338-SUM($M338:M338)))</f>
        <v>0</v>
      </c>
      <c r="O338" s="1101">
        <f>IF($BF338=0,0,IF(SUM($M338:N338)&lt;($J338-12),12,$J338-SUM($M338:N338)))</f>
        <v>0</v>
      </c>
      <c r="P338" s="1101">
        <f>IF($BF338=0,0,IF(SUM($M338:O338)&lt;($J338-12),12,$J338-SUM($M338:O338)))</f>
        <v>0</v>
      </c>
      <c r="Q338" s="1101">
        <f>IF($BF338=0,0,IF(SUM($M338:P338)&lt;($J338-12),12,$J338-SUM($M338:P338)))</f>
        <v>0</v>
      </c>
      <c r="S338" s="1100"/>
      <c r="T338" s="1100">
        <v>0</v>
      </c>
      <c r="U338" s="1101">
        <f>IF($BG338=0,0,IF(SUM($S338:T338)&lt;($J338-12),12,$J338-SUM($S338:T338)))</f>
        <v>0</v>
      </c>
      <c r="V338" s="1101">
        <f>IF($BG338=0,0,IF(SUM($S338:U338)&lt;($J338-12),12,$J338-SUM($S338:U338)))</f>
        <v>0</v>
      </c>
      <c r="W338" s="1101">
        <f>IF($BG338=0,0,IF(SUM($S338:V338)&lt;($J338-12),12,$J338-SUM($S338:V338)))</f>
        <v>0</v>
      </c>
      <c r="Y338" s="1100"/>
      <c r="Z338" s="1100"/>
      <c r="AA338" s="1100">
        <v>3</v>
      </c>
      <c r="AB338" s="1101">
        <f>IF($BH338=0,0,IF(SUM($Y338:AA338)&lt;($J338-12),12,$J338-SUM($Y338:AA338)))</f>
        <v>12</v>
      </c>
      <c r="AC338" s="1101">
        <f>IF($BH338=0,0,IF(SUM($Y338:AB338)&lt;($J338-12),12,$J338-SUM($Y338:AB338)))</f>
        <v>12</v>
      </c>
      <c r="AE338" s="1100"/>
      <c r="AF338" s="1100"/>
      <c r="AG338" s="1100"/>
      <c r="AH338" s="1100">
        <v>0</v>
      </c>
      <c r="AI338" s="1101">
        <f>IF($BI338=0,0,IF(SUM($AE338:AH338)&lt;($J338-12),12,$J338-SUM($AE338:AH338)))</f>
        <v>0</v>
      </c>
      <c r="AK338" s="1100"/>
      <c r="AL338" s="1100"/>
      <c r="AM338" s="1100"/>
      <c r="AN338" s="1100"/>
      <c r="AO338" s="1100">
        <v>0</v>
      </c>
      <c r="AQ338" s="153">
        <f t="shared" si="40"/>
        <v>0</v>
      </c>
      <c r="AR338" s="153">
        <f t="shared" si="41"/>
        <v>0</v>
      </c>
      <c r="AS338" s="153">
        <f t="shared" si="42"/>
        <v>0.25</v>
      </c>
      <c r="AT338" s="153">
        <f t="shared" si="43"/>
        <v>0</v>
      </c>
      <c r="AU338" s="153">
        <f t="shared" si="44"/>
        <v>0</v>
      </c>
      <c r="AW338" s="1543">
        <v>0</v>
      </c>
      <c r="AX338" s="1102"/>
      <c r="AY338" s="1544">
        <v>1</v>
      </c>
      <c r="BA338" s="1103">
        <v>0</v>
      </c>
      <c r="BB338" s="1103">
        <v>0</v>
      </c>
      <c r="BC338" s="1103">
        <v>0</v>
      </c>
      <c r="BD338" s="1103">
        <v>0</v>
      </c>
      <c r="BE338" s="1103">
        <v>0</v>
      </c>
      <c r="BF338" s="1103">
        <v>0</v>
      </c>
      <c r="BG338" s="1103">
        <v>0</v>
      </c>
      <c r="BH338" s="1103">
        <v>35</v>
      </c>
      <c r="BI338" s="1103">
        <v>0</v>
      </c>
      <c r="BJ338" s="1103">
        <v>0</v>
      </c>
    </row>
    <row r="339" spans="2:62" hidden="1" outlineLevel="1">
      <c r="C339" s="1083" t="s">
        <v>718</v>
      </c>
      <c r="D339" s="1062" t="s">
        <v>718</v>
      </c>
      <c r="E339" s="1083" t="s">
        <v>719</v>
      </c>
      <c r="F339" s="1095" t="s">
        <v>414</v>
      </c>
      <c r="G339" s="1096">
        <f t="shared" si="37"/>
        <v>35</v>
      </c>
      <c r="H339" s="1083" t="s">
        <v>29</v>
      </c>
      <c r="I339" s="1097">
        <v>5</v>
      </c>
      <c r="J339" s="1098">
        <f t="shared" si="38"/>
        <v>60</v>
      </c>
      <c r="K339" s="153">
        <f t="shared" si="39"/>
        <v>0.2</v>
      </c>
      <c r="L339" s="1099"/>
      <c r="M339" s="1100">
        <v>0</v>
      </c>
      <c r="N339" s="1101">
        <f>IF($BF339=0,0,IF(SUM($M339:M339)&lt;($J339-12),12,$J339-SUM($M339:M339)))</f>
        <v>0</v>
      </c>
      <c r="O339" s="1101">
        <f>IF($BF339=0,0,IF(SUM($M339:N339)&lt;($J339-12),12,$J339-SUM($M339:N339)))</f>
        <v>0</v>
      </c>
      <c r="P339" s="1101">
        <f>IF($BF339=0,0,IF(SUM($M339:O339)&lt;($J339-12),12,$J339-SUM($M339:O339)))</f>
        <v>0</v>
      </c>
      <c r="Q339" s="1101">
        <f>IF($BF339=0,0,IF(SUM($M339:P339)&lt;($J339-12),12,$J339-SUM($M339:P339)))</f>
        <v>0</v>
      </c>
      <c r="S339" s="1100"/>
      <c r="T339" s="1100">
        <v>4.5</v>
      </c>
      <c r="U339" s="1101">
        <f>IF($BG339=0,0,IF(SUM($S339:T339)&lt;($J339-12),12,$J339-SUM($S339:T339)))</f>
        <v>12</v>
      </c>
      <c r="V339" s="1101">
        <f>IF($BG339=0,0,IF(SUM($S339:U339)&lt;($J339-12),12,$J339-SUM($S339:U339)))</f>
        <v>12</v>
      </c>
      <c r="W339" s="1101">
        <f>IF($BG339=0,0,IF(SUM($S339:V339)&lt;($J339-12),12,$J339-SUM($S339:V339)))</f>
        <v>12</v>
      </c>
      <c r="Y339" s="1100"/>
      <c r="Z339" s="1100"/>
      <c r="AA339" s="1100">
        <v>12</v>
      </c>
      <c r="AB339" s="1101">
        <f>IF($BH339=0,0,IF(SUM($Y339:AA339)&lt;($J339-12),12,$J339-SUM($Y339:AA339)))</f>
        <v>12</v>
      </c>
      <c r="AC339" s="1101">
        <f>IF($BH339=0,0,IF(SUM($Y339:AB339)&lt;($J339-12),12,$J339-SUM($Y339:AB339)))</f>
        <v>12</v>
      </c>
      <c r="AE339" s="1100"/>
      <c r="AF339" s="1100"/>
      <c r="AG339" s="1100"/>
      <c r="AH339" s="1100">
        <v>0</v>
      </c>
      <c r="AI339" s="1101">
        <f>IF($BI339=0,0,IF(SUM($AE339:AH339)&lt;($J339-12),12,$J339-SUM($AE339:AH339)))</f>
        <v>0</v>
      </c>
      <c r="AK339" s="1100"/>
      <c r="AL339" s="1100"/>
      <c r="AM339" s="1100"/>
      <c r="AN339" s="1100"/>
      <c r="AO339" s="1100">
        <v>0</v>
      </c>
      <c r="AQ339" s="153">
        <f t="shared" si="40"/>
        <v>0</v>
      </c>
      <c r="AR339" s="153">
        <f t="shared" si="41"/>
        <v>0.375</v>
      </c>
      <c r="AS339" s="153">
        <f t="shared" si="42"/>
        <v>1</v>
      </c>
      <c r="AT339" s="153">
        <f t="shared" si="43"/>
        <v>0</v>
      </c>
      <c r="AU339" s="153">
        <f t="shared" si="44"/>
        <v>0</v>
      </c>
      <c r="AW339" s="1543">
        <v>0.73</v>
      </c>
      <c r="AX339" s="1102"/>
      <c r="AY339" s="1544">
        <v>0.15</v>
      </c>
      <c r="BA339" s="1103">
        <v>0</v>
      </c>
      <c r="BB339" s="1103">
        <v>0</v>
      </c>
      <c r="BC339" s="1103">
        <v>0</v>
      </c>
      <c r="BD339" s="1103">
        <v>0</v>
      </c>
      <c r="BE339" s="1103">
        <v>0</v>
      </c>
      <c r="BF339" s="1103">
        <v>0</v>
      </c>
      <c r="BG339" s="1103">
        <v>23.333333333333332</v>
      </c>
      <c r="BH339" s="1103">
        <v>11.666666666666666</v>
      </c>
      <c r="BI339" s="1103">
        <v>0</v>
      </c>
      <c r="BJ339" s="1103">
        <v>0</v>
      </c>
    </row>
    <row r="340" spans="2:62" hidden="1" outlineLevel="1">
      <c r="C340" s="1083" t="s">
        <v>720</v>
      </c>
      <c r="D340" s="1062" t="s">
        <v>720</v>
      </c>
      <c r="E340" s="1083" t="s">
        <v>721</v>
      </c>
      <c r="F340" s="1095" t="s">
        <v>414</v>
      </c>
      <c r="G340" s="1096">
        <f t="shared" si="37"/>
        <v>27.513000000000002</v>
      </c>
      <c r="H340" s="1083" t="s">
        <v>29</v>
      </c>
      <c r="I340" s="1097">
        <v>8</v>
      </c>
      <c r="J340" s="1098">
        <f t="shared" si="38"/>
        <v>96</v>
      </c>
      <c r="K340" s="153">
        <f t="shared" si="39"/>
        <v>0.125</v>
      </c>
      <c r="L340" s="1099"/>
      <c r="M340" s="1100">
        <v>0</v>
      </c>
      <c r="N340" s="1101">
        <f>IF($BF340=0,0,IF(SUM($M340:M340)&lt;($J340-12),12,$J340-SUM($M340:M340)))</f>
        <v>0</v>
      </c>
      <c r="O340" s="1101">
        <f>IF($BF340=0,0,IF(SUM($M340:N340)&lt;($J340-12),12,$J340-SUM($M340:N340)))</f>
        <v>0</v>
      </c>
      <c r="P340" s="1101">
        <f>IF($BF340=0,0,IF(SUM($M340:O340)&lt;($J340-12),12,$J340-SUM($M340:O340)))</f>
        <v>0</v>
      </c>
      <c r="Q340" s="1101">
        <f>IF($BF340=0,0,IF(SUM($M340:P340)&lt;($J340-12),12,$J340-SUM($M340:P340)))</f>
        <v>0</v>
      </c>
      <c r="S340" s="1100"/>
      <c r="T340" s="1100">
        <v>0</v>
      </c>
      <c r="U340" s="1101">
        <f>IF($BG340=0,0,IF(SUM($S340:T340)&lt;($J340-12),12,$J340-SUM($S340:T340)))</f>
        <v>0</v>
      </c>
      <c r="V340" s="1101">
        <f>IF($BG340=0,0,IF(SUM($S340:U340)&lt;($J340-12),12,$J340-SUM($S340:U340)))</f>
        <v>0</v>
      </c>
      <c r="W340" s="1101">
        <f>IF($BG340=0,0,IF(SUM($S340:V340)&lt;($J340-12),12,$J340-SUM($S340:V340)))</f>
        <v>0</v>
      </c>
      <c r="Y340" s="1100"/>
      <c r="Z340" s="1100"/>
      <c r="AA340" s="1100">
        <v>12</v>
      </c>
      <c r="AB340" s="1101">
        <f>IF($BH340=0,0,IF(SUM($Y340:AA340)&lt;($J340-12),12,$J340-SUM($Y340:AA340)))</f>
        <v>12</v>
      </c>
      <c r="AC340" s="1101">
        <f>IF($BH340=0,0,IF(SUM($Y340:AB340)&lt;($J340-12),12,$J340-SUM($Y340:AB340)))</f>
        <v>12</v>
      </c>
      <c r="AE340" s="1100"/>
      <c r="AF340" s="1100"/>
      <c r="AG340" s="1100"/>
      <c r="AH340" s="1100">
        <v>0</v>
      </c>
      <c r="AI340" s="1101">
        <f>IF($BI340=0,0,IF(SUM($AE340:AH340)&lt;($J340-12),12,$J340-SUM($AE340:AH340)))</f>
        <v>0</v>
      </c>
      <c r="AK340" s="1100"/>
      <c r="AL340" s="1100"/>
      <c r="AM340" s="1100"/>
      <c r="AN340" s="1100"/>
      <c r="AO340" s="1100">
        <v>0</v>
      </c>
      <c r="AQ340" s="153">
        <f t="shared" si="40"/>
        <v>0</v>
      </c>
      <c r="AR340" s="153">
        <f t="shared" si="41"/>
        <v>0</v>
      </c>
      <c r="AS340" s="153">
        <f t="shared" si="42"/>
        <v>1</v>
      </c>
      <c r="AT340" s="153">
        <f t="shared" si="43"/>
        <v>0</v>
      </c>
      <c r="AU340" s="153">
        <f t="shared" si="44"/>
        <v>0</v>
      </c>
      <c r="AW340" s="1543">
        <v>0.75</v>
      </c>
      <c r="AX340" s="1102"/>
      <c r="AY340" s="1544">
        <v>0.25</v>
      </c>
      <c r="BA340" s="1103">
        <v>0</v>
      </c>
      <c r="BB340" s="1103">
        <v>0</v>
      </c>
      <c r="BC340" s="1103">
        <v>0</v>
      </c>
      <c r="BD340" s="1103">
        <v>0</v>
      </c>
      <c r="BE340" s="1103">
        <v>0</v>
      </c>
      <c r="BF340" s="1103">
        <v>0</v>
      </c>
      <c r="BG340" s="1103">
        <v>0</v>
      </c>
      <c r="BH340" s="1103">
        <v>27.513000000000002</v>
      </c>
      <c r="BI340" s="1103">
        <v>0</v>
      </c>
      <c r="BJ340" s="1103">
        <v>0</v>
      </c>
    </row>
    <row r="341" spans="2:62" hidden="1" outlineLevel="1">
      <c r="C341" s="1083" t="s">
        <v>722</v>
      </c>
      <c r="D341" s="1062" t="s">
        <v>722</v>
      </c>
      <c r="E341" s="1083" t="s">
        <v>723</v>
      </c>
      <c r="F341" s="1095" t="s">
        <v>414</v>
      </c>
      <c r="G341" s="1096">
        <f t="shared" si="37"/>
        <v>25</v>
      </c>
      <c r="H341" s="1083" t="s">
        <v>29</v>
      </c>
      <c r="I341" s="1097">
        <v>8</v>
      </c>
      <c r="J341" s="1098">
        <f t="shared" si="38"/>
        <v>96</v>
      </c>
      <c r="K341" s="153">
        <f t="shared" si="39"/>
        <v>0.125</v>
      </c>
      <c r="L341" s="1099"/>
      <c r="M341" s="1100">
        <v>0</v>
      </c>
      <c r="N341" s="1101">
        <f>IF($BF341=0,0,IF(SUM($M341:M341)&lt;($J341-12),12,$J341-SUM($M341:M341)))</f>
        <v>0</v>
      </c>
      <c r="O341" s="1101">
        <f>IF($BF341=0,0,IF(SUM($M341:N341)&lt;($J341-12),12,$J341-SUM($M341:N341)))</f>
        <v>0</v>
      </c>
      <c r="P341" s="1101">
        <f>IF($BF341=0,0,IF(SUM($M341:O341)&lt;($J341-12),12,$J341-SUM($M341:O341)))</f>
        <v>0</v>
      </c>
      <c r="Q341" s="1101">
        <f>IF($BF341=0,0,IF(SUM($M341:P341)&lt;($J341-12),12,$J341-SUM($M341:P341)))</f>
        <v>0</v>
      </c>
      <c r="S341" s="1100"/>
      <c r="T341" s="1100">
        <v>0</v>
      </c>
      <c r="U341" s="1101">
        <f>IF($BG341=0,0,IF(SUM($S341:T341)&lt;($J341-12),12,$J341-SUM($S341:T341)))</f>
        <v>0</v>
      </c>
      <c r="V341" s="1101">
        <f>IF($BG341=0,0,IF(SUM($S341:U341)&lt;($J341-12),12,$J341-SUM($S341:U341)))</f>
        <v>0</v>
      </c>
      <c r="W341" s="1101">
        <f>IF($BG341=0,0,IF(SUM($S341:V341)&lt;($J341-12),12,$J341-SUM($S341:V341)))</f>
        <v>0</v>
      </c>
      <c r="Y341" s="1100"/>
      <c r="Z341" s="1100"/>
      <c r="AA341" s="1100">
        <v>6</v>
      </c>
      <c r="AB341" s="1101">
        <f>IF($BH341=0,0,IF(SUM($Y341:AA341)&lt;($J341-12),12,$J341-SUM($Y341:AA341)))</f>
        <v>12</v>
      </c>
      <c r="AC341" s="1101">
        <f>IF($BH341=0,0,IF(SUM($Y341:AB341)&lt;($J341-12),12,$J341-SUM($Y341:AB341)))</f>
        <v>12</v>
      </c>
      <c r="AE341" s="1100"/>
      <c r="AF341" s="1100"/>
      <c r="AG341" s="1100"/>
      <c r="AH341" s="1100">
        <v>0</v>
      </c>
      <c r="AI341" s="1101">
        <f>IF($BI341=0,0,IF(SUM($AE341:AH341)&lt;($J341-12),12,$J341-SUM($AE341:AH341)))</f>
        <v>0</v>
      </c>
      <c r="AK341" s="1100"/>
      <c r="AL341" s="1100"/>
      <c r="AM341" s="1100"/>
      <c r="AN341" s="1100"/>
      <c r="AO341" s="1100">
        <v>0</v>
      </c>
      <c r="AQ341" s="153">
        <f t="shared" si="40"/>
        <v>0</v>
      </c>
      <c r="AR341" s="153">
        <f t="shared" si="41"/>
        <v>0</v>
      </c>
      <c r="AS341" s="153">
        <f t="shared" si="42"/>
        <v>0.5</v>
      </c>
      <c r="AT341" s="153">
        <f t="shared" si="43"/>
        <v>0</v>
      </c>
      <c r="AU341" s="153">
        <f t="shared" si="44"/>
        <v>0</v>
      </c>
      <c r="AW341" s="1543">
        <v>1</v>
      </c>
      <c r="AX341" s="1102"/>
      <c r="AY341" s="1544">
        <v>0</v>
      </c>
      <c r="BA341" s="1103">
        <v>0</v>
      </c>
      <c r="BB341" s="1103">
        <v>0</v>
      </c>
      <c r="BC341" s="1103">
        <v>0</v>
      </c>
      <c r="BD341" s="1103">
        <v>0</v>
      </c>
      <c r="BE341" s="1103">
        <v>0</v>
      </c>
      <c r="BF341" s="1103">
        <v>0</v>
      </c>
      <c r="BG341" s="1103">
        <v>0</v>
      </c>
      <c r="BH341" s="1103">
        <v>25</v>
      </c>
      <c r="BI341" s="1103">
        <v>0</v>
      </c>
      <c r="BJ341" s="1103">
        <v>0</v>
      </c>
    </row>
    <row r="342" spans="2:62" hidden="1" outlineLevel="1">
      <c r="C342" s="1083" t="s">
        <v>724</v>
      </c>
      <c r="D342" s="1062" t="s">
        <v>724</v>
      </c>
      <c r="E342" s="1083" t="s">
        <v>725</v>
      </c>
      <c r="F342" s="1095" t="s">
        <v>414</v>
      </c>
      <c r="G342" s="1096">
        <f t="shared" si="37"/>
        <v>23.187999999999999</v>
      </c>
      <c r="H342" s="1083" t="s">
        <v>29</v>
      </c>
      <c r="I342" s="1097">
        <v>3</v>
      </c>
      <c r="J342" s="1098">
        <f t="shared" si="38"/>
        <v>36</v>
      </c>
      <c r="K342" s="153">
        <f t="shared" si="39"/>
        <v>0.33333333333333331</v>
      </c>
      <c r="L342" s="1099"/>
      <c r="M342" s="1100">
        <v>0</v>
      </c>
      <c r="N342" s="1101">
        <f>IF($BF342=0,0,IF(SUM($M342:M342)&lt;($J342-12),12,$J342-SUM($M342:M342)))</f>
        <v>0</v>
      </c>
      <c r="O342" s="1101">
        <f>IF($BF342=0,0,IF(SUM($M342:N342)&lt;($J342-12),12,$J342-SUM($M342:N342)))</f>
        <v>0</v>
      </c>
      <c r="P342" s="1101">
        <f>IF($BF342=0,0,IF(SUM($M342:O342)&lt;($J342-12),12,$J342-SUM($M342:O342)))</f>
        <v>0</v>
      </c>
      <c r="Q342" s="1101">
        <f>IF($BF342=0,0,IF(SUM($M342:P342)&lt;($J342-12),12,$J342-SUM($M342:P342)))</f>
        <v>0</v>
      </c>
      <c r="S342" s="1100"/>
      <c r="T342" s="1100">
        <v>0</v>
      </c>
      <c r="U342" s="1101">
        <f>IF($BG342=0,0,IF(SUM($S342:T342)&lt;($J342-12),12,$J342-SUM($S342:T342)))</f>
        <v>0</v>
      </c>
      <c r="V342" s="1101">
        <f>IF($BG342=0,0,IF(SUM($S342:U342)&lt;($J342-12),12,$J342-SUM($S342:U342)))</f>
        <v>0</v>
      </c>
      <c r="W342" s="1101">
        <f>IF($BG342=0,0,IF(SUM($S342:V342)&lt;($J342-12),12,$J342-SUM($S342:V342)))</f>
        <v>0</v>
      </c>
      <c r="Y342" s="1100"/>
      <c r="Z342" s="1100"/>
      <c r="AA342" s="1100">
        <v>0</v>
      </c>
      <c r="AB342" s="1101">
        <f>IF($BH342=0,0,IF(SUM($Y342:AA342)&lt;($J342-12),12,$J342-SUM($Y342:AA342)))</f>
        <v>0</v>
      </c>
      <c r="AC342" s="1101">
        <f>IF($BH342=0,0,IF(SUM($Y342:AB342)&lt;($J342-12),12,$J342-SUM($Y342:AB342)))</f>
        <v>0</v>
      </c>
      <c r="AE342" s="1100"/>
      <c r="AF342" s="1100"/>
      <c r="AG342" s="1100"/>
      <c r="AH342" s="1100">
        <v>12</v>
      </c>
      <c r="AI342" s="1101">
        <f>IF($BI342=0,0,IF(SUM($AE342:AH342)&lt;($J342-12),12,$J342-SUM($AE342:AH342)))</f>
        <v>12</v>
      </c>
      <c r="AK342" s="1100"/>
      <c r="AL342" s="1100"/>
      <c r="AM342" s="1100"/>
      <c r="AN342" s="1100"/>
      <c r="AO342" s="1100">
        <v>0</v>
      </c>
      <c r="AQ342" s="153">
        <f t="shared" si="40"/>
        <v>0</v>
      </c>
      <c r="AR342" s="153">
        <f t="shared" si="41"/>
        <v>0</v>
      </c>
      <c r="AS342" s="153">
        <f t="shared" si="42"/>
        <v>0</v>
      </c>
      <c r="AT342" s="153">
        <f t="shared" si="43"/>
        <v>1</v>
      </c>
      <c r="AU342" s="153">
        <f t="shared" si="44"/>
        <v>0</v>
      </c>
      <c r="AW342" s="1543">
        <v>0.75</v>
      </c>
      <c r="AX342" s="1102"/>
      <c r="AY342" s="1544">
        <v>0.25</v>
      </c>
      <c r="BA342" s="1103">
        <v>0</v>
      </c>
      <c r="BB342" s="1103">
        <v>0</v>
      </c>
      <c r="BC342" s="1103">
        <v>0</v>
      </c>
      <c r="BD342" s="1103">
        <v>0</v>
      </c>
      <c r="BE342" s="1103">
        <v>0</v>
      </c>
      <c r="BF342" s="1103">
        <v>0</v>
      </c>
      <c r="BG342" s="1103">
        <v>0</v>
      </c>
      <c r="BH342" s="1103">
        <v>0</v>
      </c>
      <c r="BI342" s="1103">
        <v>23.187999999999999</v>
      </c>
      <c r="BJ342" s="1103">
        <v>0</v>
      </c>
    </row>
    <row r="343" spans="2:62" collapsed="1">
      <c r="BA343" s="1084"/>
      <c r="BB343" s="1084"/>
      <c r="BC343" s="1084"/>
      <c r="BD343" s="1084"/>
      <c r="BE343" s="1084"/>
      <c r="BF343" s="1084"/>
      <c r="BG343" s="1084"/>
      <c r="BH343" s="1084"/>
      <c r="BI343" s="1084"/>
      <c r="BJ343" s="1084"/>
    </row>
    <row r="344" spans="2:62">
      <c r="C344" s="1104" t="s">
        <v>12</v>
      </c>
      <c r="H344" s="1104" t="s">
        <v>29</v>
      </c>
      <c r="M344" s="1099"/>
      <c r="O344" s="1099"/>
      <c r="P344" s="1099"/>
      <c r="Q344" s="1099"/>
      <c r="S344" s="1099"/>
      <c r="T344" s="1099"/>
      <c r="V344" s="1099"/>
      <c r="W344" s="1099"/>
      <c r="AA344" s="1099"/>
      <c r="AH344" s="1099"/>
      <c r="AO344" s="1099"/>
      <c r="BA344" s="1105">
        <f t="shared" ref="BA344:BJ344" si="45">SUM(BA45:BA342)</f>
        <v>0</v>
      </c>
      <c r="BB344" s="1105">
        <f t="shared" si="45"/>
        <v>0</v>
      </c>
      <c r="BC344" s="1105">
        <f t="shared" si="45"/>
        <v>0</v>
      </c>
      <c r="BD344" s="1105">
        <f t="shared" si="45"/>
        <v>0</v>
      </c>
      <c r="BE344" s="1105">
        <f t="shared" si="45"/>
        <v>0</v>
      </c>
      <c r="BF344" s="1105">
        <f>SUM(BF45:BF342)</f>
        <v>15298.329229999996</v>
      </c>
      <c r="BG344" s="1105">
        <f t="shared" si="45"/>
        <v>60712.671980770843</v>
      </c>
      <c r="BH344" s="1105">
        <f t="shared" si="45"/>
        <v>38267.360483087497</v>
      </c>
      <c r="BI344" s="1105">
        <f t="shared" si="45"/>
        <v>29888.831654674497</v>
      </c>
      <c r="BJ344" s="1105">
        <f t="shared" si="45"/>
        <v>15665.957779500735</v>
      </c>
    </row>
    <row r="345" spans="2:62">
      <c r="C345" s="1104" t="s">
        <v>726</v>
      </c>
      <c r="H345" s="1104" t="s">
        <v>29</v>
      </c>
      <c r="M345" s="1099"/>
      <c r="O345" s="1099"/>
      <c r="P345" s="1099"/>
      <c r="Q345" s="1099"/>
      <c r="S345" s="1099"/>
      <c r="T345" s="1099"/>
      <c r="V345" s="1099"/>
      <c r="W345" s="1099"/>
      <c r="AA345" s="1099"/>
      <c r="AH345" s="1099"/>
      <c r="AO345" s="1099"/>
      <c r="BA345" s="1105">
        <f t="shared" ref="BA345:BJ345" si="46">SUMPRODUCT(BA45:BA342,AL45:AL342)</f>
        <v>0</v>
      </c>
      <c r="BB345" s="1105">
        <f t="shared" si="46"/>
        <v>0</v>
      </c>
      <c r="BC345" s="1105">
        <f t="shared" si="46"/>
        <v>0</v>
      </c>
      <c r="BD345" s="1105">
        <f t="shared" si="46"/>
        <v>0</v>
      </c>
      <c r="BE345" s="1105">
        <f t="shared" si="46"/>
        <v>0</v>
      </c>
      <c r="BF345" s="1105">
        <f t="shared" si="46"/>
        <v>2018.4365049999976</v>
      </c>
      <c r="BG345" s="1105">
        <f t="shared" si="46"/>
        <v>28489.635300596456</v>
      </c>
      <c r="BH345" s="1105">
        <f t="shared" si="46"/>
        <v>20177.796383940622</v>
      </c>
      <c r="BI345" s="1105">
        <f t="shared" si="46"/>
        <v>16991.744597711699</v>
      </c>
      <c r="BJ345" s="1105">
        <f t="shared" si="46"/>
        <v>8490.0401745007348</v>
      </c>
    </row>
    <row r="346" spans="2:62">
      <c r="BA346" s="1084"/>
      <c r="BB346" s="1084"/>
      <c r="BC346" s="1084"/>
      <c r="BD346" s="1084"/>
      <c r="BE346" s="1084"/>
      <c r="BF346" s="1084"/>
      <c r="BG346" s="1084"/>
      <c r="BH346" s="1084"/>
      <c r="BI346" s="1084"/>
      <c r="BJ346" s="1084"/>
    </row>
    <row r="347" spans="2:62">
      <c r="B347" s="1091" t="s">
        <v>31</v>
      </c>
      <c r="C347" s="1091"/>
      <c r="D347" s="1106"/>
      <c r="E347" s="1106"/>
      <c r="F347" s="1106"/>
      <c r="G347" s="1106"/>
      <c r="H347" s="1106"/>
      <c r="I347" s="1106"/>
      <c r="J347" s="1106"/>
      <c r="K347" s="1106"/>
      <c r="L347" s="1106"/>
      <c r="M347" s="1106"/>
      <c r="N347" s="1106"/>
      <c r="O347" s="1091"/>
      <c r="P347" s="1091"/>
      <c r="Q347" s="1091"/>
      <c r="R347" s="1091"/>
      <c r="S347" s="1091"/>
      <c r="T347" s="1091"/>
      <c r="U347" s="1091"/>
      <c r="V347" s="1091"/>
      <c r="W347" s="1091"/>
      <c r="X347" s="1091"/>
      <c r="Y347" s="1091"/>
      <c r="Z347" s="1091"/>
      <c r="AA347" s="1091"/>
      <c r="AB347" s="1091"/>
      <c r="AC347" s="1091"/>
      <c r="AD347" s="1091"/>
      <c r="AE347" s="1091"/>
      <c r="AF347" s="1091"/>
      <c r="AG347" s="1091"/>
      <c r="AH347" s="1091"/>
      <c r="AI347" s="1091"/>
      <c r="AJ347" s="1091"/>
      <c r="AK347" s="1091"/>
      <c r="AL347" s="1091"/>
      <c r="AM347" s="1091"/>
      <c r="AN347" s="1091"/>
      <c r="AO347" s="1106"/>
      <c r="AP347" s="1106"/>
      <c r="AQ347" s="1106"/>
      <c r="AR347" s="1106"/>
      <c r="AS347" s="1106"/>
      <c r="AT347" s="1106"/>
      <c r="AU347" s="1106"/>
      <c r="AV347" s="1106"/>
      <c r="AW347" s="1106"/>
      <c r="AX347" s="1106"/>
      <c r="AY347" s="1106"/>
      <c r="AZ347" s="1106"/>
      <c r="BA347" s="1107"/>
      <c r="BB347" s="1107"/>
      <c r="BC347" s="1107"/>
      <c r="BD347" s="1107"/>
      <c r="BE347" s="1107"/>
      <c r="BF347" s="1107"/>
      <c r="BG347" s="1107"/>
      <c r="BH347" s="1107"/>
      <c r="BI347" s="1107"/>
      <c r="BJ347" s="1107"/>
    </row>
    <row r="348" spans="2:62" hidden="1" outlineLevel="1">
      <c r="B348" s="1094"/>
      <c r="C348" s="1071" t="str">
        <f>C45</f>
        <v>N004 - CEROC Buildings</v>
      </c>
      <c r="D348" s="1071" t="str">
        <f>D45</f>
        <v>CEROC</v>
      </c>
      <c r="E348" s="1071" t="str">
        <f>E45</f>
        <v>N0040001</v>
      </c>
      <c r="F348" s="1125">
        <f>F45</f>
        <v>2020</v>
      </c>
      <c r="H348" s="1071" t="s">
        <v>29</v>
      </c>
      <c r="AZ348" s="1108"/>
      <c r="BA348" s="1109"/>
      <c r="BB348" s="1109"/>
      <c r="BC348" s="1109"/>
      <c r="BD348" s="1109"/>
      <c r="BE348" s="1109"/>
      <c r="BF348" s="1109">
        <f>IF($J45=0,0,(($BF45*M45)+($BG45*S45)+($BH45*Y45)+($BI45*AE45)+($BJ45*AK45))/$J45)</f>
        <v>20.113069999999997</v>
      </c>
      <c r="BG348" s="1109">
        <f>IF($J45=0,0,(($BF45*N45)+($BG45*T45)+($BH45*Z45)+($BI45*AF45)+($BJ45*AL45))/$J45)</f>
        <v>241.35689700000003</v>
      </c>
      <c r="BH348" s="1109">
        <f>IF($J45=0,0,(($BF45*O45)+($BG45*U45)+($BH45*AA45)+($BI45*AG45)+($BJ45*AM45))/$J45)</f>
        <v>241.35689700000003</v>
      </c>
      <c r="BI348" s="1109">
        <f>IF($J45=0,0,(($BF45*P45)+($BG45*V45)+($BH45*AB45)+($BI45*AH45)+($BJ45*AN45))/$J45)</f>
        <v>241.35689700000003</v>
      </c>
      <c r="BJ348" s="1109">
        <f>IF($J45=0,0,(($BF45*Q45)+($BG45*W45)+($BH45*AC45)+($BI45*AI45)+($BJ45*AO45))/$J45)</f>
        <v>241.35689700000003</v>
      </c>
    </row>
    <row r="349" spans="2:62" hidden="1" outlineLevel="1">
      <c r="B349" s="1094"/>
      <c r="C349" s="1071" t="str">
        <f t="shared" ref="C349:F349" si="47">C46</f>
        <v>N004 - CEROC Network Servers</v>
      </c>
      <c r="D349" s="1071" t="str">
        <f t="shared" si="47"/>
        <v>CEROC</v>
      </c>
      <c r="E349" s="1071" t="str">
        <f t="shared" si="47"/>
        <v>N0040002</v>
      </c>
      <c r="F349" s="1125">
        <f t="shared" si="47"/>
        <v>2020</v>
      </c>
      <c r="H349" s="1071" t="s">
        <v>29</v>
      </c>
      <c r="AZ349" s="1108"/>
      <c r="BA349" s="1109"/>
      <c r="BB349" s="1109"/>
      <c r="BC349" s="1109"/>
      <c r="BD349" s="1109"/>
      <c r="BE349" s="1109"/>
      <c r="BF349" s="1109">
        <f t="shared" ref="BF349:BJ349" si="48">IF($J46=0,0,(($BF46*M46)+($BG46*S46)+($BH46*Y46)+($BI46*AE46)+($BJ46*AK46))/$J46)</f>
        <v>6.0297299999999998</v>
      </c>
      <c r="BG349" s="1109">
        <f t="shared" si="48"/>
        <v>72.356738750000005</v>
      </c>
      <c r="BH349" s="1109">
        <f t="shared" si="48"/>
        <v>72.356738750000005</v>
      </c>
      <c r="BI349" s="1109">
        <f t="shared" si="48"/>
        <v>72.356738750000005</v>
      </c>
      <c r="BJ349" s="1109">
        <f t="shared" si="48"/>
        <v>72.356738750000005</v>
      </c>
    </row>
    <row r="350" spans="2:62" hidden="1" outlineLevel="1">
      <c r="B350" s="1094"/>
      <c r="C350" s="1071" t="str">
        <f t="shared" ref="C350:F350" si="49">C47</f>
        <v>N004 - CEROC ATC Systems</v>
      </c>
      <c r="D350" s="1071" t="str">
        <f t="shared" si="49"/>
        <v>CEROC</v>
      </c>
      <c r="E350" s="1071" t="str">
        <f t="shared" si="49"/>
        <v>N0040003</v>
      </c>
      <c r="F350" s="1125">
        <f t="shared" si="49"/>
        <v>2020</v>
      </c>
      <c r="H350" s="1071" t="s">
        <v>29</v>
      </c>
      <c r="AZ350" s="1108"/>
      <c r="BA350" s="1109"/>
      <c r="BB350" s="1109"/>
      <c r="BC350" s="1109"/>
      <c r="BD350" s="1109"/>
      <c r="BE350" s="1109"/>
      <c r="BF350" s="1109">
        <f t="shared" ref="BF350:BJ350" si="50">IF($J47=0,0,(($BF47*M47)+($BG47*S47)+($BH47*Y47)+($BI47*AE47)+($BJ47*AK47))/$J47)</f>
        <v>32.967660000000009</v>
      </c>
      <c r="BG350" s="1109">
        <f t="shared" si="50"/>
        <v>395.61192</v>
      </c>
      <c r="BH350" s="1109">
        <f t="shared" si="50"/>
        <v>395.61192</v>
      </c>
      <c r="BI350" s="1109">
        <f t="shared" si="50"/>
        <v>395.61192</v>
      </c>
      <c r="BJ350" s="1109">
        <f t="shared" si="50"/>
        <v>395.61192</v>
      </c>
    </row>
    <row r="351" spans="2:62" hidden="1" outlineLevel="1">
      <c r="B351" s="1094"/>
      <c r="C351" s="1071" t="str">
        <f t="shared" ref="C351:F351" si="51">C48</f>
        <v>N004 - CEROC Voice Comm System</v>
      </c>
      <c r="D351" s="1071" t="str">
        <f t="shared" si="51"/>
        <v>CEROC</v>
      </c>
      <c r="E351" s="1071" t="str">
        <f t="shared" si="51"/>
        <v>N0040004</v>
      </c>
      <c r="F351" s="1125">
        <f t="shared" si="51"/>
        <v>2020</v>
      </c>
      <c r="H351" s="1071" t="s">
        <v>29</v>
      </c>
      <c r="AZ351" s="1108"/>
      <c r="BA351" s="1109"/>
      <c r="BB351" s="1109"/>
      <c r="BC351" s="1109"/>
      <c r="BD351" s="1109"/>
      <c r="BE351" s="1109"/>
      <c r="BF351" s="1109">
        <f t="shared" ref="BF351:BJ351" si="52">IF($J48=0,0,(($BF48*M48)+($BG48*S48)+($BH48*Y48)+($BI48*AE48)+($BJ48*AK48))/$J48)</f>
        <v>21.963449999999998</v>
      </c>
      <c r="BG351" s="1109">
        <f t="shared" si="52"/>
        <v>263.56145750000002</v>
      </c>
      <c r="BH351" s="1109">
        <f t="shared" si="52"/>
        <v>263.56145750000002</v>
      </c>
      <c r="BI351" s="1109">
        <f t="shared" si="52"/>
        <v>263.56145750000002</v>
      </c>
      <c r="BJ351" s="1109">
        <f t="shared" si="52"/>
        <v>263.56145750000002</v>
      </c>
    </row>
    <row r="352" spans="2:62" hidden="1" outlineLevel="1">
      <c r="B352" s="1094"/>
      <c r="C352" s="1071" t="str">
        <f t="shared" ref="C352:F352" si="53">C49</f>
        <v>N004 - CEROC Reserve Voice Com System</v>
      </c>
      <c r="D352" s="1071" t="str">
        <f t="shared" si="53"/>
        <v>CEROC</v>
      </c>
      <c r="E352" s="1071" t="str">
        <f t="shared" si="53"/>
        <v>N0040005</v>
      </c>
      <c r="F352" s="1125">
        <f t="shared" si="53"/>
        <v>2020</v>
      </c>
      <c r="H352" s="1071" t="s">
        <v>29</v>
      </c>
      <c r="AZ352" s="1108"/>
      <c r="BA352" s="1109"/>
      <c r="BB352" s="1109"/>
      <c r="BC352" s="1109"/>
      <c r="BD352" s="1109"/>
      <c r="BE352" s="1109"/>
      <c r="BF352" s="1109">
        <f t="shared" ref="BF352:BJ352" si="54">IF($J49=0,0,(($BF49*M49)+($BG49*S49)+($BH49*Y49)+($BI49*AE49)+($BJ49*AK49))/$J49)</f>
        <v>8.1554400000000005</v>
      </c>
      <c r="BG352" s="1109">
        <f t="shared" si="54"/>
        <v>97.865245000000002</v>
      </c>
      <c r="BH352" s="1109">
        <f t="shared" si="54"/>
        <v>97.865245000000002</v>
      </c>
      <c r="BI352" s="1109">
        <f t="shared" si="54"/>
        <v>97.865245000000002</v>
      </c>
      <c r="BJ352" s="1109">
        <f t="shared" si="54"/>
        <v>97.865245000000002</v>
      </c>
    </row>
    <row r="353" spans="2:62" hidden="1" outlineLevel="1">
      <c r="B353" s="1094"/>
      <c r="C353" s="1071" t="str">
        <f t="shared" ref="C353:F353" si="55">C50</f>
        <v>N004 CEROC Voice Comm Recorder</v>
      </c>
      <c r="D353" s="1071" t="str">
        <f t="shared" si="55"/>
        <v>CEROC</v>
      </c>
      <c r="E353" s="1071" t="str">
        <f t="shared" si="55"/>
        <v>N0040006</v>
      </c>
      <c r="F353" s="1125">
        <f t="shared" si="55"/>
        <v>2020</v>
      </c>
      <c r="H353" s="1071" t="s">
        <v>29</v>
      </c>
      <c r="AZ353" s="1108"/>
      <c r="BA353" s="1109"/>
      <c r="BB353" s="1109"/>
      <c r="BC353" s="1109"/>
      <c r="BD353" s="1109"/>
      <c r="BE353" s="1109"/>
      <c r="BF353" s="1109">
        <f t="shared" ref="BF353:BJ353" si="56">IF($J50=0,0,(($BF50*M50)+($BG50*S50)+($BH50*Y50)+($BI50*AE50)+($BJ50*AK50))/$J50)</f>
        <v>2.7476599999999998</v>
      </c>
      <c r="BG353" s="1109">
        <f t="shared" si="56"/>
        <v>32.971943750000001</v>
      </c>
      <c r="BH353" s="1109">
        <f t="shared" si="56"/>
        <v>32.971943750000001</v>
      </c>
      <c r="BI353" s="1109">
        <f t="shared" si="56"/>
        <v>32.971943750000001</v>
      </c>
      <c r="BJ353" s="1109">
        <f t="shared" si="56"/>
        <v>32.971943750000001</v>
      </c>
    </row>
    <row r="354" spans="2:62" hidden="1" outlineLevel="1">
      <c r="B354" s="1094"/>
      <c r="C354" s="1071" t="str">
        <f t="shared" ref="C354:F354" si="57">C51</f>
        <v>N004 - CEROC PABX</v>
      </c>
      <c r="D354" s="1071" t="str">
        <f t="shared" si="57"/>
        <v>CEROC</v>
      </c>
      <c r="E354" s="1071" t="str">
        <f t="shared" si="57"/>
        <v>N0040007</v>
      </c>
      <c r="F354" s="1125">
        <f t="shared" si="57"/>
        <v>2020</v>
      </c>
      <c r="H354" s="1071" t="s">
        <v>29</v>
      </c>
      <c r="AZ354" s="1108"/>
      <c r="BA354" s="1109"/>
      <c r="BB354" s="1109"/>
      <c r="BC354" s="1109"/>
      <c r="BD354" s="1109"/>
      <c r="BE354" s="1109"/>
      <c r="BF354" s="1109">
        <f t="shared" ref="BF354:BJ354" si="58">IF($J51=0,0,(($BF51*M51)+($BG51*S51)+($BH51*Y51)+($BI51*AE51)+($BJ51*AK51))/$J51)</f>
        <v>1.4116299999999999</v>
      </c>
      <c r="BG354" s="1109">
        <f t="shared" si="58"/>
        <v>16.939499999999999</v>
      </c>
      <c r="BH354" s="1109">
        <f t="shared" si="58"/>
        <v>16.939499999999999</v>
      </c>
      <c r="BI354" s="1109">
        <f t="shared" si="58"/>
        <v>16.939499999999999</v>
      </c>
      <c r="BJ354" s="1109">
        <f t="shared" si="58"/>
        <v>16.939499999999999</v>
      </c>
    </row>
    <row r="355" spans="2:62" hidden="1" outlineLevel="1">
      <c r="B355" s="1094"/>
      <c r="C355" s="1071" t="str">
        <f t="shared" ref="C355:F355" si="59">C52</f>
        <v>N004-CEROC Centralised Monitor Monitoring</v>
      </c>
      <c r="D355" s="1071" t="str">
        <f t="shared" si="59"/>
        <v>CEROC</v>
      </c>
      <c r="E355" s="1071" t="str">
        <f t="shared" si="59"/>
        <v>N0040008</v>
      </c>
      <c r="F355" s="1125">
        <f t="shared" si="59"/>
        <v>2020</v>
      </c>
      <c r="H355" s="1071" t="s">
        <v>29</v>
      </c>
      <c r="AZ355" s="1108"/>
      <c r="BA355" s="1109"/>
      <c r="BB355" s="1109"/>
      <c r="BC355" s="1109"/>
      <c r="BD355" s="1109"/>
      <c r="BE355" s="1109"/>
      <c r="BF355" s="1109">
        <f t="shared" ref="BF355:BJ355" si="60">IF($J52=0,0,(($BF52*M52)+($BG52*S52)+($BH52*Y52)+($BI52*AE52)+($BJ52*AK52))/$J52)</f>
        <v>4.1030299999999995</v>
      </c>
      <c r="BG355" s="1109">
        <f t="shared" si="60"/>
        <v>49.236368750000004</v>
      </c>
      <c r="BH355" s="1109">
        <f t="shared" si="60"/>
        <v>49.236368750000004</v>
      </c>
      <c r="BI355" s="1109">
        <f t="shared" si="60"/>
        <v>49.236368750000004</v>
      </c>
      <c r="BJ355" s="1109">
        <f t="shared" si="60"/>
        <v>49.236368750000004</v>
      </c>
    </row>
    <row r="356" spans="2:62" hidden="1" outlineLevel="1">
      <c r="B356" s="1094"/>
      <c r="C356" s="1071" t="str">
        <f t="shared" ref="C356:F356" si="61">C53</f>
        <v>Q001-CEROC Servers Workstation</v>
      </c>
      <c r="D356" s="1071" t="str">
        <f t="shared" si="61"/>
        <v>CEROC</v>
      </c>
      <c r="E356" s="1071" t="str">
        <f t="shared" si="61"/>
        <v>Q0010007</v>
      </c>
      <c r="F356" s="1125">
        <f t="shared" si="61"/>
        <v>2020</v>
      </c>
      <c r="H356" s="1071" t="s">
        <v>29</v>
      </c>
      <c r="AZ356" s="1108"/>
      <c r="BA356" s="1109"/>
      <c r="BB356" s="1109"/>
      <c r="BC356" s="1109"/>
      <c r="BD356" s="1109"/>
      <c r="BE356" s="1109"/>
      <c r="BF356" s="1109">
        <f t="shared" ref="BF356:BJ356" si="62">IF($J53=0,0,(($BF53*M53)+($BG53*S53)+($BH53*Y53)+($BI53*AE53)+($BJ53*AK53))/$J53)</f>
        <v>1.8746099999999999</v>
      </c>
      <c r="BG356" s="1109">
        <f t="shared" si="62"/>
        <v>22.495286250000003</v>
      </c>
      <c r="BH356" s="1109">
        <f t="shared" si="62"/>
        <v>22.495286250000003</v>
      </c>
      <c r="BI356" s="1109">
        <f t="shared" si="62"/>
        <v>22.495286250000003</v>
      </c>
      <c r="BJ356" s="1109">
        <f t="shared" si="62"/>
        <v>22.495286250000003</v>
      </c>
    </row>
    <row r="357" spans="2:62" hidden="1" outlineLevel="1">
      <c r="B357" s="1094"/>
      <c r="C357" s="1071" t="str">
        <f t="shared" ref="C357:F357" si="63">C54</f>
        <v>Q001-CEROC Network Replacement</v>
      </c>
      <c r="D357" s="1071" t="str">
        <f t="shared" si="63"/>
        <v>CEROC</v>
      </c>
      <c r="E357" s="1071" t="str">
        <f t="shared" si="63"/>
        <v>Q0010008</v>
      </c>
      <c r="F357" s="1125">
        <f t="shared" si="63"/>
        <v>2020</v>
      </c>
      <c r="H357" s="1071" t="s">
        <v>29</v>
      </c>
      <c r="AZ357" s="1108"/>
      <c r="BA357" s="1109"/>
      <c r="BB357" s="1109"/>
      <c r="BC357" s="1109"/>
      <c r="BD357" s="1109"/>
      <c r="BE357" s="1109"/>
      <c r="BF357" s="1109">
        <f t="shared" ref="BF357:BJ357" si="64">IF($J54=0,0,(($BF54*M54)+($BG54*S54)+($BH54*Y54)+($BI54*AE54)+($BJ54*AK54))/$J54)</f>
        <v>0.11992000000000001</v>
      </c>
      <c r="BG357" s="1109">
        <f t="shared" si="64"/>
        <v>1.4390050000000001</v>
      </c>
      <c r="BH357" s="1109">
        <f t="shared" si="64"/>
        <v>1.4390050000000001</v>
      </c>
      <c r="BI357" s="1109">
        <f t="shared" si="64"/>
        <v>1.4390050000000001</v>
      </c>
      <c r="BJ357" s="1109">
        <f t="shared" si="64"/>
        <v>1.4390050000000001</v>
      </c>
    </row>
    <row r="358" spans="2:62" hidden="1" outlineLevel="1">
      <c r="B358" s="1094"/>
      <c r="C358" s="1071" t="str">
        <f t="shared" ref="C358:F358" si="65">C55</f>
        <v>Q007 Nokia MNATP CEROC</v>
      </c>
      <c r="D358" s="1071" t="str">
        <f t="shared" si="65"/>
        <v>CEROC</v>
      </c>
      <c r="E358" s="1071" t="str">
        <f t="shared" si="65"/>
        <v>Q0070001</v>
      </c>
      <c r="F358" s="1125">
        <f t="shared" si="65"/>
        <v>2020</v>
      </c>
      <c r="H358" s="1071" t="s">
        <v>29</v>
      </c>
      <c r="AZ358" s="1108"/>
      <c r="BA358" s="1109"/>
      <c r="BB358" s="1109"/>
      <c r="BC358" s="1109"/>
      <c r="BD358" s="1109"/>
      <c r="BE358" s="1109"/>
      <c r="BF358" s="1109">
        <f t="shared" ref="BF358:BJ358" si="66">IF($J55=0,0,(($BF55*M55)+($BG55*S55)+($BH55*Y55)+($BI55*AE55)+($BJ55*AK55))/$J55)</f>
        <v>10.93135</v>
      </c>
      <c r="BG358" s="1109">
        <f t="shared" si="66"/>
        <v>131.17614</v>
      </c>
      <c r="BH358" s="1109">
        <f t="shared" si="66"/>
        <v>131.17614</v>
      </c>
      <c r="BI358" s="1109">
        <f t="shared" si="66"/>
        <v>131.17614</v>
      </c>
      <c r="BJ358" s="1109">
        <f t="shared" si="66"/>
        <v>131.17614</v>
      </c>
    </row>
    <row r="359" spans="2:62" hidden="1" outlineLevel="1">
      <c r="B359" s="1094"/>
      <c r="C359" s="1071" t="str">
        <f t="shared" ref="C359:F359" si="67">C56</f>
        <v>Q029 - CEROC IT Equipment</v>
      </c>
      <c r="D359" s="1071" t="str">
        <f t="shared" si="67"/>
        <v>CEROC</v>
      </c>
      <c r="E359" s="1071" t="str">
        <f t="shared" si="67"/>
        <v>Q0290001</v>
      </c>
      <c r="F359" s="1125">
        <f t="shared" si="67"/>
        <v>2020</v>
      </c>
      <c r="H359" s="1071" t="s">
        <v>29</v>
      </c>
      <c r="AZ359" s="1108"/>
      <c r="BA359" s="1109"/>
      <c r="BB359" s="1109"/>
      <c r="BC359" s="1109"/>
      <c r="BD359" s="1109"/>
      <c r="BE359" s="1109"/>
      <c r="BF359" s="1109">
        <f t="shared" ref="BF359:BJ359" si="68">IF($J56=0,0,(($BF56*M56)+($BG56*S56)+($BH56*Y56)+($BI56*AE56)+($BJ56*AK56))/$J56)</f>
        <v>1.8108399999999996</v>
      </c>
      <c r="BG359" s="1109">
        <f t="shared" si="68"/>
        <v>21.142790270270268</v>
      </c>
      <c r="BH359" s="1109">
        <f t="shared" si="68"/>
        <v>21.142790270270268</v>
      </c>
      <c r="BI359" s="1109">
        <f t="shared" si="68"/>
        <v>21.093849459459459</v>
      </c>
      <c r="BJ359" s="1109">
        <f t="shared" si="68"/>
        <v>0</v>
      </c>
    </row>
    <row r="360" spans="2:62" hidden="1" outlineLevel="1">
      <c r="B360" s="1094"/>
      <c r="C360" s="1071" t="str">
        <f t="shared" ref="C360:F360" si="69">C57</f>
        <v>Q029 -CEROC  Photocopier</v>
      </c>
      <c r="D360" s="1071" t="str">
        <f t="shared" si="69"/>
        <v>CEROC</v>
      </c>
      <c r="E360" s="1071" t="str">
        <f t="shared" si="69"/>
        <v>Q0290002</v>
      </c>
      <c r="F360" s="1125">
        <f t="shared" si="69"/>
        <v>2020</v>
      </c>
      <c r="H360" s="1071" t="s">
        <v>29</v>
      </c>
      <c r="AZ360" s="1108"/>
      <c r="BA360" s="1109"/>
      <c r="BB360" s="1109"/>
      <c r="BC360" s="1109"/>
      <c r="BD360" s="1109"/>
      <c r="BE360" s="1109"/>
      <c r="BF360" s="1109">
        <f t="shared" ref="BF360:BJ360" si="70">IF($J57=0,0,(($BF57*M57)+($BG57*S57)+($BH57*Y57)+($BI57*AE57)+($BJ57*AK57))/$J57)</f>
        <v>8.1100000000000005E-2</v>
      </c>
      <c r="BG360" s="1109">
        <f t="shared" si="70"/>
        <v>0.97315000000000007</v>
      </c>
      <c r="BH360" s="1109">
        <f t="shared" si="70"/>
        <v>0.97315000000000007</v>
      </c>
      <c r="BI360" s="1109">
        <f t="shared" si="70"/>
        <v>0.97315000000000007</v>
      </c>
      <c r="BJ360" s="1109">
        <f t="shared" si="70"/>
        <v>0.97315000000000007</v>
      </c>
    </row>
    <row r="361" spans="2:62" hidden="1" outlineLevel="1">
      <c r="B361" s="1094"/>
      <c r="C361" s="1071" t="str">
        <f t="shared" ref="C361:F361" si="71">C58</f>
        <v>Rosslare VHF - Cabins &amp; Civils Q015</v>
      </c>
      <c r="D361" s="1071" t="str">
        <f t="shared" si="71"/>
        <v>Rosslare VHF - Cabins &amp; Civils Q015</v>
      </c>
      <c r="E361" s="1071" t="str">
        <f t="shared" si="71"/>
        <v>q0150001</v>
      </c>
      <c r="F361" s="1125">
        <f t="shared" si="71"/>
        <v>2020</v>
      </c>
      <c r="H361" s="1071" t="s">
        <v>29</v>
      </c>
      <c r="AZ361" s="1108"/>
      <c r="BA361" s="1109"/>
      <c r="BB361" s="1109"/>
      <c r="BC361" s="1109"/>
      <c r="BD361" s="1109"/>
      <c r="BE361" s="1109"/>
      <c r="BF361" s="1109">
        <f t="shared" ref="BF361:BJ361" si="72">IF($J58=0,0,(($BF58*M58)+($BG58*S58)+($BH58*Y58)+($BI58*AE58)+($BJ58*AK58))/$J58)</f>
        <v>14.5274</v>
      </c>
      <c r="BG361" s="1109">
        <f t="shared" si="72"/>
        <v>43.582197499999999</v>
      </c>
      <c r="BH361" s="1109">
        <f t="shared" si="72"/>
        <v>43.582197499999999</v>
      </c>
      <c r="BI361" s="1109">
        <f t="shared" si="72"/>
        <v>43.582197499999999</v>
      </c>
      <c r="BJ361" s="1109">
        <f t="shared" si="72"/>
        <v>43.582197499999999</v>
      </c>
    </row>
    <row r="362" spans="2:62" hidden="1" outlineLevel="1">
      <c r="B362" s="1094"/>
      <c r="C362" s="1071" t="str">
        <f t="shared" ref="C362:F362" si="73">C59</f>
        <v>Q001- Coopans Hardware network</v>
      </c>
      <c r="D362" s="1071" t="str">
        <f t="shared" si="73"/>
        <v>Coopans Hardware network</v>
      </c>
      <c r="E362" s="1071" t="str">
        <f t="shared" si="73"/>
        <v>Q0010006</v>
      </c>
      <c r="F362" s="1125">
        <f t="shared" si="73"/>
        <v>2020</v>
      </c>
      <c r="H362" s="1071" t="s">
        <v>29</v>
      </c>
      <c r="AZ362" s="1108"/>
      <c r="BA362" s="1109"/>
      <c r="BB362" s="1109"/>
      <c r="BC362" s="1109"/>
      <c r="BD362" s="1109"/>
      <c r="BE362" s="1109"/>
      <c r="BF362" s="1109">
        <f t="shared" ref="BF362:BJ362" si="74">IF($J59=0,0,(($BF59*M59)+($BG59*S59)+($BH59*Y59)+($BI59*AE59)+($BJ59*AK59))/$J59)</f>
        <v>35.706769999999999</v>
      </c>
      <c r="BG362" s="1109">
        <f t="shared" si="74"/>
        <v>38.9528325</v>
      </c>
      <c r="BH362" s="1109">
        <f t="shared" si="74"/>
        <v>38.9528325</v>
      </c>
      <c r="BI362" s="1109">
        <f t="shared" si="74"/>
        <v>38.9528325</v>
      </c>
      <c r="BJ362" s="1109">
        <f t="shared" si="74"/>
        <v>38.9528325</v>
      </c>
    </row>
    <row r="363" spans="2:62" hidden="1" outlineLevel="1">
      <c r="B363" s="1094"/>
      <c r="C363" s="1071" t="str">
        <f t="shared" ref="C363:F363" si="75">C60</f>
        <v>P009 - New South East VHF Site</v>
      </c>
      <c r="D363" s="1071" t="str">
        <f t="shared" si="75"/>
        <v>New South East VHF Site</v>
      </c>
      <c r="E363" s="1071" t="str">
        <f t="shared" si="75"/>
        <v>P0090001</v>
      </c>
      <c r="F363" s="1125">
        <f t="shared" si="75"/>
        <v>2020</v>
      </c>
      <c r="H363" s="1071" t="s">
        <v>29</v>
      </c>
      <c r="AZ363" s="1108"/>
      <c r="BA363" s="1109"/>
      <c r="BB363" s="1109"/>
      <c r="BC363" s="1109"/>
      <c r="BD363" s="1109"/>
      <c r="BE363" s="1109"/>
      <c r="BF363" s="1109">
        <f t="shared" ref="BF363:BJ363" si="76">IF($J60=0,0,(($BF60*M60)+($BG60*S60)+($BH60*Y60)+($BI60*AE60)+($BJ60*AK60))/$J60)</f>
        <v>12.910600000000001</v>
      </c>
      <c r="BG363" s="1109">
        <f t="shared" si="76"/>
        <v>38.731749999999998</v>
      </c>
      <c r="BH363" s="1109">
        <f t="shared" si="76"/>
        <v>38.731749999999998</v>
      </c>
      <c r="BI363" s="1109">
        <f t="shared" si="76"/>
        <v>38.731749999999998</v>
      </c>
      <c r="BJ363" s="1109">
        <f t="shared" si="76"/>
        <v>38.731749999999998</v>
      </c>
    </row>
    <row r="364" spans="2:62" hidden="1" outlineLevel="1">
      <c r="B364" s="1094"/>
      <c r="C364" s="1071" t="str">
        <f t="shared" ref="C364:F364" si="77">C61</f>
        <v>T024 - UPS System Woodcock</v>
      </c>
      <c r="D364" s="1071" t="str">
        <f t="shared" si="77"/>
        <v>UPS System</v>
      </c>
      <c r="E364" s="1071" t="str">
        <f t="shared" si="77"/>
        <v>T0240005</v>
      </c>
      <c r="F364" s="1125">
        <f t="shared" si="77"/>
        <v>2020</v>
      </c>
      <c r="H364" s="1071" t="s">
        <v>29</v>
      </c>
      <c r="AZ364" s="1108"/>
      <c r="BA364" s="1109"/>
      <c r="BB364" s="1109"/>
      <c r="BC364" s="1109"/>
      <c r="BD364" s="1109"/>
      <c r="BE364" s="1109"/>
      <c r="BF364" s="1109">
        <f t="shared" ref="BF364:BJ364" si="78">IF($J61=0,0,(($BF61*M61)+($BG61*S61)+($BH61*Y61)+($BI61*AE61)+($BJ61*AK61))/$J61)</f>
        <v>1.8444200000000002</v>
      </c>
      <c r="BG364" s="1109">
        <f t="shared" si="78"/>
        <v>5.7234699999999998</v>
      </c>
      <c r="BH364" s="1109">
        <f t="shared" si="78"/>
        <v>5.7234699999999998</v>
      </c>
      <c r="BI364" s="1109">
        <f t="shared" si="78"/>
        <v>5.7234699999999998</v>
      </c>
      <c r="BJ364" s="1109">
        <f t="shared" si="78"/>
        <v>5.7234699999999998</v>
      </c>
    </row>
    <row r="365" spans="2:62" hidden="1" outlineLevel="1">
      <c r="B365" s="1094"/>
      <c r="C365" s="1071" t="str">
        <f t="shared" ref="C365:F365" si="79">C62</f>
        <v>T024 -UPS System Shannon Tower</v>
      </c>
      <c r="D365" s="1071" t="str">
        <f t="shared" si="79"/>
        <v>UPS System</v>
      </c>
      <c r="E365" s="1071" t="str">
        <f t="shared" si="79"/>
        <v>T0240007</v>
      </c>
      <c r="F365" s="1125">
        <f t="shared" si="79"/>
        <v>2020</v>
      </c>
      <c r="H365" s="1071" t="s">
        <v>29</v>
      </c>
      <c r="AZ365" s="1108"/>
      <c r="BA365" s="1109"/>
      <c r="BB365" s="1109"/>
      <c r="BC365" s="1109"/>
      <c r="BD365" s="1109"/>
      <c r="BE365" s="1109"/>
      <c r="BF365" s="1109">
        <f t="shared" ref="BF365:BJ365" si="80">IF($J62=0,0,(($BF62*M62)+($BG62*S62)+($BH62*Y62)+($BI62*AE62)+($BJ62*AK62))/$J62)</f>
        <v>2.36978</v>
      </c>
      <c r="BG365" s="1109">
        <f t="shared" si="80"/>
        <v>4.0625</v>
      </c>
      <c r="BH365" s="1109">
        <f t="shared" si="80"/>
        <v>4.0625</v>
      </c>
      <c r="BI365" s="1109">
        <f t="shared" si="80"/>
        <v>4.0625</v>
      </c>
      <c r="BJ365" s="1109">
        <f t="shared" si="80"/>
        <v>4.0625</v>
      </c>
    </row>
    <row r="366" spans="2:62" hidden="1" outlineLevel="1">
      <c r="B366" s="1094"/>
      <c r="C366" s="1071" t="str">
        <f t="shared" ref="C366:F366" si="81">C63</f>
        <v>T024 -UPS System Shannon Radar</v>
      </c>
      <c r="D366" s="1071" t="str">
        <f t="shared" si="81"/>
        <v>UPS System</v>
      </c>
      <c r="E366" s="1071" t="str">
        <f t="shared" si="81"/>
        <v>T0240006</v>
      </c>
      <c r="F366" s="1125">
        <f t="shared" si="81"/>
        <v>2020</v>
      </c>
      <c r="H366" s="1071" t="s">
        <v>29</v>
      </c>
      <c r="AZ366" s="1108"/>
      <c r="BA366" s="1109"/>
      <c r="BB366" s="1109"/>
      <c r="BC366" s="1109"/>
      <c r="BD366" s="1109"/>
      <c r="BE366" s="1109"/>
      <c r="BF366" s="1109">
        <f t="shared" ref="BF366:BJ366" si="82">IF($J63=0,0,(($BF63*M63)+($BG63*S63)+($BH63*Y63)+($BI63*AE63)+($BJ63*AK63))/$J63)</f>
        <v>2.7300000000000004</v>
      </c>
      <c r="BG366" s="1109">
        <f t="shared" si="82"/>
        <v>5.4599587500000011</v>
      </c>
      <c r="BH366" s="1109">
        <f t="shared" si="82"/>
        <v>5.4599587500000011</v>
      </c>
      <c r="BI366" s="1109">
        <f t="shared" si="82"/>
        <v>5.4599587500000011</v>
      </c>
      <c r="BJ366" s="1109">
        <f t="shared" si="82"/>
        <v>5.4599587500000011</v>
      </c>
    </row>
    <row r="367" spans="2:62" hidden="1" outlineLevel="1">
      <c r="B367" s="1094"/>
      <c r="C367" s="1071" t="str">
        <f t="shared" ref="C367:F367" si="83">C64</f>
        <v>T024 - UPS System Cork</v>
      </c>
      <c r="D367" s="1071" t="str">
        <f t="shared" si="83"/>
        <v>UPS System</v>
      </c>
      <c r="E367" s="1071" t="str">
        <f t="shared" si="83"/>
        <v>T0240008</v>
      </c>
      <c r="F367" s="1125">
        <f t="shared" si="83"/>
        <v>2020</v>
      </c>
      <c r="H367" s="1071" t="s">
        <v>29</v>
      </c>
      <c r="AZ367" s="1108"/>
      <c r="BA367" s="1109"/>
      <c r="BB367" s="1109"/>
      <c r="BC367" s="1109"/>
      <c r="BD367" s="1109"/>
      <c r="BE367" s="1109"/>
      <c r="BF367" s="1109">
        <f t="shared" ref="BF367:BJ367" si="84">IF($J64=0,0,(($BF64*M64)+($BG64*S64)+($BH64*Y64)+($BI64*AE64)+($BJ64*AK64))/$J64)</f>
        <v>2.7300000000000004</v>
      </c>
      <c r="BG367" s="1109">
        <f t="shared" si="84"/>
        <v>5.4599587500000011</v>
      </c>
      <c r="BH367" s="1109">
        <f t="shared" si="84"/>
        <v>5.4599587500000011</v>
      </c>
      <c r="BI367" s="1109">
        <f t="shared" si="84"/>
        <v>5.4599587500000011</v>
      </c>
      <c r="BJ367" s="1109">
        <f t="shared" si="84"/>
        <v>5.4599587500000011</v>
      </c>
    </row>
    <row r="368" spans="2:62" hidden="1" outlineLevel="1">
      <c r="B368" s="1094"/>
      <c r="C368" s="1071" t="str">
        <f t="shared" ref="C368:F368" si="85">C65</f>
        <v>S025 MICROSOFT SQL SERVER - HQ</v>
      </c>
      <c r="D368" s="1071" t="str">
        <f t="shared" si="85"/>
        <v>IT Network</v>
      </c>
      <c r="E368" s="1071" t="str">
        <f t="shared" si="85"/>
        <v>S0250002</v>
      </c>
      <c r="F368" s="1125">
        <f t="shared" si="85"/>
        <v>2020</v>
      </c>
      <c r="H368" s="1071" t="s">
        <v>29</v>
      </c>
      <c r="AZ368" s="1108"/>
      <c r="BA368" s="1109"/>
      <c r="BB368" s="1109"/>
      <c r="BC368" s="1109"/>
      <c r="BD368" s="1109"/>
      <c r="BE368" s="1109"/>
      <c r="BF368" s="1109">
        <f t="shared" ref="BF368:BJ368" si="86">IF($J65=0,0,(($BF65*M65)+($BG65*S65)+($BH65*Y65)+($BI65*AE65)+($BJ65*AK65))/$J65)</f>
        <v>3.2859499999999997</v>
      </c>
      <c r="BG368" s="1109">
        <f t="shared" si="86"/>
        <v>7.6730886486486476</v>
      </c>
      <c r="BH368" s="1109">
        <f t="shared" si="86"/>
        <v>7.6730886486486476</v>
      </c>
      <c r="BI368" s="1109">
        <f t="shared" si="86"/>
        <v>5.0265627027027033</v>
      </c>
      <c r="BJ368" s="1109">
        <f t="shared" si="86"/>
        <v>0</v>
      </c>
    </row>
    <row r="369" spans="2:62" hidden="1" outlineLevel="1">
      <c r="B369" s="1094"/>
      <c r="C369" s="1071" t="str">
        <f t="shared" ref="C369:F369" si="87">C66</f>
        <v>S025 DATACENTRE LICENSES - HQ</v>
      </c>
      <c r="D369" s="1071" t="str">
        <f t="shared" si="87"/>
        <v>IT Network</v>
      </c>
      <c r="E369" s="1071" t="str">
        <f t="shared" si="87"/>
        <v>S0250004</v>
      </c>
      <c r="F369" s="1125">
        <f t="shared" si="87"/>
        <v>2020</v>
      </c>
      <c r="H369" s="1071" t="s">
        <v>29</v>
      </c>
      <c r="AZ369" s="1108"/>
      <c r="BA369" s="1109"/>
      <c r="BB369" s="1109"/>
      <c r="BC369" s="1109"/>
      <c r="BD369" s="1109"/>
      <c r="BE369" s="1109"/>
      <c r="BF369" s="1109">
        <f t="shared" ref="BF369:BJ369" si="88">IF($J66=0,0,(($BF66*M66)+($BG66*S66)+($BH66*Y66)+($BI66*AE66)+($BJ66*AK66))/$J66)</f>
        <v>2.2068099999999995</v>
      </c>
      <c r="BG369" s="1109">
        <f t="shared" si="88"/>
        <v>6.6204566666666658</v>
      </c>
      <c r="BH369" s="1109">
        <f t="shared" si="88"/>
        <v>6.6204566666666658</v>
      </c>
      <c r="BI369" s="1109">
        <f t="shared" si="88"/>
        <v>4.4136466666666658</v>
      </c>
      <c r="BJ369" s="1109">
        <f t="shared" si="88"/>
        <v>0</v>
      </c>
    </row>
    <row r="370" spans="2:62" hidden="1" outlineLevel="1">
      <c r="B370" s="1094"/>
      <c r="C370" s="1071" t="str">
        <f t="shared" ref="C370:F370" si="89">C67</f>
        <v>S025 SUPPORT VMWARE VS 7 - HQ</v>
      </c>
      <c r="D370" s="1071" t="str">
        <f t="shared" si="89"/>
        <v>IT Network</v>
      </c>
      <c r="E370" s="1071" t="str">
        <f t="shared" si="89"/>
        <v>S0250006</v>
      </c>
      <c r="F370" s="1125">
        <f t="shared" si="89"/>
        <v>2020</v>
      </c>
      <c r="H370" s="1071" t="s">
        <v>29</v>
      </c>
      <c r="AZ370" s="1108"/>
      <c r="BA370" s="1109"/>
      <c r="BB370" s="1109"/>
      <c r="BC370" s="1109"/>
      <c r="BD370" s="1109"/>
      <c r="BE370" s="1109"/>
      <c r="BF370" s="1109">
        <f t="shared" ref="BF370:BJ370" si="90">IF($J67=0,0,(($BF67*M67)+($BG67*S67)+($BH67*Y67)+($BI67*AE67)+($BJ67*AK67))/$J67)</f>
        <v>0.188</v>
      </c>
      <c r="BG370" s="1109">
        <f t="shared" si="90"/>
        <v>2.1949686486486484</v>
      </c>
      <c r="BH370" s="1109">
        <f t="shared" si="90"/>
        <v>2.1949686486486484</v>
      </c>
      <c r="BI370" s="1109">
        <f t="shared" si="90"/>
        <v>2.1898827027027026</v>
      </c>
      <c r="BJ370" s="1109">
        <f t="shared" si="90"/>
        <v>0</v>
      </c>
    </row>
    <row r="371" spans="2:62" hidden="1" outlineLevel="1">
      <c r="B371" s="1094"/>
      <c r="C371" s="1071" t="str">
        <f t="shared" ref="C371:F371" si="91">C68</f>
        <v>S025 MICROSOFT SQL SERVER -BCY</v>
      </c>
      <c r="D371" s="1071" t="str">
        <f t="shared" si="91"/>
        <v>IT Network</v>
      </c>
      <c r="E371" s="1071" t="str">
        <f t="shared" si="91"/>
        <v>S0250003</v>
      </c>
      <c r="F371" s="1125">
        <f t="shared" si="91"/>
        <v>2020</v>
      </c>
      <c r="H371" s="1071" t="s">
        <v>29</v>
      </c>
      <c r="AZ371" s="1108"/>
      <c r="BA371" s="1109"/>
      <c r="BB371" s="1109"/>
      <c r="BC371" s="1109"/>
      <c r="BD371" s="1109"/>
      <c r="BE371" s="1109"/>
      <c r="BF371" s="1109">
        <f t="shared" ref="BF371:BJ371" si="92">IF($J68=0,0,(($BF68*M68)+($BG68*S68)+($BH68*Y68)+($BI68*AE68)+($BJ68*AK68))/$J68)</f>
        <v>6.3711000000000011</v>
      </c>
      <c r="BG371" s="1109">
        <f t="shared" si="92"/>
        <v>14.877411891891892</v>
      </c>
      <c r="BH371" s="1109">
        <f t="shared" si="92"/>
        <v>14.877411891891892</v>
      </c>
      <c r="BI371" s="1109">
        <f t="shared" si="92"/>
        <v>9.7460962162162161</v>
      </c>
      <c r="BJ371" s="1109">
        <f t="shared" si="92"/>
        <v>0</v>
      </c>
    </row>
    <row r="372" spans="2:62" hidden="1" outlineLevel="1">
      <c r="B372" s="1094"/>
      <c r="C372" s="1071" t="str">
        <f t="shared" ref="C372:F372" si="93">C69</f>
        <v>S025 DATACENTRE LICENSES - BCY</v>
      </c>
      <c r="D372" s="1071" t="str">
        <f t="shared" si="93"/>
        <v>IT Network</v>
      </c>
      <c r="E372" s="1071" t="str">
        <f t="shared" si="93"/>
        <v>S0250005</v>
      </c>
      <c r="F372" s="1125">
        <f t="shared" si="93"/>
        <v>2020</v>
      </c>
      <c r="H372" s="1071" t="s">
        <v>29</v>
      </c>
      <c r="AZ372" s="1108"/>
      <c r="BA372" s="1109"/>
      <c r="BB372" s="1109"/>
      <c r="BC372" s="1109"/>
      <c r="BD372" s="1109"/>
      <c r="BE372" s="1109"/>
      <c r="BF372" s="1109">
        <f t="shared" ref="BF372:BJ372" si="94">IF($J69=0,0,(($BF69*M69)+($BG69*S69)+($BH69*Y69)+($BI69*AE69)+($BJ69*AK69))/$J69)</f>
        <v>4.2788100000000009</v>
      </c>
      <c r="BG372" s="1109">
        <f t="shared" si="94"/>
        <v>12.836456666666669</v>
      </c>
      <c r="BH372" s="1109">
        <f t="shared" si="94"/>
        <v>12.836456666666669</v>
      </c>
      <c r="BI372" s="1109">
        <f t="shared" si="94"/>
        <v>8.5576466666666668</v>
      </c>
      <c r="BJ372" s="1109">
        <f t="shared" si="94"/>
        <v>0</v>
      </c>
    </row>
    <row r="373" spans="2:62" hidden="1" outlineLevel="1">
      <c r="B373" s="1094"/>
      <c r="C373" s="1071" t="str">
        <f t="shared" ref="C373:F373" si="95">C70</f>
        <v>S025 SUPPORT VMWARE VS 7 - BCY</v>
      </c>
      <c r="D373" s="1071" t="str">
        <f t="shared" si="95"/>
        <v>IT Network</v>
      </c>
      <c r="E373" s="1071" t="str">
        <f t="shared" si="95"/>
        <v>S0250007</v>
      </c>
      <c r="F373" s="1125">
        <f t="shared" si="95"/>
        <v>2020</v>
      </c>
      <c r="H373" s="1071" t="s">
        <v>29</v>
      </c>
      <c r="AZ373" s="1108"/>
      <c r="BA373" s="1109"/>
      <c r="BB373" s="1109"/>
      <c r="BC373" s="1109"/>
      <c r="BD373" s="1109"/>
      <c r="BE373" s="1109"/>
      <c r="BF373" s="1109">
        <f t="shared" ref="BF373:BJ373" si="96">IF($J70=0,0,(($BF70*M70)+($BG70*S70)+($BH70*Y70)+($BI70*AE70)+($BJ70*AK70))/$J70)</f>
        <v>0.36451</v>
      </c>
      <c r="BG373" s="1109">
        <f t="shared" si="96"/>
        <v>4.2558421621621623</v>
      </c>
      <c r="BH373" s="1109">
        <f t="shared" si="96"/>
        <v>4.2558421621621623</v>
      </c>
      <c r="BI373" s="1109">
        <f t="shared" si="96"/>
        <v>4.2459856756756755</v>
      </c>
      <c r="BJ373" s="1109">
        <f t="shared" si="96"/>
        <v>0</v>
      </c>
    </row>
    <row r="374" spans="2:62" hidden="1" outlineLevel="1">
      <c r="B374" s="1094"/>
      <c r="C374" s="1071" t="str">
        <f t="shared" ref="C374:F374" si="97">C71</f>
        <v>S024 - AGILE HPE ARUBA BCY</v>
      </c>
      <c r="D374" s="1071" t="str">
        <f t="shared" si="97"/>
        <v>AGILE HPE ARUBA</v>
      </c>
      <c r="E374" s="1071" t="str">
        <f t="shared" si="97"/>
        <v>S0240005</v>
      </c>
      <c r="F374" s="1125">
        <f t="shared" si="97"/>
        <v>2020</v>
      </c>
      <c r="H374" s="1071" t="s">
        <v>29</v>
      </c>
      <c r="AZ374" s="1108"/>
      <c r="BA374" s="1109"/>
      <c r="BB374" s="1109"/>
      <c r="BC374" s="1109"/>
      <c r="BD374" s="1109"/>
      <c r="BE374" s="1109"/>
      <c r="BF374" s="1109">
        <f t="shared" ref="BF374:BJ374" si="98">IF($J71=0,0,(($BF71*M71)+($BG71*S71)+($BH71*Y71)+($BI71*AE71)+($BJ71*AK71))/$J71)</f>
        <v>3.6213799999999998</v>
      </c>
      <c r="BG374" s="1109">
        <f t="shared" si="98"/>
        <v>6.2081166666666663</v>
      </c>
      <c r="BH374" s="1109">
        <f t="shared" si="98"/>
        <v>6.2081166666666663</v>
      </c>
      <c r="BI374" s="1109">
        <f t="shared" si="98"/>
        <v>2.5867366666666656</v>
      </c>
      <c r="BJ374" s="1109">
        <f t="shared" si="98"/>
        <v>0</v>
      </c>
    </row>
    <row r="375" spans="2:62" hidden="1" outlineLevel="1">
      <c r="B375" s="1094"/>
      <c r="C375" s="1071" t="str">
        <f t="shared" ref="C375:F375" si="99">C72</f>
        <v>S024 - AGILE HPE ARUBA DAP</v>
      </c>
      <c r="D375" s="1071" t="str">
        <f t="shared" si="99"/>
        <v>AGILE HPE ARUBA</v>
      </c>
      <c r="E375" s="1071" t="str">
        <f t="shared" si="99"/>
        <v>S0240009</v>
      </c>
      <c r="F375" s="1125">
        <f t="shared" si="99"/>
        <v>2020</v>
      </c>
      <c r="H375" s="1071" t="s">
        <v>29</v>
      </c>
      <c r="AZ375" s="1108"/>
      <c r="BA375" s="1109"/>
      <c r="BB375" s="1109"/>
      <c r="BC375" s="1109"/>
      <c r="BD375" s="1109"/>
      <c r="BE375" s="1109"/>
      <c r="BF375" s="1109">
        <f t="shared" ref="BF375:BJ375" si="100">IF($J72=0,0,(($BF72*M72)+($BG72*S72)+($BH72*Y72)+($BI72*AE72)+($BJ72*AK72))/$J72)</f>
        <v>4.4734900000000009</v>
      </c>
      <c r="BG375" s="1109">
        <f t="shared" si="100"/>
        <v>7.6688499999999999</v>
      </c>
      <c r="BH375" s="1109">
        <f t="shared" si="100"/>
        <v>7.6688499999999999</v>
      </c>
      <c r="BI375" s="1109">
        <f t="shared" si="100"/>
        <v>3.19536</v>
      </c>
      <c r="BJ375" s="1109">
        <f t="shared" si="100"/>
        <v>0</v>
      </c>
    </row>
    <row r="376" spans="2:62" hidden="1" outlineLevel="1">
      <c r="B376" s="1094"/>
      <c r="C376" s="1071" t="str">
        <f t="shared" ref="C376:F376" si="101">C73</f>
        <v>S024 - AGILE HPE ARUBA HQ</v>
      </c>
      <c r="D376" s="1071" t="str">
        <f t="shared" si="101"/>
        <v>AGILE HPE ARUBA</v>
      </c>
      <c r="E376" s="1071" t="str">
        <f t="shared" si="101"/>
        <v>S0240008</v>
      </c>
      <c r="F376" s="1125">
        <f t="shared" si="101"/>
        <v>2020</v>
      </c>
      <c r="H376" s="1071" t="s">
        <v>29</v>
      </c>
      <c r="AZ376" s="1108"/>
      <c r="BA376" s="1109"/>
      <c r="BB376" s="1109"/>
      <c r="BC376" s="1109"/>
      <c r="BD376" s="1109"/>
      <c r="BE376" s="1109"/>
      <c r="BF376" s="1109">
        <f t="shared" ref="BF376:BJ376" si="102">IF($J73=0,0,(($BF73*M73)+($BG73*S73)+($BH73*Y73)+($BI73*AE73)+($BJ73*AK73))/$J73)</f>
        <v>4.1068299999999995</v>
      </c>
      <c r="BG376" s="1109">
        <f t="shared" si="102"/>
        <v>7.040306666666666</v>
      </c>
      <c r="BH376" s="1109">
        <f t="shared" si="102"/>
        <v>7.040306666666666</v>
      </c>
      <c r="BI376" s="1109">
        <f t="shared" si="102"/>
        <v>2.9334766666666656</v>
      </c>
      <c r="BJ376" s="1109">
        <f t="shared" si="102"/>
        <v>0</v>
      </c>
    </row>
    <row r="377" spans="2:62" hidden="1" outlineLevel="1">
      <c r="B377" s="1094"/>
      <c r="C377" s="1071" t="str">
        <f t="shared" ref="C377:F377" si="103">C74</f>
        <v>S024 - AGILE HPE ARUBA SHN</v>
      </c>
      <c r="D377" s="1071" t="str">
        <f t="shared" si="103"/>
        <v>AGILE HPE ARUBA</v>
      </c>
      <c r="E377" s="1071" t="str">
        <f t="shared" si="103"/>
        <v>S0240006</v>
      </c>
      <c r="F377" s="1125">
        <f t="shared" si="103"/>
        <v>2020</v>
      </c>
      <c r="H377" s="1071" t="s">
        <v>29</v>
      </c>
      <c r="AZ377" s="1108"/>
      <c r="BA377" s="1109"/>
      <c r="BB377" s="1109"/>
      <c r="BC377" s="1109"/>
      <c r="BD377" s="1109"/>
      <c r="BE377" s="1109"/>
      <c r="BF377" s="1109">
        <f t="shared" ref="BF377:BJ377" si="104">IF($J74=0,0,(($BF74*M74)+($BG74*S74)+($BH74*Y74)+($BI74*AE74)+($BJ74*AK74))/$J74)</f>
        <v>0.78105999999999975</v>
      </c>
      <c r="BG377" s="1109">
        <f t="shared" si="104"/>
        <v>1.3390066666666667</v>
      </c>
      <c r="BH377" s="1109">
        <f t="shared" si="104"/>
        <v>1.3390066666666667</v>
      </c>
      <c r="BI377" s="1109">
        <f t="shared" si="104"/>
        <v>0.55794666666666659</v>
      </c>
      <c r="BJ377" s="1109">
        <f t="shared" si="104"/>
        <v>0</v>
      </c>
    </row>
    <row r="378" spans="2:62" hidden="1" outlineLevel="1">
      <c r="B378" s="1094"/>
      <c r="C378" s="1071" t="str">
        <f t="shared" ref="C378:F378" si="105">C75</f>
        <v>S024 - AGILE HPE ARUBA Cork</v>
      </c>
      <c r="D378" s="1071" t="str">
        <f t="shared" si="105"/>
        <v>AGILE HPE ARUBA</v>
      </c>
      <c r="E378" s="1071" t="str">
        <f t="shared" si="105"/>
        <v>S0240010</v>
      </c>
      <c r="F378" s="1125">
        <f t="shared" si="105"/>
        <v>2020</v>
      </c>
      <c r="H378" s="1071" t="s">
        <v>29</v>
      </c>
      <c r="AZ378" s="1108"/>
      <c r="BA378" s="1109"/>
      <c r="BB378" s="1109"/>
      <c r="BC378" s="1109"/>
      <c r="BD378" s="1109"/>
      <c r="BE378" s="1109"/>
      <c r="BF378" s="1109">
        <f t="shared" ref="BF378:BJ378" si="106">IF($J75=0,0,(($BF75*M75)+($BG75*S75)+($BH75*Y75)+($BI75*AE75)+($BJ75*AK75))/$J75)</f>
        <v>0.78105999999999975</v>
      </c>
      <c r="BG378" s="1109">
        <f t="shared" si="106"/>
        <v>1.3390066666666667</v>
      </c>
      <c r="BH378" s="1109">
        <f t="shared" si="106"/>
        <v>1.3390066666666667</v>
      </c>
      <c r="BI378" s="1109">
        <f t="shared" si="106"/>
        <v>0.55794666666666659</v>
      </c>
      <c r="BJ378" s="1109">
        <f t="shared" si="106"/>
        <v>0</v>
      </c>
    </row>
    <row r="379" spans="2:62" hidden="1" outlineLevel="1">
      <c r="B379" s="1094"/>
      <c r="C379" s="1071" t="str">
        <f t="shared" ref="C379:F379" si="107">C76</f>
        <v>N008 - RAPS-SMD SENSOR MONITOR &amp; Analysis</v>
      </c>
      <c r="D379" s="1071" t="str">
        <f t="shared" si="107"/>
        <v>RAPS-SMD SENSOR MONITOR &amp; Analysis</v>
      </c>
      <c r="E379" s="1071" t="str">
        <f t="shared" si="107"/>
        <v>N0080007</v>
      </c>
      <c r="F379" s="1125">
        <f t="shared" si="107"/>
        <v>2020</v>
      </c>
      <c r="H379" s="1071" t="s">
        <v>29</v>
      </c>
      <c r="AZ379" s="1108"/>
      <c r="BA379" s="1109"/>
      <c r="BB379" s="1109"/>
      <c r="BC379" s="1109"/>
      <c r="BD379" s="1109"/>
      <c r="BE379" s="1109"/>
      <c r="BF379" s="1109">
        <f t="shared" ref="BF379:BJ379" si="108">IF($J76=0,0,(($BF76*M76)+($BG76*S76)+($BH76*Y76)+($BI76*AE76)+($BJ76*AK76))/$J76)</f>
        <v>8.5333600000000001</v>
      </c>
      <c r="BG379" s="1109">
        <f t="shared" si="108"/>
        <v>12.8</v>
      </c>
      <c r="BH379" s="1109">
        <f t="shared" si="108"/>
        <v>12.8</v>
      </c>
      <c r="BI379" s="1109">
        <f t="shared" si="108"/>
        <v>12.8</v>
      </c>
      <c r="BJ379" s="1109">
        <f t="shared" si="108"/>
        <v>12.8</v>
      </c>
    </row>
    <row r="380" spans="2:62" hidden="1" outlineLevel="1">
      <c r="B380" s="1094"/>
      <c r="C380" s="1071" t="str">
        <f t="shared" ref="C380:F380" si="109">C77</f>
        <v>T017 - OPTIPLEX5060 W20007783</v>
      </c>
      <c r="D380" s="1071" t="str">
        <f t="shared" si="109"/>
        <v>IT Equipment</v>
      </c>
      <c r="E380" s="1071" t="str">
        <f t="shared" si="109"/>
        <v>T0170203</v>
      </c>
      <c r="F380" s="1125">
        <f t="shared" si="109"/>
        <v>2020</v>
      </c>
      <c r="H380" s="1071" t="s">
        <v>29</v>
      </c>
      <c r="AZ380" s="1108"/>
      <c r="BA380" s="1109"/>
      <c r="BB380" s="1109"/>
      <c r="BC380" s="1109"/>
      <c r="BD380" s="1109"/>
      <c r="BE380" s="1109"/>
      <c r="BF380" s="1109">
        <f t="shared" ref="BF380:BJ380" si="110">IF($J77=0,0,(($BF77*M77)+($BG77*S77)+($BH77*Y77)+($BI77*AE77)+($BJ77*AK77))/$J77)</f>
        <v>0.11668999999999999</v>
      </c>
      <c r="BG380" s="1109">
        <f t="shared" si="110"/>
        <v>0.19999999999999998</v>
      </c>
      <c r="BH380" s="1109">
        <f t="shared" si="110"/>
        <v>0.19999999999999998</v>
      </c>
      <c r="BI380" s="1109">
        <f t="shared" si="110"/>
        <v>8.3309999999999995E-2</v>
      </c>
      <c r="BJ380" s="1109">
        <f t="shared" si="110"/>
        <v>0</v>
      </c>
    </row>
    <row r="381" spans="2:62" hidden="1" outlineLevel="1">
      <c r="B381" s="1094"/>
      <c r="C381" s="1071" t="str">
        <f t="shared" ref="C381:F381" si="111">C78</f>
        <v>T017 - OPTIPLEX5060 W20007913</v>
      </c>
      <c r="D381" s="1071" t="str">
        <f t="shared" si="111"/>
        <v>IT Equipment</v>
      </c>
      <c r="E381" s="1071" t="str">
        <f t="shared" si="111"/>
        <v>T0170211</v>
      </c>
      <c r="F381" s="1125">
        <f t="shared" si="111"/>
        <v>2020</v>
      </c>
      <c r="H381" s="1071" t="s">
        <v>29</v>
      </c>
      <c r="AZ381" s="1108"/>
      <c r="BA381" s="1109"/>
      <c r="BB381" s="1109"/>
      <c r="BC381" s="1109"/>
      <c r="BD381" s="1109"/>
      <c r="BE381" s="1109"/>
      <c r="BF381" s="1109">
        <f t="shared" ref="BF381:BJ381" si="112">IF($J78=0,0,(($BF78*M78)+($BG78*S78)+($BH78*Y78)+($BI78*AE78)+($BJ78*AK78))/$J78)</f>
        <v>0.11668999999999999</v>
      </c>
      <c r="BG381" s="1109">
        <f t="shared" si="112"/>
        <v>0.19999999999999998</v>
      </c>
      <c r="BH381" s="1109">
        <f t="shared" si="112"/>
        <v>0.19999999999999998</v>
      </c>
      <c r="BI381" s="1109">
        <f t="shared" si="112"/>
        <v>8.3309999999999995E-2</v>
      </c>
      <c r="BJ381" s="1109">
        <f t="shared" si="112"/>
        <v>0</v>
      </c>
    </row>
    <row r="382" spans="2:62" hidden="1" outlineLevel="1">
      <c r="B382" s="1094"/>
      <c r="C382" s="1071" t="str">
        <f t="shared" ref="C382:F382" si="113">C79</f>
        <v>T017 - TOSHIBA X20 W20008068</v>
      </c>
      <c r="D382" s="1071" t="str">
        <f t="shared" si="113"/>
        <v>IT Equipment</v>
      </c>
      <c r="E382" s="1071" t="str">
        <f t="shared" si="113"/>
        <v>T0170213</v>
      </c>
      <c r="F382" s="1125">
        <f t="shared" si="113"/>
        <v>2020</v>
      </c>
      <c r="H382" s="1071" t="s">
        <v>29</v>
      </c>
      <c r="AZ382" s="1108"/>
      <c r="BA382" s="1109"/>
      <c r="BB382" s="1109"/>
      <c r="BC382" s="1109"/>
      <c r="BD382" s="1109"/>
      <c r="BE382" s="1109"/>
      <c r="BF382" s="1109">
        <f t="shared" ref="BF382:BJ382" si="114">IF($J79=0,0,(($BF79*M79)+($BG79*S79)+($BH79*Y79)+($BI79*AE79)+($BJ79*AK79))/$J79)</f>
        <v>0.17513999999999999</v>
      </c>
      <c r="BG382" s="1109">
        <f t="shared" si="114"/>
        <v>0.29208972972972974</v>
      </c>
      <c r="BH382" s="1109">
        <f t="shared" si="114"/>
        <v>0.29208972972972974</v>
      </c>
      <c r="BI382" s="1109">
        <f t="shared" si="114"/>
        <v>0.14129054054054055</v>
      </c>
      <c r="BJ382" s="1109">
        <f t="shared" si="114"/>
        <v>0</v>
      </c>
    </row>
    <row r="383" spans="2:62" hidden="1" outlineLevel="1">
      <c r="B383" s="1094"/>
      <c r="C383" s="1071" t="str">
        <f t="shared" ref="C383:F383" si="115">C80</f>
        <v>T017 - TOSHIBA X20 W20008012</v>
      </c>
      <c r="D383" s="1071" t="str">
        <f t="shared" si="115"/>
        <v>IT Equipment</v>
      </c>
      <c r="E383" s="1071" t="str">
        <f t="shared" si="115"/>
        <v>T0170235</v>
      </c>
      <c r="F383" s="1125">
        <f t="shared" si="115"/>
        <v>2020</v>
      </c>
      <c r="H383" s="1071" t="s">
        <v>29</v>
      </c>
      <c r="AZ383" s="1108"/>
      <c r="BA383" s="1109"/>
      <c r="BB383" s="1109"/>
      <c r="BC383" s="1109"/>
      <c r="BD383" s="1109"/>
      <c r="BE383" s="1109"/>
      <c r="BF383" s="1109">
        <f t="shared" ref="BF383:BJ383" si="116">IF($J80=0,0,(($BF80*M80)+($BG80*S80)+($BH80*Y80)+($BI80*AE80)+($BJ80*AK80))/$J80)</f>
        <v>0.29291000000000006</v>
      </c>
      <c r="BG383" s="1109">
        <f t="shared" si="116"/>
        <v>0.50213666666666668</v>
      </c>
      <c r="BH383" s="1109">
        <f t="shared" si="116"/>
        <v>0.50213666666666668</v>
      </c>
      <c r="BI383" s="1109">
        <f t="shared" si="116"/>
        <v>0.20922666666666673</v>
      </c>
      <c r="BJ383" s="1109">
        <f t="shared" si="116"/>
        <v>0</v>
      </c>
    </row>
    <row r="384" spans="2:62" hidden="1" outlineLevel="1">
      <c r="B384" s="1094"/>
      <c r="C384" s="1071" t="str">
        <f t="shared" ref="C384:F384" si="117">C81</f>
        <v>T017 - HP G7 CORE W20008095</v>
      </c>
      <c r="D384" s="1071" t="str">
        <f t="shared" si="117"/>
        <v>IT Equipment</v>
      </c>
      <c r="E384" s="1071" t="str">
        <f t="shared" si="117"/>
        <v>T0170249</v>
      </c>
      <c r="F384" s="1125">
        <f t="shared" si="117"/>
        <v>2020</v>
      </c>
      <c r="H384" s="1071" t="s">
        <v>29</v>
      </c>
      <c r="AZ384" s="1108"/>
      <c r="BA384" s="1109"/>
      <c r="BB384" s="1109"/>
      <c r="BC384" s="1109"/>
      <c r="BD384" s="1109"/>
      <c r="BE384" s="1109"/>
      <c r="BF384" s="1109">
        <f t="shared" ref="BF384:BJ384" si="118">IF($J81=0,0,(($BF81*M81)+($BG81*S81)+($BH81*Y81)+($BI81*AE81)+($BJ81*AK81))/$J81)</f>
        <v>0.13515999999999997</v>
      </c>
      <c r="BG384" s="1109">
        <f t="shared" si="118"/>
        <v>0.23166666666666666</v>
      </c>
      <c r="BH384" s="1109">
        <f t="shared" si="118"/>
        <v>0.23166666666666666</v>
      </c>
      <c r="BI384" s="1109">
        <f t="shared" si="118"/>
        <v>9.6506666666666685E-2</v>
      </c>
      <c r="BJ384" s="1109">
        <f t="shared" si="118"/>
        <v>0</v>
      </c>
    </row>
    <row r="385" spans="2:62" hidden="1" outlineLevel="1">
      <c r="B385" s="1094"/>
      <c r="C385" s="1071" t="str">
        <f t="shared" ref="C385:F385" si="119">C82</f>
        <v>T017 - TOSHIBA W20008013</v>
      </c>
      <c r="D385" s="1071" t="str">
        <f t="shared" si="119"/>
        <v>IT Equipment</v>
      </c>
      <c r="E385" s="1071" t="str">
        <f t="shared" si="119"/>
        <v>T0170258</v>
      </c>
      <c r="F385" s="1125">
        <f t="shared" si="119"/>
        <v>2020</v>
      </c>
      <c r="H385" s="1071" t="s">
        <v>29</v>
      </c>
      <c r="AZ385" s="1108"/>
      <c r="BA385" s="1109"/>
      <c r="BB385" s="1109"/>
      <c r="BC385" s="1109"/>
      <c r="BD385" s="1109"/>
      <c r="BE385" s="1109"/>
      <c r="BF385" s="1109">
        <f t="shared" ref="BF385:BJ385" si="120">IF($J82=0,0,(($BF82*M82)+($BG82*S82)+($BH82*Y82)+($BI82*AE82)+($BJ82*AK82))/$J82)</f>
        <v>0.40798000000000001</v>
      </c>
      <c r="BG385" s="1109">
        <f t="shared" si="120"/>
        <v>0.50213666666666668</v>
      </c>
      <c r="BH385" s="1109">
        <f t="shared" si="120"/>
        <v>0.50213666666666668</v>
      </c>
      <c r="BI385" s="1109">
        <f t="shared" si="120"/>
        <v>9.4156666666666805E-2</v>
      </c>
      <c r="BJ385" s="1109">
        <f t="shared" si="120"/>
        <v>0</v>
      </c>
    </row>
    <row r="386" spans="2:62" hidden="1" outlineLevel="1">
      <c r="B386" s="1094"/>
      <c r="C386" s="1071" t="str">
        <f t="shared" ref="C386:F386" si="121">C83</f>
        <v>T017 - TOSHIBA W20008083</v>
      </c>
      <c r="D386" s="1071" t="str">
        <f t="shared" si="121"/>
        <v>IT Equipment</v>
      </c>
      <c r="E386" s="1071" t="str">
        <f t="shared" si="121"/>
        <v>T0170260</v>
      </c>
      <c r="F386" s="1125">
        <f t="shared" si="121"/>
        <v>2020</v>
      </c>
      <c r="H386" s="1071" t="s">
        <v>29</v>
      </c>
      <c r="AZ386" s="1108"/>
      <c r="BA386" s="1109"/>
      <c r="BB386" s="1109"/>
      <c r="BC386" s="1109"/>
      <c r="BD386" s="1109"/>
      <c r="BE386" s="1109"/>
      <c r="BF386" s="1109">
        <f t="shared" ref="BF386:BJ386" si="122">IF($J83=0,0,(($BF83*M83)+($BG83*S83)+($BH83*Y83)+($BI83*AE83)+($BJ83*AK83))/$J83)</f>
        <v>0.25019999999999998</v>
      </c>
      <c r="BG386" s="1109">
        <f t="shared" si="122"/>
        <v>0.29208972972972974</v>
      </c>
      <c r="BH386" s="1109">
        <f t="shared" si="122"/>
        <v>0.29208972972972974</v>
      </c>
      <c r="BI386" s="1109">
        <f t="shared" si="122"/>
        <v>6.6230540540540478E-2</v>
      </c>
      <c r="BJ386" s="1109">
        <f t="shared" si="122"/>
        <v>0</v>
      </c>
    </row>
    <row r="387" spans="2:62" hidden="1" outlineLevel="1">
      <c r="B387" s="1094"/>
      <c r="C387" s="1071" t="str">
        <f t="shared" ref="C387:F387" si="123">C84</f>
        <v>T017 - TOSHIBA W20008068</v>
      </c>
      <c r="D387" s="1071" t="str">
        <f t="shared" si="123"/>
        <v>IT Equipment</v>
      </c>
      <c r="E387" s="1071" t="str">
        <f t="shared" si="123"/>
        <v>T0170261</v>
      </c>
      <c r="F387" s="1125">
        <f t="shared" si="123"/>
        <v>2020</v>
      </c>
      <c r="H387" s="1071" t="s">
        <v>29</v>
      </c>
      <c r="AZ387" s="1108"/>
      <c r="BA387" s="1109"/>
      <c r="BB387" s="1109"/>
      <c r="BC387" s="1109"/>
      <c r="BD387" s="1109"/>
      <c r="BE387" s="1109"/>
      <c r="BF387" s="1109">
        <f t="shared" ref="BF387:BJ387" si="124">IF($J84=0,0,(($BF84*M84)+($BG84*S84)+($BH84*Y84)+($BI84*AE84)+($BJ84*AK84))/$J84)</f>
        <v>0.11781000000000003</v>
      </c>
      <c r="BG387" s="1109">
        <f t="shared" si="124"/>
        <v>0.20193333333333335</v>
      </c>
      <c r="BH387" s="1109">
        <f t="shared" si="124"/>
        <v>0.20193333333333335</v>
      </c>
      <c r="BI387" s="1109">
        <f t="shared" si="124"/>
        <v>8.41233333333333E-2</v>
      </c>
      <c r="BJ387" s="1109">
        <f t="shared" si="124"/>
        <v>0</v>
      </c>
    </row>
    <row r="388" spans="2:62" hidden="1" outlineLevel="1">
      <c r="B388" s="1094"/>
      <c r="C388" s="1071" t="str">
        <f t="shared" ref="C388:F388" si="125">C85</f>
        <v>T017 - TOSHIBA W20008069</v>
      </c>
      <c r="D388" s="1071" t="str">
        <f t="shared" si="125"/>
        <v>IT Equipment</v>
      </c>
      <c r="E388" s="1071" t="str">
        <f t="shared" si="125"/>
        <v>T0170262</v>
      </c>
      <c r="F388" s="1125">
        <f t="shared" si="125"/>
        <v>2020</v>
      </c>
      <c r="H388" s="1071" t="s">
        <v>29</v>
      </c>
      <c r="AZ388" s="1108"/>
      <c r="BA388" s="1109"/>
      <c r="BB388" s="1109"/>
      <c r="BC388" s="1109"/>
      <c r="BD388" s="1109"/>
      <c r="BE388" s="1109"/>
      <c r="BF388" s="1109">
        <f t="shared" ref="BF388:BJ388" si="126">IF($J85=0,0,(($BF85*M85)+($BG85*S85)+($BH85*Y85)+($BI85*AE85)+($BJ85*AK85))/$J85)</f>
        <v>0.11781000000000003</v>
      </c>
      <c r="BG388" s="1109">
        <f t="shared" si="126"/>
        <v>0.20193333333333335</v>
      </c>
      <c r="BH388" s="1109">
        <f t="shared" si="126"/>
        <v>0.20193333333333335</v>
      </c>
      <c r="BI388" s="1109">
        <f t="shared" si="126"/>
        <v>8.41233333333333E-2</v>
      </c>
      <c r="BJ388" s="1109">
        <f t="shared" si="126"/>
        <v>0</v>
      </c>
    </row>
    <row r="389" spans="2:62" hidden="1" outlineLevel="1">
      <c r="B389" s="1094"/>
      <c r="C389" s="1071" t="str">
        <f t="shared" ref="C389:F389" si="127">C86</f>
        <v>T017 - TOSHIBA W20008081</v>
      </c>
      <c r="D389" s="1071" t="str">
        <f t="shared" si="127"/>
        <v>IT Equipment</v>
      </c>
      <c r="E389" s="1071" t="str">
        <f t="shared" si="127"/>
        <v>T0170273</v>
      </c>
      <c r="F389" s="1125">
        <f t="shared" si="127"/>
        <v>2020</v>
      </c>
      <c r="H389" s="1071" t="s">
        <v>29</v>
      </c>
      <c r="AZ389" s="1108"/>
      <c r="BA389" s="1109"/>
      <c r="BB389" s="1109"/>
      <c r="BC389" s="1109"/>
      <c r="BD389" s="1109"/>
      <c r="BE389" s="1109"/>
      <c r="BF389" s="1109">
        <f t="shared" ref="BF389:BJ389" si="128">IF($J86=0,0,(($BF86*M86)+($BG86*S86)+($BH86*Y86)+($BI86*AE86)+($BJ86*AK86))/$J86)</f>
        <v>0.11781000000000003</v>
      </c>
      <c r="BG389" s="1109">
        <f t="shared" si="128"/>
        <v>0.20193333333333335</v>
      </c>
      <c r="BH389" s="1109">
        <f t="shared" si="128"/>
        <v>0.20193333333333335</v>
      </c>
      <c r="BI389" s="1109">
        <f t="shared" si="128"/>
        <v>8.41233333333333E-2</v>
      </c>
      <c r="BJ389" s="1109">
        <f t="shared" si="128"/>
        <v>0</v>
      </c>
    </row>
    <row r="390" spans="2:62" hidden="1" outlineLevel="1">
      <c r="B390" s="1094"/>
      <c r="C390" s="1071" t="str">
        <f t="shared" ref="C390:F390" si="129">C87</f>
        <v>T017 - TOSHIBA W20008077</v>
      </c>
      <c r="D390" s="1071" t="str">
        <f t="shared" si="129"/>
        <v>IT Equipment</v>
      </c>
      <c r="E390" s="1071" t="str">
        <f t="shared" si="129"/>
        <v>T0170291</v>
      </c>
      <c r="F390" s="1125">
        <f t="shared" si="129"/>
        <v>2020</v>
      </c>
      <c r="H390" s="1071" t="s">
        <v>29</v>
      </c>
      <c r="AZ390" s="1108"/>
      <c r="BA390" s="1109"/>
      <c r="BB390" s="1109"/>
      <c r="BC390" s="1109"/>
      <c r="BD390" s="1109"/>
      <c r="BE390" s="1109"/>
      <c r="BF390" s="1109">
        <f t="shared" ref="BF390:BJ390" si="130">IF($J87=0,0,(($BF87*M87)+($BG87*S87)+($BH87*Y87)+($BI87*AE87)+($BJ87*AK87))/$J87)</f>
        <v>0.25019999999999998</v>
      </c>
      <c r="BG390" s="1109">
        <f t="shared" si="130"/>
        <v>0.29208972972972974</v>
      </c>
      <c r="BH390" s="1109">
        <f t="shared" si="130"/>
        <v>0.29208972972972974</v>
      </c>
      <c r="BI390" s="1109">
        <f t="shared" si="130"/>
        <v>6.6230540540540478E-2</v>
      </c>
      <c r="BJ390" s="1109">
        <f t="shared" si="130"/>
        <v>0</v>
      </c>
    </row>
    <row r="391" spans="2:62" hidden="1" outlineLevel="1">
      <c r="B391" s="1094"/>
      <c r="C391" s="1071" t="str">
        <f t="shared" ref="C391:F391" si="131">C88</f>
        <v>T017 - W20008077</v>
      </c>
      <c r="D391" s="1071" t="str">
        <f t="shared" si="131"/>
        <v>IT Equipment</v>
      </c>
      <c r="E391" s="1071" t="str">
        <f t="shared" si="131"/>
        <v>T0170292</v>
      </c>
      <c r="F391" s="1125">
        <f t="shared" si="131"/>
        <v>2020</v>
      </c>
      <c r="H391" s="1071" t="s">
        <v>29</v>
      </c>
      <c r="AZ391" s="1108"/>
      <c r="BA391" s="1109"/>
      <c r="BB391" s="1109"/>
      <c r="BC391" s="1109"/>
      <c r="BD391" s="1109"/>
      <c r="BE391" s="1109"/>
      <c r="BF391" s="1109">
        <f t="shared" ref="BF391:BJ391" si="132">IF($J88=0,0,(($BF88*M88)+($BG88*S88)+($BH88*Y88)+($BI88*AE88)+($BJ88*AK88))/$J88)</f>
        <v>0.11781000000000003</v>
      </c>
      <c r="BG391" s="1109">
        <f t="shared" si="132"/>
        <v>0.20193333333333335</v>
      </c>
      <c r="BH391" s="1109">
        <f t="shared" si="132"/>
        <v>0.20193333333333335</v>
      </c>
      <c r="BI391" s="1109">
        <f t="shared" si="132"/>
        <v>8.41233333333333E-2</v>
      </c>
      <c r="BJ391" s="1109">
        <f t="shared" si="132"/>
        <v>0</v>
      </c>
    </row>
    <row r="392" spans="2:62" hidden="1" outlineLevel="1">
      <c r="B392" s="1094"/>
      <c r="C392" s="1071" t="str">
        <f t="shared" ref="C392:F392" si="133">C89</f>
        <v>T017 - TOSHIBA W20008083</v>
      </c>
      <c r="D392" s="1071" t="str">
        <f t="shared" si="133"/>
        <v>IT Equipment</v>
      </c>
      <c r="E392" s="1071" t="str">
        <f t="shared" si="133"/>
        <v>T0170294</v>
      </c>
      <c r="F392" s="1125">
        <f t="shared" si="133"/>
        <v>2020</v>
      </c>
      <c r="H392" s="1071" t="s">
        <v>29</v>
      </c>
      <c r="AZ392" s="1108"/>
      <c r="BA392" s="1109"/>
      <c r="BB392" s="1109"/>
      <c r="BC392" s="1109"/>
      <c r="BD392" s="1109"/>
      <c r="BE392" s="1109"/>
      <c r="BF392" s="1109">
        <f t="shared" ref="BF392:BJ392" si="134">IF($J89=0,0,(($BF89*M89)+($BG89*S89)+($BH89*Y89)+($BI89*AE89)+($BJ89*AK89))/$J89)</f>
        <v>0.11781000000000003</v>
      </c>
      <c r="BG392" s="1109">
        <f t="shared" si="134"/>
        <v>0.20193333333333335</v>
      </c>
      <c r="BH392" s="1109">
        <f t="shared" si="134"/>
        <v>0.20193333333333335</v>
      </c>
      <c r="BI392" s="1109">
        <f t="shared" si="134"/>
        <v>8.41233333333333E-2</v>
      </c>
      <c r="BJ392" s="1109">
        <f t="shared" si="134"/>
        <v>0</v>
      </c>
    </row>
    <row r="393" spans="2:62" hidden="1" outlineLevel="1">
      <c r="B393" s="1094"/>
      <c r="C393" s="1071" t="str">
        <f t="shared" ref="C393:F393" si="135">C90</f>
        <v>T017 - OPTIPLEX5060 W20007867</v>
      </c>
      <c r="D393" s="1071" t="str">
        <f t="shared" si="135"/>
        <v>IT Equipment</v>
      </c>
      <c r="E393" s="1071" t="str">
        <f t="shared" si="135"/>
        <v>T0170205</v>
      </c>
      <c r="F393" s="1125">
        <f t="shared" si="135"/>
        <v>2020</v>
      </c>
      <c r="H393" s="1071" t="s">
        <v>29</v>
      </c>
      <c r="AZ393" s="1108"/>
      <c r="BA393" s="1109"/>
      <c r="BB393" s="1109"/>
      <c r="BC393" s="1109"/>
      <c r="BD393" s="1109"/>
      <c r="BE393" s="1109"/>
      <c r="BF393" s="1109">
        <f t="shared" ref="BF393:BJ393" si="136">IF($J90=0,0,(($BF90*M90)+($BG90*S90)+($BH90*Y90)+($BI90*AE90)+($BJ90*AK90))/$J90)</f>
        <v>0.11668999999999999</v>
      </c>
      <c r="BG393" s="1109">
        <f t="shared" si="136"/>
        <v>0.19999999999999998</v>
      </c>
      <c r="BH393" s="1109">
        <f t="shared" si="136"/>
        <v>0.19999999999999998</v>
      </c>
      <c r="BI393" s="1109">
        <f t="shared" si="136"/>
        <v>8.3309999999999995E-2</v>
      </c>
      <c r="BJ393" s="1109">
        <f t="shared" si="136"/>
        <v>0</v>
      </c>
    </row>
    <row r="394" spans="2:62" hidden="1" outlineLevel="1">
      <c r="B394" s="1094"/>
      <c r="C394" s="1071" t="str">
        <f t="shared" ref="C394:F394" si="137">C91</f>
        <v>T017 - OPTIPLEX5060 W20007900</v>
      </c>
      <c r="D394" s="1071" t="str">
        <f t="shared" si="137"/>
        <v>IT Equipment</v>
      </c>
      <c r="E394" s="1071" t="str">
        <f t="shared" si="137"/>
        <v>T0170206</v>
      </c>
      <c r="F394" s="1125">
        <f t="shared" si="137"/>
        <v>2020</v>
      </c>
      <c r="H394" s="1071" t="s">
        <v>29</v>
      </c>
      <c r="AZ394" s="1108"/>
      <c r="BA394" s="1109"/>
      <c r="BB394" s="1109"/>
      <c r="BC394" s="1109"/>
      <c r="BD394" s="1109"/>
      <c r="BE394" s="1109"/>
      <c r="BF394" s="1109">
        <f t="shared" ref="BF394:BJ394" si="138">IF($J91=0,0,(($BF91*M91)+($BG91*S91)+($BH91*Y91)+($BI91*AE91)+($BJ91*AK91))/$J91)</f>
        <v>0.11668999999999999</v>
      </c>
      <c r="BG394" s="1109">
        <f t="shared" si="138"/>
        <v>0.19999999999999998</v>
      </c>
      <c r="BH394" s="1109">
        <f t="shared" si="138"/>
        <v>0.19999999999999998</v>
      </c>
      <c r="BI394" s="1109">
        <f t="shared" si="138"/>
        <v>8.3309999999999995E-2</v>
      </c>
      <c r="BJ394" s="1109">
        <f t="shared" si="138"/>
        <v>0</v>
      </c>
    </row>
    <row r="395" spans="2:62" hidden="1" outlineLevel="1">
      <c r="B395" s="1094"/>
      <c r="C395" s="1071" t="str">
        <f t="shared" ref="C395:F395" si="139">C92</f>
        <v>T017 - OPTIPLEX5060 W20007906</v>
      </c>
      <c r="D395" s="1071" t="str">
        <f t="shared" si="139"/>
        <v>IT Equipment</v>
      </c>
      <c r="E395" s="1071" t="str">
        <f t="shared" si="139"/>
        <v>T0170209</v>
      </c>
      <c r="F395" s="1125">
        <f t="shared" si="139"/>
        <v>2020</v>
      </c>
      <c r="H395" s="1071" t="s">
        <v>29</v>
      </c>
      <c r="AZ395" s="1108"/>
      <c r="BA395" s="1109"/>
      <c r="BB395" s="1109"/>
      <c r="BC395" s="1109"/>
      <c r="BD395" s="1109"/>
      <c r="BE395" s="1109"/>
      <c r="BF395" s="1109">
        <f t="shared" ref="BF395:BJ395" si="140">IF($J92=0,0,(($BF92*M92)+($BG92*S92)+($BH92*Y92)+($BI92*AE92)+($BJ92*AK92))/$J92)</f>
        <v>0.11668999999999999</v>
      </c>
      <c r="BG395" s="1109">
        <f t="shared" si="140"/>
        <v>0.19999999999999998</v>
      </c>
      <c r="BH395" s="1109">
        <f t="shared" si="140"/>
        <v>0.19999999999999998</v>
      </c>
      <c r="BI395" s="1109">
        <f t="shared" si="140"/>
        <v>8.3309999999999995E-2</v>
      </c>
      <c r="BJ395" s="1109">
        <f t="shared" si="140"/>
        <v>0</v>
      </c>
    </row>
    <row r="396" spans="2:62" hidden="1" outlineLevel="1">
      <c r="B396" s="1094"/>
      <c r="C396" s="1071" t="str">
        <f t="shared" ref="C396:F396" si="141">C93</f>
        <v>T017 - TOSHIBA X20 W20008070</v>
      </c>
      <c r="D396" s="1071" t="str">
        <f t="shared" si="141"/>
        <v>IT Equipment</v>
      </c>
      <c r="E396" s="1071" t="str">
        <f t="shared" si="141"/>
        <v>T0170215</v>
      </c>
      <c r="F396" s="1125">
        <f t="shared" si="141"/>
        <v>2020</v>
      </c>
      <c r="H396" s="1071" t="s">
        <v>29</v>
      </c>
      <c r="AZ396" s="1108"/>
      <c r="BA396" s="1109"/>
      <c r="BB396" s="1109"/>
      <c r="BC396" s="1109"/>
      <c r="BD396" s="1109"/>
      <c r="BE396" s="1109"/>
      <c r="BF396" s="1109">
        <f t="shared" ref="BF396:BJ396" si="142">IF($J93=0,0,(($BF93*M93)+($BG93*S93)+($BH93*Y93)+($BI93*AE93)+($BJ93*AK93))/$J93)</f>
        <v>0.17513999999999999</v>
      </c>
      <c r="BG396" s="1109">
        <f t="shared" si="142"/>
        <v>0.29208972972972974</v>
      </c>
      <c r="BH396" s="1109">
        <f t="shared" si="142"/>
        <v>0.29208972972972974</v>
      </c>
      <c r="BI396" s="1109">
        <f t="shared" si="142"/>
        <v>0.14129054054054055</v>
      </c>
      <c r="BJ396" s="1109">
        <f t="shared" si="142"/>
        <v>0</v>
      </c>
    </row>
    <row r="397" spans="2:62" hidden="1" outlineLevel="1">
      <c r="B397" s="1094"/>
      <c r="C397" s="1071" t="str">
        <f t="shared" ref="C397:F397" si="143">C94</f>
        <v>T017 - TOSHIBA X20 W20008085</v>
      </c>
      <c r="D397" s="1071" t="str">
        <f t="shared" si="143"/>
        <v>IT Equipment</v>
      </c>
      <c r="E397" s="1071" t="str">
        <f t="shared" si="143"/>
        <v>T0170226</v>
      </c>
      <c r="F397" s="1125">
        <f t="shared" si="143"/>
        <v>2020</v>
      </c>
      <c r="H397" s="1071" t="s">
        <v>29</v>
      </c>
      <c r="AZ397" s="1108"/>
      <c r="BA397" s="1109"/>
      <c r="BB397" s="1109"/>
      <c r="BC397" s="1109"/>
      <c r="BD397" s="1109"/>
      <c r="BE397" s="1109"/>
      <c r="BF397" s="1109">
        <f t="shared" ref="BF397:BJ397" si="144">IF($J94=0,0,(($BF94*M94)+($BG94*S94)+($BH94*Y94)+($BI94*AE94)+($BJ94*AK94))/$J94)</f>
        <v>0.17513999999999999</v>
      </c>
      <c r="BG397" s="1109">
        <f t="shared" si="144"/>
        <v>0.29208972972972974</v>
      </c>
      <c r="BH397" s="1109">
        <f t="shared" si="144"/>
        <v>0.29208972972972974</v>
      </c>
      <c r="BI397" s="1109">
        <f t="shared" si="144"/>
        <v>0.14129054054054055</v>
      </c>
      <c r="BJ397" s="1109">
        <f t="shared" si="144"/>
        <v>0</v>
      </c>
    </row>
    <row r="398" spans="2:62" hidden="1" outlineLevel="1">
      <c r="B398" s="1094"/>
      <c r="C398" s="1071" t="str">
        <f t="shared" ref="C398:F398" si="145">C95</f>
        <v>T017 - TOSHIBA X20 W20008008</v>
      </c>
      <c r="D398" s="1071" t="str">
        <f t="shared" si="145"/>
        <v>IT Equipment</v>
      </c>
      <c r="E398" s="1071" t="str">
        <f t="shared" si="145"/>
        <v>T0170231</v>
      </c>
      <c r="F398" s="1125">
        <f t="shared" si="145"/>
        <v>2020</v>
      </c>
      <c r="H398" s="1071" t="s">
        <v>29</v>
      </c>
      <c r="AZ398" s="1108"/>
      <c r="BA398" s="1109"/>
      <c r="BB398" s="1109"/>
      <c r="BC398" s="1109"/>
      <c r="BD398" s="1109"/>
      <c r="BE398" s="1109"/>
      <c r="BF398" s="1109">
        <f t="shared" ref="BF398:BJ398" si="146">IF($J95=0,0,(($BF95*M95)+($BG95*S95)+($BH95*Y95)+($BI95*AE95)+($BJ95*AK95))/$J95)</f>
        <v>0.29291000000000006</v>
      </c>
      <c r="BG398" s="1109">
        <f t="shared" si="146"/>
        <v>0.50213666666666668</v>
      </c>
      <c r="BH398" s="1109">
        <f t="shared" si="146"/>
        <v>0.50213666666666668</v>
      </c>
      <c r="BI398" s="1109">
        <f t="shared" si="146"/>
        <v>0.20922666666666673</v>
      </c>
      <c r="BJ398" s="1109">
        <f t="shared" si="146"/>
        <v>0</v>
      </c>
    </row>
    <row r="399" spans="2:62" hidden="1" outlineLevel="1">
      <c r="B399" s="1094"/>
      <c r="C399" s="1071" t="str">
        <f t="shared" ref="C399:F399" si="147">C96</f>
        <v>T017 - TOSHIBA X20 W20008009</v>
      </c>
      <c r="D399" s="1071" t="str">
        <f t="shared" si="147"/>
        <v>IT Equipment</v>
      </c>
      <c r="E399" s="1071" t="str">
        <f t="shared" si="147"/>
        <v>T0170232</v>
      </c>
      <c r="F399" s="1125">
        <f t="shared" si="147"/>
        <v>2020</v>
      </c>
      <c r="H399" s="1071" t="s">
        <v>29</v>
      </c>
      <c r="AZ399" s="1108"/>
      <c r="BA399" s="1109"/>
      <c r="BB399" s="1109"/>
      <c r="BC399" s="1109"/>
      <c r="BD399" s="1109"/>
      <c r="BE399" s="1109"/>
      <c r="BF399" s="1109">
        <f t="shared" ref="BF399:BJ399" si="148">IF($J96=0,0,(($BF96*M96)+($BG96*S96)+($BH96*Y96)+($BI96*AE96)+($BJ96*AK96))/$J96)</f>
        <v>0.29291000000000006</v>
      </c>
      <c r="BG399" s="1109">
        <f t="shared" si="148"/>
        <v>0.50213666666666668</v>
      </c>
      <c r="BH399" s="1109">
        <f t="shared" si="148"/>
        <v>0.50213666666666668</v>
      </c>
      <c r="BI399" s="1109">
        <f t="shared" si="148"/>
        <v>0.20922666666666673</v>
      </c>
      <c r="BJ399" s="1109">
        <f t="shared" si="148"/>
        <v>0</v>
      </c>
    </row>
    <row r="400" spans="2:62" hidden="1" outlineLevel="1">
      <c r="B400" s="1094"/>
      <c r="C400" s="1071" t="str">
        <f t="shared" ref="C400:F400" si="149">C97</f>
        <v>T017 - TOSHIBA X20 W20008011</v>
      </c>
      <c r="D400" s="1071" t="str">
        <f t="shared" si="149"/>
        <v>IT Equipment</v>
      </c>
      <c r="E400" s="1071" t="str">
        <f t="shared" si="149"/>
        <v>T0170234</v>
      </c>
      <c r="F400" s="1125">
        <f t="shared" si="149"/>
        <v>2020</v>
      </c>
      <c r="H400" s="1071" t="s">
        <v>29</v>
      </c>
      <c r="AZ400" s="1108"/>
      <c r="BA400" s="1109"/>
      <c r="BB400" s="1109"/>
      <c r="BC400" s="1109"/>
      <c r="BD400" s="1109"/>
      <c r="BE400" s="1109"/>
      <c r="BF400" s="1109">
        <f t="shared" ref="BF400:BJ400" si="150">IF($J97=0,0,(($BF97*M97)+($BG97*S97)+($BH97*Y97)+($BI97*AE97)+($BJ97*AK97))/$J97)</f>
        <v>0.29291000000000006</v>
      </c>
      <c r="BG400" s="1109">
        <f t="shared" si="150"/>
        <v>0.50213666666666668</v>
      </c>
      <c r="BH400" s="1109">
        <f t="shared" si="150"/>
        <v>0.50213666666666668</v>
      </c>
      <c r="BI400" s="1109">
        <f t="shared" si="150"/>
        <v>0.20922666666666673</v>
      </c>
      <c r="BJ400" s="1109">
        <f t="shared" si="150"/>
        <v>0</v>
      </c>
    </row>
    <row r="401" spans="2:62" hidden="1" outlineLevel="1">
      <c r="B401" s="1094"/>
      <c r="C401" s="1071" t="str">
        <f t="shared" ref="C401:F401" si="151">C98</f>
        <v>T017 - TOSHIBA X20 W20008014</v>
      </c>
      <c r="D401" s="1071" t="str">
        <f t="shared" si="151"/>
        <v>IT Equipment</v>
      </c>
      <c r="E401" s="1071" t="str">
        <f t="shared" si="151"/>
        <v>T0170236</v>
      </c>
      <c r="F401" s="1125">
        <f t="shared" si="151"/>
        <v>2020</v>
      </c>
      <c r="H401" s="1071" t="s">
        <v>29</v>
      </c>
      <c r="AZ401" s="1108"/>
      <c r="BA401" s="1109"/>
      <c r="BB401" s="1109"/>
      <c r="BC401" s="1109"/>
      <c r="BD401" s="1109"/>
      <c r="BE401" s="1109"/>
      <c r="BF401" s="1109">
        <f t="shared" ref="BF401:BJ401" si="152">IF($J98=0,0,(($BF98*M98)+($BG98*S98)+($BH98*Y98)+($BI98*AE98)+($BJ98*AK98))/$J98)</f>
        <v>0.29291000000000006</v>
      </c>
      <c r="BG401" s="1109">
        <f t="shared" si="152"/>
        <v>0.50213666666666668</v>
      </c>
      <c r="BH401" s="1109">
        <f t="shared" si="152"/>
        <v>0.50213666666666668</v>
      </c>
      <c r="BI401" s="1109">
        <f t="shared" si="152"/>
        <v>0.20922666666666673</v>
      </c>
      <c r="BJ401" s="1109">
        <f t="shared" si="152"/>
        <v>0</v>
      </c>
    </row>
    <row r="402" spans="2:62" hidden="1" outlineLevel="1">
      <c r="B402" s="1094"/>
      <c r="C402" s="1071" t="str">
        <f t="shared" ref="C402:F402" si="153">C99</f>
        <v>T017 - TOSHIBA X20 W20008015</v>
      </c>
      <c r="D402" s="1071" t="str">
        <f t="shared" si="153"/>
        <v>IT Equipment</v>
      </c>
      <c r="E402" s="1071" t="str">
        <f t="shared" si="153"/>
        <v>T0170237</v>
      </c>
      <c r="F402" s="1125">
        <f t="shared" si="153"/>
        <v>2020</v>
      </c>
      <c r="H402" s="1071" t="s">
        <v>29</v>
      </c>
      <c r="AZ402" s="1108"/>
      <c r="BA402" s="1109"/>
      <c r="BB402" s="1109"/>
      <c r="BC402" s="1109"/>
      <c r="BD402" s="1109"/>
      <c r="BE402" s="1109"/>
      <c r="BF402" s="1109">
        <f t="shared" ref="BF402:BJ402" si="154">IF($J99=0,0,(($BF99*M99)+($BG99*S99)+($BH99*Y99)+($BI99*AE99)+($BJ99*AK99))/$J99)</f>
        <v>0.29291000000000006</v>
      </c>
      <c r="BG402" s="1109">
        <f t="shared" si="154"/>
        <v>0.50213666666666668</v>
      </c>
      <c r="BH402" s="1109">
        <f t="shared" si="154"/>
        <v>0.50213666666666668</v>
      </c>
      <c r="BI402" s="1109">
        <f t="shared" si="154"/>
        <v>0.20922666666666673</v>
      </c>
      <c r="BJ402" s="1109">
        <f t="shared" si="154"/>
        <v>0</v>
      </c>
    </row>
    <row r="403" spans="2:62" hidden="1" outlineLevel="1">
      <c r="B403" s="1094"/>
      <c r="C403" s="1071" t="str">
        <f t="shared" ref="C403:F403" si="155">C100</f>
        <v>T017 - TOSHIBA X20 W20008020</v>
      </c>
      <c r="D403" s="1071" t="str">
        <f t="shared" si="155"/>
        <v>IT Equipment</v>
      </c>
      <c r="E403" s="1071" t="str">
        <f t="shared" si="155"/>
        <v>T0170242</v>
      </c>
      <c r="F403" s="1125">
        <f t="shared" si="155"/>
        <v>2020</v>
      </c>
      <c r="H403" s="1071" t="s">
        <v>29</v>
      </c>
      <c r="AZ403" s="1108"/>
      <c r="BA403" s="1109"/>
      <c r="BB403" s="1109"/>
      <c r="BC403" s="1109"/>
      <c r="BD403" s="1109"/>
      <c r="BE403" s="1109"/>
      <c r="BF403" s="1109">
        <f t="shared" ref="BF403:BJ403" si="156">IF($J100=0,0,(($BF100*M100)+($BG100*S100)+($BH100*Y100)+($BI100*AE100)+($BJ100*AK100))/$J100)</f>
        <v>0.29291000000000006</v>
      </c>
      <c r="BG403" s="1109">
        <f t="shared" si="156"/>
        <v>0.50213666666666668</v>
      </c>
      <c r="BH403" s="1109">
        <f t="shared" si="156"/>
        <v>0.50213666666666668</v>
      </c>
      <c r="BI403" s="1109">
        <f t="shared" si="156"/>
        <v>0.20922666666666673</v>
      </c>
      <c r="BJ403" s="1109">
        <f t="shared" si="156"/>
        <v>0</v>
      </c>
    </row>
    <row r="404" spans="2:62" hidden="1" outlineLevel="1">
      <c r="B404" s="1094"/>
      <c r="C404" s="1071" t="str">
        <f t="shared" ref="C404:F404" si="157">C101</f>
        <v>T017 - TOSHIBA X20 W20008023</v>
      </c>
      <c r="D404" s="1071" t="str">
        <f t="shared" si="157"/>
        <v>IT Equipment</v>
      </c>
      <c r="E404" s="1071" t="str">
        <f t="shared" si="157"/>
        <v>T0170245</v>
      </c>
      <c r="F404" s="1125">
        <f t="shared" si="157"/>
        <v>2020</v>
      </c>
      <c r="H404" s="1071" t="s">
        <v>29</v>
      </c>
      <c r="AZ404" s="1108"/>
      <c r="BA404" s="1109"/>
      <c r="BB404" s="1109"/>
      <c r="BC404" s="1109"/>
      <c r="BD404" s="1109"/>
      <c r="BE404" s="1109"/>
      <c r="BF404" s="1109">
        <f t="shared" ref="BF404:BJ404" si="158">IF($J101=0,0,(($BF101*M101)+($BG101*S101)+($BH101*Y101)+($BI101*AE101)+($BJ101*AK101))/$J101)</f>
        <v>0.29291000000000006</v>
      </c>
      <c r="BG404" s="1109">
        <f t="shared" si="158"/>
        <v>0.50213666666666668</v>
      </c>
      <c r="BH404" s="1109">
        <f t="shared" si="158"/>
        <v>0.50213666666666668</v>
      </c>
      <c r="BI404" s="1109">
        <f t="shared" si="158"/>
        <v>0.20922666666666673</v>
      </c>
      <c r="BJ404" s="1109">
        <f t="shared" si="158"/>
        <v>0</v>
      </c>
    </row>
    <row r="405" spans="2:62" hidden="1" outlineLevel="1">
      <c r="B405" s="1094"/>
      <c r="C405" s="1071" t="str">
        <f t="shared" ref="C405:F405" si="159">C102</f>
        <v>T017 - TOSHIBA X20 W20008024</v>
      </c>
      <c r="D405" s="1071" t="str">
        <f t="shared" si="159"/>
        <v>IT Equipment</v>
      </c>
      <c r="E405" s="1071" t="str">
        <f t="shared" si="159"/>
        <v>T0170246</v>
      </c>
      <c r="F405" s="1125">
        <f t="shared" si="159"/>
        <v>2020</v>
      </c>
      <c r="H405" s="1071" t="s">
        <v>29</v>
      </c>
      <c r="AZ405" s="1108"/>
      <c r="BA405" s="1109"/>
      <c r="BB405" s="1109"/>
      <c r="BC405" s="1109"/>
      <c r="BD405" s="1109"/>
      <c r="BE405" s="1109"/>
      <c r="BF405" s="1109">
        <f t="shared" ref="BF405:BJ405" si="160">IF($J102=0,0,(($BF102*M102)+($BG102*S102)+($BH102*Y102)+($BI102*AE102)+($BJ102*AK102))/$J102)</f>
        <v>0.29291000000000006</v>
      </c>
      <c r="BG405" s="1109">
        <f t="shared" si="160"/>
        <v>0.50213666666666668</v>
      </c>
      <c r="BH405" s="1109">
        <f t="shared" si="160"/>
        <v>0.50213666666666668</v>
      </c>
      <c r="BI405" s="1109">
        <f t="shared" si="160"/>
        <v>0.20922666666666673</v>
      </c>
      <c r="BJ405" s="1109">
        <f t="shared" si="160"/>
        <v>0</v>
      </c>
    </row>
    <row r="406" spans="2:62" hidden="1" outlineLevel="1">
      <c r="B406" s="1094"/>
      <c r="C406" s="1071" t="str">
        <f t="shared" ref="C406:F406" si="161">C103</f>
        <v>T017 - TOSHIBA X20 W20008025</v>
      </c>
      <c r="D406" s="1071" t="str">
        <f t="shared" si="161"/>
        <v>IT Equipment</v>
      </c>
      <c r="E406" s="1071" t="str">
        <f t="shared" si="161"/>
        <v>T0170247</v>
      </c>
      <c r="F406" s="1125">
        <f t="shared" si="161"/>
        <v>2020</v>
      </c>
      <c r="H406" s="1071" t="s">
        <v>29</v>
      </c>
      <c r="AZ406" s="1108"/>
      <c r="BA406" s="1109"/>
      <c r="BB406" s="1109"/>
      <c r="BC406" s="1109"/>
      <c r="BD406" s="1109"/>
      <c r="BE406" s="1109"/>
      <c r="BF406" s="1109">
        <f t="shared" ref="BF406:BJ406" si="162">IF($J103=0,0,(($BF103*M103)+($BG103*S103)+($BH103*Y103)+($BI103*AE103)+($BJ103*AK103))/$J103)</f>
        <v>0.29291000000000006</v>
      </c>
      <c r="BG406" s="1109">
        <f t="shared" si="162"/>
        <v>0.50213666666666668</v>
      </c>
      <c r="BH406" s="1109">
        <f t="shared" si="162"/>
        <v>0.50213666666666668</v>
      </c>
      <c r="BI406" s="1109">
        <f t="shared" si="162"/>
        <v>0.20922666666666673</v>
      </c>
      <c r="BJ406" s="1109">
        <f t="shared" si="162"/>
        <v>0</v>
      </c>
    </row>
    <row r="407" spans="2:62" hidden="1" outlineLevel="1">
      <c r="B407" s="1094"/>
      <c r="C407" s="1071" t="str">
        <f t="shared" ref="C407:F407" si="163">C104</f>
        <v>T017 - HP G7 CORE W20008096</v>
      </c>
      <c r="D407" s="1071" t="str">
        <f t="shared" si="163"/>
        <v>IT Equipment</v>
      </c>
      <c r="E407" s="1071" t="str">
        <f t="shared" si="163"/>
        <v>T0170248</v>
      </c>
      <c r="F407" s="1125">
        <f t="shared" si="163"/>
        <v>2020</v>
      </c>
      <c r="H407" s="1071" t="s">
        <v>29</v>
      </c>
      <c r="AZ407" s="1108"/>
      <c r="BA407" s="1109"/>
      <c r="BB407" s="1109"/>
      <c r="BC407" s="1109"/>
      <c r="BD407" s="1109"/>
      <c r="BE407" s="1109"/>
      <c r="BF407" s="1109">
        <f t="shared" ref="BF407:BJ407" si="164">IF($J104=0,0,(($BF104*M104)+($BG104*S104)+($BH104*Y104)+($BI104*AE104)+($BJ104*AK104))/$J104)</f>
        <v>0.13515999999999997</v>
      </c>
      <c r="BG407" s="1109">
        <f t="shared" si="164"/>
        <v>0.23166666666666666</v>
      </c>
      <c r="BH407" s="1109">
        <f t="shared" si="164"/>
        <v>0.23166666666666666</v>
      </c>
      <c r="BI407" s="1109">
        <f t="shared" si="164"/>
        <v>9.6506666666666685E-2</v>
      </c>
      <c r="BJ407" s="1109">
        <f t="shared" si="164"/>
        <v>0</v>
      </c>
    </row>
    <row r="408" spans="2:62" hidden="1" outlineLevel="1">
      <c r="B408" s="1094"/>
      <c r="C408" s="1071" t="str">
        <f t="shared" ref="C408:F408" si="165">C105</f>
        <v>T017 - HP G7 CORE W20008098</v>
      </c>
      <c r="D408" s="1071" t="str">
        <f t="shared" si="165"/>
        <v>IT Equipment</v>
      </c>
      <c r="E408" s="1071" t="str">
        <f t="shared" si="165"/>
        <v>T0170250</v>
      </c>
      <c r="F408" s="1125">
        <f t="shared" si="165"/>
        <v>2020</v>
      </c>
      <c r="H408" s="1071" t="s">
        <v>29</v>
      </c>
      <c r="AZ408" s="1108"/>
      <c r="BA408" s="1109"/>
      <c r="BB408" s="1109"/>
      <c r="BC408" s="1109"/>
      <c r="BD408" s="1109"/>
      <c r="BE408" s="1109"/>
      <c r="BF408" s="1109">
        <f t="shared" ref="BF408:BJ408" si="166">IF($J105=0,0,(($BF105*M105)+($BG105*S105)+($BH105*Y105)+($BI105*AE105)+($BJ105*AK105))/$J105)</f>
        <v>0.13515999999999997</v>
      </c>
      <c r="BG408" s="1109">
        <f t="shared" si="166"/>
        <v>0.23166666666666666</v>
      </c>
      <c r="BH408" s="1109">
        <f t="shared" si="166"/>
        <v>0.23166666666666666</v>
      </c>
      <c r="BI408" s="1109">
        <f t="shared" si="166"/>
        <v>9.6506666666666685E-2</v>
      </c>
      <c r="BJ408" s="1109">
        <f t="shared" si="166"/>
        <v>0</v>
      </c>
    </row>
    <row r="409" spans="2:62" hidden="1" outlineLevel="1">
      <c r="B409" s="1094"/>
      <c r="C409" s="1071" t="str">
        <f t="shared" ref="C409:F409" si="167">C106</f>
        <v>T017 - LAPTOP W20007815</v>
      </c>
      <c r="D409" s="1071" t="str">
        <f t="shared" si="167"/>
        <v>IT Equipment</v>
      </c>
      <c r="E409" s="1071" t="str">
        <f t="shared" si="167"/>
        <v>T0170253</v>
      </c>
      <c r="F409" s="1125">
        <f t="shared" si="167"/>
        <v>2020</v>
      </c>
      <c r="H409" s="1071" t="s">
        <v>29</v>
      </c>
      <c r="AZ409" s="1108"/>
      <c r="BA409" s="1109"/>
      <c r="BB409" s="1109"/>
      <c r="BC409" s="1109"/>
      <c r="BD409" s="1109"/>
      <c r="BE409" s="1109"/>
      <c r="BF409" s="1109">
        <f t="shared" ref="BF409:BJ409" si="168">IF($J106=0,0,(($BF106*M106)+($BG106*S106)+($BH106*Y106)+($BI106*AE106)+($BJ106*AK106))/$J106)</f>
        <v>0.50212999999999997</v>
      </c>
      <c r="BG409" s="1109">
        <f t="shared" si="168"/>
        <v>0.50213666666666668</v>
      </c>
      <c r="BH409" s="1109">
        <f t="shared" si="168"/>
        <v>0.50213666666666668</v>
      </c>
      <c r="BI409" s="1109">
        <f t="shared" si="168"/>
        <v>6.6666666667480098E-6</v>
      </c>
      <c r="BJ409" s="1109">
        <f t="shared" si="168"/>
        <v>0</v>
      </c>
    </row>
    <row r="410" spans="2:62" hidden="1" outlineLevel="1">
      <c r="B410" s="1094"/>
      <c r="C410" s="1071" t="str">
        <f t="shared" ref="C410:F410" si="169">C107</f>
        <v>T017 - OPTIPLEX5060 W20007883</v>
      </c>
      <c r="D410" s="1071" t="str">
        <f t="shared" si="169"/>
        <v>IT Equipment</v>
      </c>
      <c r="E410" s="1071" t="str">
        <f t="shared" si="169"/>
        <v>T0170254</v>
      </c>
      <c r="F410" s="1125">
        <f t="shared" si="169"/>
        <v>2020</v>
      </c>
      <c r="H410" s="1071" t="s">
        <v>29</v>
      </c>
      <c r="AZ410" s="1108"/>
      <c r="BA410" s="1109"/>
      <c r="BB410" s="1109"/>
      <c r="BC410" s="1109"/>
      <c r="BD410" s="1109"/>
      <c r="BE410" s="1109"/>
      <c r="BF410" s="1109">
        <f t="shared" ref="BF410:BJ410" si="170">IF($J107=0,0,(($BF107*M107)+($BG107*S107)+($BH107*Y107)+($BI107*AE107)+($BJ107*AK107))/$J107)</f>
        <v>0.20003999999999994</v>
      </c>
      <c r="BG410" s="1109">
        <f t="shared" si="170"/>
        <v>0.19999999999999998</v>
      </c>
      <c r="BH410" s="1109">
        <f t="shared" si="170"/>
        <v>0.19996000000000003</v>
      </c>
      <c r="BI410" s="1109">
        <f t="shared" si="170"/>
        <v>0</v>
      </c>
      <c r="BJ410" s="1109">
        <f t="shared" si="170"/>
        <v>0</v>
      </c>
    </row>
    <row r="411" spans="2:62" hidden="1" outlineLevel="1">
      <c r="B411" s="1094"/>
      <c r="C411" s="1071" t="str">
        <f t="shared" ref="C411:F411" si="171">C108</f>
        <v>T017 - OPTIPLEX5060 W20007917</v>
      </c>
      <c r="D411" s="1071" t="str">
        <f t="shared" si="171"/>
        <v>IT Equipment</v>
      </c>
      <c r="E411" s="1071" t="str">
        <f t="shared" si="171"/>
        <v>T0170256</v>
      </c>
      <c r="F411" s="1125">
        <f t="shared" si="171"/>
        <v>2020</v>
      </c>
      <c r="H411" s="1071" t="s">
        <v>29</v>
      </c>
      <c r="AZ411" s="1108"/>
      <c r="BA411" s="1109"/>
      <c r="BB411" s="1109"/>
      <c r="BC411" s="1109"/>
      <c r="BD411" s="1109"/>
      <c r="BE411" s="1109"/>
      <c r="BF411" s="1109">
        <f t="shared" ref="BF411:BJ411" si="172">IF($J108=0,0,(($BF108*M108)+($BG108*S108)+($BH108*Y108)+($BI108*AE108)+($BJ108*AK108))/$J108)</f>
        <v>0.20003999999999994</v>
      </c>
      <c r="BG411" s="1109">
        <f t="shared" si="172"/>
        <v>0.19999999999999998</v>
      </c>
      <c r="BH411" s="1109">
        <f t="shared" si="172"/>
        <v>0.19996000000000003</v>
      </c>
      <c r="BI411" s="1109">
        <f t="shared" si="172"/>
        <v>0</v>
      </c>
      <c r="BJ411" s="1109">
        <f t="shared" si="172"/>
        <v>0</v>
      </c>
    </row>
    <row r="412" spans="2:62" hidden="1" outlineLevel="1">
      <c r="B412" s="1094"/>
      <c r="C412" s="1071" t="str">
        <f t="shared" ref="C412:F412" si="173">C109</f>
        <v>T017 - TOSHIBA W20008070</v>
      </c>
      <c r="D412" s="1071" t="str">
        <f t="shared" si="173"/>
        <v>IT Equipment</v>
      </c>
      <c r="E412" s="1071" t="str">
        <f t="shared" si="173"/>
        <v>T0170263</v>
      </c>
      <c r="F412" s="1125">
        <f t="shared" si="173"/>
        <v>2020</v>
      </c>
      <c r="H412" s="1071" t="s">
        <v>29</v>
      </c>
      <c r="AZ412" s="1108"/>
      <c r="BA412" s="1109"/>
      <c r="BB412" s="1109"/>
      <c r="BC412" s="1109"/>
      <c r="BD412" s="1109"/>
      <c r="BE412" s="1109"/>
      <c r="BF412" s="1109">
        <f t="shared" ref="BF412:BJ412" si="174">IF($J109=0,0,(($BF109*M109)+($BG109*S109)+($BH109*Y109)+($BI109*AE109)+($BJ109*AK109))/$J109)</f>
        <v>0.11781000000000003</v>
      </c>
      <c r="BG412" s="1109">
        <f t="shared" si="174"/>
        <v>0.20193333333333335</v>
      </c>
      <c r="BH412" s="1109">
        <f t="shared" si="174"/>
        <v>0.20193333333333335</v>
      </c>
      <c r="BI412" s="1109">
        <f t="shared" si="174"/>
        <v>8.41233333333333E-2</v>
      </c>
      <c r="BJ412" s="1109">
        <f t="shared" si="174"/>
        <v>0</v>
      </c>
    </row>
    <row r="413" spans="2:62" hidden="1" outlineLevel="1">
      <c r="B413" s="1094"/>
      <c r="C413" s="1071" t="str">
        <f t="shared" ref="C413:F413" si="175">C110</f>
        <v>T017 - TOSHIBA W20008085</v>
      </c>
      <c r="D413" s="1071" t="str">
        <f t="shared" si="175"/>
        <v>IT Equipment</v>
      </c>
      <c r="E413" s="1071" t="str">
        <f t="shared" si="175"/>
        <v>T0170274</v>
      </c>
      <c r="F413" s="1125">
        <f t="shared" si="175"/>
        <v>2020</v>
      </c>
      <c r="H413" s="1071" t="s">
        <v>29</v>
      </c>
      <c r="AZ413" s="1108"/>
      <c r="BA413" s="1109"/>
      <c r="BB413" s="1109"/>
      <c r="BC413" s="1109"/>
      <c r="BD413" s="1109"/>
      <c r="BE413" s="1109"/>
      <c r="BF413" s="1109">
        <f t="shared" ref="BF413:BJ413" si="176">IF($J110=0,0,(($BF110*M110)+($BG110*S110)+($BH110*Y110)+($BI110*AE110)+($BJ110*AK110))/$J110)</f>
        <v>0.11781000000000003</v>
      </c>
      <c r="BG413" s="1109">
        <f t="shared" si="176"/>
        <v>0.20193333333333335</v>
      </c>
      <c r="BH413" s="1109">
        <f t="shared" si="176"/>
        <v>0.20193333333333335</v>
      </c>
      <c r="BI413" s="1109">
        <f t="shared" si="176"/>
        <v>8.41233333333333E-2</v>
      </c>
      <c r="BJ413" s="1109">
        <f t="shared" si="176"/>
        <v>0</v>
      </c>
    </row>
    <row r="414" spans="2:62" hidden="1" outlineLevel="1">
      <c r="B414" s="1094"/>
      <c r="C414" s="1071" t="str">
        <f t="shared" ref="C414:F414" si="177">C111</f>
        <v>T017 - HP250G7 CORE W20008093</v>
      </c>
      <c r="D414" s="1071" t="str">
        <f t="shared" si="177"/>
        <v>IT Equipment</v>
      </c>
      <c r="E414" s="1071" t="str">
        <f t="shared" si="177"/>
        <v>T0170278</v>
      </c>
      <c r="F414" s="1125">
        <f t="shared" si="177"/>
        <v>2020</v>
      </c>
      <c r="H414" s="1071" t="s">
        <v>29</v>
      </c>
      <c r="AZ414" s="1108"/>
      <c r="BA414" s="1109"/>
      <c r="BB414" s="1109"/>
      <c r="BC414" s="1109"/>
      <c r="BD414" s="1109"/>
      <c r="BE414" s="1109"/>
      <c r="BF414" s="1109">
        <f t="shared" ref="BF414:BJ414" si="178">IF($J111=0,0,(($BF111*M111)+($BG111*S111)+($BH111*Y111)+($BI111*AE111)+($BJ111*AK111))/$J111)</f>
        <v>0.19306999999999996</v>
      </c>
      <c r="BG414" s="1109">
        <f t="shared" si="178"/>
        <v>0.23166666666666666</v>
      </c>
      <c r="BH414" s="1109">
        <f t="shared" si="178"/>
        <v>0.23166666666666666</v>
      </c>
      <c r="BI414" s="1109">
        <f t="shared" si="178"/>
        <v>3.8596666666666724E-2</v>
      </c>
      <c r="BJ414" s="1109">
        <f t="shared" si="178"/>
        <v>0</v>
      </c>
    </row>
    <row r="415" spans="2:62" hidden="1" outlineLevel="1">
      <c r="B415" s="1094"/>
      <c r="C415" s="1071" t="str">
        <f t="shared" ref="C415:F415" si="179">C112</f>
        <v>T017 - HP250G7 CORE W20008097</v>
      </c>
      <c r="D415" s="1071" t="str">
        <f t="shared" si="179"/>
        <v>IT Equipment</v>
      </c>
      <c r="E415" s="1071" t="str">
        <f t="shared" si="179"/>
        <v>T0170280</v>
      </c>
      <c r="F415" s="1125">
        <f t="shared" si="179"/>
        <v>2020</v>
      </c>
      <c r="H415" s="1071" t="s">
        <v>29</v>
      </c>
      <c r="AZ415" s="1108"/>
      <c r="BA415" s="1109"/>
      <c r="BB415" s="1109"/>
      <c r="BC415" s="1109"/>
      <c r="BD415" s="1109"/>
      <c r="BE415" s="1109"/>
      <c r="BF415" s="1109">
        <f t="shared" ref="BF415:BJ415" si="180">IF($J112=0,0,(($BF112*M112)+($BG112*S112)+($BH112*Y112)+($BI112*AE112)+($BJ112*AK112))/$J112)</f>
        <v>0.19306999999999996</v>
      </c>
      <c r="BG415" s="1109">
        <f t="shared" si="180"/>
        <v>0.23166666666666666</v>
      </c>
      <c r="BH415" s="1109">
        <f t="shared" si="180"/>
        <v>0.23166666666666666</v>
      </c>
      <c r="BI415" s="1109">
        <f t="shared" si="180"/>
        <v>3.8596666666666724E-2</v>
      </c>
      <c r="BJ415" s="1109">
        <f t="shared" si="180"/>
        <v>0</v>
      </c>
    </row>
    <row r="416" spans="2:62" hidden="1" outlineLevel="1">
      <c r="B416" s="1094"/>
      <c r="C416" s="1071" t="str">
        <f t="shared" ref="C416:F416" si="181">C113</f>
        <v>T017 - HP250G7 CORE W20008100</v>
      </c>
      <c r="D416" s="1071" t="str">
        <f t="shared" si="181"/>
        <v>IT Equipment</v>
      </c>
      <c r="E416" s="1071" t="str">
        <f t="shared" si="181"/>
        <v>T0170281</v>
      </c>
      <c r="F416" s="1125">
        <f t="shared" si="181"/>
        <v>2020</v>
      </c>
      <c r="H416" s="1071" t="s">
        <v>29</v>
      </c>
      <c r="AZ416" s="1108"/>
      <c r="BA416" s="1109"/>
      <c r="BB416" s="1109"/>
      <c r="BC416" s="1109"/>
      <c r="BD416" s="1109"/>
      <c r="BE416" s="1109"/>
      <c r="BF416" s="1109">
        <f t="shared" ref="BF416:BJ416" si="182">IF($J113=0,0,(($BF113*M113)+($BG113*S113)+($BH113*Y113)+($BI113*AE113)+($BJ113*AK113))/$J113)</f>
        <v>0.19306999999999996</v>
      </c>
      <c r="BG416" s="1109">
        <f t="shared" si="182"/>
        <v>0.23166666666666666</v>
      </c>
      <c r="BH416" s="1109">
        <f t="shared" si="182"/>
        <v>0.23166666666666666</v>
      </c>
      <c r="BI416" s="1109">
        <f t="shared" si="182"/>
        <v>3.8596666666666724E-2</v>
      </c>
      <c r="BJ416" s="1109">
        <f t="shared" si="182"/>
        <v>0</v>
      </c>
    </row>
    <row r="417" spans="2:62" hidden="1" outlineLevel="1">
      <c r="B417" s="1094"/>
      <c r="C417" s="1071" t="str">
        <f t="shared" ref="C417:F417" si="183">C114</f>
        <v>T017 - HP250G7 CORE W20008091</v>
      </c>
      <c r="D417" s="1071" t="str">
        <f t="shared" si="183"/>
        <v>IT Equipment</v>
      </c>
      <c r="E417" s="1071" t="str">
        <f t="shared" si="183"/>
        <v>T0170282</v>
      </c>
      <c r="F417" s="1125">
        <f t="shared" si="183"/>
        <v>2020</v>
      </c>
      <c r="H417" s="1071" t="s">
        <v>29</v>
      </c>
      <c r="AZ417" s="1108"/>
      <c r="BA417" s="1109"/>
      <c r="BB417" s="1109"/>
      <c r="BC417" s="1109"/>
      <c r="BD417" s="1109"/>
      <c r="BE417" s="1109"/>
      <c r="BF417" s="1109">
        <f t="shared" ref="BF417:BJ417" si="184">IF($J114=0,0,(($BF114*M114)+($BG114*S114)+($BH114*Y114)+($BI114*AE114)+($BJ114*AK114))/$J114)</f>
        <v>0.13515999999999997</v>
      </c>
      <c r="BG417" s="1109">
        <f t="shared" si="184"/>
        <v>0.23166666666666666</v>
      </c>
      <c r="BH417" s="1109">
        <f t="shared" si="184"/>
        <v>0.23166666666666666</v>
      </c>
      <c r="BI417" s="1109">
        <f t="shared" si="184"/>
        <v>9.6506666666666685E-2</v>
      </c>
      <c r="BJ417" s="1109">
        <f t="shared" si="184"/>
        <v>0</v>
      </c>
    </row>
    <row r="418" spans="2:62" hidden="1" outlineLevel="1">
      <c r="B418" s="1094"/>
      <c r="C418" s="1071" t="str">
        <f t="shared" ref="C418:F418" si="185">C115</f>
        <v>T017 - HP250G7 CORE W20008096</v>
      </c>
      <c r="D418" s="1071" t="str">
        <f t="shared" si="185"/>
        <v>IT Equipment</v>
      </c>
      <c r="E418" s="1071" t="str">
        <f t="shared" si="185"/>
        <v>T0170283</v>
      </c>
      <c r="F418" s="1125">
        <f t="shared" si="185"/>
        <v>2020</v>
      </c>
      <c r="H418" s="1071" t="s">
        <v>29</v>
      </c>
      <c r="AZ418" s="1108"/>
      <c r="BA418" s="1109"/>
      <c r="BB418" s="1109"/>
      <c r="BC418" s="1109"/>
      <c r="BD418" s="1109"/>
      <c r="BE418" s="1109"/>
      <c r="BF418" s="1109">
        <f t="shared" ref="BF418:BJ418" si="186">IF($J115=0,0,(($BF115*M115)+($BG115*S115)+($BH115*Y115)+($BI115*AE115)+($BJ115*AK115))/$J115)</f>
        <v>0.13515999999999997</v>
      </c>
      <c r="BG418" s="1109">
        <f t="shared" si="186"/>
        <v>0.23166666666666666</v>
      </c>
      <c r="BH418" s="1109">
        <f t="shared" si="186"/>
        <v>0.23166666666666666</v>
      </c>
      <c r="BI418" s="1109">
        <f t="shared" si="186"/>
        <v>9.6506666666666685E-2</v>
      </c>
      <c r="BJ418" s="1109">
        <f t="shared" si="186"/>
        <v>0</v>
      </c>
    </row>
    <row r="419" spans="2:62" hidden="1" outlineLevel="1">
      <c r="B419" s="1094"/>
      <c r="C419" s="1071" t="str">
        <f t="shared" ref="C419:F419" si="187">C116</f>
        <v>T017 - HP250G7 COREW20008098</v>
      </c>
      <c r="D419" s="1071" t="str">
        <f t="shared" si="187"/>
        <v>IT Equipment</v>
      </c>
      <c r="E419" s="1071" t="str">
        <f t="shared" si="187"/>
        <v>T0170284</v>
      </c>
      <c r="F419" s="1125">
        <f t="shared" si="187"/>
        <v>2020</v>
      </c>
      <c r="H419" s="1071" t="s">
        <v>29</v>
      </c>
      <c r="AZ419" s="1108"/>
      <c r="BA419" s="1109"/>
      <c r="BB419" s="1109"/>
      <c r="BC419" s="1109"/>
      <c r="BD419" s="1109"/>
      <c r="BE419" s="1109"/>
      <c r="BF419" s="1109">
        <f t="shared" ref="BF419:BJ419" si="188">IF($J116=0,0,(($BF116*M116)+($BG116*S116)+($BH116*Y116)+($BI116*AE116)+($BJ116*AK116))/$J116)</f>
        <v>0.13515999999999997</v>
      </c>
      <c r="BG419" s="1109">
        <f t="shared" si="188"/>
        <v>0.23166666666666666</v>
      </c>
      <c r="BH419" s="1109">
        <f t="shared" si="188"/>
        <v>0.23166666666666666</v>
      </c>
      <c r="BI419" s="1109">
        <f t="shared" si="188"/>
        <v>9.6506666666666685E-2</v>
      </c>
      <c r="BJ419" s="1109">
        <f t="shared" si="188"/>
        <v>0</v>
      </c>
    </row>
    <row r="420" spans="2:62" hidden="1" outlineLevel="1">
      <c r="B420" s="1094"/>
      <c r="C420" s="1071" t="str">
        <f t="shared" ref="C420:F420" si="189">C117</f>
        <v>T017 - OPTIPLEX5060 W20007909</v>
      </c>
      <c r="D420" s="1071" t="str">
        <f t="shared" si="189"/>
        <v>IT Equipment</v>
      </c>
      <c r="E420" s="1071" t="str">
        <f t="shared" si="189"/>
        <v>T0170290</v>
      </c>
      <c r="F420" s="1125">
        <f t="shared" si="189"/>
        <v>2020</v>
      </c>
      <c r="H420" s="1071" t="s">
        <v>29</v>
      </c>
      <c r="AZ420" s="1108"/>
      <c r="BA420" s="1109"/>
      <c r="BB420" s="1109"/>
      <c r="BC420" s="1109"/>
      <c r="BD420" s="1109"/>
      <c r="BE420" s="1109"/>
      <c r="BF420" s="1109">
        <f t="shared" ref="BF420:BJ420" si="190">IF($J117=0,0,(($BF117*M117)+($BG117*S117)+($BH117*Y117)+($BI117*AE117)+($BJ117*AK117))/$J117)</f>
        <v>0.20003999999999994</v>
      </c>
      <c r="BG420" s="1109">
        <f t="shared" si="190"/>
        <v>0.19999999999999998</v>
      </c>
      <c r="BH420" s="1109">
        <f t="shared" si="190"/>
        <v>0.19996000000000003</v>
      </c>
      <c r="BI420" s="1109">
        <f t="shared" si="190"/>
        <v>0</v>
      </c>
      <c r="BJ420" s="1109">
        <f t="shared" si="190"/>
        <v>0</v>
      </c>
    </row>
    <row r="421" spans="2:62" hidden="1" outlineLevel="1">
      <c r="B421" s="1094"/>
      <c r="C421" s="1071" t="str">
        <f t="shared" ref="C421:F421" si="191">C118</f>
        <v>T018 - MACBOOK PRO</v>
      </c>
      <c r="D421" s="1071" t="str">
        <f t="shared" si="191"/>
        <v>IT Equipment</v>
      </c>
      <c r="E421" s="1071" t="str">
        <f t="shared" si="191"/>
        <v>T0180061</v>
      </c>
      <c r="F421" s="1125">
        <f t="shared" si="191"/>
        <v>2020</v>
      </c>
      <c r="H421" s="1071" t="s">
        <v>29</v>
      </c>
      <c r="AZ421" s="1108"/>
      <c r="BA421" s="1109"/>
      <c r="BB421" s="1109"/>
      <c r="BC421" s="1109"/>
      <c r="BD421" s="1109"/>
      <c r="BE421" s="1109"/>
      <c r="BF421" s="1109">
        <f t="shared" ref="BF421:BJ421" si="192">IF($J118=0,0,(($BF118*M118)+($BG118*S118)+($BH118*Y118)+($BI118*AE118)+($BJ118*AK118))/$J118)</f>
        <v>0.34370999999999996</v>
      </c>
      <c r="BG421" s="1109">
        <f t="shared" si="192"/>
        <v>0.45827999999999997</v>
      </c>
      <c r="BH421" s="1109">
        <f t="shared" si="192"/>
        <v>0.45827999999999997</v>
      </c>
      <c r="BI421" s="1109">
        <f t="shared" si="192"/>
        <v>0.11456999999999999</v>
      </c>
      <c r="BJ421" s="1109">
        <f t="shared" si="192"/>
        <v>0</v>
      </c>
    </row>
    <row r="422" spans="2:62" hidden="1" outlineLevel="1">
      <c r="B422" s="1094"/>
      <c r="C422" s="1071" t="str">
        <f t="shared" ref="C422:F422" si="193">C119</f>
        <v>T018 - LOGITECH GROUP VIDEO HQ</v>
      </c>
      <c r="D422" s="1071" t="str">
        <f t="shared" si="193"/>
        <v>IT Equipment</v>
      </c>
      <c r="E422" s="1071" t="str">
        <f t="shared" si="193"/>
        <v>T0180064</v>
      </c>
      <c r="F422" s="1125">
        <f t="shared" si="193"/>
        <v>2020</v>
      </c>
      <c r="H422" s="1071" t="s">
        <v>29</v>
      </c>
      <c r="AZ422" s="1108"/>
      <c r="BA422" s="1109"/>
      <c r="BB422" s="1109"/>
      <c r="BC422" s="1109"/>
      <c r="BD422" s="1109"/>
      <c r="BE422" s="1109"/>
      <c r="BF422" s="1109">
        <f t="shared" ref="BF422:BJ422" si="194">IF($J119=0,0,(($BF119*M119)+($BG119*S119)+($BH119*Y119)+($BI119*AE119)+($BJ119*AK119))/$J119)</f>
        <v>0.22475999999999999</v>
      </c>
      <c r="BG422" s="1109">
        <f t="shared" si="194"/>
        <v>0.89900000000000013</v>
      </c>
      <c r="BH422" s="1109">
        <f t="shared" si="194"/>
        <v>0.89900000000000013</v>
      </c>
      <c r="BI422" s="1109">
        <f t="shared" si="194"/>
        <v>0.67424000000000006</v>
      </c>
      <c r="BJ422" s="1109">
        <f t="shared" si="194"/>
        <v>0</v>
      </c>
    </row>
    <row r="423" spans="2:62" hidden="1" outlineLevel="1">
      <c r="B423" s="1094"/>
      <c r="C423" s="1071" t="str">
        <f t="shared" ref="C423:F423" si="195">C120</f>
        <v>T017 - X20 LAPTOPS W20007838</v>
      </c>
      <c r="D423" s="1071" t="str">
        <f t="shared" si="195"/>
        <v>IT Equipment</v>
      </c>
      <c r="E423" s="1071" t="str">
        <f t="shared" si="195"/>
        <v>T0170204</v>
      </c>
      <c r="F423" s="1125">
        <f t="shared" si="195"/>
        <v>2020</v>
      </c>
      <c r="H423" s="1071" t="s">
        <v>29</v>
      </c>
      <c r="AZ423" s="1108"/>
      <c r="BA423" s="1109"/>
      <c r="BB423" s="1109"/>
      <c r="BC423" s="1109"/>
      <c r="BD423" s="1109"/>
      <c r="BE423" s="1109"/>
      <c r="BF423" s="1109">
        <f t="shared" ref="BF423:BJ423" si="196">IF($J120=0,0,(($BF120*M120)+($BG120*S120)+($BH120*Y120)+($BI120*AE120)+($BJ120*AK120))/$J120)</f>
        <v>0.29291000000000006</v>
      </c>
      <c r="BG423" s="1109">
        <f t="shared" si="196"/>
        <v>0.50213666666666668</v>
      </c>
      <c r="BH423" s="1109">
        <f t="shared" si="196"/>
        <v>0.50213666666666668</v>
      </c>
      <c r="BI423" s="1109">
        <f t="shared" si="196"/>
        <v>0.20922666666666673</v>
      </c>
      <c r="BJ423" s="1109">
        <f t="shared" si="196"/>
        <v>0</v>
      </c>
    </row>
    <row r="424" spans="2:62" hidden="1" outlineLevel="1">
      <c r="B424" s="1094"/>
      <c r="C424" s="1071" t="str">
        <f t="shared" ref="C424:F424" si="197">C121</f>
        <v>T017 - TOSHIBA X20 W20008071</v>
      </c>
      <c r="D424" s="1071" t="str">
        <f t="shared" si="197"/>
        <v>IT Equipment</v>
      </c>
      <c r="E424" s="1071" t="str">
        <f t="shared" si="197"/>
        <v>T0170216</v>
      </c>
      <c r="F424" s="1125">
        <f t="shared" si="197"/>
        <v>2020</v>
      </c>
      <c r="H424" s="1071" t="s">
        <v>29</v>
      </c>
      <c r="AZ424" s="1108"/>
      <c r="BA424" s="1109"/>
      <c r="BB424" s="1109"/>
      <c r="BC424" s="1109"/>
      <c r="BD424" s="1109"/>
      <c r="BE424" s="1109"/>
      <c r="BF424" s="1109">
        <f t="shared" ref="BF424:BJ424" si="198">IF($J121=0,0,(($BF121*M121)+($BG121*S121)+($BH121*Y121)+($BI121*AE121)+($BJ121*AK121))/$J121)</f>
        <v>0.17513999999999999</v>
      </c>
      <c r="BG424" s="1109">
        <f t="shared" si="198"/>
        <v>0.29208972972972974</v>
      </c>
      <c r="BH424" s="1109">
        <f t="shared" si="198"/>
        <v>0.29208972972972974</v>
      </c>
      <c r="BI424" s="1109">
        <f t="shared" si="198"/>
        <v>0.14129054054054055</v>
      </c>
      <c r="BJ424" s="1109">
        <f t="shared" si="198"/>
        <v>0</v>
      </c>
    </row>
    <row r="425" spans="2:62" hidden="1" outlineLevel="1">
      <c r="B425" s="1094"/>
      <c r="C425" s="1071" t="str">
        <f t="shared" ref="C425:F425" si="199">C122</f>
        <v>T017 - TOSHIBA X20 W20008072</v>
      </c>
      <c r="D425" s="1071" t="str">
        <f t="shared" si="199"/>
        <v>IT Equipment</v>
      </c>
      <c r="E425" s="1071" t="str">
        <f t="shared" si="199"/>
        <v>T0170217</v>
      </c>
      <c r="F425" s="1125">
        <f t="shared" si="199"/>
        <v>2020</v>
      </c>
      <c r="H425" s="1071" t="s">
        <v>29</v>
      </c>
      <c r="AZ425" s="1108"/>
      <c r="BA425" s="1109"/>
      <c r="BB425" s="1109"/>
      <c r="BC425" s="1109"/>
      <c r="BD425" s="1109"/>
      <c r="BE425" s="1109"/>
      <c r="BF425" s="1109">
        <f t="shared" ref="BF425:BJ425" si="200">IF($J122=0,0,(($BF122*M122)+($BG122*S122)+($BH122*Y122)+($BI122*AE122)+($BJ122*AK122))/$J122)</f>
        <v>0.17513999999999999</v>
      </c>
      <c r="BG425" s="1109">
        <f t="shared" si="200"/>
        <v>0.29208972972972974</v>
      </c>
      <c r="BH425" s="1109">
        <f t="shared" si="200"/>
        <v>0.29208972972972974</v>
      </c>
      <c r="BI425" s="1109">
        <f t="shared" si="200"/>
        <v>0.14129054054054055</v>
      </c>
      <c r="BJ425" s="1109">
        <f t="shared" si="200"/>
        <v>0</v>
      </c>
    </row>
    <row r="426" spans="2:62" hidden="1" outlineLevel="1">
      <c r="B426" s="1094"/>
      <c r="C426" s="1071" t="str">
        <f t="shared" ref="C426:F426" si="201">C123</f>
        <v>T017 - TOSHIBA X20 W20008079</v>
      </c>
      <c r="D426" s="1071" t="str">
        <f t="shared" si="201"/>
        <v>IT Equipment</v>
      </c>
      <c r="E426" s="1071" t="str">
        <f t="shared" si="201"/>
        <v>T0170223</v>
      </c>
      <c r="F426" s="1125">
        <f t="shared" si="201"/>
        <v>2020</v>
      </c>
      <c r="H426" s="1071" t="s">
        <v>29</v>
      </c>
      <c r="AZ426" s="1108"/>
      <c r="BA426" s="1109"/>
      <c r="BB426" s="1109"/>
      <c r="BC426" s="1109"/>
      <c r="BD426" s="1109"/>
      <c r="BE426" s="1109"/>
      <c r="BF426" s="1109">
        <f t="shared" ref="BF426:BJ426" si="202">IF($J123=0,0,(($BF123*M123)+($BG123*S123)+($BH123*Y123)+($BI123*AE123)+($BJ123*AK123))/$J123)</f>
        <v>0.17513999999999999</v>
      </c>
      <c r="BG426" s="1109">
        <f t="shared" si="202"/>
        <v>0.29208972972972974</v>
      </c>
      <c r="BH426" s="1109">
        <f t="shared" si="202"/>
        <v>0.29208972972972974</v>
      </c>
      <c r="BI426" s="1109">
        <f t="shared" si="202"/>
        <v>0.14129054054054055</v>
      </c>
      <c r="BJ426" s="1109">
        <f t="shared" si="202"/>
        <v>0</v>
      </c>
    </row>
    <row r="427" spans="2:62" hidden="1" outlineLevel="1">
      <c r="B427" s="1094"/>
      <c r="C427" s="1071" t="str">
        <f t="shared" ref="C427:F427" si="203">C124</f>
        <v>T017 - TOSHIBA X20 W20008018</v>
      </c>
      <c r="D427" s="1071" t="str">
        <f t="shared" si="203"/>
        <v>IT Equipment</v>
      </c>
      <c r="E427" s="1071" t="str">
        <f t="shared" si="203"/>
        <v>T0170240</v>
      </c>
      <c r="F427" s="1125">
        <f t="shared" si="203"/>
        <v>2020</v>
      </c>
      <c r="H427" s="1071" t="s">
        <v>29</v>
      </c>
      <c r="AZ427" s="1108"/>
      <c r="BA427" s="1109"/>
      <c r="BB427" s="1109"/>
      <c r="BC427" s="1109"/>
      <c r="BD427" s="1109"/>
      <c r="BE427" s="1109"/>
      <c r="BF427" s="1109">
        <f t="shared" ref="BF427:BJ427" si="204">IF($J124=0,0,(($BF124*M124)+($BG124*S124)+($BH124*Y124)+($BI124*AE124)+($BJ124*AK124))/$J124)</f>
        <v>0.29291000000000006</v>
      </c>
      <c r="BG427" s="1109">
        <f t="shared" si="204"/>
        <v>0.50213666666666668</v>
      </c>
      <c r="BH427" s="1109">
        <f t="shared" si="204"/>
        <v>0.50213666666666668</v>
      </c>
      <c r="BI427" s="1109">
        <f t="shared" si="204"/>
        <v>0.20922666666666673</v>
      </c>
      <c r="BJ427" s="1109">
        <f t="shared" si="204"/>
        <v>0</v>
      </c>
    </row>
    <row r="428" spans="2:62" hidden="1" outlineLevel="1">
      <c r="B428" s="1094"/>
      <c r="C428" s="1071" t="str">
        <f t="shared" ref="C428:F428" si="205">C125</f>
        <v>T017 - HP G7 CORE W20008101</v>
      </c>
      <c r="D428" s="1071" t="str">
        <f t="shared" si="205"/>
        <v>IT Equipment</v>
      </c>
      <c r="E428" s="1071" t="str">
        <f t="shared" si="205"/>
        <v>T0170251</v>
      </c>
      <c r="F428" s="1125">
        <f t="shared" si="205"/>
        <v>2020</v>
      </c>
      <c r="H428" s="1071" t="s">
        <v>29</v>
      </c>
      <c r="AZ428" s="1108"/>
      <c r="BA428" s="1109"/>
      <c r="BB428" s="1109"/>
      <c r="BC428" s="1109"/>
      <c r="BD428" s="1109"/>
      <c r="BE428" s="1109"/>
      <c r="BF428" s="1109">
        <f t="shared" ref="BF428:BJ428" si="206">IF($J125=0,0,(($BF125*M125)+($BG125*S125)+($BH125*Y125)+($BI125*AE125)+($BJ125*AK125))/$J125)</f>
        <v>0.13515999999999997</v>
      </c>
      <c r="BG428" s="1109">
        <f t="shared" si="206"/>
        <v>0.23166666666666666</v>
      </c>
      <c r="BH428" s="1109">
        <f t="shared" si="206"/>
        <v>0.23166666666666666</v>
      </c>
      <c r="BI428" s="1109">
        <f t="shared" si="206"/>
        <v>9.6506666666666685E-2</v>
      </c>
      <c r="BJ428" s="1109">
        <f t="shared" si="206"/>
        <v>0</v>
      </c>
    </row>
    <row r="429" spans="2:62" hidden="1" outlineLevel="1">
      <c r="B429" s="1094"/>
      <c r="C429" s="1071" t="str">
        <f t="shared" ref="C429:F429" si="207">C126</f>
        <v>T017 - OPTIPLEX5060 W20007744</v>
      </c>
      <c r="D429" s="1071" t="str">
        <f t="shared" si="207"/>
        <v>IT Equipment</v>
      </c>
      <c r="E429" s="1071" t="str">
        <f t="shared" si="207"/>
        <v>T0170252</v>
      </c>
      <c r="F429" s="1125">
        <f t="shared" si="207"/>
        <v>2020</v>
      </c>
      <c r="H429" s="1071" t="s">
        <v>29</v>
      </c>
      <c r="AZ429" s="1108"/>
      <c r="BA429" s="1109"/>
      <c r="BB429" s="1109"/>
      <c r="BC429" s="1109"/>
      <c r="BD429" s="1109"/>
      <c r="BE429" s="1109"/>
      <c r="BF429" s="1109">
        <f t="shared" ref="BF429:BJ429" si="208">IF($J126=0,0,(($BF126*M126)+($BG126*S126)+($BH126*Y126)+($BI126*AE126)+($BJ126*AK126))/$J126)</f>
        <v>0.20003999999999994</v>
      </c>
      <c r="BG429" s="1109">
        <f t="shared" si="208"/>
        <v>0.19999999999999998</v>
      </c>
      <c r="BH429" s="1109">
        <f t="shared" si="208"/>
        <v>0.19996000000000003</v>
      </c>
      <c r="BI429" s="1109">
        <f t="shared" si="208"/>
        <v>0</v>
      </c>
      <c r="BJ429" s="1109">
        <f t="shared" si="208"/>
        <v>0</v>
      </c>
    </row>
    <row r="430" spans="2:62" hidden="1" outlineLevel="1">
      <c r="B430" s="1094"/>
      <c r="C430" s="1071" t="str">
        <f t="shared" ref="C430:F430" si="209">C127</f>
        <v>T017 - TOSHIBA W20008071</v>
      </c>
      <c r="D430" s="1071" t="str">
        <f t="shared" si="209"/>
        <v>IT Equipment</v>
      </c>
      <c r="E430" s="1071" t="str">
        <f t="shared" si="209"/>
        <v>T0170264</v>
      </c>
      <c r="F430" s="1125">
        <f t="shared" si="209"/>
        <v>2020</v>
      </c>
      <c r="H430" s="1071" t="s">
        <v>29</v>
      </c>
      <c r="AZ430" s="1108"/>
      <c r="BA430" s="1109"/>
      <c r="BB430" s="1109"/>
      <c r="BC430" s="1109"/>
      <c r="BD430" s="1109"/>
      <c r="BE430" s="1109"/>
      <c r="BF430" s="1109">
        <f t="shared" ref="BF430:BJ430" si="210">IF($J127=0,0,(($BF127*M127)+($BG127*S127)+($BH127*Y127)+($BI127*AE127)+($BJ127*AK127))/$J127)</f>
        <v>0.11781000000000003</v>
      </c>
      <c r="BG430" s="1109">
        <f t="shared" si="210"/>
        <v>0.20193333333333335</v>
      </c>
      <c r="BH430" s="1109">
        <f t="shared" si="210"/>
        <v>0.20193333333333335</v>
      </c>
      <c r="BI430" s="1109">
        <f t="shared" si="210"/>
        <v>8.41233333333333E-2</v>
      </c>
      <c r="BJ430" s="1109">
        <f t="shared" si="210"/>
        <v>0</v>
      </c>
    </row>
    <row r="431" spans="2:62" hidden="1" outlineLevel="1">
      <c r="B431" s="1094"/>
      <c r="C431" s="1071" t="str">
        <f t="shared" ref="C431:F431" si="211">C128</f>
        <v>T017 - TOSHIBA W20008072</v>
      </c>
      <c r="D431" s="1071" t="str">
        <f t="shared" si="211"/>
        <v>IT Equipment</v>
      </c>
      <c r="E431" s="1071" t="str">
        <f t="shared" si="211"/>
        <v>T0170265</v>
      </c>
      <c r="F431" s="1125">
        <f t="shared" si="211"/>
        <v>2020</v>
      </c>
      <c r="H431" s="1071" t="s">
        <v>29</v>
      </c>
      <c r="AZ431" s="1108"/>
      <c r="BA431" s="1109"/>
      <c r="BB431" s="1109"/>
      <c r="BC431" s="1109"/>
      <c r="BD431" s="1109"/>
      <c r="BE431" s="1109"/>
      <c r="BF431" s="1109">
        <f t="shared" ref="BF431:BJ431" si="212">IF($J128=0,0,(($BF128*M128)+($BG128*S128)+($BH128*Y128)+($BI128*AE128)+($BJ128*AK128))/$J128)</f>
        <v>0.11781000000000003</v>
      </c>
      <c r="BG431" s="1109">
        <f t="shared" si="212"/>
        <v>0.20193333333333335</v>
      </c>
      <c r="BH431" s="1109">
        <f t="shared" si="212"/>
        <v>0.20193333333333335</v>
      </c>
      <c r="BI431" s="1109">
        <f t="shared" si="212"/>
        <v>8.41233333333333E-2</v>
      </c>
      <c r="BJ431" s="1109">
        <f t="shared" si="212"/>
        <v>0</v>
      </c>
    </row>
    <row r="432" spans="2:62" hidden="1" outlineLevel="1">
      <c r="B432" s="1094"/>
      <c r="C432" s="1071" t="str">
        <f t="shared" ref="C432:F432" si="213">C129</f>
        <v>T017 - TOSHIBA W20008079</v>
      </c>
      <c r="D432" s="1071" t="str">
        <f t="shared" si="213"/>
        <v>IT Equipment</v>
      </c>
      <c r="E432" s="1071" t="str">
        <f t="shared" si="213"/>
        <v>T0170271</v>
      </c>
      <c r="F432" s="1125">
        <f t="shared" si="213"/>
        <v>2020</v>
      </c>
      <c r="H432" s="1071" t="s">
        <v>29</v>
      </c>
      <c r="AZ432" s="1108"/>
      <c r="BA432" s="1109"/>
      <c r="BB432" s="1109"/>
      <c r="BC432" s="1109"/>
      <c r="BD432" s="1109"/>
      <c r="BE432" s="1109"/>
      <c r="BF432" s="1109">
        <f t="shared" ref="BF432:BJ432" si="214">IF($J129=0,0,(($BF129*M129)+($BG129*S129)+($BH129*Y129)+($BI129*AE129)+($BJ129*AK129))/$J129)</f>
        <v>0.11781000000000003</v>
      </c>
      <c r="BG432" s="1109">
        <f t="shared" si="214"/>
        <v>0.20193333333333335</v>
      </c>
      <c r="BH432" s="1109">
        <f t="shared" si="214"/>
        <v>0.20193333333333335</v>
      </c>
      <c r="BI432" s="1109">
        <f t="shared" si="214"/>
        <v>8.41233333333333E-2</v>
      </c>
      <c r="BJ432" s="1109">
        <f t="shared" si="214"/>
        <v>0</v>
      </c>
    </row>
    <row r="433" spans="2:62" hidden="1" outlineLevel="1">
      <c r="B433" s="1094"/>
      <c r="C433" s="1071" t="str">
        <f t="shared" ref="C433:F433" si="215">C130</f>
        <v>T017 - HP250G7 CORE W20008101</v>
      </c>
      <c r="D433" s="1071" t="str">
        <f t="shared" si="215"/>
        <v>IT Equipment</v>
      </c>
      <c r="E433" s="1071" t="str">
        <f t="shared" si="215"/>
        <v>T0170286</v>
      </c>
      <c r="F433" s="1125">
        <f t="shared" si="215"/>
        <v>2020</v>
      </c>
      <c r="H433" s="1071" t="s">
        <v>29</v>
      </c>
      <c r="AZ433" s="1108"/>
      <c r="BA433" s="1109"/>
      <c r="BB433" s="1109"/>
      <c r="BC433" s="1109"/>
      <c r="BD433" s="1109"/>
      <c r="BE433" s="1109"/>
      <c r="BF433" s="1109">
        <f t="shared" ref="BF433:BJ433" si="216">IF($J130=0,0,(($BF130*M130)+($BG130*S130)+($BH130*Y130)+($BI130*AE130)+($BJ130*AK130))/$J130)</f>
        <v>0.13515999999999997</v>
      </c>
      <c r="BG433" s="1109">
        <f t="shared" si="216"/>
        <v>0.23166666666666666</v>
      </c>
      <c r="BH433" s="1109">
        <f t="shared" si="216"/>
        <v>0.23166666666666666</v>
      </c>
      <c r="BI433" s="1109">
        <f t="shared" si="216"/>
        <v>9.6506666666666685E-2</v>
      </c>
      <c r="BJ433" s="1109">
        <f t="shared" si="216"/>
        <v>0</v>
      </c>
    </row>
    <row r="434" spans="2:62" hidden="1" outlineLevel="1">
      <c r="B434" s="1094"/>
      <c r="C434" s="1071" t="str">
        <f t="shared" ref="C434:F434" si="217">C131</f>
        <v>T017 - HP250G7 CORE W20008103</v>
      </c>
      <c r="D434" s="1071" t="str">
        <f t="shared" si="217"/>
        <v>IT Equipment</v>
      </c>
      <c r="E434" s="1071" t="str">
        <f t="shared" si="217"/>
        <v>T0170288</v>
      </c>
      <c r="F434" s="1125">
        <f t="shared" si="217"/>
        <v>2020</v>
      </c>
      <c r="H434" s="1071" t="s">
        <v>29</v>
      </c>
      <c r="AZ434" s="1108"/>
      <c r="BA434" s="1109"/>
      <c r="BB434" s="1109"/>
      <c r="BC434" s="1109"/>
      <c r="BD434" s="1109"/>
      <c r="BE434" s="1109"/>
      <c r="BF434" s="1109">
        <f t="shared" ref="BF434:BJ434" si="218">IF($J131=0,0,(($BF131*M131)+($BG131*S131)+($BH131*Y131)+($BI131*AE131)+($BJ131*AK131))/$J131)</f>
        <v>0.13515999999999997</v>
      </c>
      <c r="BG434" s="1109">
        <f t="shared" si="218"/>
        <v>0.23166666666666666</v>
      </c>
      <c r="BH434" s="1109">
        <f t="shared" si="218"/>
        <v>0.23166666666666666</v>
      </c>
      <c r="BI434" s="1109">
        <f t="shared" si="218"/>
        <v>9.6506666666666685E-2</v>
      </c>
      <c r="BJ434" s="1109">
        <f t="shared" si="218"/>
        <v>0</v>
      </c>
    </row>
    <row r="435" spans="2:62" hidden="1" outlineLevel="1">
      <c r="B435" s="1094"/>
      <c r="C435" s="1071" t="str">
        <f t="shared" ref="C435:F435" si="219">C132</f>
        <v>T017 - OPTIPLEX5060 W20007789</v>
      </c>
      <c r="D435" s="1071" t="str">
        <f t="shared" si="219"/>
        <v>IT Equipment</v>
      </c>
      <c r="E435" s="1071" t="str">
        <f t="shared" si="219"/>
        <v>T0170289</v>
      </c>
      <c r="F435" s="1125">
        <f t="shared" si="219"/>
        <v>2020</v>
      </c>
      <c r="H435" s="1071" t="s">
        <v>29</v>
      </c>
      <c r="AZ435" s="1108"/>
      <c r="BA435" s="1109"/>
      <c r="BB435" s="1109"/>
      <c r="BC435" s="1109"/>
      <c r="BD435" s="1109"/>
      <c r="BE435" s="1109"/>
      <c r="BF435" s="1109">
        <f t="shared" ref="BF435:BJ435" si="220">IF($J132=0,0,(($BF132*M132)+($BG132*S132)+($BH132*Y132)+($BI132*AE132)+($BJ132*AK132))/$J132)</f>
        <v>0.20003999999999994</v>
      </c>
      <c r="BG435" s="1109">
        <f t="shared" si="220"/>
        <v>0.19999999999999998</v>
      </c>
      <c r="BH435" s="1109">
        <f t="shared" si="220"/>
        <v>0.19996000000000003</v>
      </c>
      <c r="BI435" s="1109">
        <f t="shared" si="220"/>
        <v>0</v>
      </c>
      <c r="BJ435" s="1109">
        <f t="shared" si="220"/>
        <v>0</v>
      </c>
    </row>
    <row r="436" spans="2:62" hidden="1" outlineLevel="1">
      <c r="B436" s="1094"/>
      <c r="C436" s="1071" t="str">
        <f t="shared" ref="C436:F436" si="221">C133</f>
        <v>T017 - QUEST W20007746</v>
      </c>
      <c r="D436" s="1071" t="str">
        <f t="shared" si="221"/>
        <v>IT Equipment</v>
      </c>
      <c r="E436" s="1071" t="str">
        <f t="shared" si="221"/>
        <v>T0170295</v>
      </c>
      <c r="F436" s="1125">
        <f t="shared" si="221"/>
        <v>2020</v>
      </c>
      <c r="H436" s="1071" t="s">
        <v>29</v>
      </c>
      <c r="AZ436" s="1108"/>
      <c r="BA436" s="1109"/>
      <c r="BB436" s="1109"/>
      <c r="BC436" s="1109"/>
      <c r="BD436" s="1109"/>
      <c r="BE436" s="1109"/>
      <c r="BF436" s="1109">
        <f t="shared" ref="BF436:BJ436" si="222">IF($J133=0,0,(($BF133*M133)+($BG133*S133)+($BH133*Y133)+($BI133*AE133)+($BJ133*AK133))/$J133)</f>
        <v>7.4270000000000003E-2</v>
      </c>
      <c r="BG436" s="1109">
        <f t="shared" si="222"/>
        <v>0.89125333333333345</v>
      </c>
      <c r="BH436" s="1109">
        <f t="shared" si="222"/>
        <v>0.89125333333333345</v>
      </c>
      <c r="BI436" s="1109">
        <f t="shared" si="222"/>
        <v>0.81698333333333339</v>
      </c>
      <c r="BJ436" s="1109">
        <f t="shared" si="222"/>
        <v>0</v>
      </c>
    </row>
    <row r="437" spans="2:62" hidden="1" outlineLevel="1">
      <c r="B437" s="1094"/>
      <c r="C437" s="1071" t="str">
        <f t="shared" ref="C437:F437" si="223">C134</f>
        <v>T018 - HP COLOR LASERJET BCY</v>
      </c>
      <c r="D437" s="1071" t="str">
        <f t="shared" si="223"/>
        <v>IT Equipment</v>
      </c>
      <c r="E437" s="1071" t="str">
        <f t="shared" si="223"/>
        <v>T0180063</v>
      </c>
      <c r="F437" s="1125">
        <f t="shared" si="223"/>
        <v>2020</v>
      </c>
      <c r="H437" s="1071" t="s">
        <v>29</v>
      </c>
      <c r="AZ437" s="1108"/>
      <c r="BA437" s="1109"/>
      <c r="BB437" s="1109"/>
      <c r="BC437" s="1109"/>
      <c r="BD437" s="1109"/>
      <c r="BE437" s="1109"/>
      <c r="BF437" s="1109">
        <f t="shared" ref="BF437:BJ437" si="224">IF($J134=0,0,(($BF134*M134)+($BG134*S134)+($BH134*Y134)+($BI134*AE134)+($BJ134*AK134))/$J134)</f>
        <v>0.38751000000000002</v>
      </c>
      <c r="BG437" s="1109">
        <f t="shared" si="224"/>
        <v>1.55</v>
      </c>
      <c r="BH437" s="1109">
        <f t="shared" si="224"/>
        <v>1.55</v>
      </c>
      <c r="BI437" s="1109">
        <f t="shared" si="224"/>
        <v>1.1624900000000002</v>
      </c>
      <c r="BJ437" s="1109">
        <f t="shared" si="224"/>
        <v>0</v>
      </c>
    </row>
    <row r="438" spans="2:62" hidden="1" outlineLevel="1">
      <c r="B438" s="1094"/>
      <c r="C438" s="1071" t="str">
        <f t="shared" ref="C438:F438" si="225">C135</f>
        <v>T017 - TOSHIBA X20 W20008075</v>
      </c>
      <c r="D438" s="1071" t="str">
        <f t="shared" si="225"/>
        <v>IT Equipment</v>
      </c>
      <c r="E438" s="1071" t="str">
        <f t="shared" si="225"/>
        <v>T0170220</v>
      </c>
      <c r="F438" s="1125">
        <f t="shared" si="225"/>
        <v>2020</v>
      </c>
      <c r="H438" s="1071" t="s">
        <v>29</v>
      </c>
      <c r="AZ438" s="1108"/>
      <c r="BA438" s="1109"/>
      <c r="BB438" s="1109"/>
      <c r="BC438" s="1109"/>
      <c r="BD438" s="1109"/>
      <c r="BE438" s="1109"/>
      <c r="BF438" s="1109">
        <f t="shared" ref="BF438:BJ438" si="226">IF($J135=0,0,(($BF135*M135)+($BG135*S135)+($BH135*Y135)+($BI135*AE135)+($BJ135*AK135))/$J135)</f>
        <v>0.17513999999999999</v>
      </c>
      <c r="BG438" s="1109">
        <f t="shared" si="226"/>
        <v>0.29208972972972974</v>
      </c>
      <c r="BH438" s="1109">
        <f t="shared" si="226"/>
        <v>0.29208972972972974</v>
      </c>
      <c r="BI438" s="1109">
        <f t="shared" si="226"/>
        <v>0.14129054054054055</v>
      </c>
      <c r="BJ438" s="1109">
        <f t="shared" si="226"/>
        <v>0</v>
      </c>
    </row>
    <row r="439" spans="2:62" hidden="1" outlineLevel="1">
      <c r="B439" s="1094"/>
      <c r="C439" s="1071" t="str">
        <f t="shared" ref="C439:F439" si="227">C136</f>
        <v>T017 - TOSHIBA X20 W20008017</v>
      </c>
      <c r="D439" s="1071" t="str">
        <f t="shared" si="227"/>
        <v>IT Equipment</v>
      </c>
      <c r="E439" s="1071" t="str">
        <f t="shared" si="227"/>
        <v>T0170239</v>
      </c>
      <c r="F439" s="1125">
        <f t="shared" si="227"/>
        <v>2020</v>
      </c>
      <c r="H439" s="1071" t="s">
        <v>29</v>
      </c>
      <c r="AZ439" s="1108"/>
      <c r="BA439" s="1109"/>
      <c r="BB439" s="1109"/>
      <c r="BC439" s="1109"/>
      <c r="BD439" s="1109"/>
      <c r="BE439" s="1109"/>
      <c r="BF439" s="1109">
        <f t="shared" ref="BF439:BJ439" si="228">IF($J136=0,0,(($BF136*M136)+($BG136*S136)+($BH136*Y136)+($BI136*AE136)+($BJ136*AK136))/$J136)</f>
        <v>0.29291000000000006</v>
      </c>
      <c r="BG439" s="1109">
        <f t="shared" si="228"/>
        <v>0.50213666666666668</v>
      </c>
      <c r="BH439" s="1109">
        <f t="shared" si="228"/>
        <v>0.50213666666666668</v>
      </c>
      <c r="BI439" s="1109">
        <f t="shared" si="228"/>
        <v>0.20922666666666673</v>
      </c>
      <c r="BJ439" s="1109">
        <f t="shared" si="228"/>
        <v>0</v>
      </c>
    </row>
    <row r="440" spans="2:62" hidden="1" outlineLevel="1">
      <c r="B440" s="1094"/>
      <c r="C440" s="1071" t="str">
        <f t="shared" ref="C440:F440" si="229">C137</f>
        <v>T017 - TOSHIBA W20008075</v>
      </c>
      <c r="D440" s="1071" t="str">
        <f t="shared" si="229"/>
        <v>IT Equipment</v>
      </c>
      <c r="E440" s="1071" t="str">
        <f t="shared" si="229"/>
        <v>T0170268</v>
      </c>
      <c r="F440" s="1125">
        <f t="shared" si="229"/>
        <v>2020</v>
      </c>
      <c r="H440" s="1071" t="s">
        <v>29</v>
      </c>
      <c r="AZ440" s="1108"/>
      <c r="BA440" s="1109"/>
      <c r="BB440" s="1109"/>
      <c r="BC440" s="1109"/>
      <c r="BD440" s="1109"/>
      <c r="BE440" s="1109"/>
      <c r="BF440" s="1109">
        <f t="shared" ref="BF440:BJ440" si="230">IF($J137=0,0,(($BF137*M137)+($BG137*S137)+($BH137*Y137)+($BI137*AE137)+($BJ137*AK137))/$J137)</f>
        <v>0.11781000000000003</v>
      </c>
      <c r="BG440" s="1109">
        <f t="shared" si="230"/>
        <v>0.20193333333333335</v>
      </c>
      <c r="BH440" s="1109">
        <f t="shared" si="230"/>
        <v>0.20193333333333335</v>
      </c>
      <c r="BI440" s="1109">
        <f t="shared" si="230"/>
        <v>8.41233333333333E-2</v>
      </c>
      <c r="BJ440" s="1109">
        <f t="shared" si="230"/>
        <v>0</v>
      </c>
    </row>
    <row r="441" spans="2:62" hidden="1" outlineLevel="1">
      <c r="B441" s="1094"/>
      <c r="C441" s="1071" t="str">
        <f t="shared" ref="C441:F441" si="231">C138</f>
        <v>T022 - DAAMS OMP PACKAGE</v>
      </c>
      <c r="D441" s="1071" t="str">
        <f t="shared" si="231"/>
        <v>DAAMS OMP PACKAGE</v>
      </c>
      <c r="E441" s="1071" t="str">
        <f t="shared" si="231"/>
        <v>T0220001</v>
      </c>
      <c r="F441" s="1125">
        <f t="shared" si="231"/>
        <v>2020</v>
      </c>
      <c r="H441" s="1071" t="s">
        <v>29</v>
      </c>
      <c r="AZ441" s="1108"/>
      <c r="BA441" s="1109"/>
      <c r="BB441" s="1109"/>
      <c r="BC441" s="1109"/>
      <c r="BD441" s="1109"/>
      <c r="BE441" s="1109"/>
      <c r="BF441" s="1109">
        <f t="shared" ref="BF441:BJ441" si="232">IF($J138=0,0,(($BF138*M138)+($BG138*S138)+($BH138*Y138)+($BI138*AE138)+($BJ138*AK138))/$J138)</f>
        <v>6.6666800000000004</v>
      </c>
      <c r="BG441" s="1109">
        <f t="shared" si="232"/>
        <v>20</v>
      </c>
      <c r="BH441" s="1109">
        <f t="shared" si="232"/>
        <v>20</v>
      </c>
      <c r="BI441" s="1109">
        <f t="shared" si="232"/>
        <v>13.333319999999999</v>
      </c>
      <c r="BJ441" s="1109">
        <f t="shared" si="232"/>
        <v>0</v>
      </c>
    </row>
    <row r="442" spans="2:62" hidden="1" outlineLevel="1">
      <c r="B442" s="1094"/>
      <c r="C442" s="1071" t="str">
        <f t="shared" ref="C442:F442" si="233">C139</f>
        <v>S024 - BCY ITRoom Upgrades</v>
      </c>
      <c r="D442" s="1071" t="str">
        <f t="shared" si="233"/>
        <v>IT Room Upgrades</v>
      </c>
      <c r="E442" s="1071" t="str">
        <f t="shared" si="233"/>
        <v>S0240011</v>
      </c>
      <c r="F442" s="1125">
        <f t="shared" si="233"/>
        <v>2020</v>
      </c>
      <c r="H442" s="1071" t="s">
        <v>29</v>
      </c>
      <c r="AZ442" s="1108"/>
      <c r="BA442" s="1109"/>
      <c r="BB442" s="1109"/>
      <c r="BC442" s="1109"/>
      <c r="BD442" s="1109"/>
      <c r="BE442" s="1109"/>
      <c r="BF442" s="1109">
        <f t="shared" ref="BF442:BJ442" si="234">IF($J139=0,0,(($BF139*M139)+($BG139*S139)+($BH139*Y139)+($BI139*AE139)+($BJ139*AK139))/$J139)</f>
        <v>0.91413</v>
      </c>
      <c r="BG442" s="1109">
        <f t="shared" si="234"/>
        <v>10.96956</v>
      </c>
      <c r="BH442" s="1109">
        <f t="shared" si="234"/>
        <v>10.96956</v>
      </c>
      <c r="BI442" s="1109">
        <f t="shared" si="234"/>
        <v>10.96956</v>
      </c>
      <c r="BJ442" s="1109">
        <f t="shared" si="234"/>
        <v>10.96956</v>
      </c>
    </row>
    <row r="443" spans="2:62" hidden="1" outlineLevel="1">
      <c r="B443" s="1094"/>
      <c r="C443" s="1071" t="str">
        <f t="shared" ref="C443:F443" si="235">C140</f>
        <v>T019 - 2 Servers BCY</v>
      </c>
      <c r="D443" s="1071" t="str">
        <f t="shared" si="235"/>
        <v>IT Servers</v>
      </c>
      <c r="E443" s="1071" t="str">
        <f t="shared" si="235"/>
        <v>T0190003</v>
      </c>
      <c r="F443" s="1125">
        <f t="shared" si="235"/>
        <v>2020</v>
      </c>
      <c r="H443" s="1071" t="s">
        <v>29</v>
      </c>
      <c r="AZ443" s="1108"/>
      <c r="BA443" s="1109"/>
      <c r="BB443" s="1109"/>
      <c r="BC443" s="1109"/>
      <c r="BD443" s="1109"/>
      <c r="BE443" s="1109"/>
      <c r="BF443" s="1109">
        <f t="shared" ref="BF443:BJ443" si="236">IF($J140=0,0,(($BF140*M140)+($BG140*S140)+($BH140*Y140)+($BI140*AE140)+($BJ140*AK140))/$J140)</f>
        <v>16.286279999999998</v>
      </c>
      <c r="BG443" s="1109">
        <f t="shared" si="236"/>
        <v>16.286259999999999</v>
      </c>
      <c r="BH443" s="1109">
        <f t="shared" si="236"/>
        <v>16.286239999999999</v>
      </c>
      <c r="BI443" s="1109">
        <f t="shared" si="236"/>
        <v>0</v>
      </c>
      <c r="BJ443" s="1109">
        <f t="shared" si="236"/>
        <v>0</v>
      </c>
    </row>
    <row r="444" spans="2:62" hidden="1" outlineLevel="1">
      <c r="B444" s="1094"/>
      <c r="C444" s="1071" t="str">
        <f t="shared" ref="C444:F444" si="237">C141</f>
        <v>T019 - 1 Server SHN</v>
      </c>
      <c r="D444" s="1071" t="str">
        <f t="shared" si="237"/>
        <v>IT Servers</v>
      </c>
      <c r="E444" s="1071" t="str">
        <f t="shared" si="237"/>
        <v>T0190004</v>
      </c>
      <c r="F444" s="1125">
        <f t="shared" si="237"/>
        <v>2020</v>
      </c>
      <c r="H444" s="1071" t="s">
        <v>29</v>
      </c>
      <c r="AZ444" s="1108"/>
      <c r="BA444" s="1109"/>
      <c r="BB444" s="1109"/>
      <c r="BC444" s="1109"/>
      <c r="BD444" s="1109"/>
      <c r="BE444" s="1109"/>
      <c r="BF444" s="1109">
        <f t="shared" ref="BF444:BJ444" si="238">IF($J141=0,0,(($BF141*M141)+($BG141*S141)+($BH141*Y141)+($BI141*AE141)+($BJ141*AK141))/$J141)</f>
        <v>0.50036000000000003</v>
      </c>
      <c r="BG444" s="1109">
        <f t="shared" si="238"/>
        <v>0.85775999999999997</v>
      </c>
      <c r="BH444" s="1109">
        <f t="shared" si="238"/>
        <v>0.85775999999999997</v>
      </c>
      <c r="BI444" s="1109">
        <f t="shared" si="238"/>
        <v>0.3574</v>
      </c>
      <c r="BJ444" s="1109">
        <f t="shared" si="238"/>
        <v>0</v>
      </c>
    </row>
    <row r="445" spans="2:62" hidden="1" outlineLevel="1">
      <c r="B445" s="1094"/>
      <c r="C445" s="1071" t="str">
        <f t="shared" ref="C445:F445" si="239">C142</f>
        <v>P003 - RBS Radios Rosslare</v>
      </c>
      <c r="D445" s="1071" t="str">
        <f t="shared" si="239"/>
        <v>RBS Radios Rosslare</v>
      </c>
      <c r="E445" s="1071" t="str">
        <f t="shared" si="239"/>
        <v>P0030002</v>
      </c>
      <c r="F445" s="1125">
        <f t="shared" si="239"/>
        <v>2020</v>
      </c>
      <c r="H445" s="1071" t="s">
        <v>29</v>
      </c>
      <c r="AZ445" s="1108"/>
      <c r="BA445" s="1109"/>
      <c r="BB445" s="1109"/>
      <c r="BC445" s="1109"/>
      <c r="BD445" s="1109"/>
      <c r="BE445" s="1109"/>
      <c r="BF445" s="1109">
        <f t="shared" ref="BF445:BJ445" si="240">IF($J142=0,0,(($BF142*M142)+($BG142*S142)+($BH142*Y142)+($BI142*AE142)+($BJ142*AK142))/$J142)</f>
        <v>1.3784799999999999</v>
      </c>
      <c r="BG445" s="1109">
        <f t="shared" si="240"/>
        <v>4.1354049999999996</v>
      </c>
      <c r="BH445" s="1109">
        <f t="shared" si="240"/>
        <v>4.1354049999999996</v>
      </c>
      <c r="BI445" s="1109">
        <f t="shared" si="240"/>
        <v>4.1354049999999996</v>
      </c>
      <c r="BJ445" s="1109">
        <f t="shared" si="240"/>
        <v>4.1354049999999996</v>
      </c>
    </row>
    <row r="446" spans="2:62" hidden="1" outlineLevel="1">
      <c r="B446" s="1094"/>
      <c r="C446" s="1071" t="str">
        <f t="shared" ref="C446:F446" si="241">C143</f>
        <v>Q027 HQ ICT Room Upgrades</v>
      </c>
      <c r="D446" s="1071" t="str">
        <f t="shared" si="241"/>
        <v>ICT Room Upgrades</v>
      </c>
      <c r="E446" s="1071" t="str">
        <f t="shared" si="241"/>
        <v>Q0270010</v>
      </c>
      <c r="F446" s="1125">
        <f t="shared" si="241"/>
        <v>2020</v>
      </c>
      <c r="H446" s="1071" t="s">
        <v>29</v>
      </c>
      <c r="AZ446" s="1108"/>
      <c r="BA446" s="1109"/>
      <c r="BB446" s="1109"/>
      <c r="BC446" s="1109"/>
      <c r="BD446" s="1109"/>
      <c r="BE446" s="1109"/>
      <c r="BF446" s="1109">
        <f t="shared" ref="BF446:BJ446" si="242">IF($J143=0,0,(($BF143*M143)+($BG143*S143)+($BH143*Y143)+($BI143*AE143)+($BJ143*AK143))/$J143)</f>
        <v>5.0743200000000002</v>
      </c>
      <c r="BG446" s="1109">
        <f t="shared" si="242"/>
        <v>5.0743266666666669</v>
      </c>
      <c r="BH446" s="1109">
        <f t="shared" si="242"/>
        <v>5.0743266666666669</v>
      </c>
      <c r="BI446" s="1109">
        <f t="shared" si="242"/>
        <v>6.6666666673931761E-6</v>
      </c>
      <c r="BJ446" s="1109">
        <f t="shared" si="242"/>
        <v>0</v>
      </c>
    </row>
    <row r="447" spans="2:62" hidden="1" outlineLevel="1">
      <c r="B447" s="1094"/>
      <c r="C447" s="1071" t="str">
        <f t="shared" ref="C447:F447" si="243">C144</f>
        <v>Q027 BCY ICT Room Upgrades</v>
      </c>
      <c r="D447" s="1071" t="str">
        <f t="shared" si="243"/>
        <v>ICT Room Upgrades</v>
      </c>
      <c r="E447" s="1071" t="str">
        <f t="shared" si="243"/>
        <v>Q0270009</v>
      </c>
      <c r="F447" s="1125">
        <f t="shared" si="243"/>
        <v>2020</v>
      </c>
      <c r="H447" s="1071" t="s">
        <v>29</v>
      </c>
      <c r="AZ447" s="1108"/>
      <c r="BA447" s="1109"/>
      <c r="BB447" s="1109"/>
      <c r="BC447" s="1109"/>
      <c r="BD447" s="1109"/>
      <c r="BE447" s="1109"/>
      <c r="BF447" s="1109">
        <f t="shared" ref="BF447:BJ447" si="244">IF($J144=0,0,(($BF144*M144)+($BG144*S144)+($BH144*Y144)+($BI144*AE144)+($BJ144*AK144))/$J144)</f>
        <v>5.1155399999999993</v>
      </c>
      <c r="BG447" s="1109">
        <f t="shared" si="244"/>
        <v>5.5805533333333335</v>
      </c>
      <c r="BH447" s="1109">
        <f t="shared" si="244"/>
        <v>5.5805533333333335</v>
      </c>
      <c r="BI447" s="1109">
        <f t="shared" si="244"/>
        <v>0.46501333333333406</v>
      </c>
      <c r="BJ447" s="1109">
        <f t="shared" si="244"/>
        <v>0</v>
      </c>
    </row>
    <row r="448" spans="2:62" hidden="1" outlineLevel="1">
      <c r="B448" s="1094"/>
      <c r="C448" s="1071" t="str">
        <f t="shared" ref="C448:F448" si="245">C145</f>
        <v>S004 - NRT2</v>
      </c>
      <c r="D448" s="1071" t="str">
        <f t="shared" si="245"/>
        <v>NRT2</v>
      </c>
      <c r="E448" s="1071" t="str">
        <f t="shared" si="245"/>
        <v>S0040015</v>
      </c>
      <c r="F448" s="1125">
        <f t="shared" si="245"/>
        <v>2020</v>
      </c>
      <c r="H448" s="1071" t="s">
        <v>29</v>
      </c>
      <c r="AZ448" s="1108"/>
      <c r="BA448" s="1109"/>
      <c r="BB448" s="1109"/>
      <c r="BC448" s="1109"/>
      <c r="BD448" s="1109"/>
      <c r="BE448" s="1109"/>
      <c r="BF448" s="1109">
        <f t="shared" ref="BF448:BJ448" si="246">IF($J145=0,0,(($BF145*M145)+($BG145*S145)+($BH145*Y145)+($BI145*AE145)+($BJ145*AK145))/$J145)</f>
        <v>1.0425800000000001</v>
      </c>
      <c r="BG448" s="1109">
        <f t="shared" si="246"/>
        <v>1.1374</v>
      </c>
      <c r="BH448" s="1109">
        <f t="shared" si="246"/>
        <v>1.1374</v>
      </c>
      <c r="BI448" s="1109">
        <f t="shared" si="246"/>
        <v>1.1374</v>
      </c>
      <c r="BJ448" s="1109">
        <f t="shared" si="246"/>
        <v>1.1374</v>
      </c>
    </row>
    <row r="449" spans="2:62" hidden="1" outlineLevel="1">
      <c r="B449" s="1094"/>
      <c r="C449" s="1071" t="str">
        <f t="shared" ref="C449:F449" si="247">C146</f>
        <v>S004 - NRT2</v>
      </c>
      <c r="D449" s="1071" t="str">
        <f t="shared" si="247"/>
        <v>NRT2</v>
      </c>
      <c r="E449" s="1071" t="str">
        <f t="shared" si="247"/>
        <v>S0040014</v>
      </c>
      <c r="F449" s="1125">
        <f t="shared" si="247"/>
        <v>2020</v>
      </c>
      <c r="H449" s="1071" t="s">
        <v>29</v>
      </c>
      <c r="AZ449" s="1108"/>
      <c r="BA449" s="1109"/>
      <c r="BB449" s="1109"/>
      <c r="BC449" s="1109"/>
      <c r="BD449" s="1109"/>
      <c r="BE449" s="1109"/>
      <c r="BF449" s="1109">
        <f t="shared" ref="BF449:BJ449" si="248">IF($J146=0,0,(($BF146*M146)+($BG146*S146)+($BH146*Y146)+($BI146*AE146)+($BJ146*AK146))/$J146)</f>
        <v>2.08527</v>
      </c>
      <c r="BG449" s="1109">
        <f t="shared" si="248"/>
        <v>2.2747999999999999</v>
      </c>
      <c r="BH449" s="1109">
        <f t="shared" si="248"/>
        <v>2.2747999999999999</v>
      </c>
      <c r="BI449" s="1109">
        <f t="shared" si="248"/>
        <v>2.2747999999999999</v>
      </c>
      <c r="BJ449" s="1109">
        <f t="shared" si="248"/>
        <v>2.2747999999999999</v>
      </c>
    </row>
    <row r="450" spans="2:62" hidden="1" outlineLevel="1">
      <c r="B450" s="1094"/>
      <c r="C450" s="1071" t="str">
        <f t="shared" ref="C450:F450" si="249">C147</f>
        <v>T013 - KF73875 FF AVIOR ELBRUS HBACK OPERATOR x2</v>
      </c>
      <c r="D450" s="1071" t="str">
        <f t="shared" si="249"/>
        <v>Office Equipment</v>
      </c>
      <c r="E450" s="1071" t="str">
        <f t="shared" si="249"/>
        <v>t0130005</v>
      </c>
      <c r="F450" s="1125">
        <f t="shared" si="249"/>
        <v>2020</v>
      </c>
      <c r="H450" s="1071" t="s">
        <v>29</v>
      </c>
      <c r="AZ450" s="1108"/>
      <c r="BA450" s="1109"/>
      <c r="BB450" s="1109"/>
      <c r="BC450" s="1109"/>
      <c r="BD450" s="1109"/>
      <c r="BE450" s="1109"/>
      <c r="BF450" s="1109">
        <f t="shared" ref="BF450:BJ450" si="250">IF($J147=0,0,(($BF147*M147)+($BG147*S147)+($BH147*Y147)+($BI147*AE147)+($BJ147*AK147))/$J147)</f>
        <v>0.126</v>
      </c>
      <c r="BG450" s="1109">
        <f t="shared" si="250"/>
        <v>0.16800000000000001</v>
      </c>
      <c r="BH450" s="1109">
        <f t="shared" si="250"/>
        <v>0.16800000000000001</v>
      </c>
      <c r="BI450" s="1109">
        <f t="shared" si="250"/>
        <v>0.16800000000000001</v>
      </c>
      <c r="BJ450" s="1109">
        <f t="shared" si="250"/>
        <v>0.16800000000000001</v>
      </c>
    </row>
    <row r="451" spans="2:62" hidden="1" outlineLevel="1">
      <c r="B451" s="1094"/>
      <c r="C451" s="1071" t="str">
        <f t="shared" ref="C451:F451" si="251">C148</f>
        <v>T013 - OFFICE CHAIRS SHEFFIELD GREY x2</v>
      </c>
      <c r="D451" s="1071" t="str">
        <f t="shared" si="251"/>
        <v>Office Equipment</v>
      </c>
      <c r="E451" s="1071" t="str">
        <f t="shared" si="251"/>
        <v>T0130004</v>
      </c>
      <c r="F451" s="1125">
        <f t="shared" si="251"/>
        <v>2020</v>
      </c>
      <c r="H451" s="1071" t="s">
        <v>29</v>
      </c>
      <c r="AZ451" s="1108"/>
      <c r="BA451" s="1109"/>
      <c r="BB451" s="1109"/>
      <c r="BC451" s="1109"/>
      <c r="BD451" s="1109"/>
      <c r="BE451" s="1109"/>
      <c r="BF451" s="1109">
        <f t="shared" ref="BF451:BJ451" si="252">IF($J148=0,0,(($BF148*M148)+($BG148*S148)+($BH148*Y148)+($BI148*AE148)+($BJ148*AK148))/$J148)</f>
        <v>0.1827</v>
      </c>
      <c r="BG451" s="1109">
        <f t="shared" si="252"/>
        <v>0.24359999999999998</v>
      </c>
      <c r="BH451" s="1109">
        <f t="shared" si="252"/>
        <v>0.24359999999999998</v>
      </c>
      <c r="BI451" s="1109">
        <f t="shared" si="252"/>
        <v>0.24359999999999998</v>
      </c>
      <c r="BJ451" s="1109">
        <f t="shared" si="252"/>
        <v>0.24359999999999998</v>
      </c>
    </row>
    <row r="452" spans="2:62" hidden="1" outlineLevel="1">
      <c r="B452" s="1094"/>
      <c r="C452" s="1071" t="str">
        <f t="shared" ref="C452:F452" si="253">C149</f>
        <v>New Dublin Tower - Building</v>
      </c>
      <c r="D452" s="1071" t="str">
        <f t="shared" si="253"/>
        <v>New Dublin Tower</v>
      </c>
      <c r="E452" s="1071" t="str">
        <f t="shared" si="253"/>
        <v>R034</v>
      </c>
      <c r="F452" s="1125" t="str">
        <f t="shared" si="253"/>
        <v>2021-2024</v>
      </c>
      <c r="H452" s="1071" t="s">
        <v>29</v>
      </c>
      <c r="AZ452" s="1108"/>
      <c r="BA452" s="1109"/>
      <c r="BB452" s="1109"/>
      <c r="BC452" s="1109"/>
      <c r="BD452" s="1109"/>
      <c r="BE452" s="1109"/>
      <c r="BF452" s="1109">
        <f t="shared" ref="BF452:BJ452" si="254">IF($J149=0,0,(($BF149*M149)+($BG149*S149)+($BH149*Y149)+($BI149*AE149)+($BJ149*AK149))/$J149)</f>
        <v>0</v>
      </c>
      <c r="BG452" s="1109">
        <f t="shared" si="254"/>
        <v>909.81566249999992</v>
      </c>
      <c r="BH452" s="1109">
        <f t="shared" si="254"/>
        <v>1819.6313249999998</v>
      </c>
      <c r="BI452" s="1109">
        <f t="shared" si="254"/>
        <v>1819.6313249999998</v>
      </c>
      <c r="BJ452" s="1109">
        <f t="shared" si="254"/>
        <v>1819.6313249999998</v>
      </c>
    </row>
    <row r="453" spans="2:62" hidden="1" outlineLevel="1">
      <c r="B453" s="1094"/>
      <c r="C453" s="1071" t="str">
        <f t="shared" ref="C453:F453" si="255">C150</f>
        <v>New Dublin Tower Equipment</v>
      </c>
      <c r="D453" s="1071" t="str">
        <f t="shared" si="255"/>
        <v>New Dublin Tower</v>
      </c>
      <c r="E453" s="1071" t="str">
        <f t="shared" si="255"/>
        <v>R035</v>
      </c>
      <c r="F453" s="1125" t="str">
        <f t="shared" si="255"/>
        <v>2021-2024</v>
      </c>
      <c r="H453" s="1071" t="s">
        <v>29</v>
      </c>
      <c r="AZ453" s="1108"/>
      <c r="BA453" s="1109"/>
      <c r="BB453" s="1109"/>
      <c r="BC453" s="1109"/>
      <c r="BD453" s="1109"/>
      <c r="BE453" s="1109"/>
      <c r="BF453" s="1109">
        <f t="shared" ref="BF453:BJ453" si="256">IF($J150=0,0,(($BF150*M150)+($BG150*S150)+($BH150*Y150)+($BI150*AE150)+($BJ150*AK150))/$J150)</f>
        <v>0</v>
      </c>
      <c r="BG453" s="1109">
        <f t="shared" si="256"/>
        <v>0</v>
      </c>
      <c r="BH453" s="1109">
        <f t="shared" si="256"/>
        <v>0</v>
      </c>
      <c r="BI453" s="1109">
        <f t="shared" si="256"/>
        <v>0</v>
      </c>
      <c r="BJ453" s="1109">
        <f t="shared" si="256"/>
        <v>0</v>
      </c>
    </row>
    <row r="454" spans="2:62" hidden="1" outlineLevel="1">
      <c r="B454" s="1094"/>
      <c r="C454" s="1071" t="str">
        <f t="shared" ref="C454:F454" si="257">C151</f>
        <v>New Dublin Tower Equipment - Contingency</v>
      </c>
      <c r="D454" s="1071" t="str">
        <f t="shared" si="257"/>
        <v>New Dublin Tower</v>
      </c>
      <c r="E454" s="1071" t="str">
        <f t="shared" si="257"/>
        <v>R035A</v>
      </c>
      <c r="F454" s="1125" t="str">
        <f t="shared" si="257"/>
        <v>2021-2024</v>
      </c>
      <c r="H454" s="1071" t="s">
        <v>29</v>
      </c>
      <c r="AZ454" s="1108"/>
      <c r="BA454" s="1109"/>
      <c r="BB454" s="1109"/>
      <c r="BC454" s="1109"/>
      <c r="BD454" s="1109"/>
      <c r="BE454" s="1109"/>
      <c r="BF454" s="1109">
        <f t="shared" ref="BF454:BJ454" si="258">IF($J151=0,0,(($BF151*M151)+($BG151*S151)+($BH151*Y151)+($BI151*AE151)+($BJ151*AK151))/$J151)</f>
        <v>0</v>
      </c>
      <c r="BG454" s="1109">
        <f t="shared" si="258"/>
        <v>1.0921875000000001</v>
      </c>
      <c r="BH454" s="1109">
        <f t="shared" si="258"/>
        <v>2.1843750000000002</v>
      </c>
      <c r="BI454" s="1109">
        <f t="shared" si="258"/>
        <v>2.1843750000000002</v>
      </c>
      <c r="BJ454" s="1109">
        <f t="shared" si="258"/>
        <v>2.1843750000000002</v>
      </c>
    </row>
    <row r="455" spans="2:62" hidden="1" outlineLevel="1">
      <c r="B455" s="1094"/>
      <c r="C455" s="1071" t="str">
        <f t="shared" ref="C455:F455" si="259">C152</f>
        <v>New Dublin Tower Equipment - Airspace redesign etc.</v>
      </c>
      <c r="D455" s="1071" t="str">
        <f t="shared" si="259"/>
        <v>New Dublin Tower</v>
      </c>
      <c r="E455" s="1071" t="str">
        <f t="shared" si="259"/>
        <v>R035A</v>
      </c>
      <c r="F455" s="1125" t="str">
        <f t="shared" si="259"/>
        <v>2021-2024</v>
      </c>
      <c r="H455" s="1071" t="s">
        <v>29</v>
      </c>
      <c r="AZ455" s="1108"/>
      <c r="BA455" s="1109"/>
      <c r="BB455" s="1109"/>
      <c r="BC455" s="1109"/>
      <c r="BD455" s="1109"/>
      <c r="BE455" s="1109"/>
      <c r="BF455" s="1109">
        <f t="shared" ref="BF455:BJ455" si="260">IF($J152=0,0,(($BF152*M152)+($BG152*S152)+($BH152*Y152)+($BI152*AE152)+($BJ152*AK152))/$J152)</f>
        <v>0</v>
      </c>
      <c r="BG455" s="1109">
        <f t="shared" si="260"/>
        <v>0</v>
      </c>
      <c r="BH455" s="1109">
        <f t="shared" si="260"/>
        <v>109.984453125</v>
      </c>
      <c r="BI455" s="1109">
        <f t="shared" si="260"/>
        <v>219.96890625</v>
      </c>
      <c r="BJ455" s="1109">
        <f t="shared" si="260"/>
        <v>219.96890625</v>
      </c>
    </row>
    <row r="456" spans="2:62" hidden="1" outlineLevel="1">
      <c r="B456" s="1094"/>
      <c r="C456" s="1071" t="str">
        <f t="shared" ref="C456:F456" si="261">C153</f>
        <v>New Dublin Tower Equipment - Communications Installations</v>
      </c>
      <c r="D456" s="1071" t="str">
        <f t="shared" si="261"/>
        <v>New Dublin Tower</v>
      </c>
      <c r="E456" s="1071" t="str">
        <f t="shared" si="261"/>
        <v>R035A</v>
      </c>
      <c r="F456" s="1125" t="str">
        <f t="shared" si="261"/>
        <v>2021-2024</v>
      </c>
      <c r="H456" s="1071" t="s">
        <v>29</v>
      </c>
      <c r="AZ456" s="1108"/>
      <c r="BA456" s="1109"/>
      <c r="BB456" s="1109"/>
      <c r="BC456" s="1109"/>
      <c r="BD456" s="1109"/>
      <c r="BE456" s="1109"/>
      <c r="BF456" s="1109">
        <f t="shared" ref="BF456:BJ456" si="262">IF($J153=0,0,(($BF153*M153)+($BG153*S153)+($BH153*Y153)+($BI153*AE153)+($BJ153*AK153))/$J153)</f>
        <v>0</v>
      </c>
      <c r="BG456" s="1109">
        <f t="shared" si="262"/>
        <v>146.02814406250002</v>
      </c>
      <c r="BH456" s="1109">
        <f t="shared" si="262"/>
        <v>292.05628812500004</v>
      </c>
      <c r="BI456" s="1109">
        <f t="shared" si="262"/>
        <v>292.05628812500004</v>
      </c>
      <c r="BJ456" s="1109">
        <f t="shared" si="262"/>
        <v>292.05628812500004</v>
      </c>
    </row>
    <row r="457" spans="2:62" hidden="1" outlineLevel="1">
      <c r="B457" s="1094"/>
      <c r="C457" s="1071" t="str">
        <f t="shared" ref="C457:F457" si="263">C154</f>
        <v>New Dublin Tower Equipment - IATS</v>
      </c>
      <c r="D457" s="1071" t="str">
        <f t="shared" si="263"/>
        <v>New Dublin Tower</v>
      </c>
      <c r="E457" s="1071" t="str">
        <f t="shared" si="263"/>
        <v>R035A</v>
      </c>
      <c r="F457" s="1125" t="str">
        <f t="shared" si="263"/>
        <v>2021-2024</v>
      </c>
      <c r="H457" s="1071" t="s">
        <v>29</v>
      </c>
      <c r="AZ457" s="1108"/>
      <c r="BA457" s="1109"/>
      <c r="BB457" s="1109"/>
      <c r="BC457" s="1109"/>
      <c r="BD457" s="1109"/>
      <c r="BE457" s="1109"/>
      <c r="BF457" s="1109">
        <f t="shared" ref="BF457:BJ457" si="264">IF($J154=0,0,(($BF154*M154)+($BG154*S154)+($BH154*Y154)+($BI154*AE154)+($BJ154*AK154))/$J154)</f>
        <v>0</v>
      </c>
      <c r="BG457" s="1109">
        <f t="shared" si="264"/>
        <v>164.84667718750001</v>
      </c>
      <c r="BH457" s="1109">
        <f t="shared" si="264"/>
        <v>369.06518531250003</v>
      </c>
      <c r="BI457" s="1109">
        <f t="shared" si="264"/>
        <v>408.43701625</v>
      </c>
      <c r="BJ457" s="1109">
        <f t="shared" si="264"/>
        <v>408.43701625</v>
      </c>
    </row>
    <row r="458" spans="2:62" hidden="1" outlineLevel="1">
      <c r="B458" s="1094"/>
      <c r="C458" s="1071" t="str">
        <f t="shared" ref="C458:F458" si="265">C155</f>
        <v>New Dublin Tower Equipment - Safety Case</v>
      </c>
      <c r="D458" s="1071" t="str">
        <f t="shared" si="265"/>
        <v>New Dublin Tower</v>
      </c>
      <c r="E458" s="1071" t="str">
        <f t="shared" si="265"/>
        <v>R035A</v>
      </c>
      <c r="F458" s="1125" t="str">
        <f t="shared" si="265"/>
        <v>2021-2024</v>
      </c>
      <c r="H458" s="1071" t="s">
        <v>29</v>
      </c>
      <c r="AZ458" s="1108"/>
      <c r="BA458" s="1109"/>
      <c r="BB458" s="1109"/>
      <c r="BC458" s="1109"/>
      <c r="BD458" s="1109"/>
      <c r="BE458" s="1109"/>
      <c r="BF458" s="1109">
        <f t="shared" ref="BF458:BJ458" si="266">IF($J155=0,0,(($BF155*M155)+($BG155*S155)+($BH155*Y155)+($BI155*AE155)+($BJ155*AK155))/$J155)</f>
        <v>0</v>
      </c>
      <c r="BG458" s="1109">
        <f t="shared" si="266"/>
        <v>34.932499999999997</v>
      </c>
      <c r="BH458" s="1109">
        <f t="shared" si="266"/>
        <v>69.864999999999995</v>
      </c>
      <c r="BI458" s="1109">
        <f t="shared" si="266"/>
        <v>69.864999999999995</v>
      </c>
      <c r="BJ458" s="1109">
        <f t="shared" si="266"/>
        <v>69.864999999999995</v>
      </c>
    </row>
    <row r="459" spans="2:62" hidden="1" outlineLevel="1">
      <c r="B459" s="1094"/>
      <c r="C459" s="1071" t="str">
        <f t="shared" ref="C459:F459" si="267">C156</f>
        <v>New Dublin Tower Equipment - ILS/IRVR Systems</v>
      </c>
      <c r="D459" s="1071" t="str">
        <f t="shared" si="267"/>
        <v>New Dublin Tower</v>
      </c>
      <c r="E459" s="1071" t="str">
        <f t="shared" si="267"/>
        <v>R035A</v>
      </c>
      <c r="F459" s="1125" t="str">
        <f t="shared" si="267"/>
        <v>2021-2024</v>
      </c>
      <c r="H459" s="1071" t="s">
        <v>29</v>
      </c>
      <c r="AZ459" s="1108"/>
      <c r="BA459" s="1109"/>
      <c r="BB459" s="1109"/>
      <c r="BC459" s="1109"/>
      <c r="BD459" s="1109"/>
      <c r="BE459" s="1109"/>
      <c r="BF459" s="1109">
        <f t="shared" ref="BF459:BJ459" si="268">IF($J156=0,0,(($BF156*M156)+($BG156*S156)+($BH156*Y156)+($BI156*AE156)+($BJ156*AK156))/$J156)</f>
        <v>0</v>
      </c>
      <c r="BG459" s="1109">
        <f t="shared" si="268"/>
        <v>0</v>
      </c>
      <c r="BH459" s="1109">
        <f t="shared" si="268"/>
        <v>141.88075125</v>
      </c>
      <c r="BI459" s="1109">
        <f t="shared" si="268"/>
        <v>283.76150250000001</v>
      </c>
      <c r="BJ459" s="1109">
        <f t="shared" si="268"/>
        <v>283.76150250000001</v>
      </c>
    </row>
    <row r="460" spans="2:62" hidden="1" outlineLevel="1">
      <c r="B460" s="1094"/>
      <c r="C460" s="1071" t="str">
        <f t="shared" ref="C460:F460" si="269">C157</f>
        <v>New Dublin Tower Equipment - Replacement ASMGCS &amp; GMR Tower</v>
      </c>
      <c r="D460" s="1071" t="str">
        <f t="shared" si="269"/>
        <v>New Dublin Tower</v>
      </c>
      <c r="E460" s="1071" t="str">
        <f t="shared" si="269"/>
        <v>R035A</v>
      </c>
      <c r="F460" s="1125" t="str">
        <f t="shared" si="269"/>
        <v>2021-2024</v>
      </c>
      <c r="H460" s="1071" t="s">
        <v>29</v>
      </c>
      <c r="AZ460" s="1108"/>
      <c r="BA460" s="1109"/>
      <c r="BB460" s="1109"/>
      <c r="BC460" s="1109"/>
      <c r="BD460" s="1109"/>
      <c r="BE460" s="1109"/>
      <c r="BF460" s="1109">
        <f t="shared" ref="BF460:BJ460" si="270">IF($J157=0,0,(($BF157*M157)+($BG157*S157)+($BH157*Y157)+($BI157*AE157)+($BJ157*AK157))/$J157)</f>
        <v>0</v>
      </c>
      <c r="BG460" s="1109">
        <f t="shared" si="270"/>
        <v>0</v>
      </c>
      <c r="BH460" s="1109">
        <f t="shared" si="270"/>
        <v>0</v>
      </c>
      <c r="BI460" s="1109">
        <f t="shared" si="270"/>
        <v>114.58875</v>
      </c>
      <c r="BJ460" s="1109">
        <f t="shared" si="270"/>
        <v>114.58875</v>
      </c>
    </row>
    <row r="461" spans="2:62" hidden="1" outlineLevel="1">
      <c r="B461" s="1094"/>
      <c r="C461" s="1071" t="str">
        <f t="shared" ref="C461:F461" si="271">C158</f>
        <v>New Dublin Tower Equipment - Infrastructure Changes (50% runway)</v>
      </c>
      <c r="D461" s="1071" t="str">
        <f t="shared" si="271"/>
        <v>New Dublin Tower</v>
      </c>
      <c r="E461" s="1071" t="str">
        <f t="shared" si="271"/>
        <v>R035A</v>
      </c>
      <c r="F461" s="1125" t="str">
        <f t="shared" si="271"/>
        <v>2021-2024</v>
      </c>
      <c r="H461" s="1071" t="s">
        <v>29</v>
      </c>
      <c r="AZ461" s="1108"/>
      <c r="BA461" s="1109"/>
      <c r="BB461" s="1109"/>
      <c r="BC461" s="1109"/>
      <c r="BD461" s="1109"/>
      <c r="BE461" s="1109"/>
      <c r="BF461" s="1109">
        <f t="shared" ref="BF461:BJ461" si="272">IF($J158=0,0,(($BF158*M158)+($BG158*S158)+($BH158*Y158)+($BI158*AE158)+($BJ158*AK158))/$J158)</f>
        <v>0</v>
      </c>
      <c r="BG461" s="1109">
        <f t="shared" si="272"/>
        <v>75.342425700401989</v>
      </c>
      <c r="BH461" s="1109">
        <f t="shared" si="272"/>
        <v>150.68485140080398</v>
      </c>
      <c r="BI461" s="1109">
        <f t="shared" si="272"/>
        <v>150.68485140080398</v>
      </c>
      <c r="BJ461" s="1109">
        <f t="shared" si="272"/>
        <v>150.68485140080398</v>
      </c>
    </row>
    <row r="462" spans="2:62" hidden="1" outlineLevel="1">
      <c r="B462" s="1094"/>
      <c r="C462" s="1071" t="str">
        <f t="shared" ref="C462:F462" si="273">C159</f>
        <v>New Dublin Tower Equipment - IAA Networks</v>
      </c>
      <c r="D462" s="1071" t="str">
        <f t="shared" si="273"/>
        <v>New Dublin Tower</v>
      </c>
      <c r="E462" s="1071" t="str">
        <f t="shared" si="273"/>
        <v>R035A</v>
      </c>
      <c r="F462" s="1125" t="str">
        <f t="shared" si="273"/>
        <v>2021-2024</v>
      </c>
      <c r="H462" s="1071" t="s">
        <v>29</v>
      </c>
      <c r="AZ462" s="1108"/>
      <c r="BA462" s="1109"/>
      <c r="BB462" s="1109"/>
      <c r="BC462" s="1109"/>
      <c r="BD462" s="1109"/>
      <c r="BE462" s="1109"/>
      <c r="BF462" s="1109">
        <f t="shared" ref="BF462:BJ462" si="274">IF($J159=0,0,(($BF159*M159)+($BG159*S159)+($BH159*Y159)+($BI159*AE159)+($BJ159*AK159))/$J159)</f>
        <v>0</v>
      </c>
      <c r="BG462" s="1109">
        <f t="shared" si="274"/>
        <v>36.552869374999993</v>
      </c>
      <c r="BH462" s="1109">
        <f t="shared" si="274"/>
        <v>73.105738749999986</v>
      </c>
      <c r="BI462" s="1109">
        <f t="shared" si="274"/>
        <v>73.105738749999986</v>
      </c>
      <c r="BJ462" s="1109">
        <f t="shared" si="274"/>
        <v>73.105738749999986</v>
      </c>
    </row>
    <row r="463" spans="2:62" hidden="1" outlineLevel="1">
      <c r="B463" s="1094"/>
      <c r="C463" s="1071" t="str">
        <f t="shared" ref="C463:F463" si="275">C160</f>
        <v>New Dublin Tower Equipment - ICT</v>
      </c>
      <c r="D463" s="1071" t="str">
        <f t="shared" si="275"/>
        <v>New Dublin Tower</v>
      </c>
      <c r="E463" s="1071" t="str">
        <f t="shared" si="275"/>
        <v>R035A</v>
      </c>
      <c r="F463" s="1125" t="str">
        <f t="shared" si="275"/>
        <v>2021-2024</v>
      </c>
      <c r="H463" s="1071" t="s">
        <v>29</v>
      </c>
      <c r="AZ463" s="1108"/>
      <c r="BA463" s="1109"/>
      <c r="BB463" s="1109"/>
      <c r="BC463" s="1109"/>
      <c r="BD463" s="1109"/>
      <c r="BE463" s="1109"/>
      <c r="BF463" s="1109">
        <f t="shared" ref="BF463:BJ463" si="276">IF($J160=0,0,(($BF160*M160)+($BG160*S160)+($BH160*Y160)+($BI160*AE160)+($BJ160*AK160))/$J160)</f>
        <v>0</v>
      </c>
      <c r="BG463" s="1109">
        <f t="shared" si="276"/>
        <v>0</v>
      </c>
      <c r="BH463" s="1109">
        <f t="shared" si="276"/>
        <v>0</v>
      </c>
      <c r="BI463" s="1109">
        <f t="shared" si="276"/>
        <v>0</v>
      </c>
      <c r="BJ463" s="1109">
        <f t="shared" si="276"/>
        <v>0</v>
      </c>
    </row>
    <row r="464" spans="2:62" hidden="1" outlineLevel="1">
      <c r="B464" s="1094"/>
      <c r="C464" s="1071" t="str">
        <f t="shared" ref="C464:F464" si="277">C161</f>
        <v>New Dublin Tower Equipment - Changes to Centralised Monitoring</v>
      </c>
      <c r="D464" s="1071" t="str">
        <f t="shared" si="277"/>
        <v>New Dublin Tower</v>
      </c>
      <c r="E464" s="1071" t="str">
        <f t="shared" si="277"/>
        <v>R035A</v>
      </c>
      <c r="F464" s="1125" t="str">
        <f t="shared" si="277"/>
        <v>2021-2024</v>
      </c>
      <c r="H464" s="1071" t="s">
        <v>29</v>
      </c>
      <c r="AZ464" s="1108"/>
      <c r="BA464" s="1109"/>
      <c r="BB464" s="1109"/>
      <c r="BC464" s="1109"/>
      <c r="BD464" s="1109"/>
      <c r="BE464" s="1109"/>
      <c r="BF464" s="1109">
        <f t="shared" ref="BF464:BJ464" si="278">IF($J161=0,0,(($BF161*M161)+($BG161*S161)+($BH161*Y161)+($BI161*AE161)+($BJ161*AK161))/$J161)</f>
        <v>0</v>
      </c>
      <c r="BG464" s="1109">
        <f t="shared" si="278"/>
        <v>15.568831874999999</v>
      </c>
      <c r="BH464" s="1109">
        <f t="shared" si="278"/>
        <v>32.075163749999994</v>
      </c>
      <c r="BI464" s="1109">
        <f t="shared" si="278"/>
        <v>33.012663749999994</v>
      </c>
      <c r="BJ464" s="1109">
        <f t="shared" si="278"/>
        <v>33.012663749999994</v>
      </c>
    </row>
    <row r="465" spans="2:62" hidden="1" outlineLevel="1">
      <c r="B465" s="1094"/>
      <c r="C465" s="1071" t="str">
        <f t="shared" ref="C465:F465" si="279">C162</f>
        <v>New Dublin Tower Equipment - M&amp;E/UPS/Cabling/Power</v>
      </c>
      <c r="D465" s="1071" t="str">
        <f t="shared" si="279"/>
        <v>New Dublin Tower</v>
      </c>
      <c r="E465" s="1071" t="str">
        <f t="shared" si="279"/>
        <v>R035A</v>
      </c>
      <c r="F465" s="1125" t="str">
        <f t="shared" si="279"/>
        <v>2021-2024</v>
      </c>
      <c r="H465" s="1071" t="s">
        <v>29</v>
      </c>
      <c r="AZ465" s="1108"/>
      <c r="BA465" s="1109"/>
      <c r="BB465" s="1109"/>
      <c r="BC465" s="1109"/>
      <c r="BD465" s="1109"/>
      <c r="BE465" s="1109"/>
      <c r="BF465" s="1109">
        <f t="shared" ref="BF465:BJ465" si="280">IF($J162=0,0,(($BF162*M162)+($BG162*S162)+($BH162*Y162)+($BI162*AE162)+($BJ162*AK162))/$J162)</f>
        <v>0</v>
      </c>
      <c r="BG465" s="1109">
        <f t="shared" si="280"/>
        <v>17.629356875000003</v>
      </c>
      <c r="BH465" s="1109">
        <f t="shared" si="280"/>
        <v>35.258713750000005</v>
      </c>
      <c r="BI465" s="1109">
        <f t="shared" si="280"/>
        <v>35.258713750000005</v>
      </c>
      <c r="BJ465" s="1109">
        <f t="shared" si="280"/>
        <v>35.258713750000005</v>
      </c>
    </row>
    <row r="466" spans="2:62" hidden="1" outlineLevel="1">
      <c r="B466" s="1094"/>
      <c r="C466" s="1071" t="str">
        <f t="shared" ref="C466:F466" si="281">C163</f>
        <v>COOPANS Build 3 Dublin</v>
      </c>
      <c r="D466" s="1071" t="str">
        <f t="shared" si="281"/>
        <v>COOPANS</v>
      </c>
      <c r="E466" s="1071" t="str">
        <f t="shared" si="281"/>
        <v>L001A</v>
      </c>
      <c r="F466" s="1125" t="str">
        <f t="shared" si="281"/>
        <v>2021-2024</v>
      </c>
      <c r="H466" s="1071" t="s">
        <v>29</v>
      </c>
      <c r="AZ466" s="1108"/>
      <c r="BA466" s="1109"/>
      <c r="BB466" s="1109"/>
      <c r="BC466" s="1109"/>
      <c r="BD466" s="1109"/>
      <c r="BE466" s="1109"/>
      <c r="BF466" s="1109">
        <f t="shared" ref="BF466:BJ466" si="282">IF($J163=0,0,(($BF163*M163)+($BG163*S163)+($BH163*Y163)+($BI163*AE163)+($BJ163*AK163))/$J163)</f>
        <v>0</v>
      </c>
      <c r="BG466" s="1109">
        <f t="shared" si="282"/>
        <v>24.47646536955456</v>
      </c>
      <c r="BH466" s="1109">
        <f t="shared" si="282"/>
        <v>48.952930739109156</v>
      </c>
      <c r="BI466" s="1109">
        <f t="shared" si="282"/>
        <v>48.952930739109156</v>
      </c>
      <c r="BJ466" s="1109">
        <f t="shared" si="282"/>
        <v>48.952930739109156</v>
      </c>
    </row>
    <row r="467" spans="2:62" hidden="1" outlineLevel="1">
      <c r="B467" s="1094"/>
      <c r="C467" s="1071" t="str">
        <f t="shared" ref="C467:F467" si="283">C164</f>
        <v>COOPANS Build 3 Shannon</v>
      </c>
      <c r="D467" s="1071" t="str">
        <f t="shared" si="283"/>
        <v>COOPANS</v>
      </c>
      <c r="E467" s="1071" t="str">
        <f t="shared" si="283"/>
        <v>L001A</v>
      </c>
      <c r="F467" s="1125" t="str">
        <f t="shared" si="283"/>
        <v>2021-2024</v>
      </c>
      <c r="H467" s="1071" t="s">
        <v>29</v>
      </c>
      <c r="AZ467" s="1108"/>
      <c r="BA467" s="1109"/>
      <c r="BB467" s="1109"/>
      <c r="BC467" s="1109"/>
      <c r="BD467" s="1109"/>
      <c r="BE467" s="1109"/>
      <c r="BF467" s="1109">
        <f t="shared" ref="BF467:BJ467" si="284">IF($J164=0,0,(($BF164*M164)+($BG164*S164)+($BH164*Y164)+($BI164*AE164)+($BJ164*AK164))/$J164)</f>
        <v>0</v>
      </c>
      <c r="BG467" s="1109">
        <f t="shared" si="284"/>
        <v>45.456292829172746</v>
      </c>
      <c r="BH467" s="1109">
        <f t="shared" si="284"/>
        <v>90.912585658345463</v>
      </c>
      <c r="BI467" s="1109">
        <f t="shared" si="284"/>
        <v>90.912585658345463</v>
      </c>
      <c r="BJ467" s="1109">
        <f t="shared" si="284"/>
        <v>90.912585658345463</v>
      </c>
    </row>
    <row r="468" spans="2:62" hidden="1" outlineLevel="1">
      <c r="B468" s="1094"/>
      <c r="C468" s="1071" t="str">
        <f t="shared" ref="C468:F468" si="285">C165</f>
        <v>COOPANS Build 3.6 Onwards Dublin</v>
      </c>
      <c r="D468" s="1071" t="str">
        <f t="shared" si="285"/>
        <v>COOPANS</v>
      </c>
      <c r="E468" s="1071" t="str">
        <f t="shared" si="285"/>
        <v>R001</v>
      </c>
      <c r="F468" s="1125" t="str">
        <f t="shared" si="285"/>
        <v>2021-2024</v>
      </c>
      <c r="H468" s="1071" t="s">
        <v>29</v>
      </c>
      <c r="AZ468" s="1108"/>
      <c r="BA468" s="1109"/>
      <c r="BB468" s="1109"/>
      <c r="BC468" s="1109"/>
      <c r="BD468" s="1109"/>
      <c r="BE468" s="1109"/>
      <c r="BF468" s="1109">
        <f t="shared" ref="BF468:BJ468" si="286">IF($J165=0,0,(($BF165*M165)+($BG165*S165)+($BH165*Y165)+($BI165*AE165)+($BJ165*AK165))/$J165)</f>
        <v>0</v>
      </c>
      <c r="BG468" s="1109">
        <f t="shared" si="286"/>
        <v>57.601379285211699</v>
      </c>
      <c r="BH468" s="1109">
        <f t="shared" si="286"/>
        <v>204.69542985193343</v>
      </c>
      <c r="BI468" s="1109">
        <f t="shared" si="286"/>
        <v>270.22138738986786</v>
      </c>
      <c r="BJ468" s="1109">
        <f t="shared" si="286"/>
        <v>270.22138738986786</v>
      </c>
    </row>
    <row r="469" spans="2:62" hidden="1" outlineLevel="1">
      <c r="B469" s="1094"/>
      <c r="C469" s="1071" t="str">
        <f t="shared" ref="C469:F469" si="287">C166</f>
        <v>COOPANS Build 3.6 Onwards Shannon</v>
      </c>
      <c r="D469" s="1071" t="str">
        <f t="shared" si="287"/>
        <v>COOPANS</v>
      </c>
      <c r="E469" s="1071" t="str">
        <f t="shared" si="287"/>
        <v>R001A</v>
      </c>
      <c r="F469" s="1125" t="str">
        <f t="shared" si="287"/>
        <v>2021-2024</v>
      </c>
      <c r="H469" s="1071" t="s">
        <v>29</v>
      </c>
      <c r="AZ469" s="1108"/>
      <c r="BA469" s="1109"/>
      <c r="BB469" s="1109"/>
      <c r="BC469" s="1109"/>
      <c r="BD469" s="1109"/>
      <c r="BE469" s="1109"/>
      <c r="BF469" s="1109">
        <f t="shared" ref="BF469:BJ469" si="288">IF($J166=0,0,(($BF166*M166)+($BG166*S166)+($BH166*Y166)+($BI166*AE166)+($BJ166*AK166))/$J166)</f>
        <v>0</v>
      </c>
      <c r="BG469" s="1109">
        <f t="shared" si="288"/>
        <v>106.97399010110745</v>
      </c>
      <c r="BH469" s="1109">
        <f t="shared" si="288"/>
        <v>380.14865543930495</v>
      </c>
      <c r="BI469" s="1109">
        <f t="shared" si="288"/>
        <v>501.83971943832597</v>
      </c>
      <c r="BJ469" s="1109">
        <f t="shared" si="288"/>
        <v>501.83971943832586</v>
      </c>
    </row>
    <row r="470" spans="2:62" hidden="1" outlineLevel="1">
      <c r="B470" s="1094"/>
      <c r="C470" s="1071" t="str">
        <f t="shared" ref="C470:F470" si="289">C167</f>
        <v>COOPANS 2019 Roadmap Builds</v>
      </c>
      <c r="D470" s="1071" t="str">
        <f t="shared" si="289"/>
        <v>COOPANS</v>
      </c>
      <c r="E470" s="1071" t="str">
        <f t="shared" si="289"/>
        <v>U002</v>
      </c>
      <c r="F470" s="1125" t="str">
        <f t="shared" si="289"/>
        <v>2021-2024</v>
      </c>
      <c r="H470" s="1071" t="s">
        <v>29</v>
      </c>
      <c r="AZ470" s="1108"/>
      <c r="BA470" s="1109"/>
      <c r="BB470" s="1109"/>
      <c r="BC470" s="1109"/>
      <c r="BD470" s="1109"/>
      <c r="BE470" s="1109"/>
      <c r="BF470" s="1109">
        <f t="shared" ref="BF470:BJ470" si="290">IF($J167=0,0,(($BF167*M167)+($BG167*S167)+($BH167*Y167)+($BI167*AE167)+($BJ167*AK167))/$J167)</f>
        <v>0</v>
      </c>
      <c r="BG470" s="1109">
        <f t="shared" si="290"/>
        <v>0</v>
      </c>
      <c r="BH470" s="1109">
        <f t="shared" si="290"/>
        <v>0</v>
      </c>
      <c r="BI470" s="1109">
        <f t="shared" si="290"/>
        <v>0</v>
      </c>
      <c r="BJ470" s="1109">
        <f t="shared" si="290"/>
        <v>0</v>
      </c>
    </row>
    <row r="471" spans="2:62" hidden="1" outlineLevel="1">
      <c r="B471" s="1094"/>
      <c r="C471" s="1071" t="str">
        <f t="shared" ref="C471:F471" si="291">C168</f>
        <v>COOPANS 2019 Roadmap Builds Dub</v>
      </c>
      <c r="D471" s="1071" t="str">
        <f t="shared" si="291"/>
        <v>COOPANS</v>
      </c>
      <c r="E471" s="1071" t="str">
        <f t="shared" si="291"/>
        <v>U002A</v>
      </c>
      <c r="F471" s="1125" t="str">
        <f t="shared" si="291"/>
        <v>2021-2024</v>
      </c>
      <c r="H471" s="1071" t="s">
        <v>29</v>
      </c>
      <c r="AZ471" s="1108"/>
      <c r="BA471" s="1109"/>
      <c r="BB471" s="1109"/>
      <c r="BC471" s="1109"/>
      <c r="BD471" s="1109"/>
      <c r="BE471" s="1109"/>
      <c r="BF471" s="1109">
        <f t="shared" ref="BF471:BJ471" si="292">IF($J168=0,0,(($BF168*M168)+($BG168*S168)+($BH168*Y168)+($BI168*AE168)+($BJ168*AK168))/$J168)</f>
        <v>0</v>
      </c>
      <c r="BG471" s="1109">
        <f t="shared" si="292"/>
        <v>0</v>
      </c>
      <c r="BH471" s="1109">
        <f t="shared" si="292"/>
        <v>0</v>
      </c>
      <c r="BI471" s="1109">
        <f t="shared" si="292"/>
        <v>20.161833088595202</v>
      </c>
      <c r="BJ471" s="1109">
        <f t="shared" si="292"/>
        <v>80.647332354380808</v>
      </c>
    </row>
    <row r="472" spans="2:62" hidden="1" outlineLevel="1">
      <c r="B472" s="1094"/>
      <c r="C472" s="1071" t="str">
        <f t="shared" ref="C472:F472" si="293">C169</f>
        <v>COOPANS 2019 Roadmap Builds Shn</v>
      </c>
      <c r="D472" s="1071" t="str">
        <f t="shared" si="293"/>
        <v>COOPANS</v>
      </c>
      <c r="E472" s="1071" t="str">
        <f t="shared" si="293"/>
        <v>U002A</v>
      </c>
      <c r="F472" s="1125" t="str">
        <f t="shared" si="293"/>
        <v>2021-2024</v>
      </c>
      <c r="H472" s="1071" t="s">
        <v>29</v>
      </c>
      <c r="AZ472" s="1108"/>
      <c r="BA472" s="1109"/>
      <c r="BB472" s="1109"/>
      <c r="BC472" s="1109"/>
      <c r="BD472" s="1109"/>
      <c r="BE472" s="1109"/>
      <c r="BF472" s="1109">
        <f t="shared" ref="BF472:BJ472" si="294">IF($J169=0,0,(($BF169*M169)+($BG169*S169)+($BH169*Y169)+($BI169*AE169)+($BJ169*AK169))/$J169)</f>
        <v>0</v>
      </c>
      <c r="BG472" s="1109">
        <f t="shared" si="294"/>
        <v>0</v>
      </c>
      <c r="BH472" s="1109">
        <f t="shared" si="294"/>
        <v>0</v>
      </c>
      <c r="BI472" s="1109">
        <f t="shared" si="294"/>
        <v>0</v>
      </c>
      <c r="BJ472" s="1109">
        <f t="shared" si="294"/>
        <v>149.77361722956437</v>
      </c>
    </row>
    <row r="473" spans="2:62" hidden="1" outlineLevel="1">
      <c r="B473" s="1094"/>
      <c r="C473" s="1071" t="str">
        <f t="shared" ref="C473:F473" si="295">C170</f>
        <v>SWIM Enabling project</v>
      </c>
      <c r="D473" s="1071" t="str">
        <f t="shared" si="295"/>
        <v>COOPANS</v>
      </c>
      <c r="E473" s="1071" t="str">
        <f t="shared" si="295"/>
        <v>S001</v>
      </c>
      <c r="F473" s="1125" t="str">
        <f t="shared" si="295"/>
        <v>2021-2024</v>
      </c>
      <c r="H473" s="1071" t="s">
        <v>29</v>
      </c>
      <c r="AZ473" s="1108"/>
      <c r="BA473" s="1109"/>
      <c r="BB473" s="1109"/>
      <c r="BC473" s="1109"/>
      <c r="BD473" s="1109"/>
      <c r="BE473" s="1109"/>
      <c r="BF473" s="1109">
        <f t="shared" ref="BF473:BJ473" si="296">IF($J170=0,0,(($BF170*M170)+($BG170*S170)+($BH170*Y170)+($BI170*AE170)+($BJ170*AK170))/$J170)</f>
        <v>0</v>
      </c>
      <c r="BG473" s="1109">
        <f t="shared" si="296"/>
        <v>0</v>
      </c>
      <c r="BH473" s="1109">
        <f t="shared" si="296"/>
        <v>0</v>
      </c>
      <c r="BI473" s="1109">
        <f t="shared" si="296"/>
        <v>0</v>
      </c>
      <c r="BJ473" s="1109">
        <f t="shared" si="296"/>
        <v>34.563142437591779</v>
      </c>
    </row>
    <row r="474" spans="2:62" hidden="1" outlineLevel="1">
      <c r="B474" s="1094"/>
      <c r="C474" s="1071" t="str">
        <f t="shared" ref="C474:F474" si="297">C171</f>
        <v>Emergency Air Situation Display System (DUB)</v>
      </c>
      <c r="D474" s="1071" t="str">
        <f t="shared" si="297"/>
        <v>Emergency Air Situation Display System</v>
      </c>
      <c r="E474" s="1071" t="str">
        <f t="shared" si="297"/>
        <v>U003</v>
      </c>
      <c r="F474" s="1125" t="str">
        <f t="shared" si="297"/>
        <v>2021-2024</v>
      </c>
      <c r="H474" s="1071" t="s">
        <v>29</v>
      </c>
      <c r="AZ474" s="1108"/>
      <c r="BA474" s="1109"/>
      <c r="BB474" s="1109"/>
      <c r="BC474" s="1109"/>
      <c r="BD474" s="1109"/>
      <c r="BE474" s="1109"/>
      <c r="BF474" s="1109">
        <f t="shared" ref="BF474:BJ474" si="298">IF($J171=0,0,(($BF171*M171)+($BG171*S171)+($BH171*Y171)+($BI171*AE171)+($BJ171*AK171))/$J171)</f>
        <v>0</v>
      </c>
      <c r="BG474" s="1109">
        <f t="shared" si="298"/>
        <v>0</v>
      </c>
      <c r="BH474" s="1109">
        <f t="shared" si="298"/>
        <v>0</v>
      </c>
      <c r="BI474" s="1109">
        <f t="shared" si="298"/>
        <v>196.875</v>
      </c>
      <c r="BJ474" s="1109">
        <f t="shared" si="298"/>
        <v>262.5</v>
      </c>
    </row>
    <row r="475" spans="2:62" hidden="1" outlineLevel="1">
      <c r="B475" s="1094"/>
      <c r="C475" s="1071" t="str">
        <f t="shared" ref="C475:F475" si="299">C172</f>
        <v>Emergency Air Situation Display System (SHN)</v>
      </c>
      <c r="D475" s="1071" t="str">
        <f t="shared" si="299"/>
        <v>Emergency Air Situation Display System</v>
      </c>
      <c r="E475" s="1071" t="str">
        <f t="shared" si="299"/>
        <v>U003A</v>
      </c>
      <c r="F475" s="1125" t="str">
        <f t="shared" si="299"/>
        <v>2021-2024</v>
      </c>
      <c r="H475" s="1071" t="s">
        <v>29</v>
      </c>
      <c r="AZ475" s="1108"/>
      <c r="BA475" s="1109"/>
      <c r="BB475" s="1109"/>
      <c r="BC475" s="1109"/>
      <c r="BD475" s="1109"/>
      <c r="BE475" s="1109"/>
      <c r="BF475" s="1109">
        <f t="shared" ref="BF475:BJ475" si="300">IF($J172=0,0,(($BF172*M172)+($BG172*S172)+($BH172*Y172)+($BI172*AE172)+($BJ172*AK172))/$J172)</f>
        <v>0</v>
      </c>
      <c r="BG475" s="1109">
        <f t="shared" si="300"/>
        <v>0</v>
      </c>
      <c r="BH475" s="1109">
        <f t="shared" si="300"/>
        <v>121.875</v>
      </c>
      <c r="BI475" s="1109">
        <f t="shared" si="300"/>
        <v>487.5</v>
      </c>
      <c r="BJ475" s="1109">
        <f t="shared" si="300"/>
        <v>487.5</v>
      </c>
    </row>
    <row r="476" spans="2:62" hidden="1" outlineLevel="1">
      <c r="B476" s="1094"/>
      <c r="C476" s="1071" t="str">
        <f t="shared" ref="C476:F476" si="301">C173</f>
        <v>Emergency Air Situation Display System Simulator (SHN)</v>
      </c>
      <c r="D476" s="1071" t="str">
        <f t="shared" si="301"/>
        <v>Emergency Air Situation Display System</v>
      </c>
      <c r="E476" s="1071" t="str">
        <f t="shared" si="301"/>
        <v>U003A</v>
      </c>
      <c r="F476" s="1125" t="str">
        <f t="shared" si="301"/>
        <v>2021-2024</v>
      </c>
      <c r="H476" s="1071" t="s">
        <v>29</v>
      </c>
      <c r="AZ476" s="1108"/>
      <c r="BA476" s="1109"/>
      <c r="BB476" s="1109"/>
      <c r="BC476" s="1109"/>
      <c r="BD476" s="1109"/>
      <c r="BE476" s="1109"/>
      <c r="BF476" s="1109">
        <f t="shared" ref="BF476:BJ476" si="302">IF($J173=0,0,(($BF173*M173)+($BG173*S173)+($BH173*Y173)+($BI173*AE173)+($BJ173*AK173))/$J173)</f>
        <v>0</v>
      </c>
      <c r="BG476" s="1109">
        <f t="shared" si="302"/>
        <v>0</v>
      </c>
      <c r="BH476" s="1109">
        <f t="shared" si="302"/>
        <v>23.4375</v>
      </c>
      <c r="BI476" s="1109">
        <f t="shared" si="302"/>
        <v>93.75</v>
      </c>
      <c r="BJ476" s="1109">
        <f t="shared" si="302"/>
        <v>93.75</v>
      </c>
    </row>
    <row r="477" spans="2:62" hidden="1" outlineLevel="1">
      <c r="B477" s="1094"/>
      <c r="C477" s="1071" t="str">
        <f t="shared" ref="C477:F477" si="303">C174</f>
        <v>Emergency Air Situation Display System Simulator (DUB)</v>
      </c>
      <c r="D477" s="1071" t="str">
        <f t="shared" si="303"/>
        <v>Emergency Air Situation Display System</v>
      </c>
      <c r="E477" s="1071" t="str">
        <f t="shared" si="303"/>
        <v>U003A</v>
      </c>
      <c r="F477" s="1125" t="str">
        <f t="shared" si="303"/>
        <v>2021-2024</v>
      </c>
      <c r="H477" s="1071" t="s">
        <v>29</v>
      </c>
      <c r="AZ477" s="1108"/>
      <c r="BA477" s="1109"/>
      <c r="BB477" s="1109"/>
      <c r="BC477" s="1109"/>
      <c r="BD477" s="1109"/>
      <c r="BE477" s="1109"/>
      <c r="BF477" s="1109">
        <f t="shared" ref="BF477:BJ477" si="304">IF($J174=0,0,(($BF174*M174)+($BG174*S174)+($BH174*Y174)+($BI174*AE174)+($BJ174*AK174))/$J174)</f>
        <v>0</v>
      </c>
      <c r="BG477" s="1109">
        <f t="shared" si="304"/>
        <v>0</v>
      </c>
      <c r="BH477" s="1109">
        <f t="shared" si="304"/>
        <v>0</v>
      </c>
      <c r="BI477" s="1109">
        <f t="shared" si="304"/>
        <v>70.3125</v>
      </c>
      <c r="BJ477" s="1109">
        <f t="shared" si="304"/>
        <v>93.75</v>
      </c>
    </row>
    <row r="478" spans="2:62" hidden="1" outlineLevel="1">
      <c r="B478" s="1094"/>
      <c r="C478" s="1071" t="str">
        <f t="shared" ref="C478:F478" si="305">C175</f>
        <v>NAV Aids Replacement Programme</v>
      </c>
      <c r="D478" s="1071" t="str">
        <f t="shared" si="305"/>
        <v>NAV Aids Replacement Programme</v>
      </c>
      <c r="E478" s="1071" t="str">
        <f t="shared" si="305"/>
        <v>R005</v>
      </c>
      <c r="F478" s="1125" t="str">
        <f t="shared" si="305"/>
        <v>2021-2024</v>
      </c>
      <c r="H478" s="1071" t="s">
        <v>29</v>
      </c>
      <c r="AZ478" s="1108"/>
      <c r="BA478" s="1109"/>
      <c r="BB478" s="1109"/>
      <c r="BC478" s="1109"/>
      <c r="BD478" s="1109"/>
      <c r="BE478" s="1109"/>
      <c r="BF478" s="1109">
        <f t="shared" ref="BF478:BJ478" si="306">IF($J175=0,0,(($BF175*M175)+($BG175*S175)+($BH175*Y175)+($BI175*AE175)+($BJ175*AK175))/$J175)</f>
        <v>0</v>
      </c>
      <c r="BG478" s="1109">
        <f t="shared" si="306"/>
        <v>0</v>
      </c>
      <c r="BH478" s="1109">
        <f t="shared" si="306"/>
        <v>0</v>
      </c>
      <c r="BI478" s="1109">
        <f t="shared" si="306"/>
        <v>0</v>
      </c>
      <c r="BJ478" s="1109">
        <f t="shared" si="306"/>
        <v>0</v>
      </c>
    </row>
    <row r="479" spans="2:62" hidden="1" outlineLevel="1">
      <c r="B479" s="1094"/>
      <c r="C479" s="1071" t="str">
        <f t="shared" ref="C479:F479" si="307">C176</f>
        <v>NAV Aids Replacement Programme Dublin ILS (3rd)</v>
      </c>
      <c r="D479" s="1071" t="str">
        <f t="shared" si="307"/>
        <v>NAV Aids Replacement Programme</v>
      </c>
      <c r="E479" s="1071" t="str">
        <f t="shared" si="307"/>
        <v>R005A</v>
      </c>
      <c r="F479" s="1125" t="str">
        <f t="shared" si="307"/>
        <v>2021-2024</v>
      </c>
      <c r="H479" s="1071" t="s">
        <v>29</v>
      </c>
      <c r="AZ479" s="1108"/>
      <c r="BA479" s="1109"/>
      <c r="BB479" s="1109"/>
      <c r="BC479" s="1109"/>
      <c r="BD479" s="1109"/>
      <c r="BE479" s="1109"/>
      <c r="BF479" s="1109">
        <f t="shared" ref="BF479:BJ479" si="308">IF($J176=0,0,(($BF176*M176)+($BG176*S176)+($BH176*Y176)+($BI176*AE176)+($BJ176*AK176))/$J176)</f>
        <v>0</v>
      </c>
      <c r="BG479" s="1109">
        <f t="shared" si="308"/>
        <v>0</v>
      </c>
      <c r="BH479" s="1109">
        <f t="shared" si="308"/>
        <v>0</v>
      </c>
      <c r="BI479" s="1109">
        <f t="shared" si="308"/>
        <v>0</v>
      </c>
      <c r="BJ479" s="1109">
        <f t="shared" si="308"/>
        <v>87.158004375000004</v>
      </c>
    </row>
    <row r="480" spans="2:62" hidden="1" outlineLevel="1">
      <c r="B480" s="1094"/>
      <c r="C480" s="1071" t="str">
        <f t="shared" ref="C480:F480" si="309">C177</f>
        <v>NAV Aids Replacement Programme Shannon ILS (1st)</v>
      </c>
      <c r="D480" s="1071" t="str">
        <f t="shared" si="309"/>
        <v>NAV Aids Replacement Programme</v>
      </c>
      <c r="E480" s="1071" t="str">
        <f t="shared" si="309"/>
        <v>R005A</v>
      </c>
      <c r="F480" s="1125" t="str">
        <f t="shared" si="309"/>
        <v>2021-2024</v>
      </c>
      <c r="H480" s="1071" t="s">
        <v>29</v>
      </c>
      <c r="AZ480" s="1108"/>
      <c r="BA480" s="1109"/>
      <c r="BB480" s="1109"/>
      <c r="BC480" s="1109"/>
      <c r="BD480" s="1109"/>
      <c r="BE480" s="1109"/>
      <c r="BF480" s="1109">
        <f t="shared" ref="BF480:BJ480" si="310">IF($J177=0,0,(($BF177*M177)+($BG177*S177)+($BH177*Y177)+($BI177*AE177)+($BJ177*AK177))/$J177)</f>
        <v>0</v>
      </c>
      <c r="BG480" s="1109">
        <f t="shared" si="310"/>
        <v>0</v>
      </c>
      <c r="BH480" s="1109">
        <f t="shared" si="310"/>
        <v>42.8125</v>
      </c>
      <c r="BI480" s="1109">
        <f t="shared" si="310"/>
        <v>171.25</v>
      </c>
      <c r="BJ480" s="1109">
        <f t="shared" si="310"/>
        <v>171.25</v>
      </c>
    </row>
    <row r="481" spans="2:62" hidden="1" outlineLevel="1">
      <c r="B481" s="1094"/>
      <c r="C481" s="1071" t="str">
        <f t="shared" ref="C481:F481" si="311">C178</f>
        <v>NAV Aids Replacement Programme Cork ILS (2nd)</v>
      </c>
      <c r="D481" s="1071" t="str">
        <f t="shared" si="311"/>
        <v>NAV Aids Replacement Programme</v>
      </c>
      <c r="E481" s="1071" t="str">
        <f t="shared" si="311"/>
        <v>R005A</v>
      </c>
      <c r="F481" s="1125" t="str">
        <f t="shared" si="311"/>
        <v>2021-2024</v>
      </c>
      <c r="H481" s="1071" t="s">
        <v>29</v>
      </c>
      <c r="AZ481" s="1108"/>
      <c r="BA481" s="1109"/>
      <c r="BB481" s="1109"/>
      <c r="BC481" s="1109"/>
      <c r="BD481" s="1109"/>
      <c r="BE481" s="1109"/>
      <c r="BF481" s="1109">
        <f t="shared" ref="BF481:BJ481" si="312">IF($J178=0,0,(($BF178*M178)+($BG178*S178)+($BH178*Y178)+($BI178*AE178)+($BJ178*AK178))/$J178)</f>
        <v>0</v>
      </c>
      <c r="BG481" s="1109">
        <f t="shared" si="312"/>
        <v>0</v>
      </c>
      <c r="BH481" s="1109">
        <f t="shared" si="312"/>
        <v>0</v>
      </c>
      <c r="BI481" s="1109">
        <f t="shared" si="312"/>
        <v>64.0625</v>
      </c>
      <c r="BJ481" s="1109">
        <f t="shared" si="312"/>
        <v>256.25</v>
      </c>
    </row>
    <row r="482" spans="2:62" hidden="1" outlineLevel="1">
      <c r="B482" s="1094"/>
      <c r="C482" s="1071" t="str">
        <f t="shared" ref="C482:F482" si="313">C179</f>
        <v>NAV Aids Replacement Programme Dublin IRVR</v>
      </c>
      <c r="D482" s="1071" t="str">
        <f t="shared" si="313"/>
        <v>NAV Aids Replacement Programme</v>
      </c>
      <c r="E482" s="1071" t="str">
        <f t="shared" si="313"/>
        <v>R005A</v>
      </c>
      <c r="F482" s="1125" t="str">
        <f t="shared" si="313"/>
        <v>2021-2024</v>
      </c>
      <c r="H482" s="1071" t="s">
        <v>29</v>
      </c>
      <c r="AZ482" s="1108"/>
      <c r="BA482" s="1109"/>
      <c r="BB482" s="1109"/>
      <c r="BC482" s="1109"/>
      <c r="BD482" s="1109"/>
      <c r="BE482" s="1109"/>
      <c r="BF482" s="1109">
        <f t="shared" ref="BF482:BJ482" si="314">IF($J179=0,0,(($BF179*M179)+($BG179*S179)+($BH179*Y179)+($BI179*AE179)+($BJ179*AK179))/$J179)</f>
        <v>0</v>
      </c>
      <c r="BG482" s="1109">
        <f t="shared" si="314"/>
        <v>15.747365625</v>
      </c>
      <c r="BH482" s="1109">
        <f t="shared" si="314"/>
        <v>62.989462500000002</v>
      </c>
      <c r="BI482" s="1109">
        <f t="shared" si="314"/>
        <v>62.989462500000002</v>
      </c>
      <c r="BJ482" s="1109">
        <f t="shared" si="314"/>
        <v>62.989462500000002</v>
      </c>
    </row>
    <row r="483" spans="2:62" hidden="1" outlineLevel="1">
      <c r="B483" s="1094"/>
      <c r="C483" s="1071" t="str">
        <f t="shared" ref="C483:F483" si="315">C180</f>
        <v>NAV Aids Replacement Programme Shannon IRVR</v>
      </c>
      <c r="D483" s="1071" t="str">
        <f t="shared" si="315"/>
        <v>NAV Aids Replacement Programme</v>
      </c>
      <c r="E483" s="1071" t="str">
        <f t="shared" si="315"/>
        <v>R005A</v>
      </c>
      <c r="F483" s="1125" t="str">
        <f t="shared" si="315"/>
        <v>2021-2024</v>
      </c>
      <c r="H483" s="1071" t="s">
        <v>29</v>
      </c>
      <c r="AZ483" s="1108"/>
      <c r="BA483" s="1109"/>
      <c r="BB483" s="1109"/>
      <c r="BC483" s="1109"/>
      <c r="BD483" s="1109"/>
      <c r="BE483" s="1109"/>
      <c r="BF483" s="1109">
        <f t="shared" ref="BF483:BJ483" si="316">IF($J180=0,0,(($BF180*M180)+($BG180*S180)+($BH180*Y180)+($BI180*AE180)+($BJ180*AK180))/$J180)</f>
        <v>0</v>
      </c>
      <c r="BG483" s="1109">
        <f t="shared" si="316"/>
        <v>0</v>
      </c>
      <c r="BH483" s="1109">
        <f t="shared" si="316"/>
        <v>32.471642500000002</v>
      </c>
      <c r="BI483" s="1109">
        <f t="shared" si="316"/>
        <v>32.471642500000002</v>
      </c>
      <c r="BJ483" s="1109">
        <f t="shared" si="316"/>
        <v>32.471642500000002</v>
      </c>
    </row>
    <row r="484" spans="2:62" hidden="1" outlineLevel="1">
      <c r="B484" s="1094"/>
      <c r="C484" s="1071" t="str">
        <f t="shared" ref="C484:F484" si="317">C181</f>
        <v>NAV Aids Replacement Programme Cork IRVR</v>
      </c>
      <c r="D484" s="1071" t="str">
        <f t="shared" si="317"/>
        <v>NAV Aids Replacement Programme</v>
      </c>
      <c r="E484" s="1071" t="str">
        <f t="shared" si="317"/>
        <v>R005A</v>
      </c>
      <c r="F484" s="1125" t="str">
        <f t="shared" si="317"/>
        <v>2021-2024</v>
      </c>
      <c r="H484" s="1071" t="s">
        <v>29</v>
      </c>
      <c r="AZ484" s="1108"/>
      <c r="BA484" s="1109"/>
      <c r="BB484" s="1109"/>
      <c r="BC484" s="1109"/>
      <c r="BD484" s="1109"/>
      <c r="BE484" s="1109"/>
      <c r="BF484" s="1109">
        <f t="shared" ref="BF484:BJ484" si="318">IF($J181=0,0,(($BF181*M181)+($BG181*S181)+($BH181*Y181)+($BI181*AE181)+($BJ181*AK181))/$J181)</f>
        <v>0</v>
      </c>
      <c r="BG484" s="1109">
        <f t="shared" si="318"/>
        <v>0</v>
      </c>
      <c r="BH484" s="1109">
        <f t="shared" si="318"/>
        <v>26.817787499999998</v>
      </c>
      <c r="BI484" s="1109">
        <f t="shared" si="318"/>
        <v>35.75705</v>
      </c>
      <c r="BJ484" s="1109">
        <f t="shared" si="318"/>
        <v>35.75705</v>
      </c>
    </row>
    <row r="485" spans="2:62" hidden="1" outlineLevel="1">
      <c r="B485" s="1094"/>
      <c r="C485" s="1071" t="str">
        <f t="shared" ref="C485:F485" si="319">C182</f>
        <v>Plant &amp; Equipment upgrades (Chillers, AC etc.)</v>
      </c>
      <c r="D485" s="1071" t="str">
        <f t="shared" si="319"/>
        <v>Plant &amp; Equipment upgrades</v>
      </c>
      <c r="E485" s="1071" t="str">
        <f t="shared" si="319"/>
        <v>RP3-PROP-3</v>
      </c>
      <c r="F485" s="1125" t="str">
        <f t="shared" si="319"/>
        <v>2021-2024</v>
      </c>
      <c r="H485" s="1071" t="s">
        <v>29</v>
      </c>
      <c r="AZ485" s="1108"/>
      <c r="BA485" s="1109"/>
      <c r="BB485" s="1109"/>
      <c r="BC485" s="1109"/>
      <c r="BD485" s="1109"/>
      <c r="BE485" s="1109"/>
      <c r="BF485" s="1109">
        <f t="shared" ref="BF485:BJ485" si="320">IF($J182=0,0,(($BF182*M182)+($BG182*S182)+($BH182*Y182)+($BI182*AE182)+($BJ182*AK182))/$J182)</f>
        <v>0</v>
      </c>
      <c r="BG485" s="1109">
        <f t="shared" si="320"/>
        <v>0</v>
      </c>
      <c r="BH485" s="1109">
        <f t="shared" si="320"/>
        <v>0</v>
      </c>
      <c r="BI485" s="1109">
        <f t="shared" si="320"/>
        <v>0</v>
      </c>
      <c r="BJ485" s="1109">
        <f t="shared" si="320"/>
        <v>0</v>
      </c>
    </row>
    <row r="486" spans="2:62" hidden="1" outlineLevel="1">
      <c r="B486" s="1094"/>
      <c r="C486" s="1071" t="str">
        <f t="shared" ref="C486:F486" si="321">C183</f>
        <v>Plant &amp; Equipment upgrades Shannon En Route</v>
      </c>
      <c r="D486" s="1071" t="str">
        <f t="shared" si="321"/>
        <v>Plant &amp; Equipment upgrades</v>
      </c>
      <c r="E486" s="1071" t="str">
        <f t="shared" si="321"/>
        <v>RP3-PROP-3</v>
      </c>
      <c r="F486" s="1125" t="str">
        <f t="shared" si="321"/>
        <v>2021-2024</v>
      </c>
      <c r="H486" s="1071" t="s">
        <v>29</v>
      </c>
      <c r="AZ486" s="1108"/>
      <c r="BA486" s="1109"/>
      <c r="BB486" s="1109"/>
      <c r="BC486" s="1109"/>
      <c r="BD486" s="1109"/>
      <c r="BE486" s="1109"/>
      <c r="BF486" s="1109">
        <f t="shared" ref="BF486:BJ486" si="322">IF($J183=0,0,(($BF183*M183)+($BG183*S183)+($BH183*Y183)+($BI183*AE183)+($BJ183*AK183))/$J183)</f>
        <v>0</v>
      </c>
      <c r="BG486" s="1109">
        <f t="shared" si="322"/>
        <v>0</v>
      </c>
      <c r="BH486" s="1109">
        <f t="shared" si="322"/>
        <v>0</v>
      </c>
      <c r="BI486" s="1109">
        <f t="shared" si="322"/>
        <v>232.1875</v>
      </c>
      <c r="BJ486" s="1109">
        <f t="shared" si="322"/>
        <v>232.1875</v>
      </c>
    </row>
    <row r="487" spans="2:62" hidden="1" outlineLevel="1">
      <c r="B487" s="1094"/>
      <c r="C487" s="1071" t="str">
        <f t="shared" ref="C487:F487" si="323">C184</f>
        <v>Plant &amp; Equipment upgrades Shannon Joint</v>
      </c>
      <c r="D487" s="1071" t="str">
        <f t="shared" si="323"/>
        <v>Plant &amp; Equipment upgrades</v>
      </c>
      <c r="E487" s="1071" t="str">
        <f t="shared" si="323"/>
        <v>RP3-PROP-3</v>
      </c>
      <c r="F487" s="1125" t="str">
        <f t="shared" si="323"/>
        <v>2021-2024</v>
      </c>
      <c r="H487" s="1071" t="s">
        <v>29</v>
      </c>
      <c r="AZ487" s="1108"/>
      <c r="BA487" s="1109"/>
      <c r="BB487" s="1109"/>
      <c r="BC487" s="1109"/>
      <c r="BD487" s="1109"/>
      <c r="BE487" s="1109"/>
      <c r="BF487" s="1109">
        <f t="shared" ref="BF487:BJ487" si="324">IF($J184=0,0,(($BF184*M184)+($BG184*S184)+($BH184*Y184)+($BI184*AE184)+($BJ184*AK184))/$J184)</f>
        <v>0</v>
      </c>
      <c r="BG487" s="1109">
        <f t="shared" si="324"/>
        <v>0</v>
      </c>
      <c r="BH487" s="1109">
        <f t="shared" si="324"/>
        <v>2.34375</v>
      </c>
      <c r="BI487" s="1109">
        <f t="shared" si="324"/>
        <v>9.375</v>
      </c>
      <c r="BJ487" s="1109">
        <f t="shared" si="324"/>
        <v>38.4375</v>
      </c>
    </row>
    <row r="488" spans="2:62" hidden="1" outlineLevel="1">
      <c r="B488" s="1094"/>
      <c r="C488" s="1071" t="str">
        <f t="shared" ref="C488:F488" si="325">C185</f>
        <v>Plant &amp; Equipment upgrades Shannon Terminal</v>
      </c>
      <c r="D488" s="1071" t="str">
        <f t="shared" si="325"/>
        <v>Plant &amp; Equipment upgrades</v>
      </c>
      <c r="E488" s="1071" t="str">
        <f t="shared" si="325"/>
        <v>RP3-PROP-3</v>
      </c>
      <c r="F488" s="1125" t="str">
        <f t="shared" si="325"/>
        <v>2021-2024</v>
      </c>
      <c r="H488" s="1071" t="s">
        <v>29</v>
      </c>
      <c r="AZ488" s="1108"/>
      <c r="BA488" s="1109"/>
      <c r="BB488" s="1109"/>
      <c r="BC488" s="1109"/>
      <c r="BD488" s="1109"/>
      <c r="BE488" s="1109"/>
      <c r="BF488" s="1109">
        <f t="shared" ref="BF488:BJ488" si="326">IF($J185=0,0,(($BF185*M185)+($BG185*S185)+($BH185*Y185)+($BI185*AE185)+($BJ185*AK185))/$J185)</f>
        <v>0</v>
      </c>
      <c r="BG488" s="1109">
        <f t="shared" si="326"/>
        <v>0</v>
      </c>
      <c r="BH488" s="1109">
        <f t="shared" si="326"/>
        <v>0</v>
      </c>
      <c r="BI488" s="1109">
        <f t="shared" si="326"/>
        <v>96.875</v>
      </c>
      <c r="BJ488" s="1109">
        <f t="shared" si="326"/>
        <v>96.875</v>
      </c>
    </row>
    <row r="489" spans="2:62" hidden="1" outlineLevel="1">
      <c r="B489" s="1094"/>
      <c r="C489" s="1071" t="str">
        <f t="shared" ref="C489:F489" si="327">C186</f>
        <v>Plant &amp; Equipment upgrades Dublin Joint</v>
      </c>
      <c r="D489" s="1071" t="str">
        <f t="shared" si="327"/>
        <v>Plant &amp; Equipment upgrades</v>
      </c>
      <c r="E489" s="1071" t="str">
        <f t="shared" si="327"/>
        <v>RP3-PROP-3</v>
      </c>
      <c r="F489" s="1125" t="str">
        <f t="shared" si="327"/>
        <v>2021-2024</v>
      </c>
      <c r="H489" s="1071" t="s">
        <v>29</v>
      </c>
      <c r="AZ489" s="1108"/>
      <c r="BA489" s="1109"/>
      <c r="BB489" s="1109"/>
      <c r="BC489" s="1109"/>
      <c r="BD489" s="1109"/>
      <c r="BE489" s="1109"/>
      <c r="BF489" s="1109">
        <f t="shared" ref="BF489:BJ489" si="328">IF($J186=0,0,(($BF186*M186)+($BG186*S186)+($BH186*Y186)+($BI186*AE186)+($BJ186*AK186))/$J186)</f>
        <v>0</v>
      </c>
      <c r="BG489" s="1109">
        <f t="shared" si="328"/>
        <v>0</v>
      </c>
      <c r="BH489" s="1109">
        <f t="shared" si="328"/>
        <v>0</v>
      </c>
      <c r="BI489" s="1109">
        <f t="shared" si="328"/>
        <v>203.4375</v>
      </c>
      <c r="BJ489" s="1109">
        <f t="shared" si="328"/>
        <v>203.4375</v>
      </c>
    </row>
    <row r="490" spans="2:62" hidden="1" outlineLevel="1">
      <c r="B490" s="1094"/>
      <c r="C490" s="1071" t="str">
        <f t="shared" ref="C490:F490" si="329">C187</f>
        <v>Plant &amp; Equipment upgrades Cork Terminal</v>
      </c>
      <c r="D490" s="1071" t="str">
        <f t="shared" si="329"/>
        <v>Plant &amp; Equipment upgrades</v>
      </c>
      <c r="E490" s="1071" t="str">
        <f t="shared" si="329"/>
        <v>RP3-PROP-3</v>
      </c>
      <c r="F490" s="1125" t="str">
        <f t="shared" si="329"/>
        <v>2021-2024</v>
      </c>
      <c r="H490" s="1071" t="s">
        <v>29</v>
      </c>
      <c r="AZ490" s="1108"/>
      <c r="BA490" s="1109"/>
      <c r="BB490" s="1109"/>
      <c r="BC490" s="1109"/>
      <c r="BD490" s="1109"/>
      <c r="BE490" s="1109"/>
      <c r="BF490" s="1109">
        <f t="shared" ref="BF490:BJ490" si="330">IF($J187=0,0,(($BF187*M187)+($BG187*S187)+($BH187*Y187)+($BI187*AE187)+($BJ187*AK187))/$J187)</f>
        <v>0</v>
      </c>
      <c r="BG490" s="1109">
        <f t="shared" si="330"/>
        <v>0</v>
      </c>
      <c r="BH490" s="1109">
        <f t="shared" si="330"/>
        <v>0</v>
      </c>
      <c r="BI490" s="1109">
        <f t="shared" si="330"/>
        <v>0</v>
      </c>
      <c r="BJ490" s="1109">
        <f t="shared" si="330"/>
        <v>14.53125</v>
      </c>
    </row>
    <row r="491" spans="2:62" hidden="1" outlineLevel="1">
      <c r="B491" s="1094"/>
      <c r="C491" s="1071" t="str">
        <f t="shared" ref="C491:F491" si="331">C188</f>
        <v>Plant &amp; Equipment upgrades HQ Joint</v>
      </c>
      <c r="D491" s="1071" t="str">
        <f t="shared" si="331"/>
        <v>Plant &amp; Equipment upgrades</v>
      </c>
      <c r="E491" s="1071" t="str">
        <f t="shared" si="331"/>
        <v>RP3-PROP-3</v>
      </c>
      <c r="F491" s="1125" t="str">
        <f t="shared" si="331"/>
        <v>2021-2024</v>
      </c>
      <c r="H491" s="1071" t="s">
        <v>29</v>
      </c>
      <c r="AZ491" s="1108"/>
      <c r="BA491" s="1109"/>
      <c r="BB491" s="1109"/>
      <c r="BC491" s="1109"/>
      <c r="BD491" s="1109"/>
      <c r="BE491" s="1109"/>
      <c r="BF491" s="1109">
        <f t="shared" ref="BF491:BJ491" si="332">IF($J188=0,0,(($BF188*M188)+($BG188*S188)+($BH188*Y188)+($BI188*AE188)+($BJ188*AK188))/$J188)</f>
        <v>0</v>
      </c>
      <c r="BG491" s="1109">
        <f t="shared" si="332"/>
        <v>0</v>
      </c>
      <c r="BH491" s="1109">
        <f t="shared" si="332"/>
        <v>0</v>
      </c>
      <c r="BI491" s="1109">
        <f t="shared" si="332"/>
        <v>72.65625</v>
      </c>
      <c r="BJ491" s="1109">
        <f t="shared" si="332"/>
        <v>290.625</v>
      </c>
    </row>
    <row r="492" spans="2:62" hidden="1" outlineLevel="1">
      <c r="B492" s="1094"/>
      <c r="C492" s="1071" t="str">
        <f t="shared" ref="C492:F492" si="333">C189</f>
        <v>Climate action plan</v>
      </c>
      <c r="D492" s="1071" t="str">
        <f t="shared" si="333"/>
        <v>Climate action plan</v>
      </c>
      <c r="E492" s="1071" t="str">
        <f t="shared" si="333"/>
        <v>U011</v>
      </c>
      <c r="F492" s="1125" t="str">
        <f t="shared" si="333"/>
        <v>2021-2024</v>
      </c>
      <c r="H492" s="1071" t="s">
        <v>29</v>
      </c>
      <c r="AZ492" s="1108"/>
      <c r="BA492" s="1109"/>
      <c r="BB492" s="1109"/>
      <c r="BC492" s="1109"/>
      <c r="BD492" s="1109"/>
      <c r="BE492" s="1109"/>
      <c r="BF492" s="1109">
        <f t="shared" ref="BF492:BJ492" si="334">IF($J189=0,0,(($BF189*M189)+($BG189*S189)+($BH189*Y189)+($BI189*AE189)+($BJ189*AK189))/$J189)</f>
        <v>0</v>
      </c>
      <c r="BG492" s="1109">
        <f t="shared" si="334"/>
        <v>35</v>
      </c>
      <c r="BH492" s="1109">
        <f t="shared" si="334"/>
        <v>160</v>
      </c>
      <c r="BI492" s="1109">
        <f t="shared" si="334"/>
        <v>570</v>
      </c>
      <c r="BJ492" s="1109">
        <f t="shared" si="334"/>
        <v>1060</v>
      </c>
    </row>
    <row r="493" spans="2:62" hidden="1" outlineLevel="1">
      <c r="B493" s="1094"/>
      <c r="C493" s="1071" t="str">
        <f t="shared" ref="C493:F493" si="335">C190</f>
        <v>RADAR Overhaul - Woodcock Hill</v>
      </c>
      <c r="D493" s="1071" t="str">
        <f t="shared" si="335"/>
        <v>RADAR Overhaul</v>
      </c>
      <c r="E493" s="1071" t="str">
        <f t="shared" si="335"/>
        <v>RP3-SURV-1</v>
      </c>
      <c r="F493" s="1125" t="str">
        <f t="shared" si="335"/>
        <v>2021-2024</v>
      </c>
      <c r="H493" s="1071" t="s">
        <v>29</v>
      </c>
      <c r="AZ493" s="1108"/>
      <c r="BA493" s="1109"/>
      <c r="BB493" s="1109"/>
      <c r="BC493" s="1109"/>
      <c r="BD493" s="1109"/>
      <c r="BE493" s="1109"/>
      <c r="BF493" s="1109">
        <f t="shared" ref="BF493:BJ493" si="336">IF($J190=0,0,(($BF190*M190)+($BG190*S190)+($BH190*Y190)+($BI190*AE190)+($BJ190*AK190))/$J190)</f>
        <v>0</v>
      </c>
      <c r="BG493" s="1109">
        <f t="shared" si="336"/>
        <v>0</v>
      </c>
      <c r="BH493" s="1109">
        <f t="shared" si="336"/>
        <v>0</v>
      </c>
      <c r="BI493" s="1109">
        <f t="shared" si="336"/>
        <v>41.666666666666664</v>
      </c>
      <c r="BJ493" s="1109">
        <f t="shared" si="336"/>
        <v>166.66666666666666</v>
      </c>
    </row>
    <row r="494" spans="2:62" hidden="1" outlineLevel="1">
      <c r="B494" s="1094"/>
      <c r="C494" s="1071" t="str">
        <f t="shared" ref="C494:F494" si="337">C191</f>
        <v>RADAR Overhaul - MT Gabriel 1 &amp; 2</v>
      </c>
      <c r="D494" s="1071" t="str">
        <f t="shared" si="337"/>
        <v>RADAR Overhaul</v>
      </c>
      <c r="E494" s="1071" t="str">
        <f t="shared" si="337"/>
        <v>RP3-SURV-1</v>
      </c>
      <c r="F494" s="1125" t="str">
        <f t="shared" si="337"/>
        <v>2021-2024</v>
      </c>
      <c r="H494" s="1071" t="s">
        <v>29</v>
      </c>
      <c r="AZ494" s="1108"/>
      <c r="BA494" s="1109"/>
      <c r="BB494" s="1109"/>
      <c r="BC494" s="1109"/>
      <c r="BD494" s="1109"/>
      <c r="BE494" s="1109"/>
      <c r="BF494" s="1109">
        <f t="shared" ref="BF494:BJ494" si="338">IF($J191=0,0,(($BF191*M191)+($BG191*S191)+($BH191*Y191)+($BI191*AE191)+($BJ191*AK191))/$J191)</f>
        <v>0</v>
      </c>
      <c r="BG494" s="1109">
        <f t="shared" si="338"/>
        <v>0</v>
      </c>
      <c r="BH494" s="1109">
        <f t="shared" si="338"/>
        <v>0</v>
      </c>
      <c r="BI494" s="1109">
        <f t="shared" si="338"/>
        <v>0</v>
      </c>
      <c r="BJ494" s="1109">
        <f t="shared" si="338"/>
        <v>41.666666666666664</v>
      </c>
    </row>
    <row r="495" spans="2:62" hidden="1" outlineLevel="1">
      <c r="B495" s="1094"/>
      <c r="C495" s="1071" t="str">
        <f t="shared" ref="C495:F495" si="339">C192</f>
        <v>Voice Communication Switch</v>
      </c>
      <c r="D495" s="1071" t="str">
        <f t="shared" si="339"/>
        <v>VOIP Switch</v>
      </c>
      <c r="E495" s="1071" t="str">
        <f t="shared" si="339"/>
        <v>S005</v>
      </c>
      <c r="F495" s="1125" t="str">
        <f t="shared" si="339"/>
        <v>2021-2024</v>
      </c>
      <c r="H495" s="1071" t="s">
        <v>29</v>
      </c>
      <c r="AZ495" s="1108"/>
      <c r="BA495" s="1109"/>
      <c r="BB495" s="1109"/>
      <c r="BC495" s="1109"/>
      <c r="BD495" s="1109"/>
      <c r="BE495" s="1109"/>
      <c r="BF495" s="1109">
        <f t="shared" ref="BF495:BJ495" si="340">IF($J192=0,0,(($BF192*M192)+($BG192*S192)+($BH192*Y192)+($BI192*AE192)+($BJ192*AK192))/$J192)</f>
        <v>0</v>
      </c>
      <c r="BG495" s="1109">
        <f t="shared" si="340"/>
        <v>0</v>
      </c>
      <c r="BH495" s="1109">
        <f t="shared" si="340"/>
        <v>0</v>
      </c>
      <c r="BI495" s="1109">
        <f t="shared" si="340"/>
        <v>0</v>
      </c>
      <c r="BJ495" s="1109">
        <f t="shared" si="340"/>
        <v>0</v>
      </c>
    </row>
    <row r="496" spans="2:62" hidden="1" outlineLevel="1">
      <c r="B496" s="1094"/>
      <c r="C496" s="1071" t="str">
        <f t="shared" ref="C496:F496" si="341">C193</f>
        <v>VOIP Switch CRK</v>
      </c>
      <c r="D496" s="1071" t="str">
        <f t="shared" si="341"/>
        <v>VOIP Switch</v>
      </c>
      <c r="E496" s="1071" t="str">
        <f t="shared" si="341"/>
        <v>S005A</v>
      </c>
      <c r="F496" s="1125" t="str">
        <f t="shared" si="341"/>
        <v>2021-2024</v>
      </c>
      <c r="H496" s="1071" t="s">
        <v>29</v>
      </c>
      <c r="AZ496" s="1108"/>
      <c r="BA496" s="1109"/>
      <c r="BB496" s="1109"/>
      <c r="BC496" s="1109"/>
      <c r="BD496" s="1109"/>
      <c r="BE496" s="1109"/>
      <c r="BF496" s="1109">
        <f t="shared" ref="BF496:BJ496" si="342">IF($J193=0,0,(($BF193*M193)+($BG193*S193)+($BH193*Y193)+($BI193*AE193)+($BJ193*AK193))/$J193)</f>
        <v>0</v>
      </c>
      <c r="BG496" s="1109">
        <f t="shared" si="342"/>
        <v>0</v>
      </c>
      <c r="BH496" s="1109">
        <f t="shared" si="342"/>
        <v>12.415952320312499</v>
      </c>
      <c r="BI496" s="1109">
        <f t="shared" si="342"/>
        <v>49.663809281249996</v>
      </c>
      <c r="BJ496" s="1109">
        <f t="shared" si="342"/>
        <v>49.663809281249996</v>
      </c>
    </row>
    <row r="497" spans="2:62" hidden="1" outlineLevel="1">
      <c r="B497" s="1094"/>
      <c r="C497" s="1071" t="str">
        <f t="shared" ref="C497:F497" si="343">C194</f>
        <v>VOIP Switch DUB</v>
      </c>
      <c r="D497" s="1071" t="str">
        <f t="shared" si="343"/>
        <v>VOIP Switch</v>
      </c>
      <c r="E497" s="1071" t="str">
        <f t="shared" si="343"/>
        <v>S005A</v>
      </c>
      <c r="F497" s="1125" t="str">
        <f t="shared" si="343"/>
        <v>2021-2024</v>
      </c>
      <c r="H497" s="1071" t="s">
        <v>29</v>
      </c>
      <c r="AZ497" s="1108"/>
      <c r="BA497" s="1109"/>
      <c r="BB497" s="1109"/>
      <c r="BC497" s="1109"/>
      <c r="BD497" s="1109"/>
      <c r="BE497" s="1109"/>
      <c r="BF497" s="1109">
        <f t="shared" ref="BF497:BJ497" si="344">IF($J194=0,0,(($BF194*M194)+($BG194*S194)+($BH194*Y194)+($BI194*AE194)+($BJ194*AK194))/$J194)</f>
        <v>0</v>
      </c>
      <c r="BG497" s="1109">
        <f t="shared" si="344"/>
        <v>42.245951117187502</v>
      </c>
      <c r="BH497" s="1109">
        <f t="shared" si="344"/>
        <v>168.98380446875001</v>
      </c>
      <c r="BI497" s="1109">
        <f t="shared" si="344"/>
        <v>168.98380446875001</v>
      </c>
      <c r="BJ497" s="1109">
        <f t="shared" si="344"/>
        <v>168.98380446875001</v>
      </c>
    </row>
    <row r="498" spans="2:62" hidden="1" outlineLevel="1">
      <c r="B498" s="1094"/>
      <c r="C498" s="1071" t="str">
        <f t="shared" ref="C498:F498" si="345">C195</f>
        <v>VOIP Switch Ballycasey Main</v>
      </c>
      <c r="D498" s="1071" t="str">
        <f t="shared" si="345"/>
        <v>VOIP Switch</v>
      </c>
      <c r="E498" s="1071" t="str">
        <f t="shared" si="345"/>
        <v>S005A</v>
      </c>
      <c r="F498" s="1125" t="str">
        <f t="shared" si="345"/>
        <v>2021-2024</v>
      </c>
      <c r="H498" s="1071" t="s">
        <v>29</v>
      </c>
      <c r="AZ498" s="1108"/>
      <c r="BA498" s="1109"/>
      <c r="BB498" s="1109"/>
      <c r="BC498" s="1109"/>
      <c r="BD498" s="1109"/>
      <c r="BE498" s="1109"/>
      <c r="BF498" s="1109">
        <f t="shared" ref="BF498:BJ498" si="346">IF($J195=0,0,(($BF195*M195)+($BG195*S195)+($BH195*Y195)+($BI195*AE195)+($BJ195*AK195))/$J195)</f>
        <v>0</v>
      </c>
      <c r="BG498" s="1109">
        <f t="shared" si="346"/>
        <v>0</v>
      </c>
      <c r="BH498" s="1109">
        <f t="shared" si="346"/>
        <v>0</v>
      </c>
      <c r="BI498" s="1109">
        <f t="shared" si="346"/>
        <v>0</v>
      </c>
      <c r="BJ498" s="1109">
        <f t="shared" si="346"/>
        <v>42.170593750000002</v>
      </c>
    </row>
    <row r="499" spans="2:62" hidden="1" outlineLevel="1">
      <c r="B499" s="1094"/>
      <c r="C499" s="1071" t="str">
        <f t="shared" ref="C499:F499" si="347">C196</f>
        <v>VOIP Switch STBU</v>
      </c>
      <c r="D499" s="1071" t="str">
        <f t="shared" si="347"/>
        <v>VOIP Switch</v>
      </c>
      <c r="E499" s="1071" t="str">
        <f t="shared" si="347"/>
        <v>S005A</v>
      </c>
      <c r="F499" s="1125" t="str">
        <f t="shared" si="347"/>
        <v>2021-2024</v>
      </c>
      <c r="H499" s="1071" t="s">
        <v>29</v>
      </c>
      <c r="AZ499" s="1108"/>
      <c r="BA499" s="1109"/>
      <c r="BB499" s="1109"/>
      <c r="BC499" s="1109"/>
      <c r="BD499" s="1109"/>
      <c r="BE499" s="1109"/>
      <c r="BF499" s="1109">
        <f t="shared" ref="BF499:BJ499" si="348">IF($J196=0,0,(($BF196*M196)+($BG196*S196)+($BH196*Y196)+($BI196*AE196)+($BJ196*AK196))/$J196)</f>
        <v>0</v>
      </c>
      <c r="BG499" s="1109">
        <f t="shared" si="348"/>
        <v>0</v>
      </c>
      <c r="BH499" s="1109">
        <f t="shared" si="348"/>
        <v>0</v>
      </c>
      <c r="BI499" s="1109">
        <f t="shared" si="348"/>
        <v>9.375</v>
      </c>
      <c r="BJ499" s="1109">
        <f t="shared" si="348"/>
        <v>37.5</v>
      </c>
    </row>
    <row r="500" spans="2:62" hidden="1" outlineLevel="1">
      <c r="B500" s="1094"/>
      <c r="C500" s="1071" t="str">
        <f t="shared" ref="C500:F500" si="349">C197</f>
        <v>VOIP Test &amp; backup Ballycasey</v>
      </c>
      <c r="D500" s="1071" t="str">
        <f t="shared" si="349"/>
        <v>VOIP Switch</v>
      </c>
      <c r="E500" s="1071" t="str">
        <f t="shared" si="349"/>
        <v>S005A</v>
      </c>
      <c r="F500" s="1125" t="str">
        <f t="shared" si="349"/>
        <v>2021-2024</v>
      </c>
      <c r="H500" s="1071" t="s">
        <v>29</v>
      </c>
      <c r="AZ500" s="1108"/>
      <c r="BA500" s="1109"/>
      <c r="BB500" s="1109"/>
      <c r="BC500" s="1109"/>
      <c r="BD500" s="1109"/>
      <c r="BE500" s="1109"/>
      <c r="BF500" s="1109">
        <f t="shared" ref="BF500:BJ500" si="350">IF($J197=0,0,(($BF197*M197)+($BG197*S197)+($BH197*Y197)+($BI197*AE197)+($BJ197*AK197))/$J197)</f>
        <v>0</v>
      </c>
      <c r="BG500" s="1109">
        <f t="shared" si="350"/>
        <v>0</v>
      </c>
      <c r="BH500" s="1109">
        <f t="shared" si="350"/>
        <v>0</v>
      </c>
      <c r="BI500" s="1109">
        <f t="shared" si="350"/>
        <v>16.696874999999999</v>
      </c>
      <c r="BJ500" s="1109">
        <f t="shared" si="350"/>
        <v>66.787499999999994</v>
      </c>
    </row>
    <row r="501" spans="2:62" hidden="1" outlineLevel="1">
      <c r="B501" s="1094"/>
      <c r="C501" s="1071" t="str">
        <f t="shared" ref="C501:F501" si="351">C198</f>
        <v>North Dublin Radar Building</v>
      </c>
      <c r="D501" s="1071" t="str">
        <f t="shared" si="351"/>
        <v>North Dublin Radar Building</v>
      </c>
      <c r="E501" s="1071" t="str">
        <f t="shared" si="351"/>
        <v>T006</v>
      </c>
      <c r="F501" s="1125" t="str">
        <f t="shared" si="351"/>
        <v>2021-2024</v>
      </c>
      <c r="H501" s="1071" t="s">
        <v>29</v>
      </c>
      <c r="AZ501" s="1108"/>
      <c r="BA501" s="1109"/>
      <c r="BB501" s="1109"/>
      <c r="BC501" s="1109"/>
      <c r="BD501" s="1109"/>
      <c r="BE501" s="1109"/>
      <c r="BF501" s="1109">
        <f t="shared" ref="BF501:BJ501" si="352">IF($J198=0,0,(($BF198*M198)+($BG198*S198)+($BH198*Y198)+($BI198*AE198)+($BJ198*AK198))/$J198)</f>
        <v>0</v>
      </c>
      <c r="BG501" s="1109">
        <f t="shared" si="352"/>
        <v>0</v>
      </c>
      <c r="BH501" s="1109">
        <f t="shared" si="352"/>
        <v>217.5</v>
      </c>
      <c r="BI501" s="1109">
        <f t="shared" si="352"/>
        <v>290</v>
      </c>
      <c r="BJ501" s="1109">
        <f t="shared" si="352"/>
        <v>290</v>
      </c>
    </row>
    <row r="502" spans="2:62" hidden="1" outlineLevel="1">
      <c r="B502" s="1094"/>
      <c r="C502" s="1071" t="str">
        <f t="shared" ref="C502:F502" si="353">C199</f>
        <v>Structural Upgrades Dublin ACC</v>
      </c>
      <c r="D502" s="1071" t="str">
        <f t="shared" si="353"/>
        <v>Structural Upgrades</v>
      </c>
      <c r="E502" s="1071" t="str">
        <f t="shared" si="353"/>
        <v>RP3-PROP-4</v>
      </c>
      <c r="F502" s="1125" t="str">
        <f t="shared" si="353"/>
        <v>2021-2024</v>
      </c>
      <c r="H502" s="1071" t="s">
        <v>29</v>
      </c>
      <c r="AZ502" s="1108"/>
      <c r="BA502" s="1109"/>
      <c r="BB502" s="1109"/>
      <c r="BC502" s="1109"/>
      <c r="BD502" s="1109"/>
      <c r="BE502" s="1109"/>
      <c r="BF502" s="1109">
        <f t="shared" ref="BF502:BJ502" si="354">IF($J199=0,0,(($BF199*M199)+($BG199*S199)+($BH199*Y199)+($BI199*AE199)+($BJ199*AK199))/$J199)</f>
        <v>0</v>
      </c>
      <c r="BG502" s="1109">
        <f t="shared" si="354"/>
        <v>0</v>
      </c>
      <c r="BH502" s="1109">
        <f t="shared" si="354"/>
        <v>0</v>
      </c>
      <c r="BI502" s="1109">
        <f t="shared" si="354"/>
        <v>0</v>
      </c>
      <c r="BJ502" s="1109">
        <f t="shared" si="354"/>
        <v>96.875</v>
      </c>
    </row>
    <row r="503" spans="2:62" hidden="1" outlineLevel="1">
      <c r="B503" s="1094"/>
      <c r="C503" s="1071" t="str">
        <f t="shared" ref="C503:F503" si="355">C200</f>
        <v>Structural Upgrades Ballycasey ACC</v>
      </c>
      <c r="D503" s="1071" t="str">
        <f t="shared" si="355"/>
        <v>Structural Upgrades</v>
      </c>
      <c r="E503" s="1071" t="str">
        <f t="shared" si="355"/>
        <v>RP3-PROP-4</v>
      </c>
      <c r="F503" s="1125" t="str">
        <f t="shared" si="355"/>
        <v>2021-2024</v>
      </c>
      <c r="H503" s="1071" t="s">
        <v>29</v>
      </c>
      <c r="AZ503" s="1108"/>
      <c r="BA503" s="1109"/>
      <c r="BB503" s="1109"/>
      <c r="BC503" s="1109"/>
      <c r="BD503" s="1109"/>
      <c r="BE503" s="1109"/>
      <c r="BF503" s="1109">
        <f t="shared" ref="BF503:BJ503" si="356">IF($J200=0,0,(($BF200*M200)+($BG200*S200)+($BH200*Y200)+($BI200*AE200)+($BJ200*AK200))/$J200)</f>
        <v>0</v>
      </c>
      <c r="BG503" s="1109">
        <f t="shared" si="356"/>
        <v>0</v>
      </c>
      <c r="BH503" s="1109">
        <f t="shared" si="356"/>
        <v>11.625</v>
      </c>
      <c r="BI503" s="1109">
        <f t="shared" si="356"/>
        <v>46.5</v>
      </c>
      <c r="BJ503" s="1109">
        <f t="shared" si="356"/>
        <v>46.5</v>
      </c>
    </row>
    <row r="504" spans="2:62" hidden="1" outlineLevel="1">
      <c r="B504" s="1094"/>
      <c r="C504" s="1071" t="str">
        <f t="shared" ref="C504:F504" si="357">C201</f>
        <v>Structural Upgrades Shannon Air Traffic Control Tower</v>
      </c>
      <c r="D504" s="1071" t="str">
        <f t="shared" si="357"/>
        <v>Structural Upgrades</v>
      </c>
      <c r="E504" s="1071" t="str">
        <f t="shared" si="357"/>
        <v>RP3-PROP-4</v>
      </c>
      <c r="F504" s="1125" t="str">
        <f t="shared" si="357"/>
        <v>2021-2024</v>
      </c>
      <c r="H504" s="1071" t="s">
        <v>29</v>
      </c>
      <c r="AZ504" s="1108"/>
      <c r="BA504" s="1109"/>
      <c r="BB504" s="1109"/>
      <c r="BC504" s="1109"/>
      <c r="BD504" s="1109"/>
      <c r="BE504" s="1109"/>
      <c r="BF504" s="1109">
        <f t="shared" ref="BF504:BJ504" si="358">IF($J201=0,0,(($BF201*M201)+($BG201*S201)+($BH201*Y201)+($BI201*AE201)+($BJ201*AK201))/$J201)</f>
        <v>0</v>
      </c>
      <c r="BG504" s="1109">
        <f t="shared" si="358"/>
        <v>0</v>
      </c>
      <c r="BH504" s="1109">
        <f t="shared" si="358"/>
        <v>0</v>
      </c>
      <c r="BI504" s="1109">
        <f t="shared" si="358"/>
        <v>77.5</v>
      </c>
      <c r="BJ504" s="1109">
        <f t="shared" si="358"/>
        <v>77.5</v>
      </c>
    </row>
    <row r="505" spans="2:62" hidden="1" outlineLevel="1">
      <c r="B505" s="1094"/>
      <c r="C505" s="1071" t="str">
        <f t="shared" ref="C505:F505" si="359">C202</f>
        <v>Restrucuring IT Costs ANSP</v>
      </c>
      <c r="D505" s="1071" t="str">
        <f t="shared" si="359"/>
        <v>Restrucuring IT Costs ANSP</v>
      </c>
      <c r="E505" s="1071" t="str">
        <f t="shared" si="359"/>
        <v>U022</v>
      </c>
      <c r="F505" s="1125" t="str">
        <f t="shared" si="359"/>
        <v>2021-2024</v>
      </c>
      <c r="H505" s="1071" t="s">
        <v>29</v>
      </c>
      <c r="AZ505" s="1108"/>
      <c r="BA505" s="1109"/>
      <c r="BB505" s="1109"/>
      <c r="BC505" s="1109"/>
      <c r="BD505" s="1109"/>
      <c r="BE505" s="1109"/>
      <c r="BF505" s="1109">
        <f t="shared" ref="BF505:BJ505" si="360">IF($J202=0,0,(($BF202*M202)+($BG202*S202)+($BH202*Y202)+($BI202*AE202)+($BJ202*AK202))/$J202)</f>
        <v>0</v>
      </c>
      <c r="BG505" s="1109">
        <f t="shared" si="360"/>
        <v>0</v>
      </c>
      <c r="BH505" s="1109">
        <f t="shared" si="360"/>
        <v>616</v>
      </c>
      <c r="BI505" s="1109">
        <f t="shared" si="360"/>
        <v>616</v>
      </c>
      <c r="BJ505" s="1109">
        <f t="shared" si="360"/>
        <v>616</v>
      </c>
    </row>
    <row r="506" spans="2:62" hidden="1" outlineLevel="1">
      <c r="B506" s="1094"/>
      <c r="C506" s="1071" t="str">
        <f t="shared" ref="C506:F506" si="361">C203</f>
        <v>Conditional Surveys</v>
      </c>
      <c r="D506" s="1071" t="str">
        <f t="shared" si="361"/>
        <v>Conditional Surveys</v>
      </c>
      <c r="E506" s="1071" t="str">
        <f t="shared" si="361"/>
        <v>RP3-PROP-1</v>
      </c>
      <c r="F506" s="1125" t="str">
        <f t="shared" si="361"/>
        <v>2021-2024</v>
      </c>
      <c r="H506" s="1071" t="s">
        <v>29</v>
      </c>
      <c r="AZ506" s="1108"/>
      <c r="BA506" s="1109"/>
      <c r="BB506" s="1109"/>
      <c r="BC506" s="1109"/>
      <c r="BD506" s="1109"/>
      <c r="BE506" s="1109"/>
      <c r="BF506" s="1109">
        <f t="shared" ref="BF506:BJ506" si="362">IF($J203=0,0,(($BF203*M203)+($BG203*S203)+($BH203*Y203)+($BI203*AE203)+($BJ203*AK203))/$J203)</f>
        <v>0</v>
      </c>
      <c r="BG506" s="1109">
        <f t="shared" si="362"/>
        <v>0</v>
      </c>
      <c r="BH506" s="1109">
        <f t="shared" si="362"/>
        <v>0</v>
      </c>
      <c r="BI506" s="1109">
        <f t="shared" si="362"/>
        <v>0</v>
      </c>
      <c r="BJ506" s="1109">
        <f t="shared" si="362"/>
        <v>0</v>
      </c>
    </row>
    <row r="507" spans="2:62" hidden="1" outlineLevel="1">
      <c r="B507" s="1094"/>
      <c r="C507" s="1071" t="str">
        <f t="shared" ref="C507:F507" si="363">C204</f>
        <v>Conditional Surveys Shannon En Route</v>
      </c>
      <c r="D507" s="1071" t="str">
        <f t="shared" si="363"/>
        <v>Conditional Surveys</v>
      </c>
      <c r="E507" s="1071" t="str">
        <f t="shared" si="363"/>
        <v>RP3-PROP-1</v>
      </c>
      <c r="F507" s="1125" t="str">
        <f t="shared" si="363"/>
        <v>2021-2024</v>
      </c>
      <c r="H507" s="1071" t="s">
        <v>29</v>
      </c>
      <c r="AZ507" s="1108"/>
      <c r="BA507" s="1109"/>
      <c r="BB507" s="1109"/>
      <c r="BC507" s="1109"/>
      <c r="BD507" s="1109"/>
      <c r="BE507" s="1109"/>
      <c r="BF507" s="1109">
        <f t="shared" ref="BF507:BJ507" si="364">IF($J204=0,0,(($BF204*M204)+($BG204*S204)+($BH204*Y204)+($BI204*AE204)+($BJ204*AK204))/$J204)</f>
        <v>0</v>
      </c>
      <c r="BG507" s="1109">
        <f t="shared" si="364"/>
        <v>21.182031250000005</v>
      </c>
      <c r="BH507" s="1109">
        <f t="shared" si="364"/>
        <v>129.61249999999998</v>
      </c>
      <c r="BI507" s="1109">
        <f t="shared" si="364"/>
        <v>193.67500000000004</v>
      </c>
      <c r="BJ507" s="1109">
        <f t="shared" si="364"/>
        <v>195.74531250000004</v>
      </c>
    </row>
    <row r="508" spans="2:62" hidden="1" outlineLevel="1">
      <c r="B508" s="1094"/>
      <c r="C508" s="1071" t="str">
        <f t="shared" ref="C508:F508" si="365">C205</f>
        <v>Conditional Surveys Shannon Joint</v>
      </c>
      <c r="D508" s="1071" t="str">
        <f t="shared" si="365"/>
        <v>Conditional Surveys</v>
      </c>
      <c r="E508" s="1071" t="str">
        <f t="shared" si="365"/>
        <v>RP3-PROP-1</v>
      </c>
      <c r="F508" s="1125" t="str">
        <f t="shared" si="365"/>
        <v>2021-2024</v>
      </c>
      <c r="H508" s="1071" t="s">
        <v>29</v>
      </c>
      <c r="AZ508" s="1108"/>
      <c r="BA508" s="1109"/>
      <c r="BB508" s="1109"/>
      <c r="BC508" s="1109"/>
      <c r="BD508" s="1109"/>
      <c r="BE508" s="1109"/>
      <c r="BF508" s="1109">
        <f t="shared" ref="BF508:BJ508" si="366">IF($J205=0,0,(($BF205*M205)+($BG205*S205)+($BH205*Y205)+($BI205*AE205)+($BJ205*AK205))/$J205)</f>
        <v>0</v>
      </c>
      <c r="BG508" s="1109">
        <f t="shared" si="366"/>
        <v>0</v>
      </c>
      <c r="BH508" s="1109">
        <f t="shared" si="366"/>
        <v>0</v>
      </c>
      <c r="BI508" s="1109">
        <f t="shared" si="366"/>
        <v>0.859375</v>
      </c>
      <c r="BJ508" s="1109">
        <f t="shared" si="366"/>
        <v>9.6875</v>
      </c>
    </row>
    <row r="509" spans="2:62" hidden="1" outlineLevel="1">
      <c r="B509" s="1094"/>
      <c r="C509" s="1071" t="str">
        <f t="shared" ref="C509:F509" si="367">C206</f>
        <v>Conditional Surveys Shannon Terminal</v>
      </c>
      <c r="D509" s="1071" t="str">
        <f t="shared" si="367"/>
        <v>Conditional Surveys</v>
      </c>
      <c r="E509" s="1071" t="str">
        <f t="shared" si="367"/>
        <v>RP3-PROP-1</v>
      </c>
      <c r="F509" s="1125" t="str">
        <f t="shared" si="367"/>
        <v>2021-2024</v>
      </c>
      <c r="H509" s="1071" t="s">
        <v>29</v>
      </c>
      <c r="AZ509" s="1108"/>
      <c r="BA509" s="1109"/>
      <c r="BB509" s="1109"/>
      <c r="BC509" s="1109"/>
      <c r="BD509" s="1109"/>
      <c r="BE509" s="1109"/>
      <c r="BF509" s="1109">
        <f t="shared" ref="BF509:BJ509" si="368">IF($J206=0,0,(($BF206*M206)+($BG206*S206)+($BH206*Y206)+($BI206*AE206)+($BJ206*AK206))/$J206)</f>
        <v>0</v>
      </c>
      <c r="BG509" s="1109">
        <f t="shared" si="368"/>
        <v>0</v>
      </c>
      <c r="BH509" s="1109">
        <f t="shared" si="368"/>
        <v>36.065625000000004</v>
      </c>
      <c r="BI509" s="1109">
        <f t="shared" si="368"/>
        <v>91.83750000000002</v>
      </c>
      <c r="BJ509" s="1109">
        <f t="shared" si="368"/>
        <v>91.83750000000002</v>
      </c>
    </row>
    <row r="510" spans="2:62" hidden="1" outlineLevel="1">
      <c r="B510" s="1094"/>
      <c r="C510" s="1071" t="str">
        <f t="shared" ref="C510:F510" si="369">C207</f>
        <v>Conditional Surveys Dublin Joint</v>
      </c>
      <c r="D510" s="1071" t="str">
        <f t="shared" si="369"/>
        <v>Conditional Surveys</v>
      </c>
      <c r="E510" s="1071" t="str">
        <f t="shared" si="369"/>
        <v>RP3-PROP-1</v>
      </c>
      <c r="F510" s="1125" t="str">
        <f t="shared" si="369"/>
        <v>2021-2024</v>
      </c>
      <c r="H510" s="1071" t="s">
        <v>29</v>
      </c>
      <c r="AZ510" s="1108"/>
      <c r="BA510" s="1109"/>
      <c r="BB510" s="1109"/>
      <c r="BC510" s="1109"/>
      <c r="BD510" s="1109"/>
      <c r="BE510" s="1109"/>
      <c r="BF510" s="1109">
        <f t="shared" ref="BF510:BJ510" si="370">IF($J207=0,0,(($BF207*M207)+($BG207*S207)+($BH207*Y207)+($BI207*AE207)+($BJ207*AK207))/$J207)</f>
        <v>0</v>
      </c>
      <c r="BG510" s="1109">
        <f t="shared" si="370"/>
        <v>0</v>
      </c>
      <c r="BH510" s="1109">
        <f t="shared" si="370"/>
        <v>4.84375</v>
      </c>
      <c r="BI510" s="1109">
        <f t="shared" si="370"/>
        <v>9.6875</v>
      </c>
      <c r="BJ510" s="1109">
        <f t="shared" si="370"/>
        <v>12.96875</v>
      </c>
    </row>
    <row r="511" spans="2:62" hidden="1" outlineLevel="1">
      <c r="B511" s="1094"/>
      <c r="C511" s="1071" t="str">
        <f t="shared" ref="C511:F511" si="371">C208</f>
        <v>Conditional Surveys Cork Terminal</v>
      </c>
      <c r="D511" s="1071" t="str">
        <f t="shared" si="371"/>
        <v>Conditional Surveys</v>
      </c>
      <c r="E511" s="1071" t="str">
        <f t="shared" si="371"/>
        <v>RP3-PROP-1</v>
      </c>
      <c r="F511" s="1125" t="str">
        <f t="shared" si="371"/>
        <v>2021-2024</v>
      </c>
      <c r="H511" s="1071" t="s">
        <v>29</v>
      </c>
      <c r="AZ511" s="1108"/>
      <c r="BA511" s="1109"/>
      <c r="BB511" s="1109"/>
      <c r="BC511" s="1109"/>
      <c r="BD511" s="1109"/>
      <c r="BE511" s="1109"/>
      <c r="BF511" s="1109">
        <f t="shared" ref="BF511:BJ511" si="372">IF($J208=0,0,(($BF208*M208)+($BG208*S208)+($BH208*Y208)+($BI208*AE208)+($BJ208*AK208))/$J208)</f>
        <v>0</v>
      </c>
      <c r="BG511" s="1109">
        <f t="shared" si="372"/>
        <v>0</v>
      </c>
      <c r="BH511" s="1109">
        <f t="shared" si="372"/>
        <v>0</v>
      </c>
      <c r="BI511" s="1109">
        <f t="shared" si="372"/>
        <v>5.44921875</v>
      </c>
      <c r="BJ511" s="1109">
        <f t="shared" si="372"/>
        <v>14.53125</v>
      </c>
    </row>
    <row r="512" spans="2:62" hidden="1" outlineLevel="1">
      <c r="B512" s="1094"/>
      <c r="C512" s="1071" t="str">
        <f t="shared" ref="C512:F512" si="373">C209</f>
        <v>Replacement Dublin 2 RADAR Existing</v>
      </c>
      <c r="D512" s="1071" t="str">
        <f t="shared" si="373"/>
        <v>Replacement Dublin 2 RADAR</v>
      </c>
      <c r="E512" s="1071" t="str">
        <f t="shared" si="373"/>
        <v>Q012</v>
      </c>
      <c r="F512" s="1125" t="str">
        <f t="shared" si="373"/>
        <v>2021-2024</v>
      </c>
      <c r="H512" s="1071" t="s">
        <v>29</v>
      </c>
      <c r="AZ512" s="1108"/>
      <c r="BA512" s="1109"/>
      <c r="BB512" s="1109"/>
      <c r="BC512" s="1109"/>
      <c r="BD512" s="1109"/>
      <c r="BE512" s="1109"/>
      <c r="BF512" s="1109">
        <f t="shared" ref="BF512:BJ512" si="374">IF($J209=0,0,(($BF209*M209)+($BG209*S209)+($BH209*Y209)+($BI209*AE209)+($BJ209*AK209))/$J209)</f>
        <v>0</v>
      </c>
      <c r="BG512" s="1109">
        <f t="shared" si="374"/>
        <v>0</v>
      </c>
      <c r="BH512" s="1109">
        <f t="shared" si="374"/>
        <v>0</v>
      </c>
      <c r="BI512" s="1109">
        <f t="shared" si="374"/>
        <v>0</v>
      </c>
      <c r="BJ512" s="1109">
        <f t="shared" si="374"/>
        <v>0</v>
      </c>
    </row>
    <row r="513" spans="2:62" hidden="1" outlineLevel="1">
      <c r="B513" s="1094"/>
      <c r="C513" s="1071" t="str">
        <f t="shared" ref="C513:F513" si="375">C210</f>
        <v>Replacement Dublin 2 RADAR New (Phase 2)</v>
      </c>
      <c r="D513" s="1071" t="str">
        <f t="shared" si="375"/>
        <v>Replacement Dublin 2 RADAR</v>
      </c>
      <c r="E513" s="1071" t="str">
        <f t="shared" si="375"/>
        <v>Q012A</v>
      </c>
      <c r="F513" s="1125" t="str">
        <f t="shared" si="375"/>
        <v>2021-2024</v>
      </c>
      <c r="H513" s="1071" t="s">
        <v>29</v>
      </c>
      <c r="AZ513" s="1108"/>
      <c r="BA513" s="1109"/>
      <c r="BB513" s="1109"/>
      <c r="BC513" s="1109"/>
      <c r="BD513" s="1109"/>
      <c r="BE513" s="1109"/>
      <c r="BF513" s="1109">
        <f t="shared" ref="BF513:BJ513" si="376">IF($J210=0,0,(($BF210*M210)+($BG210*S210)+($BH210*Y210)+($BI210*AE210)+($BJ210*AK210))/$J210)</f>
        <v>0</v>
      </c>
      <c r="BG513" s="1109">
        <f t="shared" si="376"/>
        <v>0</v>
      </c>
      <c r="BH513" s="1109">
        <f t="shared" si="376"/>
        <v>77.307343750000001</v>
      </c>
      <c r="BI513" s="1109">
        <f t="shared" si="376"/>
        <v>309.229375</v>
      </c>
      <c r="BJ513" s="1109">
        <f t="shared" si="376"/>
        <v>309.229375</v>
      </c>
    </row>
    <row r="514" spans="2:62" hidden="1" outlineLevel="1">
      <c r="B514" s="1094"/>
      <c r="C514" s="1071" t="str">
        <f t="shared" ref="C514:F514" si="377">C211</f>
        <v>Cork ATC Building Upgrade</v>
      </c>
      <c r="D514" s="1071" t="str">
        <f t="shared" si="377"/>
        <v>Cork ATC Building Upgrade</v>
      </c>
      <c r="E514" s="1071" t="str">
        <f t="shared" si="377"/>
        <v>U016</v>
      </c>
      <c r="F514" s="1125" t="str">
        <f t="shared" si="377"/>
        <v>2021-2024</v>
      </c>
      <c r="H514" s="1071" t="s">
        <v>29</v>
      </c>
      <c r="AZ514" s="1108"/>
      <c r="BA514" s="1109"/>
      <c r="BB514" s="1109"/>
      <c r="BC514" s="1109"/>
      <c r="BD514" s="1109"/>
      <c r="BE514" s="1109"/>
      <c r="BF514" s="1109">
        <f t="shared" ref="BF514:BJ514" si="378">IF($J211=0,0,(($BF211*M211)+($BG211*S211)+($BH211*Y211)+($BI211*AE211)+($BJ211*AK211))/$J211)</f>
        <v>0</v>
      </c>
      <c r="BG514" s="1109">
        <f t="shared" si="378"/>
        <v>0</v>
      </c>
      <c r="BH514" s="1109">
        <f t="shared" si="378"/>
        <v>0</v>
      </c>
      <c r="BI514" s="1109">
        <f t="shared" si="378"/>
        <v>0</v>
      </c>
      <c r="BJ514" s="1109">
        <f t="shared" si="378"/>
        <v>87.1875</v>
      </c>
    </row>
    <row r="515" spans="2:62" hidden="1" outlineLevel="1">
      <c r="B515" s="1094"/>
      <c r="C515" s="1071" t="str">
        <f t="shared" ref="C515:F515" si="379">C212</f>
        <v>Energy Management Upgrades</v>
      </c>
      <c r="D515" s="1071" t="str">
        <f t="shared" si="379"/>
        <v>Energy Management Upgrades</v>
      </c>
      <c r="E515" s="1071" t="str">
        <f t="shared" si="379"/>
        <v>T007</v>
      </c>
      <c r="F515" s="1125" t="str">
        <f t="shared" si="379"/>
        <v>2021-2024</v>
      </c>
      <c r="H515" s="1071" t="s">
        <v>29</v>
      </c>
      <c r="AZ515" s="1108"/>
      <c r="BA515" s="1109"/>
      <c r="BB515" s="1109"/>
      <c r="BC515" s="1109"/>
      <c r="BD515" s="1109"/>
      <c r="BE515" s="1109"/>
      <c r="BF515" s="1109">
        <f t="shared" ref="BF515:BJ515" si="380">IF($J212=0,0,(($BF212*M212)+($BG212*S212)+($BH212*Y212)+($BI212*AE212)+($BJ212*AK212))/$J212)</f>
        <v>0</v>
      </c>
      <c r="BG515" s="1109">
        <f t="shared" si="380"/>
        <v>0</v>
      </c>
      <c r="BH515" s="1109">
        <f t="shared" si="380"/>
        <v>0</v>
      </c>
      <c r="BI515" s="1109">
        <f t="shared" si="380"/>
        <v>0</v>
      </c>
      <c r="BJ515" s="1109">
        <f t="shared" si="380"/>
        <v>0</v>
      </c>
    </row>
    <row r="516" spans="2:62" hidden="1" outlineLevel="1">
      <c r="B516" s="1094"/>
      <c r="C516" s="1071" t="str">
        <f t="shared" ref="C516:F516" si="381">C213</f>
        <v>Energy Management Upgrades Dublin</v>
      </c>
      <c r="D516" s="1071" t="str">
        <f t="shared" si="381"/>
        <v>Energy Management Upgrades</v>
      </c>
      <c r="E516" s="1071" t="str">
        <f t="shared" si="381"/>
        <v>T007A</v>
      </c>
      <c r="F516" s="1125" t="str">
        <f t="shared" si="381"/>
        <v>2021-2024</v>
      </c>
      <c r="H516" s="1071" t="s">
        <v>29</v>
      </c>
      <c r="AZ516" s="1108"/>
      <c r="BA516" s="1109"/>
      <c r="BB516" s="1109"/>
      <c r="BC516" s="1109"/>
      <c r="BD516" s="1109"/>
      <c r="BE516" s="1109"/>
      <c r="BF516" s="1109">
        <f t="shared" ref="BF516:BJ516" si="382">IF($J213=0,0,(($BF213*M213)+($BG213*S213)+($BH213*Y213)+($BI213*AE213)+($BJ213*AK213))/$J213)</f>
        <v>0</v>
      </c>
      <c r="BG516" s="1109">
        <f t="shared" si="382"/>
        <v>89.931333333333342</v>
      </c>
      <c r="BH516" s="1109">
        <f t="shared" si="382"/>
        <v>246.01266666666677</v>
      </c>
      <c r="BI516" s="1109">
        <f t="shared" si="382"/>
        <v>251.69600000000011</v>
      </c>
      <c r="BJ516" s="1109">
        <f t="shared" si="382"/>
        <v>251.69600000000011</v>
      </c>
    </row>
    <row r="517" spans="2:62" hidden="1" outlineLevel="1">
      <c r="B517" s="1094"/>
      <c r="C517" s="1071" t="str">
        <f t="shared" ref="C517:F517" si="383">C214</f>
        <v>Energy Management Upgrades Shannon</v>
      </c>
      <c r="D517" s="1071" t="str">
        <f t="shared" si="383"/>
        <v>Energy Management Upgrades</v>
      </c>
      <c r="E517" s="1071" t="str">
        <f t="shared" si="383"/>
        <v>T007A</v>
      </c>
      <c r="F517" s="1125" t="str">
        <f t="shared" si="383"/>
        <v>2021-2024</v>
      </c>
      <c r="H517" s="1071" t="s">
        <v>29</v>
      </c>
      <c r="AZ517" s="1108"/>
      <c r="BA517" s="1109"/>
      <c r="BB517" s="1109"/>
      <c r="BC517" s="1109"/>
      <c r="BD517" s="1109"/>
      <c r="BE517" s="1109"/>
      <c r="BF517" s="1109">
        <f t="shared" ref="BF517:BJ517" si="384">IF($J214=0,0,(($BF214*M214)+($BG214*S214)+($BH214*Y214)+($BI214*AE214)+($BJ214*AK214))/$J214)</f>
        <v>0</v>
      </c>
      <c r="BG517" s="1109">
        <f t="shared" si="384"/>
        <v>57.2</v>
      </c>
      <c r="BH517" s="1109">
        <f t="shared" si="384"/>
        <v>124.4</v>
      </c>
      <c r="BI517" s="1109">
        <f t="shared" si="384"/>
        <v>124.4</v>
      </c>
      <c r="BJ517" s="1109">
        <f t="shared" si="384"/>
        <v>124.4</v>
      </c>
    </row>
    <row r="518" spans="2:62" hidden="1" outlineLevel="1">
      <c r="B518" s="1094"/>
      <c r="C518" s="1071" t="str">
        <f t="shared" ref="C518:F518" si="385">C215</f>
        <v>Energy Management Upgrades Cork</v>
      </c>
      <c r="D518" s="1071" t="str">
        <f t="shared" si="385"/>
        <v>Energy Management Upgrades</v>
      </c>
      <c r="E518" s="1071" t="str">
        <f t="shared" si="385"/>
        <v>T007A</v>
      </c>
      <c r="F518" s="1125" t="str">
        <f t="shared" si="385"/>
        <v>2021-2024</v>
      </c>
      <c r="H518" s="1071" t="s">
        <v>29</v>
      </c>
      <c r="AZ518" s="1108"/>
      <c r="BA518" s="1109"/>
      <c r="BB518" s="1109"/>
      <c r="BC518" s="1109"/>
      <c r="BD518" s="1109"/>
      <c r="BE518" s="1109"/>
      <c r="BF518" s="1109">
        <f t="shared" ref="BF518:BJ518" si="386">IF($J215=0,0,(($BF215*M215)+($BG215*S215)+($BH215*Y215)+($BI215*AE215)+($BJ215*AK215))/$J215)</f>
        <v>0</v>
      </c>
      <c r="BG518" s="1109">
        <f t="shared" si="386"/>
        <v>3.45</v>
      </c>
      <c r="BH518" s="1109">
        <f t="shared" si="386"/>
        <v>18</v>
      </c>
      <c r="BI518" s="1109">
        <f t="shared" si="386"/>
        <v>18</v>
      </c>
      <c r="BJ518" s="1109">
        <f t="shared" si="386"/>
        <v>18</v>
      </c>
    </row>
    <row r="519" spans="2:62" hidden="1" outlineLevel="1">
      <c r="B519" s="1094"/>
      <c r="C519" s="1071" t="str">
        <f t="shared" ref="C519:F519" si="387">C216</f>
        <v>National Security System Network</v>
      </c>
      <c r="D519" s="1071" t="str">
        <f t="shared" si="387"/>
        <v>National Security System Network</v>
      </c>
      <c r="E519" s="1071" t="str">
        <f t="shared" si="387"/>
        <v>U013</v>
      </c>
      <c r="F519" s="1125" t="str">
        <f t="shared" si="387"/>
        <v>2021-2024</v>
      </c>
      <c r="H519" s="1071" t="s">
        <v>29</v>
      </c>
      <c r="AZ519" s="1108"/>
      <c r="BA519" s="1109"/>
      <c r="BB519" s="1109"/>
      <c r="BC519" s="1109"/>
      <c r="BD519" s="1109"/>
      <c r="BE519" s="1109"/>
      <c r="BF519" s="1109">
        <f t="shared" ref="BF519:BJ519" si="388">IF($J216=0,0,(($BF216*M216)+($BG216*S216)+($BH216*Y216)+($BI216*AE216)+($BJ216*AK216))/$J216)</f>
        <v>0</v>
      </c>
      <c r="BG519" s="1109">
        <f t="shared" si="388"/>
        <v>0</v>
      </c>
      <c r="BH519" s="1109">
        <f t="shared" si="388"/>
        <v>45.41015625</v>
      </c>
      <c r="BI519" s="1109">
        <f t="shared" si="388"/>
        <v>166.50390625</v>
      </c>
      <c r="BJ519" s="1109">
        <f t="shared" si="388"/>
        <v>242.1875</v>
      </c>
    </row>
    <row r="520" spans="2:62" hidden="1" outlineLevel="1">
      <c r="B520" s="1094"/>
      <c r="C520" s="1071" t="str">
        <f t="shared" ref="C520:F520" si="389">C217</f>
        <v>Replacement Airfield Cabling</v>
      </c>
      <c r="D520" s="1071" t="str">
        <f t="shared" si="389"/>
        <v>Replacement Airfield Cabling</v>
      </c>
      <c r="E520" s="1071" t="str">
        <f t="shared" si="389"/>
        <v>R006</v>
      </c>
      <c r="F520" s="1125" t="str">
        <f t="shared" si="389"/>
        <v>2021-2024</v>
      </c>
      <c r="H520" s="1071" t="s">
        <v>29</v>
      </c>
      <c r="AZ520" s="1108"/>
      <c r="BA520" s="1109"/>
      <c r="BB520" s="1109"/>
      <c r="BC520" s="1109"/>
      <c r="BD520" s="1109"/>
      <c r="BE520" s="1109"/>
      <c r="BF520" s="1109">
        <f t="shared" ref="BF520:BJ520" si="390">IF($J217=0,0,(($BF217*M217)+($BG217*S217)+($BH217*Y217)+($BI217*AE217)+($BJ217*AK217))/$J217)</f>
        <v>0</v>
      </c>
      <c r="BG520" s="1109">
        <f t="shared" si="390"/>
        <v>0</v>
      </c>
      <c r="BH520" s="1109">
        <f t="shared" si="390"/>
        <v>0</v>
      </c>
      <c r="BI520" s="1109">
        <f t="shared" si="390"/>
        <v>0</v>
      </c>
      <c r="BJ520" s="1109">
        <f t="shared" si="390"/>
        <v>0</v>
      </c>
    </row>
    <row r="521" spans="2:62" hidden="1" outlineLevel="1">
      <c r="B521" s="1094"/>
      <c r="C521" s="1071" t="str">
        <f t="shared" ref="C521:F521" si="391">C218</f>
        <v>Replacement Airfield Cabling Dublin</v>
      </c>
      <c r="D521" s="1071" t="str">
        <f t="shared" si="391"/>
        <v>Replacement Airfield Cabling</v>
      </c>
      <c r="E521" s="1071" t="str">
        <f t="shared" si="391"/>
        <v>R006A</v>
      </c>
      <c r="F521" s="1125" t="str">
        <f t="shared" si="391"/>
        <v>2021-2024</v>
      </c>
      <c r="H521" s="1071" t="s">
        <v>29</v>
      </c>
      <c r="AZ521" s="1108"/>
      <c r="BA521" s="1109"/>
      <c r="BB521" s="1109"/>
      <c r="BC521" s="1109"/>
      <c r="BD521" s="1109"/>
      <c r="BE521" s="1109"/>
      <c r="BF521" s="1109">
        <f t="shared" ref="BF521:BJ521" si="392">IF($J218=0,0,(($BF218*M218)+($BG218*S218)+($BH218*Y218)+($BI218*AE218)+($BJ218*AK218))/$J218)</f>
        <v>0</v>
      </c>
      <c r="BG521" s="1109">
        <f t="shared" si="392"/>
        <v>0</v>
      </c>
      <c r="BH521" s="1109">
        <f t="shared" si="392"/>
        <v>0</v>
      </c>
      <c r="BI521" s="1109">
        <f t="shared" si="392"/>
        <v>15.9375</v>
      </c>
      <c r="BJ521" s="1109">
        <f t="shared" si="392"/>
        <v>63.75</v>
      </c>
    </row>
    <row r="522" spans="2:62" hidden="1" outlineLevel="1">
      <c r="B522" s="1094"/>
      <c r="C522" s="1071" t="str">
        <f t="shared" ref="C522:F522" si="393">C219</f>
        <v>Replacement Airfield Cabling Shannon</v>
      </c>
      <c r="D522" s="1071" t="str">
        <f t="shared" si="393"/>
        <v>Replacement Airfield Cabling</v>
      </c>
      <c r="E522" s="1071" t="str">
        <f t="shared" si="393"/>
        <v>R006A</v>
      </c>
      <c r="F522" s="1125" t="str">
        <f t="shared" si="393"/>
        <v>2021-2024</v>
      </c>
      <c r="H522" s="1071" t="s">
        <v>29</v>
      </c>
      <c r="AZ522" s="1108"/>
      <c r="BA522" s="1109"/>
      <c r="BB522" s="1109"/>
      <c r="BC522" s="1109"/>
      <c r="BD522" s="1109"/>
      <c r="BE522" s="1109"/>
      <c r="BF522" s="1109">
        <f t="shared" ref="BF522:BJ522" si="394">IF($J219=0,0,(($BF219*M219)+($BG219*S219)+($BH219*Y219)+($BI219*AE219)+($BJ219*AK219))/$J219)</f>
        <v>0</v>
      </c>
      <c r="BG522" s="1109">
        <f t="shared" si="394"/>
        <v>0</v>
      </c>
      <c r="BH522" s="1109">
        <f t="shared" si="394"/>
        <v>86.571475000000007</v>
      </c>
      <c r="BI522" s="1109">
        <f t="shared" si="394"/>
        <v>114.69647500000001</v>
      </c>
      <c r="BJ522" s="1109">
        <f t="shared" si="394"/>
        <v>114.69647500000001</v>
      </c>
    </row>
    <row r="523" spans="2:62" hidden="1" outlineLevel="1">
      <c r="B523" s="1094"/>
      <c r="C523" s="1071" t="str">
        <f t="shared" ref="C523:F523" si="395">C220</f>
        <v>Replacement Airfield Cabling Cork</v>
      </c>
      <c r="D523" s="1071" t="str">
        <f t="shared" si="395"/>
        <v>Replacement Airfield Cabling</v>
      </c>
      <c r="E523" s="1071" t="str">
        <f t="shared" si="395"/>
        <v>R006A</v>
      </c>
      <c r="F523" s="1125" t="str">
        <f t="shared" si="395"/>
        <v>2021-2024</v>
      </c>
      <c r="H523" s="1071" t="s">
        <v>29</v>
      </c>
      <c r="AZ523" s="1108"/>
      <c r="BA523" s="1109"/>
      <c r="BB523" s="1109"/>
      <c r="BC523" s="1109"/>
      <c r="BD523" s="1109"/>
      <c r="BE523" s="1109"/>
      <c r="BF523" s="1109">
        <f t="shared" ref="BF523:BJ523" si="396">IF($J220=0,0,(($BF220*M220)+($BG220*S220)+($BH220*Y220)+($BI220*AE220)+($BJ220*AK220))/$J220)</f>
        <v>0</v>
      </c>
      <c r="BG523" s="1109">
        <f t="shared" si="396"/>
        <v>0</v>
      </c>
      <c r="BH523" s="1109">
        <f t="shared" si="396"/>
        <v>15.625</v>
      </c>
      <c r="BI523" s="1109">
        <f t="shared" si="396"/>
        <v>62.5</v>
      </c>
      <c r="BJ523" s="1109">
        <f t="shared" si="396"/>
        <v>62.5</v>
      </c>
    </row>
    <row r="524" spans="2:62" hidden="1" outlineLevel="1">
      <c r="B524" s="1094"/>
      <c r="C524" s="1071" t="str">
        <f t="shared" ref="C524:F524" si="397">C221</f>
        <v>VHF Replacement Programme</v>
      </c>
      <c r="D524" s="1071" t="str">
        <f t="shared" si="397"/>
        <v>VHF Replacement Programme</v>
      </c>
      <c r="E524" s="1071" t="str">
        <f t="shared" si="397"/>
        <v>Q006</v>
      </c>
      <c r="F524" s="1125" t="str">
        <f t="shared" si="397"/>
        <v>2021-2024</v>
      </c>
      <c r="H524" s="1071" t="s">
        <v>29</v>
      </c>
      <c r="AZ524" s="1108"/>
      <c r="BA524" s="1109"/>
      <c r="BB524" s="1109"/>
      <c r="BC524" s="1109"/>
      <c r="BD524" s="1109"/>
      <c r="BE524" s="1109"/>
      <c r="BF524" s="1109">
        <f t="shared" ref="BF524:BJ524" si="398">IF($J221=0,0,(($BF221*M221)+($BG221*S221)+($BH221*Y221)+($BI221*AE221)+($BJ221*AK221))/$J221)</f>
        <v>0</v>
      </c>
      <c r="BG524" s="1109">
        <f t="shared" si="398"/>
        <v>0</v>
      </c>
      <c r="BH524" s="1109">
        <f t="shared" si="398"/>
        <v>0</v>
      </c>
      <c r="BI524" s="1109">
        <f t="shared" si="398"/>
        <v>0</v>
      </c>
      <c r="BJ524" s="1109">
        <f t="shared" si="398"/>
        <v>0</v>
      </c>
    </row>
    <row r="525" spans="2:62" hidden="1" outlineLevel="1">
      <c r="B525" s="1094"/>
      <c r="C525" s="1071" t="str">
        <f t="shared" ref="C525:F525" si="399">C222</f>
        <v>VHF Replacement Dublin</v>
      </c>
      <c r="D525" s="1071" t="str">
        <f t="shared" si="399"/>
        <v>VHF Replacement Programme</v>
      </c>
      <c r="E525" s="1071" t="str">
        <f t="shared" si="399"/>
        <v>Q006A</v>
      </c>
      <c r="F525" s="1125" t="str">
        <f t="shared" si="399"/>
        <v>2021-2024</v>
      </c>
      <c r="H525" s="1071" t="s">
        <v>29</v>
      </c>
      <c r="AZ525" s="1108"/>
      <c r="BA525" s="1109"/>
      <c r="BB525" s="1109"/>
      <c r="BC525" s="1109"/>
      <c r="BD525" s="1109"/>
      <c r="BE525" s="1109"/>
      <c r="BF525" s="1109">
        <f t="shared" ref="BF525:BJ525" si="400">IF($J222=0,0,(($BF222*M222)+($BG222*S222)+($BH222*Y222)+($BI222*AE222)+($BJ222*AK222))/$J222)</f>
        <v>0</v>
      </c>
      <c r="BG525" s="1109">
        <f t="shared" si="400"/>
        <v>13.03580125</v>
      </c>
      <c r="BH525" s="1109">
        <f t="shared" si="400"/>
        <v>26.071602500000001</v>
      </c>
      <c r="BI525" s="1109">
        <f t="shared" si="400"/>
        <v>26.071602500000001</v>
      </c>
      <c r="BJ525" s="1109">
        <f t="shared" si="400"/>
        <v>26.071602500000001</v>
      </c>
    </row>
    <row r="526" spans="2:62" hidden="1" outlineLevel="1">
      <c r="B526" s="1094"/>
      <c r="C526" s="1071" t="str">
        <f t="shared" ref="C526:F526" si="401">C223</f>
        <v>VHF Replacement Shannon</v>
      </c>
      <c r="D526" s="1071" t="str">
        <f t="shared" si="401"/>
        <v>VHF Replacement Programme</v>
      </c>
      <c r="E526" s="1071" t="str">
        <f t="shared" si="401"/>
        <v>Q006A</v>
      </c>
      <c r="F526" s="1125" t="str">
        <f t="shared" si="401"/>
        <v>2021-2024</v>
      </c>
      <c r="H526" s="1071" t="s">
        <v>29</v>
      </c>
      <c r="AZ526" s="1108"/>
      <c r="BA526" s="1109"/>
      <c r="BB526" s="1109"/>
      <c r="BC526" s="1109"/>
      <c r="BD526" s="1109"/>
      <c r="BE526" s="1109"/>
      <c r="BF526" s="1109">
        <f t="shared" ref="BF526:BJ526" si="402">IF($J223=0,0,(($BF223*M223)+($BG223*S223)+($BH223*Y223)+($BI223*AE223)+($BJ223*AK223))/$J223)</f>
        <v>0</v>
      </c>
      <c r="BG526" s="1109">
        <f t="shared" si="402"/>
        <v>0</v>
      </c>
      <c r="BH526" s="1109">
        <f t="shared" si="402"/>
        <v>0</v>
      </c>
      <c r="BI526" s="1109">
        <f t="shared" si="402"/>
        <v>33.125</v>
      </c>
      <c r="BJ526" s="1109">
        <f t="shared" si="402"/>
        <v>66.25</v>
      </c>
    </row>
    <row r="527" spans="2:62" hidden="1" outlineLevel="1">
      <c r="B527" s="1094"/>
      <c r="C527" s="1071" t="str">
        <f t="shared" ref="C527:F527" si="403">C224</f>
        <v>VHF Replacement Cork</v>
      </c>
      <c r="D527" s="1071" t="str">
        <f t="shared" si="403"/>
        <v>VHF Replacement Programme</v>
      </c>
      <c r="E527" s="1071" t="str">
        <f t="shared" si="403"/>
        <v>Q006A</v>
      </c>
      <c r="F527" s="1125" t="str">
        <f t="shared" si="403"/>
        <v>2021-2024</v>
      </c>
      <c r="H527" s="1071" t="s">
        <v>29</v>
      </c>
      <c r="AZ527" s="1108"/>
      <c r="BA527" s="1109"/>
      <c r="BB527" s="1109"/>
      <c r="BC527" s="1109"/>
      <c r="BD527" s="1109"/>
      <c r="BE527" s="1109"/>
      <c r="BF527" s="1109">
        <f t="shared" ref="BF527:BJ527" si="404">IF($J224=0,0,(($BF224*M224)+($BG224*S224)+($BH224*Y224)+($BI224*AE224)+($BJ224*AK224))/$J224)</f>
        <v>0</v>
      </c>
      <c r="BG527" s="1109">
        <f t="shared" si="404"/>
        <v>0</v>
      </c>
      <c r="BH527" s="1109">
        <f t="shared" si="404"/>
        <v>37.5</v>
      </c>
      <c r="BI527" s="1109">
        <f t="shared" si="404"/>
        <v>37.5</v>
      </c>
      <c r="BJ527" s="1109">
        <f t="shared" si="404"/>
        <v>37.5</v>
      </c>
    </row>
    <row r="528" spans="2:62" hidden="1" outlineLevel="1">
      <c r="B528" s="1094"/>
      <c r="C528" s="1071" t="str">
        <f t="shared" ref="C528:F528" si="405">C225</f>
        <v>VHF Replacement Remote Sites</v>
      </c>
      <c r="D528" s="1071" t="str">
        <f t="shared" si="405"/>
        <v>VHF Replacement Programme</v>
      </c>
      <c r="E528" s="1071" t="str">
        <f t="shared" si="405"/>
        <v>Q006A</v>
      </c>
      <c r="F528" s="1125" t="str">
        <f t="shared" si="405"/>
        <v>2021-2024</v>
      </c>
      <c r="H528" s="1071" t="s">
        <v>29</v>
      </c>
      <c r="AZ528" s="1108"/>
      <c r="BA528" s="1109"/>
      <c r="BB528" s="1109"/>
      <c r="BC528" s="1109"/>
      <c r="BD528" s="1109"/>
      <c r="BE528" s="1109"/>
      <c r="BF528" s="1109">
        <f t="shared" ref="BF528:BJ528" si="406">IF($J225=0,0,(($BF225*M225)+($BG225*S225)+($BH225*Y225)+($BI225*AE225)+($BJ225*AK225))/$J225)</f>
        <v>0</v>
      </c>
      <c r="BG528" s="1109">
        <f t="shared" si="406"/>
        <v>0</v>
      </c>
      <c r="BH528" s="1109">
        <f t="shared" si="406"/>
        <v>26.25</v>
      </c>
      <c r="BI528" s="1109">
        <f t="shared" si="406"/>
        <v>63.75</v>
      </c>
      <c r="BJ528" s="1109">
        <f t="shared" si="406"/>
        <v>97.5</v>
      </c>
    </row>
    <row r="529" spans="2:62" hidden="1" outlineLevel="1">
      <c r="B529" s="1094"/>
      <c r="C529" s="1071" t="str">
        <f t="shared" ref="C529:F529" si="407">C226</f>
        <v>Met Server  SHN</v>
      </c>
      <c r="D529" s="1071" t="str">
        <f t="shared" si="407"/>
        <v>Met Server</v>
      </c>
      <c r="E529" s="1071" t="str">
        <f t="shared" si="407"/>
        <v>R016A</v>
      </c>
      <c r="F529" s="1125" t="str">
        <f t="shared" si="407"/>
        <v>2021-2024</v>
      </c>
      <c r="H529" s="1071" t="s">
        <v>29</v>
      </c>
      <c r="AZ529" s="1108"/>
      <c r="BA529" s="1109"/>
      <c r="BB529" s="1109"/>
      <c r="BC529" s="1109"/>
      <c r="BD529" s="1109"/>
      <c r="BE529" s="1109"/>
      <c r="BF529" s="1109">
        <f t="shared" ref="BF529:BJ529" si="408">IF($J226=0,0,(($BF226*M226)+($BG226*S226)+($BH226*Y226)+($BI226*AE226)+($BJ226*AK226))/$J226)</f>
        <v>0</v>
      </c>
      <c r="BG529" s="1109">
        <f t="shared" si="408"/>
        <v>0</v>
      </c>
      <c r="BH529" s="1109">
        <f t="shared" si="408"/>
        <v>27.767231249999998</v>
      </c>
      <c r="BI529" s="1109">
        <f t="shared" si="408"/>
        <v>111.06892499999999</v>
      </c>
      <c r="BJ529" s="1109">
        <f t="shared" si="408"/>
        <v>111.06892499999999</v>
      </c>
    </row>
    <row r="530" spans="2:62" hidden="1" outlineLevel="1">
      <c r="B530" s="1094"/>
      <c r="C530" s="1071" t="str">
        <f t="shared" ref="C530:F530" si="409">C227</f>
        <v>Met Server  DUB</v>
      </c>
      <c r="D530" s="1071" t="str">
        <f t="shared" si="409"/>
        <v>Met Server</v>
      </c>
      <c r="E530" s="1071" t="str">
        <f t="shared" si="409"/>
        <v>R016A</v>
      </c>
      <c r="F530" s="1125" t="str">
        <f t="shared" si="409"/>
        <v>2021-2024</v>
      </c>
      <c r="H530" s="1071" t="s">
        <v>29</v>
      </c>
      <c r="AZ530" s="1108"/>
      <c r="BA530" s="1109"/>
      <c r="BB530" s="1109"/>
      <c r="BC530" s="1109"/>
      <c r="BD530" s="1109"/>
      <c r="BE530" s="1109"/>
      <c r="BF530" s="1109">
        <f t="shared" ref="BF530:BJ530" si="410">IF($J227=0,0,(($BF227*M227)+($BG227*S227)+($BH227*Y227)+($BI227*AE227)+($BJ227*AK227))/$J227)</f>
        <v>0</v>
      </c>
      <c r="BG530" s="1109">
        <f t="shared" si="410"/>
        <v>27.767231249999998</v>
      </c>
      <c r="BH530" s="1109">
        <f t="shared" si="410"/>
        <v>111.06892499999999</v>
      </c>
      <c r="BI530" s="1109">
        <f t="shared" si="410"/>
        <v>111.06892499999999</v>
      </c>
      <c r="BJ530" s="1109">
        <f t="shared" si="410"/>
        <v>111.06892499999999</v>
      </c>
    </row>
    <row r="531" spans="2:62" hidden="1" outlineLevel="1">
      <c r="B531" s="1094"/>
      <c r="C531" s="1071" t="str">
        <f t="shared" ref="C531:F531" si="411">C228</f>
        <v>Fire Safey Upgrade Works</v>
      </c>
      <c r="D531" s="1071" t="str">
        <f t="shared" si="411"/>
        <v>Fire Safey Upgrade Works</v>
      </c>
      <c r="E531" s="1071" t="str">
        <f t="shared" si="411"/>
        <v>T008</v>
      </c>
      <c r="F531" s="1125" t="str">
        <f t="shared" si="411"/>
        <v>2021-2024</v>
      </c>
      <c r="H531" s="1071" t="s">
        <v>29</v>
      </c>
      <c r="AZ531" s="1108"/>
      <c r="BA531" s="1109"/>
      <c r="BB531" s="1109"/>
      <c r="BC531" s="1109"/>
      <c r="BD531" s="1109"/>
      <c r="BE531" s="1109"/>
      <c r="BF531" s="1109">
        <f t="shared" ref="BF531:BJ531" si="412">IF($J228=0,0,(($BF228*M228)+($BG228*S228)+($BH228*Y228)+($BI228*AE228)+($BJ228*AK228))/$J228)</f>
        <v>0</v>
      </c>
      <c r="BG531" s="1109">
        <f t="shared" si="412"/>
        <v>0</v>
      </c>
      <c r="BH531" s="1109">
        <f t="shared" si="412"/>
        <v>0</v>
      </c>
      <c r="BI531" s="1109">
        <f t="shared" si="412"/>
        <v>0</v>
      </c>
      <c r="BJ531" s="1109">
        <f t="shared" si="412"/>
        <v>0</v>
      </c>
    </row>
    <row r="532" spans="2:62" hidden="1" outlineLevel="1">
      <c r="B532" s="1094"/>
      <c r="C532" s="1071" t="str">
        <f t="shared" ref="C532:F532" si="413">C229</f>
        <v>Fire Safey Upgrade Works Dublin</v>
      </c>
      <c r="D532" s="1071" t="str">
        <f t="shared" si="413"/>
        <v>Fire Safey Upgrade Works</v>
      </c>
      <c r="E532" s="1071" t="str">
        <f t="shared" si="413"/>
        <v>T008A</v>
      </c>
      <c r="F532" s="1125" t="str">
        <f t="shared" si="413"/>
        <v>2021-2024</v>
      </c>
      <c r="H532" s="1071" t="s">
        <v>29</v>
      </c>
      <c r="AZ532" s="1108"/>
      <c r="BA532" s="1109"/>
      <c r="BB532" s="1109"/>
      <c r="BC532" s="1109"/>
      <c r="BD532" s="1109"/>
      <c r="BE532" s="1109"/>
      <c r="BF532" s="1109">
        <f t="shared" ref="BF532:BJ532" si="414">IF($J229=0,0,(($BF229*M229)+($BG229*S229)+($BH229*Y229)+($BI229*AE229)+($BJ229*AK229))/$J229)</f>
        <v>0</v>
      </c>
      <c r="BG532" s="1109">
        <f t="shared" si="414"/>
        <v>55.659171549571745</v>
      </c>
      <c r="BH532" s="1109">
        <f t="shared" si="414"/>
        <v>217.65639539942902</v>
      </c>
      <c r="BI532" s="1109">
        <f t="shared" si="414"/>
        <v>225.018895399429</v>
      </c>
      <c r="BJ532" s="1109">
        <f t="shared" si="414"/>
        <v>225.018895399429</v>
      </c>
    </row>
    <row r="533" spans="2:62" hidden="1" outlineLevel="1">
      <c r="B533" s="1094"/>
      <c r="C533" s="1071" t="str">
        <f t="shared" ref="C533:F533" si="415">C230</f>
        <v>Fire Safey Upgrade Works Shannon</v>
      </c>
      <c r="D533" s="1071" t="str">
        <f t="shared" si="415"/>
        <v>Fire Safey Upgrade Works</v>
      </c>
      <c r="E533" s="1071" t="str">
        <f t="shared" si="415"/>
        <v>T008A</v>
      </c>
      <c r="F533" s="1125" t="str">
        <f t="shared" si="415"/>
        <v>2021-2024</v>
      </c>
      <c r="H533" s="1071" t="s">
        <v>29</v>
      </c>
      <c r="AZ533" s="1108"/>
      <c r="BA533" s="1109"/>
      <c r="BB533" s="1109"/>
      <c r="BC533" s="1109"/>
      <c r="BD533" s="1109"/>
      <c r="BE533" s="1109"/>
      <c r="BF533" s="1109">
        <f t="shared" ref="BF533:BJ533" si="416">IF($J230=0,0,(($BF230*M230)+($BG230*S230)+($BH230*Y230)+($BI230*AE230)+($BJ230*AK230))/$J230)</f>
        <v>0</v>
      </c>
      <c r="BG533" s="1109">
        <f t="shared" si="416"/>
        <v>46.686768843781657</v>
      </c>
      <c r="BH533" s="1109">
        <f t="shared" si="416"/>
        <v>62.249025125042202</v>
      </c>
      <c r="BI533" s="1109">
        <f t="shared" si="416"/>
        <v>62.249025125042202</v>
      </c>
      <c r="BJ533" s="1109">
        <f t="shared" si="416"/>
        <v>62.249025125042202</v>
      </c>
    </row>
    <row r="534" spans="2:62" hidden="1" outlineLevel="1">
      <c r="B534" s="1094"/>
      <c r="C534" s="1071" t="str">
        <f t="shared" ref="C534:F534" si="417">C231</f>
        <v>Fire Safey Upgrade Works Cork</v>
      </c>
      <c r="D534" s="1071" t="str">
        <f t="shared" si="417"/>
        <v>Fire Safey Upgrade Works</v>
      </c>
      <c r="E534" s="1071" t="str">
        <f t="shared" si="417"/>
        <v>T008A</v>
      </c>
      <c r="F534" s="1125" t="str">
        <f t="shared" si="417"/>
        <v>2021-2024</v>
      </c>
      <c r="H534" s="1071" t="s">
        <v>29</v>
      </c>
      <c r="AZ534" s="1108"/>
      <c r="BA534" s="1109"/>
      <c r="BB534" s="1109"/>
      <c r="BC534" s="1109"/>
      <c r="BD534" s="1109"/>
      <c r="BE534" s="1109"/>
      <c r="BF534" s="1109">
        <f t="shared" ref="BF534:BJ534" si="418">IF($J231=0,0,(($BF231*M231)+($BG231*S231)+($BH231*Y231)+($BI231*AE231)+($BJ231*AK231))/$J231)</f>
        <v>0</v>
      </c>
      <c r="BG534" s="1109">
        <f t="shared" si="418"/>
        <v>5.0768790861066195</v>
      </c>
      <c r="BH534" s="1109">
        <f t="shared" si="418"/>
        <v>24.90751634442648</v>
      </c>
      <c r="BI534" s="1109">
        <f t="shared" si="418"/>
        <v>24.90751634442648</v>
      </c>
      <c r="BJ534" s="1109">
        <f t="shared" si="418"/>
        <v>24.90751634442648</v>
      </c>
    </row>
    <row r="535" spans="2:62" hidden="1" outlineLevel="1">
      <c r="B535" s="1094"/>
      <c r="C535" s="1071" t="str">
        <f t="shared" ref="C535:F535" si="419">C232</f>
        <v>IT Other Projects</v>
      </c>
      <c r="D535" s="1071" t="str">
        <f t="shared" si="419"/>
        <v>IT Other Projects</v>
      </c>
      <c r="E535" s="1071" t="str">
        <f t="shared" si="419"/>
        <v>RP3-ICTS-1</v>
      </c>
      <c r="F535" s="1125" t="str">
        <f t="shared" si="419"/>
        <v>2021-2024</v>
      </c>
      <c r="H535" s="1071" t="s">
        <v>29</v>
      </c>
      <c r="AZ535" s="1108"/>
      <c r="BA535" s="1109"/>
      <c r="BB535" s="1109"/>
      <c r="BC535" s="1109"/>
      <c r="BD535" s="1109"/>
      <c r="BE535" s="1109"/>
      <c r="BF535" s="1109">
        <f t="shared" ref="BF535:BJ535" si="420">IF($J232=0,0,(($BF232*M232)+($BG232*S232)+($BH232*Y232)+($BI232*AE232)+($BJ232*AK232))/$J232)</f>
        <v>0</v>
      </c>
      <c r="BG535" s="1109">
        <f t="shared" si="420"/>
        <v>0</v>
      </c>
      <c r="BH535" s="1109">
        <f t="shared" si="420"/>
        <v>11.71875</v>
      </c>
      <c r="BI535" s="1109">
        <f t="shared" si="420"/>
        <v>85.9375</v>
      </c>
      <c r="BJ535" s="1109">
        <f t="shared" si="420"/>
        <v>165.625</v>
      </c>
    </row>
    <row r="536" spans="2:62" hidden="1" outlineLevel="1">
      <c r="B536" s="1094"/>
      <c r="C536" s="1071" t="str">
        <f t="shared" ref="C536:F536" si="421">C233</f>
        <v>Barco Screen Replacement - BCY</v>
      </c>
      <c r="D536" s="1071" t="str">
        <f t="shared" si="421"/>
        <v>Barco Screen Replacement</v>
      </c>
      <c r="E536" s="1071" t="str">
        <f t="shared" si="421"/>
        <v>RP3-SURV-4</v>
      </c>
      <c r="F536" s="1125" t="str">
        <f t="shared" si="421"/>
        <v>2021-2024</v>
      </c>
      <c r="H536" s="1071" t="s">
        <v>29</v>
      </c>
      <c r="AZ536" s="1108"/>
      <c r="BA536" s="1109"/>
      <c r="BB536" s="1109"/>
      <c r="BC536" s="1109"/>
      <c r="BD536" s="1109"/>
      <c r="BE536" s="1109"/>
      <c r="BF536" s="1109">
        <f t="shared" ref="BF536:BJ536" si="422">IF($J233=0,0,(($BF233*M233)+($BG233*S233)+($BH233*Y233)+($BI233*AE233)+($BJ233*AK233))/$J233)</f>
        <v>0</v>
      </c>
      <c r="BG536" s="1109">
        <f t="shared" si="422"/>
        <v>0</v>
      </c>
      <c r="BH536" s="1109">
        <f t="shared" si="422"/>
        <v>0</v>
      </c>
      <c r="BI536" s="1109">
        <f t="shared" si="422"/>
        <v>30.46875</v>
      </c>
      <c r="BJ536" s="1109">
        <f t="shared" si="422"/>
        <v>121.875</v>
      </c>
    </row>
    <row r="537" spans="2:62" hidden="1" outlineLevel="1">
      <c r="B537" s="1094"/>
      <c r="C537" s="1071" t="str">
        <f t="shared" ref="C537:F537" si="423">C234</f>
        <v>Barco Screen Replacement - DAP</v>
      </c>
      <c r="D537" s="1071" t="str">
        <f t="shared" si="423"/>
        <v>Barco Screen Replacement</v>
      </c>
      <c r="E537" s="1071" t="str">
        <f t="shared" si="423"/>
        <v>RP3-SURV-4</v>
      </c>
      <c r="F537" s="1125" t="str">
        <f t="shared" si="423"/>
        <v>2021-2024</v>
      </c>
      <c r="H537" s="1071" t="s">
        <v>29</v>
      </c>
      <c r="AZ537" s="1108"/>
      <c r="BA537" s="1109"/>
      <c r="BB537" s="1109"/>
      <c r="BC537" s="1109"/>
      <c r="BD537" s="1109"/>
      <c r="BE537" s="1109"/>
      <c r="BF537" s="1109">
        <f t="shared" ref="BF537:BJ537" si="424">IF($J234=0,0,(($BF234*M234)+($BG234*S234)+($BH234*Y234)+($BI234*AE234)+($BJ234*AK234))/$J234)</f>
        <v>0</v>
      </c>
      <c r="BG537" s="1109">
        <f t="shared" si="424"/>
        <v>0</v>
      </c>
      <c r="BH537" s="1109">
        <f t="shared" si="424"/>
        <v>0</v>
      </c>
      <c r="BI537" s="1109">
        <f t="shared" si="424"/>
        <v>0</v>
      </c>
      <c r="BJ537" s="1109">
        <f t="shared" si="424"/>
        <v>16.40625</v>
      </c>
    </row>
    <row r="538" spans="2:62" hidden="1" outlineLevel="1">
      <c r="B538" s="1094"/>
      <c r="C538" s="1071" t="str">
        <f t="shared" ref="C538:F538" si="425">C235</f>
        <v>Security Upgrades</v>
      </c>
      <c r="D538" s="1071" t="str">
        <f t="shared" si="425"/>
        <v>Security Upgrades</v>
      </c>
      <c r="E538" s="1071" t="str">
        <f t="shared" si="425"/>
        <v>RP3-PROP-2</v>
      </c>
      <c r="F538" s="1125" t="str">
        <f t="shared" si="425"/>
        <v>2021-2024</v>
      </c>
      <c r="H538" s="1071" t="s">
        <v>29</v>
      </c>
      <c r="AZ538" s="1108"/>
      <c r="BA538" s="1109"/>
      <c r="BB538" s="1109"/>
      <c r="BC538" s="1109"/>
      <c r="BD538" s="1109"/>
      <c r="BE538" s="1109"/>
      <c r="BF538" s="1109">
        <f t="shared" ref="BF538:BJ538" si="426">IF($J235=0,0,(($BF235*M235)+($BG235*S235)+($BH235*Y235)+($BI235*AE235)+($BJ235*AK235))/$J235)</f>
        <v>0</v>
      </c>
      <c r="BG538" s="1109">
        <f t="shared" si="426"/>
        <v>0</v>
      </c>
      <c r="BH538" s="1109">
        <f t="shared" si="426"/>
        <v>0</v>
      </c>
      <c r="BI538" s="1109">
        <f t="shared" si="426"/>
        <v>0</v>
      </c>
      <c r="BJ538" s="1109">
        <f t="shared" si="426"/>
        <v>0</v>
      </c>
    </row>
    <row r="539" spans="2:62" hidden="1" outlineLevel="1">
      <c r="B539" s="1094"/>
      <c r="C539" s="1071" t="str">
        <f t="shared" ref="C539:F539" si="427">C236</f>
        <v>Security Upgrades Shannon En Route</v>
      </c>
      <c r="D539" s="1071" t="str">
        <f t="shared" si="427"/>
        <v>Security Upgrades</v>
      </c>
      <c r="E539" s="1071" t="str">
        <f t="shared" si="427"/>
        <v>RP3-PROP-2</v>
      </c>
      <c r="F539" s="1125" t="str">
        <f t="shared" si="427"/>
        <v>2021-2024</v>
      </c>
      <c r="H539" s="1071" t="s">
        <v>29</v>
      </c>
      <c r="AZ539" s="1108"/>
      <c r="BA539" s="1109"/>
      <c r="BB539" s="1109"/>
      <c r="BC539" s="1109"/>
      <c r="BD539" s="1109"/>
      <c r="BE539" s="1109"/>
      <c r="BF539" s="1109">
        <f t="shared" ref="BF539:BJ539" si="428">IF($J236=0,0,(($BF236*M236)+($BG236*S236)+($BH236*Y236)+($BI236*AE236)+($BJ236*AK236))/$J236)</f>
        <v>0</v>
      </c>
      <c r="BG539" s="1109">
        <f t="shared" si="428"/>
        <v>6.15</v>
      </c>
      <c r="BH539" s="1109">
        <f t="shared" si="428"/>
        <v>31.35</v>
      </c>
      <c r="BI539" s="1109">
        <f t="shared" si="428"/>
        <v>65.099999999999994</v>
      </c>
      <c r="BJ539" s="1109">
        <f t="shared" si="428"/>
        <v>65.099999999999994</v>
      </c>
    </row>
    <row r="540" spans="2:62" hidden="1" outlineLevel="1">
      <c r="B540" s="1094"/>
      <c r="C540" s="1071" t="str">
        <f t="shared" ref="C540:F540" si="429">C237</f>
        <v>Security Upgrades Shannon Joint</v>
      </c>
      <c r="D540" s="1071" t="str">
        <f t="shared" si="429"/>
        <v>Security Upgrades</v>
      </c>
      <c r="E540" s="1071" t="str">
        <f t="shared" si="429"/>
        <v>RP3-PROP-2</v>
      </c>
      <c r="F540" s="1125" t="str">
        <f t="shared" si="429"/>
        <v>2021-2024</v>
      </c>
      <c r="H540" s="1071" t="s">
        <v>29</v>
      </c>
      <c r="AZ540" s="1108"/>
      <c r="BA540" s="1109"/>
      <c r="BB540" s="1109"/>
      <c r="BC540" s="1109"/>
      <c r="BD540" s="1109"/>
      <c r="BE540" s="1109"/>
      <c r="BF540" s="1109">
        <f t="shared" ref="BF540:BJ540" si="430">IF($J237=0,0,(($BF237*M237)+($BG237*S237)+($BH237*Y237)+($BI237*AE237)+($BJ237*AK237))/$J237)</f>
        <v>0</v>
      </c>
      <c r="BG540" s="1109">
        <f t="shared" si="430"/>
        <v>10.111219999999999</v>
      </c>
      <c r="BH540" s="1109">
        <f t="shared" si="430"/>
        <v>35.199939999999998</v>
      </c>
      <c r="BI540" s="1109">
        <f t="shared" si="430"/>
        <v>52.637439999999998</v>
      </c>
      <c r="BJ540" s="1109">
        <f t="shared" si="430"/>
        <v>103.01244</v>
      </c>
    </row>
    <row r="541" spans="2:62" hidden="1" outlineLevel="1">
      <c r="B541" s="1094"/>
      <c r="C541" s="1071" t="str">
        <f t="shared" ref="C541:F541" si="431">C238</f>
        <v>Security Upgrades Dublin Joint</v>
      </c>
      <c r="D541" s="1071" t="str">
        <f t="shared" si="431"/>
        <v>Security Upgrades</v>
      </c>
      <c r="E541" s="1071" t="str">
        <f t="shared" si="431"/>
        <v>RP3-PROP-2</v>
      </c>
      <c r="F541" s="1125" t="str">
        <f t="shared" si="431"/>
        <v>2021-2024</v>
      </c>
      <c r="H541" s="1071" t="s">
        <v>29</v>
      </c>
      <c r="AZ541" s="1108"/>
      <c r="BA541" s="1109"/>
      <c r="BB541" s="1109"/>
      <c r="BC541" s="1109"/>
      <c r="BD541" s="1109"/>
      <c r="BE541" s="1109"/>
      <c r="BF541" s="1109">
        <f t="shared" ref="BF541:BJ541" si="432">IF($J238=0,0,(($BF238*M238)+($BG238*S238)+($BH238*Y238)+($BI238*AE238)+($BJ238*AK238))/$J238)</f>
        <v>0</v>
      </c>
      <c r="BG541" s="1109">
        <f t="shared" si="432"/>
        <v>6.9376290000000012</v>
      </c>
      <c r="BH541" s="1109">
        <f t="shared" si="432"/>
        <v>35.423016000000004</v>
      </c>
      <c r="BI541" s="1109">
        <f t="shared" si="432"/>
        <v>62.160516000000008</v>
      </c>
      <c r="BJ541" s="1109">
        <f t="shared" si="432"/>
        <v>83.085516000000013</v>
      </c>
    </row>
    <row r="542" spans="2:62" hidden="1" outlineLevel="1">
      <c r="B542" s="1094"/>
      <c r="C542" s="1071" t="str">
        <f t="shared" ref="C542:F542" si="433">C239</f>
        <v>Security Upgrades Dublin Terminal</v>
      </c>
      <c r="D542" s="1071" t="str">
        <f t="shared" si="433"/>
        <v>Security Upgrades</v>
      </c>
      <c r="E542" s="1071" t="str">
        <f t="shared" si="433"/>
        <v>RP3-PROP-2</v>
      </c>
      <c r="F542" s="1125" t="str">
        <f t="shared" si="433"/>
        <v>2021-2024</v>
      </c>
      <c r="H542" s="1071" t="s">
        <v>29</v>
      </c>
      <c r="AZ542" s="1108"/>
      <c r="BA542" s="1109"/>
      <c r="BB542" s="1109"/>
      <c r="BC542" s="1109"/>
      <c r="BD542" s="1109"/>
      <c r="BE542" s="1109"/>
      <c r="BF542" s="1109">
        <f t="shared" ref="BF542:BJ542" si="434">IF($J239=0,0,(($BF239*M239)+($BG239*S239)+($BH239*Y239)+($BI239*AE239)+($BJ239*AK239))/$J239)</f>
        <v>0</v>
      </c>
      <c r="BG542" s="1109">
        <f t="shared" si="434"/>
        <v>1.75</v>
      </c>
      <c r="BH542" s="1109">
        <f t="shared" si="434"/>
        <v>10.6425</v>
      </c>
      <c r="BI542" s="1109">
        <f t="shared" si="434"/>
        <v>21.569999999999997</v>
      </c>
      <c r="BJ542" s="1109">
        <f t="shared" si="434"/>
        <v>21.569999999999997</v>
      </c>
    </row>
    <row r="543" spans="2:62" hidden="1" outlineLevel="1">
      <c r="B543" s="1094"/>
      <c r="C543" s="1071" t="str">
        <f t="shared" ref="C543:F543" si="435">C240</f>
        <v>Security Upgrades Cork Terminal</v>
      </c>
      <c r="D543" s="1071" t="str">
        <f t="shared" si="435"/>
        <v>Security Upgrades</v>
      </c>
      <c r="E543" s="1071" t="str">
        <f t="shared" si="435"/>
        <v>RP3-PROP-2</v>
      </c>
      <c r="F543" s="1125" t="str">
        <f t="shared" si="435"/>
        <v>2021-2024</v>
      </c>
      <c r="H543" s="1071" t="s">
        <v>29</v>
      </c>
      <c r="AZ543" s="1108"/>
      <c r="BA543" s="1109"/>
      <c r="BB543" s="1109"/>
      <c r="BC543" s="1109"/>
      <c r="BD543" s="1109"/>
      <c r="BE543" s="1109"/>
      <c r="BF543" s="1109">
        <f t="shared" ref="BF543:BJ543" si="436">IF($J240=0,0,(($BF240*M240)+($BG240*S240)+($BH240*Y240)+($BI240*AE240)+($BJ240*AK240))/$J240)</f>
        <v>0</v>
      </c>
      <c r="BG543" s="1109">
        <f t="shared" si="436"/>
        <v>1.0074999999999998</v>
      </c>
      <c r="BH543" s="1109">
        <f t="shared" si="436"/>
        <v>5.9049999999999994</v>
      </c>
      <c r="BI543" s="1109">
        <f t="shared" si="436"/>
        <v>11.53</v>
      </c>
      <c r="BJ543" s="1109">
        <f t="shared" si="436"/>
        <v>11.53</v>
      </c>
    </row>
    <row r="544" spans="2:62" hidden="1" outlineLevel="1">
      <c r="B544" s="1094"/>
      <c r="C544" s="1071" t="str">
        <f t="shared" ref="C544:F544" si="437">C241</f>
        <v>Security Upgrades HQ Joint</v>
      </c>
      <c r="D544" s="1071" t="str">
        <f t="shared" si="437"/>
        <v>Security Upgrades</v>
      </c>
      <c r="E544" s="1071" t="str">
        <f t="shared" si="437"/>
        <v>RP3-PROP-2</v>
      </c>
      <c r="F544" s="1125" t="str">
        <f t="shared" si="437"/>
        <v>2021-2024</v>
      </c>
      <c r="H544" s="1071" t="s">
        <v>29</v>
      </c>
      <c r="AZ544" s="1108"/>
      <c r="BA544" s="1109"/>
      <c r="BB544" s="1109"/>
      <c r="BC544" s="1109"/>
      <c r="BD544" s="1109"/>
      <c r="BE544" s="1109"/>
      <c r="BF544" s="1109">
        <f t="shared" ref="BF544:BJ544" si="438">IF($J241=0,0,(($BF241*M241)+($BG241*S241)+($BH241*Y241)+($BI241*AE241)+($BJ241*AK241))/$J241)</f>
        <v>0</v>
      </c>
      <c r="BG544" s="1109">
        <f t="shared" si="438"/>
        <v>0</v>
      </c>
      <c r="BH544" s="1109">
        <f t="shared" si="438"/>
        <v>0</v>
      </c>
      <c r="BI544" s="1109">
        <f t="shared" si="438"/>
        <v>15.5</v>
      </c>
      <c r="BJ544" s="1109">
        <f t="shared" si="438"/>
        <v>15.5</v>
      </c>
    </row>
    <row r="545" spans="2:62" hidden="1" outlineLevel="1">
      <c r="B545" s="1094"/>
      <c r="C545" s="1071" t="str">
        <f t="shared" ref="C545:F545" si="439">C242</f>
        <v>Rostering project</v>
      </c>
      <c r="D545" s="1071" t="str">
        <f t="shared" si="439"/>
        <v>Rostering project</v>
      </c>
      <c r="E545" s="1071" t="str">
        <f t="shared" si="439"/>
        <v>S027</v>
      </c>
      <c r="F545" s="1125" t="str">
        <f t="shared" si="439"/>
        <v>2021-2024</v>
      </c>
      <c r="H545" s="1071" t="s">
        <v>29</v>
      </c>
      <c r="AZ545" s="1108"/>
      <c r="BA545" s="1109"/>
      <c r="BB545" s="1109"/>
      <c r="BC545" s="1109"/>
      <c r="BD545" s="1109"/>
      <c r="BE545" s="1109"/>
      <c r="BF545" s="1109">
        <f t="shared" ref="BF545:BJ545" si="440">IF($J242=0,0,(($BF242*M242)+($BG242*S242)+($BH242*Y242)+($BI242*AE242)+($BJ242*AK242))/$J242)</f>
        <v>0</v>
      </c>
      <c r="BG545" s="1109">
        <f t="shared" si="440"/>
        <v>0</v>
      </c>
      <c r="BH545" s="1109">
        <f t="shared" si="440"/>
        <v>81.25</v>
      </c>
      <c r="BI545" s="1109">
        <f t="shared" si="440"/>
        <v>162.5</v>
      </c>
      <c r="BJ545" s="1109">
        <f t="shared" si="440"/>
        <v>162.5</v>
      </c>
    </row>
    <row r="546" spans="2:62" hidden="1" outlineLevel="1">
      <c r="B546" s="1094"/>
      <c r="C546" s="1071" t="str">
        <f t="shared" ref="C546:F546" si="441">C243</f>
        <v>New Tower Simulator Dublin IATS</v>
      </c>
      <c r="D546" s="1071" t="str">
        <f t="shared" si="441"/>
        <v>New Tower Simulator Dublin IATS</v>
      </c>
      <c r="E546" s="1071" t="str">
        <f t="shared" si="441"/>
        <v>R017</v>
      </c>
      <c r="F546" s="1125" t="str">
        <f t="shared" si="441"/>
        <v>2021-2024</v>
      </c>
      <c r="H546" s="1071" t="s">
        <v>29</v>
      </c>
      <c r="AZ546" s="1108"/>
      <c r="BA546" s="1109"/>
      <c r="BB546" s="1109"/>
      <c r="BC546" s="1109"/>
      <c r="BD546" s="1109"/>
      <c r="BE546" s="1109"/>
      <c r="BF546" s="1109">
        <f t="shared" ref="BF546:BJ546" si="442">IF($J243=0,0,(($BF243*M243)+($BG243*S243)+($BH243*Y243)+($BI243*AE243)+($BJ243*AK243))/$J243)</f>
        <v>0</v>
      </c>
      <c r="BG546" s="1109">
        <f t="shared" si="442"/>
        <v>0</v>
      </c>
      <c r="BH546" s="1109">
        <f t="shared" si="442"/>
        <v>0</v>
      </c>
      <c r="BI546" s="1109">
        <f t="shared" si="442"/>
        <v>0</v>
      </c>
      <c r="BJ546" s="1109">
        <f t="shared" si="442"/>
        <v>31.25</v>
      </c>
    </row>
    <row r="547" spans="2:62" hidden="1" outlineLevel="1">
      <c r="B547" s="1094"/>
      <c r="C547" s="1071" t="str">
        <f t="shared" ref="C547:F547" si="443">C244</f>
        <v>EDISON Core Network &amp; Cyber Security</v>
      </c>
      <c r="D547" s="1071" t="str">
        <f t="shared" si="443"/>
        <v>EDISON Core Network &amp; Cyber Security</v>
      </c>
      <c r="E547" s="1071" t="str">
        <f t="shared" si="443"/>
        <v>S007</v>
      </c>
      <c r="F547" s="1125" t="str">
        <f t="shared" si="443"/>
        <v>2021-2024</v>
      </c>
      <c r="H547" s="1071" t="s">
        <v>29</v>
      </c>
      <c r="AZ547" s="1108"/>
      <c r="BA547" s="1109"/>
      <c r="BB547" s="1109"/>
      <c r="BC547" s="1109"/>
      <c r="BD547" s="1109"/>
      <c r="BE547" s="1109"/>
      <c r="BF547" s="1109">
        <f t="shared" ref="BF547:BJ547" si="444">IF($J244=0,0,(($BF244*M244)+($BG244*S244)+($BH244*Y244)+($BI244*AE244)+($BJ244*AK244))/$J244)</f>
        <v>0</v>
      </c>
      <c r="BG547" s="1109">
        <f t="shared" si="444"/>
        <v>0</v>
      </c>
      <c r="BH547" s="1109">
        <f t="shared" si="444"/>
        <v>62.029882500000014</v>
      </c>
      <c r="BI547" s="1109">
        <f t="shared" si="444"/>
        <v>124.05976500000003</v>
      </c>
      <c r="BJ547" s="1109">
        <f t="shared" si="444"/>
        <v>124.05976500000003</v>
      </c>
    </row>
    <row r="548" spans="2:62" hidden="1" outlineLevel="1">
      <c r="B548" s="1094"/>
      <c r="C548" s="1071" t="str">
        <f t="shared" ref="C548:F548" si="445">C245</f>
        <v>Chiller and AHU Replacement Dublin</v>
      </c>
      <c r="D548" s="1071" t="str">
        <f t="shared" si="445"/>
        <v>Chiller and AHU Replacement Dublin</v>
      </c>
      <c r="E548" s="1071" t="str">
        <f t="shared" si="445"/>
        <v>T014</v>
      </c>
      <c r="F548" s="1125" t="str">
        <f t="shared" si="445"/>
        <v>2021-2024</v>
      </c>
      <c r="H548" s="1071" t="s">
        <v>29</v>
      </c>
      <c r="AZ548" s="1108"/>
      <c r="BA548" s="1109"/>
      <c r="BB548" s="1109"/>
      <c r="BC548" s="1109"/>
      <c r="BD548" s="1109"/>
      <c r="BE548" s="1109"/>
      <c r="BF548" s="1109">
        <f t="shared" ref="BF548:BJ548" si="446">IF($J245=0,0,(($BF245*M245)+($BG245*S245)+($BH245*Y245)+($BI245*AE245)+($BJ245*AK245))/$J245)</f>
        <v>0</v>
      </c>
      <c r="BG548" s="1109">
        <f t="shared" si="446"/>
        <v>42.81521</v>
      </c>
      <c r="BH548" s="1109">
        <f t="shared" si="446"/>
        <v>187.63041999999999</v>
      </c>
      <c r="BI548" s="1109">
        <f t="shared" si="446"/>
        <v>187.63041999999999</v>
      </c>
      <c r="BJ548" s="1109">
        <f t="shared" si="446"/>
        <v>187.63041999999999</v>
      </c>
    </row>
    <row r="549" spans="2:62" hidden="1" outlineLevel="1">
      <c r="B549" s="1094"/>
      <c r="C549" s="1071" t="str">
        <f t="shared" ref="C549:F549" si="447">C246</f>
        <v>U023 2.6 GHz Filters (SHN)</v>
      </c>
      <c r="D549" s="1071" t="str">
        <f t="shared" si="447"/>
        <v>U023 2.6 GHz Filters</v>
      </c>
      <c r="E549" s="1071" t="str">
        <f t="shared" si="447"/>
        <v>U023</v>
      </c>
      <c r="F549" s="1125" t="str">
        <f t="shared" si="447"/>
        <v>2021-2024</v>
      </c>
      <c r="H549" s="1071" t="s">
        <v>29</v>
      </c>
      <c r="AZ549" s="1108"/>
      <c r="BA549" s="1109"/>
      <c r="BB549" s="1109"/>
      <c r="BC549" s="1109"/>
      <c r="BD549" s="1109"/>
      <c r="BE549" s="1109"/>
      <c r="BF549" s="1109">
        <f t="shared" ref="BF549:BJ549" si="448">IF($J246=0,0,(($BF246*M246)+($BG246*S246)+($BH246*Y246)+($BI246*AE246)+($BJ246*AK246))/$J246)</f>
        <v>0</v>
      </c>
      <c r="BG549" s="1109">
        <f t="shared" si="448"/>
        <v>9.375</v>
      </c>
      <c r="BH549" s="1109">
        <f t="shared" si="448"/>
        <v>37.5</v>
      </c>
      <c r="BI549" s="1109">
        <f t="shared" si="448"/>
        <v>37.5</v>
      </c>
      <c r="BJ549" s="1109">
        <f t="shared" si="448"/>
        <v>37.5</v>
      </c>
    </row>
    <row r="550" spans="2:62" hidden="1" outlineLevel="1">
      <c r="B550" s="1094"/>
      <c r="C550" s="1071" t="str">
        <f t="shared" ref="C550:F550" si="449">C247</f>
        <v>U023 2.6 GHz Filters (CRK)</v>
      </c>
      <c r="D550" s="1071" t="str">
        <f t="shared" si="449"/>
        <v>U023 2.6 GHz Filters</v>
      </c>
      <c r="E550" s="1071" t="str">
        <f t="shared" si="449"/>
        <v>U023A</v>
      </c>
      <c r="F550" s="1125" t="str">
        <f t="shared" si="449"/>
        <v>2021-2024</v>
      </c>
      <c r="H550" s="1071" t="s">
        <v>29</v>
      </c>
      <c r="AZ550" s="1108"/>
      <c r="BA550" s="1109"/>
      <c r="BB550" s="1109"/>
      <c r="BC550" s="1109"/>
      <c r="BD550" s="1109"/>
      <c r="BE550" s="1109"/>
      <c r="BF550" s="1109">
        <f t="shared" ref="BF550:BJ550" si="450">IF($J247=0,0,(($BF247*M247)+($BG247*S247)+($BH247*Y247)+($BI247*AE247)+($BJ247*AK247))/$J247)</f>
        <v>0</v>
      </c>
      <c r="BG550" s="1109">
        <f t="shared" si="450"/>
        <v>9.375</v>
      </c>
      <c r="BH550" s="1109">
        <f t="shared" si="450"/>
        <v>37.5</v>
      </c>
      <c r="BI550" s="1109">
        <f t="shared" si="450"/>
        <v>37.5</v>
      </c>
      <c r="BJ550" s="1109">
        <f t="shared" si="450"/>
        <v>37.5</v>
      </c>
    </row>
    <row r="551" spans="2:62" hidden="1" outlineLevel="1">
      <c r="B551" s="1094"/>
      <c r="C551" s="1071" t="str">
        <f t="shared" ref="C551:F551" si="451">C248</f>
        <v>U023 2.6 GHz Filters (DUB)</v>
      </c>
      <c r="D551" s="1071" t="str">
        <f t="shared" si="451"/>
        <v>U023 2.6 GHz Filters</v>
      </c>
      <c r="E551" s="1071" t="str">
        <f t="shared" si="451"/>
        <v>U023A</v>
      </c>
      <c r="F551" s="1125" t="str">
        <f t="shared" si="451"/>
        <v>2021-2024</v>
      </c>
      <c r="H551" s="1071" t="s">
        <v>29</v>
      </c>
      <c r="AZ551" s="1108"/>
      <c r="BA551" s="1109"/>
      <c r="BB551" s="1109"/>
      <c r="BC551" s="1109"/>
      <c r="BD551" s="1109"/>
      <c r="BE551" s="1109"/>
      <c r="BF551" s="1109">
        <f t="shared" ref="BF551:BJ551" si="452">IF($J248=0,0,(($BF248*M248)+($BG248*S248)+($BH248*Y248)+($BI248*AE248)+($BJ248*AK248))/$J248)</f>
        <v>0</v>
      </c>
      <c r="BG551" s="1109">
        <f t="shared" si="452"/>
        <v>0</v>
      </c>
      <c r="BH551" s="1109">
        <f t="shared" si="452"/>
        <v>37.5</v>
      </c>
      <c r="BI551" s="1109">
        <f t="shared" si="452"/>
        <v>37.5</v>
      </c>
      <c r="BJ551" s="1109">
        <f t="shared" si="452"/>
        <v>37.5</v>
      </c>
    </row>
    <row r="552" spans="2:62" hidden="1" outlineLevel="1">
      <c r="B552" s="1094"/>
      <c r="C552" s="1071" t="str">
        <f t="shared" ref="C552:F552" si="453">C249</f>
        <v>SIEM &amp; SOC Software</v>
      </c>
      <c r="D552" s="1071" t="str">
        <f t="shared" si="453"/>
        <v>SIEM &amp; SOC Software</v>
      </c>
      <c r="E552" s="1071" t="str">
        <f t="shared" si="453"/>
        <v>U019</v>
      </c>
      <c r="F552" s="1125" t="str">
        <f t="shared" si="453"/>
        <v>2021-2024</v>
      </c>
      <c r="H552" s="1071" t="s">
        <v>29</v>
      </c>
      <c r="AZ552" s="1108"/>
      <c r="BA552" s="1109"/>
      <c r="BB552" s="1109"/>
      <c r="BC552" s="1109"/>
      <c r="BD552" s="1109"/>
      <c r="BE552" s="1109"/>
      <c r="BF552" s="1109">
        <f t="shared" ref="BF552:BJ552" si="454">IF($J249=0,0,(($BF249*M249)+($BG249*S249)+($BH249*Y249)+($BI249*AE249)+($BJ249*AK249))/$J249)</f>
        <v>0</v>
      </c>
      <c r="BG552" s="1109">
        <f t="shared" si="454"/>
        <v>0</v>
      </c>
      <c r="BH552" s="1109">
        <f t="shared" si="454"/>
        <v>100</v>
      </c>
      <c r="BI552" s="1109">
        <f t="shared" si="454"/>
        <v>133.33333333333334</v>
      </c>
      <c r="BJ552" s="1109">
        <f t="shared" si="454"/>
        <v>166.66666666666666</v>
      </c>
    </row>
    <row r="553" spans="2:62" hidden="1" outlineLevel="1">
      <c r="B553" s="1094"/>
      <c r="C553" s="1071" t="str">
        <f t="shared" ref="C553:F553" si="455">C250</f>
        <v>Aireon Infrastructure</v>
      </c>
      <c r="D553" s="1071" t="str">
        <f t="shared" si="455"/>
        <v>Aireon Infrastructure</v>
      </c>
      <c r="E553" s="1071" t="str">
        <f t="shared" si="455"/>
        <v>Q002</v>
      </c>
      <c r="F553" s="1125" t="str">
        <f t="shared" si="455"/>
        <v>2021-2024</v>
      </c>
      <c r="H553" s="1071" t="s">
        <v>29</v>
      </c>
      <c r="AZ553" s="1108"/>
      <c r="BA553" s="1109"/>
      <c r="BB553" s="1109"/>
      <c r="BC553" s="1109"/>
      <c r="BD553" s="1109"/>
      <c r="BE553" s="1109"/>
      <c r="BF553" s="1109">
        <f t="shared" ref="BF553:BJ553" si="456">IF($J250=0,0,(($BF250*M250)+($BG250*S250)+($BH250*Y250)+($BI250*AE250)+($BJ250*AK250))/$J250)</f>
        <v>0</v>
      </c>
      <c r="BG553" s="1109">
        <f t="shared" si="456"/>
        <v>5.625</v>
      </c>
      <c r="BH553" s="1109">
        <f t="shared" si="456"/>
        <v>30.385418437500004</v>
      </c>
      <c r="BI553" s="1109">
        <f t="shared" si="456"/>
        <v>99.041673750000015</v>
      </c>
      <c r="BJ553" s="1109">
        <f t="shared" si="456"/>
        <v>99.041673750000015</v>
      </c>
    </row>
    <row r="554" spans="2:62" hidden="1" outlineLevel="1">
      <c r="B554" s="1094"/>
      <c r="C554" s="1071" t="str">
        <f t="shared" ref="C554:F554" si="457">C251</f>
        <v>Fire supression system</v>
      </c>
      <c r="D554" s="1071" t="str">
        <f t="shared" si="457"/>
        <v>Fire supression system</v>
      </c>
      <c r="E554" s="1071" t="str">
        <f t="shared" si="457"/>
        <v>U015</v>
      </c>
      <c r="F554" s="1125" t="str">
        <f t="shared" si="457"/>
        <v>2021-2024</v>
      </c>
      <c r="H554" s="1071" t="s">
        <v>29</v>
      </c>
      <c r="AZ554" s="1108"/>
      <c r="BA554" s="1109"/>
      <c r="BB554" s="1109"/>
      <c r="BC554" s="1109"/>
      <c r="BD554" s="1109"/>
      <c r="BE554" s="1109"/>
      <c r="BF554" s="1109">
        <f t="shared" ref="BF554:BJ554" si="458">IF($J251=0,0,(($BF251*M251)+($BG251*S251)+($BH251*Y251)+($BI251*AE251)+($BJ251*AK251))/$J251)</f>
        <v>0</v>
      </c>
      <c r="BG554" s="1109">
        <f t="shared" si="458"/>
        <v>0</v>
      </c>
      <c r="BH554" s="1109">
        <f t="shared" si="458"/>
        <v>0</v>
      </c>
      <c r="BI554" s="1109">
        <f t="shared" si="458"/>
        <v>0</v>
      </c>
      <c r="BJ554" s="1109">
        <f t="shared" si="458"/>
        <v>0</v>
      </c>
    </row>
    <row r="555" spans="2:62" hidden="1" outlineLevel="1">
      <c r="B555" s="1094"/>
      <c r="C555" s="1071" t="str">
        <f t="shared" ref="C555:F555" si="459">C252</f>
        <v>Fire suppression system - Woodcock Hill</v>
      </c>
      <c r="D555" s="1071" t="str">
        <f t="shared" si="459"/>
        <v>Fire supression system</v>
      </c>
      <c r="E555" s="1071" t="str">
        <f t="shared" si="459"/>
        <v>U015A</v>
      </c>
      <c r="F555" s="1125" t="str">
        <f t="shared" si="459"/>
        <v>2021-2024</v>
      </c>
      <c r="H555" s="1071" t="s">
        <v>29</v>
      </c>
      <c r="AZ555" s="1108"/>
      <c r="BA555" s="1109"/>
      <c r="BB555" s="1109"/>
      <c r="BC555" s="1109"/>
      <c r="BD555" s="1109"/>
      <c r="BE555" s="1109"/>
      <c r="BF555" s="1109">
        <f t="shared" ref="BF555:BJ555" si="460">IF($J252=0,0,(($BF252*M252)+($BG252*S252)+($BH252*Y252)+($BI252*AE252)+($BJ252*AK252))/$J252)</f>
        <v>0</v>
      </c>
      <c r="BG555" s="1109">
        <f t="shared" si="460"/>
        <v>1.75</v>
      </c>
      <c r="BH555" s="1109">
        <f t="shared" si="460"/>
        <v>31</v>
      </c>
      <c r="BI555" s="1109">
        <f t="shared" si="460"/>
        <v>31</v>
      </c>
      <c r="BJ555" s="1109">
        <f t="shared" si="460"/>
        <v>31</v>
      </c>
    </row>
    <row r="556" spans="2:62" hidden="1" outlineLevel="1">
      <c r="B556" s="1094"/>
      <c r="C556" s="1071" t="str">
        <f t="shared" ref="C556:F556" si="461">C253</f>
        <v>Fire suppression system - Mt Gabriel</v>
      </c>
      <c r="D556" s="1071" t="str">
        <f t="shared" si="461"/>
        <v>Fire supression system</v>
      </c>
      <c r="E556" s="1071" t="str">
        <f t="shared" si="461"/>
        <v>U015A</v>
      </c>
      <c r="F556" s="1125" t="str">
        <f t="shared" si="461"/>
        <v>2021-2024</v>
      </c>
      <c r="H556" s="1071" t="s">
        <v>29</v>
      </c>
      <c r="AZ556" s="1108"/>
      <c r="BA556" s="1109"/>
      <c r="BB556" s="1109"/>
      <c r="BC556" s="1109"/>
      <c r="BD556" s="1109"/>
      <c r="BE556" s="1109"/>
      <c r="BF556" s="1109">
        <f t="shared" ref="BF556:BJ556" si="462">IF($J253=0,0,(($BF253*M253)+($BG253*S253)+($BH253*Y253)+($BI253*AE253)+($BJ253*AK253))/$J253)</f>
        <v>0</v>
      </c>
      <c r="BG556" s="1109">
        <f t="shared" si="462"/>
        <v>1.75</v>
      </c>
      <c r="BH556" s="1109">
        <f t="shared" si="462"/>
        <v>31</v>
      </c>
      <c r="BI556" s="1109">
        <f t="shared" si="462"/>
        <v>31</v>
      </c>
      <c r="BJ556" s="1109">
        <f t="shared" si="462"/>
        <v>31</v>
      </c>
    </row>
    <row r="557" spans="2:62" hidden="1" outlineLevel="1">
      <c r="B557" s="1094"/>
      <c r="C557" s="1071" t="str">
        <f t="shared" ref="C557:F557" si="463">C254</f>
        <v>Fire suppression system - Dooncarton</v>
      </c>
      <c r="D557" s="1071" t="str">
        <f t="shared" si="463"/>
        <v>Fire supression system</v>
      </c>
      <c r="E557" s="1071" t="str">
        <f t="shared" si="463"/>
        <v>U015A</v>
      </c>
      <c r="F557" s="1125" t="str">
        <f t="shared" si="463"/>
        <v>2021-2024</v>
      </c>
      <c r="H557" s="1071" t="s">
        <v>29</v>
      </c>
      <c r="AZ557" s="1108"/>
      <c r="BA557" s="1109"/>
      <c r="BB557" s="1109"/>
      <c r="BC557" s="1109"/>
      <c r="BD557" s="1109"/>
      <c r="BE557" s="1109"/>
      <c r="BF557" s="1109">
        <f t="shared" ref="BF557:BJ557" si="464">IF($J254=0,0,(($BF254*M254)+($BG254*S254)+($BH254*Y254)+($BI254*AE254)+($BJ254*AK254))/$J254)</f>
        <v>0</v>
      </c>
      <c r="BG557" s="1109">
        <f t="shared" si="464"/>
        <v>0.875</v>
      </c>
      <c r="BH557" s="1109">
        <f t="shared" si="464"/>
        <v>15.5</v>
      </c>
      <c r="BI557" s="1109">
        <f t="shared" si="464"/>
        <v>15.5</v>
      </c>
      <c r="BJ557" s="1109">
        <f t="shared" si="464"/>
        <v>15.5</v>
      </c>
    </row>
    <row r="558" spans="2:62" hidden="1" outlineLevel="1">
      <c r="B558" s="1094"/>
      <c r="C558" s="1071" t="str">
        <f t="shared" ref="C558:F558" si="465">C255</f>
        <v>Fire suppression system - Malin Head</v>
      </c>
      <c r="D558" s="1071" t="str">
        <f t="shared" si="465"/>
        <v>Fire supression system</v>
      </c>
      <c r="E558" s="1071" t="str">
        <f t="shared" si="465"/>
        <v>U015A</v>
      </c>
      <c r="F558" s="1125" t="str">
        <f t="shared" si="465"/>
        <v>2021-2024</v>
      </c>
      <c r="H558" s="1071" t="s">
        <v>29</v>
      </c>
      <c r="AZ558" s="1108"/>
      <c r="BA558" s="1109"/>
      <c r="BB558" s="1109"/>
      <c r="BC558" s="1109"/>
      <c r="BD558" s="1109"/>
      <c r="BE558" s="1109"/>
      <c r="BF558" s="1109">
        <f t="shared" ref="BF558:BJ558" si="466">IF($J255=0,0,(($BF255*M255)+($BG255*S255)+($BH255*Y255)+($BI255*AE255)+($BJ255*AK255))/$J255)</f>
        <v>0</v>
      </c>
      <c r="BG558" s="1109">
        <f t="shared" si="466"/>
        <v>7.75</v>
      </c>
      <c r="BH558" s="1109">
        <f t="shared" si="466"/>
        <v>15.5</v>
      </c>
      <c r="BI558" s="1109">
        <f t="shared" si="466"/>
        <v>15.5</v>
      </c>
      <c r="BJ558" s="1109">
        <f t="shared" si="466"/>
        <v>15.5</v>
      </c>
    </row>
    <row r="559" spans="2:62" hidden="1" outlineLevel="1">
      <c r="B559" s="1094"/>
      <c r="C559" s="1071" t="str">
        <f t="shared" ref="C559:F559" si="467">C256</f>
        <v>Fire suppression system - Shannon Radar</v>
      </c>
      <c r="D559" s="1071" t="str">
        <f t="shared" si="467"/>
        <v>Fire supression system</v>
      </c>
      <c r="E559" s="1071" t="str">
        <f t="shared" si="467"/>
        <v>U015A</v>
      </c>
      <c r="F559" s="1125" t="str">
        <f t="shared" si="467"/>
        <v>2021-2024</v>
      </c>
      <c r="H559" s="1071" t="s">
        <v>29</v>
      </c>
      <c r="AZ559" s="1108"/>
      <c r="BA559" s="1109"/>
      <c r="BB559" s="1109"/>
      <c r="BC559" s="1109"/>
      <c r="BD559" s="1109"/>
      <c r="BE559" s="1109"/>
      <c r="BF559" s="1109">
        <f t="shared" ref="BF559:BJ559" si="468">IF($J256=0,0,(($BF256*M256)+($BG256*S256)+($BH256*Y256)+($BI256*AE256)+($BJ256*AK256))/$J256)</f>
        <v>0</v>
      </c>
      <c r="BG559" s="1109">
        <f t="shared" si="468"/>
        <v>7.75</v>
      </c>
      <c r="BH559" s="1109">
        <f t="shared" si="468"/>
        <v>15.5</v>
      </c>
      <c r="BI559" s="1109">
        <f t="shared" si="468"/>
        <v>15.5</v>
      </c>
      <c r="BJ559" s="1109">
        <f t="shared" si="468"/>
        <v>15.5</v>
      </c>
    </row>
    <row r="560" spans="2:62" hidden="1" outlineLevel="1">
      <c r="B560" s="1094"/>
      <c r="C560" s="1071" t="str">
        <f t="shared" ref="C560:F560" si="469">C257</f>
        <v>Fire suppression system - Dublin Radar</v>
      </c>
      <c r="D560" s="1071" t="str">
        <f t="shared" si="469"/>
        <v>Fire supression system</v>
      </c>
      <c r="E560" s="1071" t="str">
        <f t="shared" si="469"/>
        <v>U015A</v>
      </c>
      <c r="F560" s="1125" t="str">
        <f t="shared" si="469"/>
        <v>2021-2024</v>
      </c>
      <c r="H560" s="1071" t="s">
        <v>29</v>
      </c>
      <c r="AZ560" s="1108"/>
      <c r="BA560" s="1109"/>
      <c r="BB560" s="1109"/>
      <c r="BC560" s="1109"/>
      <c r="BD560" s="1109"/>
      <c r="BE560" s="1109"/>
      <c r="BF560" s="1109">
        <f t="shared" ref="BF560:BJ560" si="470">IF($J257=0,0,(($BF257*M257)+($BG257*S257)+($BH257*Y257)+($BI257*AE257)+($BJ257*AK257))/$J257)</f>
        <v>0</v>
      </c>
      <c r="BG560" s="1109">
        <f t="shared" si="470"/>
        <v>0</v>
      </c>
      <c r="BH560" s="1109">
        <f t="shared" si="470"/>
        <v>0</v>
      </c>
      <c r="BI560" s="1109">
        <f t="shared" si="470"/>
        <v>3.875</v>
      </c>
      <c r="BJ560" s="1109">
        <f t="shared" si="470"/>
        <v>20.25</v>
      </c>
    </row>
    <row r="561" spans="2:62" hidden="1" outlineLevel="1">
      <c r="B561" s="1094"/>
      <c r="C561" s="1071" t="str">
        <f t="shared" ref="C561:F561" si="471">C258</f>
        <v>Cyber Security / Management</v>
      </c>
      <c r="D561" s="1071" t="str">
        <f t="shared" si="471"/>
        <v>Cyber Security / Management</v>
      </c>
      <c r="E561" s="1071" t="str">
        <f t="shared" si="471"/>
        <v>T001</v>
      </c>
      <c r="F561" s="1125" t="str">
        <f t="shared" si="471"/>
        <v>2021-2024</v>
      </c>
      <c r="H561" s="1071" t="s">
        <v>29</v>
      </c>
      <c r="AZ561" s="1108"/>
      <c r="BA561" s="1109"/>
      <c r="BB561" s="1109"/>
      <c r="BC561" s="1109"/>
      <c r="BD561" s="1109"/>
      <c r="BE561" s="1109"/>
      <c r="BF561" s="1109">
        <f t="shared" ref="BF561:BJ561" si="472">IF($J258=0,0,(($BF258*M258)+($BG258*S258)+($BH258*Y258)+($BI258*AE258)+($BJ258*AK258))/$J258)</f>
        <v>0</v>
      </c>
      <c r="BG561" s="1109">
        <f t="shared" si="472"/>
        <v>0</v>
      </c>
      <c r="BH561" s="1109">
        <f t="shared" si="472"/>
        <v>0</v>
      </c>
      <c r="BI561" s="1109">
        <f t="shared" si="472"/>
        <v>86.873125000000002</v>
      </c>
      <c r="BJ561" s="1109">
        <f t="shared" si="472"/>
        <v>86.873125000000002</v>
      </c>
    </row>
    <row r="562" spans="2:62" hidden="1" outlineLevel="1">
      <c r="B562" s="1094"/>
      <c r="C562" s="1071" t="str">
        <f t="shared" ref="C562:F562" si="473">C259</f>
        <v>ICT Infrastructure</v>
      </c>
      <c r="D562" s="1071" t="str">
        <f t="shared" si="473"/>
        <v>ICT Infrastructure</v>
      </c>
      <c r="E562" s="1071" t="str">
        <f t="shared" si="473"/>
        <v>U020</v>
      </c>
      <c r="F562" s="1125" t="str">
        <f t="shared" si="473"/>
        <v>2021-2024</v>
      </c>
      <c r="H562" s="1071" t="s">
        <v>29</v>
      </c>
      <c r="AZ562" s="1108"/>
      <c r="BA562" s="1109"/>
      <c r="BB562" s="1109"/>
      <c r="BC562" s="1109"/>
      <c r="BD562" s="1109"/>
      <c r="BE562" s="1109"/>
      <c r="BF562" s="1109">
        <f t="shared" ref="BF562:BJ562" si="474">IF($J259=0,0,(($BF259*M259)+($BG259*S259)+($BH259*Y259)+($BI259*AE259)+($BJ259*AK259))/$J259)</f>
        <v>0</v>
      </c>
      <c r="BG562" s="1109">
        <f t="shared" si="474"/>
        <v>0</v>
      </c>
      <c r="BH562" s="1109">
        <f t="shared" si="474"/>
        <v>91.666666666666671</v>
      </c>
      <c r="BI562" s="1109">
        <f t="shared" si="474"/>
        <v>141.66666666666666</v>
      </c>
      <c r="BJ562" s="1109">
        <f t="shared" si="474"/>
        <v>191.66666666666666</v>
      </c>
    </row>
    <row r="563" spans="2:62" hidden="1" outlineLevel="1">
      <c r="B563" s="1094"/>
      <c r="C563" s="1071" t="str">
        <f t="shared" ref="C563:F563" si="475">C260</f>
        <v>Upgrades to cable ducting - remote sites</v>
      </c>
      <c r="D563" s="1071" t="str">
        <f t="shared" si="475"/>
        <v>Upgrades to cable ducting</v>
      </c>
      <c r="E563" s="1071" t="str">
        <f t="shared" si="475"/>
        <v>R007</v>
      </c>
      <c r="F563" s="1125" t="str">
        <f t="shared" si="475"/>
        <v>2021-2024</v>
      </c>
      <c r="H563" s="1071" t="s">
        <v>29</v>
      </c>
      <c r="AZ563" s="1108"/>
      <c r="BA563" s="1109"/>
      <c r="BB563" s="1109"/>
      <c r="BC563" s="1109"/>
      <c r="BD563" s="1109"/>
      <c r="BE563" s="1109"/>
      <c r="BF563" s="1109">
        <f t="shared" ref="BF563:BJ563" si="476">IF($J260=0,0,(($BF260*M260)+($BG260*S260)+($BH260*Y260)+($BI260*AE260)+($BJ260*AK260))/$J260)</f>
        <v>0</v>
      </c>
      <c r="BG563" s="1109">
        <f t="shared" si="476"/>
        <v>0</v>
      </c>
      <c r="BH563" s="1109">
        <f t="shared" si="476"/>
        <v>0</v>
      </c>
      <c r="BI563" s="1109">
        <f t="shared" si="476"/>
        <v>0</v>
      </c>
      <c r="BJ563" s="1109">
        <f t="shared" si="476"/>
        <v>0</v>
      </c>
    </row>
    <row r="564" spans="2:62" hidden="1" outlineLevel="1">
      <c r="B564" s="1094"/>
      <c r="C564" s="1071" t="str">
        <f t="shared" ref="C564:F564" si="477">C261</f>
        <v>Upgrades to cable ducting Woodcock Hill</v>
      </c>
      <c r="D564" s="1071" t="str">
        <f t="shared" si="477"/>
        <v>Upgrades to cable ducting</v>
      </c>
      <c r="E564" s="1071" t="str">
        <f t="shared" si="477"/>
        <v>R007A</v>
      </c>
      <c r="F564" s="1125" t="str">
        <f t="shared" si="477"/>
        <v>2021-2024</v>
      </c>
      <c r="H564" s="1071" t="s">
        <v>29</v>
      </c>
      <c r="AZ564" s="1108"/>
      <c r="BA564" s="1109"/>
      <c r="BB564" s="1109"/>
      <c r="BC564" s="1109"/>
      <c r="BD564" s="1109"/>
      <c r="BE564" s="1109"/>
      <c r="BF564" s="1109">
        <f t="shared" ref="BF564:BJ564" si="478">IF($J261=0,0,(($BF261*M261)+($BG261*S261)+($BH261*Y261)+($BI261*AE261)+($BJ261*AK261))/$J261)</f>
        <v>0</v>
      </c>
      <c r="BG564" s="1109">
        <f t="shared" si="478"/>
        <v>28.719874375</v>
      </c>
      <c r="BH564" s="1109">
        <f t="shared" si="478"/>
        <v>57.43974875</v>
      </c>
      <c r="BI564" s="1109">
        <f t="shared" si="478"/>
        <v>57.43974875</v>
      </c>
      <c r="BJ564" s="1109">
        <f t="shared" si="478"/>
        <v>57.43974875</v>
      </c>
    </row>
    <row r="565" spans="2:62" hidden="1" outlineLevel="1">
      <c r="B565" s="1094"/>
      <c r="C565" s="1071" t="str">
        <f t="shared" ref="C565:F565" si="479">C262</f>
        <v>Upgrades to cable ducting Other remote sites</v>
      </c>
      <c r="D565" s="1071" t="str">
        <f t="shared" si="479"/>
        <v>Upgrades to cable ducting</v>
      </c>
      <c r="E565" s="1071" t="str">
        <f t="shared" si="479"/>
        <v>R007A</v>
      </c>
      <c r="F565" s="1125" t="str">
        <f t="shared" si="479"/>
        <v>2021-2024</v>
      </c>
      <c r="H565" s="1071" t="s">
        <v>29</v>
      </c>
      <c r="AZ565" s="1108"/>
      <c r="BA565" s="1109"/>
      <c r="BB565" s="1109"/>
      <c r="BC565" s="1109"/>
      <c r="BD565" s="1109"/>
      <c r="BE565" s="1109"/>
      <c r="BF565" s="1109">
        <f t="shared" ref="BF565:BJ565" si="480">IF($J262=0,0,(($BF262*M262)+($BG262*S262)+($BH262*Y262)+($BI262*AE262)+($BJ262*AK262))/$J262)</f>
        <v>0</v>
      </c>
      <c r="BG565" s="1109">
        <f t="shared" si="480"/>
        <v>6.5625</v>
      </c>
      <c r="BH565" s="1109">
        <f t="shared" si="480"/>
        <v>13.125</v>
      </c>
      <c r="BI565" s="1109">
        <f t="shared" si="480"/>
        <v>13.125</v>
      </c>
      <c r="BJ565" s="1109">
        <f t="shared" si="480"/>
        <v>13.125</v>
      </c>
    </row>
    <row r="566" spans="2:62" hidden="1" outlineLevel="1">
      <c r="B566" s="1094"/>
      <c r="C566" s="1071" t="str">
        <f t="shared" ref="C566:F566" si="481">C263</f>
        <v>IAA Smart Messenger (AFTN/SMHS) &amp; ROFDS Contingency</v>
      </c>
      <c r="D566" s="1071" t="str">
        <f t="shared" si="481"/>
        <v>IAA Smart Messenger</v>
      </c>
      <c r="E566" s="1071" t="str">
        <f t="shared" si="481"/>
        <v>U005</v>
      </c>
      <c r="F566" s="1125" t="str">
        <f t="shared" si="481"/>
        <v>2021-2024</v>
      </c>
      <c r="H566" s="1071" t="s">
        <v>29</v>
      </c>
      <c r="AZ566" s="1108"/>
      <c r="BA566" s="1109"/>
      <c r="BB566" s="1109"/>
      <c r="BC566" s="1109"/>
      <c r="BD566" s="1109"/>
      <c r="BE566" s="1109"/>
      <c r="BF566" s="1109">
        <f t="shared" ref="BF566:BJ566" si="482">IF($J263=0,0,(($BF263*M263)+($BG263*S263)+($BH263*Y263)+($BI263*AE263)+($BJ263*AK263))/$J263)</f>
        <v>0</v>
      </c>
      <c r="BG566" s="1109">
        <f t="shared" si="482"/>
        <v>0</v>
      </c>
      <c r="BH566" s="1109">
        <f t="shared" si="482"/>
        <v>0</v>
      </c>
      <c r="BI566" s="1109">
        <f t="shared" si="482"/>
        <v>0</v>
      </c>
      <c r="BJ566" s="1109">
        <f t="shared" si="482"/>
        <v>0</v>
      </c>
    </row>
    <row r="567" spans="2:62" hidden="1" outlineLevel="1">
      <c r="B567" s="1094"/>
      <c r="C567" s="1071" t="str">
        <f t="shared" ref="C567:F567" si="483">C264</f>
        <v>IAA Smart Messenger (AFTN/SMHS)</v>
      </c>
      <c r="D567" s="1071" t="str">
        <f t="shared" si="483"/>
        <v>IAA Smart Messenger</v>
      </c>
      <c r="E567" s="1071" t="str">
        <f t="shared" si="483"/>
        <v>U005A</v>
      </c>
      <c r="F567" s="1125" t="str">
        <f t="shared" si="483"/>
        <v>2021-2024</v>
      </c>
      <c r="H567" s="1071" t="s">
        <v>29</v>
      </c>
      <c r="AZ567" s="1108"/>
      <c r="BA567" s="1109"/>
      <c r="BB567" s="1109"/>
      <c r="BC567" s="1109"/>
      <c r="BD567" s="1109"/>
      <c r="BE567" s="1109"/>
      <c r="BF567" s="1109">
        <f t="shared" ref="BF567:BJ567" si="484">IF($J264=0,0,(($BF264*M264)+($BG264*S264)+($BH264*Y264)+($BI264*AE264)+($BJ264*AK264))/$J264)</f>
        <v>0</v>
      </c>
      <c r="BG567" s="1109">
        <f t="shared" si="484"/>
        <v>0</v>
      </c>
      <c r="BH567" s="1109">
        <f t="shared" si="484"/>
        <v>0</v>
      </c>
      <c r="BI567" s="1109">
        <f t="shared" si="484"/>
        <v>62.5</v>
      </c>
      <c r="BJ567" s="1109">
        <f t="shared" si="484"/>
        <v>62.5</v>
      </c>
    </row>
    <row r="568" spans="2:62" hidden="1" outlineLevel="1">
      <c r="B568" s="1094"/>
      <c r="C568" s="1071" t="str">
        <f t="shared" ref="C568:F568" si="485">C265</f>
        <v>BMS Upgrade Dublin / Ballycasey</v>
      </c>
      <c r="D568" s="1071" t="str">
        <f t="shared" si="485"/>
        <v>BMS Upgrade</v>
      </c>
      <c r="E568" s="1071" t="str">
        <f t="shared" si="485"/>
        <v>T010</v>
      </c>
      <c r="F568" s="1125" t="str">
        <f t="shared" si="485"/>
        <v>2021-2024</v>
      </c>
      <c r="H568" s="1071" t="s">
        <v>29</v>
      </c>
      <c r="AZ568" s="1108"/>
      <c r="BA568" s="1109"/>
      <c r="BB568" s="1109"/>
      <c r="BC568" s="1109"/>
      <c r="BD568" s="1109"/>
      <c r="BE568" s="1109"/>
      <c r="BF568" s="1109">
        <f t="shared" ref="BF568:BJ568" si="486">IF($J265=0,0,(($BF265*M265)+($BG265*S265)+($BH265*Y265)+($BI265*AE265)+($BJ265*AK265))/$J265)</f>
        <v>0</v>
      </c>
      <c r="BG568" s="1109">
        <f t="shared" si="486"/>
        <v>0</v>
      </c>
      <c r="BH568" s="1109">
        <f t="shared" si="486"/>
        <v>0</v>
      </c>
      <c r="BI568" s="1109">
        <f t="shared" si="486"/>
        <v>0</v>
      </c>
      <c r="BJ568" s="1109">
        <f t="shared" si="486"/>
        <v>0</v>
      </c>
    </row>
    <row r="569" spans="2:62" hidden="1" outlineLevel="1">
      <c r="B569" s="1094"/>
      <c r="C569" s="1071" t="str">
        <f t="shared" ref="C569:F569" si="487">C266</f>
        <v>BMS Upgrade Dublin</v>
      </c>
      <c r="D569" s="1071" t="str">
        <f t="shared" si="487"/>
        <v>BMS Upgrade</v>
      </c>
      <c r="E569" s="1071" t="str">
        <f t="shared" si="487"/>
        <v>T010A</v>
      </c>
      <c r="F569" s="1125" t="str">
        <f t="shared" si="487"/>
        <v>2021-2024</v>
      </c>
      <c r="H569" s="1071" t="s">
        <v>29</v>
      </c>
      <c r="AZ569" s="1108"/>
      <c r="BA569" s="1109"/>
      <c r="BB569" s="1109"/>
      <c r="BC569" s="1109"/>
      <c r="BD569" s="1109"/>
      <c r="BE569" s="1109"/>
      <c r="BF569" s="1109">
        <f t="shared" ref="BF569:BJ569" si="488">IF($J266=0,0,(($BF266*M266)+($BG266*S266)+($BH266*Y266)+($BI266*AE266)+($BJ266*AK266))/$J266)</f>
        <v>0</v>
      </c>
      <c r="BG569" s="1109">
        <f t="shared" si="488"/>
        <v>0</v>
      </c>
      <c r="BH569" s="1109">
        <f t="shared" si="488"/>
        <v>7.8125</v>
      </c>
      <c r="BI569" s="1109">
        <f t="shared" si="488"/>
        <v>31.25</v>
      </c>
      <c r="BJ569" s="1109">
        <f t="shared" si="488"/>
        <v>31.25</v>
      </c>
    </row>
    <row r="570" spans="2:62" hidden="1" outlineLevel="1">
      <c r="B570" s="1094"/>
      <c r="C570" s="1071" t="str">
        <f t="shared" ref="C570:F570" si="489">C267</f>
        <v>BMS Upgrade Ballycasey</v>
      </c>
      <c r="D570" s="1071" t="str">
        <f t="shared" si="489"/>
        <v>BMS Upgrade</v>
      </c>
      <c r="E570" s="1071" t="str">
        <f t="shared" si="489"/>
        <v>T010A</v>
      </c>
      <c r="F570" s="1125" t="str">
        <f t="shared" si="489"/>
        <v>2021-2024</v>
      </c>
      <c r="H570" s="1071" t="s">
        <v>29</v>
      </c>
      <c r="AZ570" s="1108"/>
      <c r="BA570" s="1109"/>
      <c r="BB570" s="1109"/>
      <c r="BC570" s="1109"/>
      <c r="BD570" s="1109"/>
      <c r="BE570" s="1109"/>
      <c r="BF570" s="1109">
        <f t="shared" ref="BF570:BJ570" si="490">IF($J267=0,0,(($BF267*M267)+($BG267*S267)+($BH267*Y267)+($BI267*AE267)+($BJ267*AK267))/$J267)</f>
        <v>0</v>
      </c>
      <c r="BG570" s="1109">
        <f t="shared" si="490"/>
        <v>0</v>
      </c>
      <c r="BH570" s="1109">
        <f t="shared" si="490"/>
        <v>0</v>
      </c>
      <c r="BI570" s="1109">
        <f t="shared" si="490"/>
        <v>7.8125</v>
      </c>
      <c r="BJ570" s="1109">
        <f t="shared" si="490"/>
        <v>31.25</v>
      </c>
    </row>
    <row r="571" spans="2:62" hidden="1" outlineLevel="1">
      <c r="B571" s="1094"/>
      <c r="C571" s="1071" t="str">
        <f t="shared" ref="C571:F571" si="491">C268</f>
        <v>ARTAS Upgrade</v>
      </c>
      <c r="D571" s="1071" t="str">
        <f t="shared" si="491"/>
        <v>ARTAS Upgrade</v>
      </c>
      <c r="E571" s="1071" t="str">
        <f t="shared" si="491"/>
        <v>RP3-SURV-2</v>
      </c>
      <c r="F571" s="1125" t="str">
        <f t="shared" si="491"/>
        <v>2021-2024</v>
      </c>
      <c r="H571" s="1071" t="s">
        <v>29</v>
      </c>
      <c r="AZ571" s="1108"/>
      <c r="BA571" s="1109"/>
      <c r="BB571" s="1109"/>
      <c r="BC571" s="1109"/>
      <c r="BD571" s="1109"/>
      <c r="BE571" s="1109"/>
      <c r="BF571" s="1109">
        <f t="shared" ref="BF571:BJ571" si="492">IF($J268=0,0,(($BF268*M268)+($BG268*S268)+($BH268*Y268)+($BI268*AE268)+($BJ268*AK268))/$J268)</f>
        <v>0</v>
      </c>
      <c r="BG571" s="1109">
        <f t="shared" si="492"/>
        <v>0</v>
      </c>
      <c r="BH571" s="1109">
        <f t="shared" si="492"/>
        <v>7.8125</v>
      </c>
      <c r="BI571" s="1109">
        <f t="shared" si="492"/>
        <v>39.0625</v>
      </c>
      <c r="BJ571" s="1109">
        <f t="shared" si="492"/>
        <v>62.5</v>
      </c>
    </row>
    <row r="572" spans="2:62" hidden="1" outlineLevel="1">
      <c r="B572" s="1094"/>
      <c r="C572" s="1071" t="str">
        <f t="shared" ref="C572:F572" si="493">C269</f>
        <v>Frequency Expnasion Programme (Knock, Kerry &amp; Dublin)</v>
      </c>
      <c r="D572" s="1071" t="str">
        <f t="shared" si="493"/>
        <v>Frequency Expnasion Programme</v>
      </c>
      <c r="E572" s="1071" t="str">
        <f t="shared" si="493"/>
        <v>R009</v>
      </c>
      <c r="F572" s="1125" t="str">
        <f t="shared" si="493"/>
        <v>2021-2024</v>
      </c>
      <c r="H572" s="1071" t="s">
        <v>29</v>
      </c>
      <c r="AZ572" s="1108"/>
      <c r="BA572" s="1109"/>
      <c r="BB572" s="1109"/>
      <c r="BC572" s="1109"/>
      <c r="BD572" s="1109"/>
      <c r="BE572" s="1109"/>
      <c r="BF572" s="1109">
        <f t="shared" ref="BF572:BJ572" si="494">IF($J269=0,0,(($BF269*M269)+($BG269*S269)+($BH269*Y269)+($BI269*AE269)+($BJ269*AK269))/$J269)</f>
        <v>0</v>
      </c>
      <c r="BG572" s="1109">
        <f t="shared" si="494"/>
        <v>0</v>
      </c>
      <c r="BH572" s="1109">
        <f t="shared" si="494"/>
        <v>0</v>
      </c>
      <c r="BI572" s="1109">
        <f t="shared" si="494"/>
        <v>0</v>
      </c>
      <c r="BJ572" s="1109">
        <f t="shared" si="494"/>
        <v>0</v>
      </c>
    </row>
    <row r="573" spans="2:62" hidden="1" outlineLevel="1">
      <c r="B573" s="1094"/>
      <c r="C573" s="1071" t="str">
        <f t="shared" ref="C573:F573" si="495">C270</f>
        <v>Frequency Expnasion Programme  Dublin</v>
      </c>
      <c r="D573" s="1071" t="str">
        <f t="shared" si="495"/>
        <v>Frequency Expnasion Programme</v>
      </c>
      <c r="E573" s="1071" t="str">
        <f t="shared" si="495"/>
        <v>R009A</v>
      </c>
      <c r="F573" s="1125" t="str">
        <f t="shared" si="495"/>
        <v>2021-2024</v>
      </c>
      <c r="H573" s="1071" t="s">
        <v>29</v>
      </c>
      <c r="AZ573" s="1108"/>
      <c r="BA573" s="1109"/>
      <c r="BB573" s="1109"/>
      <c r="BC573" s="1109"/>
      <c r="BD573" s="1109"/>
      <c r="BE573" s="1109"/>
      <c r="BF573" s="1109">
        <f t="shared" ref="BF573:BJ573" si="496">IF($J270=0,0,(($BF270*M270)+($BG270*S270)+($BH270*Y270)+($BI270*AE270)+($BJ270*AK270))/$J270)</f>
        <v>0</v>
      </c>
      <c r="BG573" s="1109">
        <f t="shared" si="496"/>
        <v>8.875</v>
      </c>
      <c r="BH573" s="1109">
        <f t="shared" si="496"/>
        <v>17.75</v>
      </c>
      <c r="BI573" s="1109">
        <f t="shared" si="496"/>
        <v>17.75</v>
      </c>
      <c r="BJ573" s="1109">
        <f t="shared" si="496"/>
        <v>17.75</v>
      </c>
    </row>
    <row r="574" spans="2:62" hidden="1" outlineLevel="1">
      <c r="B574" s="1094"/>
      <c r="C574" s="1071" t="str">
        <f t="shared" ref="C574:F574" si="497">C271</f>
        <v>Frequency Expnasion Programme Knock</v>
      </c>
      <c r="D574" s="1071" t="str">
        <f t="shared" si="497"/>
        <v>Frequency Expnasion Programme</v>
      </c>
      <c r="E574" s="1071" t="str">
        <f t="shared" si="497"/>
        <v>R009A</v>
      </c>
      <c r="F574" s="1125" t="str">
        <f t="shared" si="497"/>
        <v>2021-2024</v>
      </c>
      <c r="H574" s="1071" t="s">
        <v>29</v>
      </c>
      <c r="AZ574" s="1108"/>
      <c r="BA574" s="1109"/>
      <c r="BB574" s="1109"/>
      <c r="BC574" s="1109"/>
      <c r="BD574" s="1109"/>
      <c r="BE574" s="1109"/>
      <c r="BF574" s="1109">
        <f t="shared" ref="BF574:BJ574" si="498">IF($J271=0,0,(($BF271*M271)+($BG271*S271)+($BH271*Y271)+($BI271*AE271)+($BJ271*AK271))/$J271)</f>
        <v>0</v>
      </c>
      <c r="BG574" s="1109">
        <f t="shared" si="498"/>
        <v>0</v>
      </c>
      <c r="BH574" s="1109">
        <f t="shared" si="498"/>
        <v>0</v>
      </c>
      <c r="BI574" s="1109">
        <f t="shared" si="498"/>
        <v>9.375</v>
      </c>
      <c r="BJ574" s="1109">
        <f t="shared" si="498"/>
        <v>12.5</v>
      </c>
    </row>
    <row r="575" spans="2:62" hidden="1" outlineLevel="1">
      <c r="B575" s="1094"/>
      <c r="C575" s="1071" t="str">
        <f t="shared" ref="C575:F575" si="499">C272</f>
        <v>Frequency Expnasion Programme Shannon (Woodcock Hill, Dooncarton, Glc)</v>
      </c>
      <c r="D575" s="1071" t="str">
        <f t="shared" si="499"/>
        <v>Frequency Expnasion Programme</v>
      </c>
      <c r="E575" s="1071" t="str">
        <f t="shared" si="499"/>
        <v>R009A</v>
      </c>
      <c r="F575" s="1125" t="str">
        <f t="shared" si="499"/>
        <v>2021-2024</v>
      </c>
      <c r="H575" s="1071" t="s">
        <v>29</v>
      </c>
      <c r="AZ575" s="1108"/>
      <c r="BA575" s="1109"/>
      <c r="BB575" s="1109"/>
      <c r="BC575" s="1109"/>
      <c r="BD575" s="1109"/>
      <c r="BE575" s="1109"/>
      <c r="BF575" s="1109">
        <f t="shared" ref="BF575:BJ575" si="500">IF($J272=0,0,(($BF272*M272)+($BG272*S272)+($BH272*Y272)+($BI272*AE272)+($BJ272*AK272))/$J272)</f>
        <v>0</v>
      </c>
      <c r="BG575" s="1109">
        <f t="shared" si="500"/>
        <v>2.5672262500000005</v>
      </c>
      <c r="BH575" s="1109">
        <f t="shared" si="500"/>
        <v>13.237655000000002</v>
      </c>
      <c r="BI575" s="1109">
        <f t="shared" si="500"/>
        <v>22.143905</v>
      </c>
      <c r="BJ575" s="1109">
        <f t="shared" si="500"/>
        <v>22.143905</v>
      </c>
    </row>
    <row r="576" spans="2:62" hidden="1" outlineLevel="1">
      <c r="B576" s="1094"/>
      <c r="C576" s="1071" t="str">
        <f t="shared" ref="C576:F576" si="501">C273</f>
        <v>UPS System Replacement SHN/DUB</v>
      </c>
      <c r="D576" s="1071" t="str">
        <f t="shared" si="501"/>
        <v>UPS System Replacement</v>
      </c>
      <c r="E576" s="1071" t="str">
        <f t="shared" si="501"/>
        <v>S012</v>
      </c>
      <c r="F576" s="1125" t="str">
        <f t="shared" si="501"/>
        <v>2021-2024</v>
      </c>
      <c r="H576" s="1071" t="s">
        <v>29</v>
      </c>
      <c r="AZ576" s="1108"/>
      <c r="BA576" s="1109"/>
      <c r="BB576" s="1109"/>
      <c r="BC576" s="1109"/>
      <c r="BD576" s="1109"/>
      <c r="BE576" s="1109"/>
      <c r="BF576" s="1109">
        <f t="shared" ref="BF576:BJ576" si="502">IF($J273=0,0,(($BF273*M273)+($BG273*S273)+($BH273*Y273)+($BI273*AE273)+($BJ273*AK273))/$J273)</f>
        <v>0</v>
      </c>
      <c r="BG576" s="1109">
        <f t="shared" si="502"/>
        <v>0</v>
      </c>
      <c r="BH576" s="1109">
        <f t="shared" si="502"/>
        <v>0</v>
      </c>
      <c r="BI576" s="1109">
        <f t="shared" si="502"/>
        <v>0</v>
      </c>
      <c r="BJ576" s="1109">
        <f t="shared" si="502"/>
        <v>0</v>
      </c>
    </row>
    <row r="577" spans="2:62" hidden="1" outlineLevel="1">
      <c r="B577" s="1094"/>
      <c r="C577" s="1071" t="str">
        <f t="shared" ref="C577:F577" si="503">C274</f>
        <v>UPS System Replacement DUB</v>
      </c>
      <c r="D577" s="1071" t="str">
        <f t="shared" si="503"/>
        <v>UPS System Replacement</v>
      </c>
      <c r="E577" s="1071" t="str">
        <f t="shared" si="503"/>
        <v>S012A</v>
      </c>
      <c r="F577" s="1125" t="str">
        <f t="shared" si="503"/>
        <v>2021-2024</v>
      </c>
      <c r="H577" s="1071" t="s">
        <v>29</v>
      </c>
      <c r="AZ577" s="1108"/>
      <c r="BA577" s="1109"/>
      <c r="BB577" s="1109"/>
      <c r="BC577" s="1109"/>
      <c r="BD577" s="1109"/>
      <c r="BE577" s="1109"/>
      <c r="BF577" s="1109">
        <f t="shared" ref="BF577:BJ577" si="504">IF($J274=0,0,(($BF274*M274)+($BG274*S274)+($BH274*Y274)+($BI274*AE274)+($BJ274*AK274))/$J274)</f>
        <v>0</v>
      </c>
      <c r="BG577" s="1109">
        <f t="shared" si="504"/>
        <v>13.445077500000002</v>
      </c>
      <c r="BH577" s="1109">
        <f t="shared" si="504"/>
        <v>26.890155000000004</v>
      </c>
      <c r="BI577" s="1109">
        <f t="shared" si="504"/>
        <v>26.890155000000004</v>
      </c>
      <c r="BJ577" s="1109">
        <f t="shared" si="504"/>
        <v>26.890155000000004</v>
      </c>
    </row>
    <row r="578" spans="2:62" hidden="1" outlineLevel="1">
      <c r="B578" s="1094"/>
      <c r="C578" s="1071" t="str">
        <f t="shared" ref="C578:F578" si="505">C275</f>
        <v>UPS System Replacement SHN</v>
      </c>
      <c r="D578" s="1071" t="str">
        <f t="shared" si="505"/>
        <v>UPS System Replacement</v>
      </c>
      <c r="E578" s="1071" t="str">
        <f t="shared" si="505"/>
        <v>S012A</v>
      </c>
      <c r="F578" s="1125" t="str">
        <f t="shared" si="505"/>
        <v>2021-2024</v>
      </c>
      <c r="H578" s="1071" t="s">
        <v>29</v>
      </c>
      <c r="AZ578" s="1108"/>
      <c r="BA578" s="1109"/>
      <c r="BB578" s="1109"/>
      <c r="BC578" s="1109"/>
      <c r="BD578" s="1109"/>
      <c r="BE578" s="1109"/>
      <c r="BF578" s="1109">
        <f t="shared" ref="BF578:BJ578" si="506">IF($J275=0,0,(($BF275*M275)+($BG275*S275)+($BH275*Y275)+($BI275*AE275)+($BJ275*AK275))/$J275)</f>
        <v>0</v>
      </c>
      <c r="BG578" s="1109">
        <f t="shared" si="506"/>
        <v>12.5</v>
      </c>
      <c r="BH578" s="1109">
        <f t="shared" si="506"/>
        <v>25</v>
      </c>
      <c r="BI578" s="1109">
        <f t="shared" si="506"/>
        <v>25</v>
      </c>
      <c r="BJ578" s="1109">
        <f t="shared" si="506"/>
        <v>25</v>
      </c>
    </row>
    <row r="579" spans="2:62" hidden="1" outlineLevel="1">
      <c r="B579" s="1094"/>
      <c r="C579" s="1071" t="str">
        <f t="shared" ref="C579:F579" si="507">C276</f>
        <v>Remote Power Management</v>
      </c>
      <c r="D579" s="1071" t="str">
        <f t="shared" si="507"/>
        <v>Remote Power Management</v>
      </c>
      <c r="E579" s="1071" t="str">
        <f t="shared" si="507"/>
        <v>R012</v>
      </c>
      <c r="F579" s="1125" t="str">
        <f t="shared" si="507"/>
        <v>2021-2024</v>
      </c>
      <c r="H579" s="1071" t="s">
        <v>29</v>
      </c>
      <c r="AZ579" s="1108"/>
      <c r="BA579" s="1109"/>
      <c r="BB579" s="1109"/>
      <c r="BC579" s="1109"/>
      <c r="BD579" s="1109"/>
      <c r="BE579" s="1109"/>
      <c r="BF579" s="1109">
        <f t="shared" ref="BF579:BJ579" si="508">IF($J276=0,0,(($BF276*M276)+($BG276*S276)+($BH276*Y276)+($BI276*AE276)+($BJ276*AK276))/$J276)</f>
        <v>0</v>
      </c>
      <c r="BG579" s="1109">
        <f t="shared" si="508"/>
        <v>0</v>
      </c>
      <c r="BH579" s="1109">
        <f t="shared" si="508"/>
        <v>0</v>
      </c>
      <c r="BI579" s="1109">
        <f t="shared" si="508"/>
        <v>12.844078125000001</v>
      </c>
      <c r="BJ579" s="1109">
        <f t="shared" si="508"/>
        <v>51.376312500000004</v>
      </c>
    </row>
    <row r="580" spans="2:62" hidden="1" outlineLevel="1">
      <c r="B580" s="1094"/>
      <c r="C580" s="1071" t="str">
        <f t="shared" ref="C580:F580" si="509">C277</f>
        <v>A-SMGCS Enhancements</v>
      </c>
      <c r="D580" s="1071" t="str">
        <f t="shared" si="509"/>
        <v>A-SMGCS Enhancements</v>
      </c>
      <c r="E580" s="1071" t="str">
        <f t="shared" si="509"/>
        <v>R015</v>
      </c>
      <c r="F580" s="1125" t="str">
        <f t="shared" si="509"/>
        <v>2021-2024</v>
      </c>
      <c r="H580" s="1071" t="s">
        <v>29</v>
      </c>
      <c r="AZ580" s="1108"/>
      <c r="BA580" s="1109"/>
      <c r="BB580" s="1109"/>
      <c r="BC580" s="1109"/>
      <c r="BD580" s="1109"/>
      <c r="BE580" s="1109"/>
      <c r="BF580" s="1109">
        <f t="shared" ref="BF580:BJ580" si="510">IF($J277=0,0,(($BF277*M277)+($BG277*S277)+($BH277*Y277)+($BI277*AE277)+($BJ277*AK277))/$J277)</f>
        <v>0</v>
      </c>
      <c r="BG580" s="1109">
        <f t="shared" si="510"/>
        <v>8.0211765624999991</v>
      </c>
      <c r="BH580" s="1109">
        <f t="shared" si="510"/>
        <v>32.084706249999996</v>
      </c>
      <c r="BI580" s="1109">
        <f t="shared" si="510"/>
        <v>50.834706250000011</v>
      </c>
      <c r="BJ580" s="1109">
        <f t="shared" si="510"/>
        <v>50.834706249999989</v>
      </c>
    </row>
    <row r="581" spans="2:62" hidden="1" outlineLevel="1">
      <c r="B581" s="1094"/>
      <c r="C581" s="1071" t="str">
        <f t="shared" ref="C581:F581" si="511">C278</f>
        <v>LAN &amp; WAN Cybersecurity</v>
      </c>
      <c r="D581" s="1071" t="str">
        <f t="shared" si="511"/>
        <v>LAN &amp; WAN Cybersecurity</v>
      </c>
      <c r="E581" s="1071" t="str">
        <f t="shared" si="511"/>
        <v>V006</v>
      </c>
      <c r="F581" s="1125" t="str">
        <f t="shared" si="511"/>
        <v>2021-2024</v>
      </c>
      <c r="H581" s="1071" t="s">
        <v>29</v>
      </c>
      <c r="AZ581" s="1108"/>
      <c r="BA581" s="1109"/>
      <c r="BB581" s="1109"/>
      <c r="BC581" s="1109"/>
      <c r="BD581" s="1109"/>
      <c r="BE581" s="1109"/>
      <c r="BF581" s="1109">
        <f t="shared" ref="BF581:BJ581" si="512">IF($J278=0,0,(($BF278*M278)+($BG278*S278)+($BH278*Y278)+($BI278*AE278)+($BJ278*AK278))/$J278)</f>
        <v>0</v>
      </c>
      <c r="BG581" s="1109">
        <f t="shared" si="512"/>
        <v>0</v>
      </c>
      <c r="BH581" s="1109">
        <f t="shared" si="512"/>
        <v>0</v>
      </c>
      <c r="BI581" s="1109">
        <f t="shared" si="512"/>
        <v>0</v>
      </c>
      <c r="BJ581" s="1109">
        <f t="shared" si="512"/>
        <v>0</v>
      </c>
    </row>
    <row r="582" spans="2:62" hidden="1" outlineLevel="1">
      <c r="B582" s="1094"/>
      <c r="C582" s="1071" t="str">
        <f t="shared" ref="C582:F582" si="513">C279</f>
        <v>LAN &amp; WAN Cybersecurity HQ</v>
      </c>
      <c r="D582" s="1071" t="str">
        <f t="shared" si="513"/>
        <v>LAN &amp; WAN Cybersecurity</v>
      </c>
      <c r="E582" s="1071" t="str">
        <f t="shared" si="513"/>
        <v>V006A</v>
      </c>
      <c r="F582" s="1125" t="str">
        <f t="shared" si="513"/>
        <v>2021-2024</v>
      </c>
      <c r="H582" s="1071" t="s">
        <v>29</v>
      </c>
      <c r="AZ582" s="1108"/>
      <c r="BA582" s="1109"/>
      <c r="BB582" s="1109"/>
      <c r="BC582" s="1109"/>
      <c r="BD582" s="1109"/>
      <c r="BE582" s="1109"/>
      <c r="BF582" s="1109">
        <f t="shared" ref="BF582:BJ582" si="514">IF($J279=0,0,(($BF279*M279)+($BG279*S279)+($BH279*Y279)+($BI279*AE279)+($BJ279*AK279))/$J279)</f>
        <v>0</v>
      </c>
      <c r="BG582" s="1109">
        <f t="shared" si="514"/>
        <v>0</v>
      </c>
      <c r="BH582" s="1109">
        <f t="shared" si="514"/>
        <v>37.916666666666664</v>
      </c>
      <c r="BI582" s="1109">
        <f t="shared" si="514"/>
        <v>75.833333333333329</v>
      </c>
      <c r="BJ582" s="1109">
        <f t="shared" si="514"/>
        <v>75.833333333333329</v>
      </c>
    </row>
    <row r="583" spans="2:62" hidden="1" outlineLevel="1">
      <c r="B583" s="1094"/>
      <c r="C583" s="1071" t="str">
        <f t="shared" ref="C583:F583" si="515">C280</f>
        <v>LAN &amp; WAN Cybersecurity SHN</v>
      </c>
      <c r="D583" s="1071" t="str">
        <f t="shared" si="515"/>
        <v>LAN &amp; WAN Cybersecurity</v>
      </c>
      <c r="E583" s="1071" t="str">
        <f t="shared" si="515"/>
        <v>V006A</v>
      </c>
      <c r="F583" s="1125" t="str">
        <f t="shared" si="515"/>
        <v>2021-2024</v>
      </c>
      <c r="H583" s="1071" t="s">
        <v>29</v>
      </c>
      <c r="AZ583" s="1108"/>
      <c r="BA583" s="1109"/>
      <c r="BB583" s="1109"/>
      <c r="BC583" s="1109"/>
      <c r="BD583" s="1109"/>
      <c r="BE583" s="1109"/>
      <c r="BF583" s="1109">
        <f t="shared" ref="BF583:BJ583" si="516">IF($J280=0,0,(($BF280*M280)+($BG280*S280)+($BH280*Y280)+($BI280*AE280)+($BJ280*AK280))/$J280)</f>
        <v>0</v>
      </c>
      <c r="BG583" s="1109">
        <f t="shared" si="516"/>
        <v>0</v>
      </c>
      <c r="BH583" s="1109">
        <f t="shared" si="516"/>
        <v>20.416666666666668</v>
      </c>
      <c r="BI583" s="1109">
        <f t="shared" si="516"/>
        <v>40.833333333333336</v>
      </c>
      <c r="BJ583" s="1109">
        <f t="shared" si="516"/>
        <v>40.833333333333336</v>
      </c>
    </row>
    <row r="584" spans="2:62" hidden="1" outlineLevel="1">
      <c r="B584" s="1094"/>
      <c r="C584" s="1071" t="str">
        <f t="shared" ref="C584:F584" si="517">C281</f>
        <v>Hardware &amp; Software Provision</v>
      </c>
      <c r="D584" s="1071" t="str">
        <f t="shared" si="517"/>
        <v>Hardware &amp; Software Provision</v>
      </c>
      <c r="E584" s="1071" t="str">
        <f t="shared" si="517"/>
        <v>T018</v>
      </c>
      <c r="F584" s="1125" t="str">
        <f t="shared" si="517"/>
        <v>2021-2024</v>
      </c>
      <c r="H584" s="1071" t="s">
        <v>29</v>
      </c>
      <c r="AZ584" s="1108"/>
      <c r="BA584" s="1109"/>
      <c r="BB584" s="1109"/>
      <c r="BC584" s="1109"/>
      <c r="BD584" s="1109"/>
      <c r="BE584" s="1109"/>
      <c r="BF584" s="1109">
        <f t="shared" ref="BF584:BJ584" si="518">IF($J281=0,0,(($BF281*M281)+($BG281*S281)+($BH281*Y281)+($BI281*AE281)+($BJ281*AK281))/$J281)</f>
        <v>0</v>
      </c>
      <c r="BG584" s="1109">
        <f t="shared" si="518"/>
        <v>0</v>
      </c>
      <c r="BH584" s="1109">
        <f t="shared" si="518"/>
        <v>0</v>
      </c>
      <c r="BI584" s="1109">
        <f t="shared" si="518"/>
        <v>0</v>
      </c>
      <c r="BJ584" s="1109">
        <f t="shared" si="518"/>
        <v>0</v>
      </c>
    </row>
    <row r="585" spans="2:62" hidden="1" outlineLevel="1">
      <c r="B585" s="1094"/>
      <c r="C585" s="1071" t="str">
        <f t="shared" ref="C585:F585" si="519">C282</f>
        <v>HW/SW Provision HQ - OTHER</v>
      </c>
      <c r="D585" s="1071" t="str">
        <f t="shared" si="519"/>
        <v>Hardware &amp; Software Provision</v>
      </c>
      <c r="E585" s="1071" t="str">
        <f t="shared" si="519"/>
        <v>T018A</v>
      </c>
      <c r="F585" s="1125" t="str">
        <f t="shared" si="519"/>
        <v>2021-2024</v>
      </c>
      <c r="H585" s="1071" t="s">
        <v>29</v>
      </c>
      <c r="AZ585" s="1108"/>
      <c r="BA585" s="1109"/>
      <c r="BB585" s="1109"/>
      <c r="BC585" s="1109"/>
      <c r="BD585" s="1109"/>
      <c r="BE585" s="1109"/>
      <c r="BF585" s="1109">
        <f t="shared" ref="BF585:BJ585" si="520">IF($J282=0,0,(($BF282*M282)+($BG282*S282)+($BH282*Y282)+($BI282*AE282)+($BJ282*AK282))/$J282)</f>
        <v>0</v>
      </c>
      <c r="BG585" s="1109">
        <f t="shared" si="520"/>
        <v>1.8227647312499995</v>
      </c>
      <c r="BH585" s="1109">
        <f t="shared" si="520"/>
        <v>2.4303529749999995</v>
      </c>
      <c r="BI585" s="1109">
        <f t="shared" si="520"/>
        <v>2.4303529749999995</v>
      </c>
      <c r="BJ585" s="1109">
        <f t="shared" si="520"/>
        <v>0.60758824374999987</v>
      </c>
    </row>
    <row r="586" spans="2:62" hidden="1" outlineLevel="1">
      <c r="B586" s="1094"/>
      <c r="C586" s="1071" t="str">
        <f t="shared" ref="C586:F586" si="521">C283</f>
        <v>HW/SW Provision DUB</v>
      </c>
      <c r="D586" s="1071" t="str">
        <f t="shared" si="521"/>
        <v>Hardware &amp; Software Provision</v>
      </c>
      <c r="E586" s="1071" t="str">
        <f t="shared" si="521"/>
        <v>T018A</v>
      </c>
      <c r="F586" s="1125" t="str">
        <f t="shared" si="521"/>
        <v>2021-2024</v>
      </c>
      <c r="H586" s="1071" t="s">
        <v>29</v>
      </c>
      <c r="AZ586" s="1108"/>
      <c r="BA586" s="1109"/>
      <c r="BB586" s="1109"/>
      <c r="BC586" s="1109"/>
      <c r="BD586" s="1109"/>
      <c r="BE586" s="1109"/>
      <c r="BF586" s="1109">
        <f t="shared" ref="BF586:BJ586" si="522">IF($J283=0,0,(($BF283*M283)+($BG283*S283)+($BH283*Y283)+($BI283*AE283)+($BJ283*AK283))/$J283)</f>
        <v>0</v>
      </c>
      <c r="BG586" s="1109">
        <f t="shared" si="522"/>
        <v>1.8227647312499995</v>
      </c>
      <c r="BH586" s="1109">
        <f t="shared" si="522"/>
        <v>2.4303529749999995</v>
      </c>
      <c r="BI586" s="1109">
        <f t="shared" si="522"/>
        <v>2.4303529749999995</v>
      </c>
      <c r="BJ586" s="1109">
        <f t="shared" si="522"/>
        <v>0.60758824374999987</v>
      </c>
    </row>
    <row r="587" spans="2:62" hidden="1" outlineLevel="1">
      <c r="B587" s="1094"/>
      <c r="C587" s="1071" t="str">
        <f t="shared" ref="C587:F587" si="523">C284</f>
        <v>HW/SW Provision SHN</v>
      </c>
      <c r="D587" s="1071" t="str">
        <f t="shared" si="523"/>
        <v>Hardware &amp; Software Provision</v>
      </c>
      <c r="E587" s="1071" t="str">
        <f t="shared" si="523"/>
        <v>T018A</v>
      </c>
      <c r="F587" s="1125" t="str">
        <f t="shared" si="523"/>
        <v>2021-2024</v>
      </c>
      <c r="H587" s="1071" t="s">
        <v>29</v>
      </c>
      <c r="AZ587" s="1108"/>
      <c r="BA587" s="1109"/>
      <c r="BB587" s="1109"/>
      <c r="BC587" s="1109"/>
      <c r="BD587" s="1109"/>
      <c r="BE587" s="1109"/>
      <c r="BF587" s="1109">
        <f t="shared" ref="BF587:BJ587" si="524">IF($J284=0,0,(($BF284*M284)+($BG284*S284)+($BH284*Y284)+($BI284*AE284)+($BJ284*AK284))/$J284)</f>
        <v>0</v>
      </c>
      <c r="BG587" s="1109">
        <f t="shared" si="524"/>
        <v>1.8227647312499995</v>
      </c>
      <c r="BH587" s="1109">
        <f t="shared" si="524"/>
        <v>2.4303529749999995</v>
      </c>
      <c r="BI587" s="1109">
        <f t="shared" si="524"/>
        <v>2.4303529749999995</v>
      </c>
      <c r="BJ587" s="1109">
        <f t="shared" si="524"/>
        <v>0.60758824374999987</v>
      </c>
    </row>
    <row r="588" spans="2:62" hidden="1" outlineLevel="1">
      <c r="B588" s="1094"/>
      <c r="C588" s="1071" t="str">
        <f t="shared" ref="C588:F588" si="525">C285</f>
        <v>HW/SW Provision</v>
      </c>
      <c r="D588" s="1071" t="str">
        <f t="shared" si="525"/>
        <v>Hardware &amp; Software Provision</v>
      </c>
      <c r="E588" s="1071" t="str">
        <f t="shared" si="525"/>
        <v>V004</v>
      </c>
      <c r="F588" s="1125" t="str">
        <f t="shared" si="525"/>
        <v>2021-2024</v>
      </c>
      <c r="H588" s="1071" t="s">
        <v>29</v>
      </c>
      <c r="AZ588" s="1108"/>
      <c r="BA588" s="1109"/>
      <c r="BB588" s="1109"/>
      <c r="BC588" s="1109"/>
      <c r="BD588" s="1109"/>
      <c r="BE588" s="1109"/>
      <c r="BF588" s="1109">
        <f t="shared" ref="BF588:BJ588" si="526">IF($J285=0,0,(($BF285*M285)+($BG285*S285)+($BH285*Y285)+($BI285*AE285)+($BJ285*AK285))/$J285)</f>
        <v>0</v>
      </c>
      <c r="BG588" s="1109">
        <f t="shared" si="526"/>
        <v>0</v>
      </c>
      <c r="BH588" s="1109">
        <f t="shared" si="526"/>
        <v>0</v>
      </c>
      <c r="BI588" s="1109">
        <f t="shared" si="526"/>
        <v>0</v>
      </c>
      <c r="BJ588" s="1109">
        <f t="shared" si="526"/>
        <v>0</v>
      </c>
    </row>
    <row r="589" spans="2:62" hidden="1" outlineLevel="1">
      <c r="B589" s="1094"/>
      <c r="C589" s="1071" t="str">
        <f t="shared" ref="C589:F589" si="527">C286</f>
        <v>HW/SW Provision HQ - OTHER</v>
      </c>
      <c r="D589" s="1071" t="str">
        <f t="shared" si="527"/>
        <v>Hardware &amp; Software Provision</v>
      </c>
      <c r="E589" s="1071" t="str">
        <f t="shared" si="527"/>
        <v>V004A</v>
      </c>
      <c r="F589" s="1125" t="str">
        <f t="shared" si="527"/>
        <v>2021-2024</v>
      </c>
      <c r="H589" s="1071" t="s">
        <v>29</v>
      </c>
      <c r="AZ589" s="1108"/>
      <c r="BA589" s="1109"/>
      <c r="BB589" s="1109"/>
      <c r="BC589" s="1109"/>
      <c r="BD589" s="1109"/>
      <c r="BE589" s="1109"/>
      <c r="BF589" s="1109">
        <f t="shared" ref="BF589:BJ589" si="528">IF($J286=0,0,(($BF286*M286)+($BG286*S286)+($BH286*Y286)+($BI286*AE286)+($BJ286*AK286))/$J286)</f>
        <v>0</v>
      </c>
      <c r="BG589" s="1109">
        <f t="shared" si="528"/>
        <v>9.1145833333333321</v>
      </c>
      <c r="BH589" s="1109">
        <f t="shared" si="528"/>
        <v>23.697916666666664</v>
      </c>
      <c r="BI589" s="1109">
        <f t="shared" si="528"/>
        <v>38.281250000000007</v>
      </c>
      <c r="BJ589" s="1109">
        <f t="shared" si="528"/>
        <v>43.750000000000007</v>
      </c>
    </row>
    <row r="590" spans="2:62" hidden="1" outlineLevel="1">
      <c r="B590" s="1094"/>
      <c r="C590" s="1071" t="str">
        <f t="shared" ref="C590:F590" si="529">C287</f>
        <v>HW/SW Provision DUB</v>
      </c>
      <c r="D590" s="1071" t="str">
        <f t="shared" si="529"/>
        <v>Hardware &amp; Software Provision</v>
      </c>
      <c r="E590" s="1071" t="str">
        <f t="shared" si="529"/>
        <v>V004A</v>
      </c>
      <c r="F590" s="1125" t="str">
        <f t="shared" si="529"/>
        <v>2021-2024</v>
      </c>
      <c r="H590" s="1071" t="s">
        <v>29</v>
      </c>
      <c r="AZ590" s="1108"/>
      <c r="BA590" s="1109"/>
      <c r="BB590" s="1109"/>
      <c r="BC590" s="1109"/>
      <c r="BD590" s="1109"/>
      <c r="BE590" s="1109"/>
      <c r="BF590" s="1109">
        <f t="shared" ref="BF590:BJ590" si="530">IF($J287=0,0,(($BF287*M287)+($BG287*S287)+($BH287*Y287)+($BI287*AE287)+($BJ287*AK287))/$J287)</f>
        <v>0</v>
      </c>
      <c r="BG590" s="1109">
        <f t="shared" si="530"/>
        <v>3.90625</v>
      </c>
      <c r="BH590" s="1109">
        <f t="shared" si="530"/>
        <v>10.15625</v>
      </c>
      <c r="BI590" s="1109">
        <f t="shared" si="530"/>
        <v>16.40625</v>
      </c>
      <c r="BJ590" s="1109">
        <f t="shared" si="530"/>
        <v>18.75</v>
      </c>
    </row>
    <row r="591" spans="2:62" hidden="1" outlineLevel="1">
      <c r="B591" s="1094"/>
      <c r="C591" s="1071" t="str">
        <f t="shared" ref="C591:F591" si="531">C288</f>
        <v>HW/SW Provision SHN</v>
      </c>
      <c r="D591" s="1071" t="str">
        <f t="shared" si="531"/>
        <v>Hardware &amp; Software Provision</v>
      </c>
      <c r="E591" s="1071" t="str">
        <f t="shared" si="531"/>
        <v>V004A</v>
      </c>
      <c r="F591" s="1125" t="str">
        <f t="shared" si="531"/>
        <v>2021-2024</v>
      </c>
      <c r="H591" s="1071" t="s">
        <v>29</v>
      </c>
      <c r="AZ591" s="1108"/>
      <c r="BA591" s="1109"/>
      <c r="BB591" s="1109"/>
      <c r="BC591" s="1109"/>
      <c r="BD591" s="1109"/>
      <c r="BE591" s="1109"/>
      <c r="BF591" s="1109">
        <f t="shared" ref="BF591:BJ591" si="532">IF($J288=0,0,(($BF288*M288)+($BG288*S288)+($BH288*Y288)+($BI288*AE288)+($BJ288*AK288))/$J288)</f>
        <v>0</v>
      </c>
      <c r="BG591" s="1109">
        <f t="shared" si="532"/>
        <v>3.90625</v>
      </c>
      <c r="BH591" s="1109">
        <f t="shared" si="532"/>
        <v>10.15625</v>
      </c>
      <c r="BI591" s="1109">
        <f t="shared" si="532"/>
        <v>16.40625</v>
      </c>
      <c r="BJ591" s="1109">
        <f t="shared" si="532"/>
        <v>18.75</v>
      </c>
    </row>
    <row r="592" spans="2:62" hidden="1" outlineLevel="1">
      <c r="B592" s="1094"/>
      <c r="C592" s="1071" t="str">
        <f t="shared" ref="C592:F592" si="533">C289</f>
        <v>Automated Dependent Surveillance Broadcast Evaluation (ADS-B)</v>
      </c>
      <c r="D592" s="1071" t="str">
        <f t="shared" si="533"/>
        <v>Automated Dependent Surveillance Broadcast Evaluation (ADS-B)</v>
      </c>
      <c r="E592" s="1071" t="str">
        <f t="shared" si="533"/>
        <v>K010</v>
      </c>
      <c r="F592" s="1125" t="str">
        <f t="shared" si="533"/>
        <v>2021-2024</v>
      </c>
      <c r="H592" s="1071" t="s">
        <v>29</v>
      </c>
      <c r="AZ592" s="1108"/>
      <c r="BA592" s="1109"/>
      <c r="BB592" s="1109"/>
      <c r="BC592" s="1109"/>
      <c r="BD592" s="1109"/>
      <c r="BE592" s="1109"/>
      <c r="BF592" s="1109">
        <f t="shared" ref="BF592:BJ592" si="534">IF($J289=0,0,(($BF289*M289)+($BG289*S289)+($BH289*Y289)+($BI289*AE289)+($BJ289*AK289))/$J289)</f>
        <v>0</v>
      </c>
      <c r="BG592" s="1109">
        <f t="shared" si="534"/>
        <v>0</v>
      </c>
      <c r="BH592" s="1109">
        <f t="shared" si="534"/>
        <v>10.4490159375</v>
      </c>
      <c r="BI592" s="1109">
        <f t="shared" si="534"/>
        <v>41.796063750000002</v>
      </c>
      <c r="BJ592" s="1109">
        <f t="shared" si="534"/>
        <v>41.796063750000002</v>
      </c>
    </row>
    <row r="593" spans="2:62" hidden="1" outlineLevel="1">
      <c r="B593" s="1094"/>
      <c r="C593" s="1071" t="str">
        <f t="shared" ref="C593:F593" si="535">C290</f>
        <v>Off the Glass Recording for VCCS Touchscreens</v>
      </c>
      <c r="D593" s="1071" t="str">
        <f t="shared" si="535"/>
        <v>Off the Glass Recording</v>
      </c>
      <c r="E593" s="1071" t="str">
        <f t="shared" si="535"/>
        <v>P004</v>
      </c>
      <c r="F593" s="1125" t="str">
        <f t="shared" si="535"/>
        <v>2021-2024</v>
      </c>
      <c r="H593" s="1071" t="s">
        <v>29</v>
      </c>
      <c r="AZ593" s="1108"/>
      <c r="BA593" s="1109"/>
      <c r="BB593" s="1109"/>
      <c r="BC593" s="1109"/>
      <c r="BD593" s="1109"/>
      <c r="BE593" s="1109"/>
      <c r="BF593" s="1109">
        <f t="shared" ref="BF593:BJ593" si="536">IF($J290=0,0,(($BF290*M290)+($BG290*S290)+($BH290*Y290)+($BI290*AE290)+($BJ290*AK290))/$J290)</f>
        <v>0</v>
      </c>
      <c r="BG593" s="1109">
        <f t="shared" si="536"/>
        <v>0</v>
      </c>
      <c r="BH593" s="1109">
        <f t="shared" si="536"/>
        <v>0</v>
      </c>
      <c r="BI593" s="1109">
        <f t="shared" si="536"/>
        <v>0</v>
      </c>
      <c r="BJ593" s="1109">
        <f t="shared" si="536"/>
        <v>0</v>
      </c>
    </row>
    <row r="594" spans="2:62" hidden="1" outlineLevel="1">
      <c r="B594" s="1094"/>
      <c r="C594" s="1071" t="str">
        <f t="shared" ref="C594:F594" si="537">C291</f>
        <v>Off Glass Recording VCCS Dublin</v>
      </c>
      <c r="D594" s="1071" t="str">
        <f t="shared" si="537"/>
        <v>Off the Glass Recording</v>
      </c>
      <c r="E594" s="1071" t="str">
        <f t="shared" si="537"/>
        <v>P004A</v>
      </c>
      <c r="F594" s="1125" t="str">
        <f t="shared" si="537"/>
        <v>2021-2024</v>
      </c>
      <c r="H594" s="1071" t="s">
        <v>29</v>
      </c>
      <c r="AZ594" s="1108"/>
      <c r="BA594" s="1109"/>
      <c r="BB594" s="1109"/>
      <c r="BC594" s="1109"/>
      <c r="BD594" s="1109"/>
      <c r="BE594" s="1109"/>
      <c r="BF594" s="1109">
        <f t="shared" ref="BF594:BJ594" si="538">IF($J291=0,0,(($BF291*M291)+($BG291*S291)+($BH291*Y291)+($BI291*AE291)+($BJ291*AK291))/$J291)</f>
        <v>0</v>
      </c>
      <c r="BG594" s="1109">
        <f t="shared" si="538"/>
        <v>20.150303124999997</v>
      </c>
      <c r="BH594" s="1109">
        <f t="shared" si="538"/>
        <v>40.300606249999994</v>
      </c>
      <c r="BI594" s="1109">
        <f t="shared" si="538"/>
        <v>40.300606249999994</v>
      </c>
      <c r="BJ594" s="1109">
        <f t="shared" si="538"/>
        <v>40.300606249999994</v>
      </c>
    </row>
    <row r="595" spans="2:62" hidden="1" outlineLevel="1">
      <c r="B595" s="1094"/>
      <c r="C595" s="1071" t="str">
        <f t="shared" ref="C595:F595" si="539">C292</f>
        <v>Cessation of E1 Crcuits and Migration to IP (ERIN etc)</v>
      </c>
      <c r="D595" s="1071" t="str">
        <f t="shared" si="539"/>
        <v>Cessation of E1 Crcuits and Migration to IP (ERIN etc)</v>
      </c>
      <c r="E595" s="1071" t="str">
        <f t="shared" si="539"/>
        <v>V008</v>
      </c>
      <c r="F595" s="1125" t="str">
        <f t="shared" si="539"/>
        <v>2021-2024</v>
      </c>
      <c r="H595" s="1071" t="s">
        <v>29</v>
      </c>
      <c r="AZ595" s="1108"/>
      <c r="BA595" s="1109"/>
      <c r="BB595" s="1109"/>
      <c r="BC595" s="1109"/>
      <c r="BD595" s="1109"/>
      <c r="BE595" s="1109"/>
      <c r="BF595" s="1109">
        <f t="shared" ref="BF595:BJ595" si="540">IF($J292=0,0,(($BF292*M292)+($BG292*S292)+($BH292*Y292)+($BI292*AE292)+($BJ292*AK292))/$J292)</f>
        <v>0</v>
      </c>
      <c r="BG595" s="1109">
        <f t="shared" si="540"/>
        <v>0</v>
      </c>
      <c r="BH595" s="1109">
        <f t="shared" si="540"/>
        <v>0</v>
      </c>
      <c r="BI595" s="1109">
        <f t="shared" si="540"/>
        <v>37.5</v>
      </c>
      <c r="BJ595" s="1109">
        <f t="shared" si="540"/>
        <v>37.5</v>
      </c>
    </row>
    <row r="596" spans="2:62" hidden="1" outlineLevel="1">
      <c r="B596" s="1094"/>
      <c r="C596" s="1071" t="str">
        <f t="shared" ref="C596:F596" si="541">C293</f>
        <v>Generator Replacement Programmes</v>
      </c>
      <c r="D596" s="1071" t="str">
        <f t="shared" si="541"/>
        <v>Generator Replacement Programmes</v>
      </c>
      <c r="E596" s="1071" t="str">
        <f t="shared" si="541"/>
        <v>RP3-SURV-3</v>
      </c>
      <c r="F596" s="1125" t="str">
        <f t="shared" si="541"/>
        <v>2021-2024</v>
      </c>
      <c r="H596" s="1071" t="s">
        <v>29</v>
      </c>
      <c r="AZ596" s="1108"/>
      <c r="BA596" s="1109"/>
      <c r="BB596" s="1109"/>
      <c r="BC596" s="1109"/>
      <c r="BD596" s="1109"/>
      <c r="BE596" s="1109"/>
      <c r="BF596" s="1109">
        <f t="shared" ref="BF596:BJ596" si="542">IF($J293=0,0,(($BF293*M293)+($BG293*S293)+($BH293*Y293)+($BI293*AE293)+($BJ293*AK293))/$J293)</f>
        <v>0</v>
      </c>
      <c r="BG596" s="1109">
        <f t="shared" si="542"/>
        <v>0</v>
      </c>
      <c r="BH596" s="1109">
        <f t="shared" si="542"/>
        <v>0</v>
      </c>
      <c r="BI596" s="1109">
        <f t="shared" si="542"/>
        <v>0</v>
      </c>
      <c r="BJ596" s="1109">
        <f t="shared" si="542"/>
        <v>0</v>
      </c>
    </row>
    <row r="597" spans="2:62" hidden="1" outlineLevel="1">
      <c r="B597" s="1094"/>
      <c r="C597" s="1071" t="str">
        <f t="shared" ref="C597:F597" si="543">C294</f>
        <v>Generator Replacements Shannon Remote Sites</v>
      </c>
      <c r="D597" s="1071" t="str">
        <f t="shared" si="543"/>
        <v>Generator Replacement Programmes</v>
      </c>
      <c r="E597" s="1071" t="str">
        <f t="shared" si="543"/>
        <v>RP3-SURV-3</v>
      </c>
      <c r="F597" s="1125" t="str">
        <f t="shared" si="543"/>
        <v>2021-2024</v>
      </c>
      <c r="H597" s="1071" t="s">
        <v>29</v>
      </c>
      <c r="AZ597" s="1108"/>
      <c r="BA597" s="1109"/>
      <c r="BB597" s="1109"/>
      <c r="BC597" s="1109"/>
      <c r="BD597" s="1109"/>
      <c r="BE597" s="1109"/>
      <c r="BF597" s="1109">
        <f t="shared" ref="BF597:BJ597" si="544">IF($J294=0,0,(($BF294*M294)+($BG294*S294)+($BH294*Y294)+($BI294*AE294)+($BJ294*AK294))/$J294)</f>
        <v>0</v>
      </c>
      <c r="BG597" s="1109">
        <f t="shared" si="544"/>
        <v>0</v>
      </c>
      <c r="BH597" s="1109">
        <f t="shared" si="544"/>
        <v>4.6875</v>
      </c>
      <c r="BI597" s="1109">
        <f t="shared" si="544"/>
        <v>23.4375</v>
      </c>
      <c r="BJ597" s="1109">
        <f t="shared" si="544"/>
        <v>37.5</v>
      </c>
    </row>
    <row r="598" spans="2:62" hidden="1" outlineLevel="1">
      <c r="B598" s="1094"/>
      <c r="C598" s="1071" t="str">
        <f t="shared" ref="C598:F598" si="545">C295</f>
        <v>Software Licencing</v>
      </c>
      <c r="D598" s="1071" t="str">
        <f t="shared" si="545"/>
        <v>Software Licencing</v>
      </c>
      <c r="E598" s="1071" t="str">
        <f t="shared" si="545"/>
        <v>V005</v>
      </c>
      <c r="F598" s="1125" t="str">
        <f t="shared" si="545"/>
        <v>2021-2024</v>
      </c>
      <c r="H598" s="1071" t="s">
        <v>29</v>
      </c>
      <c r="AZ598" s="1108"/>
      <c r="BA598" s="1109"/>
      <c r="BB598" s="1109"/>
      <c r="BC598" s="1109"/>
      <c r="BD598" s="1109"/>
      <c r="BE598" s="1109"/>
      <c r="BF598" s="1109">
        <f t="shared" ref="BF598:BJ598" si="546">IF($J295=0,0,(($BF295*M295)+($BG295*S295)+($BH295*Y295)+($BI295*AE295)+($BJ295*AK295))/$J295)</f>
        <v>0</v>
      </c>
      <c r="BG598" s="1109">
        <f t="shared" si="546"/>
        <v>0</v>
      </c>
      <c r="BH598" s="1109">
        <f t="shared" si="546"/>
        <v>0</v>
      </c>
      <c r="BI598" s="1109">
        <f t="shared" si="546"/>
        <v>0</v>
      </c>
      <c r="BJ598" s="1109">
        <f t="shared" si="546"/>
        <v>0</v>
      </c>
    </row>
    <row r="599" spans="2:62" hidden="1" outlineLevel="1">
      <c r="B599" s="1094"/>
      <c r="C599" s="1071" t="str">
        <f t="shared" ref="C599:F599" si="547">C296</f>
        <v>Software Licencing HQ</v>
      </c>
      <c r="D599" s="1071" t="str">
        <f t="shared" si="547"/>
        <v>Software Licencing</v>
      </c>
      <c r="E599" s="1071" t="str">
        <f t="shared" si="547"/>
        <v>V005A</v>
      </c>
      <c r="F599" s="1125" t="str">
        <f t="shared" si="547"/>
        <v>2021-2024</v>
      </c>
      <c r="H599" s="1071" t="s">
        <v>29</v>
      </c>
      <c r="AZ599" s="1108"/>
      <c r="BA599" s="1109"/>
      <c r="BB599" s="1109"/>
      <c r="BC599" s="1109"/>
      <c r="BD599" s="1109"/>
      <c r="BE599" s="1109"/>
      <c r="BF599" s="1109">
        <f t="shared" ref="BF599:BJ599" si="548">IF($J296=0,0,(($BF296*M296)+($BG296*S296)+($BH296*Y296)+($BI296*AE296)+($BJ296*AK296))/$J296)</f>
        <v>0</v>
      </c>
      <c r="BG599" s="1109">
        <f t="shared" si="548"/>
        <v>12.5</v>
      </c>
      <c r="BH599" s="1109">
        <f t="shared" si="548"/>
        <v>43.75</v>
      </c>
      <c r="BI599" s="1109">
        <f t="shared" si="548"/>
        <v>50</v>
      </c>
      <c r="BJ599" s="1109">
        <f t="shared" si="548"/>
        <v>37.5</v>
      </c>
    </row>
    <row r="600" spans="2:62" hidden="1" outlineLevel="1">
      <c r="B600" s="1094"/>
      <c r="C600" s="1071" t="str">
        <f t="shared" ref="C600:F600" si="549">C297</f>
        <v>Software Licencing SHN</v>
      </c>
      <c r="D600" s="1071" t="str">
        <f t="shared" si="549"/>
        <v>Software Licencing</v>
      </c>
      <c r="E600" s="1071" t="str">
        <f t="shared" si="549"/>
        <v>V005A</v>
      </c>
      <c r="F600" s="1125" t="str">
        <f t="shared" si="549"/>
        <v>2021-2024</v>
      </c>
      <c r="H600" s="1071" t="s">
        <v>29</v>
      </c>
      <c r="AZ600" s="1108"/>
      <c r="BA600" s="1109"/>
      <c r="BB600" s="1109"/>
      <c r="BC600" s="1109"/>
      <c r="BD600" s="1109"/>
      <c r="BE600" s="1109"/>
      <c r="BF600" s="1109">
        <f t="shared" ref="BF600:BJ600" si="550">IF($J297=0,0,(($BF297*M297)+($BG297*S297)+($BH297*Y297)+($BI297*AE297)+($BJ297*AK297))/$J297)</f>
        <v>0</v>
      </c>
      <c r="BG600" s="1109">
        <f t="shared" si="550"/>
        <v>12.5</v>
      </c>
      <c r="BH600" s="1109">
        <f t="shared" si="550"/>
        <v>43.75</v>
      </c>
      <c r="BI600" s="1109">
        <f t="shared" si="550"/>
        <v>50</v>
      </c>
      <c r="BJ600" s="1109">
        <f t="shared" si="550"/>
        <v>37.5</v>
      </c>
    </row>
    <row r="601" spans="2:62" hidden="1" outlineLevel="1">
      <c r="B601" s="1094"/>
      <c r="C601" s="1071" t="str">
        <f t="shared" ref="C601:F601" si="551">C298</f>
        <v>PC / Laptop Replacements</v>
      </c>
      <c r="D601" s="1071" t="str">
        <f t="shared" si="551"/>
        <v>PC / Laptops</v>
      </c>
      <c r="E601" s="1071" t="str">
        <f t="shared" si="551"/>
        <v>T017</v>
      </c>
      <c r="F601" s="1125" t="str">
        <f t="shared" si="551"/>
        <v>2021-2024</v>
      </c>
      <c r="H601" s="1071" t="s">
        <v>29</v>
      </c>
      <c r="AZ601" s="1108"/>
      <c r="BA601" s="1109"/>
      <c r="BB601" s="1109"/>
      <c r="BC601" s="1109"/>
      <c r="BD601" s="1109"/>
      <c r="BE601" s="1109"/>
      <c r="BF601" s="1109">
        <f t="shared" ref="BF601:BJ601" si="552">IF($J298=0,0,(($BF298*M298)+($BG298*S298)+($BH298*Y298)+($BI298*AE298)+($BJ298*AK298))/$J298)</f>
        <v>0</v>
      </c>
      <c r="BG601" s="1109">
        <f t="shared" si="552"/>
        <v>0</v>
      </c>
      <c r="BH601" s="1109">
        <f t="shared" si="552"/>
        <v>0</v>
      </c>
      <c r="BI601" s="1109">
        <f t="shared" si="552"/>
        <v>0</v>
      </c>
      <c r="BJ601" s="1109">
        <f t="shared" si="552"/>
        <v>0</v>
      </c>
    </row>
    <row r="602" spans="2:62" hidden="1" outlineLevel="1">
      <c r="B602" s="1094"/>
      <c r="C602" s="1071" t="str">
        <f t="shared" ref="C602:F602" si="553">C299</f>
        <v>PC/Laptops HQ - OTHER</v>
      </c>
      <c r="D602" s="1071" t="str">
        <f t="shared" si="553"/>
        <v>PC / Laptops</v>
      </c>
      <c r="E602" s="1071" t="str">
        <f t="shared" si="553"/>
        <v>T017A</v>
      </c>
      <c r="F602" s="1125" t="str">
        <f t="shared" si="553"/>
        <v>2021-2024</v>
      </c>
      <c r="H602" s="1071" t="s">
        <v>29</v>
      </c>
      <c r="AZ602" s="1108"/>
      <c r="BA602" s="1109"/>
      <c r="BB602" s="1109"/>
      <c r="BC602" s="1109"/>
      <c r="BD602" s="1109"/>
      <c r="BE602" s="1109"/>
      <c r="BF602" s="1109">
        <f t="shared" ref="BF602:BJ602" si="554">IF($J299=0,0,(($BF299*M299)+($BG299*S299)+($BH299*Y299)+($BI299*AE299)+($BJ299*AK299))/$J299)</f>
        <v>0</v>
      </c>
      <c r="BG602" s="1109">
        <f t="shared" si="554"/>
        <v>3.6666149999999686</v>
      </c>
      <c r="BH602" s="1109">
        <f t="shared" si="554"/>
        <v>4.8888199999999582</v>
      </c>
      <c r="BI602" s="1109">
        <f t="shared" si="554"/>
        <v>4.8888199999999582</v>
      </c>
      <c r="BJ602" s="1109">
        <f t="shared" si="554"/>
        <v>1.2222049999999895</v>
      </c>
    </row>
    <row r="603" spans="2:62" hidden="1" outlineLevel="1">
      <c r="B603" s="1094"/>
      <c r="C603" s="1071" t="str">
        <f t="shared" ref="C603:F603" si="555">C300</f>
        <v>PC/Laptops DUB</v>
      </c>
      <c r="D603" s="1071" t="str">
        <f t="shared" si="555"/>
        <v>PC / Laptops</v>
      </c>
      <c r="E603" s="1071" t="str">
        <f t="shared" si="555"/>
        <v>T017A</v>
      </c>
      <c r="F603" s="1125" t="str">
        <f t="shared" si="555"/>
        <v>2021-2024</v>
      </c>
      <c r="H603" s="1071" t="s">
        <v>29</v>
      </c>
      <c r="AZ603" s="1108"/>
      <c r="BA603" s="1109"/>
      <c r="BB603" s="1109"/>
      <c r="BC603" s="1109"/>
      <c r="BD603" s="1109"/>
      <c r="BE603" s="1109"/>
      <c r="BF603" s="1109">
        <f t="shared" ref="BF603:BI603" si="556">IF($J300=0,0,(($BF300*M300)+($BG300*S300)+($BH300*Y300)+($BI300*AE300)+($BJ300*AK300))/$J300)</f>
        <v>0</v>
      </c>
      <c r="BG603" s="1109">
        <f t="shared" si="556"/>
        <v>0</v>
      </c>
      <c r="BH603" s="1109">
        <f t="shared" si="556"/>
        <v>0</v>
      </c>
      <c r="BI603" s="1109">
        <f t="shared" si="556"/>
        <v>0</v>
      </c>
      <c r="BJ603" s="1109">
        <f>IF($J300=0,0,(($BF300*Q300)+($BG300*W300)+($BH300*AC300)+($BI300*AI300)+($BJ300*AO300))/$J300)</f>
        <v>0</v>
      </c>
    </row>
    <row r="604" spans="2:62" hidden="1" outlineLevel="1">
      <c r="B604" s="1094"/>
      <c r="C604" s="1071" t="str">
        <f t="shared" ref="C604:F604" si="557">C301</f>
        <v>PC/Laptops SHN</v>
      </c>
      <c r="D604" s="1071" t="str">
        <f t="shared" si="557"/>
        <v>PC / Laptops</v>
      </c>
      <c r="E604" s="1071" t="str">
        <f t="shared" si="557"/>
        <v>T017A</v>
      </c>
      <c r="F604" s="1125" t="str">
        <f t="shared" si="557"/>
        <v>2021-2024</v>
      </c>
      <c r="H604" s="1071" t="s">
        <v>29</v>
      </c>
      <c r="AZ604" s="1108"/>
      <c r="BA604" s="1109"/>
      <c r="BB604" s="1109"/>
      <c r="BC604" s="1109"/>
      <c r="BD604" s="1109"/>
      <c r="BE604" s="1109"/>
      <c r="BF604" s="1109">
        <f t="shared" ref="BF604:BJ604" si="558">IF($J301=0,0,(($BF301*M301)+($BG301*S301)+($BH301*Y301)+($BI301*AE301)+($BJ301*AK301))/$J301)</f>
        <v>0</v>
      </c>
      <c r="BG604" s="1109">
        <f t="shared" si="558"/>
        <v>0</v>
      </c>
      <c r="BH604" s="1109">
        <f t="shared" si="558"/>
        <v>0</v>
      </c>
      <c r="BI604" s="1109">
        <f t="shared" si="558"/>
        <v>0</v>
      </c>
      <c r="BJ604" s="1109">
        <f t="shared" si="558"/>
        <v>0</v>
      </c>
    </row>
    <row r="605" spans="2:62" hidden="1" outlineLevel="1">
      <c r="B605" s="1094"/>
      <c r="C605" s="1071" t="str">
        <f t="shared" ref="C605:F605" si="559">C302</f>
        <v>PC/Laptop Replacements</v>
      </c>
      <c r="D605" s="1071" t="str">
        <f t="shared" si="559"/>
        <v>PC / Laptops</v>
      </c>
      <c r="E605" s="1071" t="str">
        <f t="shared" si="559"/>
        <v>V003</v>
      </c>
      <c r="F605" s="1125" t="str">
        <f t="shared" si="559"/>
        <v>2021-2024</v>
      </c>
      <c r="H605" s="1071" t="s">
        <v>29</v>
      </c>
      <c r="AZ605" s="1108"/>
      <c r="BA605" s="1109"/>
      <c r="BB605" s="1109"/>
      <c r="BC605" s="1109"/>
      <c r="BD605" s="1109"/>
      <c r="BE605" s="1109"/>
      <c r="BF605" s="1109">
        <f t="shared" ref="BF605:BJ605" si="560">IF($J302=0,0,(($BF302*M302)+($BG302*S302)+($BH302*Y302)+($BI302*AE302)+($BJ302*AK302))/$J302)</f>
        <v>0</v>
      </c>
      <c r="BG605" s="1109">
        <f t="shared" si="560"/>
        <v>0</v>
      </c>
      <c r="BH605" s="1109">
        <f t="shared" si="560"/>
        <v>0</v>
      </c>
      <c r="BI605" s="1109">
        <f t="shared" si="560"/>
        <v>0</v>
      </c>
      <c r="BJ605" s="1109">
        <f t="shared" si="560"/>
        <v>0</v>
      </c>
    </row>
    <row r="606" spans="2:62" hidden="1" outlineLevel="1">
      <c r="B606" s="1094"/>
      <c r="C606" s="1071" t="str">
        <f t="shared" ref="C606:F606" si="561">C303</f>
        <v>PC/Laptops HQ - OTHER</v>
      </c>
      <c r="D606" s="1071" t="str">
        <f t="shared" si="561"/>
        <v>PC / Laptops</v>
      </c>
      <c r="E606" s="1071" t="str">
        <f t="shared" si="561"/>
        <v>V003A</v>
      </c>
      <c r="F606" s="1125" t="str">
        <f t="shared" si="561"/>
        <v>2021-2024</v>
      </c>
      <c r="H606" s="1071" t="s">
        <v>29</v>
      </c>
      <c r="AZ606" s="1108"/>
      <c r="BA606" s="1109"/>
      <c r="BB606" s="1109"/>
      <c r="BC606" s="1109"/>
      <c r="BD606" s="1109"/>
      <c r="BE606" s="1109"/>
      <c r="BF606" s="1109">
        <f t="shared" ref="BF606:BJ606" si="562">IF($J303=0,0,(($BF303*M303)+($BG303*S303)+($BH303*Y303)+($BI303*AE303)+($BJ303*AK303))/$J303)</f>
        <v>0</v>
      </c>
      <c r="BG606" s="1109">
        <f t="shared" si="562"/>
        <v>7.2916666666666679</v>
      </c>
      <c r="BH606" s="1109">
        <f t="shared" si="562"/>
        <v>18.958333333333336</v>
      </c>
      <c r="BI606" s="1109">
        <f t="shared" si="562"/>
        <v>30.625000000000014</v>
      </c>
      <c r="BJ606" s="1109">
        <f t="shared" si="562"/>
        <v>35.000000000000014</v>
      </c>
    </row>
    <row r="607" spans="2:62" hidden="1" outlineLevel="1">
      <c r="B607" s="1094"/>
      <c r="C607" s="1071" t="str">
        <f t="shared" ref="C607:F607" si="563">C304</f>
        <v>PC/Laptops DUB</v>
      </c>
      <c r="D607" s="1071" t="str">
        <f t="shared" si="563"/>
        <v>PC / Laptops</v>
      </c>
      <c r="E607" s="1071" t="str">
        <f t="shared" si="563"/>
        <v>V003A</v>
      </c>
      <c r="F607" s="1125" t="str">
        <f t="shared" si="563"/>
        <v>2021-2024</v>
      </c>
      <c r="H607" s="1071" t="s">
        <v>29</v>
      </c>
      <c r="AZ607" s="1108"/>
      <c r="BA607" s="1109"/>
      <c r="BB607" s="1109"/>
      <c r="BC607" s="1109"/>
      <c r="BD607" s="1109"/>
      <c r="BE607" s="1109"/>
      <c r="BF607" s="1109">
        <f t="shared" ref="BF607:BJ607" si="564">IF($J304=0,0,(($BF304*M304)+($BG304*S304)+($BH304*Y304)+($BI304*AE304)+($BJ304*AK304))/$J304)</f>
        <v>0</v>
      </c>
      <c r="BG607" s="1109">
        <f t="shared" si="564"/>
        <v>3.1249999999999991</v>
      </c>
      <c r="BH607" s="1109">
        <f t="shared" si="564"/>
        <v>8.125</v>
      </c>
      <c r="BI607" s="1109">
        <f t="shared" si="564"/>
        <v>13.125</v>
      </c>
      <c r="BJ607" s="1109">
        <f t="shared" si="564"/>
        <v>15</v>
      </c>
    </row>
    <row r="608" spans="2:62" hidden="1" outlineLevel="1">
      <c r="B608" s="1094"/>
      <c r="C608" s="1071" t="str">
        <f t="shared" ref="C608:F608" si="565">C305</f>
        <v>PC/Laptops SHN</v>
      </c>
      <c r="D608" s="1071" t="str">
        <f t="shared" si="565"/>
        <v>PC / Laptops</v>
      </c>
      <c r="E608" s="1071" t="str">
        <f t="shared" si="565"/>
        <v>V003A</v>
      </c>
      <c r="F608" s="1125" t="str">
        <f t="shared" si="565"/>
        <v>2021-2024</v>
      </c>
      <c r="H608" s="1071" t="s">
        <v>29</v>
      </c>
      <c r="AZ608" s="1108"/>
      <c r="BA608" s="1109"/>
      <c r="BB608" s="1109"/>
      <c r="BC608" s="1109"/>
      <c r="BD608" s="1109"/>
      <c r="BE608" s="1109"/>
      <c r="BF608" s="1109">
        <f t="shared" ref="BF608:BJ608" si="566">IF($J305=0,0,(($BF305*M305)+($BG305*S305)+($BH305*Y305)+($BI305*AE305)+($BJ305*AK305))/$J305)</f>
        <v>0</v>
      </c>
      <c r="BG608" s="1109">
        <f t="shared" si="566"/>
        <v>3.1249999999999991</v>
      </c>
      <c r="BH608" s="1109">
        <f t="shared" si="566"/>
        <v>8.125</v>
      </c>
      <c r="BI608" s="1109">
        <f t="shared" si="566"/>
        <v>13.125</v>
      </c>
      <c r="BJ608" s="1109">
        <f t="shared" si="566"/>
        <v>15</v>
      </c>
    </row>
    <row r="609" spans="2:62" hidden="1" outlineLevel="1">
      <c r="B609" s="1094"/>
      <c r="C609" s="1071" t="str">
        <f t="shared" ref="C609:F609" si="567">C306</f>
        <v>Upgrades and Contingency IAA Net</v>
      </c>
      <c r="D609" s="1071" t="str">
        <f t="shared" si="567"/>
        <v>Upgrades and Contingency IAA Net</v>
      </c>
      <c r="E609" s="1071" t="str">
        <f t="shared" si="567"/>
        <v>S002</v>
      </c>
      <c r="F609" s="1125" t="str">
        <f t="shared" si="567"/>
        <v>2021-2024</v>
      </c>
      <c r="H609" s="1071" t="s">
        <v>29</v>
      </c>
      <c r="AZ609" s="1108"/>
      <c r="BA609" s="1109"/>
      <c r="BB609" s="1109"/>
      <c r="BC609" s="1109"/>
      <c r="BD609" s="1109"/>
      <c r="BE609" s="1109"/>
      <c r="BF609" s="1109">
        <f t="shared" ref="BF609:BJ609" si="568">IF($J306=0,0,(($BF306*M306)+($BG306*S306)+($BH306*Y306)+($BI306*AE306)+($BJ306*AK306))/$J306)</f>
        <v>0</v>
      </c>
      <c r="BG609" s="1109">
        <f t="shared" si="568"/>
        <v>0</v>
      </c>
      <c r="BH609" s="1109">
        <f t="shared" si="568"/>
        <v>6.25</v>
      </c>
      <c r="BI609" s="1109">
        <f t="shared" si="568"/>
        <v>25</v>
      </c>
      <c r="BJ609" s="1109">
        <f t="shared" si="568"/>
        <v>25</v>
      </c>
    </row>
    <row r="610" spans="2:62" hidden="1" outlineLevel="1">
      <c r="B610" s="1094"/>
      <c r="C610" s="1071" t="str">
        <f t="shared" ref="C610:F610" si="569">C307</f>
        <v>New En Route Contingency Facility</v>
      </c>
      <c r="D610" s="1071" t="str">
        <f t="shared" si="569"/>
        <v>New En Route Contingency Facility</v>
      </c>
      <c r="E610" s="1071" t="str">
        <f t="shared" si="569"/>
        <v>N004</v>
      </c>
      <c r="F610" s="1125" t="str">
        <f t="shared" si="569"/>
        <v>2021-2024</v>
      </c>
      <c r="H610" s="1071" t="s">
        <v>29</v>
      </c>
      <c r="AZ610" s="1108"/>
      <c r="BA610" s="1109"/>
      <c r="BB610" s="1109"/>
      <c r="BC610" s="1109"/>
      <c r="BD610" s="1109"/>
      <c r="BE610" s="1109"/>
      <c r="BF610" s="1109">
        <f t="shared" ref="BF610:BJ610" si="570">IF($J307=0,0,(($BF307*M307)+($BG307*S307)+($BH307*Y307)+($BI307*AE307)+($BJ307*AK307))/$J307)</f>
        <v>0</v>
      </c>
      <c r="BG610" s="1109">
        <f t="shared" si="570"/>
        <v>0</v>
      </c>
      <c r="BH610" s="1109">
        <f t="shared" si="570"/>
        <v>0</v>
      </c>
      <c r="BI610" s="1109">
        <f t="shared" si="570"/>
        <v>0</v>
      </c>
      <c r="BJ610" s="1109">
        <f t="shared" si="570"/>
        <v>0</v>
      </c>
    </row>
    <row r="611" spans="2:62" hidden="1" outlineLevel="1">
      <c r="B611" s="1094"/>
      <c r="C611" s="1071" t="str">
        <f t="shared" ref="C611:F611" si="571">C308</f>
        <v>New En Route Contingency Facility - ATM Equipment</v>
      </c>
      <c r="D611" s="1071" t="str">
        <f t="shared" si="571"/>
        <v>New En Route Contingency Facility</v>
      </c>
      <c r="E611" s="1071" t="str">
        <f t="shared" si="571"/>
        <v>N004A</v>
      </c>
      <c r="F611" s="1125" t="str">
        <f t="shared" si="571"/>
        <v>2021-2024</v>
      </c>
      <c r="H611" s="1071" t="s">
        <v>29</v>
      </c>
      <c r="AZ611" s="1108"/>
      <c r="BA611" s="1109"/>
      <c r="BB611" s="1109"/>
      <c r="BC611" s="1109"/>
      <c r="BD611" s="1109"/>
      <c r="BE611" s="1109"/>
      <c r="BF611" s="1109">
        <f t="shared" ref="BF611:BJ611" si="572">IF($J308=0,0,(($BF308*M308)+($BG308*S308)+($BH308*Y308)+($BI308*AE308)+($BJ308*AK308))/$J308)</f>
        <v>0</v>
      </c>
      <c r="BG611" s="1109">
        <f t="shared" si="572"/>
        <v>0</v>
      </c>
      <c r="BH611" s="1109">
        <f t="shared" si="572"/>
        <v>6.1972206250001323</v>
      </c>
      <c r="BI611" s="1109">
        <f t="shared" si="572"/>
        <v>24.788882500000529</v>
      </c>
      <c r="BJ611" s="1109">
        <f t="shared" si="572"/>
        <v>24.788882500000529</v>
      </c>
    </row>
    <row r="612" spans="2:62" hidden="1" outlineLevel="1">
      <c r="B612" s="1094"/>
      <c r="C612" s="1071" t="str">
        <f t="shared" ref="C612:F612" si="573">C309</f>
        <v>New En Route Contingency Facility - Building</v>
      </c>
      <c r="D612" s="1071" t="str">
        <f t="shared" si="573"/>
        <v>New En Route Contingency Facility</v>
      </c>
      <c r="E612" s="1071" t="str">
        <f t="shared" si="573"/>
        <v>N004A</v>
      </c>
      <c r="F612" s="1125" t="str">
        <f t="shared" si="573"/>
        <v>2021-2024</v>
      </c>
      <c r="H612" s="1071" t="s">
        <v>29</v>
      </c>
      <c r="AZ612" s="1108"/>
      <c r="BA612" s="1109"/>
      <c r="BB612" s="1109"/>
      <c r="BC612" s="1109"/>
      <c r="BD612" s="1109"/>
      <c r="BE612" s="1109"/>
      <c r="BF612" s="1109">
        <f t="shared" ref="BF612:BJ612" si="574">IF($J309=0,0,(($BF309*M309)+($BG309*S309)+($BH309*Y309)+($BI309*AE309)+($BJ309*AK309))/$J309)</f>
        <v>0</v>
      </c>
      <c r="BG612" s="1109">
        <f t="shared" si="574"/>
        <v>0</v>
      </c>
      <c r="BH612" s="1109">
        <f t="shared" si="574"/>
        <v>0</v>
      </c>
      <c r="BI612" s="1109">
        <f t="shared" si="574"/>
        <v>0</v>
      </c>
      <c r="BJ612" s="1109">
        <f t="shared" si="574"/>
        <v>0</v>
      </c>
    </row>
    <row r="613" spans="2:62" hidden="1" outlineLevel="1">
      <c r="B613" s="1094"/>
      <c r="C613" s="1071" t="str">
        <f t="shared" ref="C613:F613" si="575">C310</f>
        <v>Shannon Tower MEP</v>
      </c>
      <c r="D613" s="1071" t="str">
        <f t="shared" si="575"/>
        <v>Shannon Tower MEP</v>
      </c>
      <c r="E613" s="1071" t="str">
        <f t="shared" si="575"/>
        <v>J004A</v>
      </c>
      <c r="F613" s="1125" t="str">
        <f t="shared" si="575"/>
        <v>2021-2024</v>
      </c>
      <c r="H613" s="1071" t="s">
        <v>29</v>
      </c>
      <c r="AZ613" s="1108"/>
      <c r="BA613" s="1109"/>
      <c r="BB613" s="1109"/>
      <c r="BC613" s="1109"/>
      <c r="BD613" s="1109"/>
      <c r="BE613" s="1109"/>
      <c r="BF613" s="1109">
        <f t="shared" ref="BF613:BJ613" si="576">IF($J310=0,0,(($BF310*M310)+($BG310*S310)+($BH310*Y310)+($BI310*AE310)+($BJ310*AK310))/$J310)</f>
        <v>0</v>
      </c>
      <c r="BG613" s="1109">
        <f t="shared" si="576"/>
        <v>9.5818631250000319</v>
      </c>
      <c r="BH613" s="1109">
        <f t="shared" si="576"/>
        <v>19.163726250000064</v>
      </c>
      <c r="BI613" s="1109">
        <f t="shared" si="576"/>
        <v>19.163726250000064</v>
      </c>
      <c r="BJ613" s="1109">
        <f t="shared" si="576"/>
        <v>19.163726250000064</v>
      </c>
    </row>
    <row r="614" spans="2:62" hidden="1" outlineLevel="1">
      <c r="C614" s="1071" t="str">
        <f t="shared" ref="C614:F614" si="577">C311</f>
        <v>UMT Drone Protection System</v>
      </c>
      <c r="D614" s="1071" t="str">
        <f t="shared" si="577"/>
        <v>UMT Drone Protection System</v>
      </c>
      <c r="E614" s="1071" t="str">
        <f t="shared" si="577"/>
        <v>RP3-FDPS-2</v>
      </c>
      <c r="F614" s="1125" t="str">
        <f t="shared" si="577"/>
        <v>2021-2024</v>
      </c>
      <c r="H614" s="1071" t="s">
        <v>29</v>
      </c>
      <c r="AZ614" s="1108"/>
      <c r="BA614" s="1109"/>
      <c r="BB614" s="1109"/>
      <c r="BC614" s="1109"/>
      <c r="BD614" s="1109"/>
      <c r="BE614" s="1109"/>
      <c r="BF614" s="1109">
        <f t="shared" ref="BF614:BJ614" si="578">IF($J311=0,0,(($BF311*M311)+($BG311*S311)+($BH311*Y311)+($BI311*AE311)+($BJ311*AK311))/$J311)</f>
        <v>0</v>
      </c>
      <c r="BG614" s="1109">
        <f t="shared" si="578"/>
        <v>0</v>
      </c>
      <c r="BH614" s="1109">
        <f t="shared" si="578"/>
        <v>0</v>
      </c>
      <c r="BI614" s="1109">
        <f t="shared" si="578"/>
        <v>0</v>
      </c>
      <c r="BJ614" s="1109">
        <f t="shared" si="578"/>
        <v>14.0625</v>
      </c>
    </row>
    <row r="615" spans="2:62" hidden="1" outlineLevel="1">
      <c r="C615" s="1071" t="str">
        <f t="shared" ref="C615:F615" si="579">C312</f>
        <v>Enhancements to Financial Management Systems</v>
      </c>
      <c r="D615" s="1071" t="str">
        <f t="shared" si="579"/>
        <v>Enhancements to Financial Management Systems</v>
      </c>
      <c r="E615" s="1071" t="str">
        <f t="shared" si="579"/>
        <v>Q019</v>
      </c>
      <c r="F615" s="1125" t="str">
        <f t="shared" si="579"/>
        <v>2021-2024</v>
      </c>
      <c r="H615" s="1071" t="s">
        <v>29</v>
      </c>
      <c r="AZ615" s="1108"/>
      <c r="BA615" s="1109"/>
      <c r="BB615" s="1109"/>
      <c r="BC615" s="1109"/>
      <c r="BD615" s="1109"/>
      <c r="BE615" s="1109"/>
      <c r="BF615" s="1109">
        <f t="shared" ref="BF615:BJ615" si="580">IF($J312=0,0,(($BF312*M312)+($BG312*S312)+($BH312*Y312)+($BI312*AE312)+($BJ312*AK312))/$J312)</f>
        <v>0</v>
      </c>
      <c r="BG615" s="1109">
        <f t="shared" si="580"/>
        <v>0</v>
      </c>
      <c r="BH615" s="1109">
        <f t="shared" si="580"/>
        <v>0</v>
      </c>
      <c r="BI615" s="1109">
        <f t="shared" si="580"/>
        <v>18.75</v>
      </c>
      <c r="BJ615" s="1109">
        <f t="shared" si="580"/>
        <v>18.75</v>
      </c>
    </row>
    <row r="616" spans="2:62" hidden="1" outlineLevel="1">
      <c r="C616" s="1071" t="str">
        <f t="shared" ref="C616:F616" si="581">C313</f>
        <v>Quadrant Roof-Light in Dublin ACC</v>
      </c>
      <c r="D616" s="1071" t="str">
        <f t="shared" si="581"/>
        <v>Quadrant Roof-Light in Dublin ACC</v>
      </c>
      <c r="E616" s="1071" t="str">
        <f t="shared" si="581"/>
        <v>S020</v>
      </c>
      <c r="F616" s="1125" t="str">
        <f t="shared" si="581"/>
        <v>2021-2024</v>
      </c>
      <c r="H616" s="1071" t="s">
        <v>29</v>
      </c>
      <c r="AZ616" s="1108"/>
      <c r="BA616" s="1109"/>
      <c r="BB616" s="1109"/>
      <c r="BC616" s="1109"/>
      <c r="BD616" s="1109"/>
      <c r="BE616" s="1109"/>
      <c r="BF616" s="1109">
        <f t="shared" ref="BF616:BJ616" si="582">IF($J313=0,0,(($BF313*M313)+($BG313*S313)+($BH313*Y313)+($BI313*AE313)+($BJ313*AK313))/$J313)</f>
        <v>0</v>
      </c>
      <c r="BG616" s="1109">
        <f t="shared" si="582"/>
        <v>0</v>
      </c>
      <c r="BH616" s="1109">
        <f t="shared" si="582"/>
        <v>16.25</v>
      </c>
      <c r="BI616" s="1109">
        <f t="shared" si="582"/>
        <v>16.25</v>
      </c>
      <c r="BJ616" s="1109">
        <f t="shared" si="582"/>
        <v>16.25</v>
      </c>
    </row>
    <row r="617" spans="2:62" hidden="1" outlineLevel="1">
      <c r="C617" s="1071" t="str">
        <f t="shared" ref="C617:F617" si="583">C314</f>
        <v>Generator replacement project</v>
      </c>
      <c r="D617" s="1071" t="str">
        <f t="shared" si="583"/>
        <v>Generator replacement project</v>
      </c>
      <c r="E617" s="1071" t="str">
        <f t="shared" si="583"/>
        <v>U010</v>
      </c>
      <c r="F617" s="1125" t="str">
        <f t="shared" si="583"/>
        <v>2021-2024</v>
      </c>
      <c r="H617" s="1071" t="s">
        <v>29</v>
      </c>
      <c r="AZ617" s="1108"/>
      <c r="BA617" s="1109"/>
      <c r="BB617" s="1109"/>
      <c r="BC617" s="1109"/>
      <c r="BD617" s="1109"/>
      <c r="BE617" s="1109"/>
      <c r="BF617" s="1109">
        <f t="shared" ref="BF617:BJ617" si="584">IF($J314=0,0,(($BF314*M314)+($BG314*S314)+($BH314*Y314)+($BI314*AE314)+($BJ314*AK314))/$J314)</f>
        <v>0</v>
      </c>
      <c r="BG617" s="1109">
        <f t="shared" si="584"/>
        <v>3.59375</v>
      </c>
      <c r="BH617" s="1109">
        <f t="shared" si="584"/>
        <v>14.375</v>
      </c>
      <c r="BI617" s="1109">
        <f t="shared" si="584"/>
        <v>14.375</v>
      </c>
      <c r="BJ617" s="1109">
        <f t="shared" si="584"/>
        <v>14.375</v>
      </c>
    </row>
    <row r="618" spans="2:62" hidden="1" outlineLevel="1">
      <c r="C618" s="1071" t="str">
        <f t="shared" ref="C618:F618" si="585">C315</f>
        <v>Replacement of COOPANS Hardware</v>
      </c>
      <c r="D618" s="1071" t="str">
        <f t="shared" si="585"/>
        <v>COOPANS Hardware</v>
      </c>
      <c r="E618" s="1071" t="str">
        <f t="shared" si="585"/>
        <v>Q001</v>
      </c>
      <c r="F618" s="1125" t="str">
        <f t="shared" si="585"/>
        <v>2021-2024</v>
      </c>
      <c r="H618" s="1071" t="s">
        <v>29</v>
      </c>
      <c r="AZ618" s="1108"/>
      <c r="BA618" s="1109"/>
      <c r="BB618" s="1109"/>
      <c r="BC618" s="1109"/>
      <c r="BD618" s="1109"/>
      <c r="BE618" s="1109"/>
      <c r="BF618" s="1109">
        <f t="shared" ref="BF618:BJ618" si="586">IF($J315=0,0,(($BF315*M315)+($BG315*S315)+($BH315*Y315)+($BI315*AE315)+($BJ315*AK315))/$J315)</f>
        <v>0</v>
      </c>
      <c r="BG618" s="1109">
        <f t="shared" si="586"/>
        <v>0</v>
      </c>
      <c r="BH618" s="1109">
        <f t="shared" si="586"/>
        <v>0</v>
      </c>
      <c r="BI618" s="1109">
        <f t="shared" si="586"/>
        <v>0</v>
      </c>
      <c r="BJ618" s="1109">
        <f t="shared" si="586"/>
        <v>0</v>
      </c>
    </row>
    <row r="619" spans="2:62" hidden="1" outlineLevel="1">
      <c r="C619" s="1071" t="str">
        <f t="shared" ref="C619:F619" si="587">C316</f>
        <v>COOPANS HARDWARE Shannon</v>
      </c>
      <c r="D619" s="1071" t="str">
        <f t="shared" si="587"/>
        <v>COOPANS Hardware</v>
      </c>
      <c r="E619" s="1071" t="str">
        <f t="shared" si="587"/>
        <v>Q001A</v>
      </c>
      <c r="F619" s="1125" t="str">
        <f t="shared" si="587"/>
        <v>2021-2024</v>
      </c>
      <c r="H619" s="1071" t="s">
        <v>29</v>
      </c>
      <c r="AZ619" s="1108"/>
      <c r="BA619" s="1109"/>
      <c r="BB619" s="1109"/>
      <c r="BC619" s="1109"/>
      <c r="BD619" s="1109"/>
      <c r="BE619" s="1109"/>
      <c r="BF619" s="1109">
        <f t="shared" ref="BF619:BJ619" si="588">IF($J316=0,0,(($BF316*M316)+($BG316*S316)+($BH316*Y316)+($BI316*AE316)+($BJ316*AK316))/$J316)</f>
        <v>0</v>
      </c>
      <c r="BG619" s="1109">
        <f t="shared" si="588"/>
        <v>4.8292498412698626</v>
      </c>
      <c r="BH619" s="1109">
        <f t="shared" si="588"/>
        <v>6.3917498412698626</v>
      </c>
      <c r="BI619" s="1109">
        <f t="shared" si="588"/>
        <v>6.3917498412698626</v>
      </c>
      <c r="BJ619" s="1109">
        <f t="shared" si="588"/>
        <v>6.3917498412698626</v>
      </c>
    </row>
    <row r="620" spans="2:62" hidden="1" outlineLevel="1">
      <c r="C620" s="1071" t="str">
        <f t="shared" ref="C620:F620" si="589">C317</f>
        <v>COOPANS HARDWARE Dublin</v>
      </c>
      <c r="D620" s="1071" t="str">
        <f t="shared" si="589"/>
        <v>COOPANS Hardware</v>
      </c>
      <c r="E620" s="1071" t="str">
        <f t="shared" si="589"/>
        <v>Q001A</v>
      </c>
      <c r="F620" s="1125" t="str">
        <f t="shared" si="589"/>
        <v>2021-2024</v>
      </c>
      <c r="H620" s="1071" t="s">
        <v>29</v>
      </c>
      <c r="AZ620" s="1108"/>
      <c r="BA620" s="1109"/>
      <c r="BB620" s="1109"/>
      <c r="BC620" s="1109"/>
      <c r="BD620" s="1109"/>
      <c r="BE620" s="1109"/>
      <c r="BF620" s="1109">
        <f t="shared" ref="BF620:BJ620" si="590">IF($J317=0,0,(($BF317*M317)+($BG317*S317)+($BH317*Y317)+($BI317*AE317)+($BJ317*AK317))/$J317)</f>
        <v>0</v>
      </c>
      <c r="BG620" s="1109">
        <f t="shared" si="590"/>
        <v>4.6875</v>
      </c>
      <c r="BH620" s="1109">
        <f t="shared" si="590"/>
        <v>6.25</v>
      </c>
      <c r="BI620" s="1109">
        <f t="shared" si="590"/>
        <v>6.25</v>
      </c>
      <c r="BJ620" s="1109">
        <f t="shared" si="590"/>
        <v>6.25</v>
      </c>
    </row>
    <row r="621" spans="2:62" hidden="1" outlineLevel="1">
      <c r="C621" s="1071" t="str">
        <f t="shared" ref="C621:F621" si="591">C318</f>
        <v>PABX Infrastructure Upgrade BCY/CRK</v>
      </c>
      <c r="D621" s="1071" t="str">
        <f t="shared" si="591"/>
        <v>PABX Infrastructure Upgrade BCY/CRK</v>
      </c>
      <c r="E621" s="1071" t="str">
        <f t="shared" si="591"/>
        <v>S009</v>
      </c>
      <c r="F621" s="1125" t="str">
        <f t="shared" si="591"/>
        <v>2021-2024</v>
      </c>
      <c r="H621" s="1071" t="s">
        <v>29</v>
      </c>
      <c r="AZ621" s="1108"/>
      <c r="BA621" s="1109"/>
      <c r="BB621" s="1109"/>
      <c r="BC621" s="1109"/>
      <c r="BD621" s="1109"/>
      <c r="BE621" s="1109"/>
      <c r="BF621" s="1109">
        <f t="shared" ref="BF621:BJ621" si="592">IF($J318=0,0,(($BF318*M318)+($BG318*S318)+($BH318*Y318)+($BI318*AE318)+($BJ318*AK318))/$J318)</f>
        <v>0</v>
      </c>
      <c r="BG621" s="1109">
        <f t="shared" si="592"/>
        <v>0</v>
      </c>
      <c r="BH621" s="1109">
        <f t="shared" si="592"/>
        <v>3.125</v>
      </c>
      <c r="BI621" s="1109">
        <f t="shared" si="592"/>
        <v>12.5</v>
      </c>
      <c r="BJ621" s="1109">
        <f t="shared" si="592"/>
        <v>12.5</v>
      </c>
    </row>
    <row r="622" spans="2:62" hidden="1" outlineLevel="1">
      <c r="C622" s="1071" t="str">
        <f t="shared" ref="C622:F622" si="593">C319</f>
        <v>Test Equipment</v>
      </c>
      <c r="D622" s="1071" t="str">
        <f t="shared" si="593"/>
        <v>Test Equipment</v>
      </c>
      <c r="E622" s="1071" t="str">
        <f t="shared" si="593"/>
        <v>T003</v>
      </c>
      <c r="F622" s="1125" t="str">
        <f t="shared" si="593"/>
        <v>2021-2024</v>
      </c>
      <c r="H622" s="1071" t="s">
        <v>29</v>
      </c>
      <c r="AZ622" s="1108"/>
      <c r="BA622" s="1109"/>
      <c r="BB622" s="1109"/>
      <c r="BC622" s="1109"/>
      <c r="BD622" s="1109"/>
      <c r="BE622" s="1109"/>
      <c r="BF622" s="1109">
        <f t="shared" ref="BF622:BJ622" si="594">IF($J319=0,0,(($BF319*M319)+($BG319*S319)+($BH319*Y319)+($BI319*AE319)+($BJ319*AK319))/$J319)</f>
        <v>0</v>
      </c>
      <c r="BG622" s="1109">
        <f t="shared" si="594"/>
        <v>5</v>
      </c>
      <c r="BH622" s="1109">
        <f t="shared" si="594"/>
        <v>20</v>
      </c>
      <c r="BI622" s="1109">
        <f t="shared" si="594"/>
        <v>20</v>
      </c>
      <c r="BJ622" s="1109">
        <f t="shared" si="594"/>
        <v>20</v>
      </c>
    </row>
    <row r="623" spans="2:62" hidden="1" outlineLevel="1">
      <c r="C623" s="1071" t="str">
        <f t="shared" ref="C623:F623" si="595">C320</f>
        <v>Multifunctional Devices - Network Printers</v>
      </c>
      <c r="D623" s="1071" t="str">
        <f t="shared" si="595"/>
        <v>Multifunctional Devices - Network Printers</v>
      </c>
      <c r="E623" s="1071" t="str">
        <f t="shared" si="595"/>
        <v>U017</v>
      </c>
      <c r="F623" s="1125" t="str">
        <f t="shared" si="595"/>
        <v>2021-2024</v>
      </c>
      <c r="H623" s="1071" t="s">
        <v>29</v>
      </c>
      <c r="AZ623" s="1108"/>
      <c r="BA623" s="1109"/>
      <c r="BB623" s="1109"/>
      <c r="BC623" s="1109"/>
      <c r="BD623" s="1109"/>
      <c r="BE623" s="1109"/>
      <c r="BF623" s="1109">
        <f t="shared" ref="BF623:BJ623" si="596">IF($J320=0,0,(($BF320*M320)+($BG320*S320)+($BH320*Y320)+($BI320*AE320)+($BJ320*AK320))/$J320)</f>
        <v>0</v>
      </c>
      <c r="BG623" s="1109">
        <f t="shared" si="596"/>
        <v>3.75</v>
      </c>
      <c r="BH623" s="1109">
        <f t="shared" si="596"/>
        <v>18.75</v>
      </c>
      <c r="BI623" s="1109">
        <f t="shared" si="596"/>
        <v>20</v>
      </c>
      <c r="BJ623" s="1109">
        <f t="shared" si="596"/>
        <v>20</v>
      </c>
    </row>
    <row r="624" spans="2:62" hidden="1" outlineLevel="1">
      <c r="C624" s="1071" t="str">
        <f t="shared" ref="C624:F624" si="597">C321</f>
        <v>Virtual Environment Server Replacements</v>
      </c>
      <c r="D624" s="1071" t="str">
        <f t="shared" si="597"/>
        <v>Virtual Environment Server Replacements</v>
      </c>
      <c r="E624" s="1071" t="str">
        <f t="shared" si="597"/>
        <v>U018</v>
      </c>
      <c r="F624" s="1125" t="str">
        <f t="shared" si="597"/>
        <v>2021-2024</v>
      </c>
      <c r="H624" s="1071" t="s">
        <v>29</v>
      </c>
      <c r="AZ624" s="1108"/>
      <c r="BA624" s="1109"/>
      <c r="BB624" s="1109"/>
      <c r="BC624" s="1109"/>
      <c r="BD624" s="1109"/>
      <c r="BE624" s="1109"/>
      <c r="BF624" s="1109">
        <f t="shared" ref="BF624:BJ624" si="598">IF($J321=0,0,(($BF321*M321)+($BG321*S321)+($BH321*Y321)+($BI321*AE321)+($BJ321*AK321))/$J321)</f>
        <v>0</v>
      </c>
      <c r="BG624" s="1109">
        <f t="shared" si="598"/>
        <v>6.25</v>
      </c>
      <c r="BH624" s="1109">
        <f t="shared" si="598"/>
        <v>31.25</v>
      </c>
      <c r="BI624" s="1109">
        <f t="shared" si="598"/>
        <v>33.333333333333336</v>
      </c>
      <c r="BJ624" s="1109">
        <f t="shared" si="598"/>
        <v>27.083333333333332</v>
      </c>
    </row>
    <row r="625" spans="3:62" hidden="1" outlineLevel="1">
      <c r="C625" s="1071" t="str">
        <f t="shared" ref="C625:F625" si="599">C322</f>
        <v>Server Replacements</v>
      </c>
      <c r="D625" s="1071" t="str">
        <f t="shared" si="599"/>
        <v>Server Replacements</v>
      </c>
      <c r="E625" s="1071" t="str">
        <f t="shared" si="599"/>
        <v>T019</v>
      </c>
      <c r="F625" s="1125" t="str">
        <f t="shared" si="599"/>
        <v>2021-2024</v>
      </c>
      <c r="H625" s="1071" t="s">
        <v>29</v>
      </c>
      <c r="AZ625" s="1108"/>
      <c r="BA625" s="1109"/>
      <c r="BB625" s="1109"/>
      <c r="BC625" s="1109"/>
      <c r="BD625" s="1109"/>
      <c r="BE625" s="1109"/>
      <c r="BF625" s="1109">
        <f t="shared" ref="BF625:BJ625" si="600">IF($J322=0,0,(($BF322*M322)+($BG322*S322)+($BH322*Y322)+($BI322*AE322)+($BJ322*AK322))/$J322)</f>
        <v>0</v>
      </c>
      <c r="BG625" s="1109">
        <f t="shared" si="600"/>
        <v>0</v>
      </c>
      <c r="BH625" s="1109">
        <f t="shared" si="600"/>
        <v>0</v>
      </c>
      <c r="BI625" s="1109">
        <f t="shared" si="600"/>
        <v>0</v>
      </c>
      <c r="BJ625" s="1109">
        <f t="shared" si="600"/>
        <v>0</v>
      </c>
    </row>
    <row r="626" spans="3:62" hidden="1" outlineLevel="1">
      <c r="C626" s="1071" t="str">
        <f t="shared" ref="C626:F626" si="601">C323</f>
        <v>Server Replacements HQ</v>
      </c>
      <c r="D626" s="1071" t="str">
        <f t="shared" si="601"/>
        <v>Server Replacements</v>
      </c>
      <c r="E626" s="1071" t="str">
        <f t="shared" si="601"/>
        <v>T019A</v>
      </c>
      <c r="F626" s="1125" t="str">
        <f t="shared" si="601"/>
        <v>2021-2024</v>
      </c>
      <c r="H626" s="1071" t="s">
        <v>29</v>
      </c>
      <c r="AZ626" s="1108"/>
      <c r="BA626" s="1109"/>
      <c r="BB626" s="1109"/>
      <c r="BC626" s="1109"/>
      <c r="BD626" s="1109"/>
      <c r="BE626" s="1109"/>
      <c r="BF626" s="1109">
        <f t="shared" ref="BF626:BJ626" si="602">IF($J323=0,0,(($BF323*M323)+($BG323*S323)+($BH323*Y323)+($BI323*AE323)+($BJ323*AK323))/$J323)</f>
        <v>0</v>
      </c>
      <c r="BG626" s="1109">
        <f t="shared" si="602"/>
        <v>8.2726666666666659</v>
      </c>
      <c r="BH626" s="1109">
        <f t="shared" si="602"/>
        <v>33.090666666666664</v>
      </c>
      <c r="BI626" s="1109">
        <f t="shared" si="602"/>
        <v>33.090666666666664</v>
      </c>
      <c r="BJ626" s="1109">
        <f t="shared" si="602"/>
        <v>24.817999999999998</v>
      </c>
    </row>
    <row r="627" spans="3:62" hidden="1" outlineLevel="1">
      <c r="C627" s="1071" t="str">
        <f t="shared" ref="C627:F627" si="603">C324</f>
        <v>Server Replacements BCY</v>
      </c>
      <c r="D627" s="1071" t="str">
        <f t="shared" si="603"/>
        <v>Server Replacements</v>
      </c>
      <c r="E627" s="1071" t="str">
        <f t="shared" si="603"/>
        <v>T019A</v>
      </c>
      <c r="F627" s="1125" t="str">
        <f t="shared" si="603"/>
        <v>2021-2024</v>
      </c>
      <c r="H627" s="1071" t="s">
        <v>29</v>
      </c>
      <c r="AZ627" s="1108"/>
      <c r="BA627" s="1109"/>
      <c r="BB627" s="1109"/>
      <c r="BC627" s="1109"/>
      <c r="BD627" s="1109"/>
      <c r="BE627" s="1109"/>
      <c r="BF627" s="1109">
        <f t="shared" ref="BF627:BJ627" si="604">IF($J324=0,0,(($BF324*M324)+($BG324*S324)+($BH324*Y324)+($BI324*AE324)+($BJ324*AK324))/$J324)</f>
        <v>0</v>
      </c>
      <c r="BG627" s="1109">
        <f t="shared" si="604"/>
        <v>0</v>
      </c>
      <c r="BH627" s="1109">
        <f t="shared" si="604"/>
        <v>0</v>
      </c>
      <c r="BI627" s="1109">
        <f t="shared" si="604"/>
        <v>0</v>
      </c>
      <c r="BJ627" s="1109">
        <f t="shared" si="604"/>
        <v>0</v>
      </c>
    </row>
    <row r="628" spans="3:62" hidden="1" outlineLevel="1">
      <c r="C628" s="1071" t="str">
        <f t="shared" ref="C628:F628" si="605">C325</f>
        <v>Essential Security Upgrades</v>
      </c>
      <c r="D628" s="1071" t="str">
        <f t="shared" si="605"/>
        <v>Essential Security Upgrades</v>
      </c>
      <c r="E628" s="1071" t="str">
        <f t="shared" si="605"/>
        <v>T009</v>
      </c>
      <c r="F628" s="1125" t="str">
        <f t="shared" si="605"/>
        <v>2021-2024</v>
      </c>
      <c r="H628" s="1071" t="s">
        <v>29</v>
      </c>
      <c r="AZ628" s="1108"/>
      <c r="BA628" s="1109"/>
      <c r="BB628" s="1109"/>
      <c r="BC628" s="1109"/>
      <c r="BD628" s="1109"/>
      <c r="BE628" s="1109"/>
      <c r="BF628" s="1109">
        <f t="shared" ref="BF628:BJ628" si="606">IF($J325=0,0,(($BF325*M325)+($BG325*S325)+($BH325*Y325)+($BI325*AE325)+($BJ325*AK325))/$J325)</f>
        <v>0</v>
      </c>
      <c r="BG628" s="1109">
        <f t="shared" si="606"/>
        <v>0</v>
      </c>
      <c r="BH628" s="1109">
        <f t="shared" si="606"/>
        <v>0</v>
      </c>
      <c r="BI628" s="1109">
        <f t="shared" si="606"/>
        <v>0</v>
      </c>
      <c r="BJ628" s="1109">
        <f t="shared" si="606"/>
        <v>0</v>
      </c>
    </row>
    <row r="629" spans="3:62" hidden="1" outlineLevel="1">
      <c r="C629" s="1071" t="str">
        <f t="shared" ref="C629:F629" si="607">C326</f>
        <v>Essential Security Upgrades DUB</v>
      </c>
      <c r="D629" s="1071" t="str">
        <f t="shared" si="607"/>
        <v>Essential Security Upgrades</v>
      </c>
      <c r="E629" s="1071" t="str">
        <f t="shared" si="607"/>
        <v>T009A</v>
      </c>
      <c r="F629" s="1125" t="str">
        <f t="shared" si="607"/>
        <v>2021-2024</v>
      </c>
      <c r="H629" s="1071" t="s">
        <v>29</v>
      </c>
      <c r="AZ629" s="1108"/>
      <c r="BA629" s="1109"/>
      <c r="BB629" s="1109"/>
      <c r="BC629" s="1109"/>
      <c r="BD629" s="1109"/>
      <c r="BE629" s="1109"/>
      <c r="BF629" s="1109">
        <f t="shared" ref="BF629:BJ629" si="608">IF($J326=0,0,(($BF326*M326)+($BG326*S326)+($BH326*Y326)+($BI326*AE326)+($BJ326*AK326))/$J326)</f>
        <v>0</v>
      </c>
      <c r="BG629" s="1109">
        <f t="shared" si="608"/>
        <v>3.7445000000000004</v>
      </c>
      <c r="BH629" s="1109">
        <f t="shared" si="608"/>
        <v>7.4890000000000008</v>
      </c>
      <c r="BI629" s="1109">
        <f t="shared" si="608"/>
        <v>7.4890000000000008</v>
      </c>
      <c r="BJ629" s="1109">
        <f t="shared" si="608"/>
        <v>7.4890000000000008</v>
      </c>
    </row>
    <row r="630" spans="3:62" hidden="1" outlineLevel="1">
      <c r="C630" s="1071" t="str">
        <f t="shared" ref="C630:F630" si="609">C327</f>
        <v>Essential Security Upgrades Cork</v>
      </c>
      <c r="D630" s="1071" t="str">
        <f t="shared" si="609"/>
        <v>Essential Security Upgrades</v>
      </c>
      <c r="E630" s="1071" t="str">
        <f t="shared" si="609"/>
        <v>T009A</v>
      </c>
      <c r="F630" s="1125" t="str">
        <f t="shared" si="609"/>
        <v>2021-2024</v>
      </c>
      <c r="H630" s="1071" t="s">
        <v>29</v>
      </c>
      <c r="AZ630" s="1108"/>
      <c r="BA630" s="1109"/>
      <c r="BB630" s="1109"/>
      <c r="BC630" s="1109"/>
      <c r="BD630" s="1109"/>
      <c r="BE630" s="1109"/>
      <c r="BF630" s="1109">
        <f t="shared" ref="BF630:BJ630" si="610">IF($J327=0,0,(($BF327*M327)+($BG327*S327)+($BH327*Y327)+($BI327*AE327)+($BJ327*AK327))/$J327)</f>
        <v>0</v>
      </c>
      <c r="BG630" s="1109">
        <f t="shared" si="610"/>
        <v>0</v>
      </c>
      <c r="BH630" s="1109">
        <f t="shared" si="610"/>
        <v>0</v>
      </c>
      <c r="BI630" s="1109">
        <f t="shared" si="610"/>
        <v>0</v>
      </c>
      <c r="BJ630" s="1109">
        <f t="shared" si="610"/>
        <v>0</v>
      </c>
    </row>
    <row r="631" spans="3:62" hidden="1" outlineLevel="1">
      <c r="C631" s="1071" t="str">
        <f t="shared" ref="C631:F631" si="611">C328</f>
        <v>Essential Security Upgrades SHN</v>
      </c>
      <c r="D631" s="1071" t="str">
        <f t="shared" si="611"/>
        <v>Essential Security Upgrades</v>
      </c>
      <c r="E631" s="1071" t="str">
        <f t="shared" si="611"/>
        <v>T009A</v>
      </c>
      <c r="F631" s="1125" t="str">
        <f t="shared" si="611"/>
        <v>2021-2024</v>
      </c>
      <c r="H631" s="1071" t="s">
        <v>29</v>
      </c>
      <c r="AZ631" s="1108"/>
      <c r="BA631" s="1109"/>
      <c r="BB631" s="1109"/>
      <c r="BC631" s="1109"/>
      <c r="BD631" s="1109"/>
      <c r="BE631" s="1109"/>
      <c r="BF631" s="1109">
        <f t="shared" ref="BF631:BJ631" si="612">IF($J328=0,0,(($BF328*M328)+($BG328*S328)+($BH328*Y328)+($BI328*AE328)+($BJ328*AK328))/$J328)</f>
        <v>0</v>
      </c>
      <c r="BG631" s="1109">
        <f t="shared" si="612"/>
        <v>5.5268999999999995</v>
      </c>
      <c r="BH631" s="1109">
        <f t="shared" si="612"/>
        <v>11.053799999999999</v>
      </c>
      <c r="BI631" s="1109">
        <f t="shared" si="612"/>
        <v>11.053799999999999</v>
      </c>
      <c r="BJ631" s="1109">
        <f t="shared" si="612"/>
        <v>11.053799999999999</v>
      </c>
    </row>
    <row r="632" spans="3:62" hidden="1" outlineLevel="1">
      <c r="C632" s="1071" t="str">
        <f t="shared" ref="C632:F632" si="613">C329</f>
        <v>Network test equipment</v>
      </c>
      <c r="D632" s="1071" t="str">
        <f t="shared" si="613"/>
        <v>Network test equipment</v>
      </c>
      <c r="E632" s="1071" t="str">
        <f t="shared" si="613"/>
        <v>U009</v>
      </c>
      <c r="F632" s="1125" t="str">
        <f t="shared" si="613"/>
        <v>2021-2024</v>
      </c>
      <c r="H632" s="1071" t="s">
        <v>29</v>
      </c>
      <c r="AZ632" s="1108"/>
      <c r="BA632" s="1109"/>
      <c r="BB632" s="1109"/>
      <c r="BC632" s="1109"/>
      <c r="BD632" s="1109"/>
      <c r="BE632" s="1109"/>
      <c r="BF632" s="1109">
        <f t="shared" ref="BF632:BJ632" si="614">IF($J329=0,0,(($BF329*M329)+($BG329*S329)+($BH329*Y329)+($BI329*AE329)+($BJ329*AK329))/$J329)</f>
        <v>0</v>
      </c>
      <c r="BG632" s="1109">
        <f t="shared" si="614"/>
        <v>0</v>
      </c>
      <c r="BH632" s="1109">
        <f t="shared" si="614"/>
        <v>0</v>
      </c>
      <c r="BI632" s="1109">
        <f t="shared" si="614"/>
        <v>4.5</v>
      </c>
      <c r="BJ632" s="1109">
        <f t="shared" si="614"/>
        <v>18</v>
      </c>
    </row>
    <row r="633" spans="3:62" hidden="1" outlineLevel="1">
      <c r="C633" s="1071" t="str">
        <f t="shared" ref="C633:F633" si="615">C330</f>
        <v>Audio visual rooms</v>
      </c>
      <c r="D633" s="1071" t="str">
        <f t="shared" si="615"/>
        <v>Audio visual rooms</v>
      </c>
      <c r="E633" s="1071" t="str">
        <f t="shared" si="615"/>
        <v>S026</v>
      </c>
      <c r="F633" s="1125" t="str">
        <f t="shared" si="615"/>
        <v>2021-2024</v>
      </c>
      <c r="H633" s="1071" t="s">
        <v>29</v>
      </c>
      <c r="AZ633" s="1108"/>
      <c r="BA633" s="1109"/>
      <c r="BB633" s="1109"/>
      <c r="BC633" s="1109"/>
      <c r="BD633" s="1109"/>
      <c r="BE633" s="1109"/>
      <c r="BF633" s="1109">
        <f t="shared" ref="BF633:BJ633" si="616">IF($J330=0,0,(($BF330*M330)+($BG330*S330)+($BH330*Y330)+($BI330*AE330)+($BJ330*AK330))/$J330)</f>
        <v>0</v>
      </c>
      <c r="BG633" s="1109">
        <f t="shared" si="616"/>
        <v>7.5</v>
      </c>
      <c r="BH633" s="1109">
        <f t="shared" si="616"/>
        <v>30</v>
      </c>
      <c r="BI633" s="1109">
        <f t="shared" si="616"/>
        <v>30</v>
      </c>
      <c r="BJ633" s="1109">
        <f t="shared" si="616"/>
        <v>22.5</v>
      </c>
    </row>
    <row r="634" spans="3:62" hidden="1" outlineLevel="1">
      <c r="C634" s="1071" t="str">
        <f t="shared" ref="C634:F634" si="617">C331</f>
        <v>Migration of FMTP from IPv4 to IPv6</v>
      </c>
      <c r="D634" s="1071" t="str">
        <f t="shared" si="617"/>
        <v>Migration of FMTP from IPv4 to IPv6</v>
      </c>
      <c r="E634" s="1071" t="str">
        <f t="shared" si="617"/>
        <v>Q004</v>
      </c>
      <c r="F634" s="1125" t="str">
        <f t="shared" si="617"/>
        <v>2021-2024</v>
      </c>
      <c r="H634" s="1071" t="s">
        <v>29</v>
      </c>
      <c r="AZ634" s="1108"/>
      <c r="BA634" s="1109"/>
      <c r="BB634" s="1109"/>
      <c r="BC634" s="1109"/>
      <c r="BD634" s="1109"/>
      <c r="BE634" s="1109"/>
      <c r="BF634" s="1109">
        <f t="shared" ref="BF634:BJ634" si="618">IF($J331=0,0,(($BF331*M331)+($BG331*S331)+($BH331*Y331)+($BI331*AE331)+($BJ331*AK331))/$J331)</f>
        <v>0</v>
      </c>
      <c r="BG634" s="1109">
        <f t="shared" si="618"/>
        <v>2.6189671875000005</v>
      </c>
      <c r="BH634" s="1109">
        <f t="shared" si="618"/>
        <v>10.475868750000002</v>
      </c>
      <c r="BI634" s="1109">
        <f t="shared" si="618"/>
        <v>10.475868750000002</v>
      </c>
      <c r="BJ634" s="1109">
        <f t="shared" si="618"/>
        <v>10.475868750000002</v>
      </c>
    </row>
    <row r="635" spans="3:62" hidden="1" outlineLevel="1">
      <c r="C635" s="1071" t="str">
        <f t="shared" ref="C635:F635" si="619">C332</f>
        <v>PABX Infrastructure</v>
      </c>
      <c r="D635" s="1071" t="str">
        <f t="shared" si="619"/>
        <v>PABX Infrastructure</v>
      </c>
      <c r="E635" s="1071" t="str">
        <f t="shared" si="619"/>
        <v>P005</v>
      </c>
      <c r="F635" s="1125" t="str">
        <f t="shared" si="619"/>
        <v>2021-2024</v>
      </c>
      <c r="H635" s="1071" t="s">
        <v>29</v>
      </c>
      <c r="AZ635" s="1108"/>
      <c r="BA635" s="1109"/>
      <c r="BB635" s="1109"/>
      <c r="BC635" s="1109"/>
      <c r="BD635" s="1109"/>
      <c r="BE635" s="1109"/>
      <c r="BF635" s="1109">
        <f t="shared" ref="BF635:BJ635" si="620">IF($J332=0,0,(($BF332*M332)+($BG332*S332)+($BH332*Y332)+($BI332*AE332)+($BJ332*AK332))/$J332)</f>
        <v>0</v>
      </c>
      <c r="BG635" s="1109">
        <f t="shared" si="620"/>
        <v>5.0998068750000005</v>
      </c>
      <c r="BH635" s="1109">
        <f t="shared" si="620"/>
        <v>10.199613750000001</v>
      </c>
      <c r="BI635" s="1109">
        <f t="shared" si="620"/>
        <v>10.199613750000001</v>
      </c>
      <c r="BJ635" s="1109">
        <f t="shared" si="620"/>
        <v>10.199613750000001</v>
      </c>
    </row>
    <row r="636" spans="3:62" hidden="1" outlineLevel="1">
      <c r="C636" s="1071" t="str">
        <f t="shared" ref="C636:F636" si="621">C333</f>
        <v>Gerator Upgrade Programme</v>
      </c>
      <c r="D636" s="1071" t="str">
        <f t="shared" si="621"/>
        <v>Gerator Upgrade Programme</v>
      </c>
      <c r="E636" s="1071" t="str">
        <f t="shared" si="621"/>
        <v>T004</v>
      </c>
      <c r="F636" s="1125" t="str">
        <f t="shared" si="621"/>
        <v>2021-2024</v>
      </c>
      <c r="H636" s="1071" t="s">
        <v>29</v>
      </c>
      <c r="AZ636" s="1108"/>
      <c r="BA636" s="1109"/>
      <c r="BB636" s="1109"/>
      <c r="BC636" s="1109"/>
      <c r="BD636" s="1109"/>
      <c r="BE636" s="1109"/>
      <c r="BF636" s="1109">
        <f t="shared" ref="BF636:BJ636" si="622">IF($J333=0,0,(($BF333*M333)+($BG333*S333)+($BH333*Y333)+($BI333*AE333)+($BJ333*AK333))/$J333)</f>
        <v>0</v>
      </c>
      <c r="BG636" s="1109">
        <f t="shared" si="622"/>
        <v>0</v>
      </c>
      <c r="BH636" s="1109">
        <f t="shared" si="622"/>
        <v>0</v>
      </c>
      <c r="BI636" s="1109">
        <f t="shared" si="622"/>
        <v>0</v>
      </c>
      <c r="BJ636" s="1109">
        <f t="shared" si="622"/>
        <v>0</v>
      </c>
    </row>
    <row r="637" spans="3:62" hidden="1" outlineLevel="1">
      <c r="C637" s="1071" t="str">
        <f t="shared" ref="C637:F637" si="623">C334</f>
        <v>Gerator Upgrade Programme - Woodcock Hill</v>
      </c>
      <c r="D637" s="1071" t="str">
        <f t="shared" si="623"/>
        <v>Gerator Upgrade Programme</v>
      </c>
      <c r="E637" s="1071" t="str">
        <f t="shared" si="623"/>
        <v>T004A</v>
      </c>
      <c r="F637" s="1125" t="str">
        <f t="shared" si="623"/>
        <v>2021-2024</v>
      </c>
      <c r="H637" s="1071" t="s">
        <v>29</v>
      </c>
      <c r="AZ637" s="1108"/>
      <c r="BA637" s="1109"/>
      <c r="BB637" s="1109"/>
      <c r="BC637" s="1109"/>
      <c r="BD637" s="1109"/>
      <c r="BE637" s="1109"/>
      <c r="BF637" s="1109">
        <f t="shared" ref="BF637:BJ637" si="624">IF($J334=0,0,(($BF334*M334)+($BG334*S334)+($BH334*Y334)+($BI334*AE334)+($BJ334*AK334))/$J334)</f>
        <v>0</v>
      </c>
      <c r="BG637" s="1109">
        <f t="shared" si="624"/>
        <v>0</v>
      </c>
      <c r="BH637" s="1109">
        <f t="shared" si="624"/>
        <v>10</v>
      </c>
      <c r="BI637" s="1109">
        <f t="shared" si="624"/>
        <v>10</v>
      </c>
      <c r="BJ637" s="1109">
        <f t="shared" si="624"/>
        <v>10</v>
      </c>
    </row>
    <row r="638" spans="3:62" hidden="1" outlineLevel="1">
      <c r="C638" s="1071" t="str">
        <f t="shared" ref="C638:F638" si="625">C335</f>
        <v>Test Equipment for Navigational Aid Systems</v>
      </c>
      <c r="D638" s="1071" t="str">
        <f t="shared" si="625"/>
        <v>Nav Aids Equipment</v>
      </c>
      <c r="E638" s="1071" t="str">
        <f t="shared" si="625"/>
        <v>S004</v>
      </c>
      <c r="F638" s="1125" t="str">
        <f t="shared" si="625"/>
        <v>2021-2024</v>
      </c>
      <c r="H638" s="1071" t="s">
        <v>29</v>
      </c>
      <c r="AZ638" s="1108"/>
      <c r="BA638" s="1109"/>
      <c r="BB638" s="1109"/>
      <c r="BC638" s="1109"/>
      <c r="BD638" s="1109"/>
      <c r="BE638" s="1109"/>
      <c r="BF638" s="1109">
        <f t="shared" ref="BF638:BJ638" si="626">IF($J335=0,0,(($BF335*M335)+($BG335*S335)+($BH335*Y335)+($BI335*AE335)+($BJ335*AK335))/$J335)</f>
        <v>0</v>
      </c>
      <c r="BG638" s="1109">
        <f t="shared" si="626"/>
        <v>0</v>
      </c>
      <c r="BH638" s="1109">
        <f t="shared" si="626"/>
        <v>0</v>
      </c>
      <c r="BI638" s="1109">
        <f t="shared" si="626"/>
        <v>0</v>
      </c>
      <c r="BJ638" s="1109">
        <f t="shared" si="626"/>
        <v>0</v>
      </c>
    </row>
    <row r="639" spans="3:62" hidden="1" outlineLevel="1">
      <c r="C639" s="1071" t="str">
        <f t="shared" ref="C639:F639" si="627">C336</f>
        <v>Nav Aids Equipment Dublin</v>
      </c>
      <c r="D639" s="1071" t="str">
        <f t="shared" si="627"/>
        <v>Nav Aids Equipment</v>
      </c>
      <c r="E639" s="1071" t="str">
        <f t="shared" si="627"/>
        <v>S004A</v>
      </c>
      <c r="F639" s="1125" t="str">
        <f t="shared" si="627"/>
        <v>2021-2024</v>
      </c>
      <c r="H639" s="1071" t="s">
        <v>29</v>
      </c>
      <c r="AZ639" s="1108"/>
      <c r="BA639" s="1109"/>
      <c r="BB639" s="1109"/>
      <c r="BC639" s="1109"/>
      <c r="BD639" s="1109"/>
      <c r="BE639" s="1109"/>
      <c r="BF639" s="1109">
        <f t="shared" ref="BF639:BJ639" si="628">IF($J336=0,0,(($BF336*M336)+($BG336*S336)+($BH336*Y336)+($BI336*AE336)+($BJ336*AK336))/$J336)</f>
        <v>0</v>
      </c>
      <c r="BG639" s="1109">
        <f t="shared" si="628"/>
        <v>1.1847687499999984</v>
      </c>
      <c r="BH639" s="1109">
        <f t="shared" si="628"/>
        <v>4.7390749999999935</v>
      </c>
      <c r="BI639" s="1109">
        <f t="shared" si="628"/>
        <v>4.7390749999999935</v>
      </c>
      <c r="BJ639" s="1109">
        <f t="shared" si="628"/>
        <v>4.7390749999999935</v>
      </c>
    </row>
    <row r="640" spans="3:62" hidden="1" outlineLevel="1">
      <c r="C640" s="1071" t="str">
        <f t="shared" ref="C640:F640" si="629">C337</f>
        <v>Nav Aids Equipment Cork</v>
      </c>
      <c r="D640" s="1071" t="str">
        <f t="shared" si="629"/>
        <v>Nav Aids Equipment</v>
      </c>
      <c r="E640" s="1071" t="str">
        <f t="shared" si="629"/>
        <v>S004A</v>
      </c>
      <c r="F640" s="1125" t="str">
        <f t="shared" si="629"/>
        <v>2021-2024</v>
      </c>
      <c r="H640" s="1071" t="s">
        <v>29</v>
      </c>
      <c r="AZ640" s="1108"/>
      <c r="BA640" s="1109"/>
      <c r="BB640" s="1109"/>
      <c r="BC640" s="1109"/>
      <c r="BD640" s="1109"/>
      <c r="BE640" s="1109"/>
      <c r="BF640" s="1109">
        <f t="shared" ref="BF640:BJ640" si="630">IF($J337=0,0,(($BF337*M337)+($BG337*S337)+($BH337*Y337)+($BI337*AE337)+($BJ337*AK337))/$J337)</f>
        <v>0</v>
      </c>
      <c r="BG640" s="1109">
        <f t="shared" si="630"/>
        <v>0</v>
      </c>
      <c r="BH640" s="1109">
        <f t="shared" si="630"/>
        <v>0</v>
      </c>
      <c r="BI640" s="1109">
        <f t="shared" si="630"/>
        <v>0</v>
      </c>
      <c r="BJ640" s="1109">
        <f t="shared" si="630"/>
        <v>0</v>
      </c>
    </row>
    <row r="641" spans="2:62" hidden="1" outlineLevel="1">
      <c r="C641" s="1071" t="str">
        <f t="shared" ref="C641:F641" si="631">C338</f>
        <v>Nav Aids Equipment Shannon</v>
      </c>
      <c r="D641" s="1071" t="str">
        <f t="shared" si="631"/>
        <v>Nav Aids Equipment</v>
      </c>
      <c r="E641" s="1071" t="str">
        <f t="shared" si="631"/>
        <v>S004A</v>
      </c>
      <c r="F641" s="1125" t="str">
        <f t="shared" si="631"/>
        <v>2021-2024</v>
      </c>
      <c r="H641" s="1071" t="s">
        <v>29</v>
      </c>
      <c r="AZ641" s="1108"/>
      <c r="BA641" s="1109"/>
      <c r="BB641" s="1109"/>
      <c r="BC641" s="1109"/>
      <c r="BD641" s="1109"/>
      <c r="BE641" s="1109"/>
      <c r="BF641" s="1109">
        <f t="shared" ref="BF641:BJ641" si="632">IF($J338=0,0,(($BF338*M338)+($BG338*S338)+($BH338*Y338)+($BI338*AE338)+($BJ338*AK338))/$J338)</f>
        <v>0</v>
      </c>
      <c r="BG641" s="1109">
        <f t="shared" si="632"/>
        <v>0</v>
      </c>
      <c r="BH641" s="1109">
        <f t="shared" si="632"/>
        <v>1.09375</v>
      </c>
      <c r="BI641" s="1109">
        <f t="shared" si="632"/>
        <v>4.375</v>
      </c>
      <c r="BJ641" s="1109">
        <f t="shared" si="632"/>
        <v>4.375</v>
      </c>
    </row>
    <row r="642" spans="2:62" hidden="1" outlineLevel="1">
      <c r="C642" s="1071" t="str">
        <f t="shared" ref="C642:F642" si="633">C339</f>
        <v>Conference Centre Wi-FI &amp; UPS</v>
      </c>
      <c r="D642" s="1071" t="str">
        <f t="shared" si="633"/>
        <v>Conference Centre Wi-FI &amp; UPS</v>
      </c>
      <c r="E642" s="1071" t="str">
        <f t="shared" si="633"/>
        <v>S033</v>
      </c>
      <c r="F642" s="1125" t="str">
        <f t="shared" si="633"/>
        <v>2021-2024</v>
      </c>
      <c r="H642" s="1071" t="s">
        <v>29</v>
      </c>
      <c r="AZ642" s="1108"/>
      <c r="BA642" s="1109"/>
      <c r="BB642" s="1109"/>
      <c r="BC642" s="1109"/>
      <c r="BD642" s="1109"/>
      <c r="BE642" s="1109"/>
      <c r="BF642" s="1109">
        <f t="shared" ref="BF642:BJ642" si="634">IF($J339=0,0,(($BF339*M339)+($BG339*S339)+($BH339*Y339)+($BI339*AE339)+($BJ339*AK339))/$J339)</f>
        <v>0</v>
      </c>
      <c r="BG642" s="1109">
        <f t="shared" si="634"/>
        <v>1.75</v>
      </c>
      <c r="BH642" s="1109">
        <f t="shared" si="634"/>
        <v>7</v>
      </c>
      <c r="BI642" s="1109">
        <f t="shared" si="634"/>
        <v>7</v>
      </c>
      <c r="BJ642" s="1109">
        <f t="shared" si="634"/>
        <v>7</v>
      </c>
    </row>
    <row r="643" spans="2:62" hidden="1" outlineLevel="1">
      <c r="C643" s="1071" t="str">
        <f t="shared" ref="C643:F643" si="635">C340</f>
        <v>Mechanical and Electrical Requirements</v>
      </c>
      <c r="D643" s="1071" t="str">
        <f t="shared" si="635"/>
        <v>Mechanical and Electrical Requirements</v>
      </c>
      <c r="E643" s="1071" t="str">
        <f t="shared" si="635"/>
        <v>S022</v>
      </c>
      <c r="F643" s="1125" t="str">
        <f t="shared" si="635"/>
        <v>2021-2024</v>
      </c>
      <c r="H643" s="1071" t="s">
        <v>29</v>
      </c>
      <c r="AZ643" s="1108"/>
      <c r="BA643" s="1109"/>
      <c r="BB643" s="1109"/>
      <c r="BC643" s="1109"/>
      <c r="BD643" s="1109"/>
      <c r="BE643" s="1109"/>
      <c r="BF643" s="1109">
        <f t="shared" ref="BF643:BJ643" si="636">IF($J340=0,0,(($BF340*M340)+($BG340*S340)+($BH340*Y340)+($BI340*AE340)+($BJ340*AK340))/$J340)</f>
        <v>0</v>
      </c>
      <c r="BG643" s="1109">
        <f t="shared" si="636"/>
        <v>0</v>
      </c>
      <c r="BH643" s="1109">
        <f t="shared" si="636"/>
        <v>3.4391250000000002</v>
      </c>
      <c r="BI643" s="1109">
        <f t="shared" si="636"/>
        <v>3.4391250000000002</v>
      </c>
      <c r="BJ643" s="1109">
        <f t="shared" si="636"/>
        <v>3.4391250000000002</v>
      </c>
    </row>
    <row r="644" spans="2:62" hidden="1" outlineLevel="1">
      <c r="C644" s="1071" t="str">
        <f t="shared" ref="C644:F644" si="637">C341</f>
        <v>Controller Pilot Data Linking (CPDLC) SITA Ground Station expansion</v>
      </c>
      <c r="D644" s="1071" t="str">
        <f t="shared" si="637"/>
        <v>Controller Pilot Data Linking (CPDLC) SITA Ground Station expansion</v>
      </c>
      <c r="E644" s="1071" t="str">
        <f t="shared" si="637"/>
        <v>Q009</v>
      </c>
      <c r="F644" s="1125" t="str">
        <f t="shared" si="637"/>
        <v>2021-2024</v>
      </c>
      <c r="H644" s="1071" t="s">
        <v>29</v>
      </c>
      <c r="AZ644" s="1108"/>
      <c r="BA644" s="1109"/>
      <c r="BB644" s="1109"/>
      <c r="BC644" s="1109"/>
      <c r="BD644" s="1109"/>
      <c r="BE644" s="1109"/>
      <c r="BF644" s="1109">
        <f t="shared" ref="BF644:BJ644" si="638">IF($J341=0,0,(($BF341*M341)+($BG341*S341)+($BH341*Y341)+($BI341*AE341)+($BJ341*AK341))/$J341)</f>
        <v>0</v>
      </c>
      <c r="BG644" s="1109">
        <f t="shared" si="638"/>
        <v>0</v>
      </c>
      <c r="BH644" s="1109">
        <f t="shared" si="638"/>
        <v>1.5625</v>
      </c>
      <c r="BI644" s="1109">
        <f t="shared" si="638"/>
        <v>3.125</v>
      </c>
      <c r="BJ644" s="1109">
        <f t="shared" si="638"/>
        <v>3.125</v>
      </c>
    </row>
    <row r="645" spans="2:62" hidden="1" outlineLevel="1">
      <c r="C645" s="1071" t="str">
        <f t="shared" ref="C645:F645" si="639">C342</f>
        <v>Piloting New Technology</v>
      </c>
      <c r="D645" s="1071" t="str">
        <f t="shared" si="639"/>
        <v>Piloting New Technology</v>
      </c>
      <c r="E645" s="1071" t="str">
        <f t="shared" si="639"/>
        <v>L016</v>
      </c>
      <c r="F645" s="1125" t="str">
        <f t="shared" si="639"/>
        <v>2021-2024</v>
      </c>
      <c r="H645" s="1071" t="s">
        <v>29</v>
      </c>
      <c r="AZ645" s="1108"/>
      <c r="BA645" s="1109"/>
      <c r="BB645" s="1109"/>
      <c r="BC645" s="1109"/>
      <c r="BD645" s="1109"/>
      <c r="BE645" s="1109"/>
      <c r="BF645" s="1109">
        <f t="shared" ref="BF645:BJ645" si="640">IF($J342=0,0,(($BF342*M342)+($BG342*S342)+($BH342*Y342)+($BI342*AE342)+($BJ342*AK342))/$J342)</f>
        <v>0</v>
      </c>
      <c r="BG645" s="1109">
        <f t="shared" si="640"/>
        <v>0</v>
      </c>
      <c r="BH645" s="1109">
        <f t="shared" si="640"/>
        <v>0</v>
      </c>
      <c r="BI645" s="1109">
        <f t="shared" si="640"/>
        <v>7.7293333333333329</v>
      </c>
      <c r="BJ645" s="1109">
        <f t="shared" si="640"/>
        <v>7.7293333333333329</v>
      </c>
    </row>
    <row r="646" spans="2:62" ht="10.15" customHeight="1" collapsed="1">
      <c r="C646" s="1110"/>
      <c r="D646" s="1110"/>
      <c r="E646" s="1110"/>
      <c r="F646" s="1110"/>
      <c r="G646" s="1110"/>
      <c r="H646" s="1110"/>
      <c r="I646" s="1110"/>
      <c r="J646" s="1110"/>
      <c r="K646" s="1110"/>
      <c r="L646" s="1110"/>
      <c r="M646" s="1110"/>
      <c r="N646" s="1110"/>
      <c r="O646" s="1110"/>
      <c r="P646" s="1110"/>
      <c r="Q646" s="1110"/>
      <c r="R646" s="1110"/>
      <c r="S646" s="1110"/>
      <c r="T646" s="1110"/>
      <c r="U646" s="1110"/>
      <c r="V646" s="1110"/>
      <c r="W646" s="1110"/>
      <c r="X646" s="1110"/>
      <c r="Y646" s="1110"/>
      <c r="Z646" s="1110"/>
      <c r="AA646" s="1110"/>
      <c r="AB646" s="1110"/>
      <c r="AC646" s="1110"/>
      <c r="AD646" s="1110"/>
      <c r="AE646" s="1110"/>
      <c r="AF646" s="1110"/>
      <c r="AG646" s="1110"/>
      <c r="AH646" s="1110"/>
      <c r="AI646" s="1110"/>
      <c r="AJ646" s="1110"/>
      <c r="AK646" s="1110"/>
      <c r="AL646" s="1110"/>
      <c r="AM646" s="1110"/>
      <c r="AN646" s="1110"/>
      <c r="AO646" s="1110"/>
      <c r="AP646" s="1110"/>
      <c r="AQ646" s="1110"/>
      <c r="AR646" s="1110"/>
      <c r="AS646" s="1110"/>
      <c r="AT646" s="1110"/>
      <c r="AU646" s="1110"/>
      <c r="AV646" s="1110"/>
      <c r="AW646" s="1110"/>
      <c r="AX646" s="1110"/>
      <c r="AY646" s="1110"/>
      <c r="AZ646" s="1110"/>
      <c r="BA646" s="1111"/>
      <c r="BB646" s="1111"/>
      <c r="BC646" s="1111"/>
      <c r="BD646" s="1111"/>
      <c r="BE646" s="1111"/>
      <c r="BF646" s="1111"/>
      <c r="BG646" s="1111"/>
      <c r="BH646" s="1111"/>
      <c r="BI646" s="1111"/>
      <c r="BJ646" s="1111"/>
    </row>
    <row r="647" spans="2:62" ht="11.25" customHeight="1">
      <c r="C647" s="1206" t="s">
        <v>727</v>
      </c>
      <c r="D647" s="1204"/>
      <c r="E647" s="1204"/>
      <c r="F647" s="1204"/>
      <c r="G647" s="1204"/>
      <c r="H647" s="1104" t="s">
        <v>29</v>
      </c>
      <c r="I647" s="1204"/>
      <c r="J647" s="1204"/>
      <c r="K647" s="1204"/>
      <c r="L647" s="1204"/>
      <c r="M647" s="1204"/>
      <c r="N647" s="1204"/>
      <c r="O647" s="1204"/>
      <c r="P647" s="1204"/>
      <c r="Q647" s="1204"/>
      <c r="R647" s="1204"/>
      <c r="S647" s="1204"/>
      <c r="T647" s="1204"/>
      <c r="U647" s="1204"/>
      <c r="V647" s="1204"/>
      <c r="W647" s="1204"/>
      <c r="X647" s="1204"/>
      <c r="Y647" s="1204"/>
      <c r="Z647" s="1204"/>
      <c r="AA647" s="1204"/>
      <c r="AB647" s="1204"/>
      <c r="AC647" s="1204"/>
      <c r="AD647" s="1204"/>
      <c r="AE647" s="1204"/>
      <c r="AF647" s="1204"/>
      <c r="AG647" s="1204"/>
      <c r="AH647" s="1204"/>
      <c r="AI647" s="1204"/>
      <c r="AJ647" s="1204"/>
      <c r="AK647" s="1204"/>
      <c r="AL647" s="1204"/>
      <c r="AM647" s="1204"/>
      <c r="AN647" s="1204"/>
      <c r="AO647" s="1204"/>
      <c r="AP647" s="1204"/>
      <c r="AQ647" s="1204"/>
      <c r="AR647" s="1204"/>
      <c r="AS647" s="1204"/>
      <c r="AT647" s="1204"/>
      <c r="AU647" s="1204"/>
      <c r="AV647" s="1204"/>
      <c r="AW647" s="1204"/>
      <c r="AX647" s="1204"/>
      <c r="AY647" s="1204"/>
      <c r="AZ647" s="1204"/>
      <c r="BA647" s="1205"/>
      <c r="BB647" s="1205"/>
      <c r="BC647" s="1205"/>
      <c r="BD647" s="1205"/>
      <c r="BE647" s="1205"/>
      <c r="BF647" s="1105">
        <f>SUMPRODUCT(BF$45:BF$342,AQ$45:AQ$342,$K$45:$K$342)</f>
        <v>275.64294000000007</v>
      </c>
      <c r="BG647" s="1105">
        <f>SUMPRODUCT(BG$45:BG$342,AR$45:AR$342,$K$45:$K$342)</f>
        <v>2401.155664417116</v>
      </c>
      <c r="BH647" s="1105">
        <f>SUMPRODUCT(BH$45:BH$342,AS$45:AS$342,$K$45:$K$342)</f>
        <v>2982.7866139647999</v>
      </c>
      <c r="BI647" s="1105">
        <f>SUMPRODUCT(BI$45:BI$342,AT$45:AT$342,$K$45:$K$342)</f>
        <v>2323.6366684639625</v>
      </c>
      <c r="BJ647" s="1105">
        <f>SUMPRODUCT(BJ$45:BJ$342,AU$45:AU$342,$K$45:$K$342)</f>
        <v>908.23549056259185</v>
      </c>
    </row>
    <row r="648" spans="2:62" ht="11.25" customHeight="1">
      <c r="C648" s="1206" t="s">
        <v>728</v>
      </c>
      <c r="D648" s="1204"/>
      <c r="E648" s="1204"/>
      <c r="F648" s="1204"/>
      <c r="G648" s="1204"/>
      <c r="H648" s="1104" t="s">
        <v>29</v>
      </c>
      <c r="I648" s="1204"/>
      <c r="J648" s="1204"/>
      <c r="K648" s="1204"/>
      <c r="L648" s="1204"/>
      <c r="M648" s="1204"/>
      <c r="N648" s="1204"/>
      <c r="O648" s="1204"/>
      <c r="P648" s="1204"/>
      <c r="Q648" s="1204"/>
      <c r="R648" s="1204"/>
      <c r="S648" s="1204"/>
      <c r="T648" s="1204"/>
      <c r="U648" s="1204"/>
      <c r="V648" s="1204"/>
      <c r="W648" s="1204"/>
      <c r="X648" s="1204"/>
      <c r="Y648" s="1204"/>
      <c r="Z648" s="1204"/>
      <c r="AA648" s="1204"/>
      <c r="AB648" s="1204"/>
      <c r="AC648" s="1204"/>
      <c r="AD648" s="1204"/>
      <c r="AE648" s="1204"/>
      <c r="AF648" s="1204"/>
      <c r="AG648" s="1204"/>
      <c r="AH648" s="1204"/>
      <c r="AI648" s="1204"/>
      <c r="AJ648" s="1204"/>
      <c r="AK648" s="1204"/>
      <c r="AL648" s="1204"/>
      <c r="AM648" s="1204"/>
      <c r="AN648" s="1204"/>
      <c r="AO648" s="1204"/>
      <c r="AP648" s="1204"/>
      <c r="AQ648" s="1204"/>
      <c r="AR648" s="1204"/>
      <c r="AS648" s="1204"/>
      <c r="AT648" s="1204"/>
      <c r="AU648" s="1204"/>
      <c r="AV648" s="1204"/>
      <c r="AW648" s="1204"/>
      <c r="AX648" s="1204"/>
      <c r="AY648" s="1204"/>
      <c r="AZ648" s="1204"/>
      <c r="BA648" s="1205"/>
      <c r="BB648" s="1205"/>
      <c r="BC648" s="1205"/>
      <c r="BD648" s="1205"/>
      <c r="BE648" s="1205"/>
      <c r="BF648" s="1105">
        <f>BF649-BF647</f>
        <v>0</v>
      </c>
      <c r="BG648" s="1105">
        <f t="shared" ref="BG648:BJ648" si="641">BG649-BG647</f>
        <v>1661.6409436891872</v>
      </c>
      <c r="BH648" s="1105">
        <f t="shared" si="641"/>
        <v>6992.1162073839423</v>
      </c>
      <c r="BI648" s="1105">
        <f t="shared" si="641"/>
        <v>12218.880747424537</v>
      </c>
      <c r="BJ648" s="1105">
        <f t="shared" si="641"/>
        <v>16077.571106776812</v>
      </c>
    </row>
    <row r="649" spans="2:62">
      <c r="C649" s="1206" t="s">
        <v>729</v>
      </c>
      <c r="H649" s="1104" t="s">
        <v>29</v>
      </c>
      <c r="BA649" s="1105"/>
      <c r="BB649" s="1105"/>
      <c r="BC649" s="1105"/>
      <c r="BD649" s="1105"/>
      <c r="BE649" s="1105"/>
      <c r="BF649" s="1105">
        <f>SUM(BF348:BF645)</f>
        <v>275.64294000000007</v>
      </c>
      <c r="BG649" s="1105">
        <f>SUM(BG348:BG645)</f>
        <v>4062.7966081063032</v>
      </c>
      <c r="BH649" s="1105">
        <f>SUM(BH348:BH645)</f>
        <v>9974.9028213487418</v>
      </c>
      <c r="BI649" s="1105">
        <f>SUM(BI348:BI645)</f>
        <v>14542.5174158885</v>
      </c>
      <c r="BJ649" s="1105">
        <f>SUM(BJ348:BJ645)</f>
        <v>16985.806597339404</v>
      </c>
    </row>
    <row r="650" spans="2:62">
      <c r="C650" s="1206" t="s">
        <v>730</v>
      </c>
      <c r="H650" s="1104" t="s">
        <v>29</v>
      </c>
      <c r="BA650" s="1105"/>
      <c r="BB650" s="1105"/>
      <c r="BC650" s="1105"/>
      <c r="BD650" s="1105"/>
      <c r="BE650" s="1105"/>
      <c r="BF650" s="1105">
        <f t="shared" ref="BF650:BJ650" si="642">BF15</f>
        <v>8550.5722256201316</v>
      </c>
      <c r="BG650" s="1105">
        <f t="shared" si="642"/>
        <v>7980.2620400368105</v>
      </c>
      <c r="BH650" s="1105">
        <f t="shared" si="642"/>
        <v>6432.2138783700902</v>
      </c>
      <c r="BI650" s="1105">
        <f t="shared" si="642"/>
        <v>4529.4260649534535</v>
      </c>
      <c r="BJ650" s="1105">
        <f t="shared" si="642"/>
        <v>2415.1777417867866</v>
      </c>
    </row>
    <row r="651" spans="2:62">
      <c r="C651" s="1206" t="s">
        <v>731</v>
      </c>
      <c r="H651" s="1104" t="s">
        <v>29</v>
      </c>
      <c r="BA651" s="1105"/>
      <c r="BB651" s="1105"/>
      <c r="BC651" s="1105"/>
      <c r="BD651" s="1105"/>
      <c r="BE651" s="1105"/>
      <c r="BF651" s="1105">
        <f t="shared" ref="BF651:BJ651" si="643">SUM(BF649:BF650)</f>
        <v>8826.2151656201313</v>
      </c>
      <c r="BG651" s="1105">
        <f t="shared" si="643"/>
        <v>12043.058648143113</v>
      </c>
      <c r="BH651" s="1105">
        <f t="shared" si="643"/>
        <v>16407.116699718834</v>
      </c>
      <c r="BI651" s="1105">
        <f t="shared" si="643"/>
        <v>19071.943480841954</v>
      </c>
      <c r="BJ651" s="1105">
        <f t="shared" si="643"/>
        <v>19400.984339126189</v>
      </c>
    </row>
    <row r="652" spans="2:62">
      <c r="C652" s="1104"/>
      <c r="H652" s="1104"/>
      <c r="BA652" s="1105"/>
      <c r="BB652" s="1105"/>
      <c r="BC652" s="1105"/>
      <c r="BD652" s="1105"/>
      <c r="BE652" s="1105"/>
      <c r="BF652" s="1105"/>
      <c r="BG652" s="1105"/>
      <c r="BH652" s="1105"/>
      <c r="BI652" s="1105"/>
      <c r="BJ652" s="1105"/>
    </row>
    <row r="653" spans="2:62">
      <c r="B653" s="1091" t="s">
        <v>732</v>
      </c>
      <c r="C653" s="1091"/>
      <c r="D653" s="1137"/>
      <c r="E653" s="1106"/>
      <c r="F653" s="1106"/>
      <c r="G653" s="1106"/>
      <c r="H653" s="1106"/>
      <c r="I653" s="1106"/>
      <c r="J653" s="1106"/>
      <c r="K653" s="1106"/>
      <c r="L653" s="1106"/>
      <c r="M653" s="1106"/>
      <c r="N653" s="1106"/>
      <c r="O653" s="1091"/>
      <c r="P653" s="1091"/>
      <c r="Q653" s="1091"/>
      <c r="R653" s="1091"/>
      <c r="S653" s="1091"/>
      <c r="T653" s="1091"/>
      <c r="U653" s="1091"/>
      <c r="V653" s="1091"/>
      <c r="W653" s="1091"/>
      <c r="X653" s="1091"/>
      <c r="Y653" s="1091"/>
      <c r="Z653" s="1091"/>
      <c r="AA653" s="1091"/>
      <c r="AB653" s="1091"/>
      <c r="AC653" s="1091"/>
      <c r="AD653" s="1091"/>
      <c r="AE653" s="1091"/>
      <c r="AF653" s="1091"/>
      <c r="AG653" s="1091"/>
      <c r="AH653" s="1091"/>
      <c r="AI653" s="1091"/>
      <c r="AJ653" s="1091"/>
      <c r="AK653" s="1091"/>
      <c r="AL653" s="1091"/>
      <c r="AM653" s="1091"/>
      <c r="AN653" s="1091"/>
      <c r="AO653" s="1106"/>
      <c r="AP653" s="1106"/>
      <c r="AQ653" s="1106"/>
      <c r="AR653" s="1106"/>
      <c r="AS653" s="1106"/>
      <c r="AT653" s="1106"/>
      <c r="AU653" s="1106"/>
      <c r="AV653" s="1106"/>
      <c r="AW653" s="1106"/>
      <c r="AX653" s="1106"/>
      <c r="AY653" s="1106"/>
      <c r="AZ653" s="1106"/>
      <c r="BA653" s="1107"/>
      <c r="BB653" s="1107"/>
      <c r="BC653" s="1107"/>
      <c r="BD653" s="1107"/>
      <c r="BE653" s="1107"/>
      <c r="BF653" s="1107"/>
      <c r="BG653" s="1107"/>
      <c r="BH653" s="1107"/>
      <c r="BI653" s="1107"/>
      <c r="BJ653" s="1107"/>
    </row>
    <row r="654" spans="2:62">
      <c r="B654" s="1207"/>
      <c r="C654" s="1207" t="s">
        <v>733</v>
      </c>
      <c r="D654" s="1208"/>
      <c r="E654" s="1209"/>
      <c r="F654" s="1209"/>
      <c r="G654" s="1209"/>
      <c r="H654" s="1104" t="s">
        <v>29</v>
      </c>
      <c r="I654" s="1209"/>
      <c r="J654" s="1209"/>
      <c r="K654" s="1209"/>
      <c r="L654" s="1209"/>
      <c r="M654" s="1209"/>
      <c r="N654" s="1209"/>
      <c r="O654" s="1207"/>
      <c r="P654" s="1207"/>
      <c r="Q654" s="1207"/>
      <c r="R654" s="1207"/>
      <c r="S654" s="1207"/>
      <c r="T654" s="1207"/>
      <c r="U654" s="1207"/>
      <c r="V654" s="1207"/>
      <c r="W654" s="1207"/>
      <c r="X654" s="1207"/>
      <c r="Y654" s="1207"/>
      <c r="Z654" s="1207"/>
      <c r="AA654" s="1207"/>
      <c r="AB654" s="1207"/>
      <c r="AC654" s="1207"/>
      <c r="AD654" s="1207"/>
      <c r="AE654" s="1207"/>
      <c r="AF654" s="1207"/>
      <c r="AG654" s="1207"/>
      <c r="AH654" s="1207"/>
      <c r="AI654" s="1207"/>
      <c r="AJ654" s="1207"/>
      <c r="AK654" s="1207"/>
      <c r="AL654" s="1207"/>
      <c r="AM654" s="1207"/>
      <c r="AN654" s="1207"/>
      <c r="AO654" s="1209"/>
      <c r="AP654" s="1209"/>
      <c r="AQ654" s="1209"/>
      <c r="AR654" s="1209"/>
      <c r="AS654" s="1209"/>
      <c r="AT654" s="1209"/>
      <c r="AU654" s="1209"/>
      <c r="AV654" s="1209"/>
      <c r="AW654" s="1209"/>
      <c r="AX654" s="1209"/>
      <c r="AY654" s="1209"/>
      <c r="AZ654" s="1209"/>
      <c r="BA654" s="1210"/>
      <c r="BB654" s="1210"/>
      <c r="BC654" s="1210"/>
      <c r="BD654" s="1210"/>
      <c r="BE654" s="1071"/>
      <c r="BF654" s="1211">
        <f>((BE656-BF650-BF648)+BE656)/2</f>
        <v>30440.153282810035</v>
      </c>
      <c r="BG654" s="1211">
        <f>((BF656-BG650-BG648)+BF656)/2</f>
        <v>36366.601968136965</v>
      </c>
      <c r="BH654" s="1211">
        <f>((BG656-BH650-BH648)+BG656)/2</f>
        <v>83145.001749750692</v>
      </c>
      <c r="BI654" s="1211">
        <f>((BH656-BI650-BI648)+BH656)/2</f>
        <v>103343.25716980736</v>
      </c>
      <c r="BJ654" s="1211">
        <f>((BI656-BJ650-BJ648)+BI656)/2</f>
        <v>113287.92432554709</v>
      </c>
    </row>
    <row r="655" spans="2:62">
      <c r="B655" s="1207"/>
      <c r="C655" s="1104" t="s">
        <v>734</v>
      </c>
      <c r="H655" s="1104" t="s">
        <v>29</v>
      </c>
      <c r="BA655" s="1084"/>
      <c r="BB655" s="1084"/>
      <c r="BC655" s="1084"/>
      <c r="BD655" s="1084"/>
      <c r="BE655" s="1084"/>
      <c r="BF655" s="1116">
        <f>BF654+BF345-BF647</f>
        <v>32182.946847810032</v>
      </c>
      <c r="BG655" s="1116">
        <f>BG654+BG345-BG647</f>
        <v>62455.081604316307</v>
      </c>
      <c r="BH655" s="1116">
        <f>BH654+BH345-BH647</f>
        <v>100340.01151972651</v>
      </c>
      <c r="BI655" s="1116">
        <f>BI654+BI345-BI647</f>
        <v>118011.3650990551</v>
      </c>
      <c r="BJ655" s="1116">
        <f>BJ654+BJ345-BJ647</f>
        <v>120869.72900948524</v>
      </c>
    </row>
    <row r="656" spans="2:62">
      <c r="C656" s="1104" t="s">
        <v>735</v>
      </c>
      <c r="H656" s="1104" t="s">
        <v>29</v>
      </c>
      <c r="BA656" s="1105"/>
      <c r="BB656" s="1105"/>
      <c r="BC656" s="1105"/>
      <c r="BD656" s="1105"/>
      <c r="BE656" s="1211">
        <f>BE14</f>
        <v>34715.439395620102</v>
      </c>
      <c r="BF656" s="1105">
        <f>BE656+BF344-BF651</f>
        <v>41187.553459999966</v>
      </c>
      <c r="BG656" s="1105">
        <f>BF656+BG344-BG651</f>
        <v>89857.1667926277</v>
      </c>
      <c r="BH656" s="1105">
        <f t="shared" ref="BH656:BJ656" si="644">BG656+BH344-BH651</f>
        <v>111717.41057599636</v>
      </c>
      <c r="BI656" s="1105">
        <f t="shared" si="644"/>
        <v>122534.29874982889</v>
      </c>
      <c r="BJ656" s="1105">
        <f t="shared" si="644"/>
        <v>118799.27219020345</v>
      </c>
    </row>
    <row r="657" spans="2:62">
      <c r="I657" s="1071" t="s">
        <v>736</v>
      </c>
      <c r="BA657" s="1084"/>
      <c r="BB657" s="1084"/>
      <c r="BC657" s="1084"/>
      <c r="BD657" s="1084"/>
      <c r="BE657" s="1582" t="s">
        <v>737</v>
      </c>
      <c r="BF657" s="1583">
        <f>BE656+BF344-BF651-BF656</f>
        <v>0</v>
      </c>
      <c r="BG657" s="1583">
        <f t="shared" ref="BG657:BJ657" si="645">BF656+BG344-BG651-BG656</f>
        <v>0</v>
      </c>
      <c r="BH657" s="1583">
        <f t="shared" si="645"/>
        <v>0</v>
      </c>
      <c r="BI657" s="1583">
        <f t="shared" si="645"/>
        <v>0</v>
      </c>
      <c r="BJ657" s="1584">
        <f t="shared" si="645"/>
        <v>0</v>
      </c>
    </row>
    <row r="658" spans="2:62">
      <c r="B658" s="1091" t="s">
        <v>738</v>
      </c>
      <c r="C658" s="1091"/>
      <c r="D658" s="1137" t="s">
        <v>739</v>
      </c>
      <c r="E658" s="1106"/>
      <c r="F658" s="1106"/>
      <c r="G658" s="1106"/>
      <c r="H658" s="1106"/>
      <c r="I658" s="1106"/>
      <c r="J658" s="1106"/>
      <c r="K658" s="1106"/>
      <c r="L658" s="1106"/>
      <c r="M658" s="1106"/>
      <c r="N658" s="1106"/>
      <c r="O658" s="1091"/>
      <c r="P658" s="1091"/>
      <c r="Q658" s="1091"/>
      <c r="R658" s="1091"/>
      <c r="S658" s="1091"/>
      <c r="T658" s="1091"/>
      <c r="U658" s="1091"/>
      <c r="V658" s="1091"/>
      <c r="W658" s="1091"/>
      <c r="X658" s="1091"/>
      <c r="Y658" s="1091"/>
      <c r="Z658" s="1091"/>
      <c r="AA658" s="1091"/>
      <c r="AB658" s="1091"/>
      <c r="AC658" s="1091"/>
      <c r="AD658" s="1091"/>
      <c r="AE658" s="1091"/>
      <c r="AF658" s="1091"/>
      <c r="AG658" s="1091"/>
      <c r="AH658" s="1091"/>
      <c r="AI658" s="1091"/>
      <c r="AJ658" s="1091"/>
      <c r="AK658" s="1091"/>
      <c r="AL658" s="1091"/>
      <c r="AM658" s="1091"/>
      <c r="AN658" s="1091"/>
      <c r="AO658" s="1106"/>
      <c r="AP658" s="1106"/>
      <c r="AQ658" s="1106"/>
      <c r="AR658" s="1106"/>
      <c r="AS658" s="1106"/>
      <c r="AT658" s="1106"/>
      <c r="AU658" s="1106"/>
      <c r="AV658" s="1106"/>
      <c r="AW658" s="1106"/>
      <c r="AX658" s="1106"/>
      <c r="AY658" s="1106"/>
      <c r="AZ658" s="1106"/>
      <c r="BA658" s="1107"/>
      <c r="BB658" s="1107"/>
      <c r="BC658" s="1107"/>
      <c r="BD658" s="1107"/>
      <c r="BE658" s="1107"/>
      <c r="BF658" s="1107"/>
      <c r="BG658" s="1107"/>
      <c r="BH658" s="1107"/>
      <c r="BI658" s="1107"/>
      <c r="BJ658" s="1107"/>
    </row>
    <row r="659" spans="2:62" hidden="1" outlineLevel="1">
      <c r="C659" s="1071" t="s">
        <v>497</v>
      </c>
      <c r="D659" s="1071" t="str">
        <f t="shared" ref="D659:F686" si="646">INDEX(D$348:D$645,MATCH($C659,$C$348:$C$645,0))</f>
        <v>Replacement Dublin 2 RADAR</v>
      </c>
      <c r="E659" s="1071" t="str">
        <f t="shared" si="646"/>
        <v>Q012</v>
      </c>
      <c r="F659" s="1071" t="str">
        <f t="shared" si="646"/>
        <v>2021-2024</v>
      </c>
      <c r="H659" s="1071" t="s">
        <v>29</v>
      </c>
      <c r="AW659" s="1545">
        <f t="shared" ref="AW659:AW686" si="647">INDEX(AW$45:AW$342,MATCH($C659,$C$45:$C$342,0))</f>
        <v>0.75</v>
      </c>
      <c r="AY659" s="1545">
        <f t="shared" ref="AY659:AY686" si="648">INDEX(AY$45:AY$342,MATCH($C659,$C$45:$C$342,0))</f>
        <v>0.25</v>
      </c>
      <c r="BA659" s="1071"/>
      <c r="BB659" s="1071"/>
      <c r="BC659" s="1071"/>
      <c r="BD659" s="1071"/>
      <c r="BE659" s="1084"/>
      <c r="BF659" s="173">
        <v>0</v>
      </c>
      <c r="BG659" s="173">
        <v>0</v>
      </c>
      <c r="BH659" s="173">
        <v>0</v>
      </c>
      <c r="BI659" s="173">
        <v>0</v>
      </c>
      <c r="BJ659" s="173">
        <v>0</v>
      </c>
    </row>
    <row r="660" spans="2:62" hidden="1" outlineLevel="1">
      <c r="C660" s="1071" t="s">
        <v>500</v>
      </c>
      <c r="D660" s="1071" t="str">
        <f t="shared" si="646"/>
        <v>Replacement Dublin 2 RADAR</v>
      </c>
      <c r="E660" s="1071" t="str">
        <f t="shared" si="646"/>
        <v>Q012A</v>
      </c>
      <c r="F660" s="1071" t="str">
        <f t="shared" si="646"/>
        <v>2021-2024</v>
      </c>
      <c r="H660" s="1071" t="s">
        <v>29</v>
      </c>
      <c r="AW660" s="1545">
        <f t="shared" si="647"/>
        <v>0.75</v>
      </c>
      <c r="AY660" s="1545">
        <f t="shared" si="648"/>
        <v>0.25</v>
      </c>
      <c r="BA660" s="1071"/>
      <c r="BB660" s="1071"/>
      <c r="BC660" s="1071"/>
      <c r="BD660" s="1071"/>
      <c r="BE660" s="1084"/>
      <c r="BF660" s="173">
        <v>0</v>
      </c>
      <c r="BG660" s="173">
        <v>0</v>
      </c>
      <c r="BH660" s="173">
        <v>0</v>
      </c>
      <c r="BI660" s="173">
        <v>56.158238202002259</v>
      </c>
      <c r="BJ660" s="173">
        <v>56.158238202002259</v>
      </c>
    </row>
    <row r="661" spans="2:62" hidden="1" outlineLevel="1">
      <c r="C661" s="1071" t="s">
        <v>482</v>
      </c>
      <c r="D661" s="1071" t="str">
        <f t="shared" si="646"/>
        <v>North Dublin Radar Building</v>
      </c>
      <c r="E661" s="1071" t="str">
        <f t="shared" si="646"/>
        <v>T006</v>
      </c>
      <c r="F661" s="1071" t="str">
        <f t="shared" si="646"/>
        <v>2021-2024</v>
      </c>
      <c r="H661" s="1071" t="s">
        <v>29</v>
      </c>
      <c r="AW661" s="1545">
        <f t="shared" si="647"/>
        <v>0.75</v>
      </c>
      <c r="AY661" s="1545">
        <f t="shared" si="648"/>
        <v>0.25</v>
      </c>
      <c r="BA661" s="1071"/>
      <c r="BB661" s="1071"/>
      <c r="BC661" s="1071"/>
      <c r="BD661" s="1071"/>
      <c r="BE661" s="1084"/>
      <c r="BF661" s="173">
        <v>0</v>
      </c>
      <c r="BG661" s="173">
        <v>0</v>
      </c>
      <c r="BH661" s="173">
        <v>0</v>
      </c>
      <c r="BI661" s="173">
        <v>22.902630631432636</v>
      </c>
      <c r="BJ661" s="173">
        <v>22.902630631432636</v>
      </c>
    </row>
    <row r="662" spans="2:62" hidden="1" outlineLevel="1">
      <c r="C662" s="1071" t="s">
        <v>450</v>
      </c>
      <c r="D662" s="1071" t="str">
        <f t="shared" si="646"/>
        <v>NAV Aids Replacement Programme</v>
      </c>
      <c r="E662" s="1071" t="str">
        <f t="shared" si="646"/>
        <v>R005</v>
      </c>
      <c r="F662" s="1071" t="str">
        <f t="shared" si="646"/>
        <v>2021-2024</v>
      </c>
      <c r="H662" s="1071" t="s">
        <v>29</v>
      </c>
      <c r="AW662" s="1545">
        <f t="shared" si="647"/>
        <v>0</v>
      </c>
      <c r="AY662" s="1545">
        <f t="shared" si="648"/>
        <v>0</v>
      </c>
      <c r="BA662" s="1071"/>
      <c r="BB662" s="1071"/>
      <c r="BC662" s="1071"/>
      <c r="BD662" s="1071"/>
      <c r="BE662" s="1084"/>
      <c r="BF662" s="173">
        <v>0</v>
      </c>
      <c r="BG662" s="173">
        <v>0</v>
      </c>
      <c r="BH662" s="173">
        <v>0</v>
      </c>
      <c r="BI662" s="173">
        <v>0</v>
      </c>
      <c r="BJ662" s="173">
        <v>0</v>
      </c>
    </row>
    <row r="663" spans="2:62" hidden="1" outlineLevel="1">
      <c r="C663" s="1071" t="s">
        <v>452</v>
      </c>
      <c r="D663" s="1071" t="str">
        <f t="shared" si="646"/>
        <v>NAV Aids Replacement Programme</v>
      </c>
      <c r="E663" s="1071" t="str">
        <f t="shared" si="646"/>
        <v>R005A</v>
      </c>
      <c r="F663" s="1071" t="str">
        <f t="shared" si="646"/>
        <v>2021-2024</v>
      </c>
      <c r="H663" s="1071" t="s">
        <v>29</v>
      </c>
      <c r="AW663" s="1545">
        <f t="shared" si="647"/>
        <v>0</v>
      </c>
      <c r="AY663" s="1545">
        <f t="shared" si="648"/>
        <v>1</v>
      </c>
      <c r="BA663" s="1071"/>
      <c r="BB663" s="1071"/>
      <c r="BC663" s="1071"/>
      <c r="BD663" s="1071"/>
      <c r="BE663" s="1084"/>
      <c r="BF663" s="173">
        <v>0</v>
      </c>
      <c r="BG663" s="173">
        <v>0</v>
      </c>
      <c r="BH663" s="173">
        <v>0</v>
      </c>
      <c r="BI663" s="173">
        <v>0</v>
      </c>
      <c r="BJ663" s="173">
        <v>0</v>
      </c>
    </row>
    <row r="664" spans="2:62" hidden="1" outlineLevel="1">
      <c r="C664" s="1071" t="s">
        <v>454</v>
      </c>
      <c r="D664" s="1071" t="str">
        <f t="shared" si="646"/>
        <v>NAV Aids Replacement Programme</v>
      </c>
      <c r="E664" s="1071" t="str">
        <f t="shared" si="646"/>
        <v>R005A</v>
      </c>
      <c r="F664" s="1071" t="str">
        <f t="shared" si="646"/>
        <v>2021-2024</v>
      </c>
      <c r="H664" s="1071" t="s">
        <v>29</v>
      </c>
      <c r="AW664" s="1545">
        <f t="shared" si="647"/>
        <v>0</v>
      </c>
      <c r="AY664" s="1545">
        <f t="shared" si="648"/>
        <v>1</v>
      </c>
      <c r="BA664" s="1071"/>
      <c r="BB664" s="1071"/>
      <c r="BC664" s="1071"/>
      <c r="BD664" s="1071"/>
      <c r="BE664" s="1084"/>
      <c r="BF664" s="173">
        <v>0</v>
      </c>
      <c r="BG664" s="173">
        <v>0</v>
      </c>
      <c r="BH664" s="173">
        <v>0</v>
      </c>
      <c r="BI664" s="173">
        <v>9.8549719178082142</v>
      </c>
      <c r="BJ664" s="173">
        <v>10.021530136986298</v>
      </c>
    </row>
    <row r="665" spans="2:62" hidden="1" outlineLevel="1">
      <c r="C665" s="1071" t="s">
        <v>455</v>
      </c>
      <c r="D665" s="1071" t="str">
        <f t="shared" si="646"/>
        <v>NAV Aids Replacement Programme</v>
      </c>
      <c r="E665" s="1071" t="str">
        <f t="shared" si="646"/>
        <v>R005A</v>
      </c>
      <c r="F665" s="1071" t="str">
        <f t="shared" si="646"/>
        <v>2021-2024</v>
      </c>
      <c r="H665" s="1071" t="s">
        <v>29</v>
      </c>
      <c r="AW665" s="1545">
        <f t="shared" si="647"/>
        <v>0</v>
      </c>
      <c r="AY665" s="1545">
        <f t="shared" si="648"/>
        <v>1</v>
      </c>
      <c r="BA665" s="1071"/>
      <c r="BB665" s="1071"/>
      <c r="BC665" s="1071"/>
      <c r="BD665" s="1071"/>
      <c r="BE665" s="1084"/>
      <c r="BF665" s="173">
        <v>0</v>
      </c>
      <c r="BG665" s="173">
        <v>0</v>
      </c>
      <c r="BH665" s="173">
        <v>0</v>
      </c>
      <c r="BI665" s="173">
        <v>0</v>
      </c>
      <c r="BJ665" s="173">
        <v>21.111019691780843</v>
      </c>
    </row>
    <row r="666" spans="2:62" hidden="1" outlineLevel="1">
      <c r="C666" s="1071" t="s">
        <v>456</v>
      </c>
      <c r="D666" s="1071" t="str">
        <f t="shared" si="646"/>
        <v>NAV Aids Replacement Programme</v>
      </c>
      <c r="E666" s="1071" t="str">
        <f t="shared" si="646"/>
        <v>R005A</v>
      </c>
      <c r="F666" s="1071" t="str">
        <f t="shared" si="646"/>
        <v>2021-2024</v>
      </c>
      <c r="H666" s="1071" t="s">
        <v>29</v>
      </c>
      <c r="AW666" s="1545">
        <f t="shared" si="647"/>
        <v>0</v>
      </c>
      <c r="AY666" s="1545">
        <f t="shared" si="648"/>
        <v>1</v>
      </c>
      <c r="BA666" s="1071"/>
      <c r="BB666" s="1071"/>
      <c r="BC666" s="1071"/>
      <c r="BD666" s="1071"/>
      <c r="BE666" s="1084"/>
      <c r="BF666" s="173">
        <v>0</v>
      </c>
      <c r="BG666" s="173">
        <v>0</v>
      </c>
      <c r="BH666" s="173">
        <v>2.5039473532465744</v>
      </c>
      <c r="BI666" s="173">
        <v>2.5039473532465744</v>
      </c>
      <c r="BJ666" s="173">
        <v>2.5039473532465744</v>
      </c>
    </row>
    <row r="667" spans="2:62" hidden="1" outlineLevel="1">
      <c r="C667" s="1071" t="s">
        <v>457</v>
      </c>
      <c r="D667" s="1071" t="str">
        <f t="shared" si="646"/>
        <v>NAV Aids Replacement Programme</v>
      </c>
      <c r="E667" s="1071" t="str">
        <f t="shared" si="646"/>
        <v>R005A</v>
      </c>
      <c r="F667" s="1071" t="str">
        <f t="shared" si="646"/>
        <v>2021-2024</v>
      </c>
      <c r="H667" s="1071" t="s">
        <v>29</v>
      </c>
      <c r="AW667" s="1545">
        <f t="shared" si="647"/>
        <v>0</v>
      </c>
      <c r="AY667" s="1545">
        <f t="shared" si="648"/>
        <v>1</v>
      </c>
      <c r="BA667" s="1071"/>
      <c r="BB667" s="1071"/>
      <c r="BC667" s="1071"/>
      <c r="BD667" s="1071"/>
      <c r="BE667" s="1084"/>
      <c r="BF667" s="173">
        <v>0</v>
      </c>
      <c r="BG667" s="173">
        <v>0</v>
      </c>
      <c r="BH667" s="173">
        <v>1.3758145632226022</v>
      </c>
      <c r="BI667" s="173">
        <v>1.8344194176301363</v>
      </c>
      <c r="BJ667" s="173">
        <v>1.8344194176301363</v>
      </c>
    </row>
    <row r="668" spans="2:62" hidden="1" outlineLevel="1">
      <c r="C668" s="1071" t="s">
        <v>458</v>
      </c>
      <c r="D668" s="1071" t="str">
        <f t="shared" si="646"/>
        <v>NAV Aids Replacement Programme</v>
      </c>
      <c r="E668" s="1071" t="str">
        <f t="shared" si="646"/>
        <v>R005A</v>
      </c>
      <c r="F668" s="1071" t="str">
        <f t="shared" si="646"/>
        <v>2021-2024</v>
      </c>
      <c r="H668" s="1071" t="s">
        <v>29</v>
      </c>
      <c r="AW668" s="1545">
        <f t="shared" si="647"/>
        <v>0</v>
      </c>
      <c r="AY668" s="1545">
        <f t="shared" si="648"/>
        <v>1</v>
      </c>
      <c r="BA668" s="1071"/>
      <c r="BB668" s="1071"/>
      <c r="BC668" s="1071"/>
      <c r="BD668" s="1071"/>
      <c r="BE668" s="1084"/>
      <c r="BF668" s="173">
        <v>0</v>
      </c>
      <c r="BG668" s="173">
        <v>0</v>
      </c>
      <c r="BH668" s="173">
        <v>1.3091439145547938</v>
      </c>
      <c r="BI668" s="173">
        <v>2.6182878291095877</v>
      </c>
      <c r="BJ668" s="173">
        <v>2.6182878291095877</v>
      </c>
    </row>
    <row r="669" spans="2:62" hidden="1" outlineLevel="1">
      <c r="C669" s="1071" t="s">
        <v>412</v>
      </c>
      <c r="D669" s="1071" t="str">
        <f t="shared" si="646"/>
        <v>New Dublin Tower</v>
      </c>
      <c r="E669" s="1071" t="str">
        <f t="shared" si="646"/>
        <v>R034</v>
      </c>
      <c r="F669" s="1071" t="str">
        <f t="shared" si="646"/>
        <v>2021-2024</v>
      </c>
      <c r="H669" s="1071" t="s">
        <v>29</v>
      </c>
      <c r="AW669" s="1545">
        <f t="shared" si="647"/>
        <v>0</v>
      </c>
      <c r="AY669" s="1545">
        <f t="shared" si="648"/>
        <v>1</v>
      </c>
      <c r="BA669" s="1071"/>
      <c r="BB669" s="1071"/>
      <c r="BC669" s="1071"/>
      <c r="BD669" s="1071"/>
      <c r="BE669" s="1084"/>
      <c r="BF669" s="173">
        <v>0</v>
      </c>
      <c r="BG669" s="173">
        <v>182.08973262401463</v>
      </c>
      <c r="BH669" s="173">
        <v>364.17946524802926</v>
      </c>
      <c r="BI669" s="173">
        <v>303.48288770669103</v>
      </c>
      <c r="BJ669" s="173">
        <v>364.17946524802926</v>
      </c>
    </row>
    <row r="670" spans="2:62" hidden="1" outlineLevel="1">
      <c r="C670" s="1071" t="s">
        <v>415</v>
      </c>
      <c r="D670" s="1071" t="str">
        <f t="shared" si="646"/>
        <v>New Dublin Tower</v>
      </c>
      <c r="E670" s="1071" t="str">
        <f t="shared" si="646"/>
        <v>R035</v>
      </c>
      <c r="F670" s="1071" t="str">
        <f t="shared" si="646"/>
        <v>2021-2024</v>
      </c>
      <c r="H670" s="1071" t="s">
        <v>29</v>
      </c>
      <c r="AW670" s="1545">
        <f t="shared" si="647"/>
        <v>0</v>
      </c>
      <c r="AY670" s="1545">
        <f t="shared" si="648"/>
        <v>0</v>
      </c>
      <c r="BA670" s="1071"/>
      <c r="BB670" s="1071"/>
      <c r="BC670" s="1071"/>
      <c r="BD670" s="1071"/>
      <c r="BE670" s="1084"/>
      <c r="BF670" s="173">
        <v>0</v>
      </c>
      <c r="BG670" s="173">
        <v>0</v>
      </c>
      <c r="BH670" s="173">
        <v>0</v>
      </c>
      <c r="BI670" s="173">
        <v>0</v>
      </c>
      <c r="BJ670" s="173">
        <v>0</v>
      </c>
    </row>
    <row r="671" spans="2:62" hidden="1" outlineLevel="1">
      <c r="C671" s="1071" t="s">
        <v>417</v>
      </c>
      <c r="D671" s="1071" t="str">
        <f t="shared" si="646"/>
        <v>New Dublin Tower</v>
      </c>
      <c r="E671" s="1071" t="str">
        <f t="shared" si="646"/>
        <v>R035A</v>
      </c>
      <c r="F671" s="1071" t="str">
        <f t="shared" si="646"/>
        <v>2021-2024</v>
      </c>
      <c r="H671" s="1071" t="s">
        <v>29</v>
      </c>
      <c r="AW671" s="1545">
        <f t="shared" si="647"/>
        <v>0</v>
      </c>
      <c r="AY671" s="1545">
        <f t="shared" si="648"/>
        <v>1</v>
      </c>
      <c r="BA671" s="1071"/>
      <c r="BB671" s="1071"/>
      <c r="BC671" s="1071"/>
      <c r="BD671" s="1071"/>
      <c r="BE671" s="1084"/>
      <c r="BF671" s="173">
        <v>0</v>
      </c>
      <c r="BG671" s="173">
        <v>2.0682163193607297E-2</v>
      </c>
      <c r="BH671" s="173">
        <v>4.1364326387214594E-2</v>
      </c>
      <c r="BI671" s="173">
        <v>4.1364326387214594E-2</v>
      </c>
      <c r="BJ671" s="173">
        <v>4.1364326387214594E-2</v>
      </c>
    </row>
    <row r="672" spans="2:62" hidden="1" outlineLevel="1">
      <c r="C672" s="1071" t="s">
        <v>419</v>
      </c>
      <c r="D672" s="1071" t="str">
        <f t="shared" si="646"/>
        <v>New Dublin Tower</v>
      </c>
      <c r="E672" s="1071" t="str">
        <f t="shared" si="646"/>
        <v>R035A</v>
      </c>
      <c r="F672" s="1071" t="str">
        <f t="shared" si="646"/>
        <v>2021-2024</v>
      </c>
      <c r="H672" s="1071" t="s">
        <v>29</v>
      </c>
      <c r="AW672" s="1545">
        <f t="shared" si="647"/>
        <v>0</v>
      </c>
      <c r="AY672" s="1545">
        <f t="shared" si="648"/>
        <v>1</v>
      </c>
      <c r="BA672" s="1071"/>
      <c r="BB672" s="1071"/>
      <c r="BC672" s="1071"/>
      <c r="BD672" s="1071"/>
      <c r="BE672" s="1084"/>
      <c r="BF672" s="173">
        <v>0</v>
      </c>
      <c r="BG672" s="173">
        <v>0</v>
      </c>
      <c r="BH672" s="173">
        <v>30.105130214240489</v>
      </c>
      <c r="BI672" s="173">
        <v>120.42052085696196</v>
      </c>
      <c r="BJ672" s="173">
        <v>120.42052085696196</v>
      </c>
    </row>
    <row r="673" spans="3:62" hidden="1" outlineLevel="1">
      <c r="C673" s="1071" t="s">
        <v>420</v>
      </c>
      <c r="D673" s="1071" t="str">
        <f t="shared" si="646"/>
        <v>New Dublin Tower</v>
      </c>
      <c r="E673" s="1071" t="str">
        <f t="shared" si="646"/>
        <v>R035A</v>
      </c>
      <c r="F673" s="1071" t="str">
        <f t="shared" si="646"/>
        <v>2021-2024</v>
      </c>
      <c r="H673" s="1071" t="s">
        <v>29</v>
      </c>
      <c r="AW673" s="1545">
        <f t="shared" si="647"/>
        <v>0</v>
      </c>
      <c r="AY673" s="1545">
        <f t="shared" si="648"/>
        <v>1</v>
      </c>
      <c r="BA673" s="1071"/>
      <c r="BB673" s="1071"/>
      <c r="BC673" s="1071"/>
      <c r="BD673" s="1071"/>
      <c r="BE673" s="1084"/>
      <c r="BF673" s="173">
        <v>0</v>
      </c>
      <c r="BG673" s="173">
        <v>4.3971848366271669</v>
      </c>
      <c r="BH673" s="173">
        <v>8.7943696732543337</v>
      </c>
      <c r="BI673" s="173">
        <v>8.7943696732543337</v>
      </c>
      <c r="BJ673" s="173">
        <v>8.7943696732543337</v>
      </c>
    </row>
    <row r="674" spans="3:62" hidden="1" outlineLevel="1">
      <c r="C674" s="1071" t="s">
        <v>421</v>
      </c>
      <c r="D674" s="1071" t="str">
        <f t="shared" si="646"/>
        <v>New Dublin Tower</v>
      </c>
      <c r="E674" s="1071" t="str">
        <f t="shared" si="646"/>
        <v>R035A</v>
      </c>
      <c r="F674" s="1071" t="str">
        <f t="shared" si="646"/>
        <v>2021-2024</v>
      </c>
      <c r="H674" s="1071" t="s">
        <v>29</v>
      </c>
      <c r="AW674" s="1545">
        <f t="shared" si="647"/>
        <v>0</v>
      </c>
      <c r="AY674" s="1545">
        <f t="shared" si="648"/>
        <v>1</v>
      </c>
      <c r="BA674" s="1071"/>
      <c r="BB674" s="1071"/>
      <c r="BC674" s="1071"/>
      <c r="BD674" s="1071"/>
      <c r="BE674" s="1084"/>
      <c r="BF674" s="173">
        <v>0</v>
      </c>
      <c r="BG674" s="173">
        <v>5.4678308023157509</v>
      </c>
      <c r="BH674" s="173">
        <v>11.94997435410772</v>
      </c>
      <c r="BI674" s="173">
        <v>14.99291260253638</v>
      </c>
      <c r="BJ674" s="173">
        <v>14.99291260253638</v>
      </c>
    </row>
    <row r="675" spans="3:62" hidden="1" outlineLevel="1">
      <c r="C675" s="1071" t="s">
        <v>422</v>
      </c>
      <c r="D675" s="1071" t="str">
        <f t="shared" si="646"/>
        <v>New Dublin Tower</v>
      </c>
      <c r="E675" s="1071" t="str">
        <f t="shared" si="646"/>
        <v>R035A</v>
      </c>
      <c r="F675" s="1071" t="str">
        <f t="shared" si="646"/>
        <v>2021-2024</v>
      </c>
      <c r="H675" s="1071" t="s">
        <v>29</v>
      </c>
      <c r="AW675" s="1545">
        <f t="shared" si="647"/>
        <v>0</v>
      </c>
      <c r="AY675" s="1545">
        <f t="shared" si="648"/>
        <v>1</v>
      </c>
      <c r="BA675" s="1071"/>
      <c r="BB675" s="1071"/>
      <c r="BC675" s="1071"/>
      <c r="BD675" s="1071"/>
      <c r="BE675" s="1084"/>
      <c r="BF675" s="173">
        <v>0</v>
      </c>
      <c r="BG675" s="173">
        <v>1.0300548432390408</v>
      </c>
      <c r="BH675" s="173">
        <v>2.0601096864780817</v>
      </c>
      <c r="BI675" s="173">
        <v>2.0601096864780817</v>
      </c>
      <c r="BJ675" s="173">
        <v>2.0601096864780817</v>
      </c>
    </row>
    <row r="676" spans="3:62" hidden="1" outlineLevel="1">
      <c r="C676" s="1071" t="s">
        <v>423</v>
      </c>
      <c r="D676" s="1071" t="str">
        <f t="shared" si="646"/>
        <v>New Dublin Tower</v>
      </c>
      <c r="E676" s="1071" t="str">
        <f t="shared" si="646"/>
        <v>R035A</v>
      </c>
      <c r="F676" s="1071" t="str">
        <f t="shared" si="646"/>
        <v>2021-2024</v>
      </c>
      <c r="H676" s="1071" t="s">
        <v>29</v>
      </c>
      <c r="AW676" s="1545">
        <f t="shared" si="647"/>
        <v>0</v>
      </c>
      <c r="AY676" s="1545">
        <f t="shared" si="648"/>
        <v>1</v>
      </c>
      <c r="BA676" s="1071"/>
      <c r="BB676" s="1071"/>
      <c r="BC676" s="1071"/>
      <c r="BD676" s="1071"/>
      <c r="BE676" s="1084"/>
      <c r="BF676" s="173">
        <v>0</v>
      </c>
      <c r="BG676" s="173">
        <v>0</v>
      </c>
      <c r="BH676" s="173">
        <v>5.7372611933016238</v>
      </c>
      <c r="BI676" s="173">
        <v>22.949044773206495</v>
      </c>
      <c r="BJ676" s="173">
        <v>22.949044773206495</v>
      </c>
    </row>
    <row r="677" spans="3:62" hidden="1" outlineLevel="1">
      <c r="C677" s="1071" t="s">
        <v>424</v>
      </c>
      <c r="D677" s="1071" t="str">
        <f t="shared" si="646"/>
        <v>New Dublin Tower</v>
      </c>
      <c r="E677" s="1071" t="str">
        <f t="shared" si="646"/>
        <v>R035A</v>
      </c>
      <c r="F677" s="1071" t="str">
        <f t="shared" si="646"/>
        <v>2021-2024</v>
      </c>
      <c r="H677" s="1071" t="s">
        <v>29</v>
      </c>
      <c r="AW677" s="1545">
        <f t="shared" si="647"/>
        <v>0</v>
      </c>
      <c r="AY677" s="1545">
        <f t="shared" si="648"/>
        <v>1</v>
      </c>
      <c r="BA677" s="1071"/>
      <c r="BB677" s="1071"/>
      <c r="BC677" s="1071"/>
      <c r="BD677" s="1071"/>
      <c r="BE677" s="1084"/>
      <c r="BF677" s="173">
        <v>0</v>
      </c>
      <c r="BG677" s="173">
        <v>0</v>
      </c>
      <c r="BH677" s="173">
        <v>0</v>
      </c>
      <c r="BI677" s="173">
        <v>3.8781541321489703</v>
      </c>
      <c r="BJ677" s="173">
        <v>5.1708721761986274</v>
      </c>
    </row>
    <row r="678" spans="3:62" hidden="1" outlineLevel="1">
      <c r="C678" s="1071" t="s">
        <v>425</v>
      </c>
      <c r="D678" s="1071" t="str">
        <f t="shared" si="646"/>
        <v>New Dublin Tower</v>
      </c>
      <c r="E678" s="1071" t="str">
        <f t="shared" si="646"/>
        <v>R035A</v>
      </c>
      <c r="F678" s="1071" t="str">
        <f t="shared" si="646"/>
        <v>2021-2024</v>
      </c>
      <c r="H678" s="1071" t="s">
        <v>29</v>
      </c>
      <c r="AW678" s="1545">
        <f t="shared" si="647"/>
        <v>0</v>
      </c>
      <c r="AY678" s="1545">
        <f t="shared" si="648"/>
        <v>1</v>
      </c>
      <c r="BA678" s="1071"/>
      <c r="BB678" s="1071"/>
      <c r="BC678" s="1071"/>
      <c r="BD678" s="1071"/>
      <c r="BE678" s="1084"/>
      <c r="BF678" s="173">
        <v>0</v>
      </c>
      <c r="BG678" s="173">
        <v>1.7420951760940853</v>
      </c>
      <c r="BH678" s="173">
        <v>3.4841903521881705</v>
      </c>
      <c r="BI678" s="173">
        <v>3.4841903521881705</v>
      </c>
      <c r="BJ678" s="173">
        <v>3.4841903521881705</v>
      </c>
    </row>
    <row r="679" spans="3:62" hidden="1" outlineLevel="1">
      <c r="C679" s="1071" t="s">
        <v>426</v>
      </c>
      <c r="D679" s="1071" t="str">
        <f t="shared" si="646"/>
        <v>New Dublin Tower</v>
      </c>
      <c r="E679" s="1071" t="str">
        <f t="shared" si="646"/>
        <v>R035A</v>
      </c>
      <c r="F679" s="1071" t="str">
        <f t="shared" si="646"/>
        <v>2021-2024</v>
      </c>
      <c r="H679" s="1071" t="s">
        <v>29</v>
      </c>
      <c r="AW679" s="1545">
        <f t="shared" si="647"/>
        <v>0</v>
      </c>
      <c r="AY679" s="1545">
        <f t="shared" si="648"/>
        <v>1</v>
      </c>
      <c r="BA679" s="1071"/>
      <c r="BB679" s="1071"/>
      <c r="BC679" s="1071"/>
      <c r="BD679" s="1071"/>
      <c r="BE679" s="1084"/>
      <c r="BF679" s="173">
        <v>0</v>
      </c>
      <c r="BG679" s="173">
        <v>0.80901426941278487</v>
      </c>
      <c r="BH679" s="173">
        <v>1.6180285388255697</v>
      </c>
      <c r="BI679" s="173">
        <v>1.6180285388255697</v>
      </c>
      <c r="BJ679" s="173">
        <v>1.6180285388255697</v>
      </c>
    </row>
    <row r="680" spans="3:62" hidden="1" outlineLevel="1">
      <c r="C680" s="1071" t="s">
        <v>427</v>
      </c>
      <c r="D680" s="1071" t="str">
        <f t="shared" si="646"/>
        <v>New Dublin Tower</v>
      </c>
      <c r="E680" s="1071" t="str">
        <f t="shared" si="646"/>
        <v>R035A</v>
      </c>
      <c r="F680" s="1071" t="str">
        <f t="shared" si="646"/>
        <v>2021-2024</v>
      </c>
      <c r="H680" s="1071" t="s">
        <v>29</v>
      </c>
      <c r="AW680" s="1545">
        <f t="shared" si="647"/>
        <v>0</v>
      </c>
      <c r="AY680" s="1545">
        <f t="shared" si="648"/>
        <v>1</v>
      </c>
      <c r="BA680" s="1071"/>
      <c r="BB680" s="1071"/>
      <c r="BC680" s="1071"/>
      <c r="BD680" s="1071"/>
      <c r="BE680" s="1084"/>
      <c r="BF680" s="173">
        <v>0</v>
      </c>
      <c r="BG680" s="173">
        <v>0</v>
      </c>
      <c r="BH680" s="173">
        <v>0</v>
      </c>
      <c r="BI680" s="173">
        <v>0</v>
      </c>
      <c r="BJ680" s="173">
        <v>0</v>
      </c>
    </row>
    <row r="681" spans="3:62" hidden="1" outlineLevel="1">
      <c r="C681" s="1071" t="s">
        <v>428</v>
      </c>
      <c r="D681" s="1071" t="str">
        <f t="shared" si="646"/>
        <v>New Dublin Tower</v>
      </c>
      <c r="E681" s="1071" t="str">
        <f t="shared" si="646"/>
        <v>R035A</v>
      </c>
      <c r="F681" s="1071" t="str">
        <f t="shared" si="646"/>
        <v>2021-2024</v>
      </c>
      <c r="H681" s="1071" t="s">
        <v>29</v>
      </c>
      <c r="AW681" s="1545">
        <f t="shared" si="647"/>
        <v>0</v>
      </c>
      <c r="AY681" s="1545">
        <f t="shared" si="648"/>
        <v>1</v>
      </c>
      <c r="BA681" s="1071"/>
      <c r="BB681" s="1071"/>
      <c r="BC681" s="1071"/>
      <c r="BD681" s="1071"/>
      <c r="BE681" s="1084"/>
      <c r="BF681" s="173">
        <v>0</v>
      </c>
      <c r="BG681" s="173">
        <v>0.48988238476004542</v>
      </c>
      <c r="BH681" s="173">
        <v>0.98380725667762503</v>
      </c>
      <c r="BI681" s="173">
        <v>0.99593471815022783</v>
      </c>
      <c r="BJ681" s="173">
        <v>0.99593471815022783</v>
      </c>
    </row>
    <row r="682" spans="3:62" hidden="1" outlineLevel="1">
      <c r="C682" s="1071" t="s">
        <v>429</v>
      </c>
      <c r="D682" s="1071" t="str">
        <f t="shared" si="646"/>
        <v>New Dublin Tower</v>
      </c>
      <c r="E682" s="1071" t="str">
        <f t="shared" si="646"/>
        <v>R035A</v>
      </c>
      <c r="F682" s="1071" t="str">
        <f t="shared" si="646"/>
        <v>2021-2024</v>
      </c>
      <c r="H682" s="1071" t="s">
        <v>29</v>
      </c>
      <c r="AW682" s="1545">
        <f t="shared" si="647"/>
        <v>0</v>
      </c>
      <c r="AY682" s="1545">
        <f t="shared" si="648"/>
        <v>1</v>
      </c>
      <c r="BA682" s="1071"/>
      <c r="BB682" s="1071"/>
      <c r="BC682" s="1071"/>
      <c r="BD682" s="1071"/>
      <c r="BE682" s="1084"/>
      <c r="BF682" s="173">
        <v>0</v>
      </c>
      <c r="BG682" s="173">
        <v>0.3109678500954336</v>
      </c>
      <c r="BH682" s="173">
        <v>0.62193570019086719</v>
      </c>
      <c r="BI682" s="173">
        <v>0.62193570019086719</v>
      </c>
      <c r="BJ682" s="173">
        <v>0.62193570019086719</v>
      </c>
    </row>
    <row r="683" spans="3:62" hidden="1" outlineLevel="1">
      <c r="C683" s="1071" t="s">
        <v>473</v>
      </c>
      <c r="D683" s="1071" t="str">
        <f t="shared" si="646"/>
        <v>VOIP Switch</v>
      </c>
      <c r="E683" s="1071" t="str">
        <f t="shared" si="646"/>
        <v>S005</v>
      </c>
      <c r="F683" s="1071" t="str">
        <f t="shared" si="646"/>
        <v>2021-2024</v>
      </c>
      <c r="H683" s="1071" t="s">
        <v>29</v>
      </c>
      <c r="AW683" s="1545">
        <f t="shared" si="647"/>
        <v>0</v>
      </c>
      <c r="AY683" s="1545">
        <f t="shared" si="648"/>
        <v>0</v>
      </c>
      <c r="BA683" s="1071"/>
      <c r="BB683" s="1071"/>
      <c r="BC683" s="1071"/>
      <c r="BD683" s="1071"/>
      <c r="BE683" s="1084"/>
      <c r="BF683" s="173">
        <v>0</v>
      </c>
      <c r="BG683" s="173">
        <v>0</v>
      </c>
      <c r="BH683" s="173">
        <v>0</v>
      </c>
      <c r="BI683" s="173">
        <v>0</v>
      </c>
      <c r="BJ683" s="173">
        <v>0</v>
      </c>
    </row>
    <row r="684" spans="3:62" hidden="1" outlineLevel="1">
      <c r="C684" s="1071" t="s">
        <v>476</v>
      </c>
      <c r="D684" s="1071" t="str">
        <f t="shared" si="646"/>
        <v>VOIP Switch</v>
      </c>
      <c r="E684" s="1071" t="str">
        <f t="shared" si="646"/>
        <v>S005A</v>
      </c>
      <c r="F684" s="1071" t="str">
        <f t="shared" si="646"/>
        <v>2021-2024</v>
      </c>
      <c r="H684" s="1071" t="s">
        <v>29</v>
      </c>
      <c r="AW684" s="1545">
        <f t="shared" si="647"/>
        <v>0</v>
      </c>
      <c r="AY684" s="1545">
        <f t="shared" si="648"/>
        <v>1</v>
      </c>
      <c r="BA684" s="1071"/>
      <c r="BB684" s="1071"/>
      <c r="BC684" s="1071"/>
      <c r="BD684" s="1071"/>
      <c r="BE684" s="1084"/>
      <c r="BF684" s="173">
        <v>0</v>
      </c>
      <c r="BG684" s="173">
        <v>0</v>
      </c>
      <c r="BH684" s="173">
        <v>0</v>
      </c>
      <c r="BI684" s="173">
        <v>0</v>
      </c>
      <c r="BJ684" s="173">
        <v>0</v>
      </c>
    </row>
    <row r="685" spans="3:62" hidden="1" outlineLevel="1">
      <c r="C685" s="1071" t="s">
        <v>478</v>
      </c>
      <c r="D685" s="1071" t="str">
        <f t="shared" si="646"/>
        <v>VOIP Switch</v>
      </c>
      <c r="E685" s="1071" t="str">
        <f t="shared" si="646"/>
        <v>S005A</v>
      </c>
      <c r="F685" s="1071" t="str">
        <f t="shared" si="646"/>
        <v>2021-2024</v>
      </c>
      <c r="H685" s="1071" t="s">
        <v>29</v>
      </c>
      <c r="AW685" s="1545">
        <f t="shared" si="647"/>
        <v>0.75</v>
      </c>
      <c r="AY685" s="1545">
        <f t="shared" si="648"/>
        <v>0.25</v>
      </c>
      <c r="BA685" s="1071"/>
      <c r="BB685" s="1071"/>
      <c r="BC685" s="1071"/>
      <c r="BD685" s="1071"/>
      <c r="BE685" s="1084"/>
      <c r="BF685" s="173">
        <v>0</v>
      </c>
      <c r="BG685" s="173">
        <v>0</v>
      </c>
      <c r="BH685" s="173">
        <v>0</v>
      </c>
      <c r="BI685" s="173">
        <v>65.712128209166394</v>
      </c>
      <c r="BJ685" s="173">
        <v>65.712128209166394</v>
      </c>
    </row>
    <row r="686" spans="3:62" hidden="1" outlineLevel="1">
      <c r="C686" s="1071" t="s">
        <v>479</v>
      </c>
      <c r="D686" s="1071" t="str">
        <f t="shared" si="646"/>
        <v>VOIP Switch</v>
      </c>
      <c r="E686" s="1071" t="str">
        <f t="shared" si="646"/>
        <v>S005A</v>
      </c>
      <c r="F686" s="1071" t="str">
        <f t="shared" si="646"/>
        <v>2021-2024</v>
      </c>
      <c r="H686" s="1071" t="s">
        <v>29</v>
      </c>
      <c r="AW686" s="1545">
        <f t="shared" si="647"/>
        <v>1</v>
      </c>
      <c r="AY686" s="1545">
        <f t="shared" si="648"/>
        <v>0</v>
      </c>
      <c r="BA686" s="1071"/>
      <c r="BB686" s="1071"/>
      <c r="BC686" s="1071"/>
      <c r="BD686" s="1071"/>
      <c r="BE686" s="1084"/>
      <c r="BF686" s="173">
        <v>0</v>
      </c>
      <c r="BG686" s="173">
        <v>0</v>
      </c>
      <c r="BH686" s="173">
        <v>0</v>
      </c>
      <c r="BI686" s="173">
        <v>0</v>
      </c>
      <c r="BJ686" s="173">
        <v>0</v>
      </c>
    </row>
    <row r="687" spans="3:62" collapsed="1">
      <c r="C687" s="1110"/>
      <c r="D687" s="1110"/>
      <c r="E687" s="1110"/>
      <c r="F687" s="1110"/>
      <c r="G687" s="1110"/>
      <c r="H687" s="1110"/>
      <c r="I687" s="1110"/>
      <c r="J687" s="1110"/>
      <c r="K687" s="1110"/>
      <c r="L687" s="1110"/>
      <c r="M687" s="1110"/>
      <c r="N687" s="1110"/>
      <c r="O687" s="1110"/>
      <c r="P687" s="1110"/>
      <c r="Q687" s="1110"/>
      <c r="R687" s="1110"/>
      <c r="S687" s="1110"/>
      <c r="T687" s="1110"/>
      <c r="U687" s="1110"/>
      <c r="V687" s="1110"/>
      <c r="W687" s="1110"/>
      <c r="X687" s="1110"/>
      <c r="Y687" s="1110"/>
      <c r="Z687" s="1110"/>
      <c r="AA687" s="1110"/>
      <c r="AB687" s="1110"/>
      <c r="AC687" s="1110"/>
      <c r="AD687" s="1110"/>
      <c r="AE687" s="1110"/>
      <c r="AF687" s="1110"/>
      <c r="AG687" s="1110"/>
      <c r="AH687" s="1110"/>
      <c r="AI687" s="1110"/>
      <c r="AJ687" s="1110"/>
      <c r="AK687" s="1110"/>
      <c r="AL687" s="1110"/>
      <c r="AM687" s="1110"/>
      <c r="AN687" s="1110"/>
      <c r="AO687" s="1110"/>
      <c r="AP687" s="1110"/>
      <c r="AQ687" s="1110"/>
      <c r="AR687" s="1110"/>
      <c r="AS687" s="1110"/>
      <c r="AT687" s="1110"/>
      <c r="AU687" s="1110"/>
      <c r="AV687" s="1110"/>
      <c r="AW687" s="1110"/>
      <c r="AX687" s="1110"/>
      <c r="AY687" s="1110"/>
      <c r="AZ687" s="1110"/>
      <c r="BA687" s="1110"/>
      <c r="BB687" s="1110"/>
      <c r="BC687" s="1110"/>
      <c r="BD687" s="1110"/>
      <c r="BE687" s="1110"/>
      <c r="BF687" s="1111"/>
      <c r="BG687" s="1111"/>
      <c r="BH687" s="1111"/>
      <c r="BI687" s="1111"/>
      <c r="BJ687" s="1111"/>
    </row>
    <row r="688" spans="3:62">
      <c r="C688" s="1104" t="s">
        <v>740</v>
      </c>
      <c r="H688" s="1104" t="s">
        <v>29</v>
      </c>
      <c r="BA688" s="1084"/>
      <c r="BB688" s="1084"/>
      <c r="BC688" s="1084"/>
      <c r="BD688" s="1084"/>
      <c r="BE688" s="1084"/>
      <c r="BF688" s="1105">
        <f>BF28</f>
        <v>635.60573595833341</v>
      </c>
      <c r="BG688" s="1105">
        <f t="shared" ref="BG688:BJ688" si="649">BG28</f>
        <v>956.2826670000004</v>
      </c>
      <c r="BH688" s="1105">
        <f t="shared" si="649"/>
        <v>862.4089992083334</v>
      </c>
      <c r="BI688" s="1105">
        <f t="shared" si="649"/>
        <v>674.11780489583339</v>
      </c>
      <c r="BJ688" s="1105">
        <f t="shared" si="649"/>
        <v>438.10182354166659</v>
      </c>
    </row>
    <row r="689" spans="1:62">
      <c r="C689" s="1104" t="s">
        <v>741</v>
      </c>
      <c r="H689" s="1104" t="s">
        <v>29</v>
      </c>
      <c r="BA689" s="1084"/>
      <c r="BB689" s="1084"/>
      <c r="BC689" s="1084"/>
      <c r="BD689" s="1084"/>
      <c r="BE689" s="1084"/>
      <c r="BF689" s="1105">
        <f>SUM(BF659:BF686)</f>
        <v>0</v>
      </c>
      <c r="BG689" s="1105">
        <f t="shared" ref="BG689:BJ689" si="650">SUM(BG659:BG686)</f>
        <v>196.35744494975256</v>
      </c>
      <c r="BH689" s="1105">
        <f t="shared" si="650"/>
        <v>434.76454237470494</v>
      </c>
      <c r="BI689" s="1105">
        <f t="shared" si="650"/>
        <v>644.92407662741527</v>
      </c>
      <c r="BJ689" s="1105">
        <f t="shared" si="650"/>
        <v>728.19095012376204</v>
      </c>
    </row>
    <row r="690" spans="1:62">
      <c r="C690" s="1104" t="s">
        <v>742</v>
      </c>
      <c r="H690" s="1104" t="s">
        <v>29</v>
      </c>
      <c r="BA690" s="1084"/>
      <c r="BB690" s="1084"/>
      <c r="BC690" s="1084"/>
      <c r="BD690" s="1084"/>
      <c r="BE690" s="1084"/>
      <c r="BF690" s="1105">
        <f>SUM(BF688:BF689)</f>
        <v>635.60573595833341</v>
      </c>
      <c r="BG690" s="1105">
        <f t="shared" ref="BG690:BJ690" si="651">SUM(BG688:BG689)</f>
        <v>1152.640111949753</v>
      </c>
      <c r="BH690" s="1105">
        <f t="shared" si="651"/>
        <v>1297.1735415830383</v>
      </c>
      <c r="BI690" s="1105">
        <f t="shared" si="651"/>
        <v>1319.0418815232488</v>
      </c>
      <c r="BJ690" s="1105">
        <f t="shared" si="651"/>
        <v>1166.2927736654287</v>
      </c>
    </row>
    <row r="691" spans="1:62">
      <c r="BA691" s="1084"/>
      <c r="BB691" s="1084"/>
      <c r="BC691" s="1084"/>
      <c r="BD691" s="1084"/>
      <c r="BE691" s="1084"/>
      <c r="BF691" s="1084"/>
      <c r="BG691" s="1084"/>
      <c r="BH691" s="1084"/>
      <c r="BI691" s="1084"/>
      <c r="BJ691" s="1084"/>
    </row>
    <row r="692" spans="1:62" s="1112" customFormat="1">
      <c r="A692" s="1071"/>
      <c r="B692" s="1113" t="s">
        <v>182</v>
      </c>
      <c r="BA692" s="1114"/>
      <c r="BB692" s="1114"/>
      <c r="BC692" s="1114"/>
      <c r="BD692" s="1114"/>
      <c r="BE692" s="1114"/>
      <c r="BF692" s="1114"/>
      <c r="BG692" s="1114"/>
      <c r="BH692" s="1114"/>
      <c r="BI692" s="1114"/>
      <c r="BJ692" s="1114"/>
    </row>
    <row r="693" spans="1:62">
      <c r="B693" s="1115"/>
      <c r="BA693" s="1084"/>
      <c r="BB693" s="1084"/>
      <c r="BC693" s="1084"/>
      <c r="BD693" s="1084"/>
      <c r="BE693" s="1084"/>
      <c r="BF693" s="1084"/>
      <c r="BG693" s="1084"/>
      <c r="BH693" s="1084"/>
      <c r="BI693" s="1084"/>
      <c r="BJ693" s="1084"/>
    </row>
    <row r="694" spans="1:62">
      <c r="B694" s="1091" t="s">
        <v>31</v>
      </c>
      <c r="C694" s="1091"/>
      <c r="D694" s="1106"/>
      <c r="E694" s="1106"/>
      <c r="F694" s="1106"/>
      <c r="G694" s="1106"/>
      <c r="H694" s="1106"/>
      <c r="I694" s="1106"/>
      <c r="J694" s="1106"/>
      <c r="K694" s="1106"/>
      <c r="L694" s="1106"/>
      <c r="M694" s="1106"/>
      <c r="N694" s="1106"/>
      <c r="O694" s="1091"/>
      <c r="P694" s="1091"/>
      <c r="Q694" s="1091"/>
      <c r="R694" s="1091"/>
      <c r="S694" s="1091"/>
      <c r="T694" s="1091"/>
      <c r="U694" s="1091"/>
      <c r="V694" s="1091"/>
      <c r="W694" s="1091"/>
      <c r="X694" s="1091"/>
      <c r="Y694" s="1091"/>
      <c r="Z694" s="1091"/>
      <c r="AA694" s="1091"/>
      <c r="AB694" s="1091"/>
      <c r="AC694" s="1091"/>
      <c r="AD694" s="1091"/>
      <c r="AE694" s="1091"/>
      <c r="AF694" s="1091"/>
      <c r="AG694" s="1091"/>
      <c r="AH694" s="1091"/>
      <c r="AI694" s="1091"/>
      <c r="AJ694" s="1091"/>
      <c r="AK694" s="1091"/>
      <c r="AL694" s="1091"/>
      <c r="AM694" s="1091"/>
      <c r="AN694" s="1091"/>
      <c r="AO694" s="1106"/>
      <c r="AP694" s="1106"/>
      <c r="AQ694" s="1106"/>
      <c r="AR694" s="1106"/>
      <c r="AS694" s="1106"/>
      <c r="AT694" s="1106"/>
      <c r="AU694" s="1106"/>
      <c r="AV694" s="1106"/>
      <c r="AW694" s="1106"/>
      <c r="AX694" s="1106"/>
      <c r="AY694" s="1106"/>
      <c r="AZ694" s="1106"/>
      <c r="BA694" s="1107"/>
      <c r="BB694" s="1107"/>
      <c r="BC694" s="1107"/>
      <c r="BD694" s="1107"/>
      <c r="BE694" s="1107"/>
      <c r="BF694" s="1107"/>
      <c r="BG694" s="1107"/>
      <c r="BH694" s="1107"/>
      <c r="BI694" s="1107"/>
      <c r="BJ694" s="1107"/>
    </row>
    <row r="695" spans="1:62" hidden="1" outlineLevel="1">
      <c r="B695" s="1094"/>
      <c r="C695" s="1071" t="str">
        <f>C348</f>
        <v>N004 - CEROC Buildings</v>
      </c>
      <c r="D695" s="1071" t="str">
        <f>D348</f>
        <v>CEROC</v>
      </c>
      <c r="E695" s="1071" t="str">
        <f>E348</f>
        <v>N0040001</v>
      </c>
      <c r="F695" s="1125">
        <f>F348</f>
        <v>2020</v>
      </c>
      <c r="H695" s="1071" t="s">
        <v>29</v>
      </c>
      <c r="I695" s="1071" t="s">
        <v>79</v>
      </c>
      <c r="AZ695" s="1108"/>
      <c r="BA695" s="1109"/>
      <c r="BB695" s="1109"/>
      <c r="BC695" s="1109"/>
      <c r="BD695" s="1109"/>
      <c r="BE695" s="1109"/>
      <c r="BF695" s="1109">
        <f>BF348*$AW45</f>
        <v>20.113069999999997</v>
      </c>
      <c r="BG695" s="1109">
        <f>BG348*$AW45</f>
        <v>241.35689700000003</v>
      </c>
      <c r="BH695" s="1109">
        <f>BH348*$AW45</f>
        <v>241.35689700000003</v>
      </c>
      <c r="BI695" s="1109">
        <f>BI348*$AW45</f>
        <v>241.35689700000003</v>
      </c>
      <c r="BJ695" s="1109">
        <f>BJ348*$AW45</f>
        <v>241.35689700000003</v>
      </c>
    </row>
    <row r="696" spans="1:62" hidden="1" outlineLevel="1">
      <c r="B696" s="1094"/>
      <c r="C696" s="1071" t="str">
        <f t="shared" ref="C696:F696" si="652">C349</f>
        <v>N004 - CEROC Network Servers</v>
      </c>
      <c r="D696" s="1071" t="str">
        <f t="shared" si="652"/>
        <v>CEROC</v>
      </c>
      <c r="E696" s="1071" t="str">
        <f t="shared" si="652"/>
        <v>N0040002</v>
      </c>
      <c r="F696" s="1125">
        <f t="shared" si="652"/>
        <v>2020</v>
      </c>
      <c r="H696" s="1071" t="s">
        <v>29</v>
      </c>
      <c r="I696" s="1071" t="s">
        <v>79</v>
      </c>
      <c r="AZ696" s="1108"/>
      <c r="BA696" s="1109"/>
      <c r="BB696" s="1109"/>
      <c r="BC696" s="1109"/>
      <c r="BD696" s="1109"/>
      <c r="BE696" s="1109"/>
      <c r="BF696" s="1109">
        <f t="shared" ref="BF696:BJ696" si="653">BF349*$AW46</f>
        <v>6.0297299999999998</v>
      </c>
      <c r="BG696" s="1109">
        <f t="shared" si="653"/>
        <v>72.356738750000005</v>
      </c>
      <c r="BH696" s="1109">
        <f t="shared" si="653"/>
        <v>72.356738750000005</v>
      </c>
      <c r="BI696" s="1109">
        <f t="shared" si="653"/>
        <v>72.356738750000005</v>
      </c>
      <c r="BJ696" s="1109">
        <f t="shared" si="653"/>
        <v>72.356738750000005</v>
      </c>
    </row>
    <row r="697" spans="1:62" hidden="1" outlineLevel="1">
      <c r="B697" s="1094"/>
      <c r="C697" s="1071" t="str">
        <f t="shared" ref="C697:F697" si="654">C350</f>
        <v>N004 - CEROC ATC Systems</v>
      </c>
      <c r="D697" s="1071" t="str">
        <f t="shared" si="654"/>
        <v>CEROC</v>
      </c>
      <c r="E697" s="1071" t="str">
        <f t="shared" si="654"/>
        <v>N0040003</v>
      </c>
      <c r="F697" s="1125">
        <f t="shared" si="654"/>
        <v>2020</v>
      </c>
      <c r="H697" s="1071" t="s">
        <v>29</v>
      </c>
      <c r="I697" s="1071" t="s">
        <v>79</v>
      </c>
      <c r="AZ697" s="1108"/>
      <c r="BA697" s="1109"/>
      <c r="BB697" s="1109"/>
      <c r="BC697" s="1109"/>
      <c r="BD697" s="1109"/>
      <c r="BE697" s="1109"/>
      <c r="BF697" s="1109">
        <f t="shared" ref="BF697:BJ697" si="655">BF350*$AW47</f>
        <v>32.967660000000009</v>
      </c>
      <c r="BG697" s="1109">
        <f t="shared" si="655"/>
        <v>395.61192</v>
      </c>
      <c r="BH697" s="1109">
        <f t="shared" si="655"/>
        <v>395.61192</v>
      </c>
      <c r="BI697" s="1109">
        <f t="shared" si="655"/>
        <v>395.61192</v>
      </c>
      <c r="BJ697" s="1109">
        <f t="shared" si="655"/>
        <v>395.61192</v>
      </c>
    </row>
    <row r="698" spans="1:62" hidden="1" outlineLevel="1">
      <c r="B698" s="1094"/>
      <c r="C698" s="1071" t="str">
        <f t="shared" ref="C698:F698" si="656">C351</f>
        <v>N004 - CEROC Voice Comm System</v>
      </c>
      <c r="D698" s="1071" t="str">
        <f t="shared" si="656"/>
        <v>CEROC</v>
      </c>
      <c r="E698" s="1071" t="str">
        <f t="shared" si="656"/>
        <v>N0040004</v>
      </c>
      <c r="F698" s="1125">
        <f t="shared" si="656"/>
        <v>2020</v>
      </c>
      <c r="H698" s="1071" t="s">
        <v>29</v>
      </c>
      <c r="I698" s="1071" t="s">
        <v>79</v>
      </c>
      <c r="AZ698" s="1108"/>
      <c r="BA698" s="1109"/>
      <c r="BB698" s="1109"/>
      <c r="BC698" s="1109"/>
      <c r="BD698" s="1109"/>
      <c r="BE698" s="1109"/>
      <c r="BF698" s="1109">
        <f t="shared" ref="BF698:BJ698" si="657">BF351*$AW48</f>
        <v>21.963449999999998</v>
      </c>
      <c r="BG698" s="1109">
        <f t="shared" si="657"/>
        <v>263.56145750000002</v>
      </c>
      <c r="BH698" s="1109">
        <f t="shared" si="657"/>
        <v>263.56145750000002</v>
      </c>
      <c r="BI698" s="1109">
        <f t="shared" si="657"/>
        <v>263.56145750000002</v>
      </c>
      <c r="BJ698" s="1109">
        <f t="shared" si="657"/>
        <v>263.56145750000002</v>
      </c>
    </row>
    <row r="699" spans="1:62" hidden="1" outlineLevel="1">
      <c r="B699" s="1094"/>
      <c r="C699" s="1071" t="str">
        <f t="shared" ref="C699:F699" si="658">C352</f>
        <v>N004 - CEROC Reserve Voice Com System</v>
      </c>
      <c r="D699" s="1071" t="str">
        <f t="shared" si="658"/>
        <v>CEROC</v>
      </c>
      <c r="E699" s="1071" t="str">
        <f t="shared" si="658"/>
        <v>N0040005</v>
      </c>
      <c r="F699" s="1125">
        <f t="shared" si="658"/>
        <v>2020</v>
      </c>
      <c r="H699" s="1071" t="s">
        <v>29</v>
      </c>
      <c r="I699" s="1071" t="s">
        <v>79</v>
      </c>
      <c r="AZ699" s="1108"/>
      <c r="BA699" s="1109"/>
      <c r="BB699" s="1109"/>
      <c r="BC699" s="1109"/>
      <c r="BD699" s="1109"/>
      <c r="BE699" s="1109"/>
      <c r="BF699" s="1109">
        <f t="shared" ref="BF699:BJ699" si="659">BF352*$AW49</f>
        <v>8.1554400000000005</v>
      </c>
      <c r="BG699" s="1109">
        <f t="shared" si="659"/>
        <v>97.865245000000002</v>
      </c>
      <c r="BH699" s="1109">
        <f t="shared" si="659"/>
        <v>97.865245000000002</v>
      </c>
      <c r="BI699" s="1109">
        <f t="shared" si="659"/>
        <v>97.865245000000002</v>
      </c>
      <c r="BJ699" s="1109">
        <f t="shared" si="659"/>
        <v>97.865245000000002</v>
      </c>
    </row>
    <row r="700" spans="1:62" hidden="1" outlineLevel="1">
      <c r="B700" s="1094"/>
      <c r="C700" s="1071" t="str">
        <f t="shared" ref="C700:F700" si="660">C353</f>
        <v>N004 CEROC Voice Comm Recorder</v>
      </c>
      <c r="D700" s="1071" t="str">
        <f t="shared" si="660"/>
        <v>CEROC</v>
      </c>
      <c r="E700" s="1071" t="str">
        <f t="shared" si="660"/>
        <v>N0040006</v>
      </c>
      <c r="F700" s="1125">
        <f t="shared" si="660"/>
        <v>2020</v>
      </c>
      <c r="H700" s="1071" t="s">
        <v>29</v>
      </c>
      <c r="I700" s="1071" t="s">
        <v>79</v>
      </c>
      <c r="AZ700" s="1108"/>
      <c r="BA700" s="1109"/>
      <c r="BB700" s="1109"/>
      <c r="BC700" s="1109"/>
      <c r="BD700" s="1109"/>
      <c r="BE700" s="1109"/>
      <c r="BF700" s="1109">
        <f t="shared" ref="BF700:BJ700" si="661">BF353*$AW50</f>
        <v>2.7476599999999998</v>
      </c>
      <c r="BG700" s="1109">
        <f t="shared" si="661"/>
        <v>32.971943750000001</v>
      </c>
      <c r="BH700" s="1109">
        <f t="shared" si="661"/>
        <v>32.971943750000001</v>
      </c>
      <c r="BI700" s="1109">
        <f t="shared" si="661"/>
        <v>32.971943750000001</v>
      </c>
      <c r="BJ700" s="1109">
        <f t="shared" si="661"/>
        <v>32.971943750000001</v>
      </c>
    </row>
    <row r="701" spans="1:62" hidden="1" outlineLevel="1">
      <c r="B701" s="1094"/>
      <c r="C701" s="1071" t="str">
        <f t="shared" ref="C701:F701" si="662">C354</f>
        <v>N004 - CEROC PABX</v>
      </c>
      <c r="D701" s="1071" t="str">
        <f t="shared" si="662"/>
        <v>CEROC</v>
      </c>
      <c r="E701" s="1071" t="str">
        <f t="shared" si="662"/>
        <v>N0040007</v>
      </c>
      <c r="F701" s="1125">
        <f t="shared" si="662"/>
        <v>2020</v>
      </c>
      <c r="H701" s="1071" t="s">
        <v>29</v>
      </c>
      <c r="I701" s="1071" t="s">
        <v>79</v>
      </c>
      <c r="AZ701" s="1108"/>
      <c r="BA701" s="1109"/>
      <c r="BB701" s="1109"/>
      <c r="BC701" s="1109"/>
      <c r="BD701" s="1109"/>
      <c r="BE701" s="1109"/>
      <c r="BF701" s="1109">
        <f t="shared" ref="BF701:BJ701" si="663">BF354*$AW51</f>
        <v>1.4116299999999999</v>
      </c>
      <c r="BG701" s="1109">
        <f t="shared" si="663"/>
        <v>16.939499999999999</v>
      </c>
      <c r="BH701" s="1109">
        <f t="shared" si="663"/>
        <v>16.939499999999999</v>
      </c>
      <c r="BI701" s="1109">
        <f t="shared" si="663"/>
        <v>16.939499999999999</v>
      </c>
      <c r="BJ701" s="1109">
        <f t="shared" si="663"/>
        <v>16.939499999999999</v>
      </c>
    </row>
    <row r="702" spans="1:62" hidden="1" outlineLevel="1">
      <c r="B702" s="1094"/>
      <c r="C702" s="1071" t="str">
        <f t="shared" ref="C702:F702" si="664">C355</f>
        <v>N004-CEROC Centralised Monitor Monitoring</v>
      </c>
      <c r="D702" s="1071" t="str">
        <f t="shared" si="664"/>
        <v>CEROC</v>
      </c>
      <c r="E702" s="1071" t="str">
        <f t="shared" si="664"/>
        <v>N0040008</v>
      </c>
      <c r="F702" s="1125">
        <f t="shared" si="664"/>
        <v>2020</v>
      </c>
      <c r="H702" s="1071" t="s">
        <v>29</v>
      </c>
      <c r="I702" s="1071" t="s">
        <v>79</v>
      </c>
      <c r="AZ702" s="1108"/>
      <c r="BA702" s="1109"/>
      <c r="BB702" s="1109"/>
      <c r="BC702" s="1109"/>
      <c r="BD702" s="1109"/>
      <c r="BE702" s="1109"/>
      <c r="BF702" s="1109">
        <f t="shared" ref="BF702:BJ702" si="665">BF355*$AW52</f>
        <v>4.1030299999999995</v>
      </c>
      <c r="BG702" s="1109">
        <f t="shared" si="665"/>
        <v>49.236368750000004</v>
      </c>
      <c r="BH702" s="1109">
        <f t="shared" si="665"/>
        <v>49.236368750000004</v>
      </c>
      <c r="BI702" s="1109">
        <f t="shared" si="665"/>
        <v>49.236368750000004</v>
      </c>
      <c r="BJ702" s="1109">
        <f t="shared" si="665"/>
        <v>49.236368750000004</v>
      </c>
    </row>
    <row r="703" spans="1:62" hidden="1" outlineLevel="1">
      <c r="B703" s="1094"/>
      <c r="C703" s="1071" t="str">
        <f t="shared" ref="C703:F703" si="666">C356</f>
        <v>Q001-CEROC Servers Workstation</v>
      </c>
      <c r="D703" s="1071" t="str">
        <f t="shared" si="666"/>
        <v>CEROC</v>
      </c>
      <c r="E703" s="1071" t="str">
        <f t="shared" si="666"/>
        <v>Q0010007</v>
      </c>
      <c r="F703" s="1125">
        <f t="shared" si="666"/>
        <v>2020</v>
      </c>
      <c r="H703" s="1071" t="s">
        <v>29</v>
      </c>
      <c r="I703" s="1071" t="s">
        <v>79</v>
      </c>
      <c r="AZ703" s="1108"/>
      <c r="BA703" s="1109"/>
      <c r="BB703" s="1109"/>
      <c r="BC703" s="1109"/>
      <c r="BD703" s="1109"/>
      <c r="BE703" s="1109"/>
      <c r="BF703" s="1109">
        <f t="shared" ref="BF703:BJ703" si="667">BF356*$AW53</f>
        <v>1.8746099999999999</v>
      </c>
      <c r="BG703" s="1109">
        <f t="shared" si="667"/>
        <v>22.495286250000003</v>
      </c>
      <c r="BH703" s="1109">
        <f t="shared" si="667"/>
        <v>22.495286250000003</v>
      </c>
      <c r="BI703" s="1109">
        <f t="shared" si="667"/>
        <v>22.495286250000003</v>
      </c>
      <c r="BJ703" s="1109">
        <f t="shared" si="667"/>
        <v>22.495286250000003</v>
      </c>
    </row>
    <row r="704" spans="1:62" hidden="1" outlineLevel="1">
      <c r="B704" s="1094"/>
      <c r="C704" s="1071" t="str">
        <f t="shared" ref="C704:F704" si="668">C357</f>
        <v>Q001-CEROC Network Replacement</v>
      </c>
      <c r="D704" s="1071" t="str">
        <f t="shared" si="668"/>
        <v>CEROC</v>
      </c>
      <c r="E704" s="1071" t="str">
        <f t="shared" si="668"/>
        <v>Q0010008</v>
      </c>
      <c r="F704" s="1125">
        <f t="shared" si="668"/>
        <v>2020</v>
      </c>
      <c r="H704" s="1071" t="s">
        <v>29</v>
      </c>
      <c r="I704" s="1071" t="s">
        <v>79</v>
      </c>
      <c r="AZ704" s="1108"/>
      <c r="BA704" s="1109"/>
      <c r="BB704" s="1109"/>
      <c r="BC704" s="1109"/>
      <c r="BD704" s="1109"/>
      <c r="BE704" s="1109"/>
      <c r="BF704" s="1109">
        <f t="shared" ref="BF704:BJ704" si="669">BF357*$AW54</f>
        <v>0.11992000000000001</v>
      </c>
      <c r="BG704" s="1109">
        <f t="shared" si="669"/>
        <v>1.4390050000000001</v>
      </c>
      <c r="BH704" s="1109">
        <f t="shared" si="669"/>
        <v>1.4390050000000001</v>
      </c>
      <c r="BI704" s="1109">
        <f t="shared" si="669"/>
        <v>1.4390050000000001</v>
      </c>
      <c r="BJ704" s="1109">
        <f t="shared" si="669"/>
        <v>1.4390050000000001</v>
      </c>
    </row>
    <row r="705" spans="2:62" hidden="1" outlineLevel="1">
      <c r="B705" s="1094"/>
      <c r="C705" s="1071" t="str">
        <f t="shared" ref="C705:F705" si="670">C358</f>
        <v>Q007 Nokia MNATP CEROC</v>
      </c>
      <c r="D705" s="1071" t="str">
        <f t="shared" si="670"/>
        <v>CEROC</v>
      </c>
      <c r="E705" s="1071" t="str">
        <f t="shared" si="670"/>
        <v>Q0070001</v>
      </c>
      <c r="F705" s="1125">
        <f t="shared" si="670"/>
        <v>2020</v>
      </c>
      <c r="H705" s="1071" t="s">
        <v>29</v>
      </c>
      <c r="I705" s="1071" t="s">
        <v>79</v>
      </c>
      <c r="AZ705" s="1108"/>
      <c r="BA705" s="1109"/>
      <c r="BB705" s="1109"/>
      <c r="BC705" s="1109"/>
      <c r="BD705" s="1109"/>
      <c r="BE705" s="1109"/>
      <c r="BF705" s="1109">
        <f t="shared" ref="BF705:BJ705" si="671">BF358*$AW55</f>
        <v>10.93135</v>
      </c>
      <c r="BG705" s="1109">
        <f t="shared" si="671"/>
        <v>131.17614</v>
      </c>
      <c r="BH705" s="1109">
        <f t="shared" si="671"/>
        <v>131.17614</v>
      </c>
      <c r="BI705" s="1109">
        <f t="shared" si="671"/>
        <v>131.17614</v>
      </c>
      <c r="BJ705" s="1109">
        <f t="shared" si="671"/>
        <v>131.17614</v>
      </c>
    </row>
    <row r="706" spans="2:62" hidden="1" outlineLevel="1">
      <c r="B706" s="1094"/>
      <c r="C706" s="1071" t="str">
        <f t="shared" ref="C706:F706" si="672">C359</f>
        <v>Q029 - CEROC IT Equipment</v>
      </c>
      <c r="D706" s="1071" t="str">
        <f t="shared" si="672"/>
        <v>CEROC</v>
      </c>
      <c r="E706" s="1071" t="str">
        <f t="shared" si="672"/>
        <v>Q0290001</v>
      </c>
      <c r="F706" s="1125">
        <f t="shared" si="672"/>
        <v>2020</v>
      </c>
      <c r="H706" s="1071" t="s">
        <v>29</v>
      </c>
      <c r="I706" s="1071" t="s">
        <v>79</v>
      </c>
      <c r="AZ706" s="1108"/>
      <c r="BA706" s="1109"/>
      <c r="BB706" s="1109"/>
      <c r="BC706" s="1109"/>
      <c r="BD706" s="1109"/>
      <c r="BE706" s="1109"/>
      <c r="BF706" s="1109">
        <f t="shared" ref="BF706:BJ706" si="673">BF359*$AW56</f>
        <v>1.8108399999999996</v>
      </c>
      <c r="BG706" s="1109">
        <f t="shared" si="673"/>
        <v>21.142790270270268</v>
      </c>
      <c r="BH706" s="1109">
        <f t="shared" si="673"/>
        <v>21.142790270270268</v>
      </c>
      <c r="BI706" s="1109">
        <f t="shared" si="673"/>
        <v>21.093849459459459</v>
      </c>
      <c r="BJ706" s="1109">
        <f t="shared" si="673"/>
        <v>0</v>
      </c>
    </row>
    <row r="707" spans="2:62" hidden="1" outlineLevel="1">
      <c r="B707" s="1094"/>
      <c r="C707" s="1071" t="str">
        <f t="shared" ref="C707:F707" si="674">C360</f>
        <v>Q029 -CEROC  Photocopier</v>
      </c>
      <c r="D707" s="1071" t="str">
        <f t="shared" si="674"/>
        <v>CEROC</v>
      </c>
      <c r="E707" s="1071" t="str">
        <f t="shared" si="674"/>
        <v>Q0290002</v>
      </c>
      <c r="F707" s="1125">
        <f t="shared" si="674"/>
        <v>2020</v>
      </c>
      <c r="H707" s="1071" t="s">
        <v>29</v>
      </c>
      <c r="I707" s="1071" t="s">
        <v>79</v>
      </c>
      <c r="AZ707" s="1108"/>
      <c r="BA707" s="1109"/>
      <c r="BB707" s="1109"/>
      <c r="BC707" s="1109"/>
      <c r="BD707" s="1109"/>
      <c r="BE707" s="1109"/>
      <c r="BF707" s="1109">
        <f t="shared" ref="BF707:BJ707" si="675">BF360*$AW57</f>
        <v>8.1100000000000005E-2</v>
      </c>
      <c r="BG707" s="1109">
        <f t="shared" si="675"/>
        <v>0.97315000000000007</v>
      </c>
      <c r="BH707" s="1109">
        <f t="shared" si="675"/>
        <v>0.97315000000000007</v>
      </c>
      <c r="BI707" s="1109">
        <f t="shared" si="675"/>
        <v>0.97315000000000007</v>
      </c>
      <c r="BJ707" s="1109">
        <f t="shared" si="675"/>
        <v>0.97315000000000007</v>
      </c>
    </row>
    <row r="708" spans="2:62" hidden="1" outlineLevel="1">
      <c r="B708" s="1094"/>
      <c r="C708" s="1071" t="str">
        <f t="shared" ref="C708:F708" si="676">C361</f>
        <v>Rosslare VHF - Cabins &amp; Civils Q015</v>
      </c>
      <c r="D708" s="1071" t="str">
        <f t="shared" si="676"/>
        <v>Rosslare VHF - Cabins &amp; Civils Q015</v>
      </c>
      <c r="E708" s="1071" t="str">
        <f t="shared" si="676"/>
        <v>q0150001</v>
      </c>
      <c r="F708" s="1125">
        <f t="shared" si="676"/>
        <v>2020</v>
      </c>
      <c r="H708" s="1071" t="s">
        <v>29</v>
      </c>
      <c r="I708" s="1071" t="s">
        <v>79</v>
      </c>
      <c r="AZ708" s="1108"/>
      <c r="BA708" s="1109"/>
      <c r="BB708" s="1109"/>
      <c r="BC708" s="1109"/>
      <c r="BD708" s="1109"/>
      <c r="BE708" s="1109"/>
      <c r="BF708" s="1109">
        <f t="shared" ref="BF708:BJ708" si="677">BF361*$AW58</f>
        <v>10.89555</v>
      </c>
      <c r="BG708" s="1109">
        <f t="shared" si="677"/>
        <v>32.686648124999998</v>
      </c>
      <c r="BH708" s="1109">
        <f t="shared" si="677"/>
        <v>32.686648124999998</v>
      </c>
      <c r="BI708" s="1109">
        <f t="shared" si="677"/>
        <v>32.686648124999998</v>
      </c>
      <c r="BJ708" s="1109">
        <f t="shared" si="677"/>
        <v>32.686648124999998</v>
      </c>
    </row>
    <row r="709" spans="2:62" hidden="1" outlineLevel="1">
      <c r="B709" s="1094"/>
      <c r="C709" s="1071" t="str">
        <f t="shared" ref="C709:F709" si="678">C362</f>
        <v>Q001- Coopans Hardware network</v>
      </c>
      <c r="D709" s="1071" t="str">
        <f t="shared" si="678"/>
        <v>Coopans Hardware network</v>
      </c>
      <c r="E709" s="1071" t="str">
        <f t="shared" si="678"/>
        <v>Q0010006</v>
      </c>
      <c r="F709" s="1125">
        <f t="shared" si="678"/>
        <v>2020</v>
      </c>
      <c r="H709" s="1071" t="s">
        <v>29</v>
      </c>
      <c r="I709" s="1071" t="s">
        <v>79</v>
      </c>
      <c r="AZ709" s="1108"/>
      <c r="BA709" s="1109"/>
      <c r="BB709" s="1109"/>
      <c r="BC709" s="1109"/>
      <c r="BD709" s="1109"/>
      <c r="BE709" s="1109"/>
      <c r="BF709" s="1109">
        <f t="shared" ref="BF709:BJ709" si="679">BF362*$AW59</f>
        <v>26.780077499999997</v>
      </c>
      <c r="BG709" s="1109">
        <f t="shared" si="679"/>
        <v>29.214624375</v>
      </c>
      <c r="BH709" s="1109">
        <f t="shared" si="679"/>
        <v>29.214624375</v>
      </c>
      <c r="BI709" s="1109">
        <f t="shared" si="679"/>
        <v>29.214624375</v>
      </c>
      <c r="BJ709" s="1109">
        <f t="shared" si="679"/>
        <v>29.214624375</v>
      </c>
    </row>
    <row r="710" spans="2:62" hidden="1" outlineLevel="1">
      <c r="B710" s="1094"/>
      <c r="C710" s="1071" t="str">
        <f t="shared" ref="C710:F710" si="680">C363</f>
        <v>P009 - New South East VHF Site</v>
      </c>
      <c r="D710" s="1071" t="str">
        <f t="shared" si="680"/>
        <v>New South East VHF Site</v>
      </c>
      <c r="E710" s="1071" t="str">
        <f t="shared" si="680"/>
        <v>P0090001</v>
      </c>
      <c r="F710" s="1125">
        <f t="shared" si="680"/>
        <v>2020</v>
      </c>
      <c r="H710" s="1071" t="s">
        <v>29</v>
      </c>
      <c r="I710" s="1071" t="s">
        <v>79</v>
      </c>
      <c r="AZ710" s="1108"/>
      <c r="BA710" s="1109"/>
      <c r="BB710" s="1109"/>
      <c r="BC710" s="1109"/>
      <c r="BD710" s="1109"/>
      <c r="BE710" s="1109"/>
      <c r="BF710" s="1109">
        <f t="shared" ref="BF710:BJ710" si="681">BF363*$AW60</f>
        <v>9.6829499999999999</v>
      </c>
      <c r="BG710" s="1109">
        <f t="shared" si="681"/>
        <v>29.048812499999997</v>
      </c>
      <c r="BH710" s="1109">
        <f t="shared" si="681"/>
        <v>29.048812499999997</v>
      </c>
      <c r="BI710" s="1109">
        <f t="shared" si="681"/>
        <v>29.048812499999997</v>
      </c>
      <c r="BJ710" s="1109">
        <f t="shared" si="681"/>
        <v>29.048812499999997</v>
      </c>
    </row>
    <row r="711" spans="2:62" hidden="1" outlineLevel="1">
      <c r="B711" s="1094"/>
      <c r="C711" s="1071" t="str">
        <f t="shared" ref="C711:F711" si="682">C364</f>
        <v>T024 - UPS System Woodcock</v>
      </c>
      <c r="D711" s="1071" t="str">
        <f t="shared" si="682"/>
        <v>UPS System</v>
      </c>
      <c r="E711" s="1071" t="str">
        <f t="shared" si="682"/>
        <v>T0240005</v>
      </c>
      <c r="F711" s="1125">
        <f t="shared" si="682"/>
        <v>2020</v>
      </c>
      <c r="H711" s="1071" t="s">
        <v>29</v>
      </c>
      <c r="I711" s="1071" t="s">
        <v>79</v>
      </c>
      <c r="AZ711" s="1108"/>
      <c r="BA711" s="1109"/>
      <c r="BB711" s="1109"/>
      <c r="BC711" s="1109"/>
      <c r="BD711" s="1109"/>
      <c r="BE711" s="1109"/>
      <c r="BF711" s="1109">
        <f t="shared" ref="BF711:BJ711" si="683">BF364*$AW61</f>
        <v>1.8444200000000002</v>
      </c>
      <c r="BG711" s="1109">
        <f t="shared" si="683"/>
        <v>5.7234699999999998</v>
      </c>
      <c r="BH711" s="1109">
        <f t="shared" si="683"/>
        <v>5.7234699999999998</v>
      </c>
      <c r="BI711" s="1109">
        <f t="shared" si="683"/>
        <v>5.7234699999999998</v>
      </c>
      <c r="BJ711" s="1109">
        <f t="shared" si="683"/>
        <v>5.7234699999999998</v>
      </c>
    </row>
    <row r="712" spans="2:62" hidden="1" outlineLevel="1">
      <c r="B712" s="1094"/>
      <c r="C712" s="1071" t="str">
        <f t="shared" ref="C712:F712" si="684">C365</f>
        <v>T024 -UPS System Shannon Tower</v>
      </c>
      <c r="D712" s="1071" t="str">
        <f t="shared" si="684"/>
        <v>UPS System</v>
      </c>
      <c r="E712" s="1071" t="str">
        <f t="shared" si="684"/>
        <v>T0240007</v>
      </c>
      <c r="F712" s="1125">
        <f t="shared" si="684"/>
        <v>2020</v>
      </c>
      <c r="H712" s="1071" t="s">
        <v>29</v>
      </c>
      <c r="I712" s="1071" t="s">
        <v>79</v>
      </c>
      <c r="AZ712" s="1108"/>
      <c r="BA712" s="1109"/>
      <c r="BB712" s="1109"/>
      <c r="BC712" s="1109"/>
      <c r="BD712" s="1109"/>
      <c r="BE712" s="1109"/>
      <c r="BF712" s="1109">
        <f t="shared" ref="BF712:BJ712" si="685">BF365*$AW62</f>
        <v>0</v>
      </c>
      <c r="BG712" s="1109">
        <f t="shared" si="685"/>
        <v>0</v>
      </c>
      <c r="BH712" s="1109">
        <f t="shared" si="685"/>
        <v>0</v>
      </c>
      <c r="BI712" s="1109">
        <f t="shared" si="685"/>
        <v>0</v>
      </c>
      <c r="BJ712" s="1109">
        <f t="shared" si="685"/>
        <v>0</v>
      </c>
    </row>
    <row r="713" spans="2:62" hidden="1" outlineLevel="1">
      <c r="B713" s="1094"/>
      <c r="C713" s="1071" t="str">
        <f t="shared" ref="C713:F713" si="686">C366</f>
        <v>T024 -UPS System Shannon Radar</v>
      </c>
      <c r="D713" s="1071" t="str">
        <f t="shared" si="686"/>
        <v>UPS System</v>
      </c>
      <c r="E713" s="1071" t="str">
        <f t="shared" si="686"/>
        <v>T0240006</v>
      </c>
      <c r="F713" s="1125">
        <f t="shared" si="686"/>
        <v>2020</v>
      </c>
      <c r="H713" s="1071" t="s">
        <v>29</v>
      </c>
      <c r="I713" s="1071" t="s">
        <v>79</v>
      </c>
      <c r="AZ713" s="1108"/>
      <c r="BA713" s="1109"/>
      <c r="BB713" s="1109"/>
      <c r="BC713" s="1109"/>
      <c r="BD713" s="1109"/>
      <c r="BE713" s="1109"/>
      <c r="BF713" s="1109">
        <f t="shared" ref="BF713:BJ713" si="687">BF366*$AW63</f>
        <v>2.0475000000000003</v>
      </c>
      <c r="BG713" s="1109">
        <f t="shared" si="687"/>
        <v>4.0949690625000006</v>
      </c>
      <c r="BH713" s="1109">
        <f t="shared" si="687"/>
        <v>4.0949690625000006</v>
      </c>
      <c r="BI713" s="1109">
        <f t="shared" si="687"/>
        <v>4.0949690625000006</v>
      </c>
      <c r="BJ713" s="1109">
        <f t="shared" si="687"/>
        <v>4.0949690625000006</v>
      </c>
    </row>
    <row r="714" spans="2:62" hidden="1" outlineLevel="1">
      <c r="B714" s="1094"/>
      <c r="C714" s="1071" t="str">
        <f t="shared" ref="C714:F714" si="688">C367</f>
        <v>T024 - UPS System Cork</v>
      </c>
      <c r="D714" s="1071" t="str">
        <f t="shared" si="688"/>
        <v>UPS System</v>
      </c>
      <c r="E714" s="1071" t="str">
        <f t="shared" si="688"/>
        <v>T0240008</v>
      </c>
      <c r="F714" s="1125">
        <f t="shared" si="688"/>
        <v>2020</v>
      </c>
      <c r="H714" s="1071" t="s">
        <v>29</v>
      </c>
      <c r="I714" s="1071" t="s">
        <v>79</v>
      </c>
      <c r="AZ714" s="1108"/>
      <c r="BA714" s="1109"/>
      <c r="BB714" s="1109"/>
      <c r="BC714" s="1109"/>
      <c r="BD714" s="1109"/>
      <c r="BE714" s="1109"/>
      <c r="BF714" s="1109">
        <f t="shared" ref="BF714:BJ714" si="689">BF367*$AW64</f>
        <v>1.3650000000000002</v>
      </c>
      <c r="BG714" s="1109">
        <f t="shared" si="689"/>
        <v>2.7299793750000005</v>
      </c>
      <c r="BH714" s="1109">
        <f t="shared" si="689"/>
        <v>2.7299793750000005</v>
      </c>
      <c r="BI714" s="1109">
        <f t="shared" si="689"/>
        <v>2.7299793750000005</v>
      </c>
      <c r="BJ714" s="1109">
        <f t="shared" si="689"/>
        <v>2.7299793750000005</v>
      </c>
    </row>
    <row r="715" spans="2:62" hidden="1" outlineLevel="1">
      <c r="B715" s="1094"/>
      <c r="C715" s="1071" t="str">
        <f t="shared" ref="C715:F715" si="690">C368</f>
        <v>S025 MICROSOFT SQL SERVER - HQ</v>
      </c>
      <c r="D715" s="1071" t="str">
        <f t="shared" si="690"/>
        <v>IT Network</v>
      </c>
      <c r="E715" s="1071" t="str">
        <f t="shared" si="690"/>
        <v>S0250002</v>
      </c>
      <c r="F715" s="1125">
        <f t="shared" si="690"/>
        <v>2020</v>
      </c>
      <c r="H715" s="1071" t="s">
        <v>29</v>
      </c>
      <c r="I715" s="1071" t="s">
        <v>79</v>
      </c>
      <c r="AZ715" s="1108"/>
      <c r="BA715" s="1109"/>
      <c r="BB715" s="1109"/>
      <c r="BC715" s="1109"/>
      <c r="BD715" s="1109"/>
      <c r="BE715" s="1109"/>
      <c r="BF715" s="1109">
        <f t="shared" ref="BF715:BJ715" si="691">BF368*$AW65</f>
        <v>2.3987434999999997</v>
      </c>
      <c r="BG715" s="1109">
        <f t="shared" si="691"/>
        <v>5.6013547135135129</v>
      </c>
      <c r="BH715" s="1109">
        <f t="shared" si="691"/>
        <v>5.6013547135135129</v>
      </c>
      <c r="BI715" s="1109">
        <f t="shared" si="691"/>
        <v>3.6693907729729736</v>
      </c>
      <c r="BJ715" s="1109">
        <f t="shared" si="691"/>
        <v>0</v>
      </c>
    </row>
    <row r="716" spans="2:62" hidden="1" outlineLevel="1">
      <c r="B716" s="1094"/>
      <c r="C716" s="1071" t="str">
        <f t="shared" ref="C716:F716" si="692">C369</f>
        <v>S025 DATACENTRE LICENSES - HQ</v>
      </c>
      <c r="D716" s="1071" t="str">
        <f t="shared" si="692"/>
        <v>IT Network</v>
      </c>
      <c r="E716" s="1071" t="str">
        <f t="shared" si="692"/>
        <v>S0250004</v>
      </c>
      <c r="F716" s="1125">
        <f t="shared" si="692"/>
        <v>2020</v>
      </c>
      <c r="H716" s="1071" t="s">
        <v>29</v>
      </c>
      <c r="I716" s="1071" t="s">
        <v>79</v>
      </c>
      <c r="AZ716" s="1108"/>
      <c r="BA716" s="1109"/>
      <c r="BB716" s="1109"/>
      <c r="BC716" s="1109"/>
      <c r="BD716" s="1109"/>
      <c r="BE716" s="1109"/>
      <c r="BF716" s="1109">
        <f t="shared" ref="BF716:BJ716" si="693">BF369*$AW66</f>
        <v>1.6109712999999997</v>
      </c>
      <c r="BG716" s="1109">
        <f t="shared" si="693"/>
        <v>4.8329333666666656</v>
      </c>
      <c r="BH716" s="1109">
        <f t="shared" si="693"/>
        <v>4.8329333666666656</v>
      </c>
      <c r="BI716" s="1109">
        <f t="shared" si="693"/>
        <v>3.221962066666666</v>
      </c>
      <c r="BJ716" s="1109">
        <f t="shared" si="693"/>
        <v>0</v>
      </c>
    </row>
    <row r="717" spans="2:62" hidden="1" outlineLevel="1">
      <c r="B717" s="1094"/>
      <c r="C717" s="1071" t="str">
        <f t="shared" ref="C717:F717" si="694">C370</f>
        <v>S025 SUPPORT VMWARE VS 7 - HQ</v>
      </c>
      <c r="D717" s="1071" t="str">
        <f t="shared" si="694"/>
        <v>IT Network</v>
      </c>
      <c r="E717" s="1071" t="str">
        <f t="shared" si="694"/>
        <v>S0250006</v>
      </c>
      <c r="F717" s="1125">
        <f t="shared" si="694"/>
        <v>2020</v>
      </c>
      <c r="H717" s="1071" t="s">
        <v>29</v>
      </c>
      <c r="I717" s="1071" t="s">
        <v>79</v>
      </c>
      <c r="AZ717" s="1108"/>
      <c r="BA717" s="1109"/>
      <c r="BB717" s="1109"/>
      <c r="BC717" s="1109"/>
      <c r="BD717" s="1109"/>
      <c r="BE717" s="1109"/>
      <c r="BF717" s="1109">
        <f t="shared" ref="BF717:BJ717" si="695">BF370*$AW67</f>
        <v>0.13724</v>
      </c>
      <c r="BG717" s="1109">
        <f t="shared" si="695"/>
        <v>1.6023271135135133</v>
      </c>
      <c r="BH717" s="1109">
        <f t="shared" si="695"/>
        <v>1.6023271135135133</v>
      </c>
      <c r="BI717" s="1109">
        <f t="shared" si="695"/>
        <v>1.5986143729729729</v>
      </c>
      <c r="BJ717" s="1109">
        <f t="shared" si="695"/>
        <v>0</v>
      </c>
    </row>
    <row r="718" spans="2:62" hidden="1" outlineLevel="1">
      <c r="B718" s="1094"/>
      <c r="C718" s="1071" t="str">
        <f t="shared" ref="C718:F718" si="696">C371</f>
        <v>S025 MICROSOFT SQL SERVER -BCY</v>
      </c>
      <c r="D718" s="1071" t="str">
        <f t="shared" si="696"/>
        <v>IT Network</v>
      </c>
      <c r="E718" s="1071" t="str">
        <f t="shared" si="696"/>
        <v>S0250003</v>
      </c>
      <c r="F718" s="1125">
        <f t="shared" si="696"/>
        <v>2020</v>
      </c>
      <c r="H718" s="1071" t="s">
        <v>29</v>
      </c>
      <c r="I718" s="1071" t="s">
        <v>79</v>
      </c>
      <c r="AZ718" s="1108"/>
      <c r="BA718" s="1109"/>
      <c r="BB718" s="1109"/>
      <c r="BC718" s="1109"/>
      <c r="BD718" s="1109"/>
      <c r="BE718" s="1109"/>
      <c r="BF718" s="1109">
        <f t="shared" ref="BF718:BJ718" si="697">BF371*$AW68</f>
        <v>4.7783250000000006</v>
      </c>
      <c r="BG718" s="1109">
        <f t="shared" si="697"/>
        <v>11.158058918918918</v>
      </c>
      <c r="BH718" s="1109">
        <f t="shared" si="697"/>
        <v>11.158058918918918</v>
      </c>
      <c r="BI718" s="1109">
        <f t="shared" si="697"/>
        <v>7.3095721621621621</v>
      </c>
      <c r="BJ718" s="1109">
        <f t="shared" si="697"/>
        <v>0</v>
      </c>
    </row>
    <row r="719" spans="2:62" hidden="1" outlineLevel="1">
      <c r="B719" s="1094"/>
      <c r="C719" s="1071" t="str">
        <f t="shared" ref="C719:F719" si="698">C372</f>
        <v>S025 DATACENTRE LICENSES - BCY</v>
      </c>
      <c r="D719" s="1071" t="str">
        <f t="shared" si="698"/>
        <v>IT Network</v>
      </c>
      <c r="E719" s="1071" t="str">
        <f t="shared" si="698"/>
        <v>S0250005</v>
      </c>
      <c r="F719" s="1125">
        <f t="shared" si="698"/>
        <v>2020</v>
      </c>
      <c r="H719" s="1071" t="s">
        <v>29</v>
      </c>
      <c r="I719" s="1071" t="s">
        <v>79</v>
      </c>
      <c r="AZ719" s="1108"/>
      <c r="BA719" s="1109"/>
      <c r="BB719" s="1109"/>
      <c r="BC719" s="1109"/>
      <c r="BD719" s="1109"/>
      <c r="BE719" s="1109"/>
      <c r="BF719" s="1109">
        <f t="shared" ref="BF719:BJ719" si="699">BF372*$AW69</f>
        <v>3.2091075000000009</v>
      </c>
      <c r="BG719" s="1109">
        <f t="shared" si="699"/>
        <v>9.627342500000001</v>
      </c>
      <c r="BH719" s="1109">
        <f t="shared" si="699"/>
        <v>9.627342500000001</v>
      </c>
      <c r="BI719" s="1109">
        <f t="shared" si="699"/>
        <v>6.4182350000000001</v>
      </c>
      <c r="BJ719" s="1109">
        <f t="shared" si="699"/>
        <v>0</v>
      </c>
    </row>
    <row r="720" spans="2:62" hidden="1" outlineLevel="1">
      <c r="B720" s="1094"/>
      <c r="C720" s="1071" t="str">
        <f t="shared" ref="C720:F720" si="700">C373</f>
        <v>S025 SUPPORT VMWARE VS 7 - BCY</v>
      </c>
      <c r="D720" s="1071" t="str">
        <f t="shared" si="700"/>
        <v>IT Network</v>
      </c>
      <c r="E720" s="1071" t="str">
        <f t="shared" si="700"/>
        <v>S0250007</v>
      </c>
      <c r="F720" s="1125">
        <f t="shared" si="700"/>
        <v>2020</v>
      </c>
      <c r="H720" s="1071" t="s">
        <v>29</v>
      </c>
      <c r="I720" s="1071" t="s">
        <v>79</v>
      </c>
      <c r="AZ720" s="1108"/>
      <c r="BA720" s="1109"/>
      <c r="BB720" s="1109"/>
      <c r="BC720" s="1109"/>
      <c r="BD720" s="1109"/>
      <c r="BE720" s="1109"/>
      <c r="BF720" s="1109">
        <f t="shared" ref="BF720:BJ720" si="701">BF373*$AW70</f>
        <v>0.27338249999999997</v>
      </c>
      <c r="BG720" s="1109">
        <f t="shared" si="701"/>
        <v>3.1918816216216217</v>
      </c>
      <c r="BH720" s="1109">
        <f t="shared" si="701"/>
        <v>3.1918816216216217</v>
      </c>
      <c r="BI720" s="1109">
        <f t="shared" si="701"/>
        <v>3.1844892567567564</v>
      </c>
      <c r="BJ720" s="1109">
        <f t="shared" si="701"/>
        <v>0</v>
      </c>
    </row>
    <row r="721" spans="2:62" hidden="1" outlineLevel="1">
      <c r="B721" s="1094"/>
      <c r="C721" s="1071" t="str">
        <f t="shared" ref="C721:F721" si="702">C374</f>
        <v>S024 - AGILE HPE ARUBA BCY</v>
      </c>
      <c r="D721" s="1071" t="str">
        <f t="shared" si="702"/>
        <v>AGILE HPE ARUBA</v>
      </c>
      <c r="E721" s="1071" t="str">
        <f t="shared" si="702"/>
        <v>S0240005</v>
      </c>
      <c r="F721" s="1125">
        <f t="shared" si="702"/>
        <v>2020</v>
      </c>
      <c r="H721" s="1071" t="s">
        <v>29</v>
      </c>
      <c r="I721" s="1071" t="s">
        <v>79</v>
      </c>
      <c r="AZ721" s="1108"/>
      <c r="BA721" s="1109"/>
      <c r="BB721" s="1109"/>
      <c r="BC721" s="1109"/>
      <c r="BD721" s="1109"/>
      <c r="BE721" s="1109"/>
      <c r="BF721" s="1109">
        <f t="shared" ref="BF721:BJ721" si="703">BF374*$AW71</f>
        <v>3.6213799999999998</v>
      </c>
      <c r="BG721" s="1109">
        <f t="shared" si="703"/>
        <v>6.2081166666666663</v>
      </c>
      <c r="BH721" s="1109">
        <f t="shared" si="703"/>
        <v>6.2081166666666663</v>
      </c>
      <c r="BI721" s="1109">
        <f t="shared" si="703"/>
        <v>2.5867366666666656</v>
      </c>
      <c r="BJ721" s="1109">
        <f t="shared" si="703"/>
        <v>0</v>
      </c>
    </row>
    <row r="722" spans="2:62" hidden="1" outlineLevel="1">
      <c r="B722" s="1094"/>
      <c r="C722" s="1071" t="str">
        <f t="shared" ref="C722:F722" si="704">C375</f>
        <v>S024 - AGILE HPE ARUBA DAP</v>
      </c>
      <c r="D722" s="1071" t="str">
        <f t="shared" si="704"/>
        <v>AGILE HPE ARUBA</v>
      </c>
      <c r="E722" s="1071" t="str">
        <f t="shared" si="704"/>
        <v>S0240009</v>
      </c>
      <c r="F722" s="1125">
        <f t="shared" si="704"/>
        <v>2020</v>
      </c>
      <c r="H722" s="1071" t="s">
        <v>29</v>
      </c>
      <c r="I722" s="1071" t="s">
        <v>79</v>
      </c>
      <c r="AZ722" s="1108"/>
      <c r="BA722" s="1109"/>
      <c r="BB722" s="1109"/>
      <c r="BC722" s="1109"/>
      <c r="BD722" s="1109"/>
      <c r="BE722" s="1109"/>
      <c r="BF722" s="1109">
        <f t="shared" ref="BF722:BJ722" si="705">BF375*$AW72</f>
        <v>3.3551175000000004</v>
      </c>
      <c r="BG722" s="1109">
        <f t="shared" si="705"/>
        <v>5.7516375000000002</v>
      </c>
      <c r="BH722" s="1109">
        <f t="shared" si="705"/>
        <v>5.7516375000000002</v>
      </c>
      <c r="BI722" s="1109">
        <f t="shared" si="705"/>
        <v>2.3965199999999998</v>
      </c>
      <c r="BJ722" s="1109">
        <f t="shared" si="705"/>
        <v>0</v>
      </c>
    </row>
    <row r="723" spans="2:62" hidden="1" outlineLevel="1">
      <c r="B723" s="1094"/>
      <c r="C723" s="1071" t="str">
        <f t="shared" ref="C723:F723" si="706">C376</f>
        <v>S024 - AGILE HPE ARUBA HQ</v>
      </c>
      <c r="D723" s="1071" t="str">
        <f t="shared" si="706"/>
        <v>AGILE HPE ARUBA</v>
      </c>
      <c r="E723" s="1071" t="str">
        <f t="shared" si="706"/>
        <v>S0240008</v>
      </c>
      <c r="F723" s="1125">
        <f t="shared" si="706"/>
        <v>2020</v>
      </c>
      <c r="H723" s="1071" t="s">
        <v>29</v>
      </c>
      <c r="I723" s="1071" t="s">
        <v>79</v>
      </c>
      <c r="AZ723" s="1108"/>
      <c r="BA723" s="1109"/>
      <c r="BB723" s="1109"/>
      <c r="BC723" s="1109"/>
      <c r="BD723" s="1109"/>
      <c r="BE723" s="1109"/>
      <c r="BF723" s="1109">
        <f t="shared" ref="BF723:BJ723" si="707">BF376*$AW73</f>
        <v>2.9979858999999998</v>
      </c>
      <c r="BG723" s="1109">
        <f t="shared" si="707"/>
        <v>5.1394238666666663</v>
      </c>
      <c r="BH723" s="1109">
        <f t="shared" si="707"/>
        <v>5.1394238666666663</v>
      </c>
      <c r="BI723" s="1109">
        <f t="shared" si="707"/>
        <v>2.1414379666666656</v>
      </c>
      <c r="BJ723" s="1109">
        <f t="shared" si="707"/>
        <v>0</v>
      </c>
    </row>
    <row r="724" spans="2:62" hidden="1" outlineLevel="1">
      <c r="B724" s="1094"/>
      <c r="C724" s="1071" t="str">
        <f t="shared" ref="C724:F724" si="708">C377</f>
        <v>S024 - AGILE HPE ARUBA SHN</v>
      </c>
      <c r="D724" s="1071" t="str">
        <f t="shared" si="708"/>
        <v>AGILE HPE ARUBA</v>
      </c>
      <c r="E724" s="1071" t="str">
        <f t="shared" si="708"/>
        <v>S0240006</v>
      </c>
      <c r="F724" s="1125">
        <f t="shared" si="708"/>
        <v>2020</v>
      </c>
      <c r="H724" s="1071" t="s">
        <v>29</v>
      </c>
      <c r="I724" s="1071" t="s">
        <v>79</v>
      </c>
      <c r="AZ724" s="1108"/>
      <c r="BA724" s="1109"/>
      <c r="BB724" s="1109"/>
      <c r="BC724" s="1109"/>
      <c r="BD724" s="1109"/>
      <c r="BE724" s="1109"/>
      <c r="BF724" s="1109">
        <f t="shared" ref="BF724:BJ724" si="709">BF377*$AW74</f>
        <v>0.58579499999999984</v>
      </c>
      <c r="BG724" s="1109">
        <f t="shared" si="709"/>
        <v>1.0042550000000001</v>
      </c>
      <c r="BH724" s="1109">
        <f t="shared" si="709"/>
        <v>1.0042550000000001</v>
      </c>
      <c r="BI724" s="1109">
        <f t="shared" si="709"/>
        <v>0.41845999999999994</v>
      </c>
      <c r="BJ724" s="1109">
        <f t="shared" si="709"/>
        <v>0</v>
      </c>
    </row>
    <row r="725" spans="2:62" hidden="1" outlineLevel="1">
      <c r="B725" s="1094"/>
      <c r="C725" s="1071" t="str">
        <f t="shared" ref="C725:F725" si="710">C378</f>
        <v>S024 - AGILE HPE ARUBA Cork</v>
      </c>
      <c r="D725" s="1071" t="str">
        <f t="shared" si="710"/>
        <v>AGILE HPE ARUBA</v>
      </c>
      <c r="E725" s="1071" t="str">
        <f t="shared" si="710"/>
        <v>S0240010</v>
      </c>
      <c r="F725" s="1125">
        <f t="shared" si="710"/>
        <v>2020</v>
      </c>
      <c r="H725" s="1071" t="s">
        <v>29</v>
      </c>
      <c r="I725" s="1071" t="s">
        <v>79</v>
      </c>
      <c r="AZ725" s="1108"/>
      <c r="BA725" s="1109"/>
      <c r="BB725" s="1109"/>
      <c r="BC725" s="1109"/>
      <c r="BD725" s="1109"/>
      <c r="BE725" s="1109"/>
      <c r="BF725" s="1109">
        <f t="shared" ref="BF725:BJ725" si="711">BF378*$AW75</f>
        <v>0.39052999999999988</v>
      </c>
      <c r="BG725" s="1109">
        <f t="shared" si="711"/>
        <v>0.66950333333333334</v>
      </c>
      <c r="BH725" s="1109">
        <f t="shared" si="711"/>
        <v>0.66950333333333334</v>
      </c>
      <c r="BI725" s="1109">
        <f t="shared" si="711"/>
        <v>0.2789733333333333</v>
      </c>
      <c r="BJ725" s="1109">
        <f t="shared" si="711"/>
        <v>0</v>
      </c>
    </row>
    <row r="726" spans="2:62" hidden="1" outlineLevel="1">
      <c r="B726" s="1094"/>
      <c r="C726" s="1071" t="str">
        <f t="shared" ref="C726:F726" si="712">C379</f>
        <v>N008 - RAPS-SMD SENSOR MONITOR &amp; Analysis</v>
      </c>
      <c r="D726" s="1071" t="str">
        <f t="shared" si="712"/>
        <v>RAPS-SMD SENSOR MONITOR &amp; Analysis</v>
      </c>
      <c r="E726" s="1071" t="str">
        <f t="shared" si="712"/>
        <v>N0080007</v>
      </c>
      <c r="F726" s="1125">
        <f t="shared" si="712"/>
        <v>2020</v>
      </c>
      <c r="H726" s="1071" t="s">
        <v>29</v>
      </c>
      <c r="I726" s="1071" t="s">
        <v>79</v>
      </c>
      <c r="AZ726" s="1108"/>
      <c r="BA726" s="1109"/>
      <c r="BB726" s="1109"/>
      <c r="BC726" s="1109"/>
      <c r="BD726" s="1109"/>
      <c r="BE726" s="1109"/>
      <c r="BF726" s="1109">
        <f t="shared" ref="BF726:BJ726" si="713">BF379*$AW76</f>
        <v>6.4000199999999996</v>
      </c>
      <c r="BG726" s="1109">
        <f t="shared" si="713"/>
        <v>9.6000000000000014</v>
      </c>
      <c r="BH726" s="1109">
        <f t="shared" si="713"/>
        <v>9.6000000000000014</v>
      </c>
      <c r="BI726" s="1109">
        <f t="shared" si="713"/>
        <v>9.6000000000000014</v>
      </c>
      <c r="BJ726" s="1109">
        <f t="shared" si="713"/>
        <v>9.6000000000000014</v>
      </c>
    </row>
    <row r="727" spans="2:62" hidden="1" outlineLevel="1">
      <c r="B727" s="1094"/>
      <c r="C727" s="1071" t="str">
        <f t="shared" ref="C727:F727" si="714">C380</f>
        <v>T017 - OPTIPLEX5060 W20007783</v>
      </c>
      <c r="D727" s="1071" t="str">
        <f t="shared" si="714"/>
        <v>IT Equipment</v>
      </c>
      <c r="E727" s="1071" t="str">
        <f t="shared" si="714"/>
        <v>T0170203</v>
      </c>
      <c r="F727" s="1125">
        <f t="shared" si="714"/>
        <v>2020</v>
      </c>
      <c r="H727" s="1071" t="s">
        <v>29</v>
      </c>
      <c r="I727" s="1071" t="s">
        <v>79</v>
      </c>
      <c r="AZ727" s="1108"/>
      <c r="BA727" s="1109"/>
      <c r="BB727" s="1109"/>
      <c r="BC727" s="1109"/>
      <c r="BD727" s="1109"/>
      <c r="BE727" s="1109"/>
      <c r="BF727" s="1109">
        <f t="shared" ref="BF727:BJ727" si="715">BF380*$AW77</f>
        <v>8.7517499999999998E-2</v>
      </c>
      <c r="BG727" s="1109">
        <f t="shared" si="715"/>
        <v>0.15</v>
      </c>
      <c r="BH727" s="1109">
        <f t="shared" si="715"/>
        <v>0.15</v>
      </c>
      <c r="BI727" s="1109">
        <f t="shared" si="715"/>
        <v>6.2482499999999996E-2</v>
      </c>
      <c r="BJ727" s="1109">
        <f t="shared" si="715"/>
        <v>0</v>
      </c>
    </row>
    <row r="728" spans="2:62" hidden="1" outlineLevel="1">
      <c r="B728" s="1094"/>
      <c r="C728" s="1071" t="str">
        <f t="shared" ref="C728:F728" si="716">C381</f>
        <v>T017 - OPTIPLEX5060 W20007913</v>
      </c>
      <c r="D728" s="1071" t="str">
        <f t="shared" si="716"/>
        <v>IT Equipment</v>
      </c>
      <c r="E728" s="1071" t="str">
        <f t="shared" si="716"/>
        <v>T0170211</v>
      </c>
      <c r="F728" s="1125">
        <f t="shared" si="716"/>
        <v>2020</v>
      </c>
      <c r="H728" s="1071" t="s">
        <v>29</v>
      </c>
      <c r="I728" s="1071" t="s">
        <v>79</v>
      </c>
      <c r="AZ728" s="1108"/>
      <c r="BA728" s="1109"/>
      <c r="BB728" s="1109"/>
      <c r="BC728" s="1109"/>
      <c r="BD728" s="1109"/>
      <c r="BE728" s="1109"/>
      <c r="BF728" s="1109">
        <f t="shared" ref="BF728:BJ728" si="717">BF381*$AW78</f>
        <v>8.7517499999999998E-2</v>
      </c>
      <c r="BG728" s="1109">
        <f t="shared" si="717"/>
        <v>0.15</v>
      </c>
      <c r="BH728" s="1109">
        <f t="shared" si="717"/>
        <v>0.15</v>
      </c>
      <c r="BI728" s="1109">
        <f t="shared" si="717"/>
        <v>6.2482499999999996E-2</v>
      </c>
      <c r="BJ728" s="1109">
        <f t="shared" si="717"/>
        <v>0</v>
      </c>
    </row>
    <row r="729" spans="2:62" hidden="1" outlineLevel="1">
      <c r="B729" s="1094"/>
      <c r="C729" s="1071" t="str">
        <f t="shared" ref="C729:F729" si="718">C382</f>
        <v>T017 - TOSHIBA X20 W20008068</v>
      </c>
      <c r="D729" s="1071" t="str">
        <f t="shared" si="718"/>
        <v>IT Equipment</v>
      </c>
      <c r="E729" s="1071" t="str">
        <f t="shared" si="718"/>
        <v>T0170213</v>
      </c>
      <c r="F729" s="1125">
        <f t="shared" si="718"/>
        <v>2020</v>
      </c>
      <c r="H729" s="1071" t="s">
        <v>29</v>
      </c>
      <c r="I729" s="1071" t="s">
        <v>79</v>
      </c>
      <c r="AZ729" s="1108"/>
      <c r="BA729" s="1109"/>
      <c r="BB729" s="1109"/>
      <c r="BC729" s="1109"/>
      <c r="BD729" s="1109"/>
      <c r="BE729" s="1109"/>
      <c r="BF729" s="1109">
        <f t="shared" ref="BF729:BJ729" si="719">BF382*$AW79</f>
        <v>0.131355</v>
      </c>
      <c r="BG729" s="1109">
        <f t="shared" si="719"/>
        <v>0.21906729729729729</v>
      </c>
      <c r="BH729" s="1109">
        <f t="shared" si="719"/>
        <v>0.21906729729729729</v>
      </c>
      <c r="BI729" s="1109">
        <f t="shared" si="719"/>
        <v>0.1059679054054054</v>
      </c>
      <c r="BJ729" s="1109">
        <f t="shared" si="719"/>
        <v>0</v>
      </c>
    </row>
    <row r="730" spans="2:62" hidden="1" outlineLevel="1">
      <c r="B730" s="1094"/>
      <c r="C730" s="1071" t="str">
        <f t="shared" ref="C730:F730" si="720">C383</f>
        <v>T017 - TOSHIBA X20 W20008012</v>
      </c>
      <c r="D730" s="1071" t="str">
        <f t="shared" si="720"/>
        <v>IT Equipment</v>
      </c>
      <c r="E730" s="1071" t="str">
        <f t="shared" si="720"/>
        <v>T0170235</v>
      </c>
      <c r="F730" s="1125">
        <f t="shared" si="720"/>
        <v>2020</v>
      </c>
      <c r="H730" s="1071" t="s">
        <v>29</v>
      </c>
      <c r="I730" s="1071" t="s">
        <v>79</v>
      </c>
      <c r="AZ730" s="1108"/>
      <c r="BA730" s="1109"/>
      <c r="BB730" s="1109"/>
      <c r="BC730" s="1109"/>
      <c r="BD730" s="1109"/>
      <c r="BE730" s="1109"/>
      <c r="BF730" s="1109">
        <f t="shared" ref="BF730:BJ730" si="721">BF383*$AW80</f>
        <v>0.21968250000000006</v>
      </c>
      <c r="BG730" s="1109">
        <f t="shared" si="721"/>
        <v>0.37660250000000001</v>
      </c>
      <c r="BH730" s="1109">
        <f t="shared" si="721"/>
        <v>0.37660250000000001</v>
      </c>
      <c r="BI730" s="1109">
        <f t="shared" si="721"/>
        <v>0.15692000000000006</v>
      </c>
      <c r="BJ730" s="1109">
        <f t="shared" si="721"/>
        <v>0</v>
      </c>
    </row>
    <row r="731" spans="2:62" hidden="1" outlineLevel="1">
      <c r="B731" s="1094"/>
      <c r="C731" s="1071" t="str">
        <f t="shared" ref="C731:F731" si="722">C384</f>
        <v>T017 - HP G7 CORE W20008095</v>
      </c>
      <c r="D731" s="1071" t="str">
        <f t="shared" si="722"/>
        <v>IT Equipment</v>
      </c>
      <c r="E731" s="1071" t="str">
        <f t="shared" si="722"/>
        <v>T0170249</v>
      </c>
      <c r="F731" s="1125">
        <f t="shared" si="722"/>
        <v>2020</v>
      </c>
      <c r="H731" s="1071" t="s">
        <v>29</v>
      </c>
      <c r="I731" s="1071" t="s">
        <v>79</v>
      </c>
      <c r="AZ731" s="1108"/>
      <c r="BA731" s="1109"/>
      <c r="BB731" s="1109"/>
      <c r="BC731" s="1109"/>
      <c r="BD731" s="1109"/>
      <c r="BE731" s="1109"/>
      <c r="BF731" s="1109">
        <f t="shared" ref="BF731:BJ731" si="723">BF384*$AW81</f>
        <v>0.10136999999999999</v>
      </c>
      <c r="BG731" s="1109">
        <f t="shared" si="723"/>
        <v>0.17374999999999999</v>
      </c>
      <c r="BH731" s="1109">
        <f t="shared" si="723"/>
        <v>0.17374999999999999</v>
      </c>
      <c r="BI731" s="1109">
        <f t="shared" si="723"/>
        <v>7.2380000000000014E-2</v>
      </c>
      <c r="BJ731" s="1109">
        <f t="shared" si="723"/>
        <v>0</v>
      </c>
    </row>
    <row r="732" spans="2:62" hidden="1" outlineLevel="1">
      <c r="B732" s="1094"/>
      <c r="C732" s="1071" t="str">
        <f t="shared" ref="C732:F732" si="724">C385</f>
        <v>T017 - TOSHIBA W20008013</v>
      </c>
      <c r="D732" s="1071" t="str">
        <f t="shared" si="724"/>
        <v>IT Equipment</v>
      </c>
      <c r="E732" s="1071" t="str">
        <f t="shared" si="724"/>
        <v>T0170258</v>
      </c>
      <c r="F732" s="1125">
        <f t="shared" si="724"/>
        <v>2020</v>
      </c>
      <c r="H732" s="1071" t="s">
        <v>29</v>
      </c>
      <c r="I732" s="1071" t="s">
        <v>79</v>
      </c>
      <c r="AZ732" s="1108"/>
      <c r="BA732" s="1109"/>
      <c r="BB732" s="1109"/>
      <c r="BC732" s="1109"/>
      <c r="BD732" s="1109"/>
      <c r="BE732" s="1109"/>
      <c r="BF732" s="1109">
        <f t="shared" ref="BF732:BJ732" si="725">BF385*$AW82</f>
        <v>0.30598500000000001</v>
      </c>
      <c r="BG732" s="1109">
        <f t="shared" si="725"/>
        <v>0.37660250000000001</v>
      </c>
      <c r="BH732" s="1109">
        <f t="shared" si="725"/>
        <v>0.37660250000000001</v>
      </c>
      <c r="BI732" s="1109">
        <f t="shared" si="725"/>
        <v>7.0617500000000111E-2</v>
      </c>
      <c r="BJ732" s="1109">
        <f t="shared" si="725"/>
        <v>0</v>
      </c>
    </row>
    <row r="733" spans="2:62" hidden="1" outlineLevel="1">
      <c r="B733" s="1094"/>
      <c r="C733" s="1071" t="str">
        <f t="shared" ref="C733:F733" si="726">C386</f>
        <v>T017 - TOSHIBA W20008083</v>
      </c>
      <c r="D733" s="1071" t="str">
        <f t="shared" si="726"/>
        <v>IT Equipment</v>
      </c>
      <c r="E733" s="1071" t="str">
        <f t="shared" si="726"/>
        <v>T0170260</v>
      </c>
      <c r="F733" s="1125">
        <f t="shared" si="726"/>
        <v>2020</v>
      </c>
      <c r="H733" s="1071" t="s">
        <v>29</v>
      </c>
      <c r="I733" s="1071" t="s">
        <v>79</v>
      </c>
      <c r="AZ733" s="1108"/>
      <c r="BA733" s="1109"/>
      <c r="BB733" s="1109"/>
      <c r="BC733" s="1109"/>
      <c r="BD733" s="1109"/>
      <c r="BE733" s="1109"/>
      <c r="BF733" s="1109">
        <f t="shared" ref="BF733:BJ733" si="727">BF386*$AW83</f>
        <v>0.18764999999999998</v>
      </c>
      <c r="BG733" s="1109">
        <f t="shared" si="727"/>
        <v>0.21906729729729729</v>
      </c>
      <c r="BH733" s="1109">
        <f t="shared" si="727"/>
        <v>0.21906729729729729</v>
      </c>
      <c r="BI733" s="1109">
        <f t="shared" si="727"/>
        <v>4.9672905405405358E-2</v>
      </c>
      <c r="BJ733" s="1109">
        <f t="shared" si="727"/>
        <v>0</v>
      </c>
    </row>
    <row r="734" spans="2:62" hidden="1" outlineLevel="1">
      <c r="B734" s="1094"/>
      <c r="C734" s="1071" t="str">
        <f t="shared" ref="C734:F734" si="728">C387</f>
        <v>T017 - TOSHIBA W20008068</v>
      </c>
      <c r="D734" s="1071" t="str">
        <f t="shared" si="728"/>
        <v>IT Equipment</v>
      </c>
      <c r="E734" s="1071" t="str">
        <f t="shared" si="728"/>
        <v>T0170261</v>
      </c>
      <c r="F734" s="1125">
        <f t="shared" si="728"/>
        <v>2020</v>
      </c>
      <c r="H734" s="1071" t="s">
        <v>29</v>
      </c>
      <c r="I734" s="1071" t="s">
        <v>79</v>
      </c>
      <c r="AZ734" s="1108"/>
      <c r="BA734" s="1109"/>
      <c r="BB734" s="1109"/>
      <c r="BC734" s="1109"/>
      <c r="BD734" s="1109"/>
      <c r="BE734" s="1109"/>
      <c r="BF734" s="1109">
        <f t="shared" ref="BF734:BJ734" si="729">BF387*$AW84</f>
        <v>8.8357500000000019E-2</v>
      </c>
      <c r="BG734" s="1109">
        <f t="shared" si="729"/>
        <v>0.15145000000000003</v>
      </c>
      <c r="BH734" s="1109">
        <f t="shared" si="729"/>
        <v>0.15145000000000003</v>
      </c>
      <c r="BI734" s="1109">
        <f t="shared" si="729"/>
        <v>6.3092499999999968E-2</v>
      </c>
      <c r="BJ734" s="1109">
        <f t="shared" si="729"/>
        <v>0</v>
      </c>
    </row>
    <row r="735" spans="2:62" hidden="1" outlineLevel="1">
      <c r="B735" s="1094"/>
      <c r="C735" s="1071" t="str">
        <f t="shared" ref="C735:F735" si="730">C388</f>
        <v>T017 - TOSHIBA W20008069</v>
      </c>
      <c r="D735" s="1071" t="str">
        <f t="shared" si="730"/>
        <v>IT Equipment</v>
      </c>
      <c r="E735" s="1071" t="str">
        <f t="shared" si="730"/>
        <v>T0170262</v>
      </c>
      <c r="F735" s="1125">
        <f t="shared" si="730"/>
        <v>2020</v>
      </c>
      <c r="H735" s="1071" t="s">
        <v>29</v>
      </c>
      <c r="I735" s="1071" t="s">
        <v>79</v>
      </c>
      <c r="AZ735" s="1108"/>
      <c r="BA735" s="1109"/>
      <c r="BB735" s="1109"/>
      <c r="BC735" s="1109"/>
      <c r="BD735" s="1109"/>
      <c r="BE735" s="1109"/>
      <c r="BF735" s="1109">
        <f t="shared" ref="BF735:BJ735" si="731">BF388*$AW85</f>
        <v>8.8357500000000019E-2</v>
      </c>
      <c r="BG735" s="1109">
        <f t="shared" si="731"/>
        <v>0.15145000000000003</v>
      </c>
      <c r="BH735" s="1109">
        <f t="shared" si="731"/>
        <v>0.15145000000000003</v>
      </c>
      <c r="BI735" s="1109">
        <f t="shared" si="731"/>
        <v>6.3092499999999968E-2</v>
      </c>
      <c r="BJ735" s="1109">
        <f t="shared" si="731"/>
        <v>0</v>
      </c>
    </row>
    <row r="736" spans="2:62" hidden="1" outlineLevel="1">
      <c r="B736" s="1094"/>
      <c r="C736" s="1071" t="str">
        <f t="shared" ref="C736:F736" si="732">C389</f>
        <v>T017 - TOSHIBA W20008081</v>
      </c>
      <c r="D736" s="1071" t="str">
        <f t="shared" si="732"/>
        <v>IT Equipment</v>
      </c>
      <c r="E736" s="1071" t="str">
        <f t="shared" si="732"/>
        <v>T0170273</v>
      </c>
      <c r="F736" s="1125">
        <f t="shared" si="732"/>
        <v>2020</v>
      </c>
      <c r="H736" s="1071" t="s">
        <v>29</v>
      </c>
      <c r="I736" s="1071" t="s">
        <v>79</v>
      </c>
      <c r="AZ736" s="1108"/>
      <c r="BA736" s="1109"/>
      <c r="BB736" s="1109"/>
      <c r="BC736" s="1109"/>
      <c r="BD736" s="1109"/>
      <c r="BE736" s="1109"/>
      <c r="BF736" s="1109">
        <f t="shared" ref="BF736:BJ736" si="733">BF389*$AW86</f>
        <v>8.8357500000000019E-2</v>
      </c>
      <c r="BG736" s="1109">
        <f t="shared" si="733"/>
        <v>0.15145000000000003</v>
      </c>
      <c r="BH736" s="1109">
        <f t="shared" si="733"/>
        <v>0.15145000000000003</v>
      </c>
      <c r="BI736" s="1109">
        <f t="shared" si="733"/>
        <v>6.3092499999999968E-2</v>
      </c>
      <c r="BJ736" s="1109">
        <f t="shared" si="733"/>
        <v>0</v>
      </c>
    </row>
    <row r="737" spans="2:62" hidden="1" outlineLevel="1">
      <c r="B737" s="1094"/>
      <c r="C737" s="1071" t="str">
        <f t="shared" ref="C737:F737" si="734">C390</f>
        <v>T017 - TOSHIBA W20008077</v>
      </c>
      <c r="D737" s="1071" t="str">
        <f t="shared" si="734"/>
        <v>IT Equipment</v>
      </c>
      <c r="E737" s="1071" t="str">
        <f t="shared" si="734"/>
        <v>T0170291</v>
      </c>
      <c r="F737" s="1125">
        <f t="shared" si="734"/>
        <v>2020</v>
      </c>
      <c r="H737" s="1071" t="s">
        <v>29</v>
      </c>
      <c r="I737" s="1071" t="s">
        <v>79</v>
      </c>
      <c r="AZ737" s="1108"/>
      <c r="BA737" s="1109"/>
      <c r="BB737" s="1109"/>
      <c r="BC737" s="1109"/>
      <c r="BD737" s="1109"/>
      <c r="BE737" s="1109"/>
      <c r="BF737" s="1109">
        <f t="shared" ref="BF737:BJ737" si="735">BF390*$AW87</f>
        <v>0.18764999999999998</v>
      </c>
      <c r="BG737" s="1109">
        <f t="shared" si="735"/>
        <v>0.21906729729729729</v>
      </c>
      <c r="BH737" s="1109">
        <f t="shared" si="735"/>
        <v>0.21906729729729729</v>
      </c>
      <c r="BI737" s="1109">
        <f t="shared" si="735"/>
        <v>4.9672905405405358E-2</v>
      </c>
      <c r="BJ737" s="1109">
        <f t="shared" si="735"/>
        <v>0</v>
      </c>
    </row>
    <row r="738" spans="2:62" hidden="1" outlineLevel="1">
      <c r="B738" s="1094"/>
      <c r="C738" s="1071" t="str">
        <f t="shared" ref="C738:F738" si="736">C391</f>
        <v>T017 - W20008077</v>
      </c>
      <c r="D738" s="1071" t="str">
        <f t="shared" si="736"/>
        <v>IT Equipment</v>
      </c>
      <c r="E738" s="1071" t="str">
        <f t="shared" si="736"/>
        <v>T0170292</v>
      </c>
      <c r="F738" s="1125">
        <f t="shared" si="736"/>
        <v>2020</v>
      </c>
      <c r="H738" s="1071" t="s">
        <v>29</v>
      </c>
      <c r="I738" s="1071" t="s">
        <v>79</v>
      </c>
      <c r="AZ738" s="1108"/>
      <c r="BA738" s="1109"/>
      <c r="BB738" s="1109"/>
      <c r="BC738" s="1109"/>
      <c r="BD738" s="1109"/>
      <c r="BE738" s="1109"/>
      <c r="BF738" s="1109">
        <f t="shared" ref="BF738:BJ738" si="737">BF391*$AW88</f>
        <v>8.8357500000000019E-2</v>
      </c>
      <c r="BG738" s="1109">
        <f t="shared" si="737"/>
        <v>0.15145000000000003</v>
      </c>
      <c r="BH738" s="1109">
        <f t="shared" si="737"/>
        <v>0.15145000000000003</v>
      </c>
      <c r="BI738" s="1109">
        <f t="shared" si="737"/>
        <v>6.3092499999999968E-2</v>
      </c>
      <c r="BJ738" s="1109">
        <f t="shared" si="737"/>
        <v>0</v>
      </c>
    </row>
    <row r="739" spans="2:62" hidden="1" outlineLevel="1">
      <c r="B739" s="1094"/>
      <c r="C739" s="1071" t="str">
        <f t="shared" ref="C739:F739" si="738">C392</f>
        <v>T017 - TOSHIBA W20008083</v>
      </c>
      <c r="D739" s="1071" t="str">
        <f t="shared" si="738"/>
        <v>IT Equipment</v>
      </c>
      <c r="E739" s="1071" t="str">
        <f t="shared" si="738"/>
        <v>T0170294</v>
      </c>
      <c r="F739" s="1125">
        <f t="shared" si="738"/>
        <v>2020</v>
      </c>
      <c r="H739" s="1071" t="s">
        <v>29</v>
      </c>
      <c r="I739" s="1071" t="s">
        <v>79</v>
      </c>
      <c r="AZ739" s="1108"/>
      <c r="BA739" s="1109"/>
      <c r="BB739" s="1109"/>
      <c r="BC739" s="1109"/>
      <c r="BD739" s="1109"/>
      <c r="BE739" s="1109"/>
      <c r="BF739" s="1109">
        <f t="shared" ref="BF739:BJ739" si="739">BF392*$AW89</f>
        <v>8.8357500000000019E-2</v>
      </c>
      <c r="BG739" s="1109">
        <f t="shared" si="739"/>
        <v>0.15145000000000003</v>
      </c>
      <c r="BH739" s="1109">
        <f t="shared" si="739"/>
        <v>0.15145000000000003</v>
      </c>
      <c r="BI739" s="1109">
        <f t="shared" si="739"/>
        <v>6.3092499999999968E-2</v>
      </c>
      <c r="BJ739" s="1109">
        <f t="shared" si="739"/>
        <v>0</v>
      </c>
    </row>
    <row r="740" spans="2:62" hidden="1" outlineLevel="1">
      <c r="B740" s="1094"/>
      <c r="C740" s="1071" t="str">
        <f t="shared" ref="C740:F740" si="740">C393</f>
        <v>T017 - OPTIPLEX5060 W20007867</v>
      </c>
      <c r="D740" s="1071" t="str">
        <f t="shared" si="740"/>
        <v>IT Equipment</v>
      </c>
      <c r="E740" s="1071" t="str">
        <f t="shared" si="740"/>
        <v>T0170205</v>
      </c>
      <c r="F740" s="1125">
        <f t="shared" si="740"/>
        <v>2020</v>
      </c>
      <c r="H740" s="1071" t="s">
        <v>29</v>
      </c>
      <c r="I740" s="1071" t="s">
        <v>79</v>
      </c>
      <c r="AZ740" s="1108"/>
      <c r="BA740" s="1109"/>
      <c r="BB740" s="1109"/>
      <c r="BC740" s="1109"/>
      <c r="BD740" s="1109"/>
      <c r="BE740" s="1109"/>
      <c r="BF740" s="1109">
        <f t="shared" ref="BF740:BJ740" si="741">BF393*$AW90</f>
        <v>8.5183699999999987E-2</v>
      </c>
      <c r="BG740" s="1109">
        <f t="shared" si="741"/>
        <v>0.14599999999999999</v>
      </c>
      <c r="BH740" s="1109">
        <f t="shared" si="741"/>
        <v>0.14599999999999999</v>
      </c>
      <c r="BI740" s="1109">
        <f t="shared" si="741"/>
        <v>6.0816299999999997E-2</v>
      </c>
      <c r="BJ740" s="1109">
        <f t="shared" si="741"/>
        <v>0</v>
      </c>
    </row>
    <row r="741" spans="2:62" hidden="1" outlineLevel="1">
      <c r="B741" s="1094"/>
      <c r="C741" s="1071" t="str">
        <f t="shared" ref="C741:F741" si="742">C394</f>
        <v>T017 - OPTIPLEX5060 W20007900</v>
      </c>
      <c r="D741" s="1071" t="str">
        <f t="shared" si="742"/>
        <v>IT Equipment</v>
      </c>
      <c r="E741" s="1071" t="str">
        <f t="shared" si="742"/>
        <v>T0170206</v>
      </c>
      <c r="F741" s="1125">
        <f t="shared" si="742"/>
        <v>2020</v>
      </c>
      <c r="H741" s="1071" t="s">
        <v>29</v>
      </c>
      <c r="I741" s="1071" t="s">
        <v>79</v>
      </c>
      <c r="AZ741" s="1108"/>
      <c r="BA741" s="1109"/>
      <c r="BB741" s="1109"/>
      <c r="BC741" s="1109"/>
      <c r="BD741" s="1109"/>
      <c r="BE741" s="1109"/>
      <c r="BF741" s="1109">
        <f t="shared" ref="BF741:BJ741" si="743">BF394*$AW91</f>
        <v>8.5183699999999987E-2</v>
      </c>
      <c r="BG741" s="1109">
        <f t="shared" si="743"/>
        <v>0.14599999999999999</v>
      </c>
      <c r="BH741" s="1109">
        <f t="shared" si="743"/>
        <v>0.14599999999999999</v>
      </c>
      <c r="BI741" s="1109">
        <f t="shared" si="743"/>
        <v>6.0816299999999997E-2</v>
      </c>
      <c r="BJ741" s="1109">
        <f t="shared" si="743"/>
        <v>0</v>
      </c>
    </row>
    <row r="742" spans="2:62" hidden="1" outlineLevel="1">
      <c r="B742" s="1094"/>
      <c r="C742" s="1071" t="str">
        <f t="shared" ref="C742:F742" si="744">C395</f>
        <v>T017 - OPTIPLEX5060 W20007906</v>
      </c>
      <c r="D742" s="1071" t="str">
        <f t="shared" si="744"/>
        <v>IT Equipment</v>
      </c>
      <c r="E742" s="1071" t="str">
        <f t="shared" si="744"/>
        <v>T0170209</v>
      </c>
      <c r="F742" s="1125">
        <f t="shared" si="744"/>
        <v>2020</v>
      </c>
      <c r="H742" s="1071" t="s">
        <v>29</v>
      </c>
      <c r="I742" s="1071" t="s">
        <v>79</v>
      </c>
      <c r="AZ742" s="1108"/>
      <c r="BA742" s="1109"/>
      <c r="BB742" s="1109"/>
      <c r="BC742" s="1109"/>
      <c r="BD742" s="1109"/>
      <c r="BE742" s="1109"/>
      <c r="BF742" s="1109">
        <f t="shared" ref="BF742:BJ742" si="745">BF395*$AW92</f>
        <v>8.5183699999999987E-2</v>
      </c>
      <c r="BG742" s="1109">
        <f t="shared" si="745"/>
        <v>0.14599999999999999</v>
      </c>
      <c r="BH742" s="1109">
        <f t="shared" si="745"/>
        <v>0.14599999999999999</v>
      </c>
      <c r="BI742" s="1109">
        <f t="shared" si="745"/>
        <v>6.0816299999999997E-2</v>
      </c>
      <c r="BJ742" s="1109">
        <f t="shared" si="745"/>
        <v>0</v>
      </c>
    </row>
    <row r="743" spans="2:62" hidden="1" outlineLevel="1">
      <c r="B743" s="1094"/>
      <c r="C743" s="1071" t="str">
        <f t="shared" ref="C743:F743" si="746">C396</f>
        <v>T017 - TOSHIBA X20 W20008070</v>
      </c>
      <c r="D743" s="1071" t="str">
        <f t="shared" si="746"/>
        <v>IT Equipment</v>
      </c>
      <c r="E743" s="1071" t="str">
        <f t="shared" si="746"/>
        <v>T0170215</v>
      </c>
      <c r="F743" s="1125">
        <f t="shared" si="746"/>
        <v>2020</v>
      </c>
      <c r="H743" s="1071" t="s">
        <v>29</v>
      </c>
      <c r="I743" s="1071" t="s">
        <v>79</v>
      </c>
      <c r="AZ743" s="1108"/>
      <c r="BA743" s="1109"/>
      <c r="BB743" s="1109"/>
      <c r="BC743" s="1109"/>
      <c r="BD743" s="1109"/>
      <c r="BE743" s="1109"/>
      <c r="BF743" s="1109">
        <f t="shared" ref="BF743:BJ743" si="747">BF396*$AW93</f>
        <v>0.1278522</v>
      </c>
      <c r="BG743" s="1109">
        <f t="shared" si="747"/>
        <v>0.21322550270270271</v>
      </c>
      <c r="BH743" s="1109">
        <f t="shared" si="747"/>
        <v>0.21322550270270271</v>
      </c>
      <c r="BI743" s="1109">
        <f t="shared" si="747"/>
        <v>0.1031420945945946</v>
      </c>
      <c r="BJ743" s="1109">
        <f t="shared" si="747"/>
        <v>0</v>
      </c>
    </row>
    <row r="744" spans="2:62" hidden="1" outlineLevel="1">
      <c r="B744" s="1094"/>
      <c r="C744" s="1071" t="str">
        <f t="shared" ref="C744:F744" si="748">C397</f>
        <v>T017 - TOSHIBA X20 W20008085</v>
      </c>
      <c r="D744" s="1071" t="str">
        <f t="shared" si="748"/>
        <v>IT Equipment</v>
      </c>
      <c r="E744" s="1071" t="str">
        <f t="shared" si="748"/>
        <v>T0170226</v>
      </c>
      <c r="F744" s="1125">
        <f t="shared" si="748"/>
        <v>2020</v>
      </c>
      <c r="H744" s="1071" t="s">
        <v>29</v>
      </c>
      <c r="I744" s="1071" t="s">
        <v>79</v>
      </c>
      <c r="AZ744" s="1108"/>
      <c r="BA744" s="1109"/>
      <c r="BB744" s="1109"/>
      <c r="BC744" s="1109"/>
      <c r="BD744" s="1109"/>
      <c r="BE744" s="1109"/>
      <c r="BF744" s="1109">
        <f t="shared" ref="BF744:BJ744" si="749">BF397*$AW94</f>
        <v>0.1278522</v>
      </c>
      <c r="BG744" s="1109">
        <f t="shared" si="749"/>
        <v>0.21322550270270271</v>
      </c>
      <c r="BH744" s="1109">
        <f t="shared" si="749"/>
        <v>0.21322550270270271</v>
      </c>
      <c r="BI744" s="1109">
        <f t="shared" si="749"/>
        <v>0.1031420945945946</v>
      </c>
      <c r="BJ744" s="1109">
        <f t="shared" si="749"/>
        <v>0</v>
      </c>
    </row>
    <row r="745" spans="2:62" hidden="1" outlineLevel="1">
      <c r="B745" s="1094"/>
      <c r="C745" s="1071" t="str">
        <f t="shared" ref="C745:F745" si="750">C398</f>
        <v>T017 - TOSHIBA X20 W20008008</v>
      </c>
      <c r="D745" s="1071" t="str">
        <f t="shared" si="750"/>
        <v>IT Equipment</v>
      </c>
      <c r="E745" s="1071" t="str">
        <f t="shared" si="750"/>
        <v>T0170231</v>
      </c>
      <c r="F745" s="1125">
        <f t="shared" si="750"/>
        <v>2020</v>
      </c>
      <c r="H745" s="1071" t="s">
        <v>29</v>
      </c>
      <c r="I745" s="1071" t="s">
        <v>79</v>
      </c>
      <c r="AZ745" s="1108"/>
      <c r="BA745" s="1109"/>
      <c r="BB745" s="1109"/>
      <c r="BC745" s="1109"/>
      <c r="BD745" s="1109"/>
      <c r="BE745" s="1109"/>
      <c r="BF745" s="1109">
        <f t="shared" ref="BF745:BJ745" si="751">BF398*$AW95</f>
        <v>0.21382430000000005</v>
      </c>
      <c r="BG745" s="1109">
        <f t="shared" si="751"/>
        <v>0.36655976666666668</v>
      </c>
      <c r="BH745" s="1109">
        <f t="shared" si="751"/>
        <v>0.36655976666666668</v>
      </c>
      <c r="BI745" s="1109">
        <f t="shared" si="751"/>
        <v>0.15273546666666671</v>
      </c>
      <c r="BJ745" s="1109">
        <f t="shared" si="751"/>
        <v>0</v>
      </c>
    </row>
    <row r="746" spans="2:62" hidden="1" outlineLevel="1">
      <c r="B746" s="1094"/>
      <c r="C746" s="1071" t="str">
        <f t="shared" ref="C746:F746" si="752">C399</f>
        <v>T017 - TOSHIBA X20 W20008009</v>
      </c>
      <c r="D746" s="1071" t="str">
        <f t="shared" si="752"/>
        <v>IT Equipment</v>
      </c>
      <c r="E746" s="1071" t="str">
        <f t="shared" si="752"/>
        <v>T0170232</v>
      </c>
      <c r="F746" s="1125">
        <f t="shared" si="752"/>
        <v>2020</v>
      </c>
      <c r="H746" s="1071" t="s">
        <v>29</v>
      </c>
      <c r="I746" s="1071" t="s">
        <v>79</v>
      </c>
      <c r="AZ746" s="1108"/>
      <c r="BA746" s="1109"/>
      <c r="BB746" s="1109"/>
      <c r="BC746" s="1109"/>
      <c r="BD746" s="1109"/>
      <c r="BE746" s="1109"/>
      <c r="BF746" s="1109">
        <f t="shared" ref="BF746:BJ746" si="753">BF399*$AW96</f>
        <v>0.21382430000000005</v>
      </c>
      <c r="BG746" s="1109">
        <f t="shared" si="753"/>
        <v>0.36655976666666668</v>
      </c>
      <c r="BH746" s="1109">
        <f t="shared" si="753"/>
        <v>0.36655976666666668</v>
      </c>
      <c r="BI746" s="1109">
        <f t="shared" si="753"/>
        <v>0.15273546666666671</v>
      </c>
      <c r="BJ746" s="1109">
        <f t="shared" si="753"/>
        <v>0</v>
      </c>
    </row>
    <row r="747" spans="2:62" hidden="1" outlineLevel="1">
      <c r="B747" s="1094"/>
      <c r="C747" s="1071" t="str">
        <f t="shared" ref="C747:F747" si="754">C400</f>
        <v>T017 - TOSHIBA X20 W20008011</v>
      </c>
      <c r="D747" s="1071" t="str">
        <f t="shared" si="754"/>
        <v>IT Equipment</v>
      </c>
      <c r="E747" s="1071" t="str">
        <f t="shared" si="754"/>
        <v>T0170234</v>
      </c>
      <c r="F747" s="1125">
        <f t="shared" si="754"/>
        <v>2020</v>
      </c>
      <c r="H747" s="1071" t="s">
        <v>29</v>
      </c>
      <c r="I747" s="1071" t="s">
        <v>79</v>
      </c>
      <c r="AZ747" s="1108"/>
      <c r="BA747" s="1109"/>
      <c r="BB747" s="1109"/>
      <c r="BC747" s="1109"/>
      <c r="BD747" s="1109"/>
      <c r="BE747" s="1109"/>
      <c r="BF747" s="1109">
        <f t="shared" ref="BF747:BJ747" si="755">BF400*$AW97</f>
        <v>0.21382430000000005</v>
      </c>
      <c r="BG747" s="1109">
        <f t="shared" si="755"/>
        <v>0.36655976666666668</v>
      </c>
      <c r="BH747" s="1109">
        <f t="shared" si="755"/>
        <v>0.36655976666666668</v>
      </c>
      <c r="BI747" s="1109">
        <f t="shared" si="755"/>
        <v>0.15273546666666671</v>
      </c>
      <c r="BJ747" s="1109">
        <f t="shared" si="755"/>
        <v>0</v>
      </c>
    </row>
    <row r="748" spans="2:62" hidden="1" outlineLevel="1">
      <c r="B748" s="1094"/>
      <c r="C748" s="1071" t="str">
        <f t="shared" ref="C748:F748" si="756">C401</f>
        <v>T017 - TOSHIBA X20 W20008014</v>
      </c>
      <c r="D748" s="1071" t="str">
        <f t="shared" si="756"/>
        <v>IT Equipment</v>
      </c>
      <c r="E748" s="1071" t="str">
        <f t="shared" si="756"/>
        <v>T0170236</v>
      </c>
      <c r="F748" s="1125">
        <f t="shared" si="756"/>
        <v>2020</v>
      </c>
      <c r="H748" s="1071" t="s">
        <v>29</v>
      </c>
      <c r="I748" s="1071" t="s">
        <v>79</v>
      </c>
      <c r="AZ748" s="1108"/>
      <c r="BA748" s="1109"/>
      <c r="BB748" s="1109"/>
      <c r="BC748" s="1109"/>
      <c r="BD748" s="1109"/>
      <c r="BE748" s="1109"/>
      <c r="BF748" s="1109">
        <f t="shared" ref="BF748:BJ748" si="757">BF401*$AW98</f>
        <v>0.21382430000000005</v>
      </c>
      <c r="BG748" s="1109">
        <f t="shared" si="757"/>
        <v>0.36655976666666668</v>
      </c>
      <c r="BH748" s="1109">
        <f t="shared" si="757"/>
        <v>0.36655976666666668</v>
      </c>
      <c r="BI748" s="1109">
        <f t="shared" si="757"/>
        <v>0.15273546666666671</v>
      </c>
      <c r="BJ748" s="1109">
        <f t="shared" si="757"/>
        <v>0</v>
      </c>
    </row>
    <row r="749" spans="2:62" hidden="1" outlineLevel="1">
      <c r="B749" s="1094"/>
      <c r="C749" s="1071" t="str">
        <f t="shared" ref="C749:F749" si="758">C402</f>
        <v>T017 - TOSHIBA X20 W20008015</v>
      </c>
      <c r="D749" s="1071" t="str">
        <f t="shared" si="758"/>
        <v>IT Equipment</v>
      </c>
      <c r="E749" s="1071" t="str">
        <f t="shared" si="758"/>
        <v>T0170237</v>
      </c>
      <c r="F749" s="1125">
        <f t="shared" si="758"/>
        <v>2020</v>
      </c>
      <c r="H749" s="1071" t="s">
        <v>29</v>
      </c>
      <c r="I749" s="1071" t="s">
        <v>79</v>
      </c>
      <c r="AZ749" s="1108"/>
      <c r="BA749" s="1109"/>
      <c r="BB749" s="1109"/>
      <c r="BC749" s="1109"/>
      <c r="BD749" s="1109"/>
      <c r="BE749" s="1109"/>
      <c r="BF749" s="1109">
        <f t="shared" ref="BF749:BJ749" si="759">BF402*$AW99</f>
        <v>0.21382430000000005</v>
      </c>
      <c r="BG749" s="1109">
        <f t="shared" si="759"/>
        <v>0.36655976666666668</v>
      </c>
      <c r="BH749" s="1109">
        <f t="shared" si="759"/>
        <v>0.36655976666666668</v>
      </c>
      <c r="BI749" s="1109">
        <f t="shared" si="759"/>
        <v>0.15273546666666671</v>
      </c>
      <c r="BJ749" s="1109">
        <f t="shared" si="759"/>
        <v>0</v>
      </c>
    </row>
    <row r="750" spans="2:62" hidden="1" outlineLevel="1">
      <c r="B750" s="1094"/>
      <c r="C750" s="1071" t="str">
        <f t="shared" ref="C750:F750" si="760">C403</f>
        <v>T017 - TOSHIBA X20 W20008020</v>
      </c>
      <c r="D750" s="1071" t="str">
        <f t="shared" si="760"/>
        <v>IT Equipment</v>
      </c>
      <c r="E750" s="1071" t="str">
        <f t="shared" si="760"/>
        <v>T0170242</v>
      </c>
      <c r="F750" s="1125">
        <f t="shared" si="760"/>
        <v>2020</v>
      </c>
      <c r="H750" s="1071" t="s">
        <v>29</v>
      </c>
      <c r="I750" s="1071" t="s">
        <v>79</v>
      </c>
      <c r="AZ750" s="1108"/>
      <c r="BA750" s="1109"/>
      <c r="BB750" s="1109"/>
      <c r="BC750" s="1109"/>
      <c r="BD750" s="1109"/>
      <c r="BE750" s="1109"/>
      <c r="BF750" s="1109">
        <f t="shared" ref="BF750:BJ750" si="761">BF403*$AW100</f>
        <v>0.21382430000000005</v>
      </c>
      <c r="BG750" s="1109">
        <f t="shared" si="761"/>
        <v>0.36655976666666668</v>
      </c>
      <c r="BH750" s="1109">
        <f t="shared" si="761"/>
        <v>0.36655976666666668</v>
      </c>
      <c r="BI750" s="1109">
        <f t="shared" si="761"/>
        <v>0.15273546666666671</v>
      </c>
      <c r="BJ750" s="1109">
        <f t="shared" si="761"/>
        <v>0</v>
      </c>
    </row>
    <row r="751" spans="2:62" hidden="1" outlineLevel="1">
      <c r="B751" s="1094"/>
      <c r="C751" s="1071" t="str">
        <f t="shared" ref="C751:F751" si="762">C404</f>
        <v>T017 - TOSHIBA X20 W20008023</v>
      </c>
      <c r="D751" s="1071" t="str">
        <f t="shared" si="762"/>
        <v>IT Equipment</v>
      </c>
      <c r="E751" s="1071" t="str">
        <f t="shared" si="762"/>
        <v>T0170245</v>
      </c>
      <c r="F751" s="1125">
        <f t="shared" si="762"/>
        <v>2020</v>
      </c>
      <c r="H751" s="1071" t="s">
        <v>29</v>
      </c>
      <c r="I751" s="1071" t="s">
        <v>79</v>
      </c>
      <c r="AZ751" s="1108"/>
      <c r="BA751" s="1109"/>
      <c r="BB751" s="1109"/>
      <c r="BC751" s="1109"/>
      <c r="BD751" s="1109"/>
      <c r="BE751" s="1109"/>
      <c r="BF751" s="1109">
        <f t="shared" ref="BF751:BJ751" si="763">BF404*$AW101</f>
        <v>0.21382430000000005</v>
      </c>
      <c r="BG751" s="1109">
        <f t="shared" si="763"/>
        <v>0.36655976666666668</v>
      </c>
      <c r="BH751" s="1109">
        <f t="shared" si="763"/>
        <v>0.36655976666666668</v>
      </c>
      <c r="BI751" s="1109">
        <f t="shared" si="763"/>
        <v>0.15273546666666671</v>
      </c>
      <c r="BJ751" s="1109">
        <f t="shared" si="763"/>
        <v>0</v>
      </c>
    </row>
    <row r="752" spans="2:62" hidden="1" outlineLevel="1">
      <c r="B752" s="1094"/>
      <c r="C752" s="1071" t="str">
        <f t="shared" ref="C752:F752" si="764">C405</f>
        <v>T017 - TOSHIBA X20 W20008024</v>
      </c>
      <c r="D752" s="1071" t="str">
        <f t="shared" si="764"/>
        <v>IT Equipment</v>
      </c>
      <c r="E752" s="1071" t="str">
        <f t="shared" si="764"/>
        <v>T0170246</v>
      </c>
      <c r="F752" s="1125">
        <f t="shared" si="764"/>
        <v>2020</v>
      </c>
      <c r="H752" s="1071" t="s">
        <v>29</v>
      </c>
      <c r="I752" s="1071" t="s">
        <v>79</v>
      </c>
      <c r="AZ752" s="1108"/>
      <c r="BA752" s="1109"/>
      <c r="BB752" s="1109"/>
      <c r="BC752" s="1109"/>
      <c r="BD752" s="1109"/>
      <c r="BE752" s="1109"/>
      <c r="BF752" s="1109">
        <f t="shared" ref="BF752:BJ752" si="765">BF405*$AW102</f>
        <v>0.21382430000000005</v>
      </c>
      <c r="BG752" s="1109">
        <f t="shared" si="765"/>
        <v>0.36655976666666668</v>
      </c>
      <c r="BH752" s="1109">
        <f t="shared" si="765"/>
        <v>0.36655976666666668</v>
      </c>
      <c r="BI752" s="1109">
        <f t="shared" si="765"/>
        <v>0.15273546666666671</v>
      </c>
      <c r="BJ752" s="1109">
        <f t="shared" si="765"/>
        <v>0</v>
      </c>
    </row>
    <row r="753" spans="2:62" hidden="1" outlineLevel="1">
      <c r="B753" s="1094"/>
      <c r="C753" s="1071" t="str">
        <f t="shared" ref="C753:F753" si="766">C406</f>
        <v>T017 - TOSHIBA X20 W20008025</v>
      </c>
      <c r="D753" s="1071" t="str">
        <f t="shared" si="766"/>
        <v>IT Equipment</v>
      </c>
      <c r="E753" s="1071" t="str">
        <f t="shared" si="766"/>
        <v>T0170247</v>
      </c>
      <c r="F753" s="1125">
        <f t="shared" si="766"/>
        <v>2020</v>
      </c>
      <c r="H753" s="1071" t="s">
        <v>29</v>
      </c>
      <c r="I753" s="1071" t="s">
        <v>79</v>
      </c>
      <c r="AZ753" s="1108"/>
      <c r="BA753" s="1109"/>
      <c r="BB753" s="1109"/>
      <c r="BC753" s="1109"/>
      <c r="BD753" s="1109"/>
      <c r="BE753" s="1109"/>
      <c r="BF753" s="1109">
        <f t="shared" ref="BF753:BJ753" si="767">BF406*$AW103</f>
        <v>0.21382430000000005</v>
      </c>
      <c r="BG753" s="1109">
        <f t="shared" si="767"/>
        <v>0.36655976666666668</v>
      </c>
      <c r="BH753" s="1109">
        <f t="shared" si="767"/>
        <v>0.36655976666666668</v>
      </c>
      <c r="BI753" s="1109">
        <f t="shared" si="767"/>
        <v>0.15273546666666671</v>
      </c>
      <c r="BJ753" s="1109">
        <f t="shared" si="767"/>
        <v>0</v>
      </c>
    </row>
    <row r="754" spans="2:62" hidden="1" outlineLevel="1">
      <c r="B754" s="1094"/>
      <c r="C754" s="1071" t="str">
        <f t="shared" ref="C754:F754" si="768">C407</f>
        <v>T017 - HP G7 CORE W20008096</v>
      </c>
      <c r="D754" s="1071" t="str">
        <f t="shared" si="768"/>
        <v>IT Equipment</v>
      </c>
      <c r="E754" s="1071" t="str">
        <f t="shared" si="768"/>
        <v>T0170248</v>
      </c>
      <c r="F754" s="1125">
        <f t="shared" si="768"/>
        <v>2020</v>
      </c>
      <c r="H754" s="1071" t="s">
        <v>29</v>
      </c>
      <c r="I754" s="1071" t="s">
        <v>79</v>
      </c>
      <c r="AZ754" s="1108"/>
      <c r="BA754" s="1109"/>
      <c r="BB754" s="1109"/>
      <c r="BC754" s="1109"/>
      <c r="BD754" s="1109"/>
      <c r="BE754" s="1109"/>
      <c r="BF754" s="1109">
        <f t="shared" ref="BF754:BJ754" si="769">BF407*$AW104</f>
        <v>9.8666799999999985E-2</v>
      </c>
      <c r="BG754" s="1109">
        <f t="shared" si="769"/>
        <v>0.16911666666666667</v>
      </c>
      <c r="BH754" s="1109">
        <f t="shared" si="769"/>
        <v>0.16911666666666667</v>
      </c>
      <c r="BI754" s="1109">
        <f t="shared" si="769"/>
        <v>7.044986666666668E-2</v>
      </c>
      <c r="BJ754" s="1109">
        <f t="shared" si="769"/>
        <v>0</v>
      </c>
    </row>
    <row r="755" spans="2:62" hidden="1" outlineLevel="1">
      <c r="B755" s="1094"/>
      <c r="C755" s="1071" t="str">
        <f t="shared" ref="C755:F755" si="770">C408</f>
        <v>T017 - HP G7 CORE W20008098</v>
      </c>
      <c r="D755" s="1071" t="str">
        <f t="shared" si="770"/>
        <v>IT Equipment</v>
      </c>
      <c r="E755" s="1071" t="str">
        <f t="shared" si="770"/>
        <v>T0170250</v>
      </c>
      <c r="F755" s="1125">
        <f t="shared" si="770"/>
        <v>2020</v>
      </c>
      <c r="H755" s="1071" t="s">
        <v>29</v>
      </c>
      <c r="I755" s="1071" t="s">
        <v>79</v>
      </c>
      <c r="AZ755" s="1108"/>
      <c r="BA755" s="1109"/>
      <c r="BB755" s="1109"/>
      <c r="BC755" s="1109"/>
      <c r="BD755" s="1109"/>
      <c r="BE755" s="1109"/>
      <c r="BF755" s="1109">
        <f t="shared" ref="BF755:BJ755" si="771">BF408*$AW105</f>
        <v>9.8666799999999985E-2</v>
      </c>
      <c r="BG755" s="1109">
        <f t="shared" si="771"/>
        <v>0.16911666666666667</v>
      </c>
      <c r="BH755" s="1109">
        <f t="shared" si="771"/>
        <v>0.16911666666666667</v>
      </c>
      <c r="BI755" s="1109">
        <f t="shared" si="771"/>
        <v>7.044986666666668E-2</v>
      </c>
      <c r="BJ755" s="1109">
        <f t="shared" si="771"/>
        <v>0</v>
      </c>
    </row>
    <row r="756" spans="2:62" hidden="1" outlineLevel="1">
      <c r="B756" s="1094"/>
      <c r="C756" s="1071" t="str">
        <f t="shared" ref="C756:F756" si="772">C409</f>
        <v>T017 - LAPTOP W20007815</v>
      </c>
      <c r="D756" s="1071" t="str">
        <f t="shared" si="772"/>
        <v>IT Equipment</v>
      </c>
      <c r="E756" s="1071" t="str">
        <f t="shared" si="772"/>
        <v>T0170253</v>
      </c>
      <c r="F756" s="1125">
        <f t="shared" si="772"/>
        <v>2020</v>
      </c>
      <c r="H756" s="1071" t="s">
        <v>29</v>
      </c>
      <c r="I756" s="1071" t="s">
        <v>79</v>
      </c>
      <c r="AZ756" s="1108"/>
      <c r="BA756" s="1109"/>
      <c r="BB756" s="1109"/>
      <c r="BC756" s="1109"/>
      <c r="BD756" s="1109"/>
      <c r="BE756" s="1109"/>
      <c r="BF756" s="1109">
        <f t="shared" ref="BF756:BJ756" si="773">BF409*$AW106</f>
        <v>0.36655489999999996</v>
      </c>
      <c r="BG756" s="1109">
        <f t="shared" si="773"/>
        <v>0.36655976666666668</v>
      </c>
      <c r="BH756" s="1109">
        <f t="shared" si="773"/>
        <v>0.36655976666666668</v>
      </c>
      <c r="BI756" s="1109">
        <f t="shared" si="773"/>
        <v>4.8666666667260473E-6</v>
      </c>
      <c r="BJ756" s="1109">
        <f t="shared" si="773"/>
        <v>0</v>
      </c>
    </row>
    <row r="757" spans="2:62" hidden="1" outlineLevel="1">
      <c r="B757" s="1094"/>
      <c r="C757" s="1071" t="str">
        <f t="shared" ref="C757:F757" si="774">C410</f>
        <v>T017 - OPTIPLEX5060 W20007883</v>
      </c>
      <c r="D757" s="1071" t="str">
        <f t="shared" si="774"/>
        <v>IT Equipment</v>
      </c>
      <c r="E757" s="1071" t="str">
        <f t="shared" si="774"/>
        <v>T0170254</v>
      </c>
      <c r="F757" s="1125">
        <f t="shared" si="774"/>
        <v>2020</v>
      </c>
      <c r="H757" s="1071" t="s">
        <v>29</v>
      </c>
      <c r="I757" s="1071" t="s">
        <v>79</v>
      </c>
      <c r="AZ757" s="1108"/>
      <c r="BA757" s="1109"/>
      <c r="BB757" s="1109"/>
      <c r="BC757" s="1109"/>
      <c r="BD757" s="1109"/>
      <c r="BE757" s="1109"/>
      <c r="BF757" s="1109">
        <f t="shared" ref="BF757:BJ757" si="775">BF410*$AW107</f>
        <v>0.14602919999999994</v>
      </c>
      <c r="BG757" s="1109">
        <f t="shared" si="775"/>
        <v>0.14599999999999999</v>
      </c>
      <c r="BH757" s="1109">
        <f t="shared" si="775"/>
        <v>0.14597080000000001</v>
      </c>
      <c r="BI757" s="1109">
        <f t="shared" si="775"/>
        <v>0</v>
      </c>
      <c r="BJ757" s="1109">
        <f t="shared" si="775"/>
        <v>0</v>
      </c>
    </row>
    <row r="758" spans="2:62" hidden="1" outlineLevel="1">
      <c r="B758" s="1094"/>
      <c r="C758" s="1071" t="str">
        <f t="shared" ref="C758:F758" si="776">C411</f>
        <v>T017 - OPTIPLEX5060 W20007917</v>
      </c>
      <c r="D758" s="1071" t="str">
        <f t="shared" si="776"/>
        <v>IT Equipment</v>
      </c>
      <c r="E758" s="1071" t="str">
        <f t="shared" si="776"/>
        <v>T0170256</v>
      </c>
      <c r="F758" s="1125">
        <f t="shared" si="776"/>
        <v>2020</v>
      </c>
      <c r="H758" s="1071" t="s">
        <v>29</v>
      </c>
      <c r="I758" s="1071" t="s">
        <v>79</v>
      </c>
      <c r="AZ758" s="1108"/>
      <c r="BA758" s="1109"/>
      <c r="BB758" s="1109"/>
      <c r="BC758" s="1109"/>
      <c r="BD758" s="1109"/>
      <c r="BE758" s="1109"/>
      <c r="BF758" s="1109">
        <f t="shared" ref="BF758:BJ758" si="777">BF411*$AW108</f>
        <v>0.14602919999999994</v>
      </c>
      <c r="BG758" s="1109">
        <f t="shared" si="777"/>
        <v>0.14599999999999999</v>
      </c>
      <c r="BH758" s="1109">
        <f t="shared" si="777"/>
        <v>0.14597080000000001</v>
      </c>
      <c r="BI758" s="1109">
        <f t="shared" si="777"/>
        <v>0</v>
      </c>
      <c r="BJ758" s="1109">
        <f t="shared" si="777"/>
        <v>0</v>
      </c>
    </row>
    <row r="759" spans="2:62" hidden="1" outlineLevel="1">
      <c r="B759" s="1094"/>
      <c r="C759" s="1071" t="str">
        <f t="shared" ref="C759:F759" si="778">C412</f>
        <v>T017 - TOSHIBA W20008070</v>
      </c>
      <c r="D759" s="1071" t="str">
        <f t="shared" si="778"/>
        <v>IT Equipment</v>
      </c>
      <c r="E759" s="1071" t="str">
        <f t="shared" si="778"/>
        <v>T0170263</v>
      </c>
      <c r="F759" s="1125">
        <f t="shared" si="778"/>
        <v>2020</v>
      </c>
      <c r="H759" s="1071" t="s">
        <v>29</v>
      </c>
      <c r="I759" s="1071" t="s">
        <v>79</v>
      </c>
      <c r="AZ759" s="1108"/>
      <c r="BA759" s="1109"/>
      <c r="BB759" s="1109"/>
      <c r="BC759" s="1109"/>
      <c r="BD759" s="1109"/>
      <c r="BE759" s="1109"/>
      <c r="BF759" s="1109">
        <f t="shared" ref="BF759:BJ759" si="779">BF412*$AW109</f>
        <v>8.6001300000000017E-2</v>
      </c>
      <c r="BG759" s="1109">
        <f t="shared" si="779"/>
        <v>0.14741133333333334</v>
      </c>
      <c r="BH759" s="1109">
        <f t="shared" si="779"/>
        <v>0.14741133333333334</v>
      </c>
      <c r="BI759" s="1109">
        <f t="shared" si="779"/>
        <v>6.1410033333333308E-2</v>
      </c>
      <c r="BJ759" s="1109">
        <f t="shared" si="779"/>
        <v>0</v>
      </c>
    </row>
    <row r="760" spans="2:62" hidden="1" outlineLevel="1">
      <c r="B760" s="1094"/>
      <c r="C760" s="1071" t="str">
        <f t="shared" ref="C760:F760" si="780">C413</f>
        <v>T017 - TOSHIBA W20008085</v>
      </c>
      <c r="D760" s="1071" t="str">
        <f t="shared" si="780"/>
        <v>IT Equipment</v>
      </c>
      <c r="E760" s="1071" t="str">
        <f t="shared" si="780"/>
        <v>T0170274</v>
      </c>
      <c r="F760" s="1125">
        <f t="shared" si="780"/>
        <v>2020</v>
      </c>
      <c r="H760" s="1071" t="s">
        <v>29</v>
      </c>
      <c r="I760" s="1071" t="s">
        <v>79</v>
      </c>
      <c r="AZ760" s="1108"/>
      <c r="BA760" s="1109"/>
      <c r="BB760" s="1109"/>
      <c r="BC760" s="1109"/>
      <c r="BD760" s="1109"/>
      <c r="BE760" s="1109"/>
      <c r="BF760" s="1109">
        <f t="shared" ref="BF760:BJ760" si="781">BF413*$AW110</f>
        <v>8.6001300000000017E-2</v>
      </c>
      <c r="BG760" s="1109">
        <f t="shared" si="781"/>
        <v>0.14741133333333334</v>
      </c>
      <c r="BH760" s="1109">
        <f t="shared" si="781"/>
        <v>0.14741133333333334</v>
      </c>
      <c r="BI760" s="1109">
        <f t="shared" si="781"/>
        <v>6.1410033333333308E-2</v>
      </c>
      <c r="BJ760" s="1109">
        <f t="shared" si="781"/>
        <v>0</v>
      </c>
    </row>
    <row r="761" spans="2:62" hidden="1" outlineLevel="1">
      <c r="B761" s="1094"/>
      <c r="C761" s="1071" t="str">
        <f t="shared" ref="C761:F761" si="782">C414</f>
        <v>T017 - HP250G7 CORE W20008093</v>
      </c>
      <c r="D761" s="1071" t="str">
        <f t="shared" si="782"/>
        <v>IT Equipment</v>
      </c>
      <c r="E761" s="1071" t="str">
        <f t="shared" si="782"/>
        <v>T0170278</v>
      </c>
      <c r="F761" s="1125">
        <f t="shared" si="782"/>
        <v>2020</v>
      </c>
      <c r="H761" s="1071" t="s">
        <v>29</v>
      </c>
      <c r="I761" s="1071" t="s">
        <v>79</v>
      </c>
      <c r="AZ761" s="1108"/>
      <c r="BA761" s="1109"/>
      <c r="BB761" s="1109"/>
      <c r="BC761" s="1109"/>
      <c r="BD761" s="1109"/>
      <c r="BE761" s="1109"/>
      <c r="BF761" s="1109">
        <f t="shared" ref="BF761:BJ761" si="783">BF414*$AW111</f>
        <v>0.14094109999999996</v>
      </c>
      <c r="BG761" s="1109">
        <f t="shared" si="783"/>
        <v>0.16911666666666667</v>
      </c>
      <c r="BH761" s="1109">
        <f t="shared" si="783"/>
        <v>0.16911666666666667</v>
      </c>
      <c r="BI761" s="1109">
        <f t="shared" si="783"/>
        <v>2.8175566666666707E-2</v>
      </c>
      <c r="BJ761" s="1109">
        <f t="shared" si="783"/>
        <v>0</v>
      </c>
    </row>
    <row r="762" spans="2:62" hidden="1" outlineLevel="1">
      <c r="B762" s="1094"/>
      <c r="C762" s="1071" t="str">
        <f t="shared" ref="C762:F762" si="784">C415</f>
        <v>T017 - HP250G7 CORE W20008097</v>
      </c>
      <c r="D762" s="1071" t="str">
        <f t="shared" si="784"/>
        <v>IT Equipment</v>
      </c>
      <c r="E762" s="1071" t="str">
        <f t="shared" si="784"/>
        <v>T0170280</v>
      </c>
      <c r="F762" s="1125">
        <f t="shared" si="784"/>
        <v>2020</v>
      </c>
      <c r="H762" s="1071" t="s">
        <v>29</v>
      </c>
      <c r="I762" s="1071" t="s">
        <v>79</v>
      </c>
      <c r="AZ762" s="1108"/>
      <c r="BA762" s="1109"/>
      <c r="BB762" s="1109"/>
      <c r="BC762" s="1109"/>
      <c r="BD762" s="1109"/>
      <c r="BE762" s="1109"/>
      <c r="BF762" s="1109">
        <f t="shared" ref="BF762:BJ762" si="785">BF415*$AW112</f>
        <v>0.14094109999999996</v>
      </c>
      <c r="BG762" s="1109">
        <f t="shared" si="785"/>
        <v>0.16911666666666667</v>
      </c>
      <c r="BH762" s="1109">
        <f t="shared" si="785"/>
        <v>0.16911666666666667</v>
      </c>
      <c r="BI762" s="1109">
        <f t="shared" si="785"/>
        <v>2.8175566666666707E-2</v>
      </c>
      <c r="BJ762" s="1109">
        <f t="shared" si="785"/>
        <v>0</v>
      </c>
    </row>
    <row r="763" spans="2:62" hidden="1" outlineLevel="1">
      <c r="B763" s="1094"/>
      <c r="C763" s="1071" t="str">
        <f t="shared" ref="C763:F763" si="786">C416</f>
        <v>T017 - HP250G7 CORE W20008100</v>
      </c>
      <c r="D763" s="1071" t="str">
        <f t="shared" si="786"/>
        <v>IT Equipment</v>
      </c>
      <c r="E763" s="1071" t="str">
        <f t="shared" si="786"/>
        <v>T0170281</v>
      </c>
      <c r="F763" s="1125">
        <f t="shared" si="786"/>
        <v>2020</v>
      </c>
      <c r="H763" s="1071" t="s">
        <v>29</v>
      </c>
      <c r="I763" s="1071" t="s">
        <v>79</v>
      </c>
      <c r="AZ763" s="1108"/>
      <c r="BA763" s="1109"/>
      <c r="BB763" s="1109"/>
      <c r="BC763" s="1109"/>
      <c r="BD763" s="1109"/>
      <c r="BE763" s="1109"/>
      <c r="BF763" s="1109">
        <f t="shared" ref="BF763:BJ763" si="787">BF416*$AW113</f>
        <v>0.14094109999999996</v>
      </c>
      <c r="BG763" s="1109">
        <f t="shared" si="787"/>
        <v>0.16911666666666667</v>
      </c>
      <c r="BH763" s="1109">
        <f t="shared" si="787"/>
        <v>0.16911666666666667</v>
      </c>
      <c r="BI763" s="1109">
        <f t="shared" si="787"/>
        <v>2.8175566666666707E-2</v>
      </c>
      <c r="BJ763" s="1109">
        <f t="shared" si="787"/>
        <v>0</v>
      </c>
    </row>
    <row r="764" spans="2:62" hidden="1" outlineLevel="1">
      <c r="B764" s="1094"/>
      <c r="C764" s="1071" t="str">
        <f t="shared" ref="C764:F764" si="788">C417</f>
        <v>T017 - HP250G7 CORE W20008091</v>
      </c>
      <c r="D764" s="1071" t="str">
        <f t="shared" si="788"/>
        <v>IT Equipment</v>
      </c>
      <c r="E764" s="1071" t="str">
        <f t="shared" si="788"/>
        <v>T0170282</v>
      </c>
      <c r="F764" s="1125">
        <f t="shared" si="788"/>
        <v>2020</v>
      </c>
      <c r="H764" s="1071" t="s">
        <v>29</v>
      </c>
      <c r="I764" s="1071" t="s">
        <v>79</v>
      </c>
      <c r="AZ764" s="1108"/>
      <c r="BA764" s="1109"/>
      <c r="BB764" s="1109"/>
      <c r="BC764" s="1109"/>
      <c r="BD764" s="1109"/>
      <c r="BE764" s="1109"/>
      <c r="BF764" s="1109">
        <f t="shared" ref="BF764:BJ764" si="789">BF417*$AW114</f>
        <v>9.8666799999999985E-2</v>
      </c>
      <c r="BG764" s="1109">
        <f t="shared" si="789"/>
        <v>0.16911666666666667</v>
      </c>
      <c r="BH764" s="1109">
        <f t="shared" si="789"/>
        <v>0.16911666666666667</v>
      </c>
      <c r="BI764" s="1109">
        <f t="shared" si="789"/>
        <v>7.044986666666668E-2</v>
      </c>
      <c r="BJ764" s="1109">
        <f t="shared" si="789"/>
        <v>0</v>
      </c>
    </row>
    <row r="765" spans="2:62" hidden="1" outlineLevel="1">
      <c r="B765" s="1094"/>
      <c r="C765" s="1071" t="str">
        <f t="shared" ref="C765:F765" si="790">C418</f>
        <v>T017 - HP250G7 CORE W20008096</v>
      </c>
      <c r="D765" s="1071" t="str">
        <f t="shared" si="790"/>
        <v>IT Equipment</v>
      </c>
      <c r="E765" s="1071" t="str">
        <f t="shared" si="790"/>
        <v>T0170283</v>
      </c>
      <c r="F765" s="1125">
        <f t="shared" si="790"/>
        <v>2020</v>
      </c>
      <c r="H765" s="1071" t="s">
        <v>29</v>
      </c>
      <c r="I765" s="1071" t="s">
        <v>79</v>
      </c>
      <c r="AZ765" s="1108"/>
      <c r="BA765" s="1109"/>
      <c r="BB765" s="1109"/>
      <c r="BC765" s="1109"/>
      <c r="BD765" s="1109"/>
      <c r="BE765" s="1109"/>
      <c r="BF765" s="1109">
        <f t="shared" ref="BF765:BJ765" si="791">BF418*$AW115</f>
        <v>9.8666799999999985E-2</v>
      </c>
      <c r="BG765" s="1109">
        <f t="shared" si="791"/>
        <v>0.16911666666666667</v>
      </c>
      <c r="BH765" s="1109">
        <f t="shared" si="791"/>
        <v>0.16911666666666667</v>
      </c>
      <c r="BI765" s="1109">
        <f t="shared" si="791"/>
        <v>7.044986666666668E-2</v>
      </c>
      <c r="BJ765" s="1109">
        <f t="shared" si="791"/>
        <v>0</v>
      </c>
    </row>
    <row r="766" spans="2:62" hidden="1" outlineLevel="1">
      <c r="B766" s="1094"/>
      <c r="C766" s="1071" t="str">
        <f t="shared" ref="C766:F766" si="792">C419</f>
        <v>T017 - HP250G7 COREW20008098</v>
      </c>
      <c r="D766" s="1071" t="str">
        <f t="shared" si="792"/>
        <v>IT Equipment</v>
      </c>
      <c r="E766" s="1071" t="str">
        <f t="shared" si="792"/>
        <v>T0170284</v>
      </c>
      <c r="F766" s="1125">
        <f t="shared" si="792"/>
        <v>2020</v>
      </c>
      <c r="H766" s="1071" t="s">
        <v>29</v>
      </c>
      <c r="I766" s="1071" t="s">
        <v>79</v>
      </c>
      <c r="AZ766" s="1108"/>
      <c r="BA766" s="1109"/>
      <c r="BB766" s="1109"/>
      <c r="BC766" s="1109"/>
      <c r="BD766" s="1109"/>
      <c r="BE766" s="1109"/>
      <c r="BF766" s="1109">
        <f t="shared" ref="BF766:BJ766" si="793">BF419*$AW116</f>
        <v>9.8666799999999985E-2</v>
      </c>
      <c r="BG766" s="1109">
        <f t="shared" si="793"/>
        <v>0.16911666666666667</v>
      </c>
      <c r="BH766" s="1109">
        <f t="shared" si="793"/>
        <v>0.16911666666666667</v>
      </c>
      <c r="BI766" s="1109">
        <f t="shared" si="793"/>
        <v>7.044986666666668E-2</v>
      </c>
      <c r="BJ766" s="1109">
        <f t="shared" si="793"/>
        <v>0</v>
      </c>
    </row>
    <row r="767" spans="2:62" hidden="1" outlineLevel="1">
      <c r="B767" s="1094"/>
      <c r="C767" s="1071" t="str">
        <f t="shared" ref="C767:F767" si="794">C420</f>
        <v>T017 - OPTIPLEX5060 W20007909</v>
      </c>
      <c r="D767" s="1071" t="str">
        <f t="shared" si="794"/>
        <v>IT Equipment</v>
      </c>
      <c r="E767" s="1071" t="str">
        <f t="shared" si="794"/>
        <v>T0170290</v>
      </c>
      <c r="F767" s="1125">
        <f t="shared" si="794"/>
        <v>2020</v>
      </c>
      <c r="H767" s="1071" t="s">
        <v>29</v>
      </c>
      <c r="I767" s="1071" t="s">
        <v>79</v>
      </c>
      <c r="AZ767" s="1108"/>
      <c r="BA767" s="1109"/>
      <c r="BB767" s="1109"/>
      <c r="BC767" s="1109"/>
      <c r="BD767" s="1109"/>
      <c r="BE767" s="1109"/>
      <c r="BF767" s="1109">
        <f t="shared" ref="BF767:BJ767" si="795">BF420*$AW117</f>
        <v>0.14602919999999994</v>
      </c>
      <c r="BG767" s="1109">
        <f t="shared" si="795"/>
        <v>0.14599999999999999</v>
      </c>
      <c r="BH767" s="1109">
        <f t="shared" si="795"/>
        <v>0.14597080000000001</v>
      </c>
      <c r="BI767" s="1109">
        <f t="shared" si="795"/>
        <v>0</v>
      </c>
      <c r="BJ767" s="1109">
        <f t="shared" si="795"/>
        <v>0</v>
      </c>
    </row>
    <row r="768" spans="2:62" hidden="1" outlineLevel="1">
      <c r="B768" s="1094"/>
      <c r="C768" s="1071" t="str">
        <f t="shared" ref="C768:F768" si="796">C421</f>
        <v>T018 - MACBOOK PRO</v>
      </c>
      <c r="D768" s="1071" t="str">
        <f t="shared" si="796"/>
        <v>IT Equipment</v>
      </c>
      <c r="E768" s="1071" t="str">
        <f t="shared" si="796"/>
        <v>T0180061</v>
      </c>
      <c r="F768" s="1125">
        <f t="shared" si="796"/>
        <v>2020</v>
      </c>
      <c r="H768" s="1071" t="s">
        <v>29</v>
      </c>
      <c r="I768" s="1071" t="s">
        <v>79</v>
      </c>
      <c r="AZ768" s="1108"/>
      <c r="BA768" s="1109"/>
      <c r="BB768" s="1109"/>
      <c r="BC768" s="1109"/>
      <c r="BD768" s="1109"/>
      <c r="BE768" s="1109"/>
      <c r="BF768" s="1109">
        <f t="shared" ref="BF768:BJ768" si="797">BF421*$AW118</f>
        <v>0.25090829999999997</v>
      </c>
      <c r="BG768" s="1109">
        <f t="shared" si="797"/>
        <v>0.33454439999999996</v>
      </c>
      <c r="BH768" s="1109">
        <f t="shared" si="797"/>
        <v>0.33454439999999996</v>
      </c>
      <c r="BI768" s="1109">
        <f t="shared" si="797"/>
        <v>8.3636099999999991E-2</v>
      </c>
      <c r="BJ768" s="1109">
        <f t="shared" si="797"/>
        <v>0</v>
      </c>
    </row>
    <row r="769" spans="2:62" hidden="1" outlineLevel="1">
      <c r="B769" s="1094"/>
      <c r="C769" s="1071" t="str">
        <f t="shared" ref="C769:F769" si="798">C422</f>
        <v>T018 - LOGITECH GROUP VIDEO HQ</v>
      </c>
      <c r="D769" s="1071" t="str">
        <f t="shared" si="798"/>
        <v>IT Equipment</v>
      </c>
      <c r="E769" s="1071" t="str">
        <f t="shared" si="798"/>
        <v>T0180064</v>
      </c>
      <c r="F769" s="1125">
        <f t="shared" si="798"/>
        <v>2020</v>
      </c>
      <c r="H769" s="1071" t="s">
        <v>29</v>
      </c>
      <c r="I769" s="1071" t="s">
        <v>79</v>
      </c>
      <c r="AZ769" s="1108"/>
      <c r="BA769" s="1109"/>
      <c r="BB769" s="1109"/>
      <c r="BC769" s="1109"/>
      <c r="BD769" s="1109"/>
      <c r="BE769" s="1109"/>
      <c r="BF769" s="1109">
        <f t="shared" ref="BF769:BJ769" si="799">BF422*$AW119</f>
        <v>0.16407479999999999</v>
      </c>
      <c r="BG769" s="1109">
        <f t="shared" si="799"/>
        <v>0.65627000000000013</v>
      </c>
      <c r="BH769" s="1109">
        <f t="shared" si="799"/>
        <v>0.65627000000000013</v>
      </c>
      <c r="BI769" s="1109">
        <f t="shared" si="799"/>
        <v>0.49219520000000005</v>
      </c>
      <c r="BJ769" s="1109">
        <f t="shared" si="799"/>
        <v>0</v>
      </c>
    </row>
    <row r="770" spans="2:62" hidden="1" outlineLevel="1">
      <c r="B770" s="1094"/>
      <c r="C770" s="1071" t="str">
        <f t="shared" ref="C770:F770" si="800">C423</f>
        <v>T017 - X20 LAPTOPS W20007838</v>
      </c>
      <c r="D770" s="1071" t="str">
        <f t="shared" si="800"/>
        <v>IT Equipment</v>
      </c>
      <c r="E770" s="1071" t="str">
        <f t="shared" si="800"/>
        <v>T0170204</v>
      </c>
      <c r="F770" s="1125">
        <f t="shared" si="800"/>
        <v>2020</v>
      </c>
      <c r="H770" s="1071" t="s">
        <v>29</v>
      </c>
      <c r="I770" s="1071" t="s">
        <v>79</v>
      </c>
      <c r="AZ770" s="1108"/>
      <c r="BA770" s="1109"/>
      <c r="BB770" s="1109"/>
      <c r="BC770" s="1109"/>
      <c r="BD770" s="1109"/>
      <c r="BE770" s="1109"/>
      <c r="BF770" s="1109">
        <f t="shared" ref="BF770:BJ770" si="801">BF423*$AW120</f>
        <v>0.21968250000000006</v>
      </c>
      <c r="BG770" s="1109">
        <f t="shared" si="801"/>
        <v>0.37660250000000001</v>
      </c>
      <c r="BH770" s="1109">
        <f t="shared" si="801"/>
        <v>0.37660250000000001</v>
      </c>
      <c r="BI770" s="1109">
        <f t="shared" si="801"/>
        <v>0.15692000000000006</v>
      </c>
      <c r="BJ770" s="1109">
        <f t="shared" si="801"/>
        <v>0</v>
      </c>
    </row>
    <row r="771" spans="2:62" hidden="1" outlineLevel="1">
      <c r="B771" s="1094"/>
      <c r="C771" s="1071" t="str">
        <f t="shared" ref="C771:F771" si="802">C424</f>
        <v>T017 - TOSHIBA X20 W20008071</v>
      </c>
      <c r="D771" s="1071" t="str">
        <f t="shared" si="802"/>
        <v>IT Equipment</v>
      </c>
      <c r="E771" s="1071" t="str">
        <f t="shared" si="802"/>
        <v>T0170216</v>
      </c>
      <c r="F771" s="1125">
        <f t="shared" si="802"/>
        <v>2020</v>
      </c>
      <c r="H771" s="1071" t="s">
        <v>29</v>
      </c>
      <c r="I771" s="1071" t="s">
        <v>79</v>
      </c>
      <c r="AZ771" s="1108"/>
      <c r="BA771" s="1109"/>
      <c r="BB771" s="1109"/>
      <c r="BC771" s="1109"/>
      <c r="BD771" s="1109"/>
      <c r="BE771" s="1109"/>
      <c r="BF771" s="1109">
        <f t="shared" ref="BF771:BJ771" si="803">BF424*$AW121</f>
        <v>0.131355</v>
      </c>
      <c r="BG771" s="1109">
        <f t="shared" si="803"/>
        <v>0.21906729729729729</v>
      </c>
      <c r="BH771" s="1109">
        <f t="shared" si="803"/>
        <v>0.21906729729729729</v>
      </c>
      <c r="BI771" s="1109">
        <f t="shared" si="803"/>
        <v>0.1059679054054054</v>
      </c>
      <c r="BJ771" s="1109">
        <f t="shared" si="803"/>
        <v>0</v>
      </c>
    </row>
    <row r="772" spans="2:62" hidden="1" outlineLevel="1">
      <c r="B772" s="1094"/>
      <c r="C772" s="1071" t="str">
        <f t="shared" ref="C772:F772" si="804">C425</f>
        <v>T017 - TOSHIBA X20 W20008072</v>
      </c>
      <c r="D772" s="1071" t="str">
        <f t="shared" si="804"/>
        <v>IT Equipment</v>
      </c>
      <c r="E772" s="1071" t="str">
        <f t="shared" si="804"/>
        <v>T0170217</v>
      </c>
      <c r="F772" s="1125">
        <f t="shared" si="804"/>
        <v>2020</v>
      </c>
      <c r="H772" s="1071" t="s">
        <v>29</v>
      </c>
      <c r="I772" s="1071" t="s">
        <v>79</v>
      </c>
      <c r="AZ772" s="1108"/>
      <c r="BA772" s="1109"/>
      <c r="BB772" s="1109"/>
      <c r="BC772" s="1109"/>
      <c r="BD772" s="1109"/>
      <c r="BE772" s="1109"/>
      <c r="BF772" s="1109">
        <f t="shared" ref="BF772:BJ772" si="805">BF425*$AW122</f>
        <v>0.131355</v>
      </c>
      <c r="BG772" s="1109">
        <f t="shared" si="805"/>
        <v>0.21906729729729729</v>
      </c>
      <c r="BH772" s="1109">
        <f t="shared" si="805"/>
        <v>0.21906729729729729</v>
      </c>
      <c r="BI772" s="1109">
        <f t="shared" si="805"/>
        <v>0.1059679054054054</v>
      </c>
      <c r="BJ772" s="1109">
        <f t="shared" si="805"/>
        <v>0</v>
      </c>
    </row>
    <row r="773" spans="2:62" hidden="1" outlineLevel="1">
      <c r="B773" s="1094"/>
      <c r="C773" s="1071" t="str">
        <f t="shared" ref="C773:F773" si="806">C426</f>
        <v>T017 - TOSHIBA X20 W20008079</v>
      </c>
      <c r="D773" s="1071" t="str">
        <f t="shared" si="806"/>
        <v>IT Equipment</v>
      </c>
      <c r="E773" s="1071" t="str">
        <f t="shared" si="806"/>
        <v>T0170223</v>
      </c>
      <c r="F773" s="1125">
        <f t="shared" si="806"/>
        <v>2020</v>
      </c>
      <c r="H773" s="1071" t="s">
        <v>29</v>
      </c>
      <c r="I773" s="1071" t="s">
        <v>79</v>
      </c>
      <c r="AZ773" s="1108"/>
      <c r="BA773" s="1109"/>
      <c r="BB773" s="1109"/>
      <c r="BC773" s="1109"/>
      <c r="BD773" s="1109"/>
      <c r="BE773" s="1109"/>
      <c r="BF773" s="1109">
        <f t="shared" ref="BF773:BJ773" si="807">BF426*$AW123</f>
        <v>0.131355</v>
      </c>
      <c r="BG773" s="1109">
        <f t="shared" si="807"/>
        <v>0.21906729729729729</v>
      </c>
      <c r="BH773" s="1109">
        <f t="shared" si="807"/>
        <v>0.21906729729729729</v>
      </c>
      <c r="BI773" s="1109">
        <f t="shared" si="807"/>
        <v>0.1059679054054054</v>
      </c>
      <c r="BJ773" s="1109">
        <f t="shared" si="807"/>
        <v>0</v>
      </c>
    </row>
    <row r="774" spans="2:62" hidden="1" outlineLevel="1">
      <c r="B774" s="1094"/>
      <c r="C774" s="1071" t="str">
        <f t="shared" ref="C774:F774" si="808">C427</f>
        <v>T017 - TOSHIBA X20 W20008018</v>
      </c>
      <c r="D774" s="1071" t="str">
        <f t="shared" si="808"/>
        <v>IT Equipment</v>
      </c>
      <c r="E774" s="1071" t="str">
        <f t="shared" si="808"/>
        <v>T0170240</v>
      </c>
      <c r="F774" s="1125">
        <f t="shared" si="808"/>
        <v>2020</v>
      </c>
      <c r="H774" s="1071" t="s">
        <v>29</v>
      </c>
      <c r="I774" s="1071" t="s">
        <v>79</v>
      </c>
      <c r="AZ774" s="1108"/>
      <c r="BA774" s="1109"/>
      <c r="BB774" s="1109"/>
      <c r="BC774" s="1109"/>
      <c r="BD774" s="1109"/>
      <c r="BE774" s="1109"/>
      <c r="BF774" s="1109">
        <f t="shared" ref="BF774:BJ774" si="809">BF427*$AW124</f>
        <v>0.21968250000000006</v>
      </c>
      <c r="BG774" s="1109">
        <f t="shared" si="809"/>
        <v>0.37660250000000001</v>
      </c>
      <c r="BH774" s="1109">
        <f t="shared" si="809"/>
        <v>0.37660250000000001</v>
      </c>
      <c r="BI774" s="1109">
        <f t="shared" si="809"/>
        <v>0.15692000000000006</v>
      </c>
      <c r="BJ774" s="1109">
        <f t="shared" si="809"/>
        <v>0</v>
      </c>
    </row>
    <row r="775" spans="2:62" hidden="1" outlineLevel="1">
      <c r="B775" s="1094"/>
      <c r="C775" s="1071" t="str">
        <f t="shared" ref="C775:F775" si="810">C428</f>
        <v>T017 - HP G7 CORE W20008101</v>
      </c>
      <c r="D775" s="1071" t="str">
        <f t="shared" si="810"/>
        <v>IT Equipment</v>
      </c>
      <c r="E775" s="1071" t="str">
        <f t="shared" si="810"/>
        <v>T0170251</v>
      </c>
      <c r="F775" s="1125">
        <f t="shared" si="810"/>
        <v>2020</v>
      </c>
      <c r="H775" s="1071" t="s">
        <v>29</v>
      </c>
      <c r="I775" s="1071" t="s">
        <v>79</v>
      </c>
      <c r="AZ775" s="1108"/>
      <c r="BA775" s="1109"/>
      <c r="BB775" s="1109"/>
      <c r="BC775" s="1109"/>
      <c r="BD775" s="1109"/>
      <c r="BE775" s="1109"/>
      <c r="BF775" s="1109">
        <f t="shared" ref="BF775:BJ775" si="811">BF428*$AW125</f>
        <v>0.10136999999999999</v>
      </c>
      <c r="BG775" s="1109">
        <f t="shared" si="811"/>
        <v>0.17374999999999999</v>
      </c>
      <c r="BH775" s="1109">
        <f t="shared" si="811"/>
        <v>0.17374999999999999</v>
      </c>
      <c r="BI775" s="1109">
        <f t="shared" si="811"/>
        <v>7.2380000000000014E-2</v>
      </c>
      <c r="BJ775" s="1109">
        <f t="shared" si="811"/>
        <v>0</v>
      </c>
    </row>
    <row r="776" spans="2:62" hidden="1" outlineLevel="1">
      <c r="B776" s="1094"/>
      <c r="C776" s="1071" t="str">
        <f t="shared" ref="C776:F776" si="812">C429</f>
        <v>T017 - OPTIPLEX5060 W20007744</v>
      </c>
      <c r="D776" s="1071" t="str">
        <f t="shared" si="812"/>
        <v>IT Equipment</v>
      </c>
      <c r="E776" s="1071" t="str">
        <f t="shared" si="812"/>
        <v>T0170252</v>
      </c>
      <c r="F776" s="1125">
        <f t="shared" si="812"/>
        <v>2020</v>
      </c>
      <c r="H776" s="1071" t="s">
        <v>29</v>
      </c>
      <c r="I776" s="1071" t="s">
        <v>79</v>
      </c>
      <c r="AZ776" s="1108"/>
      <c r="BA776" s="1109"/>
      <c r="BB776" s="1109"/>
      <c r="BC776" s="1109"/>
      <c r="BD776" s="1109"/>
      <c r="BE776" s="1109"/>
      <c r="BF776" s="1109">
        <f t="shared" ref="BF776:BJ776" si="813">BF429*$AW126</f>
        <v>0.15002999999999994</v>
      </c>
      <c r="BG776" s="1109">
        <f t="shared" si="813"/>
        <v>0.15</v>
      </c>
      <c r="BH776" s="1109">
        <f t="shared" si="813"/>
        <v>0.14997000000000002</v>
      </c>
      <c r="BI776" s="1109">
        <f t="shared" si="813"/>
        <v>0</v>
      </c>
      <c r="BJ776" s="1109">
        <f t="shared" si="813"/>
        <v>0</v>
      </c>
    </row>
    <row r="777" spans="2:62" hidden="1" outlineLevel="1">
      <c r="B777" s="1094"/>
      <c r="C777" s="1071" t="str">
        <f t="shared" ref="C777:F777" si="814">C430</f>
        <v>T017 - TOSHIBA W20008071</v>
      </c>
      <c r="D777" s="1071" t="str">
        <f t="shared" si="814"/>
        <v>IT Equipment</v>
      </c>
      <c r="E777" s="1071" t="str">
        <f t="shared" si="814"/>
        <v>T0170264</v>
      </c>
      <c r="F777" s="1125">
        <f t="shared" si="814"/>
        <v>2020</v>
      </c>
      <c r="H777" s="1071" t="s">
        <v>29</v>
      </c>
      <c r="I777" s="1071" t="s">
        <v>79</v>
      </c>
      <c r="AZ777" s="1108"/>
      <c r="BA777" s="1109"/>
      <c r="BB777" s="1109"/>
      <c r="BC777" s="1109"/>
      <c r="BD777" s="1109"/>
      <c r="BE777" s="1109"/>
      <c r="BF777" s="1109">
        <f t="shared" ref="BF777:BJ777" si="815">BF430*$AW127</f>
        <v>8.8357500000000019E-2</v>
      </c>
      <c r="BG777" s="1109">
        <f t="shared" si="815"/>
        <v>0.15145000000000003</v>
      </c>
      <c r="BH777" s="1109">
        <f t="shared" si="815"/>
        <v>0.15145000000000003</v>
      </c>
      <c r="BI777" s="1109">
        <f t="shared" si="815"/>
        <v>6.3092499999999968E-2</v>
      </c>
      <c r="BJ777" s="1109">
        <f t="shared" si="815"/>
        <v>0</v>
      </c>
    </row>
    <row r="778" spans="2:62" hidden="1" outlineLevel="1">
      <c r="B778" s="1094"/>
      <c r="C778" s="1071" t="str">
        <f t="shared" ref="C778:F778" si="816">C431</f>
        <v>T017 - TOSHIBA W20008072</v>
      </c>
      <c r="D778" s="1071" t="str">
        <f t="shared" si="816"/>
        <v>IT Equipment</v>
      </c>
      <c r="E778" s="1071" t="str">
        <f t="shared" si="816"/>
        <v>T0170265</v>
      </c>
      <c r="F778" s="1125">
        <f t="shared" si="816"/>
        <v>2020</v>
      </c>
      <c r="H778" s="1071" t="s">
        <v>29</v>
      </c>
      <c r="I778" s="1071" t="s">
        <v>79</v>
      </c>
      <c r="AZ778" s="1108"/>
      <c r="BA778" s="1109"/>
      <c r="BB778" s="1109"/>
      <c r="BC778" s="1109"/>
      <c r="BD778" s="1109"/>
      <c r="BE778" s="1109"/>
      <c r="BF778" s="1109">
        <f t="shared" ref="BF778:BJ778" si="817">BF431*$AW128</f>
        <v>8.8357500000000019E-2</v>
      </c>
      <c r="BG778" s="1109">
        <f t="shared" si="817"/>
        <v>0.15145000000000003</v>
      </c>
      <c r="BH778" s="1109">
        <f t="shared" si="817"/>
        <v>0.15145000000000003</v>
      </c>
      <c r="BI778" s="1109">
        <f t="shared" si="817"/>
        <v>6.3092499999999968E-2</v>
      </c>
      <c r="BJ778" s="1109">
        <f t="shared" si="817"/>
        <v>0</v>
      </c>
    </row>
    <row r="779" spans="2:62" hidden="1" outlineLevel="1">
      <c r="B779" s="1094"/>
      <c r="C779" s="1071" t="str">
        <f t="shared" ref="C779:F779" si="818">C432</f>
        <v>T017 - TOSHIBA W20008079</v>
      </c>
      <c r="D779" s="1071" t="str">
        <f t="shared" si="818"/>
        <v>IT Equipment</v>
      </c>
      <c r="E779" s="1071" t="str">
        <f t="shared" si="818"/>
        <v>T0170271</v>
      </c>
      <c r="F779" s="1125">
        <f t="shared" si="818"/>
        <v>2020</v>
      </c>
      <c r="H779" s="1071" t="s">
        <v>29</v>
      </c>
      <c r="I779" s="1071" t="s">
        <v>79</v>
      </c>
      <c r="AZ779" s="1108"/>
      <c r="BA779" s="1109"/>
      <c r="BB779" s="1109"/>
      <c r="BC779" s="1109"/>
      <c r="BD779" s="1109"/>
      <c r="BE779" s="1109"/>
      <c r="BF779" s="1109">
        <f t="shared" ref="BF779:BJ779" si="819">BF432*$AW129</f>
        <v>8.8357500000000019E-2</v>
      </c>
      <c r="BG779" s="1109">
        <f t="shared" si="819"/>
        <v>0.15145000000000003</v>
      </c>
      <c r="BH779" s="1109">
        <f t="shared" si="819"/>
        <v>0.15145000000000003</v>
      </c>
      <c r="BI779" s="1109">
        <f t="shared" si="819"/>
        <v>6.3092499999999968E-2</v>
      </c>
      <c r="BJ779" s="1109">
        <f t="shared" si="819"/>
        <v>0</v>
      </c>
    </row>
    <row r="780" spans="2:62" hidden="1" outlineLevel="1">
      <c r="B780" s="1094"/>
      <c r="C780" s="1071" t="str">
        <f t="shared" ref="C780:F780" si="820">C433</f>
        <v>T017 - HP250G7 CORE W20008101</v>
      </c>
      <c r="D780" s="1071" t="str">
        <f t="shared" si="820"/>
        <v>IT Equipment</v>
      </c>
      <c r="E780" s="1071" t="str">
        <f t="shared" si="820"/>
        <v>T0170286</v>
      </c>
      <c r="F780" s="1125">
        <f t="shared" si="820"/>
        <v>2020</v>
      </c>
      <c r="H780" s="1071" t="s">
        <v>29</v>
      </c>
      <c r="I780" s="1071" t="s">
        <v>79</v>
      </c>
      <c r="AZ780" s="1108"/>
      <c r="BA780" s="1109"/>
      <c r="BB780" s="1109"/>
      <c r="BC780" s="1109"/>
      <c r="BD780" s="1109"/>
      <c r="BE780" s="1109"/>
      <c r="BF780" s="1109">
        <f t="shared" ref="BF780:BJ780" si="821">BF433*$AW130</f>
        <v>0.10136999999999999</v>
      </c>
      <c r="BG780" s="1109">
        <f t="shared" si="821"/>
        <v>0.17374999999999999</v>
      </c>
      <c r="BH780" s="1109">
        <f t="shared" si="821"/>
        <v>0.17374999999999999</v>
      </c>
      <c r="BI780" s="1109">
        <f t="shared" si="821"/>
        <v>7.2380000000000014E-2</v>
      </c>
      <c r="BJ780" s="1109">
        <f t="shared" si="821"/>
        <v>0</v>
      </c>
    </row>
    <row r="781" spans="2:62" hidden="1" outlineLevel="1">
      <c r="B781" s="1094"/>
      <c r="C781" s="1071" t="str">
        <f t="shared" ref="C781:F781" si="822">C434</f>
        <v>T017 - HP250G7 CORE W20008103</v>
      </c>
      <c r="D781" s="1071" t="str">
        <f t="shared" si="822"/>
        <v>IT Equipment</v>
      </c>
      <c r="E781" s="1071" t="str">
        <f t="shared" si="822"/>
        <v>T0170288</v>
      </c>
      <c r="F781" s="1125">
        <f t="shared" si="822"/>
        <v>2020</v>
      </c>
      <c r="H781" s="1071" t="s">
        <v>29</v>
      </c>
      <c r="I781" s="1071" t="s">
        <v>79</v>
      </c>
      <c r="AZ781" s="1108"/>
      <c r="BA781" s="1109"/>
      <c r="BB781" s="1109"/>
      <c r="BC781" s="1109"/>
      <c r="BD781" s="1109"/>
      <c r="BE781" s="1109"/>
      <c r="BF781" s="1109">
        <f t="shared" ref="BF781:BJ781" si="823">BF434*$AW131</f>
        <v>0.10136999999999999</v>
      </c>
      <c r="BG781" s="1109">
        <f t="shared" si="823"/>
        <v>0.17374999999999999</v>
      </c>
      <c r="BH781" s="1109">
        <f t="shared" si="823"/>
        <v>0.17374999999999999</v>
      </c>
      <c r="BI781" s="1109">
        <f t="shared" si="823"/>
        <v>7.2380000000000014E-2</v>
      </c>
      <c r="BJ781" s="1109">
        <f t="shared" si="823"/>
        <v>0</v>
      </c>
    </row>
    <row r="782" spans="2:62" hidden="1" outlineLevel="1">
      <c r="B782" s="1094"/>
      <c r="C782" s="1071" t="str">
        <f t="shared" ref="C782:F782" si="824">C435</f>
        <v>T017 - OPTIPLEX5060 W20007789</v>
      </c>
      <c r="D782" s="1071" t="str">
        <f t="shared" si="824"/>
        <v>IT Equipment</v>
      </c>
      <c r="E782" s="1071" t="str">
        <f t="shared" si="824"/>
        <v>T0170289</v>
      </c>
      <c r="F782" s="1125">
        <f t="shared" si="824"/>
        <v>2020</v>
      </c>
      <c r="H782" s="1071" t="s">
        <v>29</v>
      </c>
      <c r="I782" s="1071" t="s">
        <v>79</v>
      </c>
      <c r="AZ782" s="1108"/>
      <c r="BA782" s="1109"/>
      <c r="BB782" s="1109"/>
      <c r="BC782" s="1109"/>
      <c r="BD782" s="1109"/>
      <c r="BE782" s="1109"/>
      <c r="BF782" s="1109">
        <f t="shared" ref="BF782:BJ782" si="825">BF435*$AW132</f>
        <v>0.15002999999999994</v>
      </c>
      <c r="BG782" s="1109">
        <f t="shared" si="825"/>
        <v>0.15</v>
      </c>
      <c r="BH782" s="1109">
        <f t="shared" si="825"/>
        <v>0.14997000000000002</v>
      </c>
      <c r="BI782" s="1109">
        <f t="shared" si="825"/>
        <v>0</v>
      </c>
      <c r="BJ782" s="1109">
        <f t="shared" si="825"/>
        <v>0</v>
      </c>
    </row>
    <row r="783" spans="2:62" hidden="1" outlineLevel="1">
      <c r="B783" s="1094"/>
      <c r="C783" s="1071" t="str">
        <f t="shared" ref="C783:F783" si="826">C436</f>
        <v>T017 - QUEST W20007746</v>
      </c>
      <c r="D783" s="1071" t="str">
        <f t="shared" si="826"/>
        <v>IT Equipment</v>
      </c>
      <c r="E783" s="1071" t="str">
        <f t="shared" si="826"/>
        <v>T0170295</v>
      </c>
      <c r="F783" s="1125">
        <f t="shared" si="826"/>
        <v>2020</v>
      </c>
      <c r="H783" s="1071" t="s">
        <v>29</v>
      </c>
      <c r="I783" s="1071" t="s">
        <v>79</v>
      </c>
      <c r="AZ783" s="1108"/>
      <c r="BA783" s="1109"/>
      <c r="BB783" s="1109"/>
      <c r="BC783" s="1109"/>
      <c r="BD783" s="1109"/>
      <c r="BE783" s="1109"/>
      <c r="BF783" s="1109">
        <f t="shared" ref="BF783:BJ783" si="827">BF436*$AW133</f>
        <v>5.5702500000000002E-2</v>
      </c>
      <c r="BG783" s="1109">
        <f t="shared" si="827"/>
        <v>0.66844000000000015</v>
      </c>
      <c r="BH783" s="1109">
        <f t="shared" si="827"/>
        <v>0.66844000000000015</v>
      </c>
      <c r="BI783" s="1109">
        <f t="shared" si="827"/>
        <v>0.61273750000000005</v>
      </c>
      <c r="BJ783" s="1109">
        <f t="shared" si="827"/>
        <v>0</v>
      </c>
    </row>
    <row r="784" spans="2:62" hidden="1" outlineLevel="1">
      <c r="B784" s="1094"/>
      <c r="C784" s="1071" t="str">
        <f t="shared" ref="C784:F784" si="828">C437</f>
        <v>T018 - HP COLOR LASERJET BCY</v>
      </c>
      <c r="D784" s="1071" t="str">
        <f t="shared" si="828"/>
        <v>IT Equipment</v>
      </c>
      <c r="E784" s="1071" t="str">
        <f t="shared" si="828"/>
        <v>T0180063</v>
      </c>
      <c r="F784" s="1125">
        <f t="shared" si="828"/>
        <v>2020</v>
      </c>
      <c r="H784" s="1071" t="s">
        <v>29</v>
      </c>
      <c r="I784" s="1071" t="s">
        <v>79</v>
      </c>
      <c r="AZ784" s="1108"/>
      <c r="BA784" s="1109"/>
      <c r="BB784" s="1109"/>
      <c r="BC784" s="1109"/>
      <c r="BD784" s="1109"/>
      <c r="BE784" s="1109"/>
      <c r="BF784" s="1109">
        <f t="shared" ref="BF784:BJ784" si="829">BF437*$AW134</f>
        <v>0.29063250000000002</v>
      </c>
      <c r="BG784" s="1109">
        <f t="shared" si="829"/>
        <v>1.1625000000000001</v>
      </c>
      <c r="BH784" s="1109">
        <f t="shared" si="829"/>
        <v>1.1625000000000001</v>
      </c>
      <c r="BI784" s="1109">
        <f t="shared" si="829"/>
        <v>0.87186750000000024</v>
      </c>
      <c r="BJ784" s="1109">
        <f t="shared" si="829"/>
        <v>0</v>
      </c>
    </row>
    <row r="785" spans="2:62" hidden="1" outlineLevel="1">
      <c r="B785" s="1094"/>
      <c r="C785" s="1071" t="str">
        <f t="shared" ref="C785:F785" si="830">C438</f>
        <v>T017 - TOSHIBA X20 W20008075</v>
      </c>
      <c r="D785" s="1071" t="str">
        <f t="shared" si="830"/>
        <v>IT Equipment</v>
      </c>
      <c r="E785" s="1071" t="str">
        <f t="shared" si="830"/>
        <v>T0170220</v>
      </c>
      <c r="F785" s="1125">
        <f t="shared" si="830"/>
        <v>2020</v>
      </c>
      <c r="H785" s="1071" t="s">
        <v>29</v>
      </c>
      <c r="I785" s="1071" t="s">
        <v>79</v>
      </c>
      <c r="AZ785" s="1108"/>
      <c r="BA785" s="1109"/>
      <c r="BB785" s="1109"/>
      <c r="BC785" s="1109"/>
      <c r="BD785" s="1109"/>
      <c r="BE785" s="1109"/>
      <c r="BF785" s="1109">
        <f t="shared" ref="BF785:BJ785" si="831">BF438*$AW135</f>
        <v>8.7569999999999995E-2</v>
      </c>
      <c r="BG785" s="1109">
        <f t="shared" si="831"/>
        <v>0.14604486486486487</v>
      </c>
      <c r="BH785" s="1109">
        <f t="shared" si="831"/>
        <v>0.14604486486486487</v>
      </c>
      <c r="BI785" s="1109">
        <f t="shared" si="831"/>
        <v>7.0645270270270275E-2</v>
      </c>
      <c r="BJ785" s="1109">
        <f t="shared" si="831"/>
        <v>0</v>
      </c>
    </row>
    <row r="786" spans="2:62" hidden="1" outlineLevel="1">
      <c r="B786" s="1094"/>
      <c r="C786" s="1071" t="str">
        <f t="shared" ref="C786:F786" si="832">C439</f>
        <v>T017 - TOSHIBA X20 W20008017</v>
      </c>
      <c r="D786" s="1071" t="str">
        <f t="shared" si="832"/>
        <v>IT Equipment</v>
      </c>
      <c r="E786" s="1071" t="str">
        <f t="shared" si="832"/>
        <v>T0170239</v>
      </c>
      <c r="F786" s="1125">
        <f t="shared" si="832"/>
        <v>2020</v>
      </c>
      <c r="H786" s="1071" t="s">
        <v>29</v>
      </c>
      <c r="I786" s="1071" t="s">
        <v>79</v>
      </c>
      <c r="AZ786" s="1108"/>
      <c r="BA786" s="1109"/>
      <c r="BB786" s="1109"/>
      <c r="BC786" s="1109"/>
      <c r="BD786" s="1109"/>
      <c r="BE786" s="1109"/>
      <c r="BF786" s="1109">
        <f t="shared" ref="BF786:BJ786" si="833">BF439*$AW136</f>
        <v>0.14645500000000003</v>
      </c>
      <c r="BG786" s="1109">
        <f t="shared" si="833"/>
        <v>0.25106833333333334</v>
      </c>
      <c r="BH786" s="1109">
        <f t="shared" si="833"/>
        <v>0.25106833333333334</v>
      </c>
      <c r="BI786" s="1109">
        <f t="shared" si="833"/>
        <v>0.10461333333333336</v>
      </c>
      <c r="BJ786" s="1109">
        <f t="shared" si="833"/>
        <v>0</v>
      </c>
    </row>
    <row r="787" spans="2:62" hidden="1" outlineLevel="1">
      <c r="B787" s="1094"/>
      <c r="C787" s="1071" t="str">
        <f t="shared" ref="C787:F787" si="834">C440</f>
        <v>T017 - TOSHIBA W20008075</v>
      </c>
      <c r="D787" s="1071" t="str">
        <f t="shared" si="834"/>
        <v>IT Equipment</v>
      </c>
      <c r="E787" s="1071" t="str">
        <f t="shared" si="834"/>
        <v>T0170268</v>
      </c>
      <c r="F787" s="1125">
        <f t="shared" si="834"/>
        <v>2020</v>
      </c>
      <c r="H787" s="1071" t="s">
        <v>29</v>
      </c>
      <c r="I787" s="1071" t="s">
        <v>79</v>
      </c>
      <c r="AZ787" s="1108"/>
      <c r="BA787" s="1109"/>
      <c r="BB787" s="1109"/>
      <c r="BC787" s="1109"/>
      <c r="BD787" s="1109"/>
      <c r="BE787" s="1109"/>
      <c r="BF787" s="1109">
        <f t="shared" ref="BF787:BJ787" si="835">BF440*$AW137</f>
        <v>5.8905000000000013E-2</v>
      </c>
      <c r="BG787" s="1109">
        <f t="shared" si="835"/>
        <v>0.10096666666666668</v>
      </c>
      <c r="BH787" s="1109">
        <f t="shared" si="835"/>
        <v>0.10096666666666668</v>
      </c>
      <c r="BI787" s="1109">
        <f t="shared" si="835"/>
        <v>4.206166666666665E-2</v>
      </c>
      <c r="BJ787" s="1109">
        <f t="shared" si="835"/>
        <v>0</v>
      </c>
    </row>
    <row r="788" spans="2:62" hidden="1" outlineLevel="1">
      <c r="B788" s="1094"/>
      <c r="C788" s="1071" t="str">
        <f t="shared" ref="C788:F788" si="836">C441</f>
        <v>T022 - DAAMS OMP PACKAGE</v>
      </c>
      <c r="D788" s="1071" t="str">
        <f t="shared" si="836"/>
        <v>DAAMS OMP PACKAGE</v>
      </c>
      <c r="E788" s="1071" t="str">
        <f t="shared" si="836"/>
        <v>T0220001</v>
      </c>
      <c r="F788" s="1125">
        <f t="shared" si="836"/>
        <v>2020</v>
      </c>
      <c r="H788" s="1071" t="s">
        <v>29</v>
      </c>
      <c r="I788" s="1071" t="s">
        <v>79</v>
      </c>
      <c r="AZ788" s="1108"/>
      <c r="BA788" s="1109"/>
      <c r="BB788" s="1109"/>
      <c r="BC788" s="1109"/>
      <c r="BD788" s="1109"/>
      <c r="BE788" s="1109"/>
      <c r="BF788" s="1109">
        <f t="shared" ref="BF788:BJ788" si="837">BF441*$AW138</f>
        <v>4.8666764000000002</v>
      </c>
      <c r="BG788" s="1109">
        <f t="shared" si="837"/>
        <v>14.6</v>
      </c>
      <c r="BH788" s="1109">
        <f t="shared" si="837"/>
        <v>14.6</v>
      </c>
      <c r="BI788" s="1109">
        <f t="shared" si="837"/>
        <v>9.7333235999999985</v>
      </c>
      <c r="BJ788" s="1109">
        <f t="shared" si="837"/>
        <v>0</v>
      </c>
    </row>
    <row r="789" spans="2:62" hidden="1" outlineLevel="1">
      <c r="B789" s="1094"/>
      <c r="C789" s="1071" t="str">
        <f t="shared" ref="C789:F789" si="838">C442</f>
        <v>S024 - BCY ITRoom Upgrades</v>
      </c>
      <c r="D789" s="1071" t="str">
        <f t="shared" si="838"/>
        <v>IT Room Upgrades</v>
      </c>
      <c r="E789" s="1071" t="str">
        <f t="shared" si="838"/>
        <v>S0240011</v>
      </c>
      <c r="F789" s="1125">
        <f t="shared" si="838"/>
        <v>2020</v>
      </c>
      <c r="H789" s="1071" t="s">
        <v>29</v>
      </c>
      <c r="I789" s="1071" t="s">
        <v>79</v>
      </c>
      <c r="AZ789" s="1108"/>
      <c r="BA789" s="1109"/>
      <c r="BB789" s="1109"/>
      <c r="BC789" s="1109"/>
      <c r="BD789" s="1109"/>
      <c r="BE789" s="1109"/>
      <c r="BF789" s="1109">
        <f t="shared" ref="BF789:BJ789" si="839">BF442*$AW139</f>
        <v>0.68559749999999997</v>
      </c>
      <c r="BG789" s="1109">
        <f t="shared" si="839"/>
        <v>8.2271699999999992</v>
      </c>
      <c r="BH789" s="1109">
        <f t="shared" si="839"/>
        <v>8.2271699999999992</v>
      </c>
      <c r="BI789" s="1109">
        <f t="shared" si="839"/>
        <v>8.2271699999999992</v>
      </c>
      <c r="BJ789" s="1109">
        <f t="shared" si="839"/>
        <v>8.2271699999999992</v>
      </c>
    </row>
    <row r="790" spans="2:62" hidden="1" outlineLevel="1">
      <c r="B790" s="1094"/>
      <c r="C790" s="1071" t="str">
        <f t="shared" ref="C790:F790" si="840">C443</f>
        <v>T019 - 2 Servers BCY</v>
      </c>
      <c r="D790" s="1071" t="str">
        <f t="shared" si="840"/>
        <v>IT Servers</v>
      </c>
      <c r="E790" s="1071" t="str">
        <f t="shared" si="840"/>
        <v>T0190003</v>
      </c>
      <c r="F790" s="1125">
        <f t="shared" si="840"/>
        <v>2020</v>
      </c>
      <c r="H790" s="1071" t="s">
        <v>29</v>
      </c>
      <c r="I790" s="1071" t="s">
        <v>79</v>
      </c>
      <c r="AZ790" s="1108"/>
      <c r="BA790" s="1109"/>
      <c r="BB790" s="1109"/>
      <c r="BC790" s="1109"/>
      <c r="BD790" s="1109"/>
      <c r="BE790" s="1109"/>
      <c r="BF790" s="1109">
        <f t="shared" ref="BF790:BJ790" si="841">BF443*$AW140</f>
        <v>12.214709999999998</v>
      </c>
      <c r="BG790" s="1109">
        <f t="shared" si="841"/>
        <v>12.214694999999999</v>
      </c>
      <c r="BH790" s="1109">
        <f t="shared" si="841"/>
        <v>12.21468</v>
      </c>
      <c r="BI790" s="1109">
        <f t="shared" si="841"/>
        <v>0</v>
      </c>
      <c r="BJ790" s="1109">
        <f t="shared" si="841"/>
        <v>0</v>
      </c>
    </row>
    <row r="791" spans="2:62" hidden="1" outlineLevel="1">
      <c r="B791" s="1094"/>
      <c r="C791" s="1071" t="str">
        <f t="shared" ref="C791:F791" si="842">C444</f>
        <v>T019 - 1 Server SHN</v>
      </c>
      <c r="D791" s="1071" t="str">
        <f t="shared" si="842"/>
        <v>IT Servers</v>
      </c>
      <c r="E791" s="1071" t="str">
        <f t="shared" si="842"/>
        <v>T0190004</v>
      </c>
      <c r="F791" s="1125">
        <f t="shared" si="842"/>
        <v>2020</v>
      </c>
      <c r="H791" s="1071" t="s">
        <v>29</v>
      </c>
      <c r="I791" s="1071" t="s">
        <v>79</v>
      </c>
      <c r="AZ791" s="1108"/>
      <c r="BA791" s="1109"/>
      <c r="BB791" s="1109"/>
      <c r="BC791" s="1109"/>
      <c r="BD791" s="1109"/>
      <c r="BE791" s="1109"/>
      <c r="BF791" s="1109">
        <f t="shared" ref="BF791:BJ791" si="843">BF444*$AW141</f>
        <v>0.37526999999999999</v>
      </c>
      <c r="BG791" s="1109">
        <f t="shared" si="843"/>
        <v>0.64332</v>
      </c>
      <c r="BH791" s="1109">
        <f t="shared" si="843"/>
        <v>0.64332</v>
      </c>
      <c r="BI791" s="1109">
        <f t="shared" si="843"/>
        <v>0.26805000000000001</v>
      </c>
      <c r="BJ791" s="1109">
        <f t="shared" si="843"/>
        <v>0</v>
      </c>
    </row>
    <row r="792" spans="2:62" hidden="1" outlineLevel="1">
      <c r="B792" s="1094"/>
      <c r="C792" s="1071" t="str">
        <f t="shared" ref="C792:F792" si="844">C445</f>
        <v>P003 - RBS Radios Rosslare</v>
      </c>
      <c r="D792" s="1071" t="str">
        <f t="shared" si="844"/>
        <v>RBS Radios Rosslare</v>
      </c>
      <c r="E792" s="1071" t="str">
        <f t="shared" si="844"/>
        <v>P0030002</v>
      </c>
      <c r="F792" s="1125">
        <f t="shared" si="844"/>
        <v>2020</v>
      </c>
      <c r="H792" s="1071" t="s">
        <v>29</v>
      </c>
      <c r="I792" s="1071" t="s">
        <v>79</v>
      </c>
      <c r="AZ792" s="1108"/>
      <c r="BA792" s="1109"/>
      <c r="BB792" s="1109"/>
      <c r="BC792" s="1109"/>
      <c r="BD792" s="1109"/>
      <c r="BE792" s="1109"/>
      <c r="BF792" s="1109">
        <f t="shared" ref="BF792:BJ792" si="845">BF445*$AW142</f>
        <v>1.03386</v>
      </c>
      <c r="BG792" s="1109">
        <f t="shared" si="845"/>
        <v>3.1015537499999999</v>
      </c>
      <c r="BH792" s="1109">
        <f t="shared" si="845"/>
        <v>3.1015537499999999</v>
      </c>
      <c r="BI792" s="1109">
        <f t="shared" si="845"/>
        <v>3.1015537499999999</v>
      </c>
      <c r="BJ792" s="1109">
        <f t="shared" si="845"/>
        <v>3.1015537499999999</v>
      </c>
    </row>
    <row r="793" spans="2:62" hidden="1" outlineLevel="1">
      <c r="B793" s="1094"/>
      <c r="C793" s="1071" t="str">
        <f t="shared" ref="C793:F793" si="846">C446</f>
        <v>Q027 HQ ICT Room Upgrades</v>
      </c>
      <c r="D793" s="1071" t="str">
        <f t="shared" si="846"/>
        <v>ICT Room Upgrades</v>
      </c>
      <c r="E793" s="1071" t="str">
        <f t="shared" si="846"/>
        <v>Q0270010</v>
      </c>
      <c r="F793" s="1125">
        <f t="shared" si="846"/>
        <v>2020</v>
      </c>
      <c r="H793" s="1071" t="s">
        <v>29</v>
      </c>
      <c r="I793" s="1071" t="s">
        <v>79</v>
      </c>
      <c r="AZ793" s="1108"/>
      <c r="BA793" s="1109"/>
      <c r="BB793" s="1109"/>
      <c r="BC793" s="1109"/>
      <c r="BD793" s="1109"/>
      <c r="BE793" s="1109"/>
      <c r="BF793" s="1109">
        <f t="shared" ref="BF793:BJ793" si="847">BF446*$AW143</f>
        <v>3.7042535999999999</v>
      </c>
      <c r="BG793" s="1109">
        <f t="shared" si="847"/>
        <v>3.7042584666666669</v>
      </c>
      <c r="BH793" s="1109">
        <f t="shared" si="847"/>
        <v>3.7042584666666669</v>
      </c>
      <c r="BI793" s="1109">
        <f t="shared" si="847"/>
        <v>4.8666666671970188E-6</v>
      </c>
      <c r="BJ793" s="1109">
        <f t="shared" si="847"/>
        <v>0</v>
      </c>
    </row>
    <row r="794" spans="2:62" hidden="1" outlineLevel="1">
      <c r="B794" s="1094"/>
      <c r="C794" s="1071" t="str">
        <f t="shared" ref="C794:F794" si="848">C447</f>
        <v>Q027 BCY ICT Room Upgrades</v>
      </c>
      <c r="D794" s="1071" t="str">
        <f t="shared" si="848"/>
        <v>ICT Room Upgrades</v>
      </c>
      <c r="E794" s="1071" t="str">
        <f t="shared" si="848"/>
        <v>Q0270009</v>
      </c>
      <c r="F794" s="1125">
        <f t="shared" si="848"/>
        <v>2020</v>
      </c>
      <c r="H794" s="1071" t="s">
        <v>29</v>
      </c>
      <c r="I794" s="1071" t="s">
        <v>79</v>
      </c>
      <c r="AZ794" s="1108"/>
      <c r="BA794" s="1109"/>
      <c r="BB794" s="1109"/>
      <c r="BC794" s="1109"/>
      <c r="BD794" s="1109"/>
      <c r="BE794" s="1109"/>
      <c r="BF794" s="1109">
        <f t="shared" ref="BF794:BJ794" si="849">BF447*$AW144</f>
        <v>3.8366549999999995</v>
      </c>
      <c r="BG794" s="1109">
        <f t="shared" si="849"/>
        <v>4.1854149999999999</v>
      </c>
      <c r="BH794" s="1109">
        <f t="shared" si="849"/>
        <v>4.1854149999999999</v>
      </c>
      <c r="BI794" s="1109">
        <f t="shared" si="849"/>
        <v>0.34876000000000051</v>
      </c>
      <c r="BJ794" s="1109">
        <f t="shared" si="849"/>
        <v>0</v>
      </c>
    </row>
    <row r="795" spans="2:62" hidden="1" outlineLevel="1">
      <c r="B795" s="1094"/>
      <c r="C795" s="1071" t="str">
        <f t="shared" ref="C795:F795" si="850">C448</f>
        <v>S004 - NRT2</v>
      </c>
      <c r="D795" s="1071" t="str">
        <f t="shared" si="850"/>
        <v>NRT2</v>
      </c>
      <c r="E795" s="1071" t="str">
        <f t="shared" si="850"/>
        <v>S0040015</v>
      </c>
      <c r="F795" s="1125">
        <f t="shared" si="850"/>
        <v>2020</v>
      </c>
      <c r="H795" s="1071" t="s">
        <v>29</v>
      </c>
      <c r="I795" s="1071" t="s">
        <v>79</v>
      </c>
      <c r="AZ795" s="1108"/>
      <c r="BA795" s="1109"/>
      <c r="BB795" s="1109"/>
      <c r="BC795" s="1109"/>
      <c r="BD795" s="1109"/>
      <c r="BE795" s="1109"/>
      <c r="BF795" s="1109">
        <f t="shared" ref="BF795:BJ795" si="851">BF448*$AW145</f>
        <v>0.78193500000000005</v>
      </c>
      <c r="BG795" s="1109">
        <f t="shared" si="851"/>
        <v>0.85304999999999997</v>
      </c>
      <c r="BH795" s="1109">
        <f t="shared" si="851"/>
        <v>0.85304999999999997</v>
      </c>
      <c r="BI795" s="1109">
        <f t="shared" si="851"/>
        <v>0.85304999999999997</v>
      </c>
      <c r="BJ795" s="1109">
        <f t="shared" si="851"/>
        <v>0.85304999999999997</v>
      </c>
    </row>
    <row r="796" spans="2:62" hidden="1" outlineLevel="1">
      <c r="B796" s="1094"/>
      <c r="C796" s="1071" t="str">
        <f t="shared" ref="C796:F796" si="852">C449</f>
        <v>S004 - NRT2</v>
      </c>
      <c r="D796" s="1071" t="str">
        <f t="shared" si="852"/>
        <v>NRT2</v>
      </c>
      <c r="E796" s="1071" t="str">
        <f t="shared" si="852"/>
        <v>S0040014</v>
      </c>
      <c r="F796" s="1125">
        <f t="shared" si="852"/>
        <v>2020</v>
      </c>
      <c r="H796" s="1071" t="s">
        <v>29</v>
      </c>
      <c r="I796" s="1071" t="s">
        <v>79</v>
      </c>
      <c r="AZ796" s="1108"/>
      <c r="BA796" s="1109"/>
      <c r="BB796" s="1109"/>
      <c r="BC796" s="1109"/>
      <c r="BD796" s="1109"/>
      <c r="BE796" s="1109"/>
      <c r="BF796" s="1109">
        <f t="shared" ref="BF796:BJ796" si="853">BF449*$AW146</f>
        <v>1.5639525000000001</v>
      </c>
      <c r="BG796" s="1109">
        <f t="shared" si="853"/>
        <v>1.7060999999999999</v>
      </c>
      <c r="BH796" s="1109">
        <f t="shared" si="853"/>
        <v>1.7060999999999999</v>
      </c>
      <c r="BI796" s="1109">
        <f t="shared" si="853"/>
        <v>1.7060999999999999</v>
      </c>
      <c r="BJ796" s="1109">
        <f t="shared" si="853"/>
        <v>1.7060999999999999</v>
      </c>
    </row>
    <row r="797" spans="2:62" hidden="1" outlineLevel="1">
      <c r="B797" s="1094"/>
      <c r="C797" s="1071" t="str">
        <f t="shared" ref="C797:F797" si="854">C450</f>
        <v>T013 - KF73875 FF AVIOR ELBRUS HBACK OPERATOR x2</v>
      </c>
      <c r="D797" s="1071" t="str">
        <f t="shared" si="854"/>
        <v>Office Equipment</v>
      </c>
      <c r="E797" s="1071" t="str">
        <f t="shared" si="854"/>
        <v>t0130005</v>
      </c>
      <c r="F797" s="1125">
        <f t="shared" si="854"/>
        <v>2020</v>
      </c>
      <c r="H797" s="1071" t="s">
        <v>29</v>
      </c>
      <c r="I797" s="1071" t="s">
        <v>79</v>
      </c>
      <c r="AZ797" s="1108"/>
      <c r="BA797" s="1109"/>
      <c r="BB797" s="1109"/>
      <c r="BC797" s="1109"/>
      <c r="BD797" s="1109"/>
      <c r="BE797" s="1109"/>
      <c r="BF797" s="1109">
        <f t="shared" ref="BF797:BJ797" si="855">BF450*$AW147</f>
        <v>0.126</v>
      </c>
      <c r="BG797" s="1109">
        <f t="shared" si="855"/>
        <v>0.16800000000000001</v>
      </c>
      <c r="BH797" s="1109">
        <f t="shared" si="855"/>
        <v>0.16800000000000001</v>
      </c>
      <c r="BI797" s="1109">
        <f t="shared" si="855"/>
        <v>0.16800000000000001</v>
      </c>
      <c r="BJ797" s="1109">
        <f t="shared" si="855"/>
        <v>0.16800000000000001</v>
      </c>
    </row>
    <row r="798" spans="2:62" hidden="1" outlineLevel="1">
      <c r="B798" s="1094"/>
      <c r="C798" s="1071" t="str">
        <f t="shared" ref="C798:F798" si="856">C451</f>
        <v>T013 - OFFICE CHAIRS SHEFFIELD GREY x2</v>
      </c>
      <c r="D798" s="1071" t="str">
        <f t="shared" si="856"/>
        <v>Office Equipment</v>
      </c>
      <c r="E798" s="1071" t="str">
        <f t="shared" si="856"/>
        <v>T0130004</v>
      </c>
      <c r="F798" s="1125">
        <f t="shared" si="856"/>
        <v>2020</v>
      </c>
      <c r="H798" s="1071" t="s">
        <v>29</v>
      </c>
      <c r="I798" s="1071" t="s">
        <v>79</v>
      </c>
      <c r="AZ798" s="1108"/>
      <c r="BA798" s="1109"/>
      <c r="BB798" s="1109"/>
      <c r="BC798" s="1109"/>
      <c r="BD798" s="1109"/>
      <c r="BE798" s="1109"/>
      <c r="BF798" s="1109">
        <f t="shared" ref="BF798:BJ798" si="857">BF451*$AW148</f>
        <v>0</v>
      </c>
      <c r="BG798" s="1109">
        <f t="shared" si="857"/>
        <v>0</v>
      </c>
      <c r="BH798" s="1109">
        <f t="shared" si="857"/>
        <v>0</v>
      </c>
      <c r="BI798" s="1109">
        <f t="shared" si="857"/>
        <v>0</v>
      </c>
      <c r="BJ798" s="1109">
        <f t="shared" si="857"/>
        <v>0</v>
      </c>
    </row>
    <row r="799" spans="2:62" hidden="1" outlineLevel="1">
      <c r="B799" s="1094"/>
      <c r="C799" s="1071" t="str">
        <f t="shared" ref="C799:F799" si="858">C452</f>
        <v>New Dublin Tower - Building</v>
      </c>
      <c r="D799" s="1071" t="str">
        <f t="shared" si="858"/>
        <v>New Dublin Tower</v>
      </c>
      <c r="E799" s="1071" t="str">
        <f t="shared" si="858"/>
        <v>R034</v>
      </c>
      <c r="F799" s="1125" t="str">
        <f t="shared" si="858"/>
        <v>2021-2024</v>
      </c>
      <c r="H799" s="1071" t="s">
        <v>29</v>
      </c>
      <c r="I799" s="1071" t="s">
        <v>79</v>
      </c>
      <c r="AZ799" s="1108"/>
      <c r="BA799" s="1109"/>
      <c r="BB799" s="1109"/>
      <c r="BC799" s="1109"/>
      <c r="BD799" s="1109"/>
      <c r="BE799" s="1109"/>
      <c r="BF799" s="1109">
        <f t="shared" ref="BF799:BJ799" si="859">BF452*$AW149</f>
        <v>0</v>
      </c>
      <c r="BG799" s="1109">
        <f t="shared" si="859"/>
        <v>0</v>
      </c>
      <c r="BH799" s="1109">
        <f t="shared" si="859"/>
        <v>0</v>
      </c>
      <c r="BI799" s="1109">
        <f t="shared" si="859"/>
        <v>0</v>
      </c>
      <c r="BJ799" s="1109">
        <f t="shared" si="859"/>
        <v>0</v>
      </c>
    </row>
    <row r="800" spans="2:62" hidden="1" outlineLevel="1">
      <c r="B800" s="1094"/>
      <c r="C800" s="1071" t="str">
        <f t="shared" ref="C800:F800" si="860">C453</f>
        <v>New Dublin Tower Equipment</v>
      </c>
      <c r="D800" s="1071" t="str">
        <f t="shared" si="860"/>
        <v>New Dublin Tower</v>
      </c>
      <c r="E800" s="1071" t="str">
        <f t="shared" si="860"/>
        <v>R035</v>
      </c>
      <c r="F800" s="1125" t="str">
        <f t="shared" si="860"/>
        <v>2021-2024</v>
      </c>
      <c r="H800" s="1071" t="s">
        <v>29</v>
      </c>
      <c r="I800" s="1071" t="s">
        <v>79</v>
      </c>
      <c r="AZ800" s="1108"/>
      <c r="BA800" s="1109"/>
      <c r="BB800" s="1109"/>
      <c r="BC800" s="1109"/>
      <c r="BD800" s="1109"/>
      <c r="BE800" s="1109"/>
      <c r="BF800" s="1109">
        <f t="shared" ref="BF800:BJ800" si="861">BF453*$AW150</f>
        <v>0</v>
      </c>
      <c r="BG800" s="1109">
        <f t="shared" si="861"/>
        <v>0</v>
      </c>
      <c r="BH800" s="1109">
        <f t="shared" si="861"/>
        <v>0</v>
      </c>
      <c r="BI800" s="1109">
        <f t="shared" si="861"/>
        <v>0</v>
      </c>
      <c r="BJ800" s="1109">
        <f t="shared" si="861"/>
        <v>0</v>
      </c>
    </row>
    <row r="801" spans="2:62" hidden="1" outlineLevel="1">
      <c r="B801" s="1094"/>
      <c r="C801" s="1071" t="str">
        <f t="shared" ref="C801:F801" si="862">C454</f>
        <v>New Dublin Tower Equipment - Contingency</v>
      </c>
      <c r="D801" s="1071" t="str">
        <f t="shared" si="862"/>
        <v>New Dublin Tower</v>
      </c>
      <c r="E801" s="1071" t="str">
        <f t="shared" si="862"/>
        <v>R035A</v>
      </c>
      <c r="F801" s="1125" t="str">
        <f t="shared" si="862"/>
        <v>2021-2024</v>
      </c>
      <c r="H801" s="1071" t="s">
        <v>29</v>
      </c>
      <c r="I801" s="1071" t="s">
        <v>79</v>
      </c>
      <c r="AZ801" s="1108"/>
      <c r="BA801" s="1109"/>
      <c r="BB801" s="1109"/>
      <c r="BC801" s="1109"/>
      <c r="BD801" s="1109"/>
      <c r="BE801" s="1109"/>
      <c r="BF801" s="1109">
        <f t="shared" ref="BF801:BJ801" si="863">BF454*$AW151</f>
        <v>0</v>
      </c>
      <c r="BG801" s="1109">
        <f t="shared" si="863"/>
        <v>0</v>
      </c>
      <c r="BH801" s="1109">
        <f t="shared" si="863"/>
        <v>0</v>
      </c>
      <c r="BI801" s="1109">
        <f t="shared" si="863"/>
        <v>0</v>
      </c>
      <c r="BJ801" s="1109">
        <f t="shared" si="863"/>
        <v>0</v>
      </c>
    </row>
    <row r="802" spans="2:62" hidden="1" outlineLevel="1">
      <c r="B802" s="1094"/>
      <c r="C802" s="1071" t="str">
        <f t="shared" ref="C802:F802" si="864">C455</f>
        <v>New Dublin Tower Equipment - Airspace redesign etc.</v>
      </c>
      <c r="D802" s="1071" t="str">
        <f t="shared" si="864"/>
        <v>New Dublin Tower</v>
      </c>
      <c r="E802" s="1071" t="str">
        <f t="shared" si="864"/>
        <v>R035A</v>
      </c>
      <c r="F802" s="1125" t="str">
        <f t="shared" si="864"/>
        <v>2021-2024</v>
      </c>
      <c r="H802" s="1071" t="s">
        <v>29</v>
      </c>
      <c r="I802" s="1071" t="s">
        <v>79</v>
      </c>
      <c r="AZ802" s="1108"/>
      <c r="BA802" s="1109"/>
      <c r="BB802" s="1109"/>
      <c r="BC802" s="1109"/>
      <c r="BD802" s="1109"/>
      <c r="BE802" s="1109"/>
      <c r="BF802" s="1109">
        <f t="shared" ref="BF802:BJ802" si="865">BF455*$AW152</f>
        <v>0</v>
      </c>
      <c r="BG802" s="1109">
        <f t="shared" si="865"/>
        <v>0</v>
      </c>
      <c r="BH802" s="1109">
        <f t="shared" si="865"/>
        <v>0</v>
      </c>
      <c r="BI802" s="1109">
        <f t="shared" si="865"/>
        <v>0</v>
      </c>
      <c r="BJ802" s="1109">
        <f t="shared" si="865"/>
        <v>0</v>
      </c>
    </row>
    <row r="803" spans="2:62" hidden="1" outlineLevel="1">
      <c r="B803" s="1094"/>
      <c r="C803" s="1071" t="str">
        <f t="shared" ref="C803:F803" si="866">C456</f>
        <v>New Dublin Tower Equipment - Communications Installations</v>
      </c>
      <c r="D803" s="1071" t="str">
        <f t="shared" si="866"/>
        <v>New Dublin Tower</v>
      </c>
      <c r="E803" s="1071" t="str">
        <f t="shared" si="866"/>
        <v>R035A</v>
      </c>
      <c r="F803" s="1125" t="str">
        <f t="shared" si="866"/>
        <v>2021-2024</v>
      </c>
      <c r="H803" s="1071" t="s">
        <v>29</v>
      </c>
      <c r="I803" s="1071" t="s">
        <v>79</v>
      </c>
      <c r="AZ803" s="1108"/>
      <c r="BA803" s="1109"/>
      <c r="BB803" s="1109"/>
      <c r="BC803" s="1109"/>
      <c r="BD803" s="1109"/>
      <c r="BE803" s="1109"/>
      <c r="BF803" s="1109">
        <f t="shared" ref="BF803:BJ803" si="867">BF456*$AW153</f>
        <v>0</v>
      </c>
      <c r="BG803" s="1109">
        <f t="shared" si="867"/>
        <v>0</v>
      </c>
      <c r="BH803" s="1109">
        <f t="shared" si="867"/>
        <v>0</v>
      </c>
      <c r="BI803" s="1109">
        <f t="shared" si="867"/>
        <v>0</v>
      </c>
      <c r="BJ803" s="1109">
        <f t="shared" si="867"/>
        <v>0</v>
      </c>
    </row>
    <row r="804" spans="2:62" hidden="1" outlineLevel="1">
      <c r="B804" s="1094"/>
      <c r="C804" s="1071" t="str">
        <f t="shared" ref="C804:F804" si="868">C457</f>
        <v>New Dublin Tower Equipment - IATS</v>
      </c>
      <c r="D804" s="1071" t="str">
        <f t="shared" si="868"/>
        <v>New Dublin Tower</v>
      </c>
      <c r="E804" s="1071" t="str">
        <f t="shared" si="868"/>
        <v>R035A</v>
      </c>
      <c r="F804" s="1125" t="str">
        <f t="shared" si="868"/>
        <v>2021-2024</v>
      </c>
      <c r="H804" s="1071" t="s">
        <v>29</v>
      </c>
      <c r="I804" s="1071" t="s">
        <v>79</v>
      </c>
      <c r="AZ804" s="1108"/>
      <c r="BA804" s="1109"/>
      <c r="BB804" s="1109"/>
      <c r="BC804" s="1109"/>
      <c r="BD804" s="1109"/>
      <c r="BE804" s="1109"/>
      <c r="BF804" s="1109">
        <f t="shared" ref="BF804:BJ804" si="869">BF457*$AW154</f>
        <v>0</v>
      </c>
      <c r="BG804" s="1109">
        <f t="shared" si="869"/>
        <v>0</v>
      </c>
      <c r="BH804" s="1109">
        <f t="shared" si="869"/>
        <v>0</v>
      </c>
      <c r="BI804" s="1109">
        <f t="shared" si="869"/>
        <v>0</v>
      </c>
      <c r="BJ804" s="1109">
        <f t="shared" si="869"/>
        <v>0</v>
      </c>
    </row>
    <row r="805" spans="2:62" hidden="1" outlineLevel="1">
      <c r="B805" s="1094"/>
      <c r="C805" s="1071" t="str">
        <f t="shared" ref="C805:F805" si="870">C458</f>
        <v>New Dublin Tower Equipment - Safety Case</v>
      </c>
      <c r="D805" s="1071" t="str">
        <f t="shared" si="870"/>
        <v>New Dublin Tower</v>
      </c>
      <c r="E805" s="1071" t="str">
        <f t="shared" si="870"/>
        <v>R035A</v>
      </c>
      <c r="F805" s="1125" t="str">
        <f t="shared" si="870"/>
        <v>2021-2024</v>
      </c>
      <c r="H805" s="1071" t="s">
        <v>29</v>
      </c>
      <c r="I805" s="1071" t="s">
        <v>79</v>
      </c>
      <c r="AZ805" s="1108"/>
      <c r="BA805" s="1109"/>
      <c r="BB805" s="1109"/>
      <c r="BC805" s="1109"/>
      <c r="BD805" s="1109"/>
      <c r="BE805" s="1109"/>
      <c r="BF805" s="1109">
        <f t="shared" ref="BF805:BJ805" si="871">BF458*$AW155</f>
        <v>0</v>
      </c>
      <c r="BG805" s="1109">
        <f t="shared" si="871"/>
        <v>0</v>
      </c>
      <c r="BH805" s="1109">
        <f t="shared" si="871"/>
        <v>0</v>
      </c>
      <c r="BI805" s="1109">
        <f t="shared" si="871"/>
        <v>0</v>
      </c>
      <c r="BJ805" s="1109">
        <f t="shared" si="871"/>
        <v>0</v>
      </c>
    </row>
    <row r="806" spans="2:62" hidden="1" outlineLevel="1">
      <c r="B806" s="1094"/>
      <c r="C806" s="1071" t="str">
        <f t="shared" ref="C806:F806" si="872">C459</f>
        <v>New Dublin Tower Equipment - ILS/IRVR Systems</v>
      </c>
      <c r="D806" s="1071" t="str">
        <f t="shared" si="872"/>
        <v>New Dublin Tower</v>
      </c>
      <c r="E806" s="1071" t="str">
        <f t="shared" si="872"/>
        <v>R035A</v>
      </c>
      <c r="F806" s="1125" t="str">
        <f t="shared" si="872"/>
        <v>2021-2024</v>
      </c>
      <c r="H806" s="1071" t="s">
        <v>29</v>
      </c>
      <c r="I806" s="1071" t="s">
        <v>79</v>
      </c>
      <c r="AZ806" s="1108"/>
      <c r="BA806" s="1109"/>
      <c r="BB806" s="1109"/>
      <c r="BC806" s="1109"/>
      <c r="BD806" s="1109"/>
      <c r="BE806" s="1109"/>
      <c r="BF806" s="1109">
        <f t="shared" ref="BF806:BJ806" si="873">BF459*$AW156</f>
        <v>0</v>
      </c>
      <c r="BG806" s="1109">
        <f t="shared" si="873"/>
        <v>0</v>
      </c>
      <c r="BH806" s="1109">
        <f t="shared" si="873"/>
        <v>0</v>
      </c>
      <c r="BI806" s="1109">
        <f t="shared" si="873"/>
        <v>0</v>
      </c>
      <c r="BJ806" s="1109">
        <f t="shared" si="873"/>
        <v>0</v>
      </c>
    </row>
    <row r="807" spans="2:62" hidden="1" outlineLevel="1">
      <c r="B807" s="1094"/>
      <c r="C807" s="1071" t="str">
        <f t="shared" ref="C807:F807" si="874">C460</f>
        <v>New Dublin Tower Equipment - Replacement ASMGCS &amp; GMR Tower</v>
      </c>
      <c r="D807" s="1071" t="str">
        <f t="shared" si="874"/>
        <v>New Dublin Tower</v>
      </c>
      <c r="E807" s="1071" t="str">
        <f t="shared" si="874"/>
        <v>R035A</v>
      </c>
      <c r="F807" s="1125" t="str">
        <f t="shared" si="874"/>
        <v>2021-2024</v>
      </c>
      <c r="H807" s="1071" t="s">
        <v>29</v>
      </c>
      <c r="I807" s="1071" t="s">
        <v>79</v>
      </c>
      <c r="AZ807" s="1108"/>
      <c r="BA807" s="1109"/>
      <c r="BB807" s="1109"/>
      <c r="BC807" s="1109"/>
      <c r="BD807" s="1109"/>
      <c r="BE807" s="1109"/>
      <c r="BF807" s="1109">
        <f t="shared" ref="BF807:BJ807" si="875">BF460*$AW157</f>
        <v>0</v>
      </c>
      <c r="BG807" s="1109">
        <f t="shared" si="875"/>
        <v>0</v>
      </c>
      <c r="BH807" s="1109">
        <f t="shared" si="875"/>
        <v>0</v>
      </c>
      <c r="BI807" s="1109">
        <f t="shared" si="875"/>
        <v>0</v>
      </c>
      <c r="BJ807" s="1109">
        <f t="shared" si="875"/>
        <v>0</v>
      </c>
    </row>
    <row r="808" spans="2:62" hidden="1" outlineLevel="1">
      <c r="B808" s="1094"/>
      <c r="C808" s="1071" t="str">
        <f t="shared" ref="C808:F808" si="876">C461</f>
        <v>New Dublin Tower Equipment - Infrastructure Changes (50% runway)</v>
      </c>
      <c r="D808" s="1071" t="str">
        <f t="shared" si="876"/>
        <v>New Dublin Tower</v>
      </c>
      <c r="E808" s="1071" t="str">
        <f t="shared" si="876"/>
        <v>R035A</v>
      </c>
      <c r="F808" s="1125" t="str">
        <f t="shared" si="876"/>
        <v>2021-2024</v>
      </c>
      <c r="H808" s="1071" t="s">
        <v>29</v>
      </c>
      <c r="I808" s="1071" t="s">
        <v>79</v>
      </c>
      <c r="AZ808" s="1108"/>
      <c r="BA808" s="1109"/>
      <c r="BB808" s="1109"/>
      <c r="BC808" s="1109"/>
      <c r="BD808" s="1109"/>
      <c r="BE808" s="1109"/>
      <c r="BF808" s="1109">
        <f t="shared" ref="BF808:BJ808" si="877">BF461*$AW158</f>
        <v>0</v>
      </c>
      <c r="BG808" s="1109">
        <f t="shared" si="877"/>
        <v>0</v>
      </c>
      <c r="BH808" s="1109">
        <f t="shared" si="877"/>
        <v>0</v>
      </c>
      <c r="BI808" s="1109">
        <f t="shared" si="877"/>
        <v>0</v>
      </c>
      <c r="BJ808" s="1109">
        <f t="shared" si="877"/>
        <v>0</v>
      </c>
    </row>
    <row r="809" spans="2:62" hidden="1" outlineLevel="1">
      <c r="B809" s="1094"/>
      <c r="C809" s="1071" t="str">
        <f t="shared" ref="C809:F809" si="878">C462</f>
        <v>New Dublin Tower Equipment - IAA Networks</v>
      </c>
      <c r="D809" s="1071" t="str">
        <f t="shared" si="878"/>
        <v>New Dublin Tower</v>
      </c>
      <c r="E809" s="1071" t="str">
        <f t="shared" si="878"/>
        <v>R035A</v>
      </c>
      <c r="F809" s="1125" t="str">
        <f t="shared" si="878"/>
        <v>2021-2024</v>
      </c>
      <c r="H809" s="1071" t="s">
        <v>29</v>
      </c>
      <c r="I809" s="1071" t="s">
        <v>79</v>
      </c>
      <c r="AZ809" s="1108"/>
      <c r="BA809" s="1109"/>
      <c r="BB809" s="1109"/>
      <c r="BC809" s="1109"/>
      <c r="BD809" s="1109"/>
      <c r="BE809" s="1109"/>
      <c r="BF809" s="1109">
        <f t="shared" ref="BF809:BJ809" si="879">BF462*$AW159</f>
        <v>0</v>
      </c>
      <c r="BG809" s="1109">
        <f t="shared" si="879"/>
        <v>0</v>
      </c>
      <c r="BH809" s="1109">
        <f t="shared" si="879"/>
        <v>0</v>
      </c>
      <c r="BI809" s="1109">
        <f t="shared" si="879"/>
        <v>0</v>
      </c>
      <c r="BJ809" s="1109">
        <f t="shared" si="879"/>
        <v>0</v>
      </c>
    </row>
    <row r="810" spans="2:62" hidden="1" outlineLevel="1">
      <c r="B810" s="1094"/>
      <c r="C810" s="1071" t="str">
        <f t="shared" ref="C810:F810" si="880">C463</f>
        <v>New Dublin Tower Equipment - ICT</v>
      </c>
      <c r="D810" s="1071" t="str">
        <f t="shared" si="880"/>
        <v>New Dublin Tower</v>
      </c>
      <c r="E810" s="1071" t="str">
        <f t="shared" si="880"/>
        <v>R035A</v>
      </c>
      <c r="F810" s="1125" t="str">
        <f t="shared" si="880"/>
        <v>2021-2024</v>
      </c>
      <c r="H810" s="1071" t="s">
        <v>29</v>
      </c>
      <c r="I810" s="1071" t="s">
        <v>79</v>
      </c>
      <c r="AZ810" s="1108"/>
      <c r="BA810" s="1109"/>
      <c r="BB810" s="1109"/>
      <c r="BC810" s="1109"/>
      <c r="BD810" s="1109"/>
      <c r="BE810" s="1109"/>
      <c r="BF810" s="1109">
        <f t="shared" ref="BF810:BJ810" si="881">BF463*$AW160</f>
        <v>0</v>
      </c>
      <c r="BG810" s="1109">
        <f t="shared" si="881"/>
        <v>0</v>
      </c>
      <c r="BH810" s="1109">
        <f t="shared" si="881"/>
        <v>0</v>
      </c>
      <c r="BI810" s="1109">
        <f t="shared" si="881"/>
        <v>0</v>
      </c>
      <c r="BJ810" s="1109">
        <f t="shared" si="881"/>
        <v>0</v>
      </c>
    </row>
    <row r="811" spans="2:62" hidden="1" outlineLevel="1">
      <c r="B811" s="1094"/>
      <c r="C811" s="1071" t="str">
        <f t="shared" ref="C811:F811" si="882">C464</f>
        <v>New Dublin Tower Equipment - Changes to Centralised Monitoring</v>
      </c>
      <c r="D811" s="1071" t="str">
        <f t="shared" si="882"/>
        <v>New Dublin Tower</v>
      </c>
      <c r="E811" s="1071" t="str">
        <f t="shared" si="882"/>
        <v>R035A</v>
      </c>
      <c r="F811" s="1125" t="str">
        <f t="shared" si="882"/>
        <v>2021-2024</v>
      </c>
      <c r="H811" s="1071" t="s">
        <v>29</v>
      </c>
      <c r="I811" s="1071" t="s">
        <v>79</v>
      </c>
      <c r="AZ811" s="1108"/>
      <c r="BA811" s="1109"/>
      <c r="BB811" s="1109"/>
      <c r="BC811" s="1109"/>
      <c r="BD811" s="1109"/>
      <c r="BE811" s="1109"/>
      <c r="BF811" s="1109">
        <f t="shared" ref="BF811:BJ811" si="883">BF464*$AW161</f>
        <v>0</v>
      </c>
      <c r="BG811" s="1109">
        <f t="shared" si="883"/>
        <v>0</v>
      </c>
      <c r="BH811" s="1109">
        <f t="shared" si="883"/>
        <v>0</v>
      </c>
      <c r="BI811" s="1109">
        <f t="shared" si="883"/>
        <v>0</v>
      </c>
      <c r="BJ811" s="1109">
        <f t="shared" si="883"/>
        <v>0</v>
      </c>
    </row>
    <row r="812" spans="2:62" hidden="1" outlineLevel="1">
      <c r="B812" s="1094"/>
      <c r="C812" s="1071" t="str">
        <f t="shared" ref="C812:F812" si="884">C465</f>
        <v>New Dublin Tower Equipment - M&amp;E/UPS/Cabling/Power</v>
      </c>
      <c r="D812" s="1071" t="str">
        <f t="shared" si="884"/>
        <v>New Dublin Tower</v>
      </c>
      <c r="E812" s="1071" t="str">
        <f t="shared" si="884"/>
        <v>R035A</v>
      </c>
      <c r="F812" s="1125" t="str">
        <f t="shared" si="884"/>
        <v>2021-2024</v>
      </c>
      <c r="H812" s="1071" t="s">
        <v>29</v>
      </c>
      <c r="I812" s="1071" t="s">
        <v>79</v>
      </c>
      <c r="AZ812" s="1108"/>
      <c r="BA812" s="1109"/>
      <c r="BB812" s="1109"/>
      <c r="BC812" s="1109"/>
      <c r="BD812" s="1109"/>
      <c r="BE812" s="1109"/>
      <c r="BF812" s="1109">
        <f t="shared" ref="BF812:BJ812" si="885">BF465*$AW162</f>
        <v>0</v>
      </c>
      <c r="BG812" s="1109">
        <f t="shared" si="885"/>
        <v>0</v>
      </c>
      <c r="BH812" s="1109">
        <f t="shared" si="885"/>
        <v>0</v>
      </c>
      <c r="BI812" s="1109">
        <f t="shared" si="885"/>
        <v>0</v>
      </c>
      <c r="BJ812" s="1109">
        <f t="shared" si="885"/>
        <v>0</v>
      </c>
    </row>
    <row r="813" spans="2:62" hidden="1" outlineLevel="1">
      <c r="B813" s="1094"/>
      <c r="C813" s="1071" t="str">
        <f t="shared" ref="C813:F813" si="886">C466</f>
        <v>COOPANS Build 3 Dublin</v>
      </c>
      <c r="D813" s="1071" t="str">
        <f t="shared" si="886"/>
        <v>COOPANS</v>
      </c>
      <c r="E813" s="1071" t="str">
        <f t="shared" si="886"/>
        <v>L001A</v>
      </c>
      <c r="F813" s="1125" t="str">
        <f t="shared" si="886"/>
        <v>2021-2024</v>
      </c>
      <c r="H813" s="1071" t="s">
        <v>29</v>
      </c>
      <c r="I813" s="1071" t="s">
        <v>79</v>
      </c>
      <c r="AZ813" s="1108"/>
      <c r="BA813" s="1109"/>
      <c r="BB813" s="1109"/>
      <c r="BC813" s="1109"/>
      <c r="BD813" s="1109"/>
      <c r="BE813" s="1109"/>
      <c r="BF813" s="1109">
        <f t="shared" ref="BF813:BJ813" si="887">BF466*$AW163</f>
        <v>0</v>
      </c>
      <c r="BG813" s="1109">
        <f t="shared" si="887"/>
        <v>18.35734902716592</v>
      </c>
      <c r="BH813" s="1109">
        <f t="shared" si="887"/>
        <v>36.714698054331869</v>
      </c>
      <c r="BI813" s="1109">
        <f t="shared" si="887"/>
        <v>36.714698054331869</v>
      </c>
      <c r="BJ813" s="1109">
        <f t="shared" si="887"/>
        <v>36.714698054331869</v>
      </c>
    </row>
    <row r="814" spans="2:62" hidden="1" outlineLevel="1">
      <c r="B814" s="1094"/>
      <c r="C814" s="1071" t="str">
        <f t="shared" ref="C814:F814" si="888">C467</f>
        <v>COOPANS Build 3 Shannon</v>
      </c>
      <c r="D814" s="1071" t="str">
        <f t="shared" si="888"/>
        <v>COOPANS</v>
      </c>
      <c r="E814" s="1071" t="str">
        <f t="shared" si="888"/>
        <v>L001A</v>
      </c>
      <c r="F814" s="1125" t="str">
        <f t="shared" si="888"/>
        <v>2021-2024</v>
      </c>
      <c r="H814" s="1071" t="s">
        <v>29</v>
      </c>
      <c r="I814" s="1071" t="s">
        <v>79</v>
      </c>
      <c r="AZ814" s="1108"/>
      <c r="BA814" s="1109"/>
      <c r="BB814" s="1109"/>
      <c r="BC814" s="1109"/>
      <c r="BD814" s="1109"/>
      <c r="BE814" s="1109"/>
      <c r="BF814" s="1109">
        <f t="shared" ref="BF814:BJ814" si="889">BF467*$AW164</f>
        <v>0</v>
      </c>
      <c r="BG814" s="1109">
        <f t="shared" si="889"/>
        <v>34.092219621879558</v>
      </c>
      <c r="BH814" s="1109">
        <f t="shared" si="889"/>
        <v>68.184439243759101</v>
      </c>
      <c r="BI814" s="1109">
        <f t="shared" si="889"/>
        <v>68.184439243759101</v>
      </c>
      <c r="BJ814" s="1109">
        <f t="shared" si="889"/>
        <v>68.184439243759101</v>
      </c>
    </row>
    <row r="815" spans="2:62" hidden="1" outlineLevel="1">
      <c r="B815" s="1094"/>
      <c r="C815" s="1071" t="str">
        <f t="shared" ref="C815:F815" si="890">C468</f>
        <v>COOPANS Build 3.6 Onwards Dublin</v>
      </c>
      <c r="D815" s="1071" t="str">
        <f t="shared" si="890"/>
        <v>COOPANS</v>
      </c>
      <c r="E815" s="1071" t="str">
        <f t="shared" si="890"/>
        <v>R001</v>
      </c>
      <c r="F815" s="1125" t="str">
        <f t="shared" si="890"/>
        <v>2021-2024</v>
      </c>
      <c r="H815" s="1071" t="s">
        <v>29</v>
      </c>
      <c r="I815" s="1071" t="s">
        <v>79</v>
      </c>
      <c r="AZ815" s="1108"/>
      <c r="BA815" s="1109"/>
      <c r="BB815" s="1109"/>
      <c r="BC815" s="1109"/>
      <c r="BD815" s="1109"/>
      <c r="BE815" s="1109"/>
      <c r="BF815" s="1109">
        <f t="shared" ref="BF815:BJ815" si="891">BF468*$AW165</f>
        <v>0</v>
      </c>
      <c r="BG815" s="1109">
        <f t="shared" si="891"/>
        <v>43.201034463908776</v>
      </c>
      <c r="BH815" s="1109">
        <f t="shared" si="891"/>
        <v>153.52157238895006</v>
      </c>
      <c r="BI815" s="1109">
        <f t="shared" si="891"/>
        <v>202.66604054240088</v>
      </c>
      <c r="BJ815" s="1109">
        <f t="shared" si="891"/>
        <v>202.66604054240088</v>
      </c>
    </row>
    <row r="816" spans="2:62" hidden="1" outlineLevel="1">
      <c r="B816" s="1094"/>
      <c r="C816" s="1071" t="str">
        <f t="shared" ref="C816:F816" si="892">C469</f>
        <v>COOPANS Build 3.6 Onwards Shannon</v>
      </c>
      <c r="D816" s="1071" t="str">
        <f t="shared" si="892"/>
        <v>COOPANS</v>
      </c>
      <c r="E816" s="1071" t="str">
        <f t="shared" si="892"/>
        <v>R001A</v>
      </c>
      <c r="F816" s="1125" t="str">
        <f t="shared" si="892"/>
        <v>2021-2024</v>
      </c>
      <c r="H816" s="1071" t="s">
        <v>29</v>
      </c>
      <c r="I816" s="1071" t="s">
        <v>79</v>
      </c>
      <c r="AZ816" s="1108"/>
      <c r="BA816" s="1109"/>
      <c r="BB816" s="1109"/>
      <c r="BC816" s="1109"/>
      <c r="BD816" s="1109"/>
      <c r="BE816" s="1109"/>
      <c r="BF816" s="1109">
        <f t="shared" ref="BF816:BJ816" si="893">BF469*$AW166</f>
        <v>0</v>
      </c>
      <c r="BG816" s="1109">
        <f t="shared" si="893"/>
        <v>80.230492575830581</v>
      </c>
      <c r="BH816" s="1109">
        <f t="shared" si="893"/>
        <v>285.1114915794787</v>
      </c>
      <c r="BI816" s="1109">
        <f t="shared" si="893"/>
        <v>376.37978957874446</v>
      </c>
      <c r="BJ816" s="1109">
        <f t="shared" si="893"/>
        <v>376.37978957874441</v>
      </c>
    </row>
    <row r="817" spans="2:62" hidden="1" outlineLevel="1">
      <c r="B817" s="1094"/>
      <c r="C817" s="1071" t="str">
        <f t="shared" ref="C817:F817" si="894">C470</f>
        <v>COOPANS 2019 Roadmap Builds</v>
      </c>
      <c r="D817" s="1071" t="str">
        <f t="shared" si="894"/>
        <v>COOPANS</v>
      </c>
      <c r="E817" s="1071" t="str">
        <f t="shared" si="894"/>
        <v>U002</v>
      </c>
      <c r="F817" s="1125" t="str">
        <f t="shared" si="894"/>
        <v>2021-2024</v>
      </c>
      <c r="H817" s="1071" t="s">
        <v>29</v>
      </c>
      <c r="I817" s="1071" t="s">
        <v>79</v>
      </c>
      <c r="AZ817" s="1108"/>
      <c r="BA817" s="1109"/>
      <c r="BB817" s="1109"/>
      <c r="BC817" s="1109"/>
      <c r="BD817" s="1109"/>
      <c r="BE817" s="1109"/>
      <c r="BF817" s="1109">
        <f t="shared" ref="BF817:BJ817" si="895">BF470*$AW167</f>
        <v>0</v>
      </c>
      <c r="BG817" s="1109">
        <f t="shared" si="895"/>
        <v>0</v>
      </c>
      <c r="BH817" s="1109">
        <f t="shared" si="895"/>
        <v>0</v>
      </c>
      <c r="BI817" s="1109">
        <f t="shared" si="895"/>
        <v>0</v>
      </c>
      <c r="BJ817" s="1109">
        <f t="shared" si="895"/>
        <v>0</v>
      </c>
    </row>
    <row r="818" spans="2:62" hidden="1" outlineLevel="1">
      <c r="B818" s="1094"/>
      <c r="C818" s="1071" t="str">
        <f t="shared" ref="C818:F818" si="896">C471</f>
        <v>COOPANS 2019 Roadmap Builds Dub</v>
      </c>
      <c r="D818" s="1071" t="str">
        <f t="shared" si="896"/>
        <v>COOPANS</v>
      </c>
      <c r="E818" s="1071" t="str">
        <f t="shared" si="896"/>
        <v>U002A</v>
      </c>
      <c r="F818" s="1125" t="str">
        <f t="shared" si="896"/>
        <v>2021-2024</v>
      </c>
      <c r="H818" s="1071" t="s">
        <v>29</v>
      </c>
      <c r="I818" s="1071" t="s">
        <v>79</v>
      </c>
      <c r="AZ818" s="1108"/>
      <c r="BA818" s="1109"/>
      <c r="BB818" s="1109"/>
      <c r="BC818" s="1109"/>
      <c r="BD818" s="1109"/>
      <c r="BE818" s="1109"/>
      <c r="BF818" s="1109">
        <f t="shared" ref="BF818:BJ818" si="897">BF471*$AW168</f>
        <v>0</v>
      </c>
      <c r="BG818" s="1109">
        <f t="shared" si="897"/>
        <v>0</v>
      </c>
      <c r="BH818" s="1109">
        <f t="shared" si="897"/>
        <v>0</v>
      </c>
      <c r="BI818" s="1109">
        <f t="shared" si="897"/>
        <v>15.121374816446401</v>
      </c>
      <c r="BJ818" s="1109">
        <f t="shared" si="897"/>
        <v>60.485499265785606</v>
      </c>
    </row>
    <row r="819" spans="2:62" hidden="1" outlineLevel="1">
      <c r="B819" s="1094"/>
      <c r="C819" s="1071" t="str">
        <f t="shared" ref="C819:F819" si="898">C472</f>
        <v>COOPANS 2019 Roadmap Builds Shn</v>
      </c>
      <c r="D819" s="1071" t="str">
        <f t="shared" si="898"/>
        <v>COOPANS</v>
      </c>
      <c r="E819" s="1071" t="str">
        <f t="shared" si="898"/>
        <v>U002A</v>
      </c>
      <c r="F819" s="1125" t="str">
        <f t="shared" si="898"/>
        <v>2021-2024</v>
      </c>
      <c r="H819" s="1071" t="s">
        <v>29</v>
      </c>
      <c r="I819" s="1071" t="s">
        <v>79</v>
      </c>
      <c r="AZ819" s="1108"/>
      <c r="BA819" s="1109"/>
      <c r="BB819" s="1109"/>
      <c r="BC819" s="1109"/>
      <c r="BD819" s="1109"/>
      <c r="BE819" s="1109"/>
      <c r="BF819" s="1109">
        <f t="shared" ref="BF819:BJ819" si="899">BF472*$AW169</f>
        <v>0</v>
      </c>
      <c r="BG819" s="1109">
        <f t="shared" si="899"/>
        <v>0</v>
      </c>
      <c r="BH819" s="1109">
        <f t="shared" si="899"/>
        <v>0</v>
      </c>
      <c r="BI819" s="1109">
        <f t="shared" si="899"/>
        <v>0</v>
      </c>
      <c r="BJ819" s="1109">
        <f t="shared" si="899"/>
        <v>112.33021292217327</v>
      </c>
    </row>
    <row r="820" spans="2:62" hidden="1" outlineLevel="1">
      <c r="B820" s="1094"/>
      <c r="C820" s="1071" t="str">
        <f t="shared" ref="C820:F820" si="900">C473</f>
        <v>SWIM Enabling project</v>
      </c>
      <c r="D820" s="1071" t="str">
        <f t="shared" si="900"/>
        <v>COOPANS</v>
      </c>
      <c r="E820" s="1071" t="str">
        <f t="shared" si="900"/>
        <v>S001</v>
      </c>
      <c r="F820" s="1125" t="str">
        <f t="shared" si="900"/>
        <v>2021-2024</v>
      </c>
      <c r="H820" s="1071" t="s">
        <v>29</v>
      </c>
      <c r="I820" s="1071" t="s">
        <v>79</v>
      </c>
      <c r="AZ820" s="1108"/>
      <c r="BA820" s="1109"/>
      <c r="BB820" s="1109"/>
      <c r="BC820" s="1109"/>
      <c r="BD820" s="1109"/>
      <c r="BE820" s="1109"/>
      <c r="BF820" s="1109">
        <f t="shared" ref="BF820:BJ820" si="901">BF473*$AW170</f>
        <v>0</v>
      </c>
      <c r="BG820" s="1109">
        <f t="shared" si="901"/>
        <v>0</v>
      </c>
      <c r="BH820" s="1109">
        <f t="shared" si="901"/>
        <v>0</v>
      </c>
      <c r="BI820" s="1109">
        <f t="shared" si="901"/>
        <v>0</v>
      </c>
      <c r="BJ820" s="1109">
        <f t="shared" si="901"/>
        <v>25.922356828193834</v>
      </c>
    </row>
    <row r="821" spans="2:62" hidden="1" outlineLevel="1">
      <c r="B821" s="1094"/>
      <c r="C821" s="1071" t="str">
        <f t="shared" ref="C821:F821" si="902">C474</f>
        <v>Emergency Air Situation Display System (DUB)</v>
      </c>
      <c r="D821" s="1071" t="str">
        <f t="shared" si="902"/>
        <v>Emergency Air Situation Display System</v>
      </c>
      <c r="E821" s="1071" t="str">
        <f t="shared" si="902"/>
        <v>U003</v>
      </c>
      <c r="F821" s="1125" t="str">
        <f t="shared" si="902"/>
        <v>2021-2024</v>
      </c>
      <c r="H821" s="1071" t="s">
        <v>29</v>
      </c>
      <c r="I821" s="1071" t="s">
        <v>79</v>
      </c>
      <c r="AZ821" s="1108"/>
      <c r="BA821" s="1109"/>
      <c r="BB821" s="1109"/>
      <c r="BC821" s="1109"/>
      <c r="BD821" s="1109"/>
      <c r="BE821" s="1109"/>
      <c r="BF821" s="1109">
        <f t="shared" ref="BF821:BJ821" si="903">BF474*$AW171</f>
        <v>0</v>
      </c>
      <c r="BG821" s="1109">
        <f t="shared" si="903"/>
        <v>0</v>
      </c>
      <c r="BH821" s="1109">
        <f t="shared" si="903"/>
        <v>0</v>
      </c>
      <c r="BI821" s="1109">
        <f t="shared" si="903"/>
        <v>147.65625</v>
      </c>
      <c r="BJ821" s="1109">
        <f t="shared" si="903"/>
        <v>196.875</v>
      </c>
    </row>
    <row r="822" spans="2:62" hidden="1" outlineLevel="1">
      <c r="B822" s="1094"/>
      <c r="C822" s="1071" t="str">
        <f t="shared" ref="C822:F822" si="904">C475</f>
        <v>Emergency Air Situation Display System (SHN)</v>
      </c>
      <c r="D822" s="1071" t="str">
        <f t="shared" si="904"/>
        <v>Emergency Air Situation Display System</v>
      </c>
      <c r="E822" s="1071" t="str">
        <f t="shared" si="904"/>
        <v>U003A</v>
      </c>
      <c r="F822" s="1125" t="str">
        <f t="shared" si="904"/>
        <v>2021-2024</v>
      </c>
      <c r="H822" s="1071" t="s">
        <v>29</v>
      </c>
      <c r="I822" s="1071" t="s">
        <v>79</v>
      </c>
      <c r="AZ822" s="1108"/>
      <c r="BA822" s="1109"/>
      <c r="BB822" s="1109"/>
      <c r="BC822" s="1109"/>
      <c r="BD822" s="1109"/>
      <c r="BE822" s="1109"/>
      <c r="BF822" s="1109">
        <f t="shared" ref="BF822:BJ822" si="905">BF475*$AW172</f>
        <v>0</v>
      </c>
      <c r="BG822" s="1109">
        <f t="shared" si="905"/>
        <v>0</v>
      </c>
      <c r="BH822" s="1109">
        <f t="shared" si="905"/>
        <v>91.40625</v>
      </c>
      <c r="BI822" s="1109">
        <f t="shared" si="905"/>
        <v>365.625</v>
      </c>
      <c r="BJ822" s="1109">
        <f t="shared" si="905"/>
        <v>365.625</v>
      </c>
    </row>
    <row r="823" spans="2:62" hidden="1" outlineLevel="1">
      <c r="B823" s="1094"/>
      <c r="C823" s="1071" t="str">
        <f t="shared" ref="C823:F823" si="906">C476</f>
        <v>Emergency Air Situation Display System Simulator (SHN)</v>
      </c>
      <c r="D823" s="1071" t="str">
        <f t="shared" si="906"/>
        <v>Emergency Air Situation Display System</v>
      </c>
      <c r="E823" s="1071" t="str">
        <f t="shared" si="906"/>
        <v>U003A</v>
      </c>
      <c r="F823" s="1125" t="str">
        <f t="shared" si="906"/>
        <v>2021-2024</v>
      </c>
      <c r="H823" s="1071" t="s">
        <v>29</v>
      </c>
      <c r="I823" s="1071" t="s">
        <v>79</v>
      </c>
      <c r="AZ823" s="1108"/>
      <c r="BA823" s="1109"/>
      <c r="BB823" s="1109"/>
      <c r="BC823" s="1109"/>
      <c r="BD823" s="1109"/>
      <c r="BE823" s="1109"/>
      <c r="BF823" s="1109">
        <f t="shared" ref="BF823:BJ823" si="907">BF476*$AW173</f>
        <v>0</v>
      </c>
      <c r="BG823" s="1109">
        <f t="shared" si="907"/>
        <v>0</v>
      </c>
      <c r="BH823" s="1109">
        <f t="shared" si="907"/>
        <v>17.578125</v>
      </c>
      <c r="BI823" s="1109">
        <f t="shared" si="907"/>
        <v>70.3125</v>
      </c>
      <c r="BJ823" s="1109">
        <f t="shared" si="907"/>
        <v>70.3125</v>
      </c>
    </row>
    <row r="824" spans="2:62" hidden="1" outlineLevel="1">
      <c r="B824" s="1094"/>
      <c r="C824" s="1071" t="str">
        <f t="shared" ref="C824:F824" si="908">C477</f>
        <v>Emergency Air Situation Display System Simulator (DUB)</v>
      </c>
      <c r="D824" s="1071" t="str">
        <f t="shared" si="908"/>
        <v>Emergency Air Situation Display System</v>
      </c>
      <c r="E824" s="1071" t="str">
        <f t="shared" si="908"/>
        <v>U003A</v>
      </c>
      <c r="F824" s="1125" t="str">
        <f t="shared" si="908"/>
        <v>2021-2024</v>
      </c>
      <c r="H824" s="1071" t="s">
        <v>29</v>
      </c>
      <c r="I824" s="1071" t="s">
        <v>79</v>
      </c>
      <c r="AZ824" s="1108"/>
      <c r="BA824" s="1109"/>
      <c r="BB824" s="1109"/>
      <c r="BC824" s="1109"/>
      <c r="BD824" s="1109"/>
      <c r="BE824" s="1109"/>
      <c r="BF824" s="1109">
        <f t="shared" ref="BF824:BJ824" si="909">BF477*$AW174</f>
        <v>0</v>
      </c>
      <c r="BG824" s="1109">
        <f t="shared" si="909"/>
        <v>0</v>
      </c>
      <c r="BH824" s="1109">
        <f t="shared" si="909"/>
        <v>0</v>
      </c>
      <c r="BI824" s="1109">
        <f t="shared" si="909"/>
        <v>52.734375</v>
      </c>
      <c r="BJ824" s="1109">
        <f t="shared" si="909"/>
        <v>70.3125</v>
      </c>
    </row>
    <row r="825" spans="2:62" hidden="1" outlineLevel="1">
      <c r="B825" s="1094"/>
      <c r="C825" s="1071" t="str">
        <f t="shared" ref="C825:F825" si="910">C478</f>
        <v>NAV Aids Replacement Programme</v>
      </c>
      <c r="D825" s="1071" t="str">
        <f t="shared" si="910"/>
        <v>NAV Aids Replacement Programme</v>
      </c>
      <c r="E825" s="1071" t="str">
        <f t="shared" si="910"/>
        <v>R005</v>
      </c>
      <c r="F825" s="1125" t="str">
        <f t="shared" si="910"/>
        <v>2021-2024</v>
      </c>
      <c r="H825" s="1071" t="s">
        <v>29</v>
      </c>
      <c r="I825" s="1071" t="s">
        <v>79</v>
      </c>
      <c r="AZ825" s="1108"/>
      <c r="BA825" s="1109"/>
      <c r="BB825" s="1109"/>
      <c r="BC825" s="1109"/>
      <c r="BD825" s="1109"/>
      <c r="BE825" s="1109"/>
      <c r="BF825" s="1109">
        <f t="shared" ref="BF825:BJ825" si="911">BF478*$AW175</f>
        <v>0</v>
      </c>
      <c r="BG825" s="1109">
        <f t="shared" si="911"/>
        <v>0</v>
      </c>
      <c r="BH825" s="1109">
        <f t="shared" si="911"/>
        <v>0</v>
      </c>
      <c r="BI825" s="1109">
        <f t="shared" si="911"/>
        <v>0</v>
      </c>
      <c r="BJ825" s="1109">
        <f t="shared" si="911"/>
        <v>0</v>
      </c>
    </row>
    <row r="826" spans="2:62" hidden="1" outlineLevel="1">
      <c r="B826" s="1094"/>
      <c r="C826" s="1071" t="str">
        <f t="shared" ref="C826:F826" si="912">C479</f>
        <v>NAV Aids Replacement Programme Dublin ILS (3rd)</v>
      </c>
      <c r="D826" s="1071" t="str">
        <f t="shared" si="912"/>
        <v>NAV Aids Replacement Programme</v>
      </c>
      <c r="E826" s="1071" t="str">
        <f t="shared" si="912"/>
        <v>R005A</v>
      </c>
      <c r="F826" s="1125" t="str">
        <f t="shared" si="912"/>
        <v>2021-2024</v>
      </c>
      <c r="H826" s="1071" t="s">
        <v>29</v>
      </c>
      <c r="I826" s="1071" t="s">
        <v>79</v>
      </c>
      <c r="AZ826" s="1108"/>
      <c r="BA826" s="1109"/>
      <c r="BB826" s="1109"/>
      <c r="BC826" s="1109"/>
      <c r="BD826" s="1109"/>
      <c r="BE826" s="1109"/>
      <c r="BF826" s="1109">
        <f t="shared" ref="BF826:BJ826" si="913">BF479*$AW176</f>
        <v>0</v>
      </c>
      <c r="BG826" s="1109">
        <f t="shared" si="913"/>
        <v>0</v>
      </c>
      <c r="BH826" s="1109">
        <f t="shared" si="913"/>
        <v>0</v>
      </c>
      <c r="BI826" s="1109">
        <f t="shared" si="913"/>
        <v>0</v>
      </c>
      <c r="BJ826" s="1109">
        <f t="shared" si="913"/>
        <v>0</v>
      </c>
    </row>
    <row r="827" spans="2:62" hidden="1" outlineLevel="1">
      <c r="B827" s="1094"/>
      <c r="C827" s="1071" t="str">
        <f t="shared" ref="C827:F827" si="914">C480</f>
        <v>NAV Aids Replacement Programme Shannon ILS (1st)</v>
      </c>
      <c r="D827" s="1071" t="str">
        <f t="shared" si="914"/>
        <v>NAV Aids Replacement Programme</v>
      </c>
      <c r="E827" s="1071" t="str">
        <f t="shared" si="914"/>
        <v>R005A</v>
      </c>
      <c r="F827" s="1125" t="str">
        <f t="shared" si="914"/>
        <v>2021-2024</v>
      </c>
      <c r="H827" s="1071" t="s">
        <v>29</v>
      </c>
      <c r="I827" s="1071" t="s">
        <v>79</v>
      </c>
      <c r="AZ827" s="1108"/>
      <c r="BA827" s="1109"/>
      <c r="BB827" s="1109"/>
      <c r="BC827" s="1109"/>
      <c r="BD827" s="1109"/>
      <c r="BE827" s="1109"/>
      <c r="BF827" s="1109">
        <f t="shared" ref="BF827:BJ827" si="915">BF480*$AW177</f>
        <v>0</v>
      </c>
      <c r="BG827" s="1109">
        <f t="shared" si="915"/>
        <v>0</v>
      </c>
      <c r="BH827" s="1109">
        <f t="shared" si="915"/>
        <v>0</v>
      </c>
      <c r="BI827" s="1109">
        <f t="shared" si="915"/>
        <v>0</v>
      </c>
      <c r="BJ827" s="1109">
        <f t="shared" si="915"/>
        <v>0</v>
      </c>
    </row>
    <row r="828" spans="2:62" hidden="1" outlineLevel="1">
      <c r="B828" s="1094"/>
      <c r="C828" s="1071" t="str">
        <f t="shared" ref="C828:F828" si="916">C481</f>
        <v>NAV Aids Replacement Programme Cork ILS (2nd)</v>
      </c>
      <c r="D828" s="1071" t="str">
        <f t="shared" si="916"/>
        <v>NAV Aids Replacement Programme</v>
      </c>
      <c r="E828" s="1071" t="str">
        <f t="shared" si="916"/>
        <v>R005A</v>
      </c>
      <c r="F828" s="1125" t="str">
        <f t="shared" si="916"/>
        <v>2021-2024</v>
      </c>
      <c r="H828" s="1071" t="s">
        <v>29</v>
      </c>
      <c r="I828" s="1071" t="s">
        <v>79</v>
      </c>
      <c r="AZ828" s="1108"/>
      <c r="BA828" s="1109"/>
      <c r="BB828" s="1109"/>
      <c r="BC828" s="1109"/>
      <c r="BD828" s="1109"/>
      <c r="BE828" s="1109"/>
      <c r="BF828" s="1109">
        <f t="shared" ref="BF828:BJ828" si="917">BF481*$AW178</f>
        <v>0</v>
      </c>
      <c r="BG828" s="1109">
        <f t="shared" si="917"/>
        <v>0</v>
      </c>
      <c r="BH828" s="1109">
        <f t="shared" si="917"/>
        <v>0</v>
      </c>
      <c r="BI828" s="1109">
        <f t="shared" si="917"/>
        <v>0</v>
      </c>
      <c r="BJ828" s="1109">
        <f t="shared" si="917"/>
        <v>0</v>
      </c>
    </row>
    <row r="829" spans="2:62" hidden="1" outlineLevel="1">
      <c r="B829" s="1094"/>
      <c r="C829" s="1071" t="str">
        <f t="shared" ref="C829:F829" si="918">C482</f>
        <v>NAV Aids Replacement Programme Dublin IRVR</v>
      </c>
      <c r="D829" s="1071" t="str">
        <f t="shared" si="918"/>
        <v>NAV Aids Replacement Programme</v>
      </c>
      <c r="E829" s="1071" t="str">
        <f t="shared" si="918"/>
        <v>R005A</v>
      </c>
      <c r="F829" s="1125" t="str">
        <f t="shared" si="918"/>
        <v>2021-2024</v>
      </c>
      <c r="H829" s="1071" t="s">
        <v>29</v>
      </c>
      <c r="I829" s="1071" t="s">
        <v>79</v>
      </c>
      <c r="AZ829" s="1108"/>
      <c r="BA829" s="1109"/>
      <c r="BB829" s="1109"/>
      <c r="BC829" s="1109"/>
      <c r="BD829" s="1109"/>
      <c r="BE829" s="1109"/>
      <c r="BF829" s="1109">
        <f t="shared" ref="BF829:BJ829" si="919">BF482*$AW179</f>
        <v>0</v>
      </c>
      <c r="BG829" s="1109">
        <f t="shared" si="919"/>
        <v>0</v>
      </c>
      <c r="BH829" s="1109">
        <f t="shared" si="919"/>
        <v>0</v>
      </c>
      <c r="BI829" s="1109">
        <f t="shared" si="919"/>
        <v>0</v>
      </c>
      <c r="BJ829" s="1109">
        <f t="shared" si="919"/>
        <v>0</v>
      </c>
    </row>
    <row r="830" spans="2:62" hidden="1" outlineLevel="1">
      <c r="B830" s="1094"/>
      <c r="C830" s="1071" t="str">
        <f t="shared" ref="C830:F830" si="920">C483</f>
        <v>NAV Aids Replacement Programme Shannon IRVR</v>
      </c>
      <c r="D830" s="1071" t="str">
        <f t="shared" si="920"/>
        <v>NAV Aids Replacement Programme</v>
      </c>
      <c r="E830" s="1071" t="str">
        <f t="shared" si="920"/>
        <v>R005A</v>
      </c>
      <c r="F830" s="1125" t="str">
        <f t="shared" si="920"/>
        <v>2021-2024</v>
      </c>
      <c r="H830" s="1071" t="s">
        <v>29</v>
      </c>
      <c r="I830" s="1071" t="s">
        <v>79</v>
      </c>
      <c r="AZ830" s="1108"/>
      <c r="BA830" s="1109"/>
      <c r="BB830" s="1109"/>
      <c r="BC830" s="1109"/>
      <c r="BD830" s="1109"/>
      <c r="BE830" s="1109"/>
      <c r="BF830" s="1109">
        <f t="shared" ref="BF830:BJ830" si="921">BF483*$AW180</f>
        <v>0</v>
      </c>
      <c r="BG830" s="1109">
        <f t="shared" si="921"/>
        <v>0</v>
      </c>
      <c r="BH830" s="1109">
        <f t="shared" si="921"/>
        <v>0</v>
      </c>
      <c r="BI830" s="1109">
        <f t="shared" si="921"/>
        <v>0</v>
      </c>
      <c r="BJ830" s="1109">
        <f t="shared" si="921"/>
        <v>0</v>
      </c>
    </row>
    <row r="831" spans="2:62" hidden="1" outlineLevel="1">
      <c r="B831" s="1094"/>
      <c r="C831" s="1071" t="str">
        <f t="shared" ref="C831:F831" si="922">C484</f>
        <v>NAV Aids Replacement Programme Cork IRVR</v>
      </c>
      <c r="D831" s="1071" t="str">
        <f t="shared" si="922"/>
        <v>NAV Aids Replacement Programme</v>
      </c>
      <c r="E831" s="1071" t="str">
        <f t="shared" si="922"/>
        <v>R005A</v>
      </c>
      <c r="F831" s="1125" t="str">
        <f t="shared" si="922"/>
        <v>2021-2024</v>
      </c>
      <c r="H831" s="1071" t="s">
        <v>29</v>
      </c>
      <c r="I831" s="1071" t="s">
        <v>79</v>
      </c>
      <c r="AZ831" s="1108"/>
      <c r="BA831" s="1109"/>
      <c r="BB831" s="1109"/>
      <c r="BC831" s="1109"/>
      <c r="BD831" s="1109"/>
      <c r="BE831" s="1109"/>
      <c r="BF831" s="1109">
        <f t="shared" ref="BF831:BJ831" si="923">BF484*$AW181</f>
        <v>0</v>
      </c>
      <c r="BG831" s="1109">
        <f t="shared" si="923"/>
        <v>0</v>
      </c>
      <c r="BH831" s="1109">
        <f t="shared" si="923"/>
        <v>0</v>
      </c>
      <c r="BI831" s="1109">
        <f t="shared" si="923"/>
        <v>0</v>
      </c>
      <c r="BJ831" s="1109">
        <f t="shared" si="923"/>
        <v>0</v>
      </c>
    </row>
    <row r="832" spans="2:62" hidden="1" outlineLevel="1">
      <c r="B832" s="1094"/>
      <c r="C832" s="1071" t="str">
        <f t="shared" ref="C832:F832" si="924">C485</f>
        <v>Plant &amp; Equipment upgrades (Chillers, AC etc.)</v>
      </c>
      <c r="D832" s="1071" t="str">
        <f t="shared" si="924"/>
        <v>Plant &amp; Equipment upgrades</v>
      </c>
      <c r="E832" s="1071" t="str">
        <f t="shared" si="924"/>
        <v>RP3-PROP-3</v>
      </c>
      <c r="F832" s="1125" t="str">
        <f t="shared" si="924"/>
        <v>2021-2024</v>
      </c>
      <c r="H832" s="1071" t="s">
        <v>29</v>
      </c>
      <c r="I832" s="1071" t="s">
        <v>79</v>
      </c>
      <c r="AZ832" s="1108"/>
      <c r="BA832" s="1109"/>
      <c r="BB832" s="1109"/>
      <c r="BC832" s="1109"/>
      <c r="BD832" s="1109"/>
      <c r="BE832" s="1109"/>
      <c r="BF832" s="1109">
        <f t="shared" ref="BF832:BJ832" si="925">BF485*$AW182</f>
        <v>0</v>
      </c>
      <c r="BG832" s="1109">
        <f t="shared" si="925"/>
        <v>0</v>
      </c>
      <c r="BH832" s="1109">
        <f t="shared" si="925"/>
        <v>0</v>
      </c>
      <c r="BI832" s="1109">
        <f t="shared" si="925"/>
        <v>0</v>
      </c>
      <c r="BJ832" s="1109">
        <f t="shared" si="925"/>
        <v>0</v>
      </c>
    </row>
    <row r="833" spans="2:62" hidden="1" outlineLevel="1">
      <c r="B833" s="1094"/>
      <c r="C833" s="1071" t="str">
        <f t="shared" ref="C833:F833" si="926">C486</f>
        <v>Plant &amp; Equipment upgrades Shannon En Route</v>
      </c>
      <c r="D833" s="1071" t="str">
        <f t="shared" si="926"/>
        <v>Plant &amp; Equipment upgrades</v>
      </c>
      <c r="E833" s="1071" t="str">
        <f t="shared" si="926"/>
        <v>RP3-PROP-3</v>
      </c>
      <c r="F833" s="1125" t="str">
        <f t="shared" si="926"/>
        <v>2021-2024</v>
      </c>
      <c r="H833" s="1071" t="s">
        <v>29</v>
      </c>
      <c r="I833" s="1071" t="s">
        <v>79</v>
      </c>
      <c r="AZ833" s="1108"/>
      <c r="BA833" s="1109"/>
      <c r="BB833" s="1109"/>
      <c r="BC833" s="1109"/>
      <c r="BD833" s="1109"/>
      <c r="BE833" s="1109"/>
      <c r="BF833" s="1109">
        <f t="shared" ref="BF833:BJ833" si="927">BF486*$AW183</f>
        <v>0</v>
      </c>
      <c r="BG833" s="1109">
        <f t="shared" si="927"/>
        <v>0</v>
      </c>
      <c r="BH833" s="1109">
        <f t="shared" si="927"/>
        <v>0</v>
      </c>
      <c r="BI833" s="1109">
        <f t="shared" si="927"/>
        <v>232.1875</v>
      </c>
      <c r="BJ833" s="1109">
        <f t="shared" si="927"/>
        <v>232.1875</v>
      </c>
    </row>
    <row r="834" spans="2:62" hidden="1" outlineLevel="1">
      <c r="B834" s="1094"/>
      <c r="C834" s="1071" t="str">
        <f t="shared" ref="C834:F834" si="928">C487</f>
        <v>Plant &amp; Equipment upgrades Shannon Joint</v>
      </c>
      <c r="D834" s="1071" t="str">
        <f t="shared" si="928"/>
        <v>Plant &amp; Equipment upgrades</v>
      </c>
      <c r="E834" s="1071" t="str">
        <f t="shared" si="928"/>
        <v>RP3-PROP-3</v>
      </c>
      <c r="F834" s="1125" t="str">
        <f t="shared" si="928"/>
        <v>2021-2024</v>
      </c>
      <c r="H834" s="1071" t="s">
        <v>29</v>
      </c>
      <c r="I834" s="1071" t="s">
        <v>79</v>
      </c>
      <c r="AZ834" s="1108"/>
      <c r="BA834" s="1109"/>
      <c r="BB834" s="1109"/>
      <c r="BC834" s="1109"/>
      <c r="BD834" s="1109"/>
      <c r="BE834" s="1109"/>
      <c r="BF834" s="1109">
        <f t="shared" ref="BF834:BJ834" si="929">BF487*$AW184</f>
        <v>0</v>
      </c>
      <c r="BG834" s="1109">
        <f t="shared" si="929"/>
        <v>0</v>
      </c>
      <c r="BH834" s="1109">
        <f t="shared" si="929"/>
        <v>1.7578125</v>
      </c>
      <c r="BI834" s="1109">
        <f t="shared" si="929"/>
        <v>7.03125</v>
      </c>
      <c r="BJ834" s="1109">
        <f t="shared" si="929"/>
        <v>28.828125</v>
      </c>
    </row>
    <row r="835" spans="2:62" hidden="1" outlineLevel="1">
      <c r="B835" s="1094"/>
      <c r="C835" s="1071" t="str">
        <f t="shared" ref="C835:F835" si="930">C488</f>
        <v>Plant &amp; Equipment upgrades Shannon Terminal</v>
      </c>
      <c r="D835" s="1071" t="str">
        <f t="shared" si="930"/>
        <v>Plant &amp; Equipment upgrades</v>
      </c>
      <c r="E835" s="1071" t="str">
        <f t="shared" si="930"/>
        <v>RP3-PROP-3</v>
      </c>
      <c r="F835" s="1125" t="str">
        <f t="shared" si="930"/>
        <v>2021-2024</v>
      </c>
      <c r="H835" s="1071" t="s">
        <v>29</v>
      </c>
      <c r="I835" s="1071" t="s">
        <v>79</v>
      </c>
      <c r="AZ835" s="1108"/>
      <c r="BA835" s="1109"/>
      <c r="BB835" s="1109"/>
      <c r="BC835" s="1109"/>
      <c r="BD835" s="1109"/>
      <c r="BE835" s="1109"/>
      <c r="BF835" s="1109">
        <f t="shared" ref="BF835:BJ835" si="931">BF488*$AW185</f>
        <v>0</v>
      </c>
      <c r="BG835" s="1109">
        <f t="shared" si="931"/>
        <v>0</v>
      </c>
      <c r="BH835" s="1109">
        <f t="shared" si="931"/>
        <v>0</v>
      </c>
      <c r="BI835" s="1109">
        <f t="shared" si="931"/>
        <v>0</v>
      </c>
      <c r="BJ835" s="1109">
        <f t="shared" si="931"/>
        <v>0</v>
      </c>
    </row>
    <row r="836" spans="2:62" hidden="1" outlineLevel="1">
      <c r="B836" s="1094"/>
      <c r="C836" s="1071" t="str">
        <f t="shared" ref="C836:F836" si="932">C489</f>
        <v>Plant &amp; Equipment upgrades Dublin Joint</v>
      </c>
      <c r="D836" s="1071" t="str">
        <f t="shared" si="932"/>
        <v>Plant &amp; Equipment upgrades</v>
      </c>
      <c r="E836" s="1071" t="str">
        <f t="shared" si="932"/>
        <v>RP3-PROP-3</v>
      </c>
      <c r="F836" s="1125" t="str">
        <f t="shared" si="932"/>
        <v>2021-2024</v>
      </c>
      <c r="H836" s="1071" t="s">
        <v>29</v>
      </c>
      <c r="I836" s="1071" t="s">
        <v>79</v>
      </c>
      <c r="AZ836" s="1108"/>
      <c r="BA836" s="1109"/>
      <c r="BB836" s="1109"/>
      <c r="BC836" s="1109"/>
      <c r="BD836" s="1109"/>
      <c r="BE836" s="1109"/>
      <c r="BF836" s="1109">
        <f t="shared" ref="BF836:BJ836" si="933">BF489*$AW186</f>
        <v>0</v>
      </c>
      <c r="BG836" s="1109">
        <f t="shared" si="933"/>
        <v>0</v>
      </c>
      <c r="BH836" s="1109">
        <f t="shared" si="933"/>
        <v>0</v>
      </c>
      <c r="BI836" s="1109">
        <f t="shared" si="933"/>
        <v>152.578125</v>
      </c>
      <c r="BJ836" s="1109">
        <f t="shared" si="933"/>
        <v>152.578125</v>
      </c>
    </row>
    <row r="837" spans="2:62" hidden="1" outlineLevel="1">
      <c r="B837" s="1094"/>
      <c r="C837" s="1071" t="str">
        <f t="shared" ref="C837:F837" si="934">C490</f>
        <v>Plant &amp; Equipment upgrades Cork Terminal</v>
      </c>
      <c r="D837" s="1071" t="str">
        <f t="shared" si="934"/>
        <v>Plant &amp; Equipment upgrades</v>
      </c>
      <c r="E837" s="1071" t="str">
        <f t="shared" si="934"/>
        <v>RP3-PROP-3</v>
      </c>
      <c r="F837" s="1125" t="str">
        <f t="shared" si="934"/>
        <v>2021-2024</v>
      </c>
      <c r="H837" s="1071" t="s">
        <v>29</v>
      </c>
      <c r="I837" s="1071" t="s">
        <v>79</v>
      </c>
      <c r="AZ837" s="1108"/>
      <c r="BA837" s="1109"/>
      <c r="BB837" s="1109"/>
      <c r="BC837" s="1109"/>
      <c r="BD837" s="1109"/>
      <c r="BE837" s="1109"/>
      <c r="BF837" s="1109">
        <f t="shared" ref="BF837:BJ837" si="935">BF490*$AW187</f>
        <v>0</v>
      </c>
      <c r="BG837" s="1109">
        <f t="shared" si="935"/>
        <v>0</v>
      </c>
      <c r="BH837" s="1109">
        <f t="shared" si="935"/>
        <v>0</v>
      </c>
      <c r="BI837" s="1109">
        <f t="shared" si="935"/>
        <v>0</v>
      </c>
      <c r="BJ837" s="1109">
        <f t="shared" si="935"/>
        <v>0</v>
      </c>
    </row>
    <row r="838" spans="2:62" hidden="1" outlineLevel="1">
      <c r="B838" s="1094"/>
      <c r="C838" s="1071" t="str">
        <f t="shared" ref="C838:F838" si="936">C491</f>
        <v>Plant &amp; Equipment upgrades HQ Joint</v>
      </c>
      <c r="D838" s="1071" t="str">
        <f t="shared" si="936"/>
        <v>Plant &amp; Equipment upgrades</v>
      </c>
      <c r="E838" s="1071" t="str">
        <f t="shared" si="936"/>
        <v>RP3-PROP-3</v>
      </c>
      <c r="F838" s="1125" t="str">
        <f t="shared" si="936"/>
        <v>2021-2024</v>
      </c>
      <c r="H838" s="1071" t="s">
        <v>29</v>
      </c>
      <c r="I838" s="1071" t="s">
        <v>79</v>
      </c>
      <c r="AZ838" s="1108"/>
      <c r="BA838" s="1109"/>
      <c r="BB838" s="1109"/>
      <c r="BC838" s="1109"/>
      <c r="BD838" s="1109"/>
      <c r="BE838" s="1109"/>
      <c r="BF838" s="1109">
        <f t="shared" ref="BF838:BJ838" si="937">BF491*$AW188</f>
        <v>0</v>
      </c>
      <c r="BG838" s="1109">
        <f t="shared" si="937"/>
        <v>0</v>
      </c>
      <c r="BH838" s="1109">
        <f t="shared" si="937"/>
        <v>0</v>
      </c>
      <c r="BI838" s="1109">
        <f t="shared" si="937"/>
        <v>53.0390625</v>
      </c>
      <c r="BJ838" s="1109">
        <f t="shared" si="937"/>
        <v>212.15625</v>
      </c>
    </row>
    <row r="839" spans="2:62" hidden="1" outlineLevel="1">
      <c r="B839" s="1094"/>
      <c r="C839" s="1071" t="str">
        <f t="shared" ref="C839:F839" si="938">C492</f>
        <v>Climate action plan</v>
      </c>
      <c r="D839" s="1071" t="str">
        <f t="shared" si="938"/>
        <v>Climate action plan</v>
      </c>
      <c r="E839" s="1071" t="str">
        <f t="shared" si="938"/>
        <v>U011</v>
      </c>
      <c r="F839" s="1125" t="str">
        <f t="shared" si="938"/>
        <v>2021-2024</v>
      </c>
      <c r="H839" s="1071" t="s">
        <v>29</v>
      </c>
      <c r="I839" s="1071" t="s">
        <v>79</v>
      </c>
      <c r="AZ839" s="1108"/>
      <c r="BA839" s="1109"/>
      <c r="BB839" s="1109"/>
      <c r="BC839" s="1109"/>
      <c r="BD839" s="1109"/>
      <c r="BE839" s="1109"/>
      <c r="BF839" s="1109">
        <f t="shared" ref="BF839:BJ839" si="939">BF492*$AW189</f>
        <v>0</v>
      </c>
      <c r="BG839" s="1109">
        <f t="shared" si="939"/>
        <v>26.25</v>
      </c>
      <c r="BH839" s="1109">
        <f t="shared" si="939"/>
        <v>120</v>
      </c>
      <c r="BI839" s="1109">
        <f t="shared" si="939"/>
        <v>427.5</v>
      </c>
      <c r="BJ839" s="1109">
        <f t="shared" si="939"/>
        <v>795</v>
      </c>
    </row>
    <row r="840" spans="2:62" hidden="1" outlineLevel="1">
      <c r="B840" s="1094"/>
      <c r="C840" s="1071" t="str">
        <f t="shared" ref="C840:F840" si="940">C493</f>
        <v>RADAR Overhaul - Woodcock Hill</v>
      </c>
      <c r="D840" s="1071" t="str">
        <f t="shared" si="940"/>
        <v>RADAR Overhaul</v>
      </c>
      <c r="E840" s="1071" t="str">
        <f t="shared" si="940"/>
        <v>RP3-SURV-1</v>
      </c>
      <c r="F840" s="1125" t="str">
        <f t="shared" si="940"/>
        <v>2021-2024</v>
      </c>
      <c r="H840" s="1071" t="s">
        <v>29</v>
      </c>
      <c r="I840" s="1071" t="s">
        <v>79</v>
      </c>
      <c r="AZ840" s="1108"/>
      <c r="BA840" s="1109"/>
      <c r="BB840" s="1109"/>
      <c r="BC840" s="1109"/>
      <c r="BD840" s="1109"/>
      <c r="BE840" s="1109"/>
      <c r="BF840" s="1109">
        <f t="shared" ref="BF840:BJ840" si="941">BF493*$AW190</f>
        <v>0</v>
      </c>
      <c r="BG840" s="1109">
        <f t="shared" si="941"/>
        <v>0</v>
      </c>
      <c r="BH840" s="1109">
        <f t="shared" si="941"/>
        <v>0</v>
      </c>
      <c r="BI840" s="1109">
        <f t="shared" si="941"/>
        <v>41.666666666666664</v>
      </c>
      <c r="BJ840" s="1109">
        <f t="shared" si="941"/>
        <v>166.66666666666666</v>
      </c>
    </row>
    <row r="841" spans="2:62" hidden="1" outlineLevel="1">
      <c r="B841" s="1094"/>
      <c r="C841" s="1071" t="str">
        <f t="shared" ref="C841:F841" si="942">C494</f>
        <v>RADAR Overhaul - MT Gabriel 1 &amp; 2</v>
      </c>
      <c r="D841" s="1071" t="str">
        <f t="shared" si="942"/>
        <v>RADAR Overhaul</v>
      </c>
      <c r="E841" s="1071" t="str">
        <f t="shared" si="942"/>
        <v>RP3-SURV-1</v>
      </c>
      <c r="F841" s="1125" t="str">
        <f t="shared" si="942"/>
        <v>2021-2024</v>
      </c>
      <c r="H841" s="1071" t="s">
        <v>29</v>
      </c>
      <c r="I841" s="1071" t="s">
        <v>79</v>
      </c>
      <c r="AZ841" s="1108"/>
      <c r="BA841" s="1109"/>
      <c r="BB841" s="1109"/>
      <c r="BC841" s="1109"/>
      <c r="BD841" s="1109"/>
      <c r="BE841" s="1109"/>
      <c r="BF841" s="1109">
        <f t="shared" ref="BF841:BJ841" si="943">BF494*$AW191</f>
        <v>0</v>
      </c>
      <c r="BG841" s="1109">
        <f t="shared" si="943"/>
        <v>0</v>
      </c>
      <c r="BH841" s="1109">
        <f t="shared" si="943"/>
        <v>0</v>
      </c>
      <c r="BI841" s="1109">
        <f t="shared" si="943"/>
        <v>0</v>
      </c>
      <c r="BJ841" s="1109">
        <f t="shared" si="943"/>
        <v>41.666666666666664</v>
      </c>
    </row>
    <row r="842" spans="2:62" hidden="1" outlineLevel="1">
      <c r="B842" s="1094"/>
      <c r="C842" s="1071" t="str">
        <f t="shared" ref="C842:F842" si="944">C495</f>
        <v>Voice Communication Switch</v>
      </c>
      <c r="D842" s="1071" t="str">
        <f t="shared" si="944"/>
        <v>VOIP Switch</v>
      </c>
      <c r="E842" s="1071" t="str">
        <f t="shared" si="944"/>
        <v>S005</v>
      </c>
      <c r="F842" s="1125" t="str">
        <f t="shared" si="944"/>
        <v>2021-2024</v>
      </c>
      <c r="H842" s="1071" t="s">
        <v>29</v>
      </c>
      <c r="I842" s="1071" t="s">
        <v>79</v>
      </c>
      <c r="AZ842" s="1108"/>
      <c r="BA842" s="1109"/>
      <c r="BB842" s="1109"/>
      <c r="BC842" s="1109"/>
      <c r="BD842" s="1109"/>
      <c r="BE842" s="1109"/>
      <c r="BF842" s="1109">
        <f t="shared" ref="BF842:BJ842" si="945">BF495*$AW192</f>
        <v>0</v>
      </c>
      <c r="BG842" s="1109">
        <f t="shared" si="945"/>
        <v>0</v>
      </c>
      <c r="BH842" s="1109">
        <f t="shared" si="945"/>
        <v>0</v>
      </c>
      <c r="BI842" s="1109">
        <f t="shared" si="945"/>
        <v>0</v>
      </c>
      <c r="BJ842" s="1109">
        <f t="shared" si="945"/>
        <v>0</v>
      </c>
    </row>
    <row r="843" spans="2:62" hidden="1" outlineLevel="1">
      <c r="B843" s="1094"/>
      <c r="C843" s="1071" t="str">
        <f t="shared" ref="C843:F843" si="946">C496</f>
        <v>VOIP Switch CRK</v>
      </c>
      <c r="D843" s="1071" t="str">
        <f t="shared" si="946"/>
        <v>VOIP Switch</v>
      </c>
      <c r="E843" s="1071" t="str">
        <f t="shared" si="946"/>
        <v>S005A</v>
      </c>
      <c r="F843" s="1125" t="str">
        <f t="shared" si="946"/>
        <v>2021-2024</v>
      </c>
      <c r="H843" s="1071" t="s">
        <v>29</v>
      </c>
      <c r="I843" s="1071" t="s">
        <v>79</v>
      </c>
      <c r="AZ843" s="1108"/>
      <c r="BA843" s="1109"/>
      <c r="BB843" s="1109"/>
      <c r="BC843" s="1109"/>
      <c r="BD843" s="1109"/>
      <c r="BE843" s="1109"/>
      <c r="BF843" s="1109">
        <f t="shared" ref="BF843:BJ843" si="947">BF496*$AW193</f>
        <v>0</v>
      </c>
      <c r="BG843" s="1109">
        <f t="shared" si="947"/>
        <v>0</v>
      </c>
      <c r="BH843" s="1109">
        <f t="shared" si="947"/>
        <v>0</v>
      </c>
      <c r="BI843" s="1109">
        <f t="shared" si="947"/>
        <v>0</v>
      </c>
      <c r="BJ843" s="1109">
        <f t="shared" si="947"/>
        <v>0</v>
      </c>
    </row>
    <row r="844" spans="2:62" hidden="1" outlineLevel="1">
      <c r="B844" s="1094"/>
      <c r="C844" s="1071" t="str">
        <f t="shared" ref="C844:F844" si="948">C497</f>
        <v>VOIP Switch DUB</v>
      </c>
      <c r="D844" s="1071" t="str">
        <f t="shared" si="948"/>
        <v>VOIP Switch</v>
      </c>
      <c r="E844" s="1071" t="str">
        <f t="shared" si="948"/>
        <v>S005A</v>
      </c>
      <c r="F844" s="1125" t="str">
        <f t="shared" si="948"/>
        <v>2021-2024</v>
      </c>
      <c r="H844" s="1071" t="s">
        <v>29</v>
      </c>
      <c r="I844" s="1071" t="s">
        <v>79</v>
      </c>
      <c r="AZ844" s="1108"/>
      <c r="BA844" s="1109"/>
      <c r="BB844" s="1109"/>
      <c r="BC844" s="1109"/>
      <c r="BD844" s="1109"/>
      <c r="BE844" s="1109"/>
      <c r="BF844" s="1109">
        <f t="shared" ref="BF844:BJ844" si="949">BF497*$AW194</f>
        <v>0</v>
      </c>
      <c r="BG844" s="1109">
        <f t="shared" si="949"/>
        <v>31.684463337890627</v>
      </c>
      <c r="BH844" s="1109">
        <f t="shared" si="949"/>
        <v>126.73785335156251</v>
      </c>
      <c r="BI844" s="1109">
        <f t="shared" si="949"/>
        <v>126.73785335156251</v>
      </c>
      <c r="BJ844" s="1109">
        <f t="shared" si="949"/>
        <v>126.73785335156251</v>
      </c>
    </row>
    <row r="845" spans="2:62" hidden="1" outlineLevel="1">
      <c r="B845" s="1094"/>
      <c r="C845" s="1071" t="str">
        <f t="shared" ref="C845:F845" si="950">C498</f>
        <v>VOIP Switch Ballycasey Main</v>
      </c>
      <c r="D845" s="1071" t="str">
        <f t="shared" si="950"/>
        <v>VOIP Switch</v>
      </c>
      <c r="E845" s="1071" t="str">
        <f t="shared" si="950"/>
        <v>S005A</v>
      </c>
      <c r="F845" s="1125" t="str">
        <f t="shared" si="950"/>
        <v>2021-2024</v>
      </c>
      <c r="H845" s="1071" t="s">
        <v>29</v>
      </c>
      <c r="I845" s="1071" t="s">
        <v>79</v>
      </c>
      <c r="AZ845" s="1108"/>
      <c r="BA845" s="1109"/>
      <c r="BB845" s="1109"/>
      <c r="BC845" s="1109"/>
      <c r="BD845" s="1109"/>
      <c r="BE845" s="1109"/>
      <c r="BF845" s="1109">
        <f t="shared" ref="BF845:BJ845" si="951">BF498*$AW195</f>
        <v>0</v>
      </c>
      <c r="BG845" s="1109">
        <f t="shared" si="951"/>
        <v>0</v>
      </c>
      <c r="BH845" s="1109">
        <f t="shared" si="951"/>
        <v>0</v>
      </c>
      <c r="BI845" s="1109">
        <f t="shared" si="951"/>
        <v>0</v>
      </c>
      <c r="BJ845" s="1109">
        <f t="shared" si="951"/>
        <v>42.170593750000002</v>
      </c>
    </row>
    <row r="846" spans="2:62" hidden="1" outlineLevel="1">
      <c r="B846" s="1094"/>
      <c r="C846" s="1071" t="str">
        <f t="shared" ref="C846:F846" si="952">C499</f>
        <v>VOIP Switch STBU</v>
      </c>
      <c r="D846" s="1071" t="str">
        <f t="shared" si="952"/>
        <v>VOIP Switch</v>
      </c>
      <c r="E846" s="1071" t="str">
        <f t="shared" si="952"/>
        <v>S005A</v>
      </c>
      <c r="F846" s="1125" t="str">
        <f t="shared" si="952"/>
        <v>2021-2024</v>
      </c>
      <c r="H846" s="1071" t="s">
        <v>29</v>
      </c>
      <c r="I846" s="1071" t="s">
        <v>79</v>
      </c>
      <c r="AZ846" s="1108"/>
      <c r="BA846" s="1109"/>
      <c r="BB846" s="1109"/>
      <c r="BC846" s="1109"/>
      <c r="BD846" s="1109"/>
      <c r="BE846" s="1109"/>
      <c r="BF846" s="1109">
        <f t="shared" ref="BF846:BJ846" si="953">BF499*$AW196</f>
        <v>0</v>
      </c>
      <c r="BG846" s="1109">
        <f t="shared" si="953"/>
        <v>0</v>
      </c>
      <c r="BH846" s="1109">
        <f t="shared" si="953"/>
        <v>0</v>
      </c>
      <c r="BI846" s="1109">
        <f t="shared" si="953"/>
        <v>0</v>
      </c>
      <c r="BJ846" s="1109">
        <f t="shared" si="953"/>
        <v>0</v>
      </c>
    </row>
    <row r="847" spans="2:62" hidden="1" outlineLevel="1">
      <c r="B847" s="1094"/>
      <c r="C847" s="1071" t="str">
        <f t="shared" ref="C847:F847" si="954">C500</f>
        <v>VOIP Test &amp; backup Ballycasey</v>
      </c>
      <c r="D847" s="1071" t="str">
        <f t="shared" si="954"/>
        <v>VOIP Switch</v>
      </c>
      <c r="E847" s="1071" t="str">
        <f t="shared" si="954"/>
        <v>S005A</v>
      </c>
      <c r="F847" s="1125" t="str">
        <f t="shared" si="954"/>
        <v>2021-2024</v>
      </c>
      <c r="H847" s="1071" t="s">
        <v>29</v>
      </c>
      <c r="I847" s="1071" t="s">
        <v>79</v>
      </c>
      <c r="AZ847" s="1108"/>
      <c r="BA847" s="1109"/>
      <c r="BB847" s="1109"/>
      <c r="BC847" s="1109"/>
      <c r="BD847" s="1109"/>
      <c r="BE847" s="1109"/>
      <c r="BF847" s="1109">
        <f t="shared" ref="BF847:BJ847" si="955">BF500*$AW197</f>
        <v>0</v>
      </c>
      <c r="BG847" s="1109">
        <f t="shared" si="955"/>
        <v>0</v>
      </c>
      <c r="BH847" s="1109">
        <f t="shared" si="955"/>
        <v>0</v>
      </c>
      <c r="BI847" s="1109">
        <f t="shared" si="955"/>
        <v>12.522656249999999</v>
      </c>
      <c r="BJ847" s="1109">
        <f t="shared" si="955"/>
        <v>50.090624999999996</v>
      </c>
    </row>
    <row r="848" spans="2:62" hidden="1" outlineLevel="1">
      <c r="B848" s="1094"/>
      <c r="C848" s="1071" t="str">
        <f t="shared" ref="C848:F848" si="956">C501</f>
        <v>North Dublin Radar Building</v>
      </c>
      <c r="D848" s="1071" t="str">
        <f t="shared" si="956"/>
        <v>North Dublin Radar Building</v>
      </c>
      <c r="E848" s="1071" t="str">
        <f t="shared" si="956"/>
        <v>T006</v>
      </c>
      <c r="F848" s="1125" t="str">
        <f t="shared" si="956"/>
        <v>2021-2024</v>
      </c>
      <c r="H848" s="1071" t="s">
        <v>29</v>
      </c>
      <c r="I848" s="1071" t="s">
        <v>79</v>
      </c>
      <c r="AZ848" s="1108"/>
      <c r="BA848" s="1109"/>
      <c r="BB848" s="1109"/>
      <c r="BC848" s="1109"/>
      <c r="BD848" s="1109"/>
      <c r="BE848" s="1109"/>
      <c r="BF848" s="1109">
        <f t="shared" ref="BF848:BJ848" si="957">BF501*$AW198</f>
        <v>0</v>
      </c>
      <c r="BG848" s="1109">
        <f t="shared" si="957"/>
        <v>0</v>
      </c>
      <c r="BH848" s="1109">
        <f t="shared" si="957"/>
        <v>163.125</v>
      </c>
      <c r="BI848" s="1109">
        <f t="shared" si="957"/>
        <v>217.5</v>
      </c>
      <c r="BJ848" s="1109">
        <f t="shared" si="957"/>
        <v>217.5</v>
      </c>
    </row>
    <row r="849" spans="2:62" hidden="1" outlineLevel="1">
      <c r="B849" s="1094"/>
      <c r="C849" s="1071" t="str">
        <f t="shared" ref="C849:F849" si="958">C502</f>
        <v>Structural Upgrades Dublin ACC</v>
      </c>
      <c r="D849" s="1071" t="str">
        <f t="shared" si="958"/>
        <v>Structural Upgrades</v>
      </c>
      <c r="E849" s="1071" t="str">
        <f t="shared" si="958"/>
        <v>RP3-PROP-4</v>
      </c>
      <c r="F849" s="1125" t="str">
        <f t="shared" si="958"/>
        <v>2021-2024</v>
      </c>
      <c r="H849" s="1071" t="s">
        <v>29</v>
      </c>
      <c r="I849" s="1071" t="s">
        <v>79</v>
      </c>
      <c r="AZ849" s="1108"/>
      <c r="BA849" s="1109"/>
      <c r="BB849" s="1109"/>
      <c r="BC849" s="1109"/>
      <c r="BD849" s="1109"/>
      <c r="BE849" s="1109"/>
      <c r="BF849" s="1109">
        <f t="shared" ref="BF849:BJ849" si="959">BF502*$AW199</f>
        <v>0</v>
      </c>
      <c r="BG849" s="1109">
        <f t="shared" si="959"/>
        <v>0</v>
      </c>
      <c r="BH849" s="1109">
        <f t="shared" si="959"/>
        <v>0</v>
      </c>
      <c r="BI849" s="1109">
        <f t="shared" si="959"/>
        <v>0</v>
      </c>
      <c r="BJ849" s="1109">
        <f t="shared" si="959"/>
        <v>72.65625</v>
      </c>
    </row>
    <row r="850" spans="2:62" hidden="1" outlineLevel="1">
      <c r="B850" s="1094"/>
      <c r="C850" s="1071" t="str">
        <f t="shared" ref="C850:F850" si="960">C503</f>
        <v>Structural Upgrades Ballycasey ACC</v>
      </c>
      <c r="D850" s="1071" t="str">
        <f t="shared" si="960"/>
        <v>Structural Upgrades</v>
      </c>
      <c r="E850" s="1071" t="str">
        <f t="shared" si="960"/>
        <v>RP3-PROP-4</v>
      </c>
      <c r="F850" s="1125" t="str">
        <f t="shared" si="960"/>
        <v>2021-2024</v>
      </c>
      <c r="H850" s="1071" t="s">
        <v>29</v>
      </c>
      <c r="I850" s="1071" t="s">
        <v>79</v>
      </c>
      <c r="AZ850" s="1108"/>
      <c r="BA850" s="1109"/>
      <c r="BB850" s="1109"/>
      <c r="BC850" s="1109"/>
      <c r="BD850" s="1109"/>
      <c r="BE850" s="1109"/>
      <c r="BF850" s="1109">
        <f t="shared" ref="BF850:BJ850" si="961">BF503*$AW200</f>
        <v>0</v>
      </c>
      <c r="BG850" s="1109">
        <f t="shared" si="961"/>
        <v>0</v>
      </c>
      <c r="BH850" s="1109">
        <f t="shared" si="961"/>
        <v>11.625</v>
      </c>
      <c r="BI850" s="1109">
        <f t="shared" si="961"/>
        <v>46.5</v>
      </c>
      <c r="BJ850" s="1109">
        <f t="shared" si="961"/>
        <v>46.5</v>
      </c>
    </row>
    <row r="851" spans="2:62" hidden="1" outlineLevel="1">
      <c r="B851" s="1094"/>
      <c r="C851" s="1071" t="str">
        <f t="shared" ref="C851:F851" si="962">C504</f>
        <v>Structural Upgrades Shannon Air Traffic Control Tower</v>
      </c>
      <c r="D851" s="1071" t="str">
        <f t="shared" si="962"/>
        <v>Structural Upgrades</v>
      </c>
      <c r="E851" s="1071" t="str">
        <f t="shared" si="962"/>
        <v>RP3-PROP-4</v>
      </c>
      <c r="F851" s="1125" t="str">
        <f t="shared" si="962"/>
        <v>2021-2024</v>
      </c>
      <c r="H851" s="1071" t="s">
        <v>29</v>
      </c>
      <c r="I851" s="1071" t="s">
        <v>79</v>
      </c>
      <c r="AZ851" s="1108"/>
      <c r="BA851" s="1109"/>
      <c r="BB851" s="1109"/>
      <c r="BC851" s="1109"/>
      <c r="BD851" s="1109"/>
      <c r="BE851" s="1109"/>
      <c r="BF851" s="1109">
        <f t="shared" ref="BF851:BJ851" si="963">BF504*$AW201</f>
        <v>0</v>
      </c>
      <c r="BG851" s="1109">
        <f t="shared" si="963"/>
        <v>0</v>
      </c>
      <c r="BH851" s="1109">
        <f t="shared" si="963"/>
        <v>0</v>
      </c>
      <c r="BI851" s="1109">
        <f t="shared" si="963"/>
        <v>0</v>
      </c>
      <c r="BJ851" s="1109">
        <f t="shared" si="963"/>
        <v>0</v>
      </c>
    </row>
    <row r="852" spans="2:62" hidden="1" outlineLevel="1">
      <c r="B852" s="1094"/>
      <c r="C852" s="1071" t="str">
        <f t="shared" ref="C852:F852" si="964">C505</f>
        <v>Restrucuring IT Costs ANSP</v>
      </c>
      <c r="D852" s="1071" t="str">
        <f t="shared" si="964"/>
        <v>Restrucuring IT Costs ANSP</v>
      </c>
      <c r="E852" s="1071" t="str">
        <f t="shared" si="964"/>
        <v>U022</v>
      </c>
      <c r="F852" s="1125" t="str">
        <f t="shared" si="964"/>
        <v>2021-2024</v>
      </c>
      <c r="H852" s="1071" t="s">
        <v>29</v>
      </c>
      <c r="I852" s="1071" t="s">
        <v>79</v>
      </c>
      <c r="AZ852" s="1108"/>
      <c r="BA852" s="1109"/>
      <c r="BB852" s="1109"/>
      <c r="BC852" s="1109"/>
      <c r="BD852" s="1109"/>
      <c r="BE852" s="1109"/>
      <c r="BF852" s="1109">
        <f t="shared" ref="BF852:BJ852" si="965">BF505*$AW202</f>
        <v>0</v>
      </c>
      <c r="BG852" s="1109">
        <f t="shared" si="965"/>
        <v>0</v>
      </c>
      <c r="BH852" s="1109">
        <f t="shared" si="965"/>
        <v>449.68</v>
      </c>
      <c r="BI852" s="1109">
        <f t="shared" si="965"/>
        <v>449.68</v>
      </c>
      <c r="BJ852" s="1109">
        <f t="shared" si="965"/>
        <v>449.68</v>
      </c>
    </row>
    <row r="853" spans="2:62" hidden="1" outlineLevel="1">
      <c r="B853" s="1094"/>
      <c r="C853" s="1071" t="str">
        <f t="shared" ref="C853:F853" si="966">C506</f>
        <v>Conditional Surveys</v>
      </c>
      <c r="D853" s="1071" t="str">
        <f t="shared" si="966"/>
        <v>Conditional Surveys</v>
      </c>
      <c r="E853" s="1071" t="str">
        <f t="shared" si="966"/>
        <v>RP3-PROP-1</v>
      </c>
      <c r="F853" s="1125" t="str">
        <f t="shared" si="966"/>
        <v>2021-2024</v>
      </c>
      <c r="H853" s="1071" t="s">
        <v>29</v>
      </c>
      <c r="I853" s="1071" t="s">
        <v>79</v>
      </c>
      <c r="AZ853" s="1108"/>
      <c r="BA853" s="1109"/>
      <c r="BB853" s="1109"/>
      <c r="BC853" s="1109"/>
      <c r="BD853" s="1109"/>
      <c r="BE853" s="1109"/>
      <c r="BF853" s="1109">
        <f t="shared" ref="BF853:BJ853" si="967">BF506*$AW203</f>
        <v>0</v>
      </c>
      <c r="BG853" s="1109">
        <f t="shared" si="967"/>
        <v>0</v>
      </c>
      <c r="BH853" s="1109">
        <f t="shared" si="967"/>
        <v>0</v>
      </c>
      <c r="BI853" s="1109">
        <f t="shared" si="967"/>
        <v>0</v>
      </c>
      <c r="BJ853" s="1109">
        <f t="shared" si="967"/>
        <v>0</v>
      </c>
    </row>
    <row r="854" spans="2:62" hidden="1" outlineLevel="1">
      <c r="B854" s="1094"/>
      <c r="C854" s="1071" t="str">
        <f t="shared" ref="C854:F854" si="968">C507</f>
        <v>Conditional Surveys Shannon En Route</v>
      </c>
      <c r="D854" s="1071" t="str">
        <f t="shared" si="968"/>
        <v>Conditional Surveys</v>
      </c>
      <c r="E854" s="1071" t="str">
        <f t="shared" si="968"/>
        <v>RP3-PROP-1</v>
      </c>
      <c r="F854" s="1125" t="str">
        <f t="shared" si="968"/>
        <v>2021-2024</v>
      </c>
      <c r="H854" s="1071" t="s">
        <v>29</v>
      </c>
      <c r="I854" s="1071" t="s">
        <v>79</v>
      </c>
      <c r="AZ854" s="1108"/>
      <c r="BA854" s="1109"/>
      <c r="BB854" s="1109"/>
      <c r="BC854" s="1109"/>
      <c r="BD854" s="1109"/>
      <c r="BE854" s="1109"/>
      <c r="BF854" s="1109">
        <f t="shared" ref="BF854:BJ854" si="969">BF507*$AW204</f>
        <v>0</v>
      </c>
      <c r="BG854" s="1109">
        <f t="shared" si="969"/>
        <v>21.182031250000005</v>
      </c>
      <c r="BH854" s="1109">
        <f t="shared" si="969"/>
        <v>129.61249999999998</v>
      </c>
      <c r="BI854" s="1109">
        <f t="shared" si="969"/>
        <v>193.67500000000004</v>
      </c>
      <c r="BJ854" s="1109">
        <f t="shared" si="969"/>
        <v>195.74531250000004</v>
      </c>
    </row>
    <row r="855" spans="2:62" hidden="1" outlineLevel="1">
      <c r="B855" s="1094"/>
      <c r="C855" s="1071" t="str">
        <f t="shared" ref="C855:F855" si="970">C508</f>
        <v>Conditional Surveys Shannon Joint</v>
      </c>
      <c r="D855" s="1071" t="str">
        <f t="shared" si="970"/>
        <v>Conditional Surveys</v>
      </c>
      <c r="E855" s="1071" t="str">
        <f t="shared" si="970"/>
        <v>RP3-PROP-1</v>
      </c>
      <c r="F855" s="1125" t="str">
        <f t="shared" si="970"/>
        <v>2021-2024</v>
      </c>
      <c r="H855" s="1071" t="s">
        <v>29</v>
      </c>
      <c r="I855" s="1071" t="s">
        <v>79</v>
      </c>
      <c r="AZ855" s="1108"/>
      <c r="BA855" s="1109"/>
      <c r="BB855" s="1109"/>
      <c r="BC855" s="1109"/>
      <c r="BD855" s="1109"/>
      <c r="BE855" s="1109"/>
      <c r="BF855" s="1109">
        <f t="shared" ref="BF855:BJ855" si="971">BF508*$AW205</f>
        <v>0</v>
      </c>
      <c r="BG855" s="1109">
        <f t="shared" si="971"/>
        <v>0</v>
      </c>
      <c r="BH855" s="1109">
        <f t="shared" si="971"/>
        <v>0</v>
      </c>
      <c r="BI855" s="1109">
        <f t="shared" si="971"/>
        <v>0.64453125</v>
      </c>
      <c r="BJ855" s="1109">
        <f t="shared" si="971"/>
        <v>7.265625</v>
      </c>
    </row>
    <row r="856" spans="2:62" hidden="1" outlineLevel="1">
      <c r="B856" s="1094"/>
      <c r="C856" s="1071" t="str">
        <f t="shared" ref="C856:F856" si="972">C509</f>
        <v>Conditional Surveys Shannon Terminal</v>
      </c>
      <c r="D856" s="1071" t="str">
        <f t="shared" si="972"/>
        <v>Conditional Surveys</v>
      </c>
      <c r="E856" s="1071" t="str">
        <f t="shared" si="972"/>
        <v>RP3-PROP-1</v>
      </c>
      <c r="F856" s="1125" t="str">
        <f t="shared" si="972"/>
        <v>2021-2024</v>
      </c>
      <c r="H856" s="1071" t="s">
        <v>29</v>
      </c>
      <c r="I856" s="1071" t="s">
        <v>79</v>
      </c>
      <c r="AZ856" s="1108"/>
      <c r="BA856" s="1109"/>
      <c r="BB856" s="1109"/>
      <c r="BC856" s="1109"/>
      <c r="BD856" s="1109"/>
      <c r="BE856" s="1109"/>
      <c r="BF856" s="1109">
        <f t="shared" ref="BF856:BJ856" si="973">BF509*$AW206</f>
        <v>0</v>
      </c>
      <c r="BG856" s="1109">
        <f t="shared" si="973"/>
        <v>0</v>
      </c>
      <c r="BH856" s="1109">
        <f t="shared" si="973"/>
        <v>0</v>
      </c>
      <c r="BI856" s="1109">
        <f t="shared" si="973"/>
        <v>0</v>
      </c>
      <c r="BJ856" s="1109">
        <f t="shared" si="973"/>
        <v>0</v>
      </c>
    </row>
    <row r="857" spans="2:62" hidden="1" outlineLevel="1">
      <c r="B857" s="1094"/>
      <c r="C857" s="1071" t="str">
        <f t="shared" ref="C857:F857" si="974">C510</f>
        <v>Conditional Surveys Dublin Joint</v>
      </c>
      <c r="D857" s="1071" t="str">
        <f t="shared" si="974"/>
        <v>Conditional Surveys</v>
      </c>
      <c r="E857" s="1071" t="str">
        <f t="shared" si="974"/>
        <v>RP3-PROP-1</v>
      </c>
      <c r="F857" s="1125" t="str">
        <f t="shared" si="974"/>
        <v>2021-2024</v>
      </c>
      <c r="H857" s="1071" t="s">
        <v>29</v>
      </c>
      <c r="I857" s="1071" t="s">
        <v>79</v>
      </c>
      <c r="AZ857" s="1108"/>
      <c r="BA857" s="1109"/>
      <c r="BB857" s="1109"/>
      <c r="BC857" s="1109"/>
      <c r="BD857" s="1109"/>
      <c r="BE857" s="1109"/>
      <c r="BF857" s="1109">
        <f t="shared" ref="BF857:BJ857" si="975">BF510*$AW207</f>
        <v>0</v>
      </c>
      <c r="BG857" s="1109">
        <f t="shared" si="975"/>
        <v>0</v>
      </c>
      <c r="BH857" s="1109">
        <f t="shared" si="975"/>
        <v>3.6328125</v>
      </c>
      <c r="BI857" s="1109">
        <f t="shared" si="975"/>
        <v>7.265625</v>
      </c>
      <c r="BJ857" s="1109">
        <f t="shared" si="975"/>
        <v>9.7265625</v>
      </c>
    </row>
    <row r="858" spans="2:62" hidden="1" outlineLevel="1">
      <c r="B858" s="1094"/>
      <c r="C858" s="1071" t="str">
        <f t="shared" ref="C858:F858" si="976">C511</f>
        <v>Conditional Surveys Cork Terminal</v>
      </c>
      <c r="D858" s="1071" t="str">
        <f t="shared" si="976"/>
        <v>Conditional Surveys</v>
      </c>
      <c r="E858" s="1071" t="str">
        <f t="shared" si="976"/>
        <v>RP3-PROP-1</v>
      </c>
      <c r="F858" s="1125" t="str">
        <f t="shared" si="976"/>
        <v>2021-2024</v>
      </c>
      <c r="H858" s="1071" t="s">
        <v>29</v>
      </c>
      <c r="I858" s="1071" t="s">
        <v>79</v>
      </c>
      <c r="AZ858" s="1108"/>
      <c r="BA858" s="1109"/>
      <c r="BB858" s="1109"/>
      <c r="BC858" s="1109"/>
      <c r="BD858" s="1109"/>
      <c r="BE858" s="1109"/>
      <c r="BF858" s="1109">
        <f t="shared" ref="BF858:BJ858" si="977">BF511*$AW208</f>
        <v>0</v>
      </c>
      <c r="BG858" s="1109">
        <f t="shared" si="977"/>
        <v>0</v>
      </c>
      <c r="BH858" s="1109">
        <f t="shared" si="977"/>
        <v>0</v>
      </c>
      <c r="BI858" s="1109">
        <f t="shared" si="977"/>
        <v>0</v>
      </c>
      <c r="BJ858" s="1109">
        <f t="shared" si="977"/>
        <v>0</v>
      </c>
    </row>
    <row r="859" spans="2:62" hidden="1" outlineLevel="1">
      <c r="B859" s="1094"/>
      <c r="C859" s="1071" t="str">
        <f t="shared" ref="C859:F859" si="978">C512</f>
        <v>Replacement Dublin 2 RADAR Existing</v>
      </c>
      <c r="D859" s="1071" t="str">
        <f t="shared" si="978"/>
        <v>Replacement Dublin 2 RADAR</v>
      </c>
      <c r="E859" s="1071" t="str">
        <f t="shared" si="978"/>
        <v>Q012</v>
      </c>
      <c r="F859" s="1125" t="str">
        <f t="shared" si="978"/>
        <v>2021-2024</v>
      </c>
      <c r="H859" s="1071" t="s">
        <v>29</v>
      </c>
      <c r="I859" s="1071" t="s">
        <v>79</v>
      </c>
      <c r="AZ859" s="1108"/>
      <c r="BA859" s="1109"/>
      <c r="BB859" s="1109"/>
      <c r="BC859" s="1109"/>
      <c r="BD859" s="1109"/>
      <c r="BE859" s="1109"/>
      <c r="BF859" s="1109">
        <f t="shared" ref="BF859:BJ859" si="979">BF512*$AW209</f>
        <v>0</v>
      </c>
      <c r="BG859" s="1109">
        <f t="shared" si="979"/>
        <v>0</v>
      </c>
      <c r="BH859" s="1109">
        <f t="shared" si="979"/>
        <v>0</v>
      </c>
      <c r="BI859" s="1109">
        <f t="shared" si="979"/>
        <v>0</v>
      </c>
      <c r="BJ859" s="1109">
        <f t="shared" si="979"/>
        <v>0</v>
      </c>
    </row>
    <row r="860" spans="2:62" hidden="1" outlineLevel="1">
      <c r="B860" s="1094"/>
      <c r="C860" s="1071" t="str">
        <f t="shared" ref="C860:F860" si="980">C513</f>
        <v>Replacement Dublin 2 RADAR New (Phase 2)</v>
      </c>
      <c r="D860" s="1071" t="str">
        <f t="shared" si="980"/>
        <v>Replacement Dublin 2 RADAR</v>
      </c>
      <c r="E860" s="1071" t="str">
        <f t="shared" si="980"/>
        <v>Q012A</v>
      </c>
      <c r="F860" s="1125" t="str">
        <f t="shared" si="980"/>
        <v>2021-2024</v>
      </c>
      <c r="H860" s="1071" t="s">
        <v>29</v>
      </c>
      <c r="I860" s="1071" t="s">
        <v>79</v>
      </c>
      <c r="AZ860" s="1108"/>
      <c r="BA860" s="1109"/>
      <c r="BB860" s="1109"/>
      <c r="BC860" s="1109"/>
      <c r="BD860" s="1109"/>
      <c r="BE860" s="1109"/>
      <c r="BF860" s="1109">
        <f t="shared" ref="BF860:BJ860" si="981">BF513*$AW210</f>
        <v>0</v>
      </c>
      <c r="BG860" s="1109">
        <f t="shared" si="981"/>
        <v>0</v>
      </c>
      <c r="BH860" s="1109">
        <f t="shared" si="981"/>
        <v>57.980507812500001</v>
      </c>
      <c r="BI860" s="1109">
        <f t="shared" si="981"/>
        <v>231.92203125</v>
      </c>
      <c r="BJ860" s="1109">
        <f t="shared" si="981"/>
        <v>231.92203125</v>
      </c>
    </row>
    <row r="861" spans="2:62" hidden="1" outlineLevel="1">
      <c r="B861" s="1094"/>
      <c r="C861" s="1071" t="str">
        <f t="shared" ref="C861:F861" si="982">C514</f>
        <v>Cork ATC Building Upgrade</v>
      </c>
      <c r="D861" s="1071" t="str">
        <f t="shared" si="982"/>
        <v>Cork ATC Building Upgrade</v>
      </c>
      <c r="E861" s="1071" t="str">
        <f t="shared" si="982"/>
        <v>U016</v>
      </c>
      <c r="F861" s="1125" t="str">
        <f t="shared" si="982"/>
        <v>2021-2024</v>
      </c>
      <c r="H861" s="1071" t="s">
        <v>29</v>
      </c>
      <c r="I861" s="1071" t="s">
        <v>79</v>
      </c>
      <c r="AZ861" s="1108"/>
      <c r="BA861" s="1109"/>
      <c r="BB861" s="1109"/>
      <c r="BC861" s="1109"/>
      <c r="BD861" s="1109"/>
      <c r="BE861" s="1109"/>
      <c r="BF861" s="1109">
        <f t="shared" ref="BF861:BJ861" si="983">BF514*$AW211</f>
        <v>0</v>
      </c>
      <c r="BG861" s="1109">
        <f t="shared" si="983"/>
        <v>0</v>
      </c>
      <c r="BH861" s="1109">
        <f t="shared" si="983"/>
        <v>0</v>
      </c>
      <c r="BI861" s="1109">
        <f t="shared" si="983"/>
        <v>0</v>
      </c>
      <c r="BJ861" s="1109">
        <f t="shared" si="983"/>
        <v>0</v>
      </c>
    </row>
    <row r="862" spans="2:62" hidden="1" outlineLevel="1">
      <c r="B862" s="1094"/>
      <c r="C862" s="1071" t="str">
        <f t="shared" ref="C862:F862" si="984">C515</f>
        <v>Energy Management Upgrades</v>
      </c>
      <c r="D862" s="1071" t="str">
        <f t="shared" si="984"/>
        <v>Energy Management Upgrades</v>
      </c>
      <c r="E862" s="1071" t="str">
        <f t="shared" si="984"/>
        <v>T007</v>
      </c>
      <c r="F862" s="1125" t="str">
        <f t="shared" si="984"/>
        <v>2021-2024</v>
      </c>
      <c r="H862" s="1071" t="s">
        <v>29</v>
      </c>
      <c r="I862" s="1071" t="s">
        <v>79</v>
      </c>
      <c r="AZ862" s="1108"/>
      <c r="BA862" s="1109"/>
      <c r="BB862" s="1109"/>
      <c r="BC862" s="1109"/>
      <c r="BD862" s="1109"/>
      <c r="BE862" s="1109"/>
      <c r="BF862" s="1109">
        <f t="shared" ref="BF862:BJ862" si="985">BF515*$AW212</f>
        <v>0</v>
      </c>
      <c r="BG862" s="1109">
        <f t="shared" si="985"/>
        <v>0</v>
      </c>
      <c r="BH862" s="1109">
        <f t="shared" si="985"/>
        <v>0</v>
      </c>
      <c r="BI862" s="1109">
        <f t="shared" si="985"/>
        <v>0</v>
      </c>
      <c r="BJ862" s="1109">
        <f t="shared" si="985"/>
        <v>0</v>
      </c>
    </row>
    <row r="863" spans="2:62" hidden="1" outlineLevel="1">
      <c r="B863" s="1094"/>
      <c r="C863" s="1071" t="str">
        <f t="shared" ref="C863:F863" si="986">C516</f>
        <v>Energy Management Upgrades Dublin</v>
      </c>
      <c r="D863" s="1071" t="str">
        <f t="shared" si="986"/>
        <v>Energy Management Upgrades</v>
      </c>
      <c r="E863" s="1071" t="str">
        <f t="shared" si="986"/>
        <v>T007A</v>
      </c>
      <c r="F863" s="1125" t="str">
        <f t="shared" si="986"/>
        <v>2021-2024</v>
      </c>
      <c r="H863" s="1071" t="s">
        <v>29</v>
      </c>
      <c r="I863" s="1071" t="s">
        <v>79</v>
      </c>
      <c r="AZ863" s="1108"/>
      <c r="BA863" s="1109"/>
      <c r="BB863" s="1109"/>
      <c r="BC863" s="1109"/>
      <c r="BD863" s="1109"/>
      <c r="BE863" s="1109"/>
      <c r="BF863" s="1109">
        <f t="shared" ref="BF863:BJ863" si="987">BF516*$AW213</f>
        <v>0</v>
      </c>
      <c r="BG863" s="1109">
        <f t="shared" si="987"/>
        <v>67.44850000000001</v>
      </c>
      <c r="BH863" s="1109">
        <f t="shared" si="987"/>
        <v>184.50950000000009</v>
      </c>
      <c r="BI863" s="1109">
        <f t="shared" si="987"/>
        <v>188.77200000000008</v>
      </c>
      <c r="BJ863" s="1109">
        <f t="shared" si="987"/>
        <v>188.77200000000008</v>
      </c>
    </row>
    <row r="864" spans="2:62" hidden="1" outlineLevel="1">
      <c r="B864" s="1094"/>
      <c r="C864" s="1071" t="str">
        <f t="shared" ref="C864:F864" si="988">C517</f>
        <v>Energy Management Upgrades Shannon</v>
      </c>
      <c r="D864" s="1071" t="str">
        <f t="shared" si="988"/>
        <v>Energy Management Upgrades</v>
      </c>
      <c r="E864" s="1071" t="str">
        <f t="shared" si="988"/>
        <v>T007A</v>
      </c>
      <c r="F864" s="1125" t="str">
        <f t="shared" si="988"/>
        <v>2021-2024</v>
      </c>
      <c r="H864" s="1071" t="s">
        <v>29</v>
      </c>
      <c r="I864" s="1071" t="s">
        <v>79</v>
      </c>
      <c r="AZ864" s="1108"/>
      <c r="BA864" s="1109"/>
      <c r="BB864" s="1109"/>
      <c r="BC864" s="1109"/>
      <c r="BD864" s="1109"/>
      <c r="BE864" s="1109"/>
      <c r="BF864" s="1109">
        <f t="shared" ref="BF864:BJ864" si="989">BF517*$AW214</f>
        <v>0</v>
      </c>
      <c r="BG864" s="1109">
        <f t="shared" si="989"/>
        <v>42.900000000000006</v>
      </c>
      <c r="BH864" s="1109">
        <f t="shared" si="989"/>
        <v>93.300000000000011</v>
      </c>
      <c r="BI864" s="1109">
        <f t="shared" si="989"/>
        <v>93.300000000000011</v>
      </c>
      <c r="BJ864" s="1109">
        <f t="shared" si="989"/>
        <v>93.300000000000011</v>
      </c>
    </row>
    <row r="865" spans="2:62" hidden="1" outlineLevel="1">
      <c r="B865" s="1094"/>
      <c r="C865" s="1071" t="str">
        <f t="shared" ref="C865:F865" si="990">C518</f>
        <v>Energy Management Upgrades Cork</v>
      </c>
      <c r="D865" s="1071" t="str">
        <f t="shared" si="990"/>
        <v>Energy Management Upgrades</v>
      </c>
      <c r="E865" s="1071" t="str">
        <f t="shared" si="990"/>
        <v>T007A</v>
      </c>
      <c r="F865" s="1125" t="str">
        <f t="shared" si="990"/>
        <v>2021-2024</v>
      </c>
      <c r="H865" s="1071" t="s">
        <v>29</v>
      </c>
      <c r="I865" s="1071" t="s">
        <v>79</v>
      </c>
      <c r="AZ865" s="1108"/>
      <c r="BA865" s="1109"/>
      <c r="BB865" s="1109"/>
      <c r="BC865" s="1109"/>
      <c r="BD865" s="1109"/>
      <c r="BE865" s="1109"/>
      <c r="BF865" s="1109">
        <f t="shared" ref="BF865:BJ865" si="991">BF518*$AW215</f>
        <v>0</v>
      </c>
      <c r="BG865" s="1109">
        <f t="shared" si="991"/>
        <v>1.7250000000000001</v>
      </c>
      <c r="BH865" s="1109">
        <f t="shared" si="991"/>
        <v>9</v>
      </c>
      <c r="BI865" s="1109">
        <f t="shared" si="991"/>
        <v>9</v>
      </c>
      <c r="BJ865" s="1109">
        <f t="shared" si="991"/>
        <v>9</v>
      </c>
    </row>
    <row r="866" spans="2:62" hidden="1" outlineLevel="1">
      <c r="B866" s="1094"/>
      <c r="C866" s="1071" t="str">
        <f t="shared" ref="C866:F866" si="992">C519</f>
        <v>National Security System Network</v>
      </c>
      <c r="D866" s="1071" t="str">
        <f t="shared" si="992"/>
        <v>National Security System Network</v>
      </c>
      <c r="E866" s="1071" t="str">
        <f t="shared" si="992"/>
        <v>U013</v>
      </c>
      <c r="F866" s="1125" t="str">
        <f t="shared" si="992"/>
        <v>2021-2024</v>
      </c>
      <c r="H866" s="1071" t="s">
        <v>29</v>
      </c>
      <c r="I866" s="1071" t="s">
        <v>79</v>
      </c>
      <c r="AZ866" s="1108"/>
      <c r="BA866" s="1109"/>
      <c r="BB866" s="1109"/>
      <c r="BC866" s="1109"/>
      <c r="BD866" s="1109"/>
      <c r="BE866" s="1109"/>
      <c r="BF866" s="1109">
        <f t="shared" ref="BF866:BJ866" si="993">BF519*$AW216</f>
        <v>0</v>
      </c>
      <c r="BG866" s="1109">
        <f t="shared" si="993"/>
        <v>0</v>
      </c>
      <c r="BH866" s="1109">
        <f t="shared" si="993"/>
        <v>34.0576171875</v>
      </c>
      <c r="BI866" s="1109">
        <f t="shared" si="993"/>
        <v>124.8779296875</v>
      </c>
      <c r="BJ866" s="1109">
        <f t="shared" si="993"/>
        <v>181.640625</v>
      </c>
    </row>
    <row r="867" spans="2:62" hidden="1" outlineLevel="1">
      <c r="B867" s="1094"/>
      <c r="C867" s="1071" t="str">
        <f t="shared" ref="C867:F867" si="994">C520</f>
        <v>Replacement Airfield Cabling</v>
      </c>
      <c r="D867" s="1071" t="str">
        <f t="shared" si="994"/>
        <v>Replacement Airfield Cabling</v>
      </c>
      <c r="E867" s="1071" t="str">
        <f t="shared" si="994"/>
        <v>R006</v>
      </c>
      <c r="F867" s="1125" t="str">
        <f t="shared" si="994"/>
        <v>2021-2024</v>
      </c>
      <c r="H867" s="1071" t="s">
        <v>29</v>
      </c>
      <c r="I867" s="1071" t="s">
        <v>79</v>
      </c>
      <c r="AZ867" s="1108"/>
      <c r="BA867" s="1109"/>
      <c r="BB867" s="1109"/>
      <c r="BC867" s="1109"/>
      <c r="BD867" s="1109"/>
      <c r="BE867" s="1109"/>
      <c r="BF867" s="1109">
        <f t="shared" ref="BF867:BJ867" si="995">BF520*$AW217</f>
        <v>0</v>
      </c>
      <c r="BG867" s="1109">
        <f t="shared" si="995"/>
        <v>0</v>
      </c>
      <c r="BH867" s="1109">
        <f t="shared" si="995"/>
        <v>0</v>
      </c>
      <c r="BI867" s="1109">
        <f t="shared" si="995"/>
        <v>0</v>
      </c>
      <c r="BJ867" s="1109">
        <f t="shared" si="995"/>
        <v>0</v>
      </c>
    </row>
    <row r="868" spans="2:62" hidden="1" outlineLevel="1">
      <c r="B868" s="1094"/>
      <c r="C868" s="1071" t="str">
        <f t="shared" ref="C868:F868" si="996">C521</f>
        <v>Replacement Airfield Cabling Dublin</v>
      </c>
      <c r="D868" s="1071" t="str">
        <f t="shared" si="996"/>
        <v>Replacement Airfield Cabling</v>
      </c>
      <c r="E868" s="1071" t="str">
        <f t="shared" si="996"/>
        <v>R006A</v>
      </c>
      <c r="F868" s="1125" t="str">
        <f t="shared" si="996"/>
        <v>2021-2024</v>
      </c>
      <c r="H868" s="1071" t="s">
        <v>29</v>
      </c>
      <c r="I868" s="1071" t="s">
        <v>79</v>
      </c>
      <c r="AZ868" s="1108"/>
      <c r="BA868" s="1109"/>
      <c r="BB868" s="1109"/>
      <c r="BC868" s="1109"/>
      <c r="BD868" s="1109"/>
      <c r="BE868" s="1109"/>
      <c r="BF868" s="1109">
        <f t="shared" ref="BF868:BJ868" si="997">BF521*$AW218</f>
        <v>0</v>
      </c>
      <c r="BG868" s="1109">
        <f t="shared" si="997"/>
        <v>0</v>
      </c>
      <c r="BH868" s="1109">
        <f t="shared" si="997"/>
        <v>0</v>
      </c>
      <c r="BI868" s="1109">
        <f t="shared" si="997"/>
        <v>0</v>
      </c>
      <c r="BJ868" s="1109">
        <f t="shared" si="997"/>
        <v>0</v>
      </c>
    </row>
    <row r="869" spans="2:62" hidden="1" outlineLevel="1">
      <c r="B869" s="1094"/>
      <c r="C869" s="1071" t="str">
        <f t="shared" ref="C869:F869" si="998">C522</f>
        <v>Replacement Airfield Cabling Shannon</v>
      </c>
      <c r="D869" s="1071" t="str">
        <f t="shared" si="998"/>
        <v>Replacement Airfield Cabling</v>
      </c>
      <c r="E869" s="1071" t="str">
        <f t="shared" si="998"/>
        <v>R006A</v>
      </c>
      <c r="F869" s="1125" t="str">
        <f t="shared" si="998"/>
        <v>2021-2024</v>
      </c>
      <c r="H869" s="1071" t="s">
        <v>29</v>
      </c>
      <c r="I869" s="1071" t="s">
        <v>79</v>
      </c>
      <c r="AZ869" s="1108"/>
      <c r="BA869" s="1109"/>
      <c r="BB869" s="1109"/>
      <c r="BC869" s="1109"/>
      <c r="BD869" s="1109"/>
      <c r="BE869" s="1109"/>
      <c r="BF869" s="1109">
        <f t="shared" ref="BF869:BJ869" si="999">BF522*$AW219</f>
        <v>0</v>
      </c>
      <c r="BG869" s="1109">
        <f t="shared" si="999"/>
        <v>0</v>
      </c>
      <c r="BH869" s="1109">
        <f t="shared" si="999"/>
        <v>0</v>
      </c>
      <c r="BI869" s="1109">
        <f t="shared" si="999"/>
        <v>0</v>
      </c>
      <c r="BJ869" s="1109">
        <f t="shared" si="999"/>
        <v>0</v>
      </c>
    </row>
    <row r="870" spans="2:62" hidden="1" outlineLevel="1">
      <c r="B870" s="1094"/>
      <c r="C870" s="1071" t="str">
        <f t="shared" ref="C870:F870" si="1000">C523</f>
        <v>Replacement Airfield Cabling Cork</v>
      </c>
      <c r="D870" s="1071" t="str">
        <f t="shared" si="1000"/>
        <v>Replacement Airfield Cabling</v>
      </c>
      <c r="E870" s="1071" t="str">
        <f t="shared" si="1000"/>
        <v>R006A</v>
      </c>
      <c r="F870" s="1125" t="str">
        <f t="shared" si="1000"/>
        <v>2021-2024</v>
      </c>
      <c r="H870" s="1071" t="s">
        <v>29</v>
      </c>
      <c r="I870" s="1071" t="s">
        <v>79</v>
      </c>
      <c r="AZ870" s="1108"/>
      <c r="BA870" s="1109"/>
      <c r="BB870" s="1109"/>
      <c r="BC870" s="1109"/>
      <c r="BD870" s="1109"/>
      <c r="BE870" s="1109"/>
      <c r="BF870" s="1109">
        <f t="shared" ref="BF870:BJ870" si="1001">BF523*$AW220</f>
        <v>0</v>
      </c>
      <c r="BG870" s="1109">
        <f t="shared" si="1001"/>
        <v>0</v>
      </c>
      <c r="BH870" s="1109">
        <f t="shared" si="1001"/>
        <v>0</v>
      </c>
      <c r="BI870" s="1109">
        <f t="shared" si="1001"/>
        <v>0</v>
      </c>
      <c r="BJ870" s="1109">
        <f t="shared" si="1001"/>
        <v>0</v>
      </c>
    </row>
    <row r="871" spans="2:62" hidden="1" outlineLevel="1">
      <c r="B871" s="1094"/>
      <c r="C871" s="1071" t="str">
        <f t="shared" ref="C871:F871" si="1002">C524</f>
        <v>VHF Replacement Programme</v>
      </c>
      <c r="D871" s="1071" t="str">
        <f t="shared" si="1002"/>
        <v>VHF Replacement Programme</v>
      </c>
      <c r="E871" s="1071" t="str">
        <f t="shared" si="1002"/>
        <v>Q006</v>
      </c>
      <c r="F871" s="1125" t="str">
        <f t="shared" si="1002"/>
        <v>2021-2024</v>
      </c>
      <c r="H871" s="1071" t="s">
        <v>29</v>
      </c>
      <c r="I871" s="1071" t="s">
        <v>79</v>
      </c>
      <c r="AZ871" s="1108"/>
      <c r="BA871" s="1109"/>
      <c r="BB871" s="1109"/>
      <c r="BC871" s="1109"/>
      <c r="BD871" s="1109"/>
      <c r="BE871" s="1109"/>
      <c r="BF871" s="1109">
        <f t="shared" ref="BF871:BJ871" si="1003">BF524*$AW221</f>
        <v>0</v>
      </c>
      <c r="BG871" s="1109">
        <f t="shared" si="1003"/>
        <v>0</v>
      </c>
      <c r="BH871" s="1109">
        <f t="shared" si="1003"/>
        <v>0</v>
      </c>
      <c r="BI871" s="1109">
        <f t="shared" si="1003"/>
        <v>0</v>
      </c>
      <c r="BJ871" s="1109">
        <f t="shared" si="1003"/>
        <v>0</v>
      </c>
    </row>
    <row r="872" spans="2:62" hidden="1" outlineLevel="1">
      <c r="B872" s="1094"/>
      <c r="C872" s="1071" t="str">
        <f t="shared" ref="C872:F872" si="1004">C525</f>
        <v>VHF Replacement Dublin</v>
      </c>
      <c r="D872" s="1071" t="str">
        <f t="shared" si="1004"/>
        <v>VHF Replacement Programme</v>
      </c>
      <c r="E872" s="1071" t="str">
        <f t="shared" si="1004"/>
        <v>Q006A</v>
      </c>
      <c r="F872" s="1125" t="str">
        <f t="shared" si="1004"/>
        <v>2021-2024</v>
      </c>
      <c r="H872" s="1071" t="s">
        <v>29</v>
      </c>
      <c r="I872" s="1071" t="s">
        <v>79</v>
      </c>
      <c r="AZ872" s="1108"/>
      <c r="BA872" s="1109"/>
      <c r="BB872" s="1109"/>
      <c r="BC872" s="1109"/>
      <c r="BD872" s="1109"/>
      <c r="BE872" s="1109"/>
      <c r="BF872" s="1109">
        <f t="shared" ref="BF872:BJ872" si="1005">BF525*$AW222</f>
        <v>0</v>
      </c>
      <c r="BG872" s="1109">
        <f t="shared" si="1005"/>
        <v>0</v>
      </c>
      <c r="BH872" s="1109">
        <f t="shared" si="1005"/>
        <v>0</v>
      </c>
      <c r="BI872" s="1109">
        <f t="shared" si="1005"/>
        <v>0</v>
      </c>
      <c r="BJ872" s="1109">
        <f t="shared" si="1005"/>
        <v>0</v>
      </c>
    </row>
    <row r="873" spans="2:62" hidden="1" outlineLevel="1">
      <c r="B873" s="1094"/>
      <c r="C873" s="1071" t="str">
        <f t="shared" ref="C873:F873" si="1006">C526</f>
        <v>VHF Replacement Shannon</v>
      </c>
      <c r="D873" s="1071" t="str">
        <f t="shared" si="1006"/>
        <v>VHF Replacement Programme</v>
      </c>
      <c r="E873" s="1071" t="str">
        <f t="shared" si="1006"/>
        <v>Q006A</v>
      </c>
      <c r="F873" s="1125" t="str">
        <f t="shared" si="1006"/>
        <v>2021-2024</v>
      </c>
      <c r="H873" s="1071" t="s">
        <v>29</v>
      </c>
      <c r="I873" s="1071" t="s">
        <v>79</v>
      </c>
      <c r="AZ873" s="1108"/>
      <c r="BA873" s="1109"/>
      <c r="BB873" s="1109"/>
      <c r="BC873" s="1109"/>
      <c r="BD873" s="1109"/>
      <c r="BE873" s="1109"/>
      <c r="BF873" s="1109">
        <f t="shared" ref="BF873:BJ873" si="1007">BF526*$AW223</f>
        <v>0</v>
      </c>
      <c r="BG873" s="1109">
        <f t="shared" si="1007"/>
        <v>0</v>
      </c>
      <c r="BH873" s="1109">
        <f t="shared" si="1007"/>
        <v>0</v>
      </c>
      <c r="BI873" s="1109">
        <f t="shared" si="1007"/>
        <v>24.84375</v>
      </c>
      <c r="BJ873" s="1109">
        <f t="shared" si="1007"/>
        <v>49.6875</v>
      </c>
    </row>
    <row r="874" spans="2:62" hidden="1" outlineLevel="1">
      <c r="B874" s="1094"/>
      <c r="C874" s="1071" t="str">
        <f t="shared" ref="C874:F874" si="1008">C527</f>
        <v>VHF Replacement Cork</v>
      </c>
      <c r="D874" s="1071" t="str">
        <f t="shared" si="1008"/>
        <v>VHF Replacement Programme</v>
      </c>
      <c r="E874" s="1071" t="str">
        <f t="shared" si="1008"/>
        <v>Q006A</v>
      </c>
      <c r="F874" s="1125" t="str">
        <f t="shared" si="1008"/>
        <v>2021-2024</v>
      </c>
      <c r="H874" s="1071" t="s">
        <v>29</v>
      </c>
      <c r="I874" s="1071" t="s">
        <v>79</v>
      </c>
      <c r="AZ874" s="1108"/>
      <c r="BA874" s="1109"/>
      <c r="BB874" s="1109"/>
      <c r="BC874" s="1109"/>
      <c r="BD874" s="1109"/>
      <c r="BE874" s="1109"/>
      <c r="BF874" s="1109">
        <f t="shared" ref="BF874:BJ874" si="1009">BF527*$AW224</f>
        <v>0</v>
      </c>
      <c r="BG874" s="1109">
        <f t="shared" si="1009"/>
        <v>0</v>
      </c>
      <c r="BH874" s="1109">
        <f t="shared" si="1009"/>
        <v>0</v>
      </c>
      <c r="BI874" s="1109">
        <f t="shared" si="1009"/>
        <v>0</v>
      </c>
      <c r="BJ874" s="1109">
        <f t="shared" si="1009"/>
        <v>0</v>
      </c>
    </row>
    <row r="875" spans="2:62" hidden="1" outlineLevel="1">
      <c r="B875" s="1094"/>
      <c r="C875" s="1071" t="str">
        <f t="shared" ref="C875:F875" si="1010">C528</f>
        <v>VHF Replacement Remote Sites</v>
      </c>
      <c r="D875" s="1071" t="str">
        <f t="shared" si="1010"/>
        <v>VHF Replacement Programme</v>
      </c>
      <c r="E875" s="1071" t="str">
        <f t="shared" si="1010"/>
        <v>Q006A</v>
      </c>
      <c r="F875" s="1125" t="str">
        <f t="shared" si="1010"/>
        <v>2021-2024</v>
      </c>
      <c r="H875" s="1071" t="s">
        <v>29</v>
      </c>
      <c r="I875" s="1071" t="s">
        <v>79</v>
      </c>
      <c r="AZ875" s="1108"/>
      <c r="BA875" s="1109"/>
      <c r="BB875" s="1109"/>
      <c r="BC875" s="1109"/>
      <c r="BD875" s="1109"/>
      <c r="BE875" s="1109"/>
      <c r="BF875" s="1109">
        <f t="shared" ref="BF875:BJ875" si="1011">BF528*$AW225</f>
        <v>0</v>
      </c>
      <c r="BG875" s="1109">
        <f t="shared" si="1011"/>
        <v>0</v>
      </c>
      <c r="BH875" s="1109">
        <f t="shared" si="1011"/>
        <v>26.25</v>
      </c>
      <c r="BI875" s="1109">
        <f t="shared" si="1011"/>
        <v>63.75</v>
      </c>
      <c r="BJ875" s="1109">
        <f t="shared" si="1011"/>
        <v>97.5</v>
      </c>
    </row>
    <row r="876" spans="2:62" hidden="1" outlineLevel="1">
      <c r="B876" s="1094"/>
      <c r="C876" s="1071" t="str">
        <f t="shared" ref="C876:F876" si="1012">C529</f>
        <v>Met Server  SHN</v>
      </c>
      <c r="D876" s="1071" t="str">
        <f t="shared" si="1012"/>
        <v>Met Server</v>
      </c>
      <c r="E876" s="1071" t="str">
        <f t="shared" si="1012"/>
        <v>R016A</v>
      </c>
      <c r="F876" s="1125" t="str">
        <f t="shared" si="1012"/>
        <v>2021-2024</v>
      </c>
      <c r="H876" s="1071" t="s">
        <v>29</v>
      </c>
      <c r="I876" s="1071" t="s">
        <v>79</v>
      </c>
      <c r="AZ876" s="1108"/>
      <c r="BA876" s="1109"/>
      <c r="BB876" s="1109"/>
      <c r="BC876" s="1109"/>
      <c r="BD876" s="1109"/>
      <c r="BE876" s="1109"/>
      <c r="BF876" s="1109">
        <f t="shared" ref="BF876:BJ876" si="1013">BF529*$AW226</f>
        <v>0</v>
      </c>
      <c r="BG876" s="1109">
        <f t="shared" si="1013"/>
        <v>0</v>
      </c>
      <c r="BH876" s="1109">
        <f t="shared" si="1013"/>
        <v>20.8254234375</v>
      </c>
      <c r="BI876" s="1109">
        <f t="shared" si="1013"/>
        <v>83.301693749999998</v>
      </c>
      <c r="BJ876" s="1109">
        <f t="shared" si="1013"/>
        <v>83.301693749999998</v>
      </c>
    </row>
    <row r="877" spans="2:62" hidden="1" outlineLevel="1">
      <c r="B877" s="1094"/>
      <c r="C877" s="1071" t="str">
        <f t="shared" ref="C877:F877" si="1014">C530</f>
        <v>Met Server  DUB</v>
      </c>
      <c r="D877" s="1071" t="str">
        <f t="shared" si="1014"/>
        <v>Met Server</v>
      </c>
      <c r="E877" s="1071" t="str">
        <f t="shared" si="1014"/>
        <v>R016A</v>
      </c>
      <c r="F877" s="1125" t="str">
        <f t="shared" si="1014"/>
        <v>2021-2024</v>
      </c>
      <c r="H877" s="1071" t="s">
        <v>29</v>
      </c>
      <c r="I877" s="1071" t="s">
        <v>79</v>
      </c>
      <c r="AZ877" s="1108"/>
      <c r="BA877" s="1109"/>
      <c r="BB877" s="1109"/>
      <c r="BC877" s="1109"/>
      <c r="BD877" s="1109"/>
      <c r="BE877" s="1109"/>
      <c r="BF877" s="1109">
        <f t="shared" ref="BF877:BJ877" si="1015">BF530*$AW227</f>
        <v>0</v>
      </c>
      <c r="BG877" s="1109">
        <f t="shared" si="1015"/>
        <v>20.8254234375</v>
      </c>
      <c r="BH877" s="1109">
        <f t="shared" si="1015"/>
        <v>83.301693749999998</v>
      </c>
      <c r="BI877" s="1109">
        <f t="shared" si="1015"/>
        <v>83.301693749999998</v>
      </c>
      <c r="BJ877" s="1109">
        <f t="shared" si="1015"/>
        <v>83.301693749999998</v>
      </c>
    </row>
    <row r="878" spans="2:62" hidden="1" outlineLevel="1">
      <c r="B878" s="1094"/>
      <c r="C878" s="1071" t="str">
        <f t="shared" ref="C878:F878" si="1016">C531</f>
        <v>Fire Safey Upgrade Works</v>
      </c>
      <c r="D878" s="1071" t="str">
        <f t="shared" si="1016"/>
        <v>Fire Safey Upgrade Works</v>
      </c>
      <c r="E878" s="1071" t="str">
        <f t="shared" si="1016"/>
        <v>T008</v>
      </c>
      <c r="F878" s="1125" t="str">
        <f t="shared" si="1016"/>
        <v>2021-2024</v>
      </c>
      <c r="H878" s="1071" t="s">
        <v>29</v>
      </c>
      <c r="I878" s="1071" t="s">
        <v>79</v>
      </c>
      <c r="AZ878" s="1108"/>
      <c r="BA878" s="1109"/>
      <c r="BB878" s="1109"/>
      <c r="BC878" s="1109"/>
      <c r="BD878" s="1109"/>
      <c r="BE878" s="1109"/>
      <c r="BF878" s="1109">
        <f t="shared" ref="BF878:BJ878" si="1017">BF531*$AW228</f>
        <v>0</v>
      </c>
      <c r="BG878" s="1109">
        <f t="shared" si="1017"/>
        <v>0</v>
      </c>
      <c r="BH878" s="1109">
        <f t="shared" si="1017"/>
        <v>0</v>
      </c>
      <c r="BI878" s="1109">
        <f t="shared" si="1017"/>
        <v>0</v>
      </c>
      <c r="BJ878" s="1109">
        <f t="shared" si="1017"/>
        <v>0</v>
      </c>
    </row>
    <row r="879" spans="2:62" hidden="1" outlineLevel="1">
      <c r="B879" s="1094"/>
      <c r="C879" s="1071" t="str">
        <f t="shared" ref="C879:F879" si="1018">C532</f>
        <v>Fire Safey Upgrade Works Dublin</v>
      </c>
      <c r="D879" s="1071" t="str">
        <f t="shared" si="1018"/>
        <v>Fire Safey Upgrade Works</v>
      </c>
      <c r="E879" s="1071" t="str">
        <f t="shared" si="1018"/>
        <v>T008A</v>
      </c>
      <c r="F879" s="1125" t="str">
        <f t="shared" si="1018"/>
        <v>2021-2024</v>
      </c>
      <c r="H879" s="1071" t="s">
        <v>29</v>
      </c>
      <c r="I879" s="1071" t="s">
        <v>79</v>
      </c>
      <c r="AZ879" s="1108"/>
      <c r="BA879" s="1109"/>
      <c r="BB879" s="1109"/>
      <c r="BC879" s="1109"/>
      <c r="BD879" s="1109"/>
      <c r="BE879" s="1109"/>
      <c r="BF879" s="1109">
        <f t="shared" ref="BF879:BJ879" si="1019">BF532*$AW229</f>
        <v>0</v>
      </c>
      <c r="BG879" s="1109">
        <f t="shared" si="1019"/>
        <v>41.744378662178811</v>
      </c>
      <c r="BH879" s="1109">
        <f t="shared" si="1019"/>
        <v>163.24229654957176</v>
      </c>
      <c r="BI879" s="1109">
        <f t="shared" si="1019"/>
        <v>168.76417154957176</v>
      </c>
      <c r="BJ879" s="1109">
        <f t="shared" si="1019"/>
        <v>168.76417154957176</v>
      </c>
    </row>
    <row r="880" spans="2:62" hidden="1" outlineLevel="1">
      <c r="B880" s="1094"/>
      <c r="C880" s="1071" t="str">
        <f t="shared" ref="C880:F880" si="1020">C533</f>
        <v>Fire Safey Upgrade Works Shannon</v>
      </c>
      <c r="D880" s="1071" t="str">
        <f t="shared" si="1020"/>
        <v>Fire Safey Upgrade Works</v>
      </c>
      <c r="E880" s="1071" t="str">
        <f t="shared" si="1020"/>
        <v>T008A</v>
      </c>
      <c r="F880" s="1125" t="str">
        <f t="shared" si="1020"/>
        <v>2021-2024</v>
      </c>
      <c r="H880" s="1071" t="s">
        <v>29</v>
      </c>
      <c r="I880" s="1071" t="s">
        <v>79</v>
      </c>
      <c r="AZ880" s="1108"/>
      <c r="BA880" s="1109"/>
      <c r="BB880" s="1109"/>
      <c r="BC880" s="1109"/>
      <c r="BD880" s="1109"/>
      <c r="BE880" s="1109"/>
      <c r="BF880" s="1109">
        <f t="shared" ref="BF880:BJ880" si="1021">BF533*$AW230</f>
        <v>0</v>
      </c>
      <c r="BG880" s="1109">
        <f t="shared" si="1021"/>
        <v>35.015076632836241</v>
      </c>
      <c r="BH880" s="1109">
        <f t="shared" si="1021"/>
        <v>46.68676884378165</v>
      </c>
      <c r="BI880" s="1109">
        <f t="shared" si="1021"/>
        <v>46.68676884378165</v>
      </c>
      <c r="BJ880" s="1109">
        <f t="shared" si="1021"/>
        <v>46.68676884378165</v>
      </c>
    </row>
    <row r="881" spans="2:62" hidden="1" outlineLevel="1">
      <c r="B881" s="1094"/>
      <c r="C881" s="1071" t="str">
        <f t="shared" ref="C881:F881" si="1022">C534</f>
        <v>Fire Safey Upgrade Works Cork</v>
      </c>
      <c r="D881" s="1071" t="str">
        <f t="shared" si="1022"/>
        <v>Fire Safey Upgrade Works</v>
      </c>
      <c r="E881" s="1071" t="str">
        <f t="shared" si="1022"/>
        <v>T008A</v>
      </c>
      <c r="F881" s="1125" t="str">
        <f t="shared" si="1022"/>
        <v>2021-2024</v>
      </c>
      <c r="H881" s="1071" t="s">
        <v>29</v>
      </c>
      <c r="I881" s="1071" t="s">
        <v>79</v>
      </c>
      <c r="AZ881" s="1108"/>
      <c r="BA881" s="1109"/>
      <c r="BB881" s="1109"/>
      <c r="BC881" s="1109"/>
      <c r="BD881" s="1109"/>
      <c r="BE881" s="1109"/>
      <c r="BF881" s="1109">
        <f t="shared" ref="BF881:BJ881" si="1023">BF534*$AW231</f>
        <v>0</v>
      </c>
      <c r="BG881" s="1109">
        <f t="shared" si="1023"/>
        <v>2.5384395430533098</v>
      </c>
      <c r="BH881" s="1109">
        <f t="shared" si="1023"/>
        <v>12.45375817221324</v>
      </c>
      <c r="BI881" s="1109">
        <f t="shared" si="1023"/>
        <v>12.45375817221324</v>
      </c>
      <c r="BJ881" s="1109">
        <f t="shared" si="1023"/>
        <v>12.45375817221324</v>
      </c>
    </row>
    <row r="882" spans="2:62" hidden="1" outlineLevel="1">
      <c r="B882" s="1094"/>
      <c r="C882" s="1071" t="str">
        <f t="shared" ref="C882:F882" si="1024">C535</f>
        <v>IT Other Projects</v>
      </c>
      <c r="D882" s="1071" t="str">
        <f t="shared" si="1024"/>
        <v>IT Other Projects</v>
      </c>
      <c r="E882" s="1071" t="str">
        <f t="shared" si="1024"/>
        <v>RP3-ICTS-1</v>
      </c>
      <c r="F882" s="1125" t="str">
        <f t="shared" si="1024"/>
        <v>2021-2024</v>
      </c>
      <c r="H882" s="1071" t="s">
        <v>29</v>
      </c>
      <c r="I882" s="1071" t="s">
        <v>79</v>
      </c>
      <c r="AZ882" s="1108"/>
      <c r="BA882" s="1109"/>
      <c r="BB882" s="1109"/>
      <c r="BC882" s="1109"/>
      <c r="BD882" s="1109"/>
      <c r="BE882" s="1109"/>
      <c r="BF882" s="1109">
        <f t="shared" ref="BF882:BJ882" si="1025">BF535*$AW232</f>
        <v>0</v>
      </c>
      <c r="BG882" s="1109">
        <f t="shared" si="1025"/>
        <v>0</v>
      </c>
      <c r="BH882" s="1109">
        <f t="shared" si="1025"/>
        <v>8.5546875</v>
      </c>
      <c r="BI882" s="1109">
        <f t="shared" si="1025"/>
        <v>62.734375</v>
      </c>
      <c r="BJ882" s="1109">
        <f t="shared" si="1025"/>
        <v>120.90625</v>
      </c>
    </row>
    <row r="883" spans="2:62" hidden="1" outlineLevel="1">
      <c r="B883" s="1094"/>
      <c r="C883" s="1071" t="str">
        <f t="shared" ref="C883:F883" si="1026">C536</f>
        <v>Barco Screen Replacement - BCY</v>
      </c>
      <c r="D883" s="1071" t="str">
        <f t="shared" si="1026"/>
        <v>Barco Screen Replacement</v>
      </c>
      <c r="E883" s="1071" t="str">
        <f t="shared" si="1026"/>
        <v>RP3-SURV-4</v>
      </c>
      <c r="F883" s="1125" t="str">
        <f t="shared" si="1026"/>
        <v>2021-2024</v>
      </c>
      <c r="H883" s="1071" t="s">
        <v>29</v>
      </c>
      <c r="I883" s="1071" t="s">
        <v>79</v>
      </c>
      <c r="AZ883" s="1108"/>
      <c r="BA883" s="1109"/>
      <c r="BB883" s="1109"/>
      <c r="BC883" s="1109"/>
      <c r="BD883" s="1109"/>
      <c r="BE883" s="1109"/>
      <c r="BF883" s="1109">
        <f t="shared" ref="BF883:BJ883" si="1027">BF536*$AW233</f>
        <v>0</v>
      </c>
      <c r="BG883" s="1109">
        <f t="shared" si="1027"/>
        <v>0</v>
      </c>
      <c r="BH883" s="1109">
        <f t="shared" si="1027"/>
        <v>0</v>
      </c>
      <c r="BI883" s="1109">
        <f t="shared" si="1027"/>
        <v>22.8515625</v>
      </c>
      <c r="BJ883" s="1109">
        <f t="shared" si="1027"/>
        <v>91.40625</v>
      </c>
    </row>
    <row r="884" spans="2:62" hidden="1" outlineLevel="1">
      <c r="B884" s="1094"/>
      <c r="C884" s="1071" t="str">
        <f t="shared" ref="C884:F884" si="1028">C537</f>
        <v>Barco Screen Replacement - DAP</v>
      </c>
      <c r="D884" s="1071" t="str">
        <f t="shared" si="1028"/>
        <v>Barco Screen Replacement</v>
      </c>
      <c r="E884" s="1071" t="str">
        <f t="shared" si="1028"/>
        <v>RP3-SURV-4</v>
      </c>
      <c r="F884" s="1125" t="str">
        <f t="shared" si="1028"/>
        <v>2021-2024</v>
      </c>
      <c r="H884" s="1071" t="s">
        <v>29</v>
      </c>
      <c r="I884" s="1071" t="s">
        <v>79</v>
      </c>
      <c r="AZ884" s="1108"/>
      <c r="BA884" s="1109"/>
      <c r="BB884" s="1109"/>
      <c r="BC884" s="1109"/>
      <c r="BD884" s="1109"/>
      <c r="BE884" s="1109"/>
      <c r="BF884" s="1109">
        <f t="shared" ref="BF884:BJ884" si="1029">BF537*$AW234</f>
        <v>0</v>
      </c>
      <c r="BG884" s="1109">
        <f t="shared" si="1029"/>
        <v>0</v>
      </c>
      <c r="BH884" s="1109">
        <f t="shared" si="1029"/>
        <v>0</v>
      </c>
      <c r="BI884" s="1109">
        <f t="shared" si="1029"/>
        <v>0</v>
      </c>
      <c r="BJ884" s="1109">
        <f t="shared" si="1029"/>
        <v>12.3046875</v>
      </c>
    </row>
    <row r="885" spans="2:62" hidden="1" outlineLevel="1">
      <c r="B885" s="1094"/>
      <c r="C885" s="1071" t="str">
        <f t="shared" ref="C885:F885" si="1030">C538</f>
        <v>Security Upgrades</v>
      </c>
      <c r="D885" s="1071" t="str">
        <f t="shared" si="1030"/>
        <v>Security Upgrades</v>
      </c>
      <c r="E885" s="1071" t="str">
        <f t="shared" si="1030"/>
        <v>RP3-PROP-2</v>
      </c>
      <c r="F885" s="1125" t="str">
        <f t="shared" si="1030"/>
        <v>2021-2024</v>
      </c>
      <c r="H885" s="1071" t="s">
        <v>29</v>
      </c>
      <c r="I885" s="1071" t="s">
        <v>79</v>
      </c>
      <c r="AZ885" s="1108"/>
      <c r="BA885" s="1109"/>
      <c r="BB885" s="1109"/>
      <c r="BC885" s="1109"/>
      <c r="BD885" s="1109"/>
      <c r="BE885" s="1109"/>
      <c r="BF885" s="1109">
        <f t="shared" ref="BF885:BJ885" si="1031">BF538*$AW235</f>
        <v>0</v>
      </c>
      <c r="BG885" s="1109">
        <f t="shared" si="1031"/>
        <v>0</v>
      </c>
      <c r="BH885" s="1109">
        <f t="shared" si="1031"/>
        <v>0</v>
      </c>
      <c r="BI885" s="1109">
        <f t="shared" si="1031"/>
        <v>0</v>
      </c>
      <c r="BJ885" s="1109">
        <f t="shared" si="1031"/>
        <v>0</v>
      </c>
    </row>
    <row r="886" spans="2:62" hidden="1" outlineLevel="1">
      <c r="B886" s="1094"/>
      <c r="C886" s="1071" t="str">
        <f t="shared" ref="C886:F886" si="1032">C539</f>
        <v>Security Upgrades Shannon En Route</v>
      </c>
      <c r="D886" s="1071" t="str">
        <f t="shared" si="1032"/>
        <v>Security Upgrades</v>
      </c>
      <c r="E886" s="1071" t="str">
        <f t="shared" si="1032"/>
        <v>RP3-PROP-2</v>
      </c>
      <c r="F886" s="1125" t="str">
        <f t="shared" si="1032"/>
        <v>2021-2024</v>
      </c>
      <c r="H886" s="1071" t="s">
        <v>29</v>
      </c>
      <c r="I886" s="1071" t="s">
        <v>79</v>
      </c>
      <c r="AZ886" s="1108"/>
      <c r="BA886" s="1109"/>
      <c r="BB886" s="1109"/>
      <c r="BC886" s="1109"/>
      <c r="BD886" s="1109"/>
      <c r="BE886" s="1109"/>
      <c r="BF886" s="1109">
        <f t="shared" ref="BF886:BJ886" si="1033">BF539*$AW236</f>
        <v>0</v>
      </c>
      <c r="BG886" s="1109">
        <f t="shared" si="1033"/>
        <v>6.15</v>
      </c>
      <c r="BH886" s="1109">
        <f t="shared" si="1033"/>
        <v>31.35</v>
      </c>
      <c r="BI886" s="1109">
        <f t="shared" si="1033"/>
        <v>65.099999999999994</v>
      </c>
      <c r="BJ886" s="1109">
        <f t="shared" si="1033"/>
        <v>65.099999999999994</v>
      </c>
    </row>
    <row r="887" spans="2:62" hidden="1" outlineLevel="1">
      <c r="B887" s="1094"/>
      <c r="C887" s="1071" t="str">
        <f t="shared" ref="C887:F887" si="1034">C540</f>
        <v>Security Upgrades Shannon Joint</v>
      </c>
      <c r="D887" s="1071" t="str">
        <f t="shared" si="1034"/>
        <v>Security Upgrades</v>
      </c>
      <c r="E887" s="1071" t="str">
        <f t="shared" si="1034"/>
        <v>RP3-PROP-2</v>
      </c>
      <c r="F887" s="1125" t="str">
        <f t="shared" si="1034"/>
        <v>2021-2024</v>
      </c>
      <c r="H887" s="1071" t="s">
        <v>29</v>
      </c>
      <c r="I887" s="1071" t="s">
        <v>79</v>
      </c>
      <c r="AZ887" s="1108"/>
      <c r="BA887" s="1109"/>
      <c r="BB887" s="1109"/>
      <c r="BC887" s="1109"/>
      <c r="BD887" s="1109"/>
      <c r="BE887" s="1109"/>
      <c r="BF887" s="1109">
        <f t="shared" ref="BF887:BJ887" si="1035">BF540*$AW237</f>
        <v>0</v>
      </c>
      <c r="BG887" s="1109">
        <f t="shared" si="1035"/>
        <v>7.5834149999999996</v>
      </c>
      <c r="BH887" s="1109">
        <f t="shared" si="1035"/>
        <v>26.399954999999999</v>
      </c>
      <c r="BI887" s="1109">
        <f t="shared" si="1035"/>
        <v>39.478079999999999</v>
      </c>
      <c r="BJ887" s="1109">
        <f t="shared" si="1035"/>
        <v>77.259330000000006</v>
      </c>
    </row>
    <row r="888" spans="2:62" hidden="1" outlineLevel="1">
      <c r="B888" s="1094"/>
      <c r="C888" s="1071" t="str">
        <f t="shared" ref="C888:F888" si="1036">C541</f>
        <v>Security Upgrades Dublin Joint</v>
      </c>
      <c r="D888" s="1071" t="str">
        <f t="shared" si="1036"/>
        <v>Security Upgrades</v>
      </c>
      <c r="E888" s="1071" t="str">
        <f t="shared" si="1036"/>
        <v>RP3-PROP-2</v>
      </c>
      <c r="F888" s="1125" t="str">
        <f t="shared" si="1036"/>
        <v>2021-2024</v>
      </c>
      <c r="H888" s="1071" t="s">
        <v>29</v>
      </c>
      <c r="I888" s="1071" t="s">
        <v>79</v>
      </c>
      <c r="AZ888" s="1108"/>
      <c r="BA888" s="1109"/>
      <c r="BB888" s="1109"/>
      <c r="BC888" s="1109"/>
      <c r="BD888" s="1109"/>
      <c r="BE888" s="1109"/>
      <c r="BF888" s="1109">
        <f t="shared" ref="BF888:BJ888" si="1037">BF541*$AW238</f>
        <v>0</v>
      </c>
      <c r="BG888" s="1109">
        <f t="shared" si="1037"/>
        <v>5.2032217500000009</v>
      </c>
      <c r="BH888" s="1109">
        <f t="shared" si="1037"/>
        <v>26.567262000000003</v>
      </c>
      <c r="BI888" s="1109">
        <f t="shared" si="1037"/>
        <v>46.620387000000008</v>
      </c>
      <c r="BJ888" s="1109">
        <f t="shared" si="1037"/>
        <v>62.314137000000009</v>
      </c>
    </row>
    <row r="889" spans="2:62" hidden="1" outlineLevel="1">
      <c r="B889" s="1094"/>
      <c r="C889" s="1071" t="str">
        <f t="shared" ref="C889:F889" si="1038">C542</f>
        <v>Security Upgrades Dublin Terminal</v>
      </c>
      <c r="D889" s="1071" t="str">
        <f t="shared" si="1038"/>
        <v>Security Upgrades</v>
      </c>
      <c r="E889" s="1071" t="str">
        <f t="shared" si="1038"/>
        <v>RP3-PROP-2</v>
      </c>
      <c r="F889" s="1125" t="str">
        <f t="shared" si="1038"/>
        <v>2021-2024</v>
      </c>
      <c r="H889" s="1071" t="s">
        <v>29</v>
      </c>
      <c r="I889" s="1071" t="s">
        <v>79</v>
      </c>
      <c r="AZ889" s="1108"/>
      <c r="BA889" s="1109"/>
      <c r="BB889" s="1109"/>
      <c r="BC889" s="1109"/>
      <c r="BD889" s="1109"/>
      <c r="BE889" s="1109"/>
      <c r="BF889" s="1109">
        <f t="shared" ref="BF889:BJ889" si="1039">BF542*$AW239</f>
        <v>0</v>
      </c>
      <c r="BG889" s="1109">
        <f t="shared" si="1039"/>
        <v>0</v>
      </c>
      <c r="BH889" s="1109">
        <f t="shared" si="1039"/>
        <v>0</v>
      </c>
      <c r="BI889" s="1109">
        <f t="shared" si="1039"/>
        <v>0</v>
      </c>
      <c r="BJ889" s="1109">
        <f t="shared" si="1039"/>
        <v>0</v>
      </c>
    </row>
    <row r="890" spans="2:62" hidden="1" outlineLevel="1">
      <c r="B890" s="1094"/>
      <c r="C890" s="1071" t="str">
        <f t="shared" ref="C890:F890" si="1040">C543</f>
        <v>Security Upgrades Cork Terminal</v>
      </c>
      <c r="D890" s="1071" t="str">
        <f t="shared" si="1040"/>
        <v>Security Upgrades</v>
      </c>
      <c r="E890" s="1071" t="str">
        <f t="shared" si="1040"/>
        <v>RP3-PROP-2</v>
      </c>
      <c r="F890" s="1125" t="str">
        <f t="shared" si="1040"/>
        <v>2021-2024</v>
      </c>
      <c r="H890" s="1071" t="s">
        <v>29</v>
      </c>
      <c r="I890" s="1071" t="s">
        <v>79</v>
      </c>
      <c r="AZ890" s="1108"/>
      <c r="BA890" s="1109"/>
      <c r="BB890" s="1109"/>
      <c r="BC890" s="1109"/>
      <c r="BD890" s="1109"/>
      <c r="BE890" s="1109"/>
      <c r="BF890" s="1109">
        <f t="shared" ref="BF890:BJ890" si="1041">BF543*$AW240</f>
        <v>0</v>
      </c>
      <c r="BG890" s="1109">
        <f t="shared" si="1041"/>
        <v>0</v>
      </c>
      <c r="BH890" s="1109">
        <f t="shared" si="1041"/>
        <v>0</v>
      </c>
      <c r="BI890" s="1109">
        <f t="shared" si="1041"/>
        <v>0</v>
      </c>
      <c r="BJ890" s="1109">
        <f t="shared" si="1041"/>
        <v>0</v>
      </c>
    </row>
    <row r="891" spans="2:62" hidden="1" outlineLevel="1">
      <c r="B891" s="1094"/>
      <c r="C891" s="1071" t="str">
        <f t="shared" ref="C891:F891" si="1042">C544</f>
        <v>Security Upgrades HQ Joint</v>
      </c>
      <c r="D891" s="1071" t="str">
        <f t="shared" si="1042"/>
        <v>Security Upgrades</v>
      </c>
      <c r="E891" s="1071" t="str">
        <f t="shared" si="1042"/>
        <v>RP3-PROP-2</v>
      </c>
      <c r="F891" s="1125" t="str">
        <f t="shared" si="1042"/>
        <v>2021-2024</v>
      </c>
      <c r="H891" s="1071" t="s">
        <v>29</v>
      </c>
      <c r="I891" s="1071" t="s">
        <v>79</v>
      </c>
      <c r="AZ891" s="1108"/>
      <c r="BA891" s="1109"/>
      <c r="BB891" s="1109"/>
      <c r="BC891" s="1109"/>
      <c r="BD891" s="1109"/>
      <c r="BE891" s="1109"/>
      <c r="BF891" s="1109">
        <f t="shared" ref="BF891:BJ891" si="1043">BF544*$AW241</f>
        <v>0</v>
      </c>
      <c r="BG891" s="1109">
        <f t="shared" si="1043"/>
        <v>0</v>
      </c>
      <c r="BH891" s="1109">
        <f t="shared" si="1043"/>
        <v>0</v>
      </c>
      <c r="BI891" s="1109">
        <f t="shared" si="1043"/>
        <v>11.315</v>
      </c>
      <c r="BJ891" s="1109">
        <f t="shared" si="1043"/>
        <v>11.315</v>
      </c>
    </row>
    <row r="892" spans="2:62" hidden="1" outlineLevel="1">
      <c r="B892" s="1094"/>
      <c r="C892" s="1071" t="str">
        <f t="shared" ref="C892:F892" si="1044">C545</f>
        <v>Rostering project</v>
      </c>
      <c r="D892" s="1071" t="str">
        <f t="shared" si="1044"/>
        <v>Rostering project</v>
      </c>
      <c r="E892" s="1071" t="str">
        <f t="shared" si="1044"/>
        <v>S027</v>
      </c>
      <c r="F892" s="1125" t="str">
        <f t="shared" si="1044"/>
        <v>2021-2024</v>
      </c>
      <c r="H892" s="1071" t="s">
        <v>29</v>
      </c>
      <c r="I892" s="1071" t="s">
        <v>79</v>
      </c>
      <c r="AZ892" s="1108"/>
      <c r="BA892" s="1109"/>
      <c r="BB892" s="1109"/>
      <c r="BC892" s="1109"/>
      <c r="BD892" s="1109"/>
      <c r="BE892" s="1109"/>
      <c r="BF892" s="1109">
        <f t="shared" ref="BF892:BJ892" si="1045">BF545*$AW242</f>
        <v>0</v>
      </c>
      <c r="BG892" s="1109">
        <f t="shared" si="1045"/>
        <v>0</v>
      </c>
      <c r="BH892" s="1109">
        <f t="shared" si="1045"/>
        <v>60.9375</v>
      </c>
      <c r="BI892" s="1109">
        <f t="shared" si="1045"/>
        <v>121.875</v>
      </c>
      <c r="BJ892" s="1109">
        <f t="shared" si="1045"/>
        <v>121.875</v>
      </c>
    </row>
    <row r="893" spans="2:62" hidden="1" outlineLevel="1">
      <c r="B893" s="1094"/>
      <c r="C893" s="1071" t="str">
        <f t="shared" ref="C893:F893" si="1046">C546</f>
        <v>New Tower Simulator Dublin IATS</v>
      </c>
      <c r="D893" s="1071" t="str">
        <f t="shared" si="1046"/>
        <v>New Tower Simulator Dublin IATS</v>
      </c>
      <c r="E893" s="1071" t="str">
        <f t="shared" si="1046"/>
        <v>R017</v>
      </c>
      <c r="F893" s="1125" t="str">
        <f t="shared" si="1046"/>
        <v>2021-2024</v>
      </c>
      <c r="H893" s="1071" t="s">
        <v>29</v>
      </c>
      <c r="I893" s="1071" t="s">
        <v>79</v>
      </c>
      <c r="AZ893" s="1108"/>
      <c r="BA893" s="1109"/>
      <c r="BB893" s="1109"/>
      <c r="BC893" s="1109"/>
      <c r="BD893" s="1109"/>
      <c r="BE893" s="1109"/>
      <c r="BF893" s="1109">
        <f t="shared" ref="BF893:BJ893" si="1047">BF546*$AW243</f>
        <v>0</v>
      </c>
      <c r="BG893" s="1109">
        <f t="shared" si="1047"/>
        <v>0</v>
      </c>
      <c r="BH893" s="1109">
        <f t="shared" si="1047"/>
        <v>0</v>
      </c>
      <c r="BI893" s="1109">
        <f t="shared" si="1047"/>
        <v>0</v>
      </c>
      <c r="BJ893" s="1109">
        <f t="shared" si="1047"/>
        <v>0</v>
      </c>
    </row>
    <row r="894" spans="2:62" hidden="1" outlineLevel="1">
      <c r="B894" s="1094"/>
      <c r="C894" s="1071" t="str">
        <f t="shared" ref="C894:F894" si="1048">C547</f>
        <v>EDISON Core Network &amp; Cyber Security</v>
      </c>
      <c r="D894" s="1071" t="str">
        <f t="shared" si="1048"/>
        <v>EDISON Core Network &amp; Cyber Security</v>
      </c>
      <c r="E894" s="1071" t="str">
        <f t="shared" si="1048"/>
        <v>S007</v>
      </c>
      <c r="F894" s="1125" t="str">
        <f t="shared" si="1048"/>
        <v>2021-2024</v>
      </c>
      <c r="H894" s="1071" t="s">
        <v>29</v>
      </c>
      <c r="I894" s="1071" t="s">
        <v>79</v>
      </c>
      <c r="AZ894" s="1108"/>
      <c r="BA894" s="1109"/>
      <c r="BB894" s="1109"/>
      <c r="BC894" s="1109"/>
      <c r="BD894" s="1109"/>
      <c r="BE894" s="1109"/>
      <c r="BF894" s="1109">
        <f t="shared" ref="BF894:BJ894" si="1049">BF547*$AW244</f>
        <v>0</v>
      </c>
      <c r="BG894" s="1109">
        <f t="shared" si="1049"/>
        <v>0</v>
      </c>
      <c r="BH894" s="1109">
        <f t="shared" si="1049"/>
        <v>46.52241187500001</v>
      </c>
      <c r="BI894" s="1109">
        <f t="shared" si="1049"/>
        <v>93.04482375000002</v>
      </c>
      <c r="BJ894" s="1109">
        <f t="shared" si="1049"/>
        <v>93.04482375000002</v>
      </c>
    </row>
    <row r="895" spans="2:62" hidden="1" outlineLevel="1">
      <c r="B895" s="1094"/>
      <c r="C895" s="1071" t="str">
        <f t="shared" ref="C895:F895" si="1050">C548</f>
        <v>Chiller and AHU Replacement Dublin</v>
      </c>
      <c r="D895" s="1071" t="str">
        <f t="shared" si="1050"/>
        <v>Chiller and AHU Replacement Dublin</v>
      </c>
      <c r="E895" s="1071" t="str">
        <f t="shared" si="1050"/>
        <v>T014</v>
      </c>
      <c r="F895" s="1125" t="str">
        <f t="shared" si="1050"/>
        <v>2021-2024</v>
      </c>
      <c r="H895" s="1071" t="s">
        <v>29</v>
      </c>
      <c r="I895" s="1071" t="s">
        <v>79</v>
      </c>
      <c r="AZ895" s="1108"/>
      <c r="BA895" s="1109"/>
      <c r="BB895" s="1109"/>
      <c r="BC895" s="1109"/>
      <c r="BD895" s="1109"/>
      <c r="BE895" s="1109"/>
      <c r="BF895" s="1109">
        <f t="shared" ref="BF895:BJ895" si="1051">BF548*$AW245</f>
        <v>0</v>
      </c>
      <c r="BG895" s="1109">
        <f t="shared" si="1051"/>
        <v>32.111407499999999</v>
      </c>
      <c r="BH895" s="1109">
        <f t="shared" si="1051"/>
        <v>140.722815</v>
      </c>
      <c r="BI895" s="1109">
        <f t="shared" si="1051"/>
        <v>140.722815</v>
      </c>
      <c r="BJ895" s="1109">
        <f t="shared" si="1051"/>
        <v>140.722815</v>
      </c>
    </row>
    <row r="896" spans="2:62" hidden="1" outlineLevel="1">
      <c r="B896" s="1094"/>
      <c r="C896" s="1071" t="str">
        <f t="shared" ref="C896:F896" si="1052">C549</f>
        <v>U023 2.6 GHz Filters (SHN)</v>
      </c>
      <c r="D896" s="1071" t="str">
        <f t="shared" si="1052"/>
        <v>U023 2.6 GHz Filters</v>
      </c>
      <c r="E896" s="1071" t="str">
        <f t="shared" si="1052"/>
        <v>U023</v>
      </c>
      <c r="F896" s="1125" t="str">
        <f t="shared" si="1052"/>
        <v>2021-2024</v>
      </c>
      <c r="H896" s="1071" t="s">
        <v>29</v>
      </c>
      <c r="I896" s="1071" t="s">
        <v>79</v>
      </c>
      <c r="AZ896" s="1108"/>
      <c r="BA896" s="1109"/>
      <c r="BB896" s="1109"/>
      <c r="BC896" s="1109"/>
      <c r="BD896" s="1109"/>
      <c r="BE896" s="1109"/>
      <c r="BF896" s="1109">
        <f t="shared" ref="BF896:BJ896" si="1053">BF549*$AW246</f>
        <v>0</v>
      </c>
      <c r="BG896" s="1109">
        <f t="shared" si="1053"/>
        <v>7.03125</v>
      </c>
      <c r="BH896" s="1109">
        <f t="shared" si="1053"/>
        <v>28.125</v>
      </c>
      <c r="BI896" s="1109">
        <f t="shared" si="1053"/>
        <v>28.125</v>
      </c>
      <c r="BJ896" s="1109">
        <f t="shared" si="1053"/>
        <v>28.125</v>
      </c>
    </row>
    <row r="897" spans="2:62" hidden="1" outlineLevel="1">
      <c r="B897" s="1094"/>
      <c r="C897" s="1071" t="str">
        <f t="shared" ref="C897:F897" si="1054">C550</f>
        <v>U023 2.6 GHz Filters (CRK)</v>
      </c>
      <c r="D897" s="1071" t="str">
        <f t="shared" si="1054"/>
        <v>U023 2.6 GHz Filters</v>
      </c>
      <c r="E897" s="1071" t="str">
        <f t="shared" si="1054"/>
        <v>U023A</v>
      </c>
      <c r="F897" s="1125" t="str">
        <f t="shared" si="1054"/>
        <v>2021-2024</v>
      </c>
      <c r="H897" s="1071" t="s">
        <v>29</v>
      </c>
      <c r="I897" s="1071" t="s">
        <v>79</v>
      </c>
      <c r="AZ897" s="1108"/>
      <c r="BA897" s="1109"/>
      <c r="BB897" s="1109"/>
      <c r="BC897" s="1109"/>
      <c r="BD897" s="1109"/>
      <c r="BE897" s="1109"/>
      <c r="BF897" s="1109">
        <f t="shared" ref="BF897:BJ897" si="1055">BF550*$AW247</f>
        <v>0</v>
      </c>
      <c r="BG897" s="1109">
        <f t="shared" si="1055"/>
        <v>4.6875</v>
      </c>
      <c r="BH897" s="1109">
        <f t="shared" si="1055"/>
        <v>18.75</v>
      </c>
      <c r="BI897" s="1109">
        <f t="shared" si="1055"/>
        <v>18.75</v>
      </c>
      <c r="BJ897" s="1109">
        <f t="shared" si="1055"/>
        <v>18.75</v>
      </c>
    </row>
    <row r="898" spans="2:62" hidden="1" outlineLevel="1">
      <c r="B898" s="1094"/>
      <c r="C898" s="1071" t="str">
        <f t="shared" ref="C898:F898" si="1056">C551</f>
        <v>U023 2.6 GHz Filters (DUB)</v>
      </c>
      <c r="D898" s="1071" t="str">
        <f t="shared" si="1056"/>
        <v>U023 2.6 GHz Filters</v>
      </c>
      <c r="E898" s="1071" t="str">
        <f t="shared" si="1056"/>
        <v>U023A</v>
      </c>
      <c r="F898" s="1125" t="str">
        <f t="shared" si="1056"/>
        <v>2021-2024</v>
      </c>
      <c r="H898" s="1071" t="s">
        <v>29</v>
      </c>
      <c r="I898" s="1071" t="s">
        <v>79</v>
      </c>
      <c r="AZ898" s="1108"/>
      <c r="BA898" s="1109"/>
      <c r="BB898" s="1109"/>
      <c r="BC898" s="1109"/>
      <c r="BD898" s="1109"/>
      <c r="BE898" s="1109"/>
      <c r="BF898" s="1109">
        <f t="shared" ref="BF898:BJ898" si="1057">BF551*$AW248</f>
        <v>0</v>
      </c>
      <c r="BG898" s="1109">
        <f t="shared" si="1057"/>
        <v>0</v>
      </c>
      <c r="BH898" s="1109">
        <f t="shared" si="1057"/>
        <v>28.125</v>
      </c>
      <c r="BI898" s="1109">
        <f t="shared" si="1057"/>
        <v>28.125</v>
      </c>
      <c r="BJ898" s="1109">
        <f t="shared" si="1057"/>
        <v>28.125</v>
      </c>
    </row>
    <row r="899" spans="2:62" hidden="1" outlineLevel="1">
      <c r="B899" s="1094"/>
      <c r="C899" s="1071" t="str">
        <f t="shared" ref="C899:F899" si="1058">C552</f>
        <v>SIEM &amp; SOC Software</v>
      </c>
      <c r="D899" s="1071" t="str">
        <f t="shared" si="1058"/>
        <v>SIEM &amp; SOC Software</v>
      </c>
      <c r="E899" s="1071" t="str">
        <f t="shared" si="1058"/>
        <v>U019</v>
      </c>
      <c r="F899" s="1125" t="str">
        <f t="shared" si="1058"/>
        <v>2021-2024</v>
      </c>
      <c r="H899" s="1071" t="s">
        <v>29</v>
      </c>
      <c r="I899" s="1071" t="s">
        <v>79</v>
      </c>
      <c r="AZ899" s="1108"/>
      <c r="BA899" s="1109"/>
      <c r="BB899" s="1109"/>
      <c r="BC899" s="1109"/>
      <c r="BD899" s="1109"/>
      <c r="BE899" s="1109"/>
      <c r="BF899" s="1109">
        <f t="shared" ref="BF899:BJ899" si="1059">BF552*$AW249</f>
        <v>0</v>
      </c>
      <c r="BG899" s="1109">
        <f t="shared" si="1059"/>
        <v>0</v>
      </c>
      <c r="BH899" s="1109">
        <f t="shared" si="1059"/>
        <v>73</v>
      </c>
      <c r="BI899" s="1109">
        <f t="shared" si="1059"/>
        <v>97.333333333333343</v>
      </c>
      <c r="BJ899" s="1109">
        <f t="shared" si="1059"/>
        <v>121.66666666666666</v>
      </c>
    </row>
    <row r="900" spans="2:62" hidden="1" outlineLevel="1">
      <c r="B900" s="1094"/>
      <c r="C900" s="1071" t="str">
        <f t="shared" ref="C900:F900" si="1060">C553</f>
        <v>Aireon Infrastructure</v>
      </c>
      <c r="D900" s="1071" t="str">
        <f t="shared" si="1060"/>
        <v>Aireon Infrastructure</v>
      </c>
      <c r="E900" s="1071" t="str">
        <f t="shared" si="1060"/>
        <v>Q002</v>
      </c>
      <c r="F900" s="1125" t="str">
        <f t="shared" si="1060"/>
        <v>2021-2024</v>
      </c>
      <c r="H900" s="1071" t="s">
        <v>29</v>
      </c>
      <c r="I900" s="1071" t="s">
        <v>79</v>
      </c>
      <c r="AZ900" s="1108"/>
      <c r="BA900" s="1109"/>
      <c r="BB900" s="1109"/>
      <c r="BC900" s="1109"/>
      <c r="BD900" s="1109"/>
      <c r="BE900" s="1109"/>
      <c r="BF900" s="1109">
        <f t="shared" ref="BF900:BJ900" si="1061">BF553*$AW250</f>
        <v>0</v>
      </c>
      <c r="BG900" s="1109">
        <f t="shared" si="1061"/>
        <v>5.625</v>
      </c>
      <c r="BH900" s="1109">
        <f t="shared" si="1061"/>
        <v>30.385418437500004</v>
      </c>
      <c r="BI900" s="1109">
        <f t="shared" si="1061"/>
        <v>99.041673750000015</v>
      </c>
      <c r="BJ900" s="1109">
        <f t="shared" si="1061"/>
        <v>99.041673750000015</v>
      </c>
    </row>
    <row r="901" spans="2:62" hidden="1" outlineLevel="1">
      <c r="B901" s="1094"/>
      <c r="C901" s="1071" t="str">
        <f t="shared" ref="C901:F901" si="1062">C554</f>
        <v>Fire supression system</v>
      </c>
      <c r="D901" s="1071" t="str">
        <f t="shared" si="1062"/>
        <v>Fire supression system</v>
      </c>
      <c r="E901" s="1071" t="str">
        <f t="shared" si="1062"/>
        <v>U015</v>
      </c>
      <c r="F901" s="1125" t="str">
        <f t="shared" si="1062"/>
        <v>2021-2024</v>
      </c>
      <c r="H901" s="1071" t="s">
        <v>29</v>
      </c>
      <c r="I901" s="1071" t="s">
        <v>79</v>
      </c>
      <c r="AZ901" s="1108"/>
      <c r="BA901" s="1109"/>
      <c r="BB901" s="1109"/>
      <c r="BC901" s="1109"/>
      <c r="BD901" s="1109"/>
      <c r="BE901" s="1109"/>
      <c r="BF901" s="1109">
        <f t="shared" ref="BF901:BJ901" si="1063">BF554*$AW251</f>
        <v>0</v>
      </c>
      <c r="BG901" s="1109">
        <f t="shared" si="1063"/>
        <v>0</v>
      </c>
      <c r="BH901" s="1109">
        <f t="shared" si="1063"/>
        <v>0</v>
      </c>
      <c r="BI901" s="1109">
        <f t="shared" si="1063"/>
        <v>0</v>
      </c>
      <c r="BJ901" s="1109">
        <f t="shared" si="1063"/>
        <v>0</v>
      </c>
    </row>
    <row r="902" spans="2:62" hidden="1" outlineLevel="1">
      <c r="B902" s="1094"/>
      <c r="C902" s="1071" t="str">
        <f t="shared" ref="C902:F902" si="1064">C555</f>
        <v>Fire suppression system - Woodcock Hill</v>
      </c>
      <c r="D902" s="1071" t="str">
        <f t="shared" si="1064"/>
        <v>Fire supression system</v>
      </c>
      <c r="E902" s="1071" t="str">
        <f t="shared" si="1064"/>
        <v>U015A</v>
      </c>
      <c r="F902" s="1125" t="str">
        <f t="shared" si="1064"/>
        <v>2021-2024</v>
      </c>
      <c r="H902" s="1071" t="s">
        <v>29</v>
      </c>
      <c r="I902" s="1071" t="s">
        <v>79</v>
      </c>
      <c r="AZ902" s="1108"/>
      <c r="BA902" s="1109"/>
      <c r="BB902" s="1109"/>
      <c r="BC902" s="1109"/>
      <c r="BD902" s="1109"/>
      <c r="BE902" s="1109"/>
      <c r="BF902" s="1109">
        <f t="shared" ref="BF902:BJ902" si="1065">BF555*$AW252</f>
        <v>0</v>
      </c>
      <c r="BG902" s="1109">
        <f t="shared" si="1065"/>
        <v>1.75</v>
      </c>
      <c r="BH902" s="1109">
        <f t="shared" si="1065"/>
        <v>31</v>
      </c>
      <c r="BI902" s="1109">
        <f t="shared" si="1065"/>
        <v>31</v>
      </c>
      <c r="BJ902" s="1109">
        <f t="shared" si="1065"/>
        <v>31</v>
      </c>
    </row>
    <row r="903" spans="2:62" hidden="1" outlineLevel="1">
      <c r="B903" s="1094"/>
      <c r="C903" s="1071" t="str">
        <f t="shared" ref="C903:F903" si="1066">C556</f>
        <v>Fire suppression system - Mt Gabriel</v>
      </c>
      <c r="D903" s="1071" t="str">
        <f t="shared" si="1066"/>
        <v>Fire supression system</v>
      </c>
      <c r="E903" s="1071" t="str">
        <f t="shared" si="1066"/>
        <v>U015A</v>
      </c>
      <c r="F903" s="1125" t="str">
        <f t="shared" si="1066"/>
        <v>2021-2024</v>
      </c>
      <c r="H903" s="1071" t="s">
        <v>29</v>
      </c>
      <c r="I903" s="1071" t="s">
        <v>79</v>
      </c>
      <c r="AZ903" s="1108"/>
      <c r="BA903" s="1109"/>
      <c r="BB903" s="1109"/>
      <c r="BC903" s="1109"/>
      <c r="BD903" s="1109"/>
      <c r="BE903" s="1109"/>
      <c r="BF903" s="1109">
        <f t="shared" ref="BF903:BJ903" si="1067">BF556*$AW253</f>
        <v>0</v>
      </c>
      <c r="BG903" s="1109">
        <f t="shared" si="1067"/>
        <v>1.75</v>
      </c>
      <c r="BH903" s="1109">
        <f t="shared" si="1067"/>
        <v>31</v>
      </c>
      <c r="BI903" s="1109">
        <f t="shared" si="1067"/>
        <v>31</v>
      </c>
      <c r="BJ903" s="1109">
        <f t="shared" si="1067"/>
        <v>31</v>
      </c>
    </row>
    <row r="904" spans="2:62" hidden="1" outlineLevel="1">
      <c r="B904" s="1094"/>
      <c r="C904" s="1071" t="str">
        <f t="shared" ref="C904:F904" si="1068">C557</f>
        <v>Fire suppression system - Dooncarton</v>
      </c>
      <c r="D904" s="1071" t="str">
        <f t="shared" si="1068"/>
        <v>Fire supression system</v>
      </c>
      <c r="E904" s="1071" t="str">
        <f t="shared" si="1068"/>
        <v>U015A</v>
      </c>
      <c r="F904" s="1125" t="str">
        <f t="shared" si="1068"/>
        <v>2021-2024</v>
      </c>
      <c r="H904" s="1071" t="s">
        <v>29</v>
      </c>
      <c r="I904" s="1071" t="s">
        <v>79</v>
      </c>
      <c r="AZ904" s="1108"/>
      <c r="BA904" s="1109"/>
      <c r="BB904" s="1109"/>
      <c r="BC904" s="1109"/>
      <c r="BD904" s="1109"/>
      <c r="BE904" s="1109"/>
      <c r="BF904" s="1109">
        <f t="shared" ref="BF904:BJ904" si="1069">BF557*$AW254</f>
        <v>0</v>
      </c>
      <c r="BG904" s="1109">
        <f t="shared" si="1069"/>
        <v>0.875</v>
      </c>
      <c r="BH904" s="1109">
        <f t="shared" si="1069"/>
        <v>15.5</v>
      </c>
      <c r="BI904" s="1109">
        <f t="shared" si="1069"/>
        <v>15.5</v>
      </c>
      <c r="BJ904" s="1109">
        <f t="shared" si="1069"/>
        <v>15.5</v>
      </c>
    </row>
    <row r="905" spans="2:62" hidden="1" outlineLevel="1">
      <c r="B905" s="1094"/>
      <c r="C905" s="1071" t="str">
        <f t="shared" ref="C905:F905" si="1070">C558</f>
        <v>Fire suppression system - Malin Head</v>
      </c>
      <c r="D905" s="1071" t="str">
        <f t="shared" si="1070"/>
        <v>Fire supression system</v>
      </c>
      <c r="E905" s="1071" t="str">
        <f t="shared" si="1070"/>
        <v>U015A</v>
      </c>
      <c r="F905" s="1125" t="str">
        <f t="shared" si="1070"/>
        <v>2021-2024</v>
      </c>
      <c r="H905" s="1071" t="s">
        <v>29</v>
      </c>
      <c r="I905" s="1071" t="s">
        <v>79</v>
      </c>
      <c r="AZ905" s="1108"/>
      <c r="BA905" s="1109"/>
      <c r="BB905" s="1109"/>
      <c r="BC905" s="1109"/>
      <c r="BD905" s="1109"/>
      <c r="BE905" s="1109"/>
      <c r="BF905" s="1109">
        <f t="shared" ref="BF905:BJ905" si="1071">BF558*$AW255</f>
        <v>0</v>
      </c>
      <c r="BG905" s="1109">
        <f t="shared" si="1071"/>
        <v>7.75</v>
      </c>
      <c r="BH905" s="1109">
        <f t="shared" si="1071"/>
        <v>15.5</v>
      </c>
      <c r="BI905" s="1109">
        <f t="shared" si="1071"/>
        <v>15.5</v>
      </c>
      <c r="BJ905" s="1109">
        <f t="shared" si="1071"/>
        <v>15.5</v>
      </c>
    </row>
    <row r="906" spans="2:62" hidden="1" outlineLevel="1">
      <c r="B906" s="1094"/>
      <c r="C906" s="1071" t="str">
        <f t="shared" ref="C906:F906" si="1072">C559</f>
        <v>Fire suppression system - Shannon Radar</v>
      </c>
      <c r="D906" s="1071" t="str">
        <f t="shared" si="1072"/>
        <v>Fire supression system</v>
      </c>
      <c r="E906" s="1071" t="str">
        <f t="shared" si="1072"/>
        <v>U015A</v>
      </c>
      <c r="F906" s="1125" t="str">
        <f t="shared" si="1072"/>
        <v>2021-2024</v>
      </c>
      <c r="H906" s="1071" t="s">
        <v>29</v>
      </c>
      <c r="I906" s="1071" t="s">
        <v>79</v>
      </c>
      <c r="AZ906" s="1108"/>
      <c r="BA906" s="1109"/>
      <c r="BB906" s="1109"/>
      <c r="BC906" s="1109"/>
      <c r="BD906" s="1109"/>
      <c r="BE906" s="1109"/>
      <c r="BF906" s="1109">
        <f t="shared" ref="BF906:BJ906" si="1073">BF559*$AW256</f>
        <v>0</v>
      </c>
      <c r="BG906" s="1109">
        <f t="shared" si="1073"/>
        <v>5.8125</v>
      </c>
      <c r="BH906" s="1109">
        <f t="shared" si="1073"/>
        <v>11.625</v>
      </c>
      <c r="BI906" s="1109">
        <f t="shared" si="1073"/>
        <v>11.625</v>
      </c>
      <c r="BJ906" s="1109">
        <f t="shared" si="1073"/>
        <v>11.625</v>
      </c>
    </row>
    <row r="907" spans="2:62" hidden="1" outlineLevel="1">
      <c r="B907" s="1094"/>
      <c r="C907" s="1071" t="str">
        <f t="shared" ref="C907:F907" si="1074">C560</f>
        <v>Fire suppression system - Dublin Radar</v>
      </c>
      <c r="D907" s="1071" t="str">
        <f t="shared" si="1074"/>
        <v>Fire supression system</v>
      </c>
      <c r="E907" s="1071" t="str">
        <f t="shared" si="1074"/>
        <v>U015A</v>
      </c>
      <c r="F907" s="1125" t="str">
        <f t="shared" si="1074"/>
        <v>2021-2024</v>
      </c>
      <c r="H907" s="1071" t="s">
        <v>29</v>
      </c>
      <c r="I907" s="1071" t="s">
        <v>79</v>
      </c>
      <c r="AZ907" s="1108"/>
      <c r="BA907" s="1109"/>
      <c r="BB907" s="1109"/>
      <c r="BC907" s="1109"/>
      <c r="BD907" s="1109"/>
      <c r="BE907" s="1109"/>
      <c r="BF907" s="1109">
        <f t="shared" ref="BF907:BJ907" si="1075">BF560*$AW257</f>
        <v>0</v>
      </c>
      <c r="BG907" s="1109">
        <f t="shared" si="1075"/>
        <v>0</v>
      </c>
      <c r="BH907" s="1109">
        <f t="shared" si="1075"/>
        <v>0</v>
      </c>
      <c r="BI907" s="1109">
        <f t="shared" si="1075"/>
        <v>2.90625</v>
      </c>
      <c r="BJ907" s="1109">
        <f t="shared" si="1075"/>
        <v>15.1875</v>
      </c>
    </row>
    <row r="908" spans="2:62" hidden="1" outlineLevel="1">
      <c r="B908" s="1094"/>
      <c r="C908" s="1071" t="str">
        <f t="shared" ref="C908:F908" si="1076">C561</f>
        <v>Cyber Security / Management</v>
      </c>
      <c r="D908" s="1071" t="str">
        <f t="shared" si="1076"/>
        <v>Cyber Security / Management</v>
      </c>
      <c r="E908" s="1071" t="str">
        <f t="shared" si="1076"/>
        <v>T001</v>
      </c>
      <c r="F908" s="1125" t="str">
        <f t="shared" si="1076"/>
        <v>2021-2024</v>
      </c>
      <c r="H908" s="1071" t="s">
        <v>29</v>
      </c>
      <c r="I908" s="1071" t="s">
        <v>79</v>
      </c>
      <c r="AZ908" s="1108"/>
      <c r="BA908" s="1109"/>
      <c r="BB908" s="1109"/>
      <c r="BC908" s="1109"/>
      <c r="BD908" s="1109"/>
      <c r="BE908" s="1109"/>
      <c r="BF908" s="1109">
        <f t="shared" ref="BF908:BJ908" si="1077">BF561*$AW258</f>
        <v>0</v>
      </c>
      <c r="BG908" s="1109">
        <f t="shared" si="1077"/>
        <v>0</v>
      </c>
      <c r="BH908" s="1109">
        <f t="shared" si="1077"/>
        <v>0</v>
      </c>
      <c r="BI908" s="1109">
        <f t="shared" si="1077"/>
        <v>65.154843749999998</v>
      </c>
      <c r="BJ908" s="1109">
        <f t="shared" si="1077"/>
        <v>65.154843749999998</v>
      </c>
    </row>
    <row r="909" spans="2:62" hidden="1" outlineLevel="1">
      <c r="B909" s="1094"/>
      <c r="C909" s="1071" t="str">
        <f t="shared" ref="C909:F909" si="1078">C562</f>
        <v>ICT Infrastructure</v>
      </c>
      <c r="D909" s="1071" t="str">
        <f t="shared" si="1078"/>
        <v>ICT Infrastructure</v>
      </c>
      <c r="E909" s="1071" t="str">
        <f t="shared" si="1078"/>
        <v>U020</v>
      </c>
      <c r="F909" s="1125" t="str">
        <f t="shared" si="1078"/>
        <v>2021-2024</v>
      </c>
      <c r="H909" s="1071" t="s">
        <v>29</v>
      </c>
      <c r="I909" s="1071" t="s">
        <v>79</v>
      </c>
      <c r="AZ909" s="1108"/>
      <c r="BA909" s="1109"/>
      <c r="BB909" s="1109"/>
      <c r="BC909" s="1109"/>
      <c r="BD909" s="1109"/>
      <c r="BE909" s="1109"/>
      <c r="BF909" s="1109">
        <f t="shared" ref="BF909:BJ909" si="1079">BF562*$AW259</f>
        <v>0</v>
      </c>
      <c r="BG909" s="1109">
        <f t="shared" si="1079"/>
        <v>0</v>
      </c>
      <c r="BH909" s="1109">
        <f t="shared" si="1079"/>
        <v>66.916666666666671</v>
      </c>
      <c r="BI909" s="1109">
        <f t="shared" si="1079"/>
        <v>103.41666666666666</v>
      </c>
      <c r="BJ909" s="1109">
        <f t="shared" si="1079"/>
        <v>139.91666666666666</v>
      </c>
    </row>
    <row r="910" spans="2:62" hidden="1" outlineLevel="1">
      <c r="B910" s="1094"/>
      <c r="C910" s="1071" t="str">
        <f t="shared" ref="C910:F910" si="1080">C563</f>
        <v>Upgrades to cable ducting - remote sites</v>
      </c>
      <c r="D910" s="1071" t="str">
        <f t="shared" si="1080"/>
        <v>Upgrades to cable ducting</v>
      </c>
      <c r="E910" s="1071" t="str">
        <f t="shared" si="1080"/>
        <v>R007</v>
      </c>
      <c r="F910" s="1125" t="str">
        <f t="shared" si="1080"/>
        <v>2021-2024</v>
      </c>
      <c r="H910" s="1071" t="s">
        <v>29</v>
      </c>
      <c r="I910" s="1071" t="s">
        <v>79</v>
      </c>
      <c r="AZ910" s="1108"/>
      <c r="BA910" s="1109"/>
      <c r="BB910" s="1109"/>
      <c r="BC910" s="1109"/>
      <c r="BD910" s="1109"/>
      <c r="BE910" s="1109"/>
      <c r="BF910" s="1109">
        <f t="shared" ref="BF910:BJ910" si="1081">BF563*$AW260</f>
        <v>0</v>
      </c>
      <c r="BG910" s="1109">
        <f t="shared" si="1081"/>
        <v>0</v>
      </c>
      <c r="BH910" s="1109">
        <f t="shared" si="1081"/>
        <v>0</v>
      </c>
      <c r="BI910" s="1109">
        <f t="shared" si="1081"/>
        <v>0</v>
      </c>
      <c r="BJ910" s="1109">
        <f t="shared" si="1081"/>
        <v>0</v>
      </c>
    </row>
    <row r="911" spans="2:62" hidden="1" outlineLevel="1">
      <c r="B911" s="1094"/>
      <c r="C911" s="1071" t="str">
        <f t="shared" ref="C911:F911" si="1082">C564</f>
        <v>Upgrades to cable ducting Woodcock Hill</v>
      </c>
      <c r="D911" s="1071" t="str">
        <f t="shared" si="1082"/>
        <v>Upgrades to cable ducting</v>
      </c>
      <c r="E911" s="1071" t="str">
        <f t="shared" si="1082"/>
        <v>R007A</v>
      </c>
      <c r="F911" s="1125" t="str">
        <f t="shared" si="1082"/>
        <v>2021-2024</v>
      </c>
      <c r="H911" s="1071" t="s">
        <v>29</v>
      </c>
      <c r="I911" s="1071" t="s">
        <v>79</v>
      </c>
      <c r="AZ911" s="1108"/>
      <c r="BA911" s="1109"/>
      <c r="BB911" s="1109"/>
      <c r="BC911" s="1109"/>
      <c r="BD911" s="1109"/>
      <c r="BE911" s="1109"/>
      <c r="BF911" s="1109">
        <f t="shared" ref="BF911:BJ911" si="1083">BF564*$AW261</f>
        <v>0</v>
      </c>
      <c r="BG911" s="1109">
        <f t="shared" si="1083"/>
        <v>28.719874375</v>
      </c>
      <c r="BH911" s="1109">
        <f t="shared" si="1083"/>
        <v>57.43974875</v>
      </c>
      <c r="BI911" s="1109">
        <f t="shared" si="1083"/>
        <v>57.43974875</v>
      </c>
      <c r="BJ911" s="1109">
        <f t="shared" si="1083"/>
        <v>57.43974875</v>
      </c>
    </row>
    <row r="912" spans="2:62" hidden="1" outlineLevel="1">
      <c r="B912" s="1094"/>
      <c r="C912" s="1071" t="str">
        <f t="shared" ref="C912:F912" si="1084">C565</f>
        <v>Upgrades to cable ducting Other remote sites</v>
      </c>
      <c r="D912" s="1071" t="str">
        <f t="shared" si="1084"/>
        <v>Upgrades to cable ducting</v>
      </c>
      <c r="E912" s="1071" t="str">
        <f t="shared" si="1084"/>
        <v>R007A</v>
      </c>
      <c r="F912" s="1125" t="str">
        <f t="shared" si="1084"/>
        <v>2021-2024</v>
      </c>
      <c r="H912" s="1071" t="s">
        <v>29</v>
      </c>
      <c r="I912" s="1071" t="s">
        <v>79</v>
      </c>
      <c r="AZ912" s="1108"/>
      <c r="BA912" s="1109"/>
      <c r="BB912" s="1109"/>
      <c r="BC912" s="1109"/>
      <c r="BD912" s="1109"/>
      <c r="BE912" s="1109"/>
      <c r="BF912" s="1109">
        <f t="shared" ref="BF912:BJ912" si="1085">BF565*$AW262</f>
        <v>0</v>
      </c>
      <c r="BG912" s="1109">
        <f t="shared" si="1085"/>
        <v>6.5625</v>
      </c>
      <c r="BH912" s="1109">
        <f t="shared" si="1085"/>
        <v>13.125</v>
      </c>
      <c r="BI912" s="1109">
        <f t="shared" si="1085"/>
        <v>13.125</v>
      </c>
      <c r="BJ912" s="1109">
        <f t="shared" si="1085"/>
        <v>13.125</v>
      </c>
    </row>
    <row r="913" spans="2:62" hidden="1" outlineLevel="1">
      <c r="B913" s="1094"/>
      <c r="C913" s="1071" t="str">
        <f t="shared" ref="C913:F913" si="1086">C566</f>
        <v>IAA Smart Messenger (AFTN/SMHS) &amp; ROFDS Contingency</v>
      </c>
      <c r="D913" s="1071" t="str">
        <f t="shared" si="1086"/>
        <v>IAA Smart Messenger</v>
      </c>
      <c r="E913" s="1071" t="str">
        <f t="shared" si="1086"/>
        <v>U005</v>
      </c>
      <c r="F913" s="1125" t="str">
        <f t="shared" si="1086"/>
        <v>2021-2024</v>
      </c>
      <c r="H913" s="1071" t="s">
        <v>29</v>
      </c>
      <c r="I913" s="1071" t="s">
        <v>79</v>
      </c>
      <c r="AZ913" s="1108"/>
      <c r="BA913" s="1109"/>
      <c r="BB913" s="1109"/>
      <c r="BC913" s="1109"/>
      <c r="BD913" s="1109"/>
      <c r="BE913" s="1109"/>
      <c r="BF913" s="1109">
        <f t="shared" ref="BF913:BJ913" si="1087">BF566*$AW263</f>
        <v>0</v>
      </c>
      <c r="BG913" s="1109">
        <f t="shared" si="1087"/>
        <v>0</v>
      </c>
      <c r="BH913" s="1109">
        <f t="shared" si="1087"/>
        <v>0</v>
      </c>
      <c r="BI913" s="1109">
        <f t="shared" si="1087"/>
        <v>0</v>
      </c>
      <c r="BJ913" s="1109">
        <f t="shared" si="1087"/>
        <v>0</v>
      </c>
    </row>
    <row r="914" spans="2:62" hidden="1" outlineLevel="1">
      <c r="B914" s="1094"/>
      <c r="C914" s="1071" t="str">
        <f t="shared" ref="C914:F914" si="1088">C567</f>
        <v>IAA Smart Messenger (AFTN/SMHS)</v>
      </c>
      <c r="D914" s="1071" t="str">
        <f t="shared" si="1088"/>
        <v>IAA Smart Messenger</v>
      </c>
      <c r="E914" s="1071" t="str">
        <f t="shared" si="1088"/>
        <v>U005A</v>
      </c>
      <c r="F914" s="1125" t="str">
        <f t="shared" si="1088"/>
        <v>2021-2024</v>
      </c>
      <c r="H914" s="1071" t="s">
        <v>29</v>
      </c>
      <c r="I914" s="1071" t="s">
        <v>79</v>
      </c>
      <c r="AZ914" s="1108"/>
      <c r="BA914" s="1109"/>
      <c r="BB914" s="1109"/>
      <c r="BC914" s="1109"/>
      <c r="BD914" s="1109"/>
      <c r="BE914" s="1109"/>
      <c r="BF914" s="1109">
        <f t="shared" ref="BF914:BJ914" si="1089">BF567*$AW264</f>
        <v>0</v>
      </c>
      <c r="BG914" s="1109">
        <f t="shared" si="1089"/>
        <v>0</v>
      </c>
      <c r="BH914" s="1109">
        <f t="shared" si="1089"/>
        <v>0</v>
      </c>
      <c r="BI914" s="1109">
        <f t="shared" si="1089"/>
        <v>46.875</v>
      </c>
      <c r="BJ914" s="1109">
        <f t="shared" si="1089"/>
        <v>46.875</v>
      </c>
    </row>
    <row r="915" spans="2:62" hidden="1" outlineLevel="1">
      <c r="B915" s="1094"/>
      <c r="C915" s="1071" t="str">
        <f t="shared" ref="C915:F915" si="1090">C568</f>
        <v>BMS Upgrade Dublin / Ballycasey</v>
      </c>
      <c r="D915" s="1071" t="str">
        <f t="shared" si="1090"/>
        <v>BMS Upgrade</v>
      </c>
      <c r="E915" s="1071" t="str">
        <f t="shared" si="1090"/>
        <v>T010</v>
      </c>
      <c r="F915" s="1125" t="str">
        <f t="shared" si="1090"/>
        <v>2021-2024</v>
      </c>
      <c r="H915" s="1071" t="s">
        <v>29</v>
      </c>
      <c r="I915" s="1071" t="s">
        <v>79</v>
      </c>
      <c r="AZ915" s="1108"/>
      <c r="BA915" s="1109"/>
      <c r="BB915" s="1109"/>
      <c r="BC915" s="1109"/>
      <c r="BD915" s="1109"/>
      <c r="BE915" s="1109"/>
      <c r="BF915" s="1109">
        <f t="shared" ref="BF915:BJ915" si="1091">BF568*$AW265</f>
        <v>0</v>
      </c>
      <c r="BG915" s="1109">
        <f t="shared" si="1091"/>
        <v>0</v>
      </c>
      <c r="BH915" s="1109">
        <f t="shared" si="1091"/>
        <v>0</v>
      </c>
      <c r="BI915" s="1109">
        <f t="shared" si="1091"/>
        <v>0</v>
      </c>
      <c r="BJ915" s="1109">
        <f t="shared" si="1091"/>
        <v>0</v>
      </c>
    </row>
    <row r="916" spans="2:62" hidden="1" outlineLevel="1">
      <c r="B916" s="1094"/>
      <c r="C916" s="1071" t="str">
        <f t="shared" ref="C916:F916" si="1092">C569</f>
        <v>BMS Upgrade Dublin</v>
      </c>
      <c r="D916" s="1071" t="str">
        <f t="shared" si="1092"/>
        <v>BMS Upgrade</v>
      </c>
      <c r="E916" s="1071" t="str">
        <f t="shared" si="1092"/>
        <v>T010A</v>
      </c>
      <c r="F916" s="1125" t="str">
        <f t="shared" si="1092"/>
        <v>2021-2024</v>
      </c>
      <c r="H916" s="1071" t="s">
        <v>29</v>
      </c>
      <c r="I916" s="1071" t="s">
        <v>79</v>
      </c>
      <c r="AZ916" s="1108"/>
      <c r="BA916" s="1109"/>
      <c r="BB916" s="1109"/>
      <c r="BC916" s="1109"/>
      <c r="BD916" s="1109"/>
      <c r="BE916" s="1109"/>
      <c r="BF916" s="1109">
        <f t="shared" ref="BF916:BJ916" si="1093">BF569*$AW266</f>
        <v>0</v>
      </c>
      <c r="BG916" s="1109">
        <f t="shared" si="1093"/>
        <v>0</v>
      </c>
      <c r="BH916" s="1109">
        <f t="shared" si="1093"/>
        <v>5.859375</v>
      </c>
      <c r="BI916" s="1109">
        <f t="shared" si="1093"/>
        <v>23.4375</v>
      </c>
      <c r="BJ916" s="1109">
        <f t="shared" si="1093"/>
        <v>23.4375</v>
      </c>
    </row>
    <row r="917" spans="2:62" hidden="1" outlineLevel="1">
      <c r="B917" s="1094"/>
      <c r="C917" s="1071" t="str">
        <f t="shared" ref="C917:F917" si="1094">C570</f>
        <v>BMS Upgrade Ballycasey</v>
      </c>
      <c r="D917" s="1071" t="str">
        <f t="shared" si="1094"/>
        <v>BMS Upgrade</v>
      </c>
      <c r="E917" s="1071" t="str">
        <f t="shared" si="1094"/>
        <v>T010A</v>
      </c>
      <c r="F917" s="1125" t="str">
        <f t="shared" si="1094"/>
        <v>2021-2024</v>
      </c>
      <c r="H917" s="1071" t="s">
        <v>29</v>
      </c>
      <c r="I917" s="1071" t="s">
        <v>79</v>
      </c>
      <c r="AZ917" s="1108"/>
      <c r="BA917" s="1109"/>
      <c r="BB917" s="1109"/>
      <c r="BC917" s="1109"/>
      <c r="BD917" s="1109"/>
      <c r="BE917" s="1109"/>
      <c r="BF917" s="1109">
        <f t="shared" ref="BF917:BJ917" si="1095">BF570*$AW267</f>
        <v>0</v>
      </c>
      <c r="BG917" s="1109">
        <f t="shared" si="1095"/>
        <v>0</v>
      </c>
      <c r="BH917" s="1109">
        <f t="shared" si="1095"/>
        <v>0</v>
      </c>
      <c r="BI917" s="1109">
        <f t="shared" si="1095"/>
        <v>7.8125</v>
      </c>
      <c r="BJ917" s="1109">
        <f t="shared" si="1095"/>
        <v>31.25</v>
      </c>
    </row>
    <row r="918" spans="2:62" hidden="1" outlineLevel="1">
      <c r="B918" s="1094"/>
      <c r="C918" s="1071" t="str">
        <f t="shared" ref="C918:F918" si="1096">C571</f>
        <v>ARTAS Upgrade</v>
      </c>
      <c r="D918" s="1071" t="str">
        <f t="shared" si="1096"/>
        <v>ARTAS Upgrade</v>
      </c>
      <c r="E918" s="1071" t="str">
        <f t="shared" si="1096"/>
        <v>RP3-SURV-2</v>
      </c>
      <c r="F918" s="1125" t="str">
        <f t="shared" si="1096"/>
        <v>2021-2024</v>
      </c>
      <c r="H918" s="1071" t="s">
        <v>29</v>
      </c>
      <c r="I918" s="1071" t="s">
        <v>79</v>
      </c>
      <c r="AZ918" s="1108"/>
      <c r="BA918" s="1109"/>
      <c r="BB918" s="1109"/>
      <c r="BC918" s="1109"/>
      <c r="BD918" s="1109"/>
      <c r="BE918" s="1109"/>
      <c r="BF918" s="1109">
        <f t="shared" ref="BF918:BJ918" si="1097">BF571*$AW268</f>
        <v>0</v>
      </c>
      <c r="BG918" s="1109">
        <f t="shared" si="1097"/>
        <v>0</v>
      </c>
      <c r="BH918" s="1109">
        <f t="shared" si="1097"/>
        <v>7.8125</v>
      </c>
      <c r="BI918" s="1109">
        <f t="shared" si="1097"/>
        <v>39.0625</v>
      </c>
      <c r="BJ918" s="1109">
        <f t="shared" si="1097"/>
        <v>62.5</v>
      </c>
    </row>
    <row r="919" spans="2:62" hidden="1" outlineLevel="1">
      <c r="B919" s="1094"/>
      <c r="C919" s="1071" t="str">
        <f t="shared" ref="C919:F919" si="1098">C572</f>
        <v>Frequency Expnasion Programme (Knock, Kerry &amp; Dublin)</v>
      </c>
      <c r="D919" s="1071" t="str">
        <f t="shared" si="1098"/>
        <v>Frequency Expnasion Programme</v>
      </c>
      <c r="E919" s="1071" t="str">
        <f t="shared" si="1098"/>
        <v>R009</v>
      </c>
      <c r="F919" s="1125" t="str">
        <f t="shared" si="1098"/>
        <v>2021-2024</v>
      </c>
      <c r="H919" s="1071" t="s">
        <v>29</v>
      </c>
      <c r="I919" s="1071" t="s">
        <v>79</v>
      </c>
      <c r="AZ919" s="1108"/>
      <c r="BA919" s="1109"/>
      <c r="BB919" s="1109"/>
      <c r="BC919" s="1109"/>
      <c r="BD919" s="1109"/>
      <c r="BE919" s="1109"/>
      <c r="BF919" s="1109">
        <f t="shared" ref="BF919:BJ919" si="1099">BF572*$AW269</f>
        <v>0</v>
      </c>
      <c r="BG919" s="1109">
        <f t="shared" si="1099"/>
        <v>0</v>
      </c>
      <c r="BH919" s="1109">
        <f t="shared" si="1099"/>
        <v>0</v>
      </c>
      <c r="BI919" s="1109">
        <f t="shared" si="1099"/>
        <v>0</v>
      </c>
      <c r="BJ919" s="1109">
        <f t="shared" si="1099"/>
        <v>0</v>
      </c>
    </row>
    <row r="920" spans="2:62" hidden="1" outlineLevel="1">
      <c r="B920" s="1094"/>
      <c r="C920" s="1071" t="str">
        <f t="shared" ref="C920:F920" si="1100">C573</f>
        <v>Frequency Expnasion Programme  Dublin</v>
      </c>
      <c r="D920" s="1071" t="str">
        <f t="shared" si="1100"/>
        <v>Frequency Expnasion Programme</v>
      </c>
      <c r="E920" s="1071" t="str">
        <f t="shared" si="1100"/>
        <v>R009A</v>
      </c>
      <c r="F920" s="1125" t="str">
        <f t="shared" si="1100"/>
        <v>2021-2024</v>
      </c>
      <c r="H920" s="1071" t="s">
        <v>29</v>
      </c>
      <c r="I920" s="1071" t="s">
        <v>79</v>
      </c>
      <c r="AZ920" s="1108"/>
      <c r="BA920" s="1109"/>
      <c r="BB920" s="1109"/>
      <c r="BC920" s="1109"/>
      <c r="BD920" s="1109"/>
      <c r="BE920" s="1109"/>
      <c r="BF920" s="1109">
        <f t="shared" ref="BF920:BJ920" si="1101">BF573*$AW270</f>
        <v>0</v>
      </c>
      <c r="BG920" s="1109">
        <f t="shared" si="1101"/>
        <v>6.65625</v>
      </c>
      <c r="BH920" s="1109">
        <f t="shared" si="1101"/>
        <v>13.3125</v>
      </c>
      <c r="BI920" s="1109">
        <f t="shared" si="1101"/>
        <v>13.3125</v>
      </c>
      <c r="BJ920" s="1109">
        <f t="shared" si="1101"/>
        <v>13.3125</v>
      </c>
    </row>
    <row r="921" spans="2:62" hidden="1" outlineLevel="1">
      <c r="B921" s="1094"/>
      <c r="C921" s="1071" t="str">
        <f t="shared" ref="C921:F921" si="1102">C574</f>
        <v>Frequency Expnasion Programme Knock</v>
      </c>
      <c r="D921" s="1071" t="str">
        <f t="shared" si="1102"/>
        <v>Frequency Expnasion Programme</v>
      </c>
      <c r="E921" s="1071" t="str">
        <f t="shared" si="1102"/>
        <v>R009A</v>
      </c>
      <c r="F921" s="1125" t="str">
        <f t="shared" si="1102"/>
        <v>2021-2024</v>
      </c>
      <c r="H921" s="1071" t="s">
        <v>29</v>
      </c>
      <c r="I921" s="1071" t="s">
        <v>79</v>
      </c>
      <c r="AZ921" s="1108"/>
      <c r="BA921" s="1109"/>
      <c r="BB921" s="1109"/>
      <c r="BC921" s="1109"/>
      <c r="BD921" s="1109"/>
      <c r="BE921" s="1109"/>
      <c r="BF921" s="1109">
        <f t="shared" ref="BF921:BJ921" si="1103">BF574*$AW271</f>
        <v>0</v>
      </c>
      <c r="BG921" s="1109">
        <f t="shared" si="1103"/>
        <v>0</v>
      </c>
      <c r="BH921" s="1109">
        <f t="shared" si="1103"/>
        <v>0</v>
      </c>
      <c r="BI921" s="1109">
        <f t="shared" si="1103"/>
        <v>9.375</v>
      </c>
      <c r="BJ921" s="1109">
        <f t="shared" si="1103"/>
        <v>12.5</v>
      </c>
    </row>
    <row r="922" spans="2:62" hidden="1" outlineLevel="1">
      <c r="B922" s="1094"/>
      <c r="C922" s="1071" t="str">
        <f t="shared" ref="C922:F922" si="1104">C575</f>
        <v>Frequency Expnasion Programme Shannon (Woodcock Hill, Dooncarton, Glc)</v>
      </c>
      <c r="D922" s="1071" t="str">
        <f t="shared" si="1104"/>
        <v>Frequency Expnasion Programme</v>
      </c>
      <c r="E922" s="1071" t="str">
        <f t="shared" si="1104"/>
        <v>R009A</v>
      </c>
      <c r="F922" s="1125" t="str">
        <f t="shared" si="1104"/>
        <v>2021-2024</v>
      </c>
      <c r="H922" s="1071" t="s">
        <v>29</v>
      </c>
      <c r="I922" s="1071" t="s">
        <v>79</v>
      </c>
      <c r="AZ922" s="1108"/>
      <c r="BA922" s="1109"/>
      <c r="BB922" s="1109"/>
      <c r="BC922" s="1109"/>
      <c r="BD922" s="1109"/>
      <c r="BE922" s="1109"/>
      <c r="BF922" s="1109">
        <f t="shared" ref="BF922:BJ922" si="1105">BF575*$AW272</f>
        <v>0</v>
      </c>
      <c r="BG922" s="1109">
        <f t="shared" si="1105"/>
        <v>2.5672262500000005</v>
      </c>
      <c r="BH922" s="1109">
        <f t="shared" si="1105"/>
        <v>13.237655000000002</v>
      </c>
      <c r="BI922" s="1109">
        <f t="shared" si="1105"/>
        <v>22.143905</v>
      </c>
      <c r="BJ922" s="1109">
        <f t="shared" si="1105"/>
        <v>22.143905</v>
      </c>
    </row>
    <row r="923" spans="2:62" hidden="1" outlineLevel="1">
      <c r="B923" s="1094"/>
      <c r="C923" s="1071" t="str">
        <f t="shared" ref="C923:F923" si="1106">C576</f>
        <v>UPS System Replacement SHN/DUB</v>
      </c>
      <c r="D923" s="1071" t="str">
        <f t="shared" si="1106"/>
        <v>UPS System Replacement</v>
      </c>
      <c r="E923" s="1071" t="str">
        <f t="shared" si="1106"/>
        <v>S012</v>
      </c>
      <c r="F923" s="1125" t="str">
        <f t="shared" si="1106"/>
        <v>2021-2024</v>
      </c>
      <c r="H923" s="1071" t="s">
        <v>29</v>
      </c>
      <c r="I923" s="1071" t="s">
        <v>79</v>
      </c>
      <c r="AZ923" s="1108"/>
      <c r="BA923" s="1109"/>
      <c r="BB923" s="1109"/>
      <c r="BC923" s="1109"/>
      <c r="BD923" s="1109"/>
      <c r="BE923" s="1109"/>
      <c r="BF923" s="1109">
        <f t="shared" ref="BF923:BJ923" si="1107">BF576*$AW273</f>
        <v>0</v>
      </c>
      <c r="BG923" s="1109">
        <f t="shared" si="1107"/>
        <v>0</v>
      </c>
      <c r="BH923" s="1109">
        <f t="shared" si="1107"/>
        <v>0</v>
      </c>
      <c r="BI923" s="1109">
        <f t="shared" si="1107"/>
        <v>0</v>
      </c>
      <c r="BJ923" s="1109">
        <f t="shared" si="1107"/>
        <v>0</v>
      </c>
    </row>
    <row r="924" spans="2:62" hidden="1" outlineLevel="1">
      <c r="B924" s="1094"/>
      <c r="C924" s="1071" t="str">
        <f t="shared" ref="C924:F924" si="1108">C577</f>
        <v>UPS System Replacement DUB</v>
      </c>
      <c r="D924" s="1071" t="str">
        <f t="shared" si="1108"/>
        <v>UPS System Replacement</v>
      </c>
      <c r="E924" s="1071" t="str">
        <f t="shared" si="1108"/>
        <v>S012A</v>
      </c>
      <c r="F924" s="1125" t="str">
        <f t="shared" si="1108"/>
        <v>2021-2024</v>
      </c>
      <c r="H924" s="1071" t="s">
        <v>29</v>
      </c>
      <c r="I924" s="1071" t="s">
        <v>79</v>
      </c>
      <c r="AZ924" s="1108"/>
      <c r="BA924" s="1109"/>
      <c r="BB924" s="1109"/>
      <c r="BC924" s="1109"/>
      <c r="BD924" s="1109"/>
      <c r="BE924" s="1109"/>
      <c r="BF924" s="1109">
        <f t="shared" ref="BF924:BJ924" si="1109">BF577*$AW274</f>
        <v>0</v>
      </c>
      <c r="BG924" s="1109">
        <f t="shared" si="1109"/>
        <v>10.083808125000001</v>
      </c>
      <c r="BH924" s="1109">
        <f t="shared" si="1109"/>
        <v>20.167616250000002</v>
      </c>
      <c r="BI924" s="1109">
        <f t="shared" si="1109"/>
        <v>20.167616250000002</v>
      </c>
      <c r="BJ924" s="1109">
        <f t="shared" si="1109"/>
        <v>20.167616250000002</v>
      </c>
    </row>
    <row r="925" spans="2:62" hidden="1" outlineLevel="1">
      <c r="B925" s="1094"/>
      <c r="C925" s="1071" t="str">
        <f t="shared" ref="C925:F925" si="1110">C578</f>
        <v>UPS System Replacement SHN</v>
      </c>
      <c r="D925" s="1071" t="str">
        <f t="shared" si="1110"/>
        <v>UPS System Replacement</v>
      </c>
      <c r="E925" s="1071" t="str">
        <f t="shared" si="1110"/>
        <v>S012A</v>
      </c>
      <c r="F925" s="1125" t="str">
        <f t="shared" si="1110"/>
        <v>2021-2024</v>
      </c>
      <c r="H925" s="1071" t="s">
        <v>29</v>
      </c>
      <c r="I925" s="1071" t="s">
        <v>79</v>
      </c>
      <c r="AZ925" s="1108"/>
      <c r="BA925" s="1109"/>
      <c r="BB925" s="1109"/>
      <c r="BC925" s="1109"/>
      <c r="BD925" s="1109"/>
      <c r="BE925" s="1109"/>
      <c r="BF925" s="1109">
        <f t="shared" ref="BF925:BJ925" si="1111">BF578*$AW275</f>
        <v>0</v>
      </c>
      <c r="BG925" s="1109">
        <f t="shared" si="1111"/>
        <v>9.375</v>
      </c>
      <c r="BH925" s="1109">
        <f t="shared" si="1111"/>
        <v>18.75</v>
      </c>
      <c r="BI925" s="1109">
        <f t="shared" si="1111"/>
        <v>18.75</v>
      </c>
      <c r="BJ925" s="1109">
        <f t="shared" si="1111"/>
        <v>18.75</v>
      </c>
    </row>
    <row r="926" spans="2:62" hidden="1" outlineLevel="1">
      <c r="B926" s="1094"/>
      <c r="C926" s="1071" t="str">
        <f t="shared" ref="C926:F926" si="1112">C579</f>
        <v>Remote Power Management</v>
      </c>
      <c r="D926" s="1071" t="str">
        <f t="shared" si="1112"/>
        <v>Remote Power Management</v>
      </c>
      <c r="E926" s="1071" t="str">
        <f t="shared" si="1112"/>
        <v>R012</v>
      </c>
      <c r="F926" s="1125" t="str">
        <f t="shared" si="1112"/>
        <v>2021-2024</v>
      </c>
      <c r="H926" s="1071" t="s">
        <v>29</v>
      </c>
      <c r="I926" s="1071" t="s">
        <v>79</v>
      </c>
      <c r="AZ926" s="1108"/>
      <c r="BA926" s="1109"/>
      <c r="BB926" s="1109"/>
      <c r="BC926" s="1109"/>
      <c r="BD926" s="1109"/>
      <c r="BE926" s="1109"/>
      <c r="BF926" s="1109">
        <f t="shared" ref="BF926:BJ926" si="1113">BF579*$AW276</f>
        <v>0</v>
      </c>
      <c r="BG926" s="1109">
        <f t="shared" si="1113"/>
        <v>0</v>
      </c>
      <c r="BH926" s="1109">
        <f t="shared" si="1113"/>
        <v>0</v>
      </c>
      <c r="BI926" s="1109">
        <f t="shared" si="1113"/>
        <v>9.6330585937500004</v>
      </c>
      <c r="BJ926" s="1109">
        <f t="shared" si="1113"/>
        <v>38.532234375000002</v>
      </c>
    </row>
    <row r="927" spans="2:62" hidden="1" outlineLevel="1">
      <c r="B927" s="1094"/>
      <c r="C927" s="1071" t="str">
        <f t="shared" ref="C927:F927" si="1114">C580</f>
        <v>A-SMGCS Enhancements</v>
      </c>
      <c r="D927" s="1071" t="str">
        <f t="shared" si="1114"/>
        <v>A-SMGCS Enhancements</v>
      </c>
      <c r="E927" s="1071" t="str">
        <f t="shared" si="1114"/>
        <v>R015</v>
      </c>
      <c r="F927" s="1125" t="str">
        <f t="shared" si="1114"/>
        <v>2021-2024</v>
      </c>
      <c r="H927" s="1071" t="s">
        <v>29</v>
      </c>
      <c r="I927" s="1071" t="s">
        <v>79</v>
      </c>
      <c r="AZ927" s="1108"/>
      <c r="BA927" s="1109"/>
      <c r="BB927" s="1109"/>
      <c r="BC927" s="1109"/>
      <c r="BD927" s="1109"/>
      <c r="BE927" s="1109"/>
      <c r="BF927" s="1109">
        <f t="shared" ref="BF927:BJ927" si="1115">BF580*$AW277</f>
        <v>0</v>
      </c>
      <c r="BG927" s="1109">
        <f t="shared" si="1115"/>
        <v>0</v>
      </c>
      <c r="BH927" s="1109">
        <f t="shared" si="1115"/>
        <v>0</v>
      </c>
      <c r="BI927" s="1109">
        <f t="shared" si="1115"/>
        <v>0</v>
      </c>
      <c r="BJ927" s="1109">
        <f t="shared" si="1115"/>
        <v>0</v>
      </c>
    </row>
    <row r="928" spans="2:62" hidden="1" outlineLevel="1">
      <c r="B928" s="1094"/>
      <c r="C928" s="1071" t="str">
        <f t="shared" ref="C928:F928" si="1116">C581</f>
        <v>LAN &amp; WAN Cybersecurity</v>
      </c>
      <c r="D928" s="1071" t="str">
        <f t="shared" si="1116"/>
        <v>LAN &amp; WAN Cybersecurity</v>
      </c>
      <c r="E928" s="1071" t="str">
        <f t="shared" si="1116"/>
        <v>V006</v>
      </c>
      <c r="F928" s="1125" t="str">
        <f t="shared" si="1116"/>
        <v>2021-2024</v>
      </c>
      <c r="H928" s="1071" t="s">
        <v>29</v>
      </c>
      <c r="I928" s="1071" t="s">
        <v>79</v>
      </c>
      <c r="AZ928" s="1108"/>
      <c r="BA928" s="1109"/>
      <c r="BB928" s="1109"/>
      <c r="BC928" s="1109"/>
      <c r="BD928" s="1109"/>
      <c r="BE928" s="1109"/>
      <c r="BF928" s="1109">
        <f t="shared" ref="BF928:BJ928" si="1117">BF581*$AW278</f>
        <v>0</v>
      </c>
      <c r="BG928" s="1109">
        <f t="shared" si="1117"/>
        <v>0</v>
      </c>
      <c r="BH928" s="1109">
        <f t="shared" si="1117"/>
        <v>0</v>
      </c>
      <c r="BI928" s="1109">
        <f t="shared" si="1117"/>
        <v>0</v>
      </c>
      <c r="BJ928" s="1109">
        <f t="shared" si="1117"/>
        <v>0</v>
      </c>
    </row>
    <row r="929" spans="2:62" hidden="1" outlineLevel="1">
      <c r="B929" s="1094"/>
      <c r="C929" s="1071" t="str">
        <f t="shared" ref="C929:F929" si="1118">C582</f>
        <v>LAN &amp; WAN Cybersecurity HQ</v>
      </c>
      <c r="D929" s="1071" t="str">
        <f t="shared" si="1118"/>
        <v>LAN &amp; WAN Cybersecurity</v>
      </c>
      <c r="E929" s="1071" t="str">
        <f t="shared" si="1118"/>
        <v>V006A</v>
      </c>
      <c r="F929" s="1125" t="str">
        <f t="shared" si="1118"/>
        <v>2021-2024</v>
      </c>
      <c r="H929" s="1071" t="s">
        <v>29</v>
      </c>
      <c r="I929" s="1071" t="s">
        <v>79</v>
      </c>
      <c r="AZ929" s="1108"/>
      <c r="BA929" s="1109"/>
      <c r="BB929" s="1109"/>
      <c r="BC929" s="1109"/>
      <c r="BD929" s="1109"/>
      <c r="BE929" s="1109"/>
      <c r="BF929" s="1109">
        <f t="shared" ref="BF929:BJ929" si="1119">BF582*$AW279</f>
        <v>0</v>
      </c>
      <c r="BG929" s="1109">
        <f t="shared" si="1119"/>
        <v>0</v>
      </c>
      <c r="BH929" s="1109">
        <f t="shared" si="1119"/>
        <v>27.679166666666664</v>
      </c>
      <c r="BI929" s="1109">
        <f t="shared" si="1119"/>
        <v>55.358333333333327</v>
      </c>
      <c r="BJ929" s="1109">
        <f t="shared" si="1119"/>
        <v>55.358333333333327</v>
      </c>
    </row>
    <row r="930" spans="2:62" hidden="1" outlineLevel="1">
      <c r="B930" s="1094"/>
      <c r="C930" s="1071" t="str">
        <f t="shared" ref="C930:F930" si="1120">C583</f>
        <v>LAN &amp; WAN Cybersecurity SHN</v>
      </c>
      <c r="D930" s="1071" t="str">
        <f t="shared" si="1120"/>
        <v>LAN &amp; WAN Cybersecurity</v>
      </c>
      <c r="E930" s="1071" t="str">
        <f t="shared" si="1120"/>
        <v>V006A</v>
      </c>
      <c r="F930" s="1125" t="str">
        <f t="shared" si="1120"/>
        <v>2021-2024</v>
      </c>
      <c r="H930" s="1071" t="s">
        <v>29</v>
      </c>
      <c r="I930" s="1071" t="s">
        <v>79</v>
      </c>
      <c r="AZ930" s="1108"/>
      <c r="BA930" s="1109"/>
      <c r="BB930" s="1109"/>
      <c r="BC930" s="1109"/>
      <c r="BD930" s="1109"/>
      <c r="BE930" s="1109"/>
      <c r="BF930" s="1109">
        <f t="shared" ref="BF930:BJ930" si="1121">BF583*$AW280</f>
        <v>0</v>
      </c>
      <c r="BG930" s="1109">
        <f t="shared" si="1121"/>
        <v>0</v>
      </c>
      <c r="BH930" s="1109">
        <f t="shared" si="1121"/>
        <v>15.3125</v>
      </c>
      <c r="BI930" s="1109">
        <f t="shared" si="1121"/>
        <v>30.625</v>
      </c>
      <c r="BJ930" s="1109">
        <f t="shared" si="1121"/>
        <v>30.625</v>
      </c>
    </row>
    <row r="931" spans="2:62" hidden="1" outlineLevel="1">
      <c r="B931" s="1094"/>
      <c r="C931" s="1071" t="str">
        <f t="shared" ref="C931:F931" si="1122">C584</f>
        <v>Hardware &amp; Software Provision</v>
      </c>
      <c r="D931" s="1071" t="str">
        <f t="shared" si="1122"/>
        <v>Hardware &amp; Software Provision</v>
      </c>
      <c r="E931" s="1071" t="str">
        <f t="shared" si="1122"/>
        <v>T018</v>
      </c>
      <c r="F931" s="1125" t="str">
        <f t="shared" si="1122"/>
        <v>2021-2024</v>
      </c>
      <c r="H931" s="1071" t="s">
        <v>29</v>
      </c>
      <c r="I931" s="1071" t="s">
        <v>79</v>
      </c>
      <c r="AZ931" s="1108"/>
      <c r="BA931" s="1109"/>
      <c r="BB931" s="1109"/>
      <c r="BC931" s="1109"/>
      <c r="BD931" s="1109"/>
      <c r="BE931" s="1109"/>
      <c r="BF931" s="1109">
        <f t="shared" ref="BF931:BJ931" si="1123">BF584*$AW281</f>
        <v>0</v>
      </c>
      <c r="BG931" s="1109">
        <f t="shared" si="1123"/>
        <v>0</v>
      </c>
      <c r="BH931" s="1109">
        <f t="shared" si="1123"/>
        <v>0</v>
      </c>
      <c r="BI931" s="1109">
        <f t="shared" si="1123"/>
        <v>0</v>
      </c>
      <c r="BJ931" s="1109">
        <f t="shared" si="1123"/>
        <v>0</v>
      </c>
    </row>
    <row r="932" spans="2:62" hidden="1" outlineLevel="1">
      <c r="B932" s="1094"/>
      <c r="C932" s="1071" t="str">
        <f t="shared" ref="C932:F932" si="1124">C585</f>
        <v>HW/SW Provision HQ - OTHER</v>
      </c>
      <c r="D932" s="1071" t="str">
        <f t="shared" si="1124"/>
        <v>Hardware &amp; Software Provision</v>
      </c>
      <c r="E932" s="1071" t="str">
        <f t="shared" si="1124"/>
        <v>T018A</v>
      </c>
      <c r="F932" s="1125" t="str">
        <f t="shared" si="1124"/>
        <v>2021-2024</v>
      </c>
      <c r="H932" s="1071" t="s">
        <v>29</v>
      </c>
      <c r="I932" s="1071" t="s">
        <v>79</v>
      </c>
      <c r="AZ932" s="1108"/>
      <c r="BA932" s="1109"/>
      <c r="BB932" s="1109"/>
      <c r="BC932" s="1109"/>
      <c r="BD932" s="1109"/>
      <c r="BE932" s="1109"/>
      <c r="BF932" s="1109">
        <f t="shared" ref="BF932:BJ932" si="1125">BF585*$AW282</f>
        <v>0</v>
      </c>
      <c r="BG932" s="1109">
        <f t="shared" si="1125"/>
        <v>1.3306182538124995</v>
      </c>
      <c r="BH932" s="1109">
        <f t="shared" si="1125"/>
        <v>1.7741576717499996</v>
      </c>
      <c r="BI932" s="1109">
        <f t="shared" si="1125"/>
        <v>1.7741576717499996</v>
      </c>
      <c r="BJ932" s="1109">
        <f t="shared" si="1125"/>
        <v>0.4435394179374999</v>
      </c>
    </row>
    <row r="933" spans="2:62" hidden="1" outlineLevel="1">
      <c r="B933" s="1094"/>
      <c r="C933" s="1071" t="str">
        <f t="shared" ref="C933:F933" si="1126">C586</f>
        <v>HW/SW Provision DUB</v>
      </c>
      <c r="D933" s="1071" t="str">
        <f t="shared" si="1126"/>
        <v>Hardware &amp; Software Provision</v>
      </c>
      <c r="E933" s="1071" t="str">
        <f t="shared" si="1126"/>
        <v>T018A</v>
      </c>
      <c r="F933" s="1125" t="str">
        <f t="shared" si="1126"/>
        <v>2021-2024</v>
      </c>
      <c r="H933" s="1071" t="s">
        <v>29</v>
      </c>
      <c r="I933" s="1071" t="s">
        <v>79</v>
      </c>
      <c r="AZ933" s="1108"/>
      <c r="BA933" s="1109"/>
      <c r="BB933" s="1109"/>
      <c r="BC933" s="1109"/>
      <c r="BD933" s="1109"/>
      <c r="BE933" s="1109"/>
      <c r="BF933" s="1109">
        <f t="shared" ref="BF933:BJ933" si="1127">BF586*$AW283</f>
        <v>0</v>
      </c>
      <c r="BG933" s="1109">
        <f t="shared" si="1127"/>
        <v>1.3670735484374996</v>
      </c>
      <c r="BH933" s="1109">
        <f t="shared" si="1127"/>
        <v>1.8227647312499995</v>
      </c>
      <c r="BI933" s="1109">
        <f t="shared" si="1127"/>
        <v>1.8227647312499995</v>
      </c>
      <c r="BJ933" s="1109">
        <f t="shared" si="1127"/>
        <v>0.45569118281249987</v>
      </c>
    </row>
    <row r="934" spans="2:62" hidden="1" outlineLevel="1">
      <c r="B934" s="1094"/>
      <c r="C934" s="1071" t="str">
        <f t="shared" ref="C934:F934" si="1128">C587</f>
        <v>HW/SW Provision SHN</v>
      </c>
      <c r="D934" s="1071" t="str">
        <f t="shared" si="1128"/>
        <v>Hardware &amp; Software Provision</v>
      </c>
      <c r="E934" s="1071" t="str">
        <f t="shared" si="1128"/>
        <v>T018A</v>
      </c>
      <c r="F934" s="1125" t="str">
        <f t="shared" si="1128"/>
        <v>2021-2024</v>
      </c>
      <c r="H934" s="1071" t="s">
        <v>29</v>
      </c>
      <c r="I934" s="1071" t="s">
        <v>79</v>
      </c>
      <c r="AZ934" s="1108"/>
      <c r="BA934" s="1109"/>
      <c r="BB934" s="1109"/>
      <c r="BC934" s="1109"/>
      <c r="BD934" s="1109"/>
      <c r="BE934" s="1109"/>
      <c r="BF934" s="1109">
        <f t="shared" ref="BF934:BJ934" si="1129">BF587*$AW284</f>
        <v>0</v>
      </c>
      <c r="BG934" s="1109">
        <f t="shared" si="1129"/>
        <v>1.3670735484374996</v>
      </c>
      <c r="BH934" s="1109">
        <f t="shared" si="1129"/>
        <v>1.8227647312499995</v>
      </c>
      <c r="BI934" s="1109">
        <f t="shared" si="1129"/>
        <v>1.8227647312499995</v>
      </c>
      <c r="BJ934" s="1109">
        <f t="shared" si="1129"/>
        <v>0.45569118281249987</v>
      </c>
    </row>
    <row r="935" spans="2:62" hidden="1" outlineLevel="1">
      <c r="B935" s="1094"/>
      <c r="C935" s="1071" t="str">
        <f t="shared" ref="C935:F935" si="1130">C588</f>
        <v>HW/SW Provision</v>
      </c>
      <c r="D935" s="1071" t="str">
        <f t="shared" si="1130"/>
        <v>Hardware &amp; Software Provision</v>
      </c>
      <c r="E935" s="1071" t="str">
        <f t="shared" si="1130"/>
        <v>V004</v>
      </c>
      <c r="F935" s="1125" t="str">
        <f t="shared" si="1130"/>
        <v>2021-2024</v>
      </c>
      <c r="H935" s="1071" t="s">
        <v>29</v>
      </c>
      <c r="I935" s="1071" t="s">
        <v>79</v>
      </c>
      <c r="AZ935" s="1108"/>
      <c r="BA935" s="1109"/>
      <c r="BB935" s="1109"/>
      <c r="BC935" s="1109"/>
      <c r="BD935" s="1109"/>
      <c r="BE935" s="1109"/>
      <c r="BF935" s="1109">
        <f t="shared" ref="BF935:BJ935" si="1131">BF588*$AW285</f>
        <v>0</v>
      </c>
      <c r="BG935" s="1109">
        <f t="shared" si="1131"/>
        <v>0</v>
      </c>
      <c r="BH935" s="1109">
        <f t="shared" si="1131"/>
        <v>0</v>
      </c>
      <c r="BI935" s="1109">
        <f t="shared" si="1131"/>
        <v>0</v>
      </c>
      <c r="BJ935" s="1109">
        <f t="shared" si="1131"/>
        <v>0</v>
      </c>
    </row>
    <row r="936" spans="2:62" hidden="1" outlineLevel="1">
      <c r="B936" s="1094"/>
      <c r="C936" s="1071" t="str">
        <f t="shared" ref="C936:F936" si="1132">C589</f>
        <v>HW/SW Provision HQ - OTHER</v>
      </c>
      <c r="D936" s="1071" t="str">
        <f t="shared" si="1132"/>
        <v>Hardware &amp; Software Provision</v>
      </c>
      <c r="E936" s="1071" t="str">
        <f t="shared" si="1132"/>
        <v>V004A</v>
      </c>
      <c r="F936" s="1125" t="str">
        <f t="shared" si="1132"/>
        <v>2021-2024</v>
      </c>
      <c r="H936" s="1071" t="s">
        <v>29</v>
      </c>
      <c r="I936" s="1071" t="s">
        <v>79</v>
      </c>
      <c r="AZ936" s="1108"/>
      <c r="BA936" s="1109"/>
      <c r="BB936" s="1109"/>
      <c r="BC936" s="1109"/>
      <c r="BD936" s="1109"/>
      <c r="BE936" s="1109"/>
      <c r="BF936" s="1109">
        <f t="shared" ref="BF936:BJ936" si="1133">BF589*$AW286</f>
        <v>0</v>
      </c>
      <c r="BG936" s="1109">
        <f t="shared" si="1133"/>
        <v>6.6536458333333321</v>
      </c>
      <c r="BH936" s="1109">
        <f t="shared" si="1133"/>
        <v>17.299479166666664</v>
      </c>
      <c r="BI936" s="1109">
        <f t="shared" si="1133"/>
        <v>27.945312500000004</v>
      </c>
      <c r="BJ936" s="1109">
        <f t="shared" si="1133"/>
        <v>31.937500000000004</v>
      </c>
    </row>
    <row r="937" spans="2:62" hidden="1" outlineLevel="1">
      <c r="B937" s="1094"/>
      <c r="C937" s="1071" t="str">
        <f t="shared" ref="C937:F937" si="1134">C590</f>
        <v>HW/SW Provision DUB</v>
      </c>
      <c r="D937" s="1071" t="str">
        <f t="shared" si="1134"/>
        <v>Hardware &amp; Software Provision</v>
      </c>
      <c r="E937" s="1071" t="str">
        <f t="shared" si="1134"/>
        <v>V004A</v>
      </c>
      <c r="F937" s="1125" t="str">
        <f t="shared" si="1134"/>
        <v>2021-2024</v>
      </c>
      <c r="H937" s="1071" t="s">
        <v>29</v>
      </c>
      <c r="I937" s="1071" t="s">
        <v>79</v>
      </c>
      <c r="AZ937" s="1108"/>
      <c r="BA937" s="1109"/>
      <c r="BB937" s="1109"/>
      <c r="BC937" s="1109"/>
      <c r="BD937" s="1109"/>
      <c r="BE937" s="1109"/>
      <c r="BF937" s="1109">
        <f t="shared" ref="BF937:BJ937" si="1135">BF590*$AW287</f>
        <v>0</v>
      </c>
      <c r="BG937" s="1109">
        <f t="shared" si="1135"/>
        <v>2.9296875</v>
      </c>
      <c r="BH937" s="1109">
        <f t="shared" si="1135"/>
        <v>7.6171875</v>
      </c>
      <c r="BI937" s="1109">
        <f t="shared" si="1135"/>
        <v>12.3046875</v>
      </c>
      <c r="BJ937" s="1109">
        <f t="shared" si="1135"/>
        <v>14.0625</v>
      </c>
    </row>
    <row r="938" spans="2:62" hidden="1" outlineLevel="1">
      <c r="B938" s="1094"/>
      <c r="C938" s="1071" t="str">
        <f t="shared" ref="C938:F938" si="1136">C591</f>
        <v>HW/SW Provision SHN</v>
      </c>
      <c r="D938" s="1071" t="str">
        <f t="shared" si="1136"/>
        <v>Hardware &amp; Software Provision</v>
      </c>
      <c r="E938" s="1071" t="str">
        <f t="shared" si="1136"/>
        <v>V004A</v>
      </c>
      <c r="F938" s="1125" t="str">
        <f t="shared" si="1136"/>
        <v>2021-2024</v>
      </c>
      <c r="H938" s="1071" t="s">
        <v>29</v>
      </c>
      <c r="I938" s="1071" t="s">
        <v>79</v>
      </c>
      <c r="AZ938" s="1108"/>
      <c r="BA938" s="1109"/>
      <c r="BB938" s="1109"/>
      <c r="BC938" s="1109"/>
      <c r="BD938" s="1109"/>
      <c r="BE938" s="1109"/>
      <c r="BF938" s="1109">
        <f t="shared" ref="BF938:BJ938" si="1137">BF591*$AW288</f>
        <v>0</v>
      </c>
      <c r="BG938" s="1109">
        <f t="shared" si="1137"/>
        <v>2.9296875</v>
      </c>
      <c r="BH938" s="1109">
        <f t="shared" si="1137"/>
        <v>7.6171875</v>
      </c>
      <c r="BI938" s="1109">
        <f t="shared" si="1137"/>
        <v>12.3046875</v>
      </c>
      <c r="BJ938" s="1109">
        <f t="shared" si="1137"/>
        <v>14.0625</v>
      </c>
    </row>
    <row r="939" spans="2:62" hidden="1" outlineLevel="1">
      <c r="B939" s="1094"/>
      <c r="C939" s="1071" t="str">
        <f t="shared" ref="C939:F939" si="1138">C592</f>
        <v>Automated Dependent Surveillance Broadcast Evaluation (ADS-B)</v>
      </c>
      <c r="D939" s="1071" t="str">
        <f t="shared" si="1138"/>
        <v>Automated Dependent Surveillance Broadcast Evaluation (ADS-B)</v>
      </c>
      <c r="E939" s="1071" t="str">
        <f t="shared" si="1138"/>
        <v>K010</v>
      </c>
      <c r="F939" s="1125" t="str">
        <f t="shared" si="1138"/>
        <v>2021-2024</v>
      </c>
      <c r="H939" s="1071" t="s">
        <v>29</v>
      </c>
      <c r="I939" s="1071" t="s">
        <v>79</v>
      </c>
      <c r="AZ939" s="1108"/>
      <c r="BA939" s="1109"/>
      <c r="BB939" s="1109"/>
      <c r="BC939" s="1109"/>
      <c r="BD939" s="1109"/>
      <c r="BE939" s="1109"/>
      <c r="BF939" s="1109">
        <f t="shared" ref="BF939:BJ939" si="1139">BF592*$AW289</f>
        <v>0</v>
      </c>
      <c r="BG939" s="1109">
        <f t="shared" si="1139"/>
        <v>0</v>
      </c>
      <c r="BH939" s="1109">
        <f t="shared" si="1139"/>
        <v>7.8367619531250003</v>
      </c>
      <c r="BI939" s="1109">
        <f t="shared" si="1139"/>
        <v>31.347047812500001</v>
      </c>
      <c r="BJ939" s="1109">
        <f t="shared" si="1139"/>
        <v>31.347047812500001</v>
      </c>
    </row>
    <row r="940" spans="2:62" hidden="1" outlineLevel="1">
      <c r="B940" s="1094"/>
      <c r="C940" s="1071" t="str">
        <f t="shared" ref="C940:F940" si="1140">C593</f>
        <v>Off the Glass Recording for VCCS Touchscreens</v>
      </c>
      <c r="D940" s="1071" t="str">
        <f t="shared" si="1140"/>
        <v>Off the Glass Recording</v>
      </c>
      <c r="E940" s="1071" t="str">
        <f t="shared" si="1140"/>
        <v>P004</v>
      </c>
      <c r="F940" s="1125" t="str">
        <f t="shared" si="1140"/>
        <v>2021-2024</v>
      </c>
      <c r="H940" s="1071" t="s">
        <v>29</v>
      </c>
      <c r="I940" s="1071" t="s">
        <v>79</v>
      </c>
      <c r="AZ940" s="1108"/>
      <c r="BA940" s="1109"/>
      <c r="BB940" s="1109"/>
      <c r="BC940" s="1109"/>
      <c r="BD940" s="1109"/>
      <c r="BE940" s="1109"/>
      <c r="BF940" s="1109">
        <f t="shared" ref="BF940:BJ940" si="1141">BF593*$AW290</f>
        <v>0</v>
      </c>
      <c r="BG940" s="1109">
        <f t="shared" si="1141"/>
        <v>0</v>
      </c>
      <c r="BH940" s="1109">
        <f t="shared" si="1141"/>
        <v>0</v>
      </c>
      <c r="BI940" s="1109">
        <f t="shared" si="1141"/>
        <v>0</v>
      </c>
      <c r="BJ940" s="1109">
        <f t="shared" si="1141"/>
        <v>0</v>
      </c>
    </row>
    <row r="941" spans="2:62" hidden="1" outlineLevel="1">
      <c r="B941" s="1094"/>
      <c r="C941" s="1071" t="str">
        <f t="shared" ref="C941:F941" si="1142">C594</f>
        <v>Off Glass Recording VCCS Dublin</v>
      </c>
      <c r="D941" s="1071" t="str">
        <f t="shared" si="1142"/>
        <v>Off the Glass Recording</v>
      </c>
      <c r="E941" s="1071" t="str">
        <f t="shared" si="1142"/>
        <v>P004A</v>
      </c>
      <c r="F941" s="1125" t="str">
        <f t="shared" si="1142"/>
        <v>2021-2024</v>
      </c>
      <c r="H941" s="1071" t="s">
        <v>29</v>
      </c>
      <c r="I941" s="1071" t="s">
        <v>79</v>
      </c>
      <c r="AZ941" s="1108"/>
      <c r="BA941" s="1109"/>
      <c r="BB941" s="1109"/>
      <c r="BC941" s="1109"/>
      <c r="BD941" s="1109"/>
      <c r="BE941" s="1109"/>
      <c r="BF941" s="1109">
        <f t="shared" ref="BF941:BJ941" si="1143">BF594*$AW291</f>
        <v>0</v>
      </c>
      <c r="BG941" s="1109">
        <f t="shared" si="1143"/>
        <v>15.112727343749999</v>
      </c>
      <c r="BH941" s="1109">
        <f t="shared" si="1143"/>
        <v>30.225454687499997</v>
      </c>
      <c r="BI941" s="1109">
        <f t="shared" si="1143"/>
        <v>30.225454687499997</v>
      </c>
      <c r="BJ941" s="1109">
        <f t="shared" si="1143"/>
        <v>30.225454687499997</v>
      </c>
    </row>
    <row r="942" spans="2:62" hidden="1" outlineLevel="1">
      <c r="B942" s="1094"/>
      <c r="C942" s="1071" t="str">
        <f t="shared" ref="C942:F942" si="1144">C595</f>
        <v>Cessation of E1 Crcuits and Migration to IP (ERIN etc)</v>
      </c>
      <c r="D942" s="1071" t="str">
        <f t="shared" si="1144"/>
        <v>Cessation of E1 Crcuits and Migration to IP (ERIN etc)</v>
      </c>
      <c r="E942" s="1071" t="str">
        <f t="shared" si="1144"/>
        <v>V008</v>
      </c>
      <c r="F942" s="1125" t="str">
        <f t="shared" si="1144"/>
        <v>2021-2024</v>
      </c>
      <c r="H942" s="1071" t="s">
        <v>29</v>
      </c>
      <c r="I942" s="1071" t="s">
        <v>79</v>
      </c>
      <c r="AZ942" s="1108"/>
      <c r="BA942" s="1109"/>
      <c r="BB942" s="1109"/>
      <c r="BC942" s="1109"/>
      <c r="BD942" s="1109"/>
      <c r="BE942" s="1109"/>
      <c r="BF942" s="1109">
        <f t="shared" ref="BF942:BJ942" si="1145">BF595*$AW292</f>
        <v>0</v>
      </c>
      <c r="BG942" s="1109">
        <f t="shared" si="1145"/>
        <v>0</v>
      </c>
      <c r="BH942" s="1109">
        <f t="shared" si="1145"/>
        <v>0</v>
      </c>
      <c r="BI942" s="1109">
        <f t="shared" si="1145"/>
        <v>28.125</v>
      </c>
      <c r="BJ942" s="1109">
        <f t="shared" si="1145"/>
        <v>28.125</v>
      </c>
    </row>
    <row r="943" spans="2:62" hidden="1" outlineLevel="1">
      <c r="B943" s="1094"/>
      <c r="C943" s="1071" t="str">
        <f t="shared" ref="C943:F943" si="1146">C596</f>
        <v>Generator Replacement Programmes</v>
      </c>
      <c r="D943" s="1071" t="str">
        <f t="shared" si="1146"/>
        <v>Generator Replacement Programmes</v>
      </c>
      <c r="E943" s="1071" t="str">
        <f t="shared" si="1146"/>
        <v>RP3-SURV-3</v>
      </c>
      <c r="F943" s="1125" t="str">
        <f t="shared" si="1146"/>
        <v>2021-2024</v>
      </c>
      <c r="H943" s="1071" t="s">
        <v>29</v>
      </c>
      <c r="I943" s="1071" t="s">
        <v>79</v>
      </c>
      <c r="AZ943" s="1108"/>
      <c r="BA943" s="1109"/>
      <c r="BB943" s="1109"/>
      <c r="BC943" s="1109"/>
      <c r="BD943" s="1109"/>
      <c r="BE943" s="1109"/>
      <c r="BF943" s="1109">
        <f t="shared" ref="BF943:BJ943" si="1147">BF596*$AW293</f>
        <v>0</v>
      </c>
      <c r="BG943" s="1109">
        <f t="shared" si="1147"/>
        <v>0</v>
      </c>
      <c r="BH943" s="1109">
        <f t="shared" si="1147"/>
        <v>0</v>
      </c>
      <c r="BI943" s="1109">
        <f t="shared" si="1147"/>
        <v>0</v>
      </c>
      <c r="BJ943" s="1109">
        <f t="shared" si="1147"/>
        <v>0</v>
      </c>
    </row>
    <row r="944" spans="2:62" hidden="1" outlineLevel="1">
      <c r="B944" s="1094"/>
      <c r="C944" s="1071" t="str">
        <f t="shared" ref="C944:F944" si="1148">C597</f>
        <v>Generator Replacements Shannon Remote Sites</v>
      </c>
      <c r="D944" s="1071" t="str">
        <f t="shared" si="1148"/>
        <v>Generator Replacement Programmes</v>
      </c>
      <c r="E944" s="1071" t="str">
        <f t="shared" si="1148"/>
        <v>RP3-SURV-3</v>
      </c>
      <c r="F944" s="1125" t="str">
        <f t="shared" si="1148"/>
        <v>2021-2024</v>
      </c>
      <c r="H944" s="1071" t="s">
        <v>29</v>
      </c>
      <c r="I944" s="1071" t="s">
        <v>79</v>
      </c>
      <c r="AZ944" s="1108"/>
      <c r="BA944" s="1109"/>
      <c r="BB944" s="1109"/>
      <c r="BC944" s="1109"/>
      <c r="BD944" s="1109"/>
      <c r="BE944" s="1109"/>
      <c r="BF944" s="1109">
        <f t="shared" ref="BF944:BJ944" si="1149">BF597*$AW294</f>
        <v>0</v>
      </c>
      <c r="BG944" s="1109">
        <f t="shared" si="1149"/>
        <v>0</v>
      </c>
      <c r="BH944" s="1109">
        <f t="shared" si="1149"/>
        <v>3.515625</v>
      </c>
      <c r="BI944" s="1109">
        <f t="shared" si="1149"/>
        <v>17.578125</v>
      </c>
      <c r="BJ944" s="1109">
        <f t="shared" si="1149"/>
        <v>28.125</v>
      </c>
    </row>
    <row r="945" spans="2:62" hidden="1" outlineLevel="1">
      <c r="B945" s="1094"/>
      <c r="C945" s="1071" t="str">
        <f t="shared" ref="C945:F945" si="1150">C598</f>
        <v>Software Licencing</v>
      </c>
      <c r="D945" s="1071" t="str">
        <f t="shared" si="1150"/>
        <v>Software Licencing</v>
      </c>
      <c r="E945" s="1071" t="str">
        <f t="shared" si="1150"/>
        <v>V005</v>
      </c>
      <c r="F945" s="1125" t="str">
        <f t="shared" si="1150"/>
        <v>2021-2024</v>
      </c>
      <c r="H945" s="1071" t="s">
        <v>29</v>
      </c>
      <c r="I945" s="1071" t="s">
        <v>79</v>
      </c>
      <c r="AZ945" s="1108"/>
      <c r="BA945" s="1109"/>
      <c r="BB945" s="1109"/>
      <c r="BC945" s="1109"/>
      <c r="BD945" s="1109"/>
      <c r="BE945" s="1109"/>
      <c r="BF945" s="1109">
        <f t="shared" ref="BF945:BJ945" si="1151">BF598*$AW295</f>
        <v>0</v>
      </c>
      <c r="BG945" s="1109">
        <f t="shared" si="1151"/>
        <v>0</v>
      </c>
      <c r="BH945" s="1109">
        <f t="shared" si="1151"/>
        <v>0</v>
      </c>
      <c r="BI945" s="1109">
        <f t="shared" si="1151"/>
        <v>0</v>
      </c>
      <c r="BJ945" s="1109">
        <f t="shared" si="1151"/>
        <v>0</v>
      </c>
    </row>
    <row r="946" spans="2:62" hidden="1" outlineLevel="1">
      <c r="B946" s="1094"/>
      <c r="C946" s="1071" t="str">
        <f t="shared" ref="C946:F946" si="1152">C599</f>
        <v>Software Licencing HQ</v>
      </c>
      <c r="D946" s="1071" t="str">
        <f t="shared" si="1152"/>
        <v>Software Licencing</v>
      </c>
      <c r="E946" s="1071" t="str">
        <f t="shared" si="1152"/>
        <v>V005A</v>
      </c>
      <c r="F946" s="1125" t="str">
        <f t="shared" si="1152"/>
        <v>2021-2024</v>
      </c>
      <c r="H946" s="1071" t="s">
        <v>29</v>
      </c>
      <c r="I946" s="1071" t="s">
        <v>79</v>
      </c>
      <c r="AZ946" s="1108"/>
      <c r="BA946" s="1109"/>
      <c r="BB946" s="1109"/>
      <c r="BC946" s="1109"/>
      <c r="BD946" s="1109"/>
      <c r="BE946" s="1109"/>
      <c r="BF946" s="1109">
        <f t="shared" ref="BF946:BJ946" si="1153">BF599*$AW296</f>
        <v>0</v>
      </c>
      <c r="BG946" s="1109">
        <f t="shared" si="1153"/>
        <v>9.125</v>
      </c>
      <c r="BH946" s="1109">
        <f t="shared" si="1153"/>
        <v>31.9375</v>
      </c>
      <c r="BI946" s="1109">
        <f t="shared" si="1153"/>
        <v>36.5</v>
      </c>
      <c r="BJ946" s="1109">
        <f t="shared" si="1153"/>
        <v>27.375</v>
      </c>
    </row>
    <row r="947" spans="2:62" hidden="1" outlineLevel="1">
      <c r="B947" s="1094"/>
      <c r="C947" s="1071" t="str">
        <f t="shared" ref="C947:F947" si="1154">C600</f>
        <v>Software Licencing SHN</v>
      </c>
      <c r="D947" s="1071" t="str">
        <f t="shared" si="1154"/>
        <v>Software Licencing</v>
      </c>
      <c r="E947" s="1071" t="str">
        <f t="shared" si="1154"/>
        <v>V005A</v>
      </c>
      <c r="F947" s="1125" t="str">
        <f t="shared" si="1154"/>
        <v>2021-2024</v>
      </c>
      <c r="H947" s="1071" t="s">
        <v>29</v>
      </c>
      <c r="I947" s="1071" t="s">
        <v>79</v>
      </c>
      <c r="AZ947" s="1108"/>
      <c r="BA947" s="1109"/>
      <c r="BB947" s="1109"/>
      <c r="BC947" s="1109"/>
      <c r="BD947" s="1109"/>
      <c r="BE947" s="1109"/>
      <c r="BF947" s="1109">
        <f t="shared" ref="BF947:BJ947" si="1155">BF600*$AW297</f>
        <v>0</v>
      </c>
      <c r="BG947" s="1109">
        <f t="shared" si="1155"/>
        <v>9.375</v>
      </c>
      <c r="BH947" s="1109">
        <f t="shared" si="1155"/>
        <v>32.8125</v>
      </c>
      <c r="BI947" s="1109">
        <f t="shared" si="1155"/>
        <v>37.5</v>
      </c>
      <c r="BJ947" s="1109">
        <f t="shared" si="1155"/>
        <v>28.125</v>
      </c>
    </row>
    <row r="948" spans="2:62" hidden="1" outlineLevel="1">
      <c r="B948" s="1094"/>
      <c r="C948" s="1071" t="str">
        <f t="shared" ref="C948:F948" si="1156">C601</f>
        <v>PC / Laptop Replacements</v>
      </c>
      <c r="D948" s="1071" t="str">
        <f t="shared" si="1156"/>
        <v>PC / Laptops</v>
      </c>
      <c r="E948" s="1071" t="str">
        <f t="shared" si="1156"/>
        <v>T017</v>
      </c>
      <c r="F948" s="1125" t="str">
        <f t="shared" si="1156"/>
        <v>2021-2024</v>
      </c>
      <c r="H948" s="1071" t="s">
        <v>29</v>
      </c>
      <c r="I948" s="1071" t="s">
        <v>79</v>
      </c>
      <c r="AZ948" s="1108"/>
      <c r="BA948" s="1109"/>
      <c r="BB948" s="1109"/>
      <c r="BC948" s="1109"/>
      <c r="BD948" s="1109"/>
      <c r="BE948" s="1109"/>
      <c r="BF948" s="1109">
        <f t="shared" ref="BF948:BJ948" si="1157">BF601*$AW298</f>
        <v>0</v>
      </c>
      <c r="BG948" s="1109">
        <f t="shared" si="1157"/>
        <v>0</v>
      </c>
      <c r="BH948" s="1109">
        <f t="shared" si="1157"/>
        <v>0</v>
      </c>
      <c r="BI948" s="1109">
        <f t="shared" si="1157"/>
        <v>0</v>
      </c>
      <c r="BJ948" s="1109">
        <f t="shared" si="1157"/>
        <v>0</v>
      </c>
    </row>
    <row r="949" spans="2:62" hidden="1" outlineLevel="1">
      <c r="B949" s="1094"/>
      <c r="C949" s="1071" t="str">
        <f t="shared" ref="C949:F949" si="1158">C602</f>
        <v>PC/Laptops HQ - OTHER</v>
      </c>
      <c r="D949" s="1071" t="str">
        <f t="shared" si="1158"/>
        <v>PC / Laptops</v>
      </c>
      <c r="E949" s="1071" t="str">
        <f t="shared" si="1158"/>
        <v>T017A</v>
      </c>
      <c r="F949" s="1125" t="str">
        <f t="shared" si="1158"/>
        <v>2021-2024</v>
      </c>
      <c r="H949" s="1071" t="s">
        <v>29</v>
      </c>
      <c r="I949" s="1071" t="s">
        <v>79</v>
      </c>
      <c r="AZ949" s="1108"/>
      <c r="BA949" s="1109"/>
      <c r="BB949" s="1109"/>
      <c r="BC949" s="1109"/>
      <c r="BD949" s="1109"/>
      <c r="BE949" s="1109"/>
      <c r="BF949" s="1109">
        <f t="shared" ref="BF949:BJ949" si="1159">BF602*$AW299</f>
        <v>0</v>
      </c>
      <c r="BG949" s="1109">
        <f t="shared" si="1159"/>
        <v>2.6766289499999769</v>
      </c>
      <c r="BH949" s="1109">
        <f t="shared" si="1159"/>
        <v>3.5688385999999692</v>
      </c>
      <c r="BI949" s="1109">
        <f t="shared" si="1159"/>
        <v>3.5688385999999692</v>
      </c>
      <c r="BJ949" s="1109">
        <f t="shared" si="1159"/>
        <v>0.8922096499999923</v>
      </c>
    </row>
    <row r="950" spans="2:62" hidden="1" outlineLevel="1">
      <c r="B950" s="1094"/>
      <c r="C950" s="1071" t="str">
        <f t="shared" ref="C950:F950" si="1160">C603</f>
        <v>PC/Laptops DUB</v>
      </c>
      <c r="D950" s="1071" t="str">
        <f t="shared" si="1160"/>
        <v>PC / Laptops</v>
      </c>
      <c r="E950" s="1071" t="str">
        <f t="shared" si="1160"/>
        <v>T017A</v>
      </c>
      <c r="F950" s="1125" t="str">
        <f t="shared" si="1160"/>
        <v>2021-2024</v>
      </c>
      <c r="H950" s="1071" t="s">
        <v>29</v>
      </c>
      <c r="I950" s="1071" t="s">
        <v>79</v>
      </c>
      <c r="AZ950" s="1108"/>
      <c r="BA950" s="1109"/>
      <c r="BB950" s="1109"/>
      <c r="BC950" s="1109"/>
      <c r="BD950" s="1109"/>
      <c r="BE950" s="1109"/>
      <c r="BF950" s="1109">
        <f t="shared" ref="BF950:BJ950" si="1161">BF603*$AW300</f>
        <v>0</v>
      </c>
      <c r="BG950" s="1109">
        <f t="shared" si="1161"/>
        <v>0</v>
      </c>
      <c r="BH950" s="1109">
        <f t="shared" si="1161"/>
        <v>0</v>
      </c>
      <c r="BI950" s="1109">
        <f t="shared" si="1161"/>
        <v>0</v>
      </c>
      <c r="BJ950" s="1109">
        <f t="shared" si="1161"/>
        <v>0</v>
      </c>
    </row>
    <row r="951" spans="2:62" hidden="1" outlineLevel="1">
      <c r="B951" s="1094"/>
      <c r="C951" s="1071" t="str">
        <f t="shared" ref="C951:F951" si="1162">C604</f>
        <v>PC/Laptops SHN</v>
      </c>
      <c r="D951" s="1071" t="str">
        <f t="shared" si="1162"/>
        <v>PC / Laptops</v>
      </c>
      <c r="E951" s="1071" t="str">
        <f t="shared" si="1162"/>
        <v>T017A</v>
      </c>
      <c r="F951" s="1125" t="str">
        <f t="shared" si="1162"/>
        <v>2021-2024</v>
      </c>
      <c r="H951" s="1071" t="s">
        <v>29</v>
      </c>
      <c r="I951" s="1071" t="s">
        <v>79</v>
      </c>
      <c r="AZ951" s="1108"/>
      <c r="BA951" s="1109"/>
      <c r="BB951" s="1109"/>
      <c r="BC951" s="1109"/>
      <c r="BD951" s="1109"/>
      <c r="BE951" s="1109"/>
      <c r="BF951" s="1109">
        <f t="shared" ref="BF951:BJ951" si="1163">BF604*$AW301</f>
        <v>0</v>
      </c>
      <c r="BG951" s="1109">
        <f t="shared" si="1163"/>
        <v>0</v>
      </c>
      <c r="BH951" s="1109">
        <f t="shared" si="1163"/>
        <v>0</v>
      </c>
      <c r="BI951" s="1109">
        <f t="shared" si="1163"/>
        <v>0</v>
      </c>
      <c r="BJ951" s="1109">
        <f t="shared" si="1163"/>
        <v>0</v>
      </c>
    </row>
    <row r="952" spans="2:62" hidden="1" outlineLevel="1">
      <c r="B952" s="1094"/>
      <c r="C952" s="1071" t="str">
        <f t="shared" ref="C952:F952" si="1164">C605</f>
        <v>PC/Laptop Replacements</v>
      </c>
      <c r="D952" s="1071" t="str">
        <f t="shared" si="1164"/>
        <v>PC / Laptops</v>
      </c>
      <c r="E952" s="1071" t="str">
        <f t="shared" si="1164"/>
        <v>V003</v>
      </c>
      <c r="F952" s="1125" t="str">
        <f t="shared" si="1164"/>
        <v>2021-2024</v>
      </c>
      <c r="H952" s="1071" t="s">
        <v>29</v>
      </c>
      <c r="I952" s="1071" t="s">
        <v>79</v>
      </c>
      <c r="AZ952" s="1108"/>
      <c r="BA952" s="1109"/>
      <c r="BB952" s="1109"/>
      <c r="BC952" s="1109"/>
      <c r="BD952" s="1109"/>
      <c r="BE952" s="1109"/>
      <c r="BF952" s="1109">
        <f t="shared" ref="BF952:BJ952" si="1165">BF605*$AW302</f>
        <v>0</v>
      </c>
      <c r="BG952" s="1109">
        <f t="shared" si="1165"/>
        <v>0</v>
      </c>
      <c r="BH952" s="1109">
        <f t="shared" si="1165"/>
        <v>0</v>
      </c>
      <c r="BI952" s="1109">
        <f t="shared" si="1165"/>
        <v>0</v>
      </c>
      <c r="BJ952" s="1109">
        <f t="shared" si="1165"/>
        <v>0</v>
      </c>
    </row>
    <row r="953" spans="2:62" hidden="1" outlineLevel="1">
      <c r="B953" s="1094"/>
      <c r="C953" s="1071" t="str">
        <f t="shared" ref="C953:F953" si="1166">C606</f>
        <v>PC/Laptops HQ - OTHER</v>
      </c>
      <c r="D953" s="1071" t="str">
        <f t="shared" si="1166"/>
        <v>PC / Laptops</v>
      </c>
      <c r="E953" s="1071" t="str">
        <f t="shared" si="1166"/>
        <v>V003A</v>
      </c>
      <c r="F953" s="1125" t="str">
        <f t="shared" si="1166"/>
        <v>2021-2024</v>
      </c>
      <c r="H953" s="1071" t="s">
        <v>29</v>
      </c>
      <c r="I953" s="1071" t="s">
        <v>79</v>
      </c>
      <c r="AZ953" s="1108"/>
      <c r="BA953" s="1109"/>
      <c r="BB953" s="1109"/>
      <c r="BC953" s="1109"/>
      <c r="BD953" s="1109"/>
      <c r="BE953" s="1109"/>
      <c r="BF953" s="1109">
        <f t="shared" ref="BF953:BJ953" si="1167">BF606*$AW303</f>
        <v>0</v>
      </c>
      <c r="BG953" s="1109">
        <f t="shared" si="1167"/>
        <v>5.322916666666667</v>
      </c>
      <c r="BH953" s="1109">
        <f t="shared" si="1167"/>
        <v>13.839583333333335</v>
      </c>
      <c r="BI953" s="1109">
        <f t="shared" si="1167"/>
        <v>22.35625000000001</v>
      </c>
      <c r="BJ953" s="1109">
        <f t="shared" si="1167"/>
        <v>25.550000000000011</v>
      </c>
    </row>
    <row r="954" spans="2:62" hidden="1" outlineLevel="1">
      <c r="B954" s="1094"/>
      <c r="C954" s="1071" t="str">
        <f t="shared" ref="C954:F954" si="1168">C607</f>
        <v>PC/Laptops DUB</v>
      </c>
      <c r="D954" s="1071" t="str">
        <f t="shared" si="1168"/>
        <v>PC / Laptops</v>
      </c>
      <c r="E954" s="1071" t="str">
        <f t="shared" si="1168"/>
        <v>V003A</v>
      </c>
      <c r="F954" s="1125" t="str">
        <f t="shared" si="1168"/>
        <v>2021-2024</v>
      </c>
      <c r="H954" s="1071" t="s">
        <v>29</v>
      </c>
      <c r="I954" s="1071" t="s">
        <v>79</v>
      </c>
      <c r="AZ954" s="1108"/>
      <c r="BA954" s="1109"/>
      <c r="BB954" s="1109"/>
      <c r="BC954" s="1109"/>
      <c r="BD954" s="1109"/>
      <c r="BE954" s="1109"/>
      <c r="BF954" s="1109">
        <f t="shared" ref="BF954:BJ954" si="1169">BF607*$AW304</f>
        <v>0</v>
      </c>
      <c r="BG954" s="1109">
        <f t="shared" si="1169"/>
        <v>2.3437499999999991</v>
      </c>
      <c r="BH954" s="1109">
        <f t="shared" si="1169"/>
        <v>6.09375</v>
      </c>
      <c r="BI954" s="1109">
        <f t="shared" si="1169"/>
        <v>9.84375</v>
      </c>
      <c r="BJ954" s="1109">
        <f t="shared" si="1169"/>
        <v>11.25</v>
      </c>
    </row>
    <row r="955" spans="2:62" hidden="1" outlineLevel="1">
      <c r="B955" s="1094"/>
      <c r="C955" s="1071" t="str">
        <f t="shared" ref="C955:F955" si="1170">C608</f>
        <v>PC/Laptops SHN</v>
      </c>
      <c r="D955" s="1071" t="str">
        <f t="shared" si="1170"/>
        <v>PC / Laptops</v>
      </c>
      <c r="E955" s="1071" t="str">
        <f t="shared" si="1170"/>
        <v>V003A</v>
      </c>
      <c r="F955" s="1125" t="str">
        <f t="shared" si="1170"/>
        <v>2021-2024</v>
      </c>
      <c r="H955" s="1071" t="s">
        <v>29</v>
      </c>
      <c r="I955" s="1071" t="s">
        <v>79</v>
      </c>
      <c r="AZ955" s="1108"/>
      <c r="BA955" s="1109"/>
      <c r="BB955" s="1109"/>
      <c r="BC955" s="1109"/>
      <c r="BD955" s="1109"/>
      <c r="BE955" s="1109"/>
      <c r="BF955" s="1109">
        <f t="shared" ref="BF955:BJ955" si="1171">BF608*$AW305</f>
        <v>0</v>
      </c>
      <c r="BG955" s="1109">
        <f t="shared" si="1171"/>
        <v>2.3437499999999991</v>
      </c>
      <c r="BH955" s="1109">
        <f t="shared" si="1171"/>
        <v>6.09375</v>
      </c>
      <c r="BI955" s="1109">
        <f t="shared" si="1171"/>
        <v>9.84375</v>
      </c>
      <c r="BJ955" s="1109">
        <f t="shared" si="1171"/>
        <v>11.25</v>
      </c>
    </row>
    <row r="956" spans="2:62" hidden="1" outlineLevel="1">
      <c r="B956" s="1094"/>
      <c r="C956" s="1071" t="str">
        <f t="shared" ref="C956:F956" si="1172">C609</f>
        <v>Upgrades and Contingency IAA Net</v>
      </c>
      <c r="D956" s="1071" t="str">
        <f t="shared" si="1172"/>
        <v>Upgrades and Contingency IAA Net</v>
      </c>
      <c r="E956" s="1071" t="str">
        <f t="shared" si="1172"/>
        <v>S002</v>
      </c>
      <c r="F956" s="1125" t="str">
        <f t="shared" si="1172"/>
        <v>2021-2024</v>
      </c>
      <c r="H956" s="1071" t="s">
        <v>29</v>
      </c>
      <c r="I956" s="1071" t="s">
        <v>79</v>
      </c>
      <c r="AZ956" s="1108"/>
      <c r="BA956" s="1109"/>
      <c r="BB956" s="1109"/>
      <c r="BC956" s="1109"/>
      <c r="BD956" s="1109"/>
      <c r="BE956" s="1109"/>
      <c r="BF956" s="1109">
        <f t="shared" ref="BF956:BJ956" si="1173">BF609*$AW306</f>
        <v>0</v>
      </c>
      <c r="BG956" s="1109">
        <f t="shared" si="1173"/>
        <v>0</v>
      </c>
      <c r="BH956" s="1109">
        <f t="shared" si="1173"/>
        <v>4.6875</v>
      </c>
      <c r="BI956" s="1109">
        <f t="shared" si="1173"/>
        <v>18.75</v>
      </c>
      <c r="BJ956" s="1109">
        <f t="shared" si="1173"/>
        <v>18.75</v>
      </c>
    </row>
    <row r="957" spans="2:62" hidden="1" outlineLevel="1">
      <c r="B957" s="1094"/>
      <c r="C957" s="1071" t="str">
        <f t="shared" ref="C957:F957" si="1174">C610</f>
        <v>New En Route Contingency Facility</v>
      </c>
      <c r="D957" s="1071" t="str">
        <f t="shared" si="1174"/>
        <v>New En Route Contingency Facility</v>
      </c>
      <c r="E957" s="1071" t="str">
        <f t="shared" si="1174"/>
        <v>N004</v>
      </c>
      <c r="F957" s="1125" t="str">
        <f t="shared" si="1174"/>
        <v>2021-2024</v>
      </c>
      <c r="H957" s="1071" t="s">
        <v>29</v>
      </c>
      <c r="I957" s="1071" t="s">
        <v>79</v>
      </c>
      <c r="AZ957" s="1108"/>
      <c r="BA957" s="1109"/>
      <c r="BB957" s="1109"/>
      <c r="BC957" s="1109"/>
      <c r="BD957" s="1109"/>
      <c r="BE957" s="1109"/>
      <c r="BF957" s="1109">
        <f t="shared" ref="BF957:BJ957" si="1175">BF610*$AW307</f>
        <v>0</v>
      </c>
      <c r="BG957" s="1109">
        <f t="shared" si="1175"/>
        <v>0</v>
      </c>
      <c r="BH957" s="1109">
        <f t="shared" si="1175"/>
        <v>0</v>
      </c>
      <c r="BI957" s="1109">
        <f t="shared" si="1175"/>
        <v>0</v>
      </c>
      <c r="BJ957" s="1109">
        <f t="shared" si="1175"/>
        <v>0</v>
      </c>
    </row>
    <row r="958" spans="2:62" hidden="1" outlineLevel="1">
      <c r="B958" s="1094"/>
      <c r="C958" s="1071" t="str">
        <f t="shared" ref="C958:F958" si="1176">C611</f>
        <v>New En Route Contingency Facility - ATM Equipment</v>
      </c>
      <c r="D958" s="1071" t="str">
        <f t="shared" si="1176"/>
        <v>New En Route Contingency Facility</v>
      </c>
      <c r="E958" s="1071" t="str">
        <f t="shared" si="1176"/>
        <v>N004A</v>
      </c>
      <c r="F958" s="1125" t="str">
        <f t="shared" si="1176"/>
        <v>2021-2024</v>
      </c>
      <c r="H958" s="1071" t="s">
        <v>29</v>
      </c>
      <c r="I958" s="1071" t="s">
        <v>79</v>
      </c>
      <c r="AZ958" s="1108"/>
      <c r="BA958" s="1109"/>
      <c r="BB958" s="1109"/>
      <c r="BC958" s="1109"/>
      <c r="BD958" s="1109"/>
      <c r="BE958" s="1109"/>
      <c r="BF958" s="1109">
        <f t="shared" ref="BF958:BJ958" si="1177">BF611*$AW308</f>
        <v>0</v>
      </c>
      <c r="BG958" s="1109">
        <f t="shared" si="1177"/>
        <v>0</v>
      </c>
      <c r="BH958" s="1109">
        <f t="shared" si="1177"/>
        <v>6.1972206250001323</v>
      </c>
      <c r="BI958" s="1109">
        <f t="shared" si="1177"/>
        <v>24.788882500000529</v>
      </c>
      <c r="BJ958" s="1109">
        <f t="shared" si="1177"/>
        <v>24.788882500000529</v>
      </c>
    </row>
    <row r="959" spans="2:62" hidden="1" outlineLevel="1">
      <c r="B959" s="1094"/>
      <c r="C959" s="1071" t="str">
        <f t="shared" ref="C959:F959" si="1178">C612</f>
        <v>New En Route Contingency Facility - Building</v>
      </c>
      <c r="D959" s="1071" t="str">
        <f t="shared" si="1178"/>
        <v>New En Route Contingency Facility</v>
      </c>
      <c r="E959" s="1071" t="str">
        <f t="shared" si="1178"/>
        <v>N004A</v>
      </c>
      <c r="F959" s="1125" t="str">
        <f t="shared" si="1178"/>
        <v>2021-2024</v>
      </c>
      <c r="H959" s="1071" t="s">
        <v>29</v>
      </c>
      <c r="I959" s="1071" t="s">
        <v>79</v>
      </c>
      <c r="AZ959" s="1108"/>
      <c r="BA959" s="1109"/>
      <c r="BB959" s="1109"/>
      <c r="BC959" s="1109"/>
      <c r="BD959" s="1109"/>
      <c r="BE959" s="1109"/>
      <c r="BF959" s="1109">
        <f t="shared" ref="BF959:BJ959" si="1179">BF612*$AW309</f>
        <v>0</v>
      </c>
      <c r="BG959" s="1109">
        <f t="shared" si="1179"/>
        <v>0</v>
      </c>
      <c r="BH959" s="1109">
        <f t="shared" si="1179"/>
        <v>0</v>
      </c>
      <c r="BI959" s="1109">
        <f t="shared" si="1179"/>
        <v>0</v>
      </c>
      <c r="BJ959" s="1109">
        <f t="shared" si="1179"/>
        <v>0</v>
      </c>
    </row>
    <row r="960" spans="2:62" hidden="1" outlineLevel="1">
      <c r="B960" s="1094"/>
      <c r="C960" s="1071" t="str">
        <f t="shared" ref="C960:F960" si="1180">C613</f>
        <v>Shannon Tower MEP</v>
      </c>
      <c r="D960" s="1071" t="str">
        <f t="shared" si="1180"/>
        <v>Shannon Tower MEP</v>
      </c>
      <c r="E960" s="1071" t="str">
        <f t="shared" si="1180"/>
        <v>J004A</v>
      </c>
      <c r="F960" s="1125" t="str">
        <f t="shared" si="1180"/>
        <v>2021-2024</v>
      </c>
      <c r="H960" s="1071" t="s">
        <v>29</v>
      </c>
      <c r="I960" s="1071" t="s">
        <v>79</v>
      </c>
      <c r="AZ960" s="1108"/>
      <c r="BA960" s="1109"/>
      <c r="BB960" s="1109"/>
      <c r="BC960" s="1109"/>
      <c r="BD960" s="1109"/>
      <c r="BE960" s="1109"/>
      <c r="BF960" s="1109">
        <f t="shared" ref="BF960:BJ960" si="1181">BF613*$AW310</f>
        <v>0</v>
      </c>
      <c r="BG960" s="1109">
        <f t="shared" si="1181"/>
        <v>7.1863973437500235</v>
      </c>
      <c r="BH960" s="1109">
        <f t="shared" si="1181"/>
        <v>14.372794687500047</v>
      </c>
      <c r="BI960" s="1109">
        <f t="shared" si="1181"/>
        <v>14.372794687500047</v>
      </c>
      <c r="BJ960" s="1109">
        <f t="shared" si="1181"/>
        <v>14.372794687500047</v>
      </c>
    </row>
    <row r="961" spans="3:62" hidden="1" outlineLevel="1">
      <c r="C961" s="1071" t="str">
        <f t="shared" ref="C961:F961" si="1182">C614</f>
        <v>UMT Drone Protection System</v>
      </c>
      <c r="D961" s="1071" t="str">
        <f t="shared" si="1182"/>
        <v>UMT Drone Protection System</v>
      </c>
      <c r="E961" s="1071" t="str">
        <f t="shared" si="1182"/>
        <v>RP3-FDPS-2</v>
      </c>
      <c r="F961" s="1125" t="str">
        <f t="shared" si="1182"/>
        <v>2021-2024</v>
      </c>
      <c r="H961" s="1071" t="s">
        <v>29</v>
      </c>
      <c r="I961" s="1071" t="s">
        <v>79</v>
      </c>
      <c r="AZ961" s="1108"/>
      <c r="BA961" s="1109"/>
      <c r="BB961" s="1109"/>
      <c r="BC961" s="1109"/>
      <c r="BD961" s="1109"/>
      <c r="BE961" s="1109"/>
      <c r="BF961" s="1109">
        <f t="shared" ref="BF961:BJ961" si="1183">BF614*$AW311</f>
        <v>0</v>
      </c>
      <c r="BG961" s="1109">
        <f t="shared" si="1183"/>
        <v>0</v>
      </c>
      <c r="BH961" s="1109">
        <f t="shared" si="1183"/>
        <v>0</v>
      </c>
      <c r="BI961" s="1109">
        <f t="shared" si="1183"/>
        <v>0</v>
      </c>
      <c r="BJ961" s="1109">
        <f t="shared" si="1183"/>
        <v>0</v>
      </c>
    </row>
    <row r="962" spans="3:62" hidden="1" outlineLevel="1">
      <c r="C962" s="1071" t="str">
        <f t="shared" ref="C962:F962" si="1184">C615</f>
        <v>Enhancements to Financial Management Systems</v>
      </c>
      <c r="D962" s="1071" t="str">
        <f t="shared" si="1184"/>
        <v>Enhancements to Financial Management Systems</v>
      </c>
      <c r="E962" s="1071" t="str">
        <f t="shared" si="1184"/>
        <v>Q019</v>
      </c>
      <c r="F962" s="1125" t="str">
        <f t="shared" si="1184"/>
        <v>2021-2024</v>
      </c>
      <c r="H962" s="1071" t="s">
        <v>29</v>
      </c>
      <c r="I962" s="1071" t="s">
        <v>79</v>
      </c>
      <c r="AZ962" s="1108"/>
      <c r="BA962" s="1109"/>
      <c r="BB962" s="1109"/>
      <c r="BC962" s="1109"/>
      <c r="BD962" s="1109"/>
      <c r="BE962" s="1109"/>
      <c r="BF962" s="1109">
        <f t="shared" ref="BF962:BJ962" si="1185">BF615*$AW312</f>
        <v>0</v>
      </c>
      <c r="BG962" s="1109">
        <f t="shared" si="1185"/>
        <v>0</v>
      </c>
      <c r="BH962" s="1109">
        <f t="shared" si="1185"/>
        <v>0</v>
      </c>
      <c r="BI962" s="1109">
        <f t="shared" si="1185"/>
        <v>13.6875</v>
      </c>
      <c r="BJ962" s="1109">
        <f t="shared" si="1185"/>
        <v>13.6875</v>
      </c>
    </row>
    <row r="963" spans="3:62" hidden="1" outlineLevel="1">
      <c r="C963" s="1071" t="str">
        <f t="shared" ref="C963:F963" si="1186">C616</f>
        <v>Quadrant Roof-Light in Dublin ACC</v>
      </c>
      <c r="D963" s="1071" t="str">
        <f t="shared" si="1186"/>
        <v>Quadrant Roof-Light in Dublin ACC</v>
      </c>
      <c r="E963" s="1071" t="str">
        <f t="shared" si="1186"/>
        <v>S020</v>
      </c>
      <c r="F963" s="1125" t="str">
        <f t="shared" si="1186"/>
        <v>2021-2024</v>
      </c>
      <c r="H963" s="1071" t="s">
        <v>29</v>
      </c>
      <c r="I963" s="1071" t="s">
        <v>79</v>
      </c>
      <c r="AZ963" s="1108"/>
      <c r="BA963" s="1109"/>
      <c r="BB963" s="1109"/>
      <c r="BC963" s="1109"/>
      <c r="BD963" s="1109"/>
      <c r="BE963" s="1109"/>
      <c r="BF963" s="1109">
        <f t="shared" ref="BF963:BJ963" si="1187">BF616*$AW313</f>
        <v>0</v>
      </c>
      <c r="BG963" s="1109">
        <f t="shared" si="1187"/>
        <v>0</v>
      </c>
      <c r="BH963" s="1109">
        <f t="shared" si="1187"/>
        <v>12.1875</v>
      </c>
      <c r="BI963" s="1109">
        <f t="shared" si="1187"/>
        <v>12.1875</v>
      </c>
      <c r="BJ963" s="1109">
        <f t="shared" si="1187"/>
        <v>12.1875</v>
      </c>
    </row>
    <row r="964" spans="3:62" hidden="1" outlineLevel="1">
      <c r="C964" s="1071" t="str">
        <f t="shared" ref="C964:F964" si="1188">C617</f>
        <v>Generator replacement project</v>
      </c>
      <c r="D964" s="1071" t="str">
        <f t="shared" si="1188"/>
        <v>Generator replacement project</v>
      </c>
      <c r="E964" s="1071" t="str">
        <f t="shared" si="1188"/>
        <v>U010</v>
      </c>
      <c r="F964" s="1125" t="str">
        <f t="shared" si="1188"/>
        <v>2021-2024</v>
      </c>
      <c r="H964" s="1071" t="s">
        <v>29</v>
      </c>
      <c r="I964" s="1071" t="s">
        <v>79</v>
      </c>
      <c r="AZ964" s="1108"/>
      <c r="BA964" s="1109"/>
      <c r="BB964" s="1109"/>
      <c r="BC964" s="1109"/>
      <c r="BD964" s="1109"/>
      <c r="BE964" s="1109"/>
      <c r="BF964" s="1109">
        <f t="shared" ref="BF964:BJ964" si="1189">BF617*$AW314</f>
        <v>0</v>
      </c>
      <c r="BG964" s="1109">
        <f t="shared" si="1189"/>
        <v>2.6953125</v>
      </c>
      <c r="BH964" s="1109">
        <f t="shared" si="1189"/>
        <v>10.78125</v>
      </c>
      <c r="BI964" s="1109">
        <f t="shared" si="1189"/>
        <v>10.78125</v>
      </c>
      <c r="BJ964" s="1109">
        <f t="shared" si="1189"/>
        <v>10.78125</v>
      </c>
    </row>
    <row r="965" spans="3:62" hidden="1" outlineLevel="1">
      <c r="C965" s="1071" t="str">
        <f t="shared" ref="C965:F965" si="1190">C618</f>
        <v>Replacement of COOPANS Hardware</v>
      </c>
      <c r="D965" s="1071" t="str">
        <f t="shared" si="1190"/>
        <v>COOPANS Hardware</v>
      </c>
      <c r="E965" s="1071" t="str">
        <f t="shared" si="1190"/>
        <v>Q001</v>
      </c>
      <c r="F965" s="1125" t="str">
        <f t="shared" si="1190"/>
        <v>2021-2024</v>
      </c>
      <c r="H965" s="1071" t="s">
        <v>29</v>
      </c>
      <c r="I965" s="1071" t="s">
        <v>79</v>
      </c>
      <c r="AZ965" s="1108"/>
      <c r="BA965" s="1109"/>
      <c r="BB965" s="1109"/>
      <c r="BC965" s="1109"/>
      <c r="BD965" s="1109"/>
      <c r="BE965" s="1109"/>
      <c r="BF965" s="1109">
        <f t="shared" ref="BF965:BJ965" si="1191">BF618*$AW315</f>
        <v>0</v>
      </c>
      <c r="BG965" s="1109">
        <f t="shared" si="1191"/>
        <v>0</v>
      </c>
      <c r="BH965" s="1109">
        <f t="shared" si="1191"/>
        <v>0</v>
      </c>
      <c r="BI965" s="1109">
        <f t="shared" si="1191"/>
        <v>0</v>
      </c>
      <c r="BJ965" s="1109">
        <f t="shared" si="1191"/>
        <v>0</v>
      </c>
    </row>
    <row r="966" spans="3:62" hidden="1" outlineLevel="1">
      <c r="C966" s="1071" t="str">
        <f t="shared" ref="C966:F966" si="1192">C619</f>
        <v>COOPANS HARDWARE Shannon</v>
      </c>
      <c r="D966" s="1071" t="str">
        <f t="shared" si="1192"/>
        <v>COOPANS Hardware</v>
      </c>
      <c r="E966" s="1071" t="str">
        <f t="shared" si="1192"/>
        <v>Q001A</v>
      </c>
      <c r="F966" s="1125" t="str">
        <f t="shared" si="1192"/>
        <v>2021-2024</v>
      </c>
      <c r="H966" s="1071" t="s">
        <v>29</v>
      </c>
      <c r="I966" s="1071" t="s">
        <v>79</v>
      </c>
      <c r="AZ966" s="1108"/>
      <c r="BA966" s="1109"/>
      <c r="BB966" s="1109"/>
      <c r="BC966" s="1109"/>
      <c r="BD966" s="1109"/>
      <c r="BE966" s="1109"/>
      <c r="BF966" s="1109">
        <f t="shared" ref="BF966:BJ966" si="1193">BF619*$AW316</f>
        <v>0</v>
      </c>
      <c r="BG966" s="1109">
        <f t="shared" si="1193"/>
        <v>3.6219373809523967</v>
      </c>
      <c r="BH966" s="1109">
        <f t="shared" si="1193"/>
        <v>4.7938123809523967</v>
      </c>
      <c r="BI966" s="1109">
        <f t="shared" si="1193"/>
        <v>4.7938123809523967</v>
      </c>
      <c r="BJ966" s="1109">
        <f t="shared" si="1193"/>
        <v>4.7938123809523967</v>
      </c>
    </row>
    <row r="967" spans="3:62" hidden="1" outlineLevel="1">
      <c r="C967" s="1071" t="str">
        <f t="shared" ref="C967:F967" si="1194">C620</f>
        <v>COOPANS HARDWARE Dublin</v>
      </c>
      <c r="D967" s="1071" t="str">
        <f t="shared" si="1194"/>
        <v>COOPANS Hardware</v>
      </c>
      <c r="E967" s="1071" t="str">
        <f t="shared" si="1194"/>
        <v>Q001A</v>
      </c>
      <c r="F967" s="1125" t="str">
        <f t="shared" si="1194"/>
        <v>2021-2024</v>
      </c>
      <c r="H967" s="1071" t="s">
        <v>29</v>
      </c>
      <c r="I967" s="1071" t="s">
        <v>79</v>
      </c>
      <c r="AZ967" s="1108"/>
      <c r="BA967" s="1109"/>
      <c r="BB967" s="1109"/>
      <c r="BC967" s="1109"/>
      <c r="BD967" s="1109"/>
      <c r="BE967" s="1109"/>
      <c r="BF967" s="1109">
        <f t="shared" ref="BF967:BJ967" si="1195">BF620*$AW317</f>
        <v>0</v>
      </c>
      <c r="BG967" s="1109">
        <f t="shared" si="1195"/>
        <v>3.515625</v>
      </c>
      <c r="BH967" s="1109">
        <f t="shared" si="1195"/>
        <v>4.6875</v>
      </c>
      <c r="BI967" s="1109">
        <f t="shared" si="1195"/>
        <v>4.6875</v>
      </c>
      <c r="BJ967" s="1109">
        <f t="shared" si="1195"/>
        <v>4.6875</v>
      </c>
    </row>
    <row r="968" spans="3:62" hidden="1" outlineLevel="1">
      <c r="C968" s="1071" t="str">
        <f t="shared" ref="C968:F968" si="1196">C621</f>
        <v>PABX Infrastructure Upgrade BCY/CRK</v>
      </c>
      <c r="D968" s="1071" t="str">
        <f t="shared" si="1196"/>
        <v>PABX Infrastructure Upgrade BCY/CRK</v>
      </c>
      <c r="E968" s="1071" t="str">
        <f t="shared" si="1196"/>
        <v>S009</v>
      </c>
      <c r="F968" s="1125" t="str">
        <f t="shared" si="1196"/>
        <v>2021-2024</v>
      </c>
      <c r="H968" s="1071" t="s">
        <v>29</v>
      </c>
      <c r="I968" s="1071" t="s">
        <v>79</v>
      </c>
      <c r="AZ968" s="1108"/>
      <c r="BA968" s="1109"/>
      <c r="BB968" s="1109"/>
      <c r="BC968" s="1109"/>
      <c r="BD968" s="1109"/>
      <c r="BE968" s="1109"/>
      <c r="BF968" s="1109">
        <f t="shared" ref="BF968:BJ968" si="1197">BF621*$AW318</f>
        <v>0</v>
      </c>
      <c r="BG968" s="1109">
        <f t="shared" si="1197"/>
        <v>0</v>
      </c>
      <c r="BH968" s="1109">
        <f t="shared" si="1197"/>
        <v>2.34375</v>
      </c>
      <c r="BI968" s="1109">
        <f t="shared" si="1197"/>
        <v>9.375</v>
      </c>
      <c r="BJ968" s="1109">
        <f t="shared" si="1197"/>
        <v>9.375</v>
      </c>
    </row>
    <row r="969" spans="3:62" hidden="1" outlineLevel="1">
      <c r="C969" s="1071" t="str">
        <f t="shared" ref="C969:F969" si="1198">C622</f>
        <v>Test Equipment</v>
      </c>
      <c r="D969" s="1071" t="str">
        <f t="shared" si="1198"/>
        <v>Test Equipment</v>
      </c>
      <c r="E969" s="1071" t="str">
        <f t="shared" si="1198"/>
        <v>T003</v>
      </c>
      <c r="F969" s="1125" t="str">
        <f t="shared" si="1198"/>
        <v>2021-2024</v>
      </c>
      <c r="H969" s="1071" t="s">
        <v>29</v>
      </c>
      <c r="I969" s="1071" t="s">
        <v>79</v>
      </c>
      <c r="AZ969" s="1108"/>
      <c r="BA969" s="1109"/>
      <c r="BB969" s="1109"/>
      <c r="BC969" s="1109"/>
      <c r="BD969" s="1109"/>
      <c r="BE969" s="1109"/>
      <c r="BF969" s="1109">
        <f t="shared" ref="BF969:BJ969" si="1199">BF622*$AW319</f>
        <v>0</v>
      </c>
      <c r="BG969" s="1109">
        <f t="shared" si="1199"/>
        <v>3.75</v>
      </c>
      <c r="BH969" s="1109">
        <f t="shared" si="1199"/>
        <v>15</v>
      </c>
      <c r="BI969" s="1109">
        <f t="shared" si="1199"/>
        <v>15</v>
      </c>
      <c r="BJ969" s="1109">
        <f t="shared" si="1199"/>
        <v>15</v>
      </c>
    </row>
    <row r="970" spans="3:62" hidden="1" outlineLevel="1">
      <c r="C970" s="1071" t="str">
        <f t="shared" ref="C970:F970" si="1200">C623</f>
        <v>Multifunctional Devices - Network Printers</v>
      </c>
      <c r="D970" s="1071" t="str">
        <f t="shared" si="1200"/>
        <v>Multifunctional Devices - Network Printers</v>
      </c>
      <c r="E970" s="1071" t="str">
        <f t="shared" si="1200"/>
        <v>U017</v>
      </c>
      <c r="F970" s="1125" t="str">
        <f t="shared" si="1200"/>
        <v>2021-2024</v>
      </c>
      <c r="H970" s="1071" t="s">
        <v>29</v>
      </c>
      <c r="I970" s="1071" t="s">
        <v>79</v>
      </c>
      <c r="AZ970" s="1108"/>
      <c r="BA970" s="1109"/>
      <c r="BB970" s="1109"/>
      <c r="BC970" s="1109"/>
      <c r="BD970" s="1109"/>
      <c r="BE970" s="1109"/>
      <c r="BF970" s="1109">
        <f t="shared" ref="BF970:BJ970" si="1201">BF623*$AW320</f>
        <v>0</v>
      </c>
      <c r="BG970" s="1109">
        <f t="shared" si="1201"/>
        <v>2.7374999999999998</v>
      </c>
      <c r="BH970" s="1109">
        <f t="shared" si="1201"/>
        <v>13.6875</v>
      </c>
      <c r="BI970" s="1109">
        <f t="shared" si="1201"/>
        <v>14.6</v>
      </c>
      <c r="BJ970" s="1109">
        <f t="shared" si="1201"/>
        <v>14.6</v>
      </c>
    </row>
    <row r="971" spans="3:62" hidden="1" outlineLevel="1">
      <c r="C971" s="1071" t="str">
        <f t="shared" ref="C971:F971" si="1202">C624</f>
        <v>Virtual Environment Server Replacements</v>
      </c>
      <c r="D971" s="1071" t="str">
        <f t="shared" si="1202"/>
        <v>Virtual Environment Server Replacements</v>
      </c>
      <c r="E971" s="1071" t="str">
        <f t="shared" si="1202"/>
        <v>U018</v>
      </c>
      <c r="F971" s="1125" t="str">
        <f t="shared" si="1202"/>
        <v>2021-2024</v>
      </c>
      <c r="H971" s="1071" t="s">
        <v>29</v>
      </c>
      <c r="I971" s="1071" t="s">
        <v>79</v>
      </c>
      <c r="AZ971" s="1108"/>
      <c r="BA971" s="1109"/>
      <c r="BB971" s="1109"/>
      <c r="BC971" s="1109"/>
      <c r="BD971" s="1109"/>
      <c r="BE971" s="1109"/>
      <c r="BF971" s="1109">
        <f t="shared" ref="BF971:BJ971" si="1203">BF624*$AW321</f>
        <v>0</v>
      </c>
      <c r="BG971" s="1109">
        <f t="shared" si="1203"/>
        <v>4.5625</v>
      </c>
      <c r="BH971" s="1109">
        <f t="shared" si="1203"/>
        <v>22.8125</v>
      </c>
      <c r="BI971" s="1109">
        <f t="shared" si="1203"/>
        <v>24.333333333333336</v>
      </c>
      <c r="BJ971" s="1109">
        <f t="shared" si="1203"/>
        <v>19.770833333333332</v>
      </c>
    </row>
    <row r="972" spans="3:62" hidden="1" outlineLevel="1">
      <c r="C972" s="1071" t="str">
        <f t="shared" ref="C972:F972" si="1204">C625</f>
        <v>Server Replacements</v>
      </c>
      <c r="D972" s="1071" t="str">
        <f t="shared" si="1204"/>
        <v>Server Replacements</v>
      </c>
      <c r="E972" s="1071" t="str">
        <f t="shared" si="1204"/>
        <v>T019</v>
      </c>
      <c r="F972" s="1125" t="str">
        <f t="shared" si="1204"/>
        <v>2021-2024</v>
      </c>
      <c r="H972" s="1071" t="s">
        <v>29</v>
      </c>
      <c r="I972" s="1071" t="s">
        <v>79</v>
      </c>
      <c r="AZ972" s="1108"/>
      <c r="BA972" s="1109"/>
      <c r="BB972" s="1109"/>
      <c r="BC972" s="1109"/>
      <c r="BD972" s="1109"/>
      <c r="BE972" s="1109"/>
      <c r="BF972" s="1109">
        <f t="shared" ref="BF972:BJ972" si="1205">BF625*$AW322</f>
        <v>0</v>
      </c>
      <c r="BG972" s="1109">
        <f t="shared" si="1205"/>
        <v>0</v>
      </c>
      <c r="BH972" s="1109">
        <f t="shared" si="1205"/>
        <v>0</v>
      </c>
      <c r="BI972" s="1109">
        <f t="shared" si="1205"/>
        <v>0</v>
      </c>
      <c r="BJ972" s="1109">
        <f t="shared" si="1205"/>
        <v>0</v>
      </c>
    </row>
    <row r="973" spans="3:62" hidden="1" outlineLevel="1">
      <c r="C973" s="1071" t="str">
        <f t="shared" ref="C973:F973" si="1206">C626</f>
        <v>Server Replacements HQ</v>
      </c>
      <c r="D973" s="1071" t="str">
        <f t="shared" si="1206"/>
        <v>Server Replacements</v>
      </c>
      <c r="E973" s="1071" t="str">
        <f t="shared" si="1206"/>
        <v>T019A</v>
      </c>
      <c r="F973" s="1125" t="str">
        <f t="shared" si="1206"/>
        <v>2021-2024</v>
      </c>
      <c r="H973" s="1071" t="s">
        <v>29</v>
      </c>
      <c r="I973" s="1071" t="s">
        <v>79</v>
      </c>
      <c r="AZ973" s="1108"/>
      <c r="BA973" s="1109"/>
      <c r="BB973" s="1109"/>
      <c r="BC973" s="1109"/>
      <c r="BD973" s="1109"/>
      <c r="BE973" s="1109"/>
      <c r="BF973" s="1109">
        <f t="shared" ref="BF973:BJ973" si="1207">BF626*$AW323</f>
        <v>0</v>
      </c>
      <c r="BG973" s="1109">
        <f t="shared" si="1207"/>
        <v>6.0390466666666658</v>
      </c>
      <c r="BH973" s="1109">
        <f t="shared" si="1207"/>
        <v>24.156186666666663</v>
      </c>
      <c r="BI973" s="1109">
        <f t="shared" si="1207"/>
        <v>24.156186666666663</v>
      </c>
      <c r="BJ973" s="1109">
        <f t="shared" si="1207"/>
        <v>18.117139999999999</v>
      </c>
    </row>
    <row r="974" spans="3:62" hidden="1" outlineLevel="1">
      <c r="C974" s="1071" t="str">
        <f t="shared" ref="C974:F974" si="1208">C627</f>
        <v>Server Replacements BCY</v>
      </c>
      <c r="D974" s="1071" t="str">
        <f t="shared" si="1208"/>
        <v>Server Replacements</v>
      </c>
      <c r="E974" s="1071" t="str">
        <f t="shared" si="1208"/>
        <v>T019A</v>
      </c>
      <c r="F974" s="1125" t="str">
        <f t="shared" si="1208"/>
        <v>2021-2024</v>
      </c>
      <c r="H974" s="1071" t="s">
        <v>29</v>
      </c>
      <c r="I974" s="1071" t="s">
        <v>79</v>
      </c>
      <c r="AZ974" s="1108"/>
      <c r="BA974" s="1109"/>
      <c r="BB974" s="1109"/>
      <c r="BC974" s="1109"/>
      <c r="BD974" s="1109"/>
      <c r="BE974" s="1109"/>
      <c r="BF974" s="1109">
        <f t="shared" ref="BF974:BJ974" si="1209">BF627*$AW324</f>
        <v>0</v>
      </c>
      <c r="BG974" s="1109">
        <f t="shared" si="1209"/>
        <v>0</v>
      </c>
      <c r="BH974" s="1109">
        <f t="shared" si="1209"/>
        <v>0</v>
      </c>
      <c r="BI974" s="1109">
        <f t="shared" si="1209"/>
        <v>0</v>
      </c>
      <c r="BJ974" s="1109">
        <f t="shared" si="1209"/>
        <v>0</v>
      </c>
    </row>
    <row r="975" spans="3:62" hidden="1" outlineLevel="1">
      <c r="C975" s="1071" t="str">
        <f t="shared" ref="C975:F975" si="1210">C628</f>
        <v>Essential Security Upgrades</v>
      </c>
      <c r="D975" s="1071" t="str">
        <f t="shared" si="1210"/>
        <v>Essential Security Upgrades</v>
      </c>
      <c r="E975" s="1071" t="str">
        <f t="shared" si="1210"/>
        <v>T009</v>
      </c>
      <c r="F975" s="1125" t="str">
        <f t="shared" si="1210"/>
        <v>2021-2024</v>
      </c>
      <c r="H975" s="1071" t="s">
        <v>29</v>
      </c>
      <c r="I975" s="1071" t="s">
        <v>79</v>
      </c>
      <c r="AZ975" s="1108"/>
      <c r="BA975" s="1109"/>
      <c r="BB975" s="1109"/>
      <c r="BC975" s="1109"/>
      <c r="BD975" s="1109"/>
      <c r="BE975" s="1109"/>
      <c r="BF975" s="1109">
        <f t="shared" ref="BF975:BJ975" si="1211">BF628*$AW325</f>
        <v>0</v>
      </c>
      <c r="BG975" s="1109">
        <f t="shared" si="1211"/>
        <v>0</v>
      </c>
      <c r="BH975" s="1109">
        <f t="shared" si="1211"/>
        <v>0</v>
      </c>
      <c r="BI975" s="1109">
        <f t="shared" si="1211"/>
        <v>0</v>
      </c>
      <c r="BJ975" s="1109">
        <f t="shared" si="1211"/>
        <v>0</v>
      </c>
    </row>
    <row r="976" spans="3:62" hidden="1" outlineLevel="1">
      <c r="C976" s="1071" t="str">
        <f t="shared" ref="C976:F976" si="1212">C629</f>
        <v>Essential Security Upgrades DUB</v>
      </c>
      <c r="D976" s="1071" t="str">
        <f t="shared" si="1212"/>
        <v>Essential Security Upgrades</v>
      </c>
      <c r="E976" s="1071" t="str">
        <f t="shared" si="1212"/>
        <v>T009A</v>
      </c>
      <c r="F976" s="1125" t="str">
        <f t="shared" si="1212"/>
        <v>2021-2024</v>
      </c>
      <c r="H976" s="1071" t="s">
        <v>29</v>
      </c>
      <c r="I976" s="1071" t="s">
        <v>79</v>
      </c>
      <c r="AZ976" s="1108"/>
      <c r="BA976" s="1109"/>
      <c r="BB976" s="1109"/>
      <c r="BC976" s="1109"/>
      <c r="BD976" s="1109"/>
      <c r="BE976" s="1109"/>
      <c r="BF976" s="1109">
        <f t="shared" ref="BF976:BJ976" si="1213">BF629*$AW326</f>
        <v>0</v>
      </c>
      <c r="BG976" s="1109">
        <f t="shared" si="1213"/>
        <v>2.8083750000000003</v>
      </c>
      <c r="BH976" s="1109">
        <f t="shared" si="1213"/>
        <v>5.6167500000000006</v>
      </c>
      <c r="BI976" s="1109">
        <f t="shared" si="1213"/>
        <v>5.6167500000000006</v>
      </c>
      <c r="BJ976" s="1109">
        <f t="shared" si="1213"/>
        <v>5.6167500000000006</v>
      </c>
    </row>
    <row r="977" spans="3:62" hidden="1" outlineLevel="1">
      <c r="C977" s="1071" t="str">
        <f t="shared" ref="C977:F977" si="1214">C630</f>
        <v>Essential Security Upgrades Cork</v>
      </c>
      <c r="D977" s="1071" t="str">
        <f t="shared" si="1214"/>
        <v>Essential Security Upgrades</v>
      </c>
      <c r="E977" s="1071" t="str">
        <f t="shared" si="1214"/>
        <v>T009A</v>
      </c>
      <c r="F977" s="1125" t="str">
        <f t="shared" si="1214"/>
        <v>2021-2024</v>
      </c>
      <c r="H977" s="1071" t="s">
        <v>29</v>
      </c>
      <c r="I977" s="1071" t="s">
        <v>79</v>
      </c>
      <c r="AZ977" s="1108"/>
      <c r="BA977" s="1109"/>
      <c r="BB977" s="1109"/>
      <c r="BC977" s="1109"/>
      <c r="BD977" s="1109"/>
      <c r="BE977" s="1109"/>
      <c r="BF977" s="1109">
        <f t="shared" ref="BF977:BJ977" si="1215">BF630*$AW327</f>
        <v>0</v>
      </c>
      <c r="BG977" s="1109">
        <f t="shared" si="1215"/>
        <v>0</v>
      </c>
      <c r="BH977" s="1109">
        <f t="shared" si="1215"/>
        <v>0</v>
      </c>
      <c r="BI977" s="1109">
        <f t="shared" si="1215"/>
        <v>0</v>
      </c>
      <c r="BJ977" s="1109">
        <f t="shared" si="1215"/>
        <v>0</v>
      </c>
    </row>
    <row r="978" spans="3:62" hidden="1" outlineLevel="1">
      <c r="C978" s="1071" t="str">
        <f t="shared" ref="C978:F978" si="1216">C631</f>
        <v>Essential Security Upgrades SHN</v>
      </c>
      <c r="D978" s="1071" t="str">
        <f t="shared" si="1216"/>
        <v>Essential Security Upgrades</v>
      </c>
      <c r="E978" s="1071" t="str">
        <f t="shared" si="1216"/>
        <v>T009A</v>
      </c>
      <c r="F978" s="1125" t="str">
        <f t="shared" si="1216"/>
        <v>2021-2024</v>
      </c>
      <c r="H978" s="1071" t="s">
        <v>29</v>
      </c>
      <c r="I978" s="1071" t="s">
        <v>79</v>
      </c>
      <c r="AZ978" s="1108"/>
      <c r="BA978" s="1109"/>
      <c r="BB978" s="1109"/>
      <c r="BC978" s="1109"/>
      <c r="BD978" s="1109"/>
      <c r="BE978" s="1109"/>
      <c r="BF978" s="1109">
        <f t="shared" ref="BF978:BJ978" si="1217">BF631*$AW328</f>
        <v>0</v>
      </c>
      <c r="BG978" s="1109">
        <f t="shared" si="1217"/>
        <v>5.5268999999999995</v>
      </c>
      <c r="BH978" s="1109">
        <f t="shared" si="1217"/>
        <v>11.053799999999999</v>
      </c>
      <c r="BI978" s="1109">
        <f t="shared" si="1217"/>
        <v>11.053799999999999</v>
      </c>
      <c r="BJ978" s="1109">
        <f t="shared" si="1217"/>
        <v>11.053799999999999</v>
      </c>
    </row>
    <row r="979" spans="3:62" hidden="1" outlineLevel="1">
      <c r="C979" s="1071" t="str">
        <f t="shared" ref="C979:F979" si="1218">C632</f>
        <v>Network test equipment</v>
      </c>
      <c r="D979" s="1071" t="str">
        <f t="shared" si="1218"/>
        <v>Network test equipment</v>
      </c>
      <c r="E979" s="1071" t="str">
        <f t="shared" si="1218"/>
        <v>U009</v>
      </c>
      <c r="F979" s="1125" t="str">
        <f t="shared" si="1218"/>
        <v>2021-2024</v>
      </c>
      <c r="H979" s="1071" t="s">
        <v>29</v>
      </c>
      <c r="I979" s="1071" t="s">
        <v>79</v>
      </c>
      <c r="AZ979" s="1108"/>
      <c r="BA979" s="1109"/>
      <c r="BB979" s="1109"/>
      <c r="BC979" s="1109"/>
      <c r="BD979" s="1109"/>
      <c r="BE979" s="1109"/>
      <c r="BF979" s="1109">
        <f t="shared" ref="BF979:BJ979" si="1219">BF632*$AW329</f>
        <v>0</v>
      </c>
      <c r="BG979" s="1109">
        <f t="shared" si="1219"/>
        <v>0</v>
      </c>
      <c r="BH979" s="1109">
        <f t="shared" si="1219"/>
        <v>0</v>
      </c>
      <c r="BI979" s="1109">
        <f t="shared" si="1219"/>
        <v>3.375</v>
      </c>
      <c r="BJ979" s="1109">
        <f t="shared" si="1219"/>
        <v>13.5</v>
      </c>
    </row>
    <row r="980" spans="3:62" hidden="1" outlineLevel="1">
      <c r="C980" s="1071" t="str">
        <f t="shared" ref="C980:F980" si="1220">C633</f>
        <v>Audio visual rooms</v>
      </c>
      <c r="D980" s="1071" t="str">
        <f t="shared" si="1220"/>
        <v>Audio visual rooms</v>
      </c>
      <c r="E980" s="1071" t="str">
        <f t="shared" si="1220"/>
        <v>S026</v>
      </c>
      <c r="F980" s="1125" t="str">
        <f t="shared" si="1220"/>
        <v>2021-2024</v>
      </c>
      <c r="H980" s="1071" t="s">
        <v>29</v>
      </c>
      <c r="I980" s="1071" t="s">
        <v>79</v>
      </c>
      <c r="AZ980" s="1108"/>
      <c r="BA980" s="1109"/>
      <c r="BB980" s="1109"/>
      <c r="BC980" s="1109"/>
      <c r="BD980" s="1109"/>
      <c r="BE980" s="1109"/>
      <c r="BF980" s="1109">
        <f t="shared" ref="BF980:BJ980" si="1221">BF633*$AW330</f>
        <v>0</v>
      </c>
      <c r="BG980" s="1109">
        <f t="shared" si="1221"/>
        <v>5.4749999999999996</v>
      </c>
      <c r="BH980" s="1109">
        <f t="shared" si="1221"/>
        <v>21.9</v>
      </c>
      <c r="BI980" s="1109">
        <f t="shared" si="1221"/>
        <v>21.9</v>
      </c>
      <c r="BJ980" s="1109">
        <f t="shared" si="1221"/>
        <v>16.425000000000001</v>
      </c>
    </row>
    <row r="981" spans="3:62" hidden="1" outlineLevel="1">
      <c r="C981" s="1071" t="str">
        <f t="shared" ref="C981:F981" si="1222">C634</f>
        <v>Migration of FMTP from IPv4 to IPv6</v>
      </c>
      <c r="D981" s="1071" t="str">
        <f t="shared" si="1222"/>
        <v>Migration of FMTP from IPv4 to IPv6</v>
      </c>
      <c r="E981" s="1071" t="str">
        <f t="shared" si="1222"/>
        <v>Q004</v>
      </c>
      <c r="F981" s="1125" t="str">
        <f t="shared" si="1222"/>
        <v>2021-2024</v>
      </c>
      <c r="H981" s="1071" t="s">
        <v>29</v>
      </c>
      <c r="I981" s="1071" t="s">
        <v>79</v>
      </c>
      <c r="AZ981" s="1108"/>
      <c r="BA981" s="1109"/>
      <c r="BB981" s="1109"/>
      <c r="BC981" s="1109"/>
      <c r="BD981" s="1109"/>
      <c r="BE981" s="1109"/>
      <c r="BF981" s="1109">
        <f t="shared" ref="BF981:BJ981" si="1223">BF634*$AW331</f>
        <v>0</v>
      </c>
      <c r="BG981" s="1109">
        <f t="shared" si="1223"/>
        <v>1.9642253906250002</v>
      </c>
      <c r="BH981" s="1109">
        <f t="shared" si="1223"/>
        <v>7.8569015625000009</v>
      </c>
      <c r="BI981" s="1109">
        <f t="shared" si="1223"/>
        <v>7.8569015625000009</v>
      </c>
      <c r="BJ981" s="1109">
        <f t="shared" si="1223"/>
        <v>7.8569015625000009</v>
      </c>
    </row>
    <row r="982" spans="3:62" hidden="1" outlineLevel="1">
      <c r="C982" s="1071" t="str">
        <f t="shared" ref="C982:F982" si="1224">C635</f>
        <v>PABX Infrastructure</v>
      </c>
      <c r="D982" s="1071" t="str">
        <f t="shared" si="1224"/>
        <v>PABX Infrastructure</v>
      </c>
      <c r="E982" s="1071" t="str">
        <f t="shared" si="1224"/>
        <v>P005</v>
      </c>
      <c r="F982" s="1125" t="str">
        <f t="shared" si="1224"/>
        <v>2021-2024</v>
      </c>
      <c r="H982" s="1071" t="s">
        <v>29</v>
      </c>
      <c r="I982" s="1071" t="s">
        <v>79</v>
      </c>
      <c r="AZ982" s="1108"/>
      <c r="BA982" s="1109"/>
      <c r="BB982" s="1109"/>
      <c r="BC982" s="1109"/>
      <c r="BD982" s="1109"/>
      <c r="BE982" s="1109"/>
      <c r="BF982" s="1109">
        <f t="shared" ref="BF982:BJ982" si="1225">BF635*$AW332</f>
        <v>0</v>
      </c>
      <c r="BG982" s="1109">
        <f t="shared" si="1225"/>
        <v>3.8248551562500004</v>
      </c>
      <c r="BH982" s="1109">
        <f t="shared" si="1225"/>
        <v>7.6497103125000008</v>
      </c>
      <c r="BI982" s="1109">
        <f t="shared" si="1225"/>
        <v>7.6497103125000008</v>
      </c>
      <c r="BJ982" s="1109">
        <f t="shared" si="1225"/>
        <v>7.6497103125000008</v>
      </c>
    </row>
    <row r="983" spans="3:62" hidden="1" outlineLevel="1">
      <c r="C983" s="1071" t="str">
        <f t="shared" ref="C983:F983" si="1226">C636</f>
        <v>Gerator Upgrade Programme</v>
      </c>
      <c r="D983" s="1071" t="str">
        <f t="shared" si="1226"/>
        <v>Gerator Upgrade Programme</v>
      </c>
      <c r="E983" s="1071" t="str">
        <f t="shared" si="1226"/>
        <v>T004</v>
      </c>
      <c r="F983" s="1125" t="str">
        <f t="shared" si="1226"/>
        <v>2021-2024</v>
      </c>
      <c r="H983" s="1071" t="s">
        <v>29</v>
      </c>
      <c r="I983" s="1071" t="s">
        <v>79</v>
      </c>
      <c r="AZ983" s="1108"/>
      <c r="BA983" s="1109"/>
      <c r="BB983" s="1109"/>
      <c r="BC983" s="1109"/>
      <c r="BD983" s="1109"/>
      <c r="BE983" s="1109"/>
      <c r="BF983" s="1109">
        <f t="shared" ref="BF983:BJ983" si="1227">BF636*$AW333</f>
        <v>0</v>
      </c>
      <c r="BG983" s="1109">
        <f t="shared" si="1227"/>
        <v>0</v>
      </c>
      <c r="BH983" s="1109">
        <f t="shared" si="1227"/>
        <v>0</v>
      </c>
      <c r="BI983" s="1109">
        <f t="shared" si="1227"/>
        <v>0</v>
      </c>
      <c r="BJ983" s="1109">
        <f t="shared" si="1227"/>
        <v>0</v>
      </c>
    </row>
    <row r="984" spans="3:62" hidden="1" outlineLevel="1">
      <c r="C984" s="1071" t="str">
        <f t="shared" ref="C984:F984" si="1228">C637</f>
        <v>Gerator Upgrade Programme - Woodcock Hill</v>
      </c>
      <c r="D984" s="1071" t="str">
        <f t="shared" si="1228"/>
        <v>Gerator Upgrade Programme</v>
      </c>
      <c r="E984" s="1071" t="str">
        <f t="shared" si="1228"/>
        <v>T004A</v>
      </c>
      <c r="F984" s="1125" t="str">
        <f t="shared" si="1228"/>
        <v>2021-2024</v>
      </c>
      <c r="H984" s="1071" t="s">
        <v>29</v>
      </c>
      <c r="I984" s="1071" t="s">
        <v>79</v>
      </c>
      <c r="AZ984" s="1108"/>
      <c r="BA984" s="1109"/>
      <c r="BB984" s="1109"/>
      <c r="BC984" s="1109"/>
      <c r="BD984" s="1109"/>
      <c r="BE984" s="1109"/>
      <c r="BF984" s="1109">
        <f t="shared" ref="BF984:BJ984" si="1229">BF637*$AW334</f>
        <v>0</v>
      </c>
      <c r="BG984" s="1109">
        <f t="shared" si="1229"/>
        <v>0</v>
      </c>
      <c r="BH984" s="1109">
        <f t="shared" si="1229"/>
        <v>7.5</v>
      </c>
      <c r="BI984" s="1109">
        <f t="shared" si="1229"/>
        <v>7.5</v>
      </c>
      <c r="BJ984" s="1109">
        <f t="shared" si="1229"/>
        <v>7.5</v>
      </c>
    </row>
    <row r="985" spans="3:62" hidden="1" outlineLevel="1">
      <c r="C985" s="1071" t="str">
        <f t="shared" ref="C985:F985" si="1230">C638</f>
        <v>Test Equipment for Navigational Aid Systems</v>
      </c>
      <c r="D985" s="1071" t="str">
        <f t="shared" si="1230"/>
        <v>Nav Aids Equipment</v>
      </c>
      <c r="E985" s="1071" t="str">
        <f t="shared" si="1230"/>
        <v>S004</v>
      </c>
      <c r="F985" s="1125" t="str">
        <f t="shared" si="1230"/>
        <v>2021-2024</v>
      </c>
      <c r="H985" s="1071" t="s">
        <v>29</v>
      </c>
      <c r="I985" s="1071" t="s">
        <v>79</v>
      </c>
      <c r="AZ985" s="1108"/>
      <c r="BA985" s="1109"/>
      <c r="BB985" s="1109"/>
      <c r="BC985" s="1109"/>
      <c r="BD985" s="1109"/>
      <c r="BE985" s="1109"/>
      <c r="BF985" s="1109">
        <f t="shared" ref="BF985:BJ985" si="1231">BF638*$AW335</f>
        <v>0</v>
      </c>
      <c r="BG985" s="1109">
        <f t="shared" si="1231"/>
        <v>0</v>
      </c>
      <c r="BH985" s="1109">
        <f t="shared" si="1231"/>
        <v>0</v>
      </c>
      <c r="BI985" s="1109">
        <f t="shared" si="1231"/>
        <v>0</v>
      </c>
      <c r="BJ985" s="1109">
        <f t="shared" si="1231"/>
        <v>0</v>
      </c>
    </row>
    <row r="986" spans="3:62" hidden="1" outlineLevel="1">
      <c r="C986" s="1071" t="str">
        <f t="shared" ref="C986:F986" si="1232">C639</f>
        <v>Nav Aids Equipment Dublin</v>
      </c>
      <c r="D986" s="1071" t="str">
        <f t="shared" si="1232"/>
        <v>Nav Aids Equipment</v>
      </c>
      <c r="E986" s="1071" t="str">
        <f t="shared" si="1232"/>
        <v>S004A</v>
      </c>
      <c r="F986" s="1125" t="str">
        <f t="shared" si="1232"/>
        <v>2021-2024</v>
      </c>
      <c r="H986" s="1071" t="s">
        <v>29</v>
      </c>
      <c r="I986" s="1071" t="s">
        <v>79</v>
      </c>
      <c r="AZ986" s="1108"/>
      <c r="BA986" s="1109"/>
      <c r="BB986" s="1109"/>
      <c r="BC986" s="1109"/>
      <c r="BD986" s="1109"/>
      <c r="BE986" s="1109"/>
      <c r="BF986" s="1109">
        <f t="shared" ref="BF986:BJ986" si="1233">BF639*$AW336</f>
        <v>0</v>
      </c>
      <c r="BG986" s="1109">
        <f t="shared" si="1233"/>
        <v>0</v>
      </c>
      <c r="BH986" s="1109">
        <f t="shared" si="1233"/>
        <v>0</v>
      </c>
      <c r="BI986" s="1109">
        <f t="shared" si="1233"/>
        <v>0</v>
      </c>
      <c r="BJ986" s="1109">
        <f t="shared" si="1233"/>
        <v>0</v>
      </c>
    </row>
    <row r="987" spans="3:62" hidden="1" outlineLevel="1">
      <c r="C987" s="1071" t="str">
        <f t="shared" ref="C987:F987" si="1234">C640</f>
        <v>Nav Aids Equipment Cork</v>
      </c>
      <c r="D987" s="1071" t="str">
        <f t="shared" si="1234"/>
        <v>Nav Aids Equipment</v>
      </c>
      <c r="E987" s="1071" t="str">
        <f t="shared" si="1234"/>
        <v>S004A</v>
      </c>
      <c r="F987" s="1125" t="str">
        <f t="shared" si="1234"/>
        <v>2021-2024</v>
      </c>
      <c r="H987" s="1071" t="s">
        <v>29</v>
      </c>
      <c r="I987" s="1071" t="s">
        <v>79</v>
      </c>
      <c r="AZ987" s="1108"/>
      <c r="BA987" s="1109"/>
      <c r="BB987" s="1109"/>
      <c r="BC987" s="1109"/>
      <c r="BD987" s="1109"/>
      <c r="BE987" s="1109"/>
      <c r="BF987" s="1109">
        <f t="shared" ref="BF987:BJ987" si="1235">BF640*$AW337</f>
        <v>0</v>
      </c>
      <c r="BG987" s="1109">
        <f t="shared" si="1235"/>
        <v>0</v>
      </c>
      <c r="BH987" s="1109">
        <f t="shared" si="1235"/>
        <v>0</v>
      </c>
      <c r="BI987" s="1109">
        <f t="shared" si="1235"/>
        <v>0</v>
      </c>
      <c r="BJ987" s="1109">
        <f t="shared" si="1235"/>
        <v>0</v>
      </c>
    </row>
    <row r="988" spans="3:62" hidden="1" outlineLevel="1">
      <c r="C988" s="1071" t="str">
        <f t="shared" ref="C988:F988" si="1236">C641</f>
        <v>Nav Aids Equipment Shannon</v>
      </c>
      <c r="D988" s="1071" t="str">
        <f t="shared" si="1236"/>
        <v>Nav Aids Equipment</v>
      </c>
      <c r="E988" s="1071" t="str">
        <f t="shared" si="1236"/>
        <v>S004A</v>
      </c>
      <c r="F988" s="1125" t="str">
        <f t="shared" si="1236"/>
        <v>2021-2024</v>
      </c>
      <c r="H988" s="1071" t="s">
        <v>29</v>
      </c>
      <c r="I988" s="1071" t="s">
        <v>79</v>
      </c>
      <c r="AZ988" s="1108"/>
      <c r="BA988" s="1109"/>
      <c r="BB988" s="1109"/>
      <c r="BC988" s="1109"/>
      <c r="BD988" s="1109"/>
      <c r="BE988" s="1109"/>
      <c r="BF988" s="1109">
        <f t="shared" ref="BF988:BJ988" si="1237">BF641*$AW338</f>
        <v>0</v>
      </c>
      <c r="BG988" s="1109">
        <f t="shared" si="1237"/>
        <v>0</v>
      </c>
      <c r="BH988" s="1109">
        <f t="shared" si="1237"/>
        <v>0</v>
      </c>
      <c r="BI988" s="1109">
        <f t="shared" si="1237"/>
        <v>0</v>
      </c>
      <c r="BJ988" s="1109">
        <f t="shared" si="1237"/>
        <v>0</v>
      </c>
    </row>
    <row r="989" spans="3:62" hidden="1" outlineLevel="1">
      <c r="C989" s="1071" t="str">
        <f t="shared" ref="C989:F989" si="1238">C642</f>
        <v>Conference Centre Wi-FI &amp; UPS</v>
      </c>
      <c r="D989" s="1071" t="str">
        <f t="shared" si="1238"/>
        <v>Conference Centre Wi-FI &amp; UPS</v>
      </c>
      <c r="E989" s="1071" t="str">
        <f t="shared" si="1238"/>
        <v>S033</v>
      </c>
      <c r="F989" s="1125" t="str">
        <f t="shared" si="1238"/>
        <v>2021-2024</v>
      </c>
      <c r="H989" s="1071" t="s">
        <v>29</v>
      </c>
      <c r="I989" s="1071" t="s">
        <v>79</v>
      </c>
      <c r="AZ989" s="1108"/>
      <c r="BA989" s="1109"/>
      <c r="BB989" s="1109"/>
      <c r="BC989" s="1109"/>
      <c r="BD989" s="1109"/>
      <c r="BE989" s="1109"/>
      <c r="BF989" s="1109">
        <f t="shared" ref="BF989:BJ989" si="1239">BF642*$AW339</f>
        <v>0</v>
      </c>
      <c r="BG989" s="1109">
        <f t="shared" si="1239"/>
        <v>1.2774999999999999</v>
      </c>
      <c r="BH989" s="1109">
        <f t="shared" si="1239"/>
        <v>5.1099999999999994</v>
      </c>
      <c r="BI989" s="1109">
        <f t="shared" si="1239"/>
        <v>5.1099999999999994</v>
      </c>
      <c r="BJ989" s="1109">
        <f t="shared" si="1239"/>
        <v>5.1099999999999994</v>
      </c>
    </row>
    <row r="990" spans="3:62" hidden="1" outlineLevel="1">
      <c r="C990" s="1071" t="str">
        <f t="shared" ref="C990:F990" si="1240">C643</f>
        <v>Mechanical and Electrical Requirements</v>
      </c>
      <c r="D990" s="1071" t="str">
        <f t="shared" si="1240"/>
        <v>Mechanical and Electrical Requirements</v>
      </c>
      <c r="E990" s="1071" t="str">
        <f t="shared" si="1240"/>
        <v>S022</v>
      </c>
      <c r="F990" s="1125" t="str">
        <f t="shared" si="1240"/>
        <v>2021-2024</v>
      </c>
      <c r="H990" s="1071" t="s">
        <v>29</v>
      </c>
      <c r="I990" s="1071" t="s">
        <v>79</v>
      </c>
      <c r="AZ990" s="1108"/>
      <c r="BA990" s="1109"/>
      <c r="BB990" s="1109"/>
      <c r="BC990" s="1109"/>
      <c r="BD990" s="1109"/>
      <c r="BE990" s="1109"/>
      <c r="BF990" s="1109">
        <f t="shared" ref="BF990:BJ990" si="1241">BF643*$AW340</f>
        <v>0</v>
      </c>
      <c r="BG990" s="1109">
        <f t="shared" si="1241"/>
        <v>0</v>
      </c>
      <c r="BH990" s="1109">
        <f t="shared" si="1241"/>
        <v>2.57934375</v>
      </c>
      <c r="BI990" s="1109">
        <f t="shared" si="1241"/>
        <v>2.57934375</v>
      </c>
      <c r="BJ990" s="1109">
        <f t="shared" si="1241"/>
        <v>2.57934375</v>
      </c>
    </row>
    <row r="991" spans="3:62" hidden="1" outlineLevel="1">
      <c r="C991" s="1071" t="str">
        <f t="shared" ref="C991:F991" si="1242">C644</f>
        <v>Controller Pilot Data Linking (CPDLC) SITA Ground Station expansion</v>
      </c>
      <c r="D991" s="1071" t="str">
        <f t="shared" si="1242"/>
        <v>Controller Pilot Data Linking (CPDLC) SITA Ground Station expansion</v>
      </c>
      <c r="E991" s="1071" t="str">
        <f t="shared" si="1242"/>
        <v>Q009</v>
      </c>
      <c r="F991" s="1125" t="str">
        <f t="shared" si="1242"/>
        <v>2021-2024</v>
      </c>
      <c r="H991" s="1071" t="s">
        <v>29</v>
      </c>
      <c r="I991" s="1071" t="s">
        <v>79</v>
      </c>
      <c r="AZ991" s="1108"/>
      <c r="BA991" s="1109"/>
      <c r="BB991" s="1109"/>
      <c r="BC991" s="1109"/>
      <c r="BD991" s="1109"/>
      <c r="BE991" s="1109"/>
      <c r="BF991" s="1109">
        <f t="shared" ref="BF991:BJ991" si="1243">BF644*$AW341</f>
        <v>0</v>
      </c>
      <c r="BG991" s="1109">
        <f t="shared" si="1243"/>
        <v>0</v>
      </c>
      <c r="BH991" s="1109">
        <f t="shared" si="1243"/>
        <v>1.5625</v>
      </c>
      <c r="BI991" s="1109">
        <f t="shared" si="1243"/>
        <v>3.125</v>
      </c>
      <c r="BJ991" s="1109">
        <f t="shared" si="1243"/>
        <v>3.125</v>
      </c>
    </row>
    <row r="992" spans="3:62" hidden="1" outlineLevel="1">
      <c r="C992" s="1071" t="str">
        <f t="shared" ref="C992:F992" si="1244">C645</f>
        <v>Piloting New Technology</v>
      </c>
      <c r="D992" s="1071" t="str">
        <f t="shared" si="1244"/>
        <v>Piloting New Technology</v>
      </c>
      <c r="E992" s="1071" t="str">
        <f t="shared" si="1244"/>
        <v>L016</v>
      </c>
      <c r="F992" s="1125" t="str">
        <f t="shared" si="1244"/>
        <v>2021-2024</v>
      </c>
      <c r="H992" s="1071" t="s">
        <v>29</v>
      </c>
      <c r="I992" s="1071" t="s">
        <v>79</v>
      </c>
      <c r="AZ992" s="1108"/>
      <c r="BA992" s="1109"/>
      <c r="BB992" s="1109"/>
      <c r="BC992" s="1109"/>
      <c r="BD992" s="1109"/>
      <c r="BE992" s="1109"/>
      <c r="BF992" s="1109">
        <f t="shared" ref="BF992:BJ992" si="1245">BF645*$AW342</f>
        <v>0</v>
      </c>
      <c r="BG992" s="1109">
        <f t="shared" si="1245"/>
        <v>0</v>
      </c>
      <c r="BH992" s="1109">
        <f t="shared" si="1245"/>
        <v>0</v>
      </c>
      <c r="BI992" s="1109">
        <f t="shared" si="1245"/>
        <v>5.7969999999999997</v>
      </c>
      <c r="BJ992" s="1109">
        <f t="shared" si="1245"/>
        <v>5.7969999999999997</v>
      </c>
    </row>
    <row r="993" spans="2:62" ht="10.15" customHeight="1" collapsed="1">
      <c r="C993" s="1110"/>
      <c r="D993" s="1110"/>
      <c r="E993" s="1110"/>
      <c r="F993" s="1110"/>
      <c r="G993" s="1110"/>
      <c r="H993" s="1110"/>
      <c r="I993" s="1110"/>
      <c r="J993" s="1110"/>
      <c r="K993" s="1110"/>
      <c r="L993" s="1110"/>
      <c r="M993" s="1110"/>
      <c r="N993" s="1110"/>
      <c r="O993" s="1110"/>
      <c r="P993" s="1110"/>
      <c r="Q993" s="1110"/>
      <c r="R993" s="1110"/>
      <c r="S993" s="1110"/>
      <c r="T993" s="1110"/>
      <c r="U993" s="1110"/>
      <c r="V993" s="1110"/>
      <c r="W993" s="1110"/>
      <c r="X993" s="1110"/>
      <c r="Y993" s="1110"/>
      <c r="Z993" s="1110"/>
      <c r="AA993" s="1110"/>
      <c r="AB993" s="1110"/>
      <c r="AC993" s="1110"/>
      <c r="AD993" s="1110"/>
      <c r="AE993" s="1110"/>
      <c r="AF993" s="1110"/>
      <c r="AG993" s="1110"/>
      <c r="AH993" s="1110"/>
      <c r="AI993" s="1110"/>
      <c r="AJ993" s="1110"/>
      <c r="AK993" s="1110"/>
      <c r="AL993" s="1110"/>
      <c r="AM993" s="1110"/>
      <c r="AN993" s="1110"/>
      <c r="AO993" s="1110"/>
      <c r="AP993" s="1110"/>
      <c r="AQ993" s="1110"/>
      <c r="AR993" s="1110"/>
      <c r="AS993" s="1110"/>
      <c r="AT993" s="1110"/>
      <c r="AU993" s="1110"/>
      <c r="AV993" s="1110"/>
      <c r="AW993" s="1110"/>
      <c r="AX993" s="1110"/>
      <c r="AY993" s="1110"/>
      <c r="AZ993" s="1110"/>
      <c r="BA993" s="1111"/>
      <c r="BB993" s="1111"/>
      <c r="BC993" s="1111"/>
      <c r="BD993" s="1111"/>
      <c r="BE993" s="1111"/>
      <c r="BF993" s="1111"/>
      <c r="BG993" s="1111"/>
      <c r="BH993" s="1111"/>
      <c r="BI993" s="1111"/>
      <c r="BJ993" s="1111"/>
    </row>
    <row r="994" spans="2:62" ht="12" customHeight="1">
      <c r="C994" s="1206" t="s">
        <v>727</v>
      </c>
      <c r="H994" s="1104" t="s">
        <v>29</v>
      </c>
      <c r="BA994" s="1071"/>
      <c r="BB994" s="1071"/>
      <c r="BC994" s="1071"/>
      <c r="BD994" s="1071"/>
      <c r="BE994" s="1071"/>
      <c r="BF994" s="1105">
        <f>SUMPRODUCT(BF$45:BF$342,AQ$45:AQ$342,$K$45:$K$342,$AW$45:$AW$342)</f>
        <v>232.70840789999986</v>
      </c>
      <c r="BG994" s="1105">
        <f t="shared" ref="BG994:BJ994" si="1246">SUMPRODUCT(BG$45:BG$342,AR$45:AR$342,$K$45:$K$342,$AW$45:$AW$342)</f>
        <v>735.35109513492523</v>
      </c>
      <c r="BH994" s="1105">
        <f t="shared" si="1246"/>
        <v>1830.4211588201708</v>
      </c>
      <c r="BI994" s="1105">
        <f t="shared" si="1246"/>
        <v>1514.2900664521387</v>
      </c>
      <c r="BJ994" s="1105">
        <f t="shared" si="1246"/>
        <v>524.57927870319372</v>
      </c>
    </row>
    <row r="995" spans="2:62" ht="13.5" customHeight="1">
      <c r="C995" s="1206" t="s">
        <v>728</v>
      </c>
      <c r="H995" s="1104" t="s">
        <v>29</v>
      </c>
      <c r="BA995" s="1071"/>
      <c r="BB995" s="1071"/>
      <c r="BC995" s="1071"/>
      <c r="BD995" s="1071"/>
      <c r="BE995" s="1071"/>
      <c r="BF995" s="1105">
        <f>BF996-BF994</f>
        <v>0</v>
      </c>
      <c r="BG995" s="1105">
        <f t="shared" ref="BG995:BJ995" si="1247">BG996-BG994</f>
        <v>1579.6783952460569</v>
      </c>
      <c r="BH995" s="1105">
        <f t="shared" si="1247"/>
        <v>3403.6437972028616</v>
      </c>
      <c r="BI995" s="1105">
        <f t="shared" si="1247"/>
        <v>6521.2747348800076</v>
      </c>
      <c r="BJ995" s="1105">
        <f t="shared" si="1247"/>
        <v>9021.5185189221756</v>
      </c>
    </row>
    <row r="996" spans="2:62">
      <c r="C996" s="1206" t="s">
        <v>729</v>
      </c>
      <c r="H996" s="1104" t="s">
        <v>29</v>
      </c>
      <c r="BA996" s="1105"/>
      <c r="BB996" s="1105"/>
      <c r="BC996" s="1105"/>
      <c r="BD996" s="1105"/>
      <c r="BE996" s="1105"/>
      <c r="BF996" s="1105">
        <f>SUM(BF695:BF992)</f>
        <v>232.70840789999986</v>
      </c>
      <c r="BG996" s="1105">
        <f>SUM(BG695:BG992)</f>
        <v>2315.0294903809822</v>
      </c>
      <c r="BH996" s="1105">
        <f>SUM(BH695:BH992)</f>
        <v>5234.0649560230322</v>
      </c>
      <c r="BI996" s="1105">
        <f>SUM(BI695:BI992)</f>
        <v>8035.5648013321461</v>
      </c>
      <c r="BJ996" s="1105">
        <f>SUM(BJ695:BJ992)</f>
        <v>9546.0977976253689</v>
      </c>
    </row>
    <row r="997" spans="2:62">
      <c r="C997" s="1206" t="s">
        <v>730</v>
      </c>
      <c r="H997" s="1104" t="s">
        <v>29</v>
      </c>
      <c r="BA997" s="1105"/>
      <c r="BB997" s="1105"/>
      <c r="BC997" s="1105"/>
      <c r="BD997" s="1105"/>
      <c r="BE997" s="1105"/>
      <c r="BF997" s="1105">
        <f t="shared" ref="BF997:BJ997" si="1248">BF19</f>
        <v>6119.2572177976108</v>
      </c>
      <c r="BG997" s="1105">
        <f t="shared" si="1248"/>
        <v>5695.073922501776</v>
      </c>
      <c r="BH997" s="1105">
        <f t="shared" si="1248"/>
        <v>4581.8701384933956</v>
      </c>
      <c r="BI997" s="1105">
        <f t="shared" si="1248"/>
        <v>3181.7297037250901</v>
      </c>
      <c r="BJ997" s="1105">
        <f t="shared" si="1248"/>
        <v>1476.8437753400895</v>
      </c>
    </row>
    <row r="998" spans="2:62">
      <c r="C998" s="1206" t="s">
        <v>731</v>
      </c>
      <c r="H998" s="1104" t="s">
        <v>29</v>
      </c>
      <c r="BA998" s="1105"/>
      <c r="BB998" s="1105"/>
      <c r="BC998" s="1105"/>
      <c r="BD998" s="1105"/>
      <c r="BE998" s="1105"/>
      <c r="BF998" s="1105">
        <f t="shared" ref="BF998:BJ998" si="1249">SUM(BF996:BF997)</f>
        <v>6351.9656256976104</v>
      </c>
      <c r="BG998" s="1105">
        <f t="shared" si="1249"/>
        <v>8010.1034128827578</v>
      </c>
      <c r="BH998" s="1105">
        <f t="shared" si="1249"/>
        <v>9815.9350945164279</v>
      </c>
      <c r="BI998" s="1105">
        <f t="shared" si="1249"/>
        <v>11217.294505057236</v>
      </c>
      <c r="BJ998" s="1105">
        <f t="shared" si="1249"/>
        <v>11022.941572965457</v>
      </c>
    </row>
    <row r="999" spans="2:62">
      <c r="C999" s="1104"/>
      <c r="H999" s="1104"/>
      <c r="BA999" s="1105"/>
      <c r="BB999" s="1105"/>
      <c r="BC999" s="1105"/>
      <c r="BD999" s="1105"/>
      <c r="BE999" s="1582" t="s">
        <v>737</v>
      </c>
      <c r="BF999" s="1583">
        <f>SUMPRODUCT(BF$348:BF$645,$AW$45:$AW$342)+BF19-BF998</f>
        <v>0</v>
      </c>
      <c r="BG999" s="1583">
        <f t="shared" ref="BG999:BJ999" si="1250">SUMPRODUCT(BG$348:BG$645,$AW$45:$AW$342)+BG19-BG998</f>
        <v>0</v>
      </c>
      <c r="BH999" s="1583">
        <f t="shared" si="1250"/>
        <v>0</v>
      </c>
      <c r="BI999" s="1583">
        <f t="shared" si="1250"/>
        <v>0</v>
      </c>
      <c r="BJ999" s="1584">
        <f t="shared" si="1250"/>
        <v>0</v>
      </c>
    </row>
    <row r="1000" spans="2:62">
      <c r="B1000" s="1091" t="s">
        <v>732</v>
      </c>
      <c r="C1000" s="1091"/>
      <c r="D1000" s="1137"/>
      <c r="E1000" s="1106"/>
      <c r="F1000" s="1106"/>
      <c r="G1000" s="1106"/>
      <c r="H1000" s="1106"/>
      <c r="I1000" s="1106"/>
      <c r="J1000" s="1106"/>
      <c r="K1000" s="1106"/>
      <c r="L1000" s="1106"/>
      <c r="M1000" s="1106"/>
      <c r="N1000" s="1106"/>
      <c r="O1000" s="1106"/>
      <c r="P1000" s="1106"/>
      <c r="Q1000" s="1106"/>
      <c r="R1000" s="1106"/>
      <c r="S1000" s="1106"/>
      <c r="T1000" s="1106"/>
      <c r="U1000" s="1106"/>
      <c r="V1000" s="1106"/>
      <c r="W1000" s="1106"/>
      <c r="X1000" s="1106"/>
      <c r="Y1000" s="1106"/>
      <c r="Z1000" s="1106"/>
      <c r="AA1000" s="1106"/>
      <c r="AB1000" s="1106"/>
      <c r="AC1000" s="1106"/>
      <c r="AD1000" s="1106"/>
      <c r="AE1000" s="1106"/>
      <c r="AF1000" s="1106"/>
      <c r="AG1000" s="1106"/>
      <c r="AH1000" s="1106"/>
      <c r="AI1000" s="1106"/>
      <c r="AJ1000" s="1106"/>
      <c r="AK1000" s="1106"/>
      <c r="AL1000" s="1106"/>
      <c r="AM1000" s="1106"/>
      <c r="AN1000" s="1106"/>
      <c r="AO1000" s="1106"/>
      <c r="AP1000" s="1106"/>
      <c r="AQ1000" s="1106"/>
      <c r="AR1000" s="1106"/>
      <c r="AS1000" s="1106"/>
      <c r="AT1000" s="1106"/>
      <c r="AU1000" s="1106"/>
      <c r="AV1000" s="1106"/>
      <c r="AW1000" s="1106"/>
      <c r="AX1000" s="1106"/>
      <c r="AY1000" s="1106"/>
      <c r="AZ1000" s="1106"/>
      <c r="BA1000" s="1106"/>
      <c r="BB1000" s="1106"/>
      <c r="BC1000" s="1106"/>
      <c r="BD1000" s="1106"/>
      <c r="BE1000" s="1106"/>
      <c r="BF1000" s="1106"/>
      <c r="BG1000" s="1106"/>
      <c r="BH1000" s="1106"/>
      <c r="BI1000" s="1106"/>
      <c r="BJ1000" s="1106"/>
    </row>
    <row r="1001" spans="2:62">
      <c r="C1001" s="1207" t="s">
        <v>733</v>
      </c>
      <c r="H1001" s="1104" t="s">
        <v>29</v>
      </c>
      <c r="BA1001" s="1071"/>
      <c r="BB1001" s="1071"/>
      <c r="BC1001" s="1071"/>
      <c r="BD1001" s="1071"/>
      <c r="BE1001" s="1071"/>
      <c r="BF1001" s="1116">
        <f>((BE1003-BF997-BF995)+BE1003)/2</f>
        <v>20405.095264598796</v>
      </c>
      <c r="BG1001" s="1116">
        <f t="shared" ref="BG1001:BJ1001" si="1251">((BF1003-BG997-BG995)+BF1003)/2</f>
        <v>28315.52305062607</v>
      </c>
      <c r="BH1001" s="1116">
        <f t="shared" si="1251"/>
        <v>31735.224919300032</v>
      </c>
      <c r="BI1001" s="1116">
        <f t="shared" si="1251"/>
        <v>43548.483867040646</v>
      </c>
      <c r="BJ1001" s="1116">
        <f t="shared" si="1251"/>
        <v>51566.726675160709</v>
      </c>
    </row>
    <row r="1002" spans="2:62">
      <c r="C1002" s="1104" t="s">
        <v>734</v>
      </c>
      <c r="H1002" s="1104" t="s">
        <v>29</v>
      </c>
      <c r="BA1002" s="1084"/>
      <c r="BB1002" s="1084"/>
      <c r="BC1002" s="1084"/>
      <c r="BD1002" s="1084"/>
      <c r="BE1002" s="1084"/>
      <c r="BF1002" s="1116">
        <f>BF1001+SUMPRODUCT(BF$45:BF$342,$AW$45:$AW$342,AQ$45:AQ$342)-BF994</f>
        <v>21952.367545015462</v>
      </c>
      <c r="BG1002" s="1116">
        <f t="shared" ref="BG1002:BJ1002" si="1252">BG1001+SUMPRODUCT(BG$45:BG$342,$AW$45:$AW$342,AR$45:AR$342)-BG994</f>
        <v>32235.652181969577</v>
      </c>
      <c r="BH1002" s="1116">
        <f t="shared" si="1252"/>
        <v>41849.312824096785</v>
      </c>
      <c r="BI1002" s="1116">
        <f t="shared" si="1252"/>
        <v>53157.552561372286</v>
      </c>
      <c r="BJ1002" s="1116">
        <f t="shared" si="1252"/>
        <v>55421.351938583066</v>
      </c>
    </row>
    <row r="1003" spans="2:62">
      <c r="C1003" s="1104" t="s">
        <v>735</v>
      </c>
      <c r="H1003" s="1104" t="s">
        <v>29</v>
      </c>
      <c r="BA1003" s="1105"/>
      <c r="BB1003" s="1105"/>
      <c r="BC1003" s="1105"/>
      <c r="BD1003" s="1105"/>
      <c r="BE1003" s="1105">
        <f>BE18</f>
        <v>23464.723873497602</v>
      </c>
      <c r="BF1003" s="1105">
        <f>BE1003+SUMPRODUCT($AW$45:$AW$342,BF45:BF342)-BF998</f>
        <v>31952.899209499985</v>
      </c>
      <c r="BG1003" s="1105">
        <f>BF1003+SUMPRODUCT($AW$45:$AW$342,BG45:BG342)-BG998</f>
        <v>35727.981887148162</v>
      </c>
      <c r="BH1003" s="1105">
        <f>BG1003+SUMPRODUCT($AW$45:$AW$342,BH45:BH342)-BH998</f>
        <v>48399.986086343197</v>
      </c>
      <c r="BI1003" s="1105">
        <f>BH1003+SUMPRODUCT($AW$45:$AW$342,BI45:BI342)-BI998</f>
        <v>56815.90782229184</v>
      </c>
      <c r="BJ1003" s="1105">
        <f>BI1003+SUMPRODUCT($AW$45:$AW$342,BJ45:BJ342)-BJ998</f>
        <v>53586.557228951933</v>
      </c>
    </row>
    <row r="1004" spans="2:62">
      <c r="BA1004" s="1084"/>
      <c r="BB1004" s="1084"/>
      <c r="BC1004" s="1084"/>
      <c r="BD1004" s="1084"/>
      <c r="BE1004" s="1582" t="s">
        <v>737</v>
      </c>
      <c r="BF1004" s="1583">
        <f>BE1003+SUMPRODUCT(BF$45:BF$342,$AW$45:$AW$342)-BF998-BF1003</f>
        <v>0</v>
      </c>
      <c r="BG1004" s="1583">
        <f>BF1003+SUMPRODUCT(BG$45:BG$342,$AW$45:$AW$342)-BG998-BG1003</f>
        <v>0</v>
      </c>
      <c r="BH1004" s="1583">
        <f>BG1003+SUMPRODUCT(BH$45:BH$342,$AW$45:$AW$342)-BH998-BH1003</f>
        <v>0</v>
      </c>
      <c r="BI1004" s="1583">
        <f>BH1003+SUMPRODUCT(BI$45:BI$342,$AW$45:$AW$342)-BI998-BI1003</f>
        <v>0</v>
      </c>
      <c r="BJ1004" s="1584">
        <f>BI1003+SUMPRODUCT(BJ$45:BJ$342,$AW$45:$AW$342)-BJ998-BJ1003</f>
        <v>0</v>
      </c>
    </row>
    <row r="1005" spans="2:62">
      <c r="B1005" s="1091" t="s">
        <v>743</v>
      </c>
      <c r="C1005" s="1091"/>
      <c r="D1005" s="1106"/>
      <c r="E1005" s="1106"/>
      <c r="F1005" s="1106"/>
      <c r="G1005" s="1106"/>
      <c r="H1005" s="1106"/>
      <c r="I1005" s="1106"/>
      <c r="J1005" s="1106"/>
      <c r="K1005" s="1106"/>
      <c r="L1005" s="1106"/>
      <c r="M1005" s="1106"/>
      <c r="N1005" s="1106"/>
      <c r="O1005" s="1106"/>
      <c r="P1005" s="1106"/>
      <c r="Q1005" s="1091"/>
      <c r="R1005" s="1091"/>
      <c r="S1005" s="1091"/>
      <c r="T1005" s="1091"/>
      <c r="U1005" s="1091"/>
      <c r="V1005" s="1091"/>
      <c r="W1005" s="1091"/>
      <c r="X1005" s="1091"/>
      <c r="Y1005" s="1091"/>
      <c r="Z1005" s="1091"/>
      <c r="AA1005" s="1091"/>
      <c r="AB1005" s="1091"/>
      <c r="AC1005" s="1091"/>
      <c r="AD1005" s="1091"/>
      <c r="AE1005" s="1091"/>
      <c r="AF1005" s="1091"/>
      <c r="AG1005" s="1091"/>
      <c r="AH1005" s="1091"/>
      <c r="AI1005" s="1091"/>
      <c r="AJ1005" s="1091"/>
      <c r="AK1005" s="1091"/>
      <c r="AL1005" s="1091"/>
      <c r="AM1005" s="1091"/>
      <c r="AN1005" s="1091"/>
      <c r="AO1005" s="1091"/>
      <c r="AP1005" s="1091"/>
      <c r="AQ1005" s="1091"/>
      <c r="AR1005" s="1091"/>
      <c r="AS1005" s="1091"/>
      <c r="AT1005" s="1091"/>
      <c r="AU1005" s="1091"/>
      <c r="AV1005" s="1091"/>
      <c r="AW1005" s="1106"/>
      <c r="AX1005" s="1106"/>
      <c r="AY1005" s="1106"/>
      <c r="AZ1005" s="1106"/>
      <c r="BA1005" s="1106"/>
      <c r="BB1005" s="1106"/>
      <c r="BC1005" s="1107"/>
      <c r="BD1005" s="1107"/>
      <c r="BE1005" s="1107"/>
      <c r="BF1005" s="1107"/>
      <c r="BG1005" s="1107"/>
      <c r="BH1005" s="1107"/>
      <c r="BI1005" s="1107"/>
      <c r="BJ1005" s="1107"/>
    </row>
    <row r="1006" spans="2:62">
      <c r="C1006" s="1104" t="s">
        <v>740</v>
      </c>
      <c r="H1006" s="1104" t="s">
        <v>29</v>
      </c>
      <c r="I1006" s="1104"/>
      <c r="BA1006" s="1071"/>
      <c r="BB1006" s="1071"/>
      <c r="BC1006" s="1105"/>
      <c r="BD1006" s="1105"/>
      <c r="BE1006" s="1105"/>
      <c r="BF1006" s="1105">
        <f>BF31</f>
        <v>489.84097759895837</v>
      </c>
      <c r="BG1006" s="1105">
        <f>BG31</f>
        <v>813.62077172916656</v>
      </c>
      <c r="BH1006" s="1105">
        <f>BH31</f>
        <v>744.68967503124986</v>
      </c>
      <c r="BI1006" s="1105">
        <f>BI31</f>
        <v>601.7902575052085</v>
      </c>
      <c r="BJ1006" s="1105">
        <f>BJ31</f>
        <v>391.44842878125002</v>
      </c>
    </row>
    <row r="1007" spans="2:62">
      <c r="C1007" s="1104" t="s">
        <v>741</v>
      </c>
      <c r="H1007" s="1104" t="s">
        <v>29</v>
      </c>
      <c r="I1007" s="1104"/>
      <c r="BA1007" s="1071"/>
      <c r="BB1007" s="1071"/>
      <c r="BC1007" s="1105"/>
      <c r="BD1007" s="1105"/>
      <c r="BE1007" s="1105"/>
      <c r="BF1007" s="1105">
        <f t="shared" ref="BF1007:BI1007" si="1253">SUMPRODUCT(BF$659:BF$686,$AW$659:$AW$686)</f>
        <v>0</v>
      </c>
      <c r="BG1007" s="1105">
        <f t="shared" si="1253"/>
        <v>0</v>
      </c>
      <c r="BH1007" s="1105">
        <f t="shared" si="1253"/>
        <v>0</v>
      </c>
      <c r="BI1007" s="1105">
        <f t="shared" si="1253"/>
        <v>108.57974778195097</v>
      </c>
      <c r="BJ1007" s="1105">
        <f>SUMPRODUCT(BJ$659:BJ$686,$AW$659:$AW$686)</f>
        <v>108.57974778195097</v>
      </c>
    </row>
    <row r="1008" spans="2:62">
      <c r="C1008" s="1104" t="s">
        <v>742</v>
      </c>
      <c r="H1008" s="1104" t="s">
        <v>29</v>
      </c>
      <c r="I1008" s="1104"/>
      <c r="BA1008" s="1071"/>
      <c r="BB1008" s="1071"/>
      <c r="BC1008" s="1105"/>
      <c r="BD1008" s="1105"/>
      <c r="BE1008" s="1105"/>
      <c r="BF1008" s="1105">
        <f>SUM(BF1006:BF1007)</f>
        <v>489.84097759895837</v>
      </c>
      <c r="BG1008" s="1105">
        <f>SUM(BG1006:BG1007)</f>
        <v>813.62077172916656</v>
      </c>
      <c r="BH1008" s="1105">
        <f>SUM(BH1006:BH1007)</f>
        <v>744.68967503124986</v>
      </c>
      <c r="BI1008" s="1105">
        <f>SUM(BI1006:BI1007)</f>
        <v>710.37000528715953</v>
      </c>
      <c r="BJ1008" s="1105">
        <f>SUM(BJ1006:BJ1007)</f>
        <v>500.02817656320099</v>
      </c>
    </row>
    <row r="1009" spans="1:62">
      <c r="BA1009" s="1084"/>
      <c r="BB1009" s="1084"/>
      <c r="BC1009" s="1084"/>
      <c r="BD1009" s="1084"/>
      <c r="BE1009" s="1084"/>
      <c r="BF1009" s="1084"/>
      <c r="BG1009" s="1084"/>
      <c r="BH1009" s="1084"/>
      <c r="BI1009" s="1084"/>
      <c r="BJ1009" s="1084"/>
    </row>
    <row r="1010" spans="1:62" s="1112" customFormat="1">
      <c r="A1010" s="1071"/>
      <c r="B1010" s="1113" t="s">
        <v>183</v>
      </c>
      <c r="BA1010" s="1114"/>
      <c r="BB1010" s="1114"/>
      <c r="BC1010" s="1114"/>
      <c r="BD1010" s="1114"/>
      <c r="BE1010" s="1114"/>
      <c r="BF1010" s="1114"/>
      <c r="BG1010" s="1114"/>
      <c r="BH1010" s="1114"/>
      <c r="BI1010" s="1114"/>
      <c r="BJ1010" s="1114"/>
    </row>
    <row r="1011" spans="1:62">
      <c r="B1011" s="1091" t="s">
        <v>31</v>
      </c>
      <c r="C1011" s="1091"/>
      <c r="D1011" s="1106"/>
      <c r="E1011" s="1106"/>
      <c r="F1011" s="1106"/>
      <c r="G1011" s="1106"/>
      <c r="H1011" s="1106"/>
      <c r="I1011" s="1106"/>
      <c r="J1011" s="1106"/>
      <c r="K1011" s="1106"/>
      <c r="L1011" s="1106"/>
      <c r="M1011" s="1106"/>
      <c r="N1011" s="1106"/>
      <c r="O1011" s="1091"/>
      <c r="P1011" s="1091"/>
      <c r="Q1011" s="1091"/>
      <c r="R1011" s="1091"/>
      <c r="S1011" s="1091"/>
      <c r="T1011" s="1091"/>
      <c r="U1011" s="1091"/>
      <c r="V1011" s="1091"/>
      <c r="W1011" s="1091"/>
      <c r="X1011" s="1091"/>
      <c r="Y1011" s="1091"/>
      <c r="Z1011" s="1091"/>
      <c r="AA1011" s="1091"/>
      <c r="AB1011" s="1091"/>
      <c r="AC1011" s="1091"/>
      <c r="AD1011" s="1091"/>
      <c r="AE1011" s="1091"/>
      <c r="AF1011" s="1091"/>
      <c r="AG1011" s="1091"/>
      <c r="AH1011" s="1091"/>
      <c r="AI1011" s="1091"/>
      <c r="AJ1011" s="1091"/>
      <c r="AK1011" s="1091"/>
      <c r="AL1011" s="1091"/>
      <c r="AM1011" s="1091"/>
      <c r="AN1011" s="1091"/>
      <c r="AO1011" s="1106"/>
      <c r="AP1011" s="1106"/>
      <c r="AQ1011" s="1106"/>
      <c r="AR1011" s="1106"/>
      <c r="AS1011" s="1106"/>
      <c r="AT1011" s="1106"/>
      <c r="AU1011" s="1106"/>
      <c r="AV1011" s="1106"/>
      <c r="AW1011" s="1106"/>
      <c r="AX1011" s="1106"/>
      <c r="AY1011" s="1106"/>
      <c r="AZ1011" s="1106"/>
      <c r="BA1011" s="1107"/>
      <c r="BB1011" s="1107"/>
      <c r="BC1011" s="1107"/>
      <c r="BD1011" s="1107"/>
      <c r="BE1011" s="1107"/>
      <c r="BF1011" s="1107"/>
      <c r="BG1011" s="1107"/>
      <c r="BH1011" s="1107"/>
      <c r="BI1011" s="1107"/>
      <c r="BJ1011" s="1107"/>
    </row>
    <row r="1012" spans="1:62" hidden="1" outlineLevel="1">
      <c r="B1012" s="1094"/>
      <c r="C1012" s="1071" t="str">
        <f>C695</f>
        <v>N004 - CEROC Buildings</v>
      </c>
      <c r="D1012" s="1071" t="str">
        <f>D695</f>
        <v>CEROC</v>
      </c>
      <c r="E1012" s="1071" t="str">
        <f>E695</f>
        <v>N0040001</v>
      </c>
      <c r="F1012" s="1125">
        <f>F695</f>
        <v>2020</v>
      </c>
      <c r="H1012" s="1071" t="s">
        <v>29</v>
      </c>
      <c r="AZ1012" s="1108"/>
      <c r="BA1012" s="1109"/>
      <c r="BB1012" s="1109"/>
      <c r="BC1012" s="1109"/>
      <c r="BD1012" s="1109"/>
      <c r="BE1012" s="1109"/>
      <c r="BF1012" s="1109">
        <f>BF348*$AY45</f>
        <v>0</v>
      </c>
      <c r="BG1012" s="1109">
        <f>BG348*$AY45</f>
        <v>0</v>
      </c>
      <c r="BH1012" s="1109">
        <f>BH348*$AY45</f>
        <v>0</v>
      </c>
      <c r="BI1012" s="1109">
        <f>BI348*$AY45</f>
        <v>0</v>
      </c>
      <c r="BJ1012" s="1109">
        <f>BJ348*$AY45</f>
        <v>0</v>
      </c>
    </row>
    <row r="1013" spans="1:62" hidden="1" outlineLevel="1">
      <c r="B1013" s="1094"/>
      <c r="C1013" s="1071" t="str">
        <f t="shared" ref="C1013:F1013" si="1254">C696</f>
        <v>N004 - CEROC Network Servers</v>
      </c>
      <c r="D1013" s="1071" t="str">
        <f t="shared" si="1254"/>
        <v>CEROC</v>
      </c>
      <c r="E1013" s="1071" t="str">
        <f t="shared" si="1254"/>
        <v>N0040002</v>
      </c>
      <c r="F1013" s="1125">
        <f t="shared" si="1254"/>
        <v>2020</v>
      </c>
      <c r="H1013" s="1071" t="s">
        <v>29</v>
      </c>
      <c r="AZ1013" s="1108"/>
      <c r="BA1013" s="1109"/>
      <c r="BB1013" s="1109"/>
      <c r="BC1013" s="1109"/>
      <c r="BD1013" s="1109"/>
      <c r="BE1013" s="1109"/>
      <c r="BF1013" s="1109">
        <f t="shared" ref="BF1013:BJ1013" si="1255">BF349*$AY46</f>
        <v>0</v>
      </c>
      <c r="BG1013" s="1109">
        <f t="shared" si="1255"/>
        <v>0</v>
      </c>
      <c r="BH1013" s="1109">
        <f t="shared" si="1255"/>
        <v>0</v>
      </c>
      <c r="BI1013" s="1109">
        <f t="shared" si="1255"/>
        <v>0</v>
      </c>
      <c r="BJ1013" s="1109">
        <f t="shared" si="1255"/>
        <v>0</v>
      </c>
    </row>
    <row r="1014" spans="1:62" hidden="1" outlineLevel="1">
      <c r="B1014" s="1094"/>
      <c r="C1014" s="1071" t="str">
        <f t="shared" ref="C1014:F1014" si="1256">C697</f>
        <v>N004 - CEROC ATC Systems</v>
      </c>
      <c r="D1014" s="1071" t="str">
        <f t="shared" si="1256"/>
        <v>CEROC</v>
      </c>
      <c r="E1014" s="1071" t="str">
        <f t="shared" si="1256"/>
        <v>N0040003</v>
      </c>
      <c r="F1014" s="1125">
        <f t="shared" si="1256"/>
        <v>2020</v>
      </c>
      <c r="H1014" s="1071" t="s">
        <v>29</v>
      </c>
      <c r="AZ1014" s="1108"/>
      <c r="BA1014" s="1109"/>
      <c r="BB1014" s="1109"/>
      <c r="BC1014" s="1109"/>
      <c r="BD1014" s="1109"/>
      <c r="BE1014" s="1109"/>
      <c r="BF1014" s="1109">
        <f t="shared" ref="BF1014:BJ1014" si="1257">BF350*$AY47</f>
        <v>0</v>
      </c>
      <c r="BG1014" s="1109">
        <f t="shared" si="1257"/>
        <v>0</v>
      </c>
      <c r="BH1014" s="1109">
        <f t="shared" si="1257"/>
        <v>0</v>
      </c>
      <c r="BI1014" s="1109">
        <f t="shared" si="1257"/>
        <v>0</v>
      </c>
      <c r="BJ1014" s="1109">
        <f t="shared" si="1257"/>
        <v>0</v>
      </c>
    </row>
    <row r="1015" spans="1:62" hidden="1" outlineLevel="1">
      <c r="B1015" s="1094"/>
      <c r="C1015" s="1071" t="str">
        <f t="shared" ref="C1015:F1015" si="1258">C698</f>
        <v>N004 - CEROC Voice Comm System</v>
      </c>
      <c r="D1015" s="1071" t="str">
        <f t="shared" si="1258"/>
        <v>CEROC</v>
      </c>
      <c r="E1015" s="1071" t="str">
        <f t="shared" si="1258"/>
        <v>N0040004</v>
      </c>
      <c r="F1015" s="1125">
        <f t="shared" si="1258"/>
        <v>2020</v>
      </c>
      <c r="H1015" s="1071" t="s">
        <v>29</v>
      </c>
      <c r="AZ1015" s="1108"/>
      <c r="BA1015" s="1109"/>
      <c r="BB1015" s="1109"/>
      <c r="BC1015" s="1109"/>
      <c r="BD1015" s="1109"/>
      <c r="BE1015" s="1109"/>
      <c r="BF1015" s="1109">
        <f t="shared" ref="BF1015:BJ1015" si="1259">BF351*$AY48</f>
        <v>0</v>
      </c>
      <c r="BG1015" s="1109">
        <f t="shared" si="1259"/>
        <v>0</v>
      </c>
      <c r="BH1015" s="1109">
        <f t="shared" si="1259"/>
        <v>0</v>
      </c>
      <c r="BI1015" s="1109">
        <f t="shared" si="1259"/>
        <v>0</v>
      </c>
      <c r="BJ1015" s="1109">
        <f t="shared" si="1259"/>
        <v>0</v>
      </c>
    </row>
    <row r="1016" spans="1:62" hidden="1" outlineLevel="1">
      <c r="B1016" s="1094"/>
      <c r="C1016" s="1071" t="str">
        <f t="shared" ref="C1016:F1016" si="1260">C699</f>
        <v>N004 - CEROC Reserve Voice Com System</v>
      </c>
      <c r="D1016" s="1071" t="str">
        <f t="shared" si="1260"/>
        <v>CEROC</v>
      </c>
      <c r="E1016" s="1071" t="str">
        <f t="shared" si="1260"/>
        <v>N0040005</v>
      </c>
      <c r="F1016" s="1125">
        <f t="shared" si="1260"/>
        <v>2020</v>
      </c>
      <c r="H1016" s="1071" t="s">
        <v>29</v>
      </c>
      <c r="AZ1016" s="1108"/>
      <c r="BA1016" s="1109"/>
      <c r="BB1016" s="1109"/>
      <c r="BC1016" s="1109"/>
      <c r="BD1016" s="1109"/>
      <c r="BE1016" s="1109"/>
      <c r="BF1016" s="1109">
        <f t="shared" ref="BF1016:BJ1016" si="1261">BF352*$AY49</f>
        <v>0</v>
      </c>
      <c r="BG1016" s="1109">
        <f t="shared" si="1261"/>
        <v>0</v>
      </c>
      <c r="BH1016" s="1109">
        <f t="shared" si="1261"/>
        <v>0</v>
      </c>
      <c r="BI1016" s="1109">
        <f t="shared" si="1261"/>
        <v>0</v>
      </c>
      <c r="BJ1016" s="1109">
        <f t="shared" si="1261"/>
        <v>0</v>
      </c>
    </row>
    <row r="1017" spans="1:62" hidden="1" outlineLevel="1">
      <c r="B1017" s="1094"/>
      <c r="C1017" s="1071" t="str">
        <f t="shared" ref="C1017:F1017" si="1262">C700</f>
        <v>N004 CEROC Voice Comm Recorder</v>
      </c>
      <c r="D1017" s="1071" t="str">
        <f t="shared" si="1262"/>
        <v>CEROC</v>
      </c>
      <c r="E1017" s="1071" t="str">
        <f t="shared" si="1262"/>
        <v>N0040006</v>
      </c>
      <c r="F1017" s="1125">
        <f t="shared" si="1262"/>
        <v>2020</v>
      </c>
      <c r="H1017" s="1071" t="s">
        <v>29</v>
      </c>
      <c r="AZ1017" s="1108"/>
      <c r="BA1017" s="1109"/>
      <c r="BB1017" s="1109"/>
      <c r="BC1017" s="1109"/>
      <c r="BD1017" s="1109"/>
      <c r="BE1017" s="1109"/>
      <c r="BF1017" s="1109">
        <f t="shared" ref="BF1017:BJ1017" si="1263">BF353*$AY50</f>
        <v>0</v>
      </c>
      <c r="BG1017" s="1109">
        <f t="shared" si="1263"/>
        <v>0</v>
      </c>
      <c r="BH1017" s="1109">
        <f t="shared" si="1263"/>
        <v>0</v>
      </c>
      <c r="BI1017" s="1109">
        <f t="shared" si="1263"/>
        <v>0</v>
      </c>
      <c r="BJ1017" s="1109">
        <f t="shared" si="1263"/>
        <v>0</v>
      </c>
    </row>
    <row r="1018" spans="1:62" hidden="1" outlineLevel="1">
      <c r="B1018" s="1094"/>
      <c r="C1018" s="1071" t="str">
        <f t="shared" ref="C1018:F1018" si="1264">C701</f>
        <v>N004 - CEROC PABX</v>
      </c>
      <c r="D1018" s="1071" t="str">
        <f t="shared" si="1264"/>
        <v>CEROC</v>
      </c>
      <c r="E1018" s="1071" t="str">
        <f t="shared" si="1264"/>
        <v>N0040007</v>
      </c>
      <c r="F1018" s="1125">
        <f t="shared" si="1264"/>
        <v>2020</v>
      </c>
      <c r="H1018" s="1071" t="s">
        <v>29</v>
      </c>
      <c r="AZ1018" s="1108"/>
      <c r="BA1018" s="1109"/>
      <c r="BB1018" s="1109"/>
      <c r="BC1018" s="1109"/>
      <c r="BD1018" s="1109"/>
      <c r="BE1018" s="1109"/>
      <c r="BF1018" s="1109">
        <f t="shared" ref="BF1018:BJ1018" si="1265">BF354*$AY51</f>
        <v>0</v>
      </c>
      <c r="BG1018" s="1109">
        <f t="shared" si="1265"/>
        <v>0</v>
      </c>
      <c r="BH1018" s="1109">
        <f t="shared" si="1265"/>
        <v>0</v>
      </c>
      <c r="BI1018" s="1109">
        <f t="shared" si="1265"/>
        <v>0</v>
      </c>
      <c r="BJ1018" s="1109">
        <f t="shared" si="1265"/>
        <v>0</v>
      </c>
    </row>
    <row r="1019" spans="1:62" hidden="1" outlineLevel="1">
      <c r="B1019" s="1094"/>
      <c r="C1019" s="1071" t="str">
        <f t="shared" ref="C1019:F1019" si="1266">C702</f>
        <v>N004-CEROC Centralised Monitor Monitoring</v>
      </c>
      <c r="D1019" s="1071" t="str">
        <f t="shared" si="1266"/>
        <v>CEROC</v>
      </c>
      <c r="E1019" s="1071" t="str">
        <f t="shared" si="1266"/>
        <v>N0040008</v>
      </c>
      <c r="F1019" s="1125">
        <f t="shared" si="1266"/>
        <v>2020</v>
      </c>
      <c r="H1019" s="1071" t="s">
        <v>29</v>
      </c>
      <c r="AZ1019" s="1108"/>
      <c r="BA1019" s="1109"/>
      <c r="BB1019" s="1109"/>
      <c r="BC1019" s="1109"/>
      <c r="BD1019" s="1109"/>
      <c r="BE1019" s="1109"/>
      <c r="BF1019" s="1109">
        <f t="shared" ref="BF1019:BJ1019" si="1267">BF355*$AY52</f>
        <v>0</v>
      </c>
      <c r="BG1019" s="1109">
        <f t="shared" si="1267"/>
        <v>0</v>
      </c>
      <c r="BH1019" s="1109">
        <f t="shared" si="1267"/>
        <v>0</v>
      </c>
      <c r="BI1019" s="1109">
        <f t="shared" si="1267"/>
        <v>0</v>
      </c>
      <c r="BJ1019" s="1109">
        <f t="shared" si="1267"/>
        <v>0</v>
      </c>
    </row>
    <row r="1020" spans="1:62" hidden="1" outlineLevel="1">
      <c r="B1020" s="1094"/>
      <c r="C1020" s="1071" t="str">
        <f t="shared" ref="C1020:F1020" si="1268">C703</f>
        <v>Q001-CEROC Servers Workstation</v>
      </c>
      <c r="D1020" s="1071" t="str">
        <f t="shared" si="1268"/>
        <v>CEROC</v>
      </c>
      <c r="E1020" s="1071" t="str">
        <f t="shared" si="1268"/>
        <v>Q0010007</v>
      </c>
      <c r="F1020" s="1125">
        <f t="shared" si="1268"/>
        <v>2020</v>
      </c>
      <c r="H1020" s="1071" t="s">
        <v>29</v>
      </c>
      <c r="AZ1020" s="1108"/>
      <c r="BA1020" s="1109"/>
      <c r="BB1020" s="1109"/>
      <c r="BC1020" s="1109"/>
      <c r="BD1020" s="1109"/>
      <c r="BE1020" s="1109"/>
      <c r="BF1020" s="1109">
        <f t="shared" ref="BF1020:BJ1020" si="1269">BF356*$AY53</f>
        <v>0</v>
      </c>
      <c r="BG1020" s="1109">
        <f t="shared" si="1269"/>
        <v>0</v>
      </c>
      <c r="BH1020" s="1109">
        <f t="shared" si="1269"/>
        <v>0</v>
      </c>
      <c r="BI1020" s="1109">
        <f t="shared" si="1269"/>
        <v>0</v>
      </c>
      <c r="BJ1020" s="1109">
        <f t="shared" si="1269"/>
        <v>0</v>
      </c>
    </row>
    <row r="1021" spans="1:62" hidden="1" outlineLevel="1">
      <c r="B1021" s="1094"/>
      <c r="C1021" s="1071" t="str">
        <f t="shared" ref="C1021:F1021" si="1270">C704</f>
        <v>Q001-CEROC Network Replacement</v>
      </c>
      <c r="D1021" s="1071" t="str">
        <f t="shared" si="1270"/>
        <v>CEROC</v>
      </c>
      <c r="E1021" s="1071" t="str">
        <f t="shared" si="1270"/>
        <v>Q0010008</v>
      </c>
      <c r="F1021" s="1125">
        <f t="shared" si="1270"/>
        <v>2020</v>
      </c>
      <c r="H1021" s="1071" t="s">
        <v>29</v>
      </c>
      <c r="AZ1021" s="1108"/>
      <c r="BA1021" s="1109"/>
      <c r="BB1021" s="1109"/>
      <c r="BC1021" s="1109"/>
      <c r="BD1021" s="1109"/>
      <c r="BE1021" s="1109"/>
      <c r="BF1021" s="1109">
        <f t="shared" ref="BF1021:BJ1021" si="1271">BF357*$AY54</f>
        <v>0</v>
      </c>
      <c r="BG1021" s="1109">
        <f t="shared" si="1271"/>
        <v>0</v>
      </c>
      <c r="BH1021" s="1109">
        <f t="shared" si="1271"/>
        <v>0</v>
      </c>
      <c r="BI1021" s="1109">
        <f t="shared" si="1271"/>
        <v>0</v>
      </c>
      <c r="BJ1021" s="1109">
        <f t="shared" si="1271"/>
        <v>0</v>
      </c>
    </row>
    <row r="1022" spans="1:62" hidden="1" outlineLevel="1">
      <c r="B1022" s="1094"/>
      <c r="C1022" s="1071" t="str">
        <f t="shared" ref="C1022:F1022" si="1272">C705</f>
        <v>Q007 Nokia MNATP CEROC</v>
      </c>
      <c r="D1022" s="1071" t="str">
        <f t="shared" si="1272"/>
        <v>CEROC</v>
      </c>
      <c r="E1022" s="1071" t="str">
        <f t="shared" si="1272"/>
        <v>Q0070001</v>
      </c>
      <c r="F1022" s="1125">
        <f t="shared" si="1272"/>
        <v>2020</v>
      </c>
      <c r="H1022" s="1071" t="s">
        <v>29</v>
      </c>
      <c r="AZ1022" s="1108"/>
      <c r="BA1022" s="1109"/>
      <c r="BB1022" s="1109"/>
      <c r="BC1022" s="1109"/>
      <c r="BD1022" s="1109"/>
      <c r="BE1022" s="1109"/>
      <c r="BF1022" s="1109">
        <f t="shared" ref="BF1022:BJ1022" si="1273">BF358*$AY55</f>
        <v>0</v>
      </c>
      <c r="BG1022" s="1109">
        <f t="shared" si="1273"/>
        <v>0</v>
      </c>
      <c r="BH1022" s="1109">
        <f t="shared" si="1273"/>
        <v>0</v>
      </c>
      <c r="BI1022" s="1109">
        <f t="shared" si="1273"/>
        <v>0</v>
      </c>
      <c r="BJ1022" s="1109">
        <f t="shared" si="1273"/>
        <v>0</v>
      </c>
    </row>
    <row r="1023" spans="1:62" hidden="1" outlineLevel="1">
      <c r="B1023" s="1094"/>
      <c r="C1023" s="1071" t="str">
        <f t="shared" ref="C1023:F1023" si="1274">C706</f>
        <v>Q029 - CEROC IT Equipment</v>
      </c>
      <c r="D1023" s="1071" t="str">
        <f t="shared" si="1274"/>
        <v>CEROC</v>
      </c>
      <c r="E1023" s="1071" t="str">
        <f t="shared" si="1274"/>
        <v>Q0290001</v>
      </c>
      <c r="F1023" s="1125">
        <f t="shared" si="1274"/>
        <v>2020</v>
      </c>
      <c r="H1023" s="1071" t="s">
        <v>29</v>
      </c>
      <c r="AZ1023" s="1108"/>
      <c r="BA1023" s="1109"/>
      <c r="BB1023" s="1109"/>
      <c r="BC1023" s="1109"/>
      <c r="BD1023" s="1109"/>
      <c r="BE1023" s="1109"/>
      <c r="BF1023" s="1109">
        <f t="shared" ref="BF1023:BJ1023" si="1275">BF359*$AY56</f>
        <v>0</v>
      </c>
      <c r="BG1023" s="1109">
        <f t="shared" si="1275"/>
        <v>0</v>
      </c>
      <c r="BH1023" s="1109">
        <f t="shared" si="1275"/>
        <v>0</v>
      </c>
      <c r="BI1023" s="1109">
        <f t="shared" si="1275"/>
        <v>0</v>
      </c>
      <c r="BJ1023" s="1109">
        <f t="shared" si="1275"/>
        <v>0</v>
      </c>
    </row>
    <row r="1024" spans="1:62" hidden="1" outlineLevel="1">
      <c r="B1024" s="1094"/>
      <c r="C1024" s="1071" t="str">
        <f t="shared" ref="C1024:F1024" si="1276">C707</f>
        <v>Q029 -CEROC  Photocopier</v>
      </c>
      <c r="D1024" s="1071" t="str">
        <f t="shared" si="1276"/>
        <v>CEROC</v>
      </c>
      <c r="E1024" s="1071" t="str">
        <f t="shared" si="1276"/>
        <v>Q0290002</v>
      </c>
      <c r="F1024" s="1125">
        <f t="shared" si="1276"/>
        <v>2020</v>
      </c>
      <c r="H1024" s="1071" t="s">
        <v>29</v>
      </c>
      <c r="AZ1024" s="1108"/>
      <c r="BA1024" s="1109"/>
      <c r="BB1024" s="1109"/>
      <c r="BC1024" s="1109"/>
      <c r="BD1024" s="1109"/>
      <c r="BE1024" s="1109"/>
      <c r="BF1024" s="1109">
        <f t="shared" ref="BF1024:BJ1024" si="1277">BF360*$AY57</f>
        <v>0</v>
      </c>
      <c r="BG1024" s="1109">
        <f t="shared" si="1277"/>
        <v>0</v>
      </c>
      <c r="BH1024" s="1109">
        <f t="shared" si="1277"/>
        <v>0</v>
      </c>
      <c r="BI1024" s="1109">
        <f t="shared" si="1277"/>
        <v>0</v>
      </c>
      <c r="BJ1024" s="1109">
        <f t="shared" si="1277"/>
        <v>0</v>
      </c>
    </row>
    <row r="1025" spans="2:62" hidden="1" outlineLevel="1">
      <c r="B1025" s="1094"/>
      <c r="C1025" s="1071" t="str">
        <f t="shared" ref="C1025:F1025" si="1278">C708</f>
        <v>Rosslare VHF - Cabins &amp; Civils Q015</v>
      </c>
      <c r="D1025" s="1071" t="str">
        <f t="shared" si="1278"/>
        <v>Rosslare VHF - Cabins &amp; Civils Q015</v>
      </c>
      <c r="E1025" s="1071" t="str">
        <f t="shared" si="1278"/>
        <v>q0150001</v>
      </c>
      <c r="F1025" s="1125">
        <f t="shared" si="1278"/>
        <v>2020</v>
      </c>
      <c r="H1025" s="1071" t="s">
        <v>29</v>
      </c>
      <c r="AZ1025" s="1108"/>
      <c r="BA1025" s="1109"/>
      <c r="BB1025" s="1109"/>
      <c r="BC1025" s="1109"/>
      <c r="BD1025" s="1109"/>
      <c r="BE1025" s="1109"/>
      <c r="BF1025" s="1109">
        <f t="shared" ref="BF1025:BJ1025" si="1279">BF361*$AY58</f>
        <v>3.63185</v>
      </c>
      <c r="BG1025" s="1109">
        <f t="shared" si="1279"/>
        <v>10.895549375</v>
      </c>
      <c r="BH1025" s="1109">
        <f t="shared" si="1279"/>
        <v>10.895549375</v>
      </c>
      <c r="BI1025" s="1109">
        <f t="shared" si="1279"/>
        <v>10.895549375</v>
      </c>
      <c r="BJ1025" s="1109">
        <f t="shared" si="1279"/>
        <v>10.895549375</v>
      </c>
    </row>
    <row r="1026" spans="2:62" hidden="1" outlineLevel="1">
      <c r="B1026" s="1094"/>
      <c r="C1026" s="1071" t="str">
        <f t="shared" ref="C1026:F1026" si="1280">C709</f>
        <v>Q001- Coopans Hardware network</v>
      </c>
      <c r="D1026" s="1071" t="str">
        <f t="shared" si="1280"/>
        <v>Coopans Hardware network</v>
      </c>
      <c r="E1026" s="1071" t="str">
        <f t="shared" si="1280"/>
        <v>Q0010006</v>
      </c>
      <c r="F1026" s="1125">
        <f t="shared" si="1280"/>
        <v>2020</v>
      </c>
      <c r="H1026" s="1071" t="s">
        <v>29</v>
      </c>
      <c r="AZ1026" s="1108"/>
      <c r="BA1026" s="1109"/>
      <c r="BB1026" s="1109"/>
      <c r="BC1026" s="1109"/>
      <c r="BD1026" s="1109"/>
      <c r="BE1026" s="1109"/>
      <c r="BF1026" s="1109">
        <f t="shared" ref="BF1026:BJ1026" si="1281">BF362*$AY59</f>
        <v>8.9266924999999997</v>
      </c>
      <c r="BG1026" s="1109">
        <f t="shared" si="1281"/>
        <v>9.7382081249999999</v>
      </c>
      <c r="BH1026" s="1109">
        <f t="shared" si="1281"/>
        <v>9.7382081249999999</v>
      </c>
      <c r="BI1026" s="1109">
        <f t="shared" si="1281"/>
        <v>9.7382081249999999</v>
      </c>
      <c r="BJ1026" s="1109">
        <f t="shared" si="1281"/>
        <v>9.7382081249999999</v>
      </c>
    </row>
    <row r="1027" spans="2:62" hidden="1" outlineLevel="1">
      <c r="B1027" s="1094"/>
      <c r="C1027" s="1071" t="str">
        <f t="shared" ref="C1027:F1027" si="1282">C710</f>
        <v>P009 - New South East VHF Site</v>
      </c>
      <c r="D1027" s="1071" t="str">
        <f t="shared" si="1282"/>
        <v>New South East VHF Site</v>
      </c>
      <c r="E1027" s="1071" t="str">
        <f t="shared" si="1282"/>
        <v>P0090001</v>
      </c>
      <c r="F1027" s="1125">
        <f t="shared" si="1282"/>
        <v>2020</v>
      </c>
      <c r="H1027" s="1071" t="s">
        <v>29</v>
      </c>
      <c r="AZ1027" s="1108"/>
      <c r="BA1027" s="1109"/>
      <c r="BB1027" s="1109"/>
      <c r="BC1027" s="1109"/>
      <c r="BD1027" s="1109"/>
      <c r="BE1027" s="1109"/>
      <c r="BF1027" s="1109">
        <f t="shared" ref="BF1027:BJ1027" si="1283">BF363*$AY60</f>
        <v>3.2276500000000001</v>
      </c>
      <c r="BG1027" s="1109">
        <f t="shared" si="1283"/>
        <v>9.6829374999999995</v>
      </c>
      <c r="BH1027" s="1109">
        <f t="shared" si="1283"/>
        <v>9.6829374999999995</v>
      </c>
      <c r="BI1027" s="1109">
        <f t="shared" si="1283"/>
        <v>9.6829374999999995</v>
      </c>
      <c r="BJ1027" s="1109">
        <f t="shared" si="1283"/>
        <v>9.6829374999999995</v>
      </c>
    </row>
    <row r="1028" spans="2:62" hidden="1" outlineLevel="1">
      <c r="B1028" s="1094"/>
      <c r="C1028" s="1071" t="str">
        <f t="shared" ref="C1028:F1028" si="1284">C711</f>
        <v>T024 - UPS System Woodcock</v>
      </c>
      <c r="D1028" s="1071" t="str">
        <f t="shared" si="1284"/>
        <v>UPS System</v>
      </c>
      <c r="E1028" s="1071" t="str">
        <f t="shared" si="1284"/>
        <v>T0240005</v>
      </c>
      <c r="F1028" s="1125">
        <f t="shared" si="1284"/>
        <v>2020</v>
      </c>
      <c r="H1028" s="1071" t="s">
        <v>29</v>
      </c>
      <c r="AZ1028" s="1108"/>
      <c r="BA1028" s="1109"/>
      <c r="BB1028" s="1109"/>
      <c r="BC1028" s="1109"/>
      <c r="BD1028" s="1109"/>
      <c r="BE1028" s="1109"/>
      <c r="BF1028" s="1109">
        <f t="shared" ref="BF1028:BJ1028" si="1285">BF364*$AY61</f>
        <v>0</v>
      </c>
      <c r="BG1028" s="1109">
        <f t="shared" si="1285"/>
        <v>0</v>
      </c>
      <c r="BH1028" s="1109">
        <f t="shared" si="1285"/>
        <v>0</v>
      </c>
      <c r="BI1028" s="1109">
        <f t="shared" si="1285"/>
        <v>0</v>
      </c>
      <c r="BJ1028" s="1109">
        <f t="shared" si="1285"/>
        <v>0</v>
      </c>
    </row>
    <row r="1029" spans="2:62" hidden="1" outlineLevel="1">
      <c r="B1029" s="1094"/>
      <c r="C1029" s="1071" t="str">
        <f t="shared" ref="C1029:F1029" si="1286">C712</f>
        <v>T024 -UPS System Shannon Tower</v>
      </c>
      <c r="D1029" s="1071" t="str">
        <f t="shared" si="1286"/>
        <v>UPS System</v>
      </c>
      <c r="E1029" s="1071" t="str">
        <f t="shared" si="1286"/>
        <v>T0240007</v>
      </c>
      <c r="F1029" s="1125">
        <f t="shared" si="1286"/>
        <v>2020</v>
      </c>
      <c r="H1029" s="1071" t="s">
        <v>29</v>
      </c>
      <c r="AZ1029" s="1108"/>
      <c r="BA1029" s="1109"/>
      <c r="BB1029" s="1109"/>
      <c r="BC1029" s="1109"/>
      <c r="BD1029" s="1109"/>
      <c r="BE1029" s="1109"/>
      <c r="BF1029" s="1109">
        <f t="shared" ref="BF1029:BJ1029" si="1287">BF365*$AY62</f>
        <v>2.36978</v>
      </c>
      <c r="BG1029" s="1109">
        <f t="shared" si="1287"/>
        <v>4.0625</v>
      </c>
      <c r="BH1029" s="1109">
        <f t="shared" si="1287"/>
        <v>4.0625</v>
      </c>
      <c r="BI1029" s="1109">
        <f t="shared" si="1287"/>
        <v>4.0625</v>
      </c>
      <c r="BJ1029" s="1109">
        <f t="shared" si="1287"/>
        <v>4.0625</v>
      </c>
    </row>
    <row r="1030" spans="2:62" hidden="1" outlineLevel="1">
      <c r="B1030" s="1094"/>
      <c r="C1030" s="1071" t="str">
        <f t="shared" ref="C1030:F1030" si="1288">C713</f>
        <v>T024 -UPS System Shannon Radar</v>
      </c>
      <c r="D1030" s="1071" t="str">
        <f t="shared" si="1288"/>
        <v>UPS System</v>
      </c>
      <c r="E1030" s="1071" t="str">
        <f t="shared" si="1288"/>
        <v>T0240006</v>
      </c>
      <c r="F1030" s="1125">
        <f t="shared" si="1288"/>
        <v>2020</v>
      </c>
      <c r="H1030" s="1071" t="s">
        <v>29</v>
      </c>
      <c r="AZ1030" s="1108"/>
      <c r="BA1030" s="1109"/>
      <c r="BB1030" s="1109"/>
      <c r="BC1030" s="1109"/>
      <c r="BD1030" s="1109"/>
      <c r="BE1030" s="1109"/>
      <c r="BF1030" s="1109">
        <f t="shared" ref="BF1030:BJ1030" si="1289">BF366*$AY63</f>
        <v>0.68250000000000011</v>
      </c>
      <c r="BG1030" s="1109">
        <f t="shared" si="1289"/>
        <v>1.3649896875000003</v>
      </c>
      <c r="BH1030" s="1109">
        <f t="shared" si="1289"/>
        <v>1.3649896875000003</v>
      </c>
      <c r="BI1030" s="1109">
        <f t="shared" si="1289"/>
        <v>1.3649896875000003</v>
      </c>
      <c r="BJ1030" s="1109">
        <f t="shared" si="1289"/>
        <v>1.3649896875000003</v>
      </c>
    </row>
    <row r="1031" spans="2:62" hidden="1" outlineLevel="1">
      <c r="B1031" s="1094"/>
      <c r="C1031" s="1071" t="str">
        <f t="shared" ref="C1031:F1031" si="1290">C714</f>
        <v>T024 - UPS System Cork</v>
      </c>
      <c r="D1031" s="1071" t="str">
        <f t="shared" si="1290"/>
        <v>UPS System</v>
      </c>
      <c r="E1031" s="1071" t="str">
        <f t="shared" si="1290"/>
        <v>T0240008</v>
      </c>
      <c r="F1031" s="1125">
        <f t="shared" si="1290"/>
        <v>2020</v>
      </c>
      <c r="H1031" s="1071" t="s">
        <v>29</v>
      </c>
      <c r="AZ1031" s="1108"/>
      <c r="BA1031" s="1109"/>
      <c r="BB1031" s="1109"/>
      <c r="BC1031" s="1109"/>
      <c r="BD1031" s="1109"/>
      <c r="BE1031" s="1109"/>
      <c r="BF1031" s="1109">
        <f t="shared" ref="BF1031:BJ1031" si="1291">BF367*$AY64</f>
        <v>1.3650000000000002</v>
      </c>
      <c r="BG1031" s="1109">
        <f t="shared" si="1291"/>
        <v>2.7299793750000005</v>
      </c>
      <c r="BH1031" s="1109">
        <f t="shared" si="1291"/>
        <v>2.7299793750000005</v>
      </c>
      <c r="BI1031" s="1109">
        <f t="shared" si="1291"/>
        <v>2.7299793750000005</v>
      </c>
      <c r="BJ1031" s="1109">
        <f t="shared" si="1291"/>
        <v>2.7299793750000005</v>
      </c>
    </row>
    <row r="1032" spans="2:62" hidden="1" outlineLevel="1">
      <c r="B1032" s="1094"/>
      <c r="C1032" s="1071" t="str">
        <f t="shared" ref="C1032:F1032" si="1292">C715</f>
        <v>S025 MICROSOFT SQL SERVER - HQ</v>
      </c>
      <c r="D1032" s="1071" t="str">
        <f t="shared" si="1292"/>
        <v>IT Network</v>
      </c>
      <c r="E1032" s="1071" t="str">
        <f t="shared" si="1292"/>
        <v>S0250002</v>
      </c>
      <c r="F1032" s="1125">
        <f t="shared" si="1292"/>
        <v>2020</v>
      </c>
      <c r="H1032" s="1071" t="s">
        <v>29</v>
      </c>
      <c r="AZ1032" s="1108"/>
      <c r="BA1032" s="1109"/>
      <c r="BB1032" s="1109"/>
      <c r="BC1032" s="1109"/>
      <c r="BD1032" s="1109"/>
      <c r="BE1032" s="1109"/>
      <c r="BF1032" s="1109">
        <f t="shared" ref="BF1032:BJ1032" si="1293">BF368*$AY65</f>
        <v>0.49289249999999996</v>
      </c>
      <c r="BG1032" s="1109">
        <f t="shared" si="1293"/>
        <v>1.1509632972972972</v>
      </c>
      <c r="BH1032" s="1109">
        <f t="shared" si="1293"/>
        <v>1.1509632972972972</v>
      </c>
      <c r="BI1032" s="1109">
        <f t="shared" si="1293"/>
        <v>0.75398440540540546</v>
      </c>
      <c r="BJ1032" s="1109">
        <f t="shared" si="1293"/>
        <v>0</v>
      </c>
    </row>
    <row r="1033" spans="2:62" hidden="1" outlineLevel="1">
      <c r="B1033" s="1094"/>
      <c r="C1033" s="1071" t="str">
        <f t="shared" ref="C1033:F1033" si="1294">C716</f>
        <v>S025 DATACENTRE LICENSES - HQ</v>
      </c>
      <c r="D1033" s="1071" t="str">
        <f t="shared" si="1294"/>
        <v>IT Network</v>
      </c>
      <c r="E1033" s="1071" t="str">
        <f t="shared" si="1294"/>
        <v>S0250004</v>
      </c>
      <c r="F1033" s="1125">
        <f t="shared" si="1294"/>
        <v>2020</v>
      </c>
      <c r="H1033" s="1071" t="s">
        <v>29</v>
      </c>
      <c r="AZ1033" s="1108"/>
      <c r="BA1033" s="1109"/>
      <c r="BB1033" s="1109"/>
      <c r="BC1033" s="1109"/>
      <c r="BD1033" s="1109"/>
      <c r="BE1033" s="1109"/>
      <c r="BF1033" s="1109">
        <f t="shared" ref="BF1033:BJ1033" si="1295">BF369*$AY66</f>
        <v>0.33102149999999991</v>
      </c>
      <c r="BG1033" s="1109">
        <f t="shared" si="1295"/>
        <v>0.9930684999999998</v>
      </c>
      <c r="BH1033" s="1109">
        <f t="shared" si="1295"/>
        <v>0.9930684999999998</v>
      </c>
      <c r="BI1033" s="1109">
        <f t="shared" si="1295"/>
        <v>0.66204699999999983</v>
      </c>
      <c r="BJ1033" s="1109">
        <f t="shared" si="1295"/>
        <v>0</v>
      </c>
    </row>
    <row r="1034" spans="2:62" hidden="1" outlineLevel="1">
      <c r="B1034" s="1094"/>
      <c r="C1034" s="1071" t="str">
        <f t="shared" ref="C1034:F1034" si="1296">C717</f>
        <v>S025 SUPPORT VMWARE VS 7 - HQ</v>
      </c>
      <c r="D1034" s="1071" t="str">
        <f t="shared" si="1296"/>
        <v>IT Network</v>
      </c>
      <c r="E1034" s="1071" t="str">
        <f t="shared" si="1296"/>
        <v>S0250006</v>
      </c>
      <c r="F1034" s="1125">
        <f t="shared" si="1296"/>
        <v>2020</v>
      </c>
      <c r="H1034" s="1071" t="s">
        <v>29</v>
      </c>
      <c r="AZ1034" s="1108"/>
      <c r="BA1034" s="1109"/>
      <c r="BB1034" s="1109"/>
      <c r="BC1034" s="1109"/>
      <c r="BD1034" s="1109"/>
      <c r="BE1034" s="1109"/>
      <c r="BF1034" s="1109">
        <f t="shared" ref="BF1034:BJ1034" si="1297">BF370*$AY67</f>
        <v>2.8199999999999999E-2</v>
      </c>
      <c r="BG1034" s="1109">
        <f t="shared" si="1297"/>
        <v>0.32924529729729723</v>
      </c>
      <c r="BH1034" s="1109">
        <f t="shared" si="1297"/>
        <v>0.32924529729729723</v>
      </c>
      <c r="BI1034" s="1109">
        <f t="shared" si="1297"/>
        <v>0.32848240540540535</v>
      </c>
      <c r="BJ1034" s="1109">
        <f t="shared" si="1297"/>
        <v>0</v>
      </c>
    </row>
    <row r="1035" spans="2:62" hidden="1" outlineLevel="1">
      <c r="B1035" s="1094"/>
      <c r="C1035" s="1071" t="str">
        <f t="shared" ref="C1035:F1035" si="1298">C718</f>
        <v>S025 MICROSOFT SQL SERVER -BCY</v>
      </c>
      <c r="D1035" s="1071" t="str">
        <f t="shared" si="1298"/>
        <v>IT Network</v>
      </c>
      <c r="E1035" s="1071" t="str">
        <f t="shared" si="1298"/>
        <v>S0250003</v>
      </c>
      <c r="F1035" s="1125">
        <f t="shared" si="1298"/>
        <v>2020</v>
      </c>
      <c r="H1035" s="1071" t="s">
        <v>29</v>
      </c>
      <c r="AZ1035" s="1108"/>
      <c r="BA1035" s="1109"/>
      <c r="BB1035" s="1109"/>
      <c r="BC1035" s="1109"/>
      <c r="BD1035" s="1109"/>
      <c r="BE1035" s="1109"/>
      <c r="BF1035" s="1109">
        <f t="shared" ref="BF1035:BJ1035" si="1299">BF371*$AY68</f>
        <v>1.5927750000000003</v>
      </c>
      <c r="BG1035" s="1109">
        <f t="shared" si="1299"/>
        <v>3.7193529729729731</v>
      </c>
      <c r="BH1035" s="1109">
        <f t="shared" si="1299"/>
        <v>3.7193529729729731</v>
      </c>
      <c r="BI1035" s="1109">
        <f t="shared" si="1299"/>
        <v>2.436524054054054</v>
      </c>
      <c r="BJ1035" s="1109">
        <f t="shared" si="1299"/>
        <v>0</v>
      </c>
    </row>
    <row r="1036" spans="2:62" hidden="1" outlineLevel="1">
      <c r="B1036" s="1094"/>
      <c r="C1036" s="1071" t="str">
        <f t="shared" ref="C1036:F1036" si="1300">C719</f>
        <v>S025 DATACENTRE LICENSES - BCY</v>
      </c>
      <c r="D1036" s="1071" t="str">
        <f t="shared" si="1300"/>
        <v>IT Network</v>
      </c>
      <c r="E1036" s="1071" t="str">
        <f t="shared" si="1300"/>
        <v>S0250005</v>
      </c>
      <c r="F1036" s="1125">
        <f t="shared" si="1300"/>
        <v>2020</v>
      </c>
      <c r="H1036" s="1071" t="s">
        <v>29</v>
      </c>
      <c r="AZ1036" s="1108"/>
      <c r="BA1036" s="1109"/>
      <c r="BB1036" s="1109"/>
      <c r="BC1036" s="1109"/>
      <c r="BD1036" s="1109"/>
      <c r="BE1036" s="1109"/>
      <c r="BF1036" s="1109">
        <f t="shared" ref="BF1036:BJ1036" si="1301">BF372*$AY69</f>
        <v>1.0697025000000002</v>
      </c>
      <c r="BG1036" s="1109">
        <f t="shared" si="1301"/>
        <v>3.2091141666666672</v>
      </c>
      <c r="BH1036" s="1109">
        <f t="shared" si="1301"/>
        <v>3.2091141666666672</v>
      </c>
      <c r="BI1036" s="1109">
        <f t="shared" si="1301"/>
        <v>2.1394116666666667</v>
      </c>
      <c r="BJ1036" s="1109">
        <f t="shared" si="1301"/>
        <v>0</v>
      </c>
    </row>
    <row r="1037" spans="2:62" hidden="1" outlineLevel="1">
      <c r="B1037" s="1094"/>
      <c r="C1037" s="1071" t="str">
        <f t="shared" ref="C1037:F1037" si="1302">C720</f>
        <v>S025 SUPPORT VMWARE VS 7 - BCY</v>
      </c>
      <c r="D1037" s="1071" t="str">
        <f t="shared" si="1302"/>
        <v>IT Network</v>
      </c>
      <c r="E1037" s="1071" t="str">
        <f t="shared" si="1302"/>
        <v>S0250007</v>
      </c>
      <c r="F1037" s="1125">
        <f t="shared" si="1302"/>
        <v>2020</v>
      </c>
      <c r="H1037" s="1071" t="s">
        <v>29</v>
      </c>
      <c r="AZ1037" s="1108"/>
      <c r="BA1037" s="1109"/>
      <c r="BB1037" s="1109"/>
      <c r="BC1037" s="1109"/>
      <c r="BD1037" s="1109"/>
      <c r="BE1037" s="1109"/>
      <c r="BF1037" s="1109">
        <f t="shared" ref="BF1037:BJ1037" si="1303">BF373*$AY70</f>
        <v>9.11275E-2</v>
      </c>
      <c r="BG1037" s="1109">
        <f t="shared" si="1303"/>
        <v>1.0639605405405406</v>
      </c>
      <c r="BH1037" s="1109">
        <f t="shared" si="1303"/>
        <v>1.0639605405405406</v>
      </c>
      <c r="BI1037" s="1109">
        <f t="shared" si="1303"/>
        <v>1.0614964189189189</v>
      </c>
      <c r="BJ1037" s="1109">
        <f t="shared" si="1303"/>
        <v>0</v>
      </c>
    </row>
    <row r="1038" spans="2:62" hidden="1" outlineLevel="1">
      <c r="B1038" s="1094"/>
      <c r="C1038" s="1071" t="str">
        <f t="shared" ref="C1038:F1038" si="1304">C721</f>
        <v>S024 - AGILE HPE ARUBA BCY</v>
      </c>
      <c r="D1038" s="1071" t="str">
        <f t="shared" si="1304"/>
        <v>AGILE HPE ARUBA</v>
      </c>
      <c r="E1038" s="1071" t="str">
        <f t="shared" si="1304"/>
        <v>S0240005</v>
      </c>
      <c r="F1038" s="1125">
        <f t="shared" si="1304"/>
        <v>2020</v>
      </c>
      <c r="H1038" s="1071" t="s">
        <v>29</v>
      </c>
      <c r="AZ1038" s="1108"/>
      <c r="BA1038" s="1109"/>
      <c r="BB1038" s="1109"/>
      <c r="BC1038" s="1109"/>
      <c r="BD1038" s="1109"/>
      <c r="BE1038" s="1109"/>
      <c r="BF1038" s="1109">
        <f t="shared" ref="BF1038:BJ1038" si="1305">BF374*$AY71</f>
        <v>0</v>
      </c>
      <c r="BG1038" s="1109">
        <f t="shared" si="1305"/>
        <v>0</v>
      </c>
      <c r="BH1038" s="1109">
        <f t="shared" si="1305"/>
        <v>0</v>
      </c>
      <c r="BI1038" s="1109">
        <f t="shared" si="1305"/>
        <v>0</v>
      </c>
      <c r="BJ1038" s="1109">
        <f t="shared" si="1305"/>
        <v>0</v>
      </c>
    </row>
    <row r="1039" spans="2:62" hidden="1" outlineLevel="1">
      <c r="B1039" s="1094"/>
      <c r="C1039" s="1071" t="str">
        <f t="shared" ref="C1039:F1039" si="1306">C722</f>
        <v>S024 - AGILE HPE ARUBA DAP</v>
      </c>
      <c r="D1039" s="1071" t="str">
        <f t="shared" si="1306"/>
        <v>AGILE HPE ARUBA</v>
      </c>
      <c r="E1039" s="1071" t="str">
        <f t="shared" si="1306"/>
        <v>S0240009</v>
      </c>
      <c r="F1039" s="1125">
        <f t="shared" si="1306"/>
        <v>2020</v>
      </c>
      <c r="H1039" s="1071" t="s">
        <v>29</v>
      </c>
      <c r="AZ1039" s="1108"/>
      <c r="BA1039" s="1109"/>
      <c r="BB1039" s="1109"/>
      <c r="BC1039" s="1109"/>
      <c r="BD1039" s="1109"/>
      <c r="BE1039" s="1109"/>
      <c r="BF1039" s="1109">
        <f t="shared" ref="BF1039:BJ1039" si="1307">BF375*$AY72</f>
        <v>1.1183725000000002</v>
      </c>
      <c r="BG1039" s="1109">
        <f t="shared" si="1307"/>
        <v>1.9172125</v>
      </c>
      <c r="BH1039" s="1109">
        <f t="shared" si="1307"/>
        <v>1.9172125</v>
      </c>
      <c r="BI1039" s="1109">
        <f t="shared" si="1307"/>
        <v>0.79883999999999999</v>
      </c>
      <c r="BJ1039" s="1109">
        <f t="shared" si="1307"/>
        <v>0</v>
      </c>
    </row>
    <row r="1040" spans="2:62" hidden="1" outlineLevel="1">
      <c r="B1040" s="1094"/>
      <c r="C1040" s="1071" t="str">
        <f t="shared" ref="C1040:F1040" si="1308">C723</f>
        <v>S024 - AGILE HPE ARUBA HQ</v>
      </c>
      <c r="D1040" s="1071" t="str">
        <f t="shared" si="1308"/>
        <v>AGILE HPE ARUBA</v>
      </c>
      <c r="E1040" s="1071" t="str">
        <f t="shared" si="1308"/>
        <v>S0240008</v>
      </c>
      <c r="F1040" s="1125">
        <f t="shared" si="1308"/>
        <v>2020</v>
      </c>
      <c r="H1040" s="1071" t="s">
        <v>29</v>
      </c>
      <c r="AZ1040" s="1108"/>
      <c r="BA1040" s="1109"/>
      <c r="BB1040" s="1109"/>
      <c r="BC1040" s="1109"/>
      <c r="BD1040" s="1109"/>
      <c r="BE1040" s="1109"/>
      <c r="BF1040" s="1109">
        <f t="shared" ref="BF1040:BJ1040" si="1309">BF376*$AY73</f>
        <v>0.61602449999999986</v>
      </c>
      <c r="BG1040" s="1109">
        <f t="shared" si="1309"/>
        <v>1.0560459999999998</v>
      </c>
      <c r="BH1040" s="1109">
        <f t="shared" si="1309"/>
        <v>1.0560459999999998</v>
      </c>
      <c r="BI1040" s="1109">
        <f t="shared" si="1309"/>
        <v>0.44002149999999984</v>
      </c>
      <c r="BJ1040" s="1109">
        <f t="shared" si="1309"/>
        <v>0</v>
      </c>
    </row>
    <row r="1041" spans="2:62" hidden="1" outlineLevel="1">
      <c r="B1041" s="1094"/>
      <c r="C1041" s="1071" t="str">
        <f t="shared" ref="C1041:F1041" si="1310">C724</f>
        <v>S024 - AGILE HPE ARUBA SHN</v>
      </c>
      <c r="D1041" s="1071" t="str">
        <f t="shared" si="1310"/>
        <v>AGILE HPE ARUBA</v>
      </c>
      <c r="E1041" s="1071" t="str">
        <f t="shared" si="1310"/>
        <v>S0240006</v>
      </c>
      <c r="F1041" s="1125">
        <f t="shared" si="1310"/>
        <v>2020</v>
      </c>
      <c r="H1041" s="1071" t="s">
        <v>29</v>
      </c>
      <c r="AZ1041" s="1108"/>
      <c r="BA1041" s="1109"/>
      <c r="BB1041" s="1109"/>
      <c r="BC1041" s="1109"/>
      <c r="BD1041" s="1109"/>
      <c r="BE1041" s="1109"/>
      <c r="BF1041" s="1109">
        <f t="shared" ref="BF1041:BJ1041" si="1311">BF377*$AY74</f>
        <v>0.19526499999999994</v>
      </c>
      <c r="BG1041" s="1109">
        <f t="shared" si="1311"/>
        <v>0.33475166666666667</v>
      </c>
      <c r="BH1041" s="1109">
        <f t="shared" si="1311"/>
        <v>0.33475166666666667</v>
      </c>
      <c r="BI1041" s="1109">
        <f t="shared" si="1311"/>
        <v>0.13948666666666665</v>
      </c>
      <c r="BJ1041" s="1109">
        <f t="shared" si="1311"/>
        <v>0</v>
      </c>
    </row>
    <row r="1042" spans="2:62" hidden="1" outlineLevel="1">
      <c r="B1042" s="1094"/>
      <c r="C1042" s="1071" t="str">
        <f t="shared" ref="C1042:F1042" si="1312">C725</f>
        <v>S024 - AGILE HPE ARUBA Cork</v>
      </c>
      <c r="D1042" s="1071" t="str">
        <f t="shared" si="1312"/>
        <v>AGILE HPE ARUBA</v>
      </c>
      <c r="E1042" s="1071" t="str">
        <f t="shared" si="1312"/>
        <v>S0240010</v>
      </c>
      <c r="F1042" s="1125">
        <f t="shared" si="1312"/>
        <v>2020</v>
      </c>
      <c r="H1042" s="1071" t="s">
        <v>29</v>
      </c>
      <c r="AZ1042" s="1108"/>
      <c r="BA1042" s="1109"/>
      <c r="BB1042" s="1109"/>
      <c r="BC1042" s="1109"/>
      <c r="BD1042" s="1109"/>
      <c r="BE1042" s="1109"/>
      <c r="BF1042" s="1109">
        <f t="shared" ref="BF1042:BJ1042" si="1313">BF378*$AY75</f>
        <v>0.39052999999999988</v>
      </c>
      <c r="BG1042" s="1109">
        <f t="shared" si="1313"/>
        <v>0.66950333333333334</v>
      </c>
      <c r="BH1042" s="1109">
        <f t="shared" si="1313"/>
        <v>0.66950333333333334</v>
      </c>
      <c r="BI1042" s="1109">
        <f t="shared" si="1313"/>
        <v>0.2789733333333333</v>
      </c>
      <c r="BJ1042" s="1109">
        <f t="shared" si="1313"/>
        <v>0</v>
      </c>
    </row>
    <row r="1043" spans="2:62" hidden="1" outlineLevel="1">
      <c r="B1043" s="1094"/>
      <c r="C1043" s="1071" t="str">
        <f t="shared" ref="C1043:F1043" si="1314">C726</f>
        <v>N008 - RAPS-SMD SENSOR MONITOR &amp; Analysis</v>
      </c>
      <c r="D1043" s="1071" t="str">
        <f t="shared" si="1314"/>
        <v>RAPS-SMD SENSOR MONITOR &amp; Analysis</v>
      </c>
      <c r="E1043" s="1071" t="str">
        <f t="shared" si="1314"/>
        <v>N0080007</v>
      </c>
      <c r="F1043" s="1125">
        <f t="shared" si="1314"/>
        <v>2020</v>
      </c>
      <c r="H1043" s="1071" t="s">
        <v>29</v>
      </c>
      <c r="AZ1043" s="1108"/>
      <c r="BA1043" s="1109"/>
      <c r="BB1043" s="1109"/>
      <c r="BC1043" s="1109"/>
      <c r="BD1043" s="1109"/>
      <c r="BE1043" s="1109"/>
      <c r="BF1043" s="1109">
        <f t="shared" ref="BF1043:BJ1043" si="1315">BF379*$AY76</f>
        <v>2.13334</v>
      </c>
      <c r="BG1043" s="1109">
        <f t="shared" si="1315"/>
        <v>3.2</v>
      </c>
      <c r="BH1043" s="1109">
        <f t="shared" si="1315"/>
        <v>3.2</v>
      </c>
      <c r="BI1043" s="1109">
        <f t="shared" si="1315"/>
        <v>3.2</v>
      </c>
      <c r="BJ1043" s="1109">
        <f t="shared" si="1315"/>
        <v>3.2</v>
      </c>
    </row>
    <row r="1044" spans="2:62" hidden="1" outlineLevel="1">
      <c r="B1044" s="1094"/>
      <c r="C1044" s="1071" t="str">
        <f t="shared" ref="C1044:F1044" si="1316">C727</f>
        <v>T017 - OPTIPLEX5060 W20007783</v>
      </c>
      <c r="D1044" s="1071" t="str">
        <f t="shared" si="1316"/>
        <v>IT Equipment</v>
      </c>
      <c r="E1044" s="1071" t="str">
        <f t="shared" si="1316"/>
        <v>T0170203</v>
      </c>
      <c r="F1044" s="1125">
        <f t="shared" si="1316"/>
        <v>2020</v>
      </c>
      <c r="H1044" s="1071" t="s">
        <v>29</v>
      </c>
      <c r="AZ1044" s="1108"/>
      <c r="BA1044" s="1109"/>
      <c r="BB1044" s="1109"/>
      <c r="BC1044" s="1109"/>
      <c r="BD1044" s="1109"/>
      <c r="BE1044" s="1109"/>
      <c r="BF1044" s="1109">
        <f t="shared" ref="BF1044:BJ1044" si="1317">BF380*$AY77</f>
        <v>2.9172499999999997E-2</v>
      </c>
      <c r="BG1044" s="1109">
        <f t="shared" si="1317"/>
        <v>4.9999999999999996E-2</v>
      </c>
      <c r="BH1044" s="1109">
        <f t="shared" si="1317"/>
        <v>4.9999999999999996E-2</v>
      </c>
      <c r="BI1044" s="1109">
        <f t="shared" si="1317"/>
        <v>2.0827499999999999E-2</v>
      </c>
      <c r="BJ1044" s="1109">
        <f t="shared" si="1317"/>
        <v>0</v>
      </c>
    </row>
    <row r="1045" spans="2:62" hidden="1" outlineLevel="1">
      <c r="B1045" s="1094"/>
      <c r="C1045" s="1071" t="str">
        <f t="shared" ref="C1045:F1045" si="1318">C728</f>
        <v>T017 - OPTIPLEX5060 W20007913</v>
      </c>
      <c r="D1045" s="1071" t="str">
        <f t="shared" si="1318"/>
        <v>IT Equipment</v>
      </c>
      <c r="E1045" s="1071" t="str">
        <f t="shared" si="1318"/>
        <v>T0170211</v>
      </c>
      <c r="F1045" s="1125">
        <f t="shared" si="1318"/>
        <v>2020</v>
      </c>
      <c r="H1045" s="1071" t="s">
        <v>29</v>
      </c>
      <c r="AZ1045" s="1108"/>
      <c r="BA1045" s="1109"/>
      <c r="BB1045" s="1109"/>
      <c r="BC1045" s="1109"/>
      <c r="BD1045" s="1109"/>
      <c r="BE1045" s="1109"/>
      <c r="BF1045" s="1109">
        <f t="shared" ref="BF1045:BJ1045" si="1319">BF381*$AY78</f>
        <v>2.9172499999999997E-2</v>
      </c>
      <c r="BG1045" s="1109">
        <f t="shared" si="1319"/>
        <v>4.9999999999999996E-2</v>
      </c>
      <c r="BH1045" s="1109">
        <f t="shared" si="1319"/>
        <v>4.9999999999999996E-2</v>
      </c>
      <c r="BI1045" s="1109">
        <f t="shared" si="1319"/>
        <v>2.0827499999999999E-2</v>
      </c>
      <c r="BJ1045" s="1109">
        <f t="shared" si="1319"/>
        <v>0</v>
      </c>
    </row>
    <row r="1046" spans="2:62" hidden="1" outlineLevel="1">
      <c r="B1046" s="1094"/>
      <c r="C1046" s="1071" t="str">
        <f t="shared" ref="C1046:F1046" si="1320">C729</f>
        <v>T017 - TOSHIBA X20 W20008068</v>
      </c>
      <c r="D1046" s="1071" t="str">
        <f t="shared" si="1320"/>
        <v>IT Equipment</v>
      </c>
      <c r="E1046" s="1071" t="str">
        <f t="shared" si="1320"/>
        <v>T0170213</v>
      </c>
      <c r="F1046" s="1125">
        <f t="shared" si="1320"/>
        <v>2020</v>
      </c>
      <c r="H1046" s="1071" t="s">
        <v>29</v>
      </c>
      <c r="AZ1046" s="1108"/>
      <c r="BA1046" s="1109"/>
      <c r="BB1046" s="1109"/>
      <c r="BC1046" s="1109"/>
      <c r="BD1046" s="1109"/>
      <c r="BE1046" s="1109"/>
      <c r="BF1046" s="1109">
        <f t="shared" ref="BF1046:BJ1046" si="1321">BF382*$AY79</f>
        <v>4.3784999999999998E-2</v>
      </c>
      <c r="BG1046" s="1109">
        <f t="shared" si="1321"/>
        <v>7.3022432432432435E-2</v>
      </c>
      <c r="BH1046" s="1109">
        <f t="shared" si="1321"/>
        <v>7.3022432432432435E-2</v>
      </c>
      <c r="BI1046" s="1109">
        <f t="shared" si="1321"/>
        <v>3.5322635135135137E-2</v>
      </c>
      <c r="BJ1046" s="1109">
        <f t="shared" si="1321"/>
        <v>0</v>
      </c>
    </row>
    <row r="1047" spans="2:62" hidden="1" outlineLevel="1">
      <c r="B1047" s="1094"/>
      <c r="C1047" s="1071" t="str">
        <f t="shared" ref="C1047:F1047" si="1322">C730</f>
        <v>T017 - TOSHIBA X20 W20008012</v>
      </c>
      <c r="D1047" s="1071" t="str">
        <f t="shared" si="1322"/>
        <v>IT Equipment</v>
      </c>
      <c r="E1047" s="1071" t="str">
        <f t="shared" si="1322"/>
        <v>T0170235</v>
      </c>
      <c r="F1047" s="1125">
        <f t="shared" si="1322"/>
        <v>2020</v>
      </c>
      <c r="H1047" s="1071" t="s">
        <v>29</v>
      </c>
      <c r="AZ1047" s="1108"/>
      <c r="BA1047" s="1109"/>
      <c r="BB1047" s="1109"/>
      <c r="BC1047" s="1109"/>
      <c r="BD1047" s="1109"/>
      <c r="BE1047" s="1109"/>
      <c r="BF1047" s="1109">
        <f t="shared" ref="BF1047:BJ1047" si="1323">BF383*$AY80</f>
        <v>7.3227500000000015E-2</v>
      </c>
      <c r="BG1047" s="1109">
        <f t="shared" si="1323"/>
        <v>0.12553416666666667</v>
      </c>
      <c r="BH1047" s="1109">
        <f t="shared" si="1323"/>
        <v>0.12553416666666667</v>
      </c>
      <c r="BI1047" s="1109">
        <f t="shared" si="1323"/>
        <v>5.2306666666666682E-2</v>
      </c>
      <c r="BJ1047" s="1109">
        <f t="shared" si="1323"/>
        <v>0</v>
      </c>
    </row>
    <row r="1048" spans="2:62" hidden="1" outlineLevel="1">
      <c r="B1048" s="1094"/>
      <c r="C1048" s="1071" t="str">
        <f t="shared" ref="C1048:F1048" si="1324">C731</f>
        <v>T017 - HP G7 CORE W20008095</v>
      </c>
      <c r="D1048" s="1071" t="str">
        <f t="shared" si="1324"/>
        <v>IT Equipment</v>
      </c>
      <c r="E1048" s="1071" t="str">
        <f t="shared" si="1324"/>
        <v>T0170249</v>
      </c>
      <c r="F1048" s="1125">
        <f t="shared" si="1324"/>
        <v>2020</v>
      </c>
      <c r="H1048" s="1071" t="s">
        <v>29</v>
      </c>
      <c r="AZ1048" s="1108"/>
      <c r="BA1048" s="1109"/>
      <c r="BB1048" s="1109"/>
      <c r="BC1048" s="1109"/>
      <c r="BD1048" s="1109"/>
      <c r="BE1048" s="1109"/>
      <c r="BF1048" s="1109">
        <f t="shared" ref="BF1048:BJ1048" si="1325">BF384*$AY81</f>
        <v>3.3789999999999994E-2</v>
      </c>
      <c r="BG1048" s="1109">
        <f t="shared" si="1325"/>
        <v>5.7916666666666665E-2</v>
      </c>
      <c r="BH1048" s="1109">
        <f t="shared" si="1325"/>
        <v>5.7916666666666665E-2</v>
      </c>
      <c r="BI1048" s="1109">
        <f t="shared" si="1325"/>
        <v>2.4126666666666671E-2</v>
      </c>
      <c r="BJ1048" s="1109">
        <f t="shared" si="1325"/>
        <v>0</v>
      </c>
    </row>
    <row r="1049" spans="2:62" hidden="1" outlineLevel="1">
      <c r="B1049" s="1094"/>
      <c r="C1049" s="1071" t="str">
        <f t="shared" ref="C1049:F1049" si="1326">C732</f>
        <v>T017 - TOSHIBA W20008013</v>
      </c>
      <c r="D1049" s="1071" t="str">
        <f t="shared" si="1326"/>
        <v>IT Equipment</v>
      </c>
      <c r="E1049" s="1071" t="str">
        <f t="shared" si="1326"/>
        <v>T0170258</v>
      </c>
      <c r="F1049" s="1125">
        <f t="shared" si="1326"/>
        <v>2020</v>
      </c>
      <c r="H1049" s="1071" t="s">
        <v>29</v>
      </c>
      <c r="AZ1049" s="1108"/>
      <c r="BA1049" s="1109"/>
      <c r="BB1049" s="1109"/>
      <c r="BC1049" s="1109"/>
      <c r="BD1049" s="1109"/>
      <c r="BE1049" s="1109"/>
      <c r="BF1049" s="1109">
        <f t="shared" ref="BF1049:BJ1049" si="1327">BF385*$AY82</f>
        <v>0.101995</v>
      </c>
      <c r="BG1049" s="1109">
        <f t="shared" si="1327"/>
        <v>0.12553416666666667</v>
      </c>
      <c r="BH1049" s="1109">
        <f t="shared" si="1327"/>
        <v>0.12553416666666667</v>
      </c>
      <c r="BI1049" s="1109">
        <f t="shared" si="1327"/>
        <v>2.3539166666666701E-2</v>
      </c>
      <c r="BJ1049" s="1109">
        <f t="shared" si="1327"/>
        <v>0</v>
      </c>
    </row>
    <row r="1050" spans="2:62" hidden="1" outlineLevel="1">
      <c r="B1050" s="1094"/>
      <c r="C1050" s="1071" t="str">
        <f t="shared" ref="C1050:F1050" si="1328">C733</f>
        <v>T017 - TOSHIBA W20008083</v>
      </c>
      <c r="D1050" s="1071" t="str">
        <f t="shared" si="1328"/>
        <v>IT Equipment</v>
      </c>
      <c r="E1050" s="1071" t="str">
        <f t="shared" si="1328"/>
        <v>T0170260</v>
      </c>
      <c r="F1050" s="1125">
        <f t="shared" si="1328"/>
        <v>2020</v>
      </c>
      <c r="H1050" s="1071" t="s">
        <v>29</v>
      </c>
      <c r="AZ1050" s="1108"/>
      <c r="BA1050" s="1109"/>
      <c r="BB1050" s="1109"/>
      <c r="BC1050" s="1109"/>
      <c r="BD1050" s="1109"/>
      <c r="BE1050" s="1109"/>
      <c r="BF1050" s="1109">
        <f t="shared" ref="BF1050:BJ1050" si="1329">BF386*$AY83</f>
        <v>6.2549999999999994E-2</v>
      </c>
      <c r="BG1050" s="1109">
        <f t="shared" si="1329"/>
        <v>7.3022432432432435E-2</v>
      </c>
      <c r="BH1050" s="1109">
        <f t="shared" si="1329"/>
        <v>7.3022432432432435E-2</v>
      </c>
      <c r="BI1050" s="1109">
        <f t="shared" si="1329"/>
        <v>1.6557635135135119E-2</v>
      </c>
      <c r="BJ1050" s="1109">
        <f t="shared" si="1329"/>
        <v>0</v>
      </c>
    </row>
    <row r="1051" spans="2:62" hidden="1" outlineLevel="1">
      <c r="B1051" s="1094"/>
      <c r="C1051" s="1071" t="str">
        <f t="shared" ref="C1051:F1051" si="1330">C734</f>
        <v>T017 - TOSHIBA W20008068</v>
      </c>
      <c r="D1051" s="1071" t="str">
        <f t="shared" si="1330"/>
        <v>IT Equipment</v>
      </c>
      <c r="E1051" s="1071" t="str">
        <f t="shared" si="1330"/>
        <v>T0170261</v>
      </c>
      <c r="F1051" s="1125">
        <f t="shared" si="1330"/>
        <v>2020</v>
      </c>
      <c r="H1051" s="1071" t="s">
        <v>29</v>
      </c>
      <c r="AZ1051" s="1108"/>
      <c r="BA1051" s="1109"/>
      <c r="BB1051" s="1109"/>
      <c r="BC1051" s="1109"/>
      <c r="BD1051" s="1109"/>
      <c r="BE1051" s="1109"/>
      <c r="BF1051" s="1109">
        <f t="shared" ref="BF1051:BJ1051" si="1331">BF387*$AY84</f>
        <v>2.9452500000000006E-2</v>
      </c>
      <c r="BG1051" s="1109">
        <f t="shared" si="1331"/>
        <v>5.0483333333333338E-2</v>
      </c>
      <c r="BH1051" s="1109">
        <f t="shared" si="1331"/>
        <v>5.0483333333333338E-2</v>
      </c>
      <c r="BI1051" s="1109">
        <f t="shared" si="1331"/>
        <v>2.1030833333333325E-2</v>
      </c>
      <c r="BJ1051" s="1109">
        <f t="shared" si="1331"/>
        <v>0</v>
      </c>
    </row>
    <row r="1052" spans="2:62" hidden="1" outlineLevel="1">
      <c r="B1052" s="1094"/>
      <c r="C1052" s="1071" t="str">
        <f t="shared" ref="C1052:F1052" si="1332">C735</f>
        <v>T017 - TOSHIBA W20008069</v>
      </c>
      <c r="D1052" s="1071" t="str">
        <f t="shared" si="1332"/>
        <v>IT Equipment</v>
      </c>
      <c r="E1052" s="1071" t="str">
        <f t="shared" si="1332"/>
        <v>T0170262</v>
      </c>
      <c r="F1052" s="1125">
        <f t="shared" si="1332"/>
        <v>2020</v>
      </c>
      <c r="H1052" s="1071" t="s">
        <v>29</v>
      </c>
      <c r="AZ1052" s="1108"/>
      <c r="BA1052" s="1109"/>
      <c r="BB1052" s="1109"/>
      <c r="BC1052" s="1109"/>
      <c r="BD1052" s="1109"/>
      <c r="BE1052" s="1109"/>
      <c r="BF1052" s="1109">
        <f t="shared" ref="BF1052:BJ1052" si="1333">BF388*$AY85</f>
        <v>2.9452500000000006E-2</v>
      </c>
      <c r="BG1052" s="1109">
        <f t="shared" si="1333"/>
        <v>5.0483333333333338E-2</v>
      </c>
      <c r="BH1052" s="1109">
        <f t="shared" si="1333"/>
        <v>5.0483333333333338E-2</v>
      </c>
      <c r="BI1052" s="1109">
        <f t="shared" si="1333"/>
        <v>2.1030833333333325E-2</v>
      </c>
      <c r="BJ1052" s="1109">
        <f t="shared" si="1333"/>
        <v>0</v>
      </c>
    </row>
    <row r="1053" spans="2:62" hidden="1" outlineLevel="1">
      <c r="B1053" s="1094"/>
      <c r="C1053" s="1071" t="str">
        <f t="shared" ref="C1053:F1053" si="1334">C736</f>
        <v>T017 - TOSHIBA W20008081</v>
      </c>
      <c r="D1053" s="1071" t="str">
        <f t="shared" si="1334"/>
        <v>IT Equipment</v>
      </c>
      <c r="E1053" s="1071" t="str">
        <f t="shared" si="1334"/>
        <v>T0170273</v>
      </c>
      <c r="F1053" s="1125">
        <f t="shared" si="1334"/>
        <v>2020</v>
      </c>
      <c r="H1053" s="1071" t="s">
        <v>29</v>
      </c>
      <c r="AZ1053" s="1108"/>
      <c r="BA1053" s="1109"/>
      <c r="BB1053" s="1109"/>
      <c r="BC1053" s="1109"/>
      <c r="BD1053" s="1109"/>
      <c r="BE1053" s="1109"/>
      <c r="BF1053" s="1109">
        <f t="shared" ref="BF1053:BJ1053" si="1335">BF389*$AY86</f>
        <v>2.9452500000000006E-2</v>
      </c>
      <c r="BG1053" s="1109">
        <f t="shared" si="1335"/>
        <v>5.0483333333333338E-2</v>
      </c>
      <c r="BH1053" s="1109">
        <f t="shared" si="1335"/>
        <v>5.0483333333333338E-2</v>
      </c>
      <c r="BI1053" s="1109">
        <f t="shared" si="1335"/>
        <v>2.1030833333333325E-2</v>
      </c>
      <c r="BJ1053" s="1109">
        <f t="shared" si="1335"/>
        <v>0</v>
      </c>
    </row>
    <row r="1054" spans="2:62" hidden="1" outlineLevel="1">
      <c r="B1054" s="1094"/>
      <c r="C1054" s="1071" t="str">
        <f t="shared" ref="C1054:F1054" si="1336">C737</f>
        <v>T017 - TOSHIBA W20008077</v>
      </c>
      <c r="D1054" s="1071" t="str">
        <f t="shared" si="1336"/>
        <v>IT Equipment</v>
      </c>
      <c r="E1054" s="1071" t="str">
        <f t="shared" si="1336"/>
        <v>T0170291</v>
      </c>
      <c r="F1054" s="1125">
        <f t="shared" si="1336"/>
        <v>2020</v>
      </c>
      <c r="H1054" s="1071" t="s">
        <v>29</v>
      </c>
      <c r="AZ1054" s="1108"/>
      <c r="BA1054" s="1109"/>
      <c r="BB1054" s="1109"/>
      <c r="BC1054" s="1109"/>
      <c r="BD1054" s="1109"/>
      <c r="BE1054" s="1109"/>
      <c r="BF1054" s="1109">
        <f t="shared" ref="BF1054:BJ1054" si="1337">BF390*$AY87</f>
        <v>6.2549999999999994E-2</v>
      </c>
      <c r="BG1054" s="1109">
        <f t="shared" si="1337"/>
        <v>7.3022432432432435E-2</v>
      </c>
      <c r="BH1054" s="1109">
        <f t="shared" si="1337"/>
        <v>7.3022432432432435E-2</v>
      </c>
      <c r="BI1054" s="1109">
        <f t="shared" si="1337"/>
        <v>1.6557635135135119E-2</v>
      </c>
      <c r="BJ1054" s="1109">
        <f t="shared" si="1337"/>
        <v>0</v>
      </c>
    </row>
    <row r="1055" spans="2:62" hidden="1" outlineLevel="1">
      <c r="B1055" s="1094"/>
      <c r="C1055" s="1071" t="str">
        <f t="shared" ref="C1055:F1055" si="1338">C738</f>
        <v>T017 - W20008077</v>
      </c>
      <c r="D1055" s="1071" t="str">
        <f t="shared" si="1338"/>
        <v>IT Equipment</v>
      </c>
      <c r="E1055" s="1071" t="str">
        <f t="shared" si="1338"/>
        <v>T0170292</v>
      </c>
      <c r="F1055" s="1125">
        <f t="shared" si="1338"/>
        <v>2020</v>
      </c>
      <c r="H1055" s="1071" t="s">
        <v>29</v>
      </c>
      <c r="AZ1055" s="1108"/>
      <c r="BA1055" s="1109"/>
      <c r="BB1055" s="1109"/>
      <c r="BC1055" s="1109"/>
      <c r="BD1055" s="1109"/>
      <c r="BE1055" s="1109"/>
      <c r="BF1055" s="1109">
        <f t="shared" ref="BF1055:BJ1055" si="1339">BF391*$AY88</f>
        <v>2.9452500000000006E-2</v>
      </c>
      <c r="BG1055" s="1109">
        <f t="shared" si="1339"/>
        <v>5.0483333333333338E-2</v>
      </c>
      <c r="BH1055" s="1109">
        <f t="shared" si="1339"/>
        <v>5.0483333333333338E-2</v>
      </c>
      <c r="BI1055" s="1109">
        <f t="shared" si="1339"/>
        <v>2.1030833333333325E-2</v>
      </c>
      <c r="BJ1055" s="1109">
        <f t="shared" si="1339"/>
        <v>0</v>
      </c>
    </row>
    <row r="1056" spans="2:62" hidden="1" outlineLevel="1">
      <c r="B1056" s="1094"/>
      <c r="C1056" s="1071" t="str">
        <f t="shared" ref="C1056:F1056" si="1340">C739</f>
        <v>T017 - TOSHIBA W20008083</v>
      </c>
      <c r="D1056" s="1071" t="str">
        <f t="shared" si="1340"/>
        <v>IT Equipment</v>
      </c>
      <c r="E1056" s="1071" t="str">
        <f t="shared" si="1340"/>
        <v>T0170294</v>
      </c>
      <c r="F1056" s="1125">
        <f t="shared" si="1340"/>
        <v>2020</v>
      </c>
      <c r="H1056" s="1071" t="s">
        <v>29</v>
      </c>
      <c r="AZ1056" s="1108"/>
      <c r="BA1056" s="1109"/>
      <c r="BB1056" s="1109"/>
      <c r="BC1056" s="1109"/>
      <c r="BD1056" s="1109"/>
      <c r="BE1056" s="1109"/>
      <c r="BF1056" s="1109">
        <f t="shared" ref="BF1056:BJ1056" si="1341">BF392*$AY89</f>
        <v>2.9452500000000006E-2</v>
      </c>
      <c r="BG1056" s="1109">
        <f t="shared" si="1341"/>
        <v>5.0483333333333338E-2</v>
      </c>
      <c r="BH1056" s="1109">
        <f t="shared" si="1341"/>
        <v>5.0483333333333338E-2</v>
      </c>
      <c r="BI1056" s="1109">
        <f t="shared" si="1341"/>
        <v>2.1030833333333325E-2</v>
      </c>
      <c r="BJ1056" s="1109">
        <f t="shared" si="1341"/>
        <v>0</v>
      </c>
    </row>
    <row r="1057" spans="2:62" hidden="1" outlineLevel="1">
      <c r="B1057" s="1094"/>
      <c r="C1057" s="1071" t="str">
        <f t="shared" ref="C1057:F1057" si="1342">C740</f>
        <v>T017 - OPTIPLEX5060 W20007867</v>
      </c>
      <c r="D1057" s="1071" t="str">
        <f t="shared" si="1342"/>
        <v>IT Equipment</v>
      </c>
      <c r="E1057" s="1071" t="str">
        <f t="shared" si="1342"/>
        <v>T0170205</v>
      </c>
      <c r="F1057" s="1125">
        <f t="shared" si="1342"/>
        <v>2020</v>
      </c>
      <c r="H1057" s="1071" t="s">
        <v>29</v>
      </c>
      <c r="AZ1057" s="1108"/>
      <c r="BA1057" s="1109"/>
      <c r="BB1057" s="1109"/>
      <c r="BC1057" s="1109"/>
      <c r="BD1057" s="1109"/>
      <c r="BE1057" s="1109"/>
      <c r="BF1057" s="1109">
        <f t="shared" ref="BF1057:BJ1057" si="1343">BF393*$AY90</f>
        <v>1.7503499999999998E-2</v>
      </c>
      <c r="BG1057" s="1109">
        <f t="shared" si="1343"/>
        <v>2.9999999999999995E-2</v>
      </c>
      <c r="BH1057" s="1109">
        <f t="shared" si="1343"/>
        <v>2.9999999999999995E-2</v>
      </c>
      <c r="BI1057" s="1109">
        <f t="shared" si="1343"/>
        <v>1.2496499999999999E-2</v>
      </c>
      <c r="BJ1057" s="1109">
        <f t="shared" si="1343"/>
        <v>0</v>
      </c>
    </row>
    <row r="1058" spans="2:62" hidden="1" outlineLevel="1">
      <c r="B1058" s="1094"/>
      <c r="C1058" s="1071" t="str">
        <f t="shared" ref="C1058:F1058" si="1344">C741</f>
        <v>T017 - OPTIPLEX5060 W20007900</v>
      </c>
      <c r="D1058" s="1071" t="str">
        <f t="shared" si="1344"/>
        <v>IT Equipment</v>
      </c>
      <c r="E1058" s="1071" t="str">
        <f t="shared" si="1344"/>
        <v>T0170206</v>
      </c>
      <c r="F1058" s="1125">
        <f t="shared" si="1344"/>
        <v>2020</v>
      </c>
      <c r="H1058" s="1071" t="s">
        <v>29</v>
      </c>
      <c r="AZ1058" s="1108"/>
      <c r="BA1058" s="1109"/>
      <c r="BB1058" s="1109"/>
      <c r="BC1058" s="1109"/>
      <c r="BD1058" s="1109"/>
      <c r="BE1058" s="1109"/>
      <c r="BF1058" s="1109">
        <f t="shared" ref="BF1058:BJ1058" si="1345">BF394*$AY91</f>
        <v>1.7503499999999998E-2</v>
      </c>
      <c r="BG1058" s="1109">
        <f t="shared" si="1345"/>
        <v>2.9999999999999995E-2</v>
      </c>
      <c r="BH1058" s="1109">
        <f t="shared" si="1345"/>
        <v>2.9999999999999995E-2</v>
      </c>
      <c r="BI1058" s="1109">
        <f t="shared" si="1345"/>
        <v>1.2496499999999999E-2</v>
      </c>
      <c r="BJ1058" s="1109">
        <f t="shared" si="1345"/>
        <v>0</v>
      </c>
    </row>
    <row r="1059" spans="2:62" hidden="1" outlineLevel="1">
      <c r="B1059" s="1094"/>
      <c r="C1059" s="1071" t="str">
        <f t="shared" ref="C1059:F1059" si="1346">C742</f>
        <v>T017 - OPTIPLEX5060 W20007906</v>
      </c>
      <c r="D1059" s="1071" t="str">
        <f t="shared" si="1346"/>
        <v>IT Equipment</v>
      </c>
      <c r="E1059" s="1071" t="str">
        <f t="shared" si="1346"/>
        <v>T0170209</v>
      </c>
      <c r="F1059" s="1125">
        <f t="shared" si="1346"/>
        <v>2020</v>
      </c>
      <c r="H1059" s="1071" t="s">
        <v>29</v>
      </c>
      <c r="AZ1059" s="1108"/>
      <c r="BA1059" s="1109"/>
      <c r="BB1059" s="1109"/>
      <c r="BC1059" s="1109"/>
      <c r="BD1059" s="1109"/>
      <c r="BE1059" s="1109"/>
      <c r="BF1059" s="1109">
        <f t="shared" ref="BF1059:BJ1059" si="1347">BF395*$AY92</f>
        <v>1.7503499999999998E-2</v>
      </c>
      <c r="BG1059" s="1109">
        <f t="shared" si="1347"/>
        <v>2.9999999999999995E-2</v>
      </c>
      <c r="BH1059" s="1109">
        <f t="shared" si="1347"/>
        <v>2.9999999999999995E-2</v>
      </c>
      <c r="BI1059" s="1109">
        <f t="shared" si="1347"/>
        <v>1.2496499999999999E-2</v>
      </c>
      <c r="BJ1059" s="1109">
        <f t="shared" si="1347"/>
        <v>0</v>
      </c>
    </row>
    <row r="1060" spans="2:62" hidden="1" outlineLevel="1">
      <c r="B1060" s="1094"/>
      <c r="C1060" s="1071" t="str">
        <f t="shared" ref="C1060:F1060" si="1348">C743</f>
        <v>T017 - TOSHIBA X20 W20008070</v>
      </c>
      <c r="D1060" s="1071" t="str">
        <f t="shared" si="1348"/>
        <v>IT Equipment</v>
      </c>
      <c r="E1060" s="1071" t="str">
        <f t="shared" si="1348"/>
        <v>T0170215</v>
      </c>
      <c r="F1060" s="1125">
        <f t="shared" si="1348"/>
        <v>2020</v>
      </c>
      <c r="H1060" s="1071" t="s">
        <v>29</v>
      </c>
      <c r="AZ1060" s="1108"/>
      <c r="BA1060" s="1109"/>
      <c r="BB1060" s="1109"/>
      <c r="BC1060" s="1109"/>
      <c r="BD1060" s="1109"/>
      <c r="BE1060" s="1109"/>
      <c r="BF1060" s="1109">
        <f t="shared" ref="BF1060:BJ1060" si="1349">BF396*$AY93</f>
        <v>2.6270999999999999E-2</v>
      </c>
      <c r="BG1060" s="1109">
        <f t="shared" si="1349"/>
        <v>4.3813459459459463E-2</v>
      </c>
      <c r="BH1060" s="1109">
        <f t="shared" si="1349"/>
        <v>4.3813459459459463E-2</v>
      </c>
      <c r="BI1060" s="1109">
        <f t="shared" si="1349"/>
        <v>2.1193581081081082E-2</v>
      </c>
      <c r="BJ1060" s="1109">
        <f t="shared" si="1349"/>
        <v>0</v>
      </c>
    </row>
    <row r="1061" spans="2:62" hidden="1" outlineLevel="1">
      <c r="B1061" s="1094"/>
      <c r="C1061" s="1071" t="str">
        <f t="shared" ref="C1061:F1061" si="1350">C744</f>
        <v>T017 - TOSHIBA X20 W20008085</v>
      </c>
      <c r="D1061" s="1071" t="str">
        <f t="shared" si="1350"/>
        <v>IT Equipment</v>
      </c>
      <c r="E1061" s="1071" t="str">
        <f t="shared" si="1350"/>
        <v>T0170226</v>
      </c>
      <c r="F1061" s="1125">
        <f t="shared" si="1350"/>
        <v>2020</v>
      </c>
      <c r="H1061" s="1071" t="s">
        <v>29</v>
      </c>
      <c r="AZ1061" s="1108"/>
      <c r="BA1061" s="1109"/>
      <c r="BB1061" s="1109"/>
      <c r="BC1061" s="1109"/>
      <c r="BD1061" s="1109"/>
      <c r="BE1061" s="1109"/>
      <c r="BF1061" s="1109">
        <f t="shared" ref="BF1061:BJ1061" si="1351">BF397*$AY94</f>
        <v>2.6270999999999999E-2</v>
      </c>
      <c r="BG1061" s="1109">
        <f t="shared" si="1351"/>
        <v>4.3813459459459463E-2</v>
      </c>
      <c r="BH1061" s="1109">
        <f t="shared" si="1351"/>
        <v>4.3813459459459463E-2</v>
      </c>
      <c r="BI1061" s="1109">
        <f t="shared" si="1351"/>
        <v>2.1193581081081082E-2</v>
      </c>
      <c r="BJ1061" s="1109">
        <f t="shared" si="1351"/>
        <v>0</v>
      </c>
    </row>
    <row r="1062" spans="2:62" hidden="1" outlineLevel="1">
      <c r="B1062" s="1094"/>
      <c r="C1062" s="1071" t="str">
        <f t="shared" ref="C1062:F1062" si="1352">C745</f>
        <v>T017 - TOSHIBA X20 W20008008</v>
      </c>
      <c r="D1062" s="1071" t="str">
        <f t="shared" si="1352"/>
        <v>IT Equipment</v>
      </c>
      <c r="E1062" s="1071" t="str">
        <f t="shared" si="1352"/>
        <v>T0170231</v>
      </c>
      <c r="F1062" s="1125">
        <f t="shared" si="1352"/>
        <v>2020</v>
      </c>
      <c r="H1062" s="1071" t="s">
        <v>29</v>
      </c>
      <c r="AZ1062" s="1108"/>
      <c r="BA1062" s="1109"/>
      <c r="BB1062" s="1109"/>
      <c r="BC1062" s="1109"/>
      <c r="BD1062" s="1109"/>
      <c r="BE1062" s="1109"/>
      <c r="BF1062" s="1109">
        <f t="shared" ref="BF1062:BJ1062" si="1353">BF398*$AY95</f>
        <v>4.393650000000001E-2</v>
      </c>
      <c r="BG1062" s="1109">
        <f t="shared" si="1353"/>
        <v>7.5320499999999999E-2</v>
      </c>
      <c r="BH1062" s="1109">
        <f t="shared" si="1353"/>
        <v>7.5320499999999999E-2</v>
      </c>
      <c r="BI1062" s="1109">
        <f t="shared" si="1353"/>
        <v>3.1384000000000009E-2</v>
      </c>
      <c r="BJ1062" s="1109">
        <f t="shared" si="1353"/>
        <v>0</v>
      </c>
    </row>
    <row r="1063" spans="2:62" hidden="1" outlineLevel="1">
      <c r="B1063" s="1094"/>
      <c r="C1063" s="1071" t="str">
        <f t="shared" ref="C1063:F1063" si="1354">C746</f>
        <v>T017 - TOSHIBA X20 W20008009</v>
      </c>
      <c r="D1063" s="1071" t="str">
        <f t="shared" si="1354"/>
        <v>IT Equipment</v>
      </c>
      <c r="E1063" s="1071" t="str">
        <f t="shared" si="1354"/>
        <v>T0170232</v>
      </c>
      <c r="F1063" s="1125">
        <f t="shared" si="1354"/>
        <v>2020</v>
      </c>
      <c r="H1063" s="1071" t="s">
        <v>29</v>
      </c>
      <c r="AZ1063" s="1108"/>
      <c r="BA1063" s="1109"/>
      <c r="BB1063" s="1109"/>
      <c r="BC1063" s="1109"/>
      <c r="BD1063" s="1109"/>
      <c r="BE1063" s="1109"/>
      <c r="BF1063" s="1109">
        <f t="shared" ref="BF1063:BJ1063" si="1355">BF399*$AY96</f>
        <v>4.393650000000001E-2</v>
      </c>
      <c r="BG1063" s="1109">
        <f t="shared" si="1355"/>
        <v>7.5320499999999999E-2</v>
      </c>
      <c r="BH1063" s="1109">
        <f t="shared" si="1355"/>
        <v>7.5320499999999999E-2</v>
      </c>
      <c r="BI1063" s="1109">
        <f t="shared" si="1355"/>
        <v>3.1384000000000009E-2</v>
      </c>
      <c r="BJ1063" s="1109">
        <f t="shared" si="1355"/>
        <v>0</v>
      </c>
    </row>
    <row r="1064" spans="2:62" hidden="1" outlineLevel="1">
      <c r="B1064" s="1094"/>
      <c r="C1064" s="1071" t="str">
        <f t="shared" ref="C1064:F1064" si="1356">C747</f>
        <v>T017 - TOSHIBA X20 W20008011</v>
      </c>
      <c r="D1064" s="1071" t="str">
        <f t="shared" si="1356"/>
        <v>IT Equipment</v>
      </c>
      <c r="E1064" s="1071" t="str">
        <f t="shared" si="1356"/>
        <v>T0170234</v>
      </c>
      <c r="F1064" s="1125">
        <f t="shared" si="1356"/>
        <v>2020</v>
      </c>
      <c r="H1064" s="1071" t="s">
        <v>29</v>
      </c>
      <c r="AZ1064" s="1108"/>
      <c r="BA1064" s="1109"/>
      <c r="BB1064" s="1109"/>
      <c r="BC1064" s="1109"/>
      <c r="BD1064" s="1109"/>
      <c r="BE1064" s="1109"/>
      <c r="BF1064" s="1109">
        <f t="shared" ref="BF1064:BJ1064" si="1357">BF400*$AY97</f>
        <v>4.393650000000001E-2</v>
      </c>
      <c r="BG1064" s="1109">
        <f t="shared" si="1357"/>
        <v>7.5320499999999999E-2</v>
      </c>
      <c r="BH1064" s="1109">
        <f t="shared" si="1357"/>
        <v>7.5320499999999999E-2</v>
      </c>
      <c r="BI1064" s="1109">
        <f t="shared" si="1357"/>
        <v>3.1384000000000009E-2</v>
      </c>
      <c r="BJ1064" s="1109">
        <f t="shared" si="1357"/>
        <v>0</v>
      </c>
    </row>
    <row r="1065" spans="2:62" hidden="1" outlineLevel="1">
      <c r="B1065" s="1094"/>
      <c r="C1065" s="1071" t="str">
        <f t="shared" ref="C1065:F1065" si="1358">C748</f>
        <v>T017 - TOSHIBA X20 W20008014</v>
      </c>
      <c r="D1065" s="1071" t="str">
        <f t="shared" si="1358"/>
        <v>IT Equipment</v>
      </c>
      <c r="E1065" s="1071" t="str">
        <f t="shared" si="1358"/>
        <v>T0170236</v>
      </c>
      <c r="F1065" s="1125">
        <f t="shared" si="1358"/>
        <v>2020</v>
      </c>
      <c r="H1065" s="1071" t="s">
        <v>29</v>
      </c>
      <c r="AZ1065" s="1108"/>
      <c r="BA1065" s="1109"/>
      <c r="BB1065" s="1109"/>
      <c r="BC1065" s="1109"/>
      <c r="BD1065" s="1109"/>
      <c r="BE1065" s="1109"/>
      <c r="BF1065" s="1109">
        <f t="shared" ref="BF1065:BJ1065" si="1359">BF401*$AY98</f>
        <v>4.393650000000001E-2</v>
      </c>
      <c r="BG1065" s="1109">
        <f t="shared" si="1359"/>
        <v>7.5320499999999999E-2</v>
      </c>
      <c r="BH1065" s="1109">
        <f t="shared" si="1359"/>
        <v>7.5320499999999999E-2</v>
      </c>
      <c r="BI1065" s="1109">
        <f t="shared" si="1359"/>
        <v>3.1384000000000009E-2</v>
      </c>
      <c r="BJ1065" s="1109">
        <f t="shared" si="1359"/>
        <v>0</v>
      </c>
    </row>
    <row r="1066" spans="2:62" hidden="1" outlineLevel="1">
      <c r="B1066" s="1094"/>
      <c r="C1066" s="1071" t="str">
        <f t="shared" ref="C1066:F1066" si="1360">C749</f>
        <v>T017 - TOSHIBA X20 W20008015</v>
      </c>
      <c r="D1066" s="1071" t="str">
        <f t="shared" si="1360"/>
        <v>IT Equipment</v>
      </c>
      <c r="E1066" s="1071" t="str">
        <f t="shared" si="1360"/>
        <v>T0170237</v>
      </c>
      <c r="F1066" s="1125">
        <f t="shared" si="1360"/>
        <v>2020</v>
      </c>
      <c r="H1066" s="1071" t="s">
        <v>29</v>
      </c>
      <c r="AZ1066" s="1108"/>
      <c r="BA1066" s="1109"/>
      <c r="BB1066" s="1109"/>
      <c r="BC1066" s="1109"/>
      <c r="BD1066" s="1109"/>
      <c r="BE1066" s="1109"/>
      <c r="BF1066" s="1109">
        <f t="shared" ref="BF1066:BJ1066" si="1361">BF402*$AY99</f>
        <v>4.393650000000001E-2</v>
      </c>
      <c r="BG1066" s="1109">
        <f t="shared" si="1361"/>
        <v>7.5320499999999999E-2</v>
      </c>
      <c r="BH1066" s="1109">
        <f t="shared" si="1361"/>
        <v>7.5320499999999999E-2</v>
      </c>
      <c r="BI1066" s="1109">
        <f t="shared" si="1361"/>
        <v>3.1384000000000009E-2</v>
      </c>
      <c r="BJ1066" s="1109">
        <f t="shared" si="1361"/>
        <v>0</v>
      </c>
    </row>
    <row r="1067" spans="2:62" hidden="1" outlineLevel="1">
      <c r="B1067" s="1094"/>
      <c r="C1067" s="1071" t="str">
        <f t="shared" ref="C1067:F1067" si="1362">C750</f>
        <v>T017 - TOSHIBA X20 W20008020</v>
      </c>
      <c r="D1067" s="1071" t="str">
        <f t="shared" si="1362"/>
        <v>IT Equipment</v>
      </c>
      <c r="E1067" s="1071" t="str">
        <f t="shared" si="1362"/>
        <v>T0170242</v>
      </c>
      <c r="F1067" s="1125">
        <f t="shared" si="1362"/>
        <v>2020</v>
      </c>
      <c r="H1067" s="1071" t="s">
        <v>29</v>
      </c>
      <c r="AZ1067" s="1108"/>
      <c r="BA1067" s="1109"/>
      <c r="BB1067" s="1109"/>
      <c r="BC1067" s="1109"/>
      <c r="BD1067" s="1109"/>
      <c r="BE1067" s="1109"/>
      <c r="BF1067" s="1109">
        <f t="shared" ref="BF1067:BJ1067" si="1363">BF403*$AY100</f>
        <v>4.393650000000001E-2</v>
      </c>
      <c r="BG1067" s="1109">
        <f t="shared" si="1363"/>
        <v>7.5320499999999999E-2</v>
      </c>
      <c r="BH1067" s="1109">
        <f t="shared" si="1363"/>
        <v>7.5320499999999999E-2</v>
      </c>
      <c r="BI1067" s="1109">
        <f t="shared" si="1363"/>
        <v>3.1384000000000009E-2</v>
      </c>
      <c r="BJ1067" s="1109">
        <f t="shared" si="1363"/>
        <v>0</v>
      </c>
    </row>
    <row r="1068" spans="2:62" hidden="1" outlineLevel="1">
      <c r="B1068" s="1094"/>
      <c r="C1068" s="1071" t="str">
        <f t="shared" ref="C1068:F1068" si="1364">C751</f>
        <v>T017 - TOSHIBA X20 W20008023</v>
      </c>
      <c r="D1068" s="1071" t="str">
        <f t="shared" si="1364"/>
        <v>IT Equipment</v>
      </c>
      <c r="E1068" s="1071" t="str">
        <f t="shared" si="1364"/>
        <v>T0170245</v>
      </c>
      <c r="F1068" s="1125">
        <f t="shared" si="1364"/>
        <v>2020</v>
      </c>
      <c r="H1068" s="1071" t="s">
        <v>29</v>
      </c>
      <c r="AZ1068" s="1108"/>
      <c r="BA1068" s="1109"/>
      <c r="BB1068" s="1109"/>
      <c r="BC1068" s="1109"/>
      <c r="BD1068" s="1109"/>
      <c r="BE1068" s="1109"/>
      <c r="BF1068" s="1109">
        <f t="shared" ref="BF1068:BJ1068" si="1365">BF404*$AY101</f>
        <v>4.393650000000001E-2</v>
      </c>
      <c r="BG1068" s="1109">
        <f t="shared" si="1365"/>
        <v>7.5320499999999999E-2</v>
      </c>
      <c r="BH1068" s="1109">
        <f t="shared" si="1365"/>
        <v>7.5320499999999999E-2</v>
      </c>
      <c r="BI1068" s="1109">
        <f t="shared" si="1365"/>
        <v>3.1384000000000009E-2</v>
      </c>
      <c r="BJ1068" s="1109">
        <f t="shared" si="1365"/>
        <v>0</v>
      </c>
    </row>
    <row r="1069" spans="2:62" hidden="1" outlineLevel="1">
      <c r="B1069" s="1094"/>
      <c r="C1069" s="1071" t="str">
        <f t="shared" ref="C1069:F1069" si="1366">C752</f>
        <v>T017 - TOSHIBA X20 W20008024</v>
      </c>
      <c r="D1069" s="1071" t="str">
        <f t="shared" si="1366"/>
        <v>IT Equipment</v>
      </c>
      <c r="E1069" s="1071" t="str">
        <f t="shared" si="1366"/>
        <v>T0170246</v>
      </c>
      <c r="F1069" s="1125">
        <f t="shared" si="1366"/>
        <v>2020</v>
      </c>
      <c r="H1069" s="1071" t="s">
        <v>29</v>
      </c>
      <c r="AZ1069" s="1108"/>
      <c r="BA1069" s="1109"/>
      <c r="BB1069" s="1109"/>
      <c r="BC1069" s="1109"/>
      <c r="BD1069" s="1109"/>
      <c r="BE1069" s="1109"/>
      <c r="BF1069" s="1109">
        <f t="shared" ref="BF1069:BJ1069" si="1367">BF405*$AY102</f>
        <v>4.393650000000001E-2</v>
      </c>
      <c r="BG1069" s="1109">
        <f t="shared" si="1367"/>
        <v>7.5320499999999999E-2</v>
      </c>
      <c r="BH1069" s="1109">
        <f t="shared" si="1367"/>
        <v>7.5320499999999999E-2</v>
      </c>
      <c r="BI1069" s="1109">
        <f t="shared" si="1367"/>
        <v>3.1384000000000009E-2</v>
      </c>
      <c r="BJ1069" s="1109">
        <f t="shared" si="1367"/>
        <v>0</v>
      </c>
    </row>
    <row r="1070" spans="2:62" hidden="1" outlineLevel="1">
      <c r="B1070" s="1094"/>
      <c r="C1070" s="1071" t="str">
        <f t="shared" ref="C1070:F1070" si="1368">C753</f>
        <v>T017 - TOSHIBA X20 W20008025</v>
      </c>
      <c r="D1070" s="1071" t="str">
        <f t="shared" si="1368"/>
        <v>IT Equipment</v>
      </c>
      <c r="E1070" s="1071" t="str">
        <f t="shared" si="1368"/>
        <v>T0170247</v>
      </c>
      <c r="F1070" s="1125">
        <f t="shared" si="1368"/>
        <v>2020</v>
      </c>
      <c r="H1070" s="1071" t="s">
        <v>29</v>
      </c>
      <c r="AZ1070" s="1108"/>
      <c r="BA1070" s="1109"/>
      <c r="BB1070" s="1109"/>
      <c r="BC1070" s="1109"/>
      <c r="BD1070" s="1109"/>
      <c r="BE1070" s="1109"/>
      <c r="BF1070" s="1109">
        <f t="shared" ref="BF1070:BJ1070" si="1369">BF406*$AY103</f>
        <v>4.393650000000001E-2</v>
      </c>
      <c r="BG1070" s="1109">
        <f t="shared" si="1369"/>
        <v>7.5320499999999999E-2</v>
      </c>
      <c r="BH1070" s="1109">
        <f t="shared" si="1369"/>
        <v>7.5320499999999999E-2</v>
      </c>
      <c r="BI1070" s="1109">
        <f t="shared" si="1369"/>
        <v>3.1384000000000009E-2</v>
      </c>
      <c r="BJ1070" s="1109">
        <f t="shared" si="1369"/>
        <v>0</v>
      </c>
    </row>
    <row r="1071" spans="2:62" hidden="1" outlineLevel="1">
      <c r="B1071" s="1094"/>
      <c r="C1071" s="1071" t="str">
        <f t="shared" ref="C1071:F1071" si="1370">C754</f>
        <v>T017 - HP G7 CORE W20008096</v>
      </c>
      <c r="D1071" s="1071" t="str">
        <f t="shared" si="1370"/>
        <v>IT Equipment</v>
      </c>
      <c r="E1071" s="1071" t="str">
        <f t="shared" si="1370"/>
        <v>T0170248</v>
      </c>
      <c r="F1071" s="1125">
        <f t="shared" si="1370"/>
        <v>2020</v>
      </c>
      <c r="H1071" s="1071" t="s">
        <v>29</v>
      </c>
      <c r="AZ1071" s="1108"/>
      <c r="BA1071" s="1109"/>
      <c r="BB1071" s="1109"/>
      <c r="BC1071" s="1109"/>
      <c r="BD1071" s="1109"/>
      <c r="BE1071" s="1109"/>
      <c r="BF1071" s="1109">
        <f t="shared" ref="BF1071:BJ1071" si="1371">BF407*$AY104</f>
        <v>2.0273999999999997E-2</v>
      </c>
      <c r="BG1071" s="1109">
        <f t="shared" si="1371"/>
        <v>3.4749999999999996E-2</v>
      </c>
      <c r="BH1071" s="1109">
        <f t="shared" si="1371"/>
        <v>3.4749999999999996E-2</v>
      </c>
      <c r="BI1071" s="1109">
        <f t="shared" si="1371"/>
        <v>1.4476000000000003E-2</v>
      </c>
      <c r="BJ1071" s="1109">
        <f t="shared" si="1371"/>
        <v>0</v>
      </c>
    </row>
    <row r="1072" spans="2:62" hidden="1" outlineLevel="1">
      <c r="B1072" s="1094"/>
      <c r="C1072" s="1071" t="str">
        <f t="shared" ref="C1072:F1072" si="1372">C755</f>
        <v>T017 - HP G7 CORE W20008098</v>
      </c>
      <c r="D1072" s="1071" t="str">
        <f t="shared" si="1372"/>
        <v>IT Equipment</v>
      </c>
      <c r="E1072" s="1071" t="str">
        <f t="shared" si="1372"/>
        <v>T0170250</v>
      </c>
      <c r="F1072" s="1125">
        <f t="shared" si="1372"/>
        <v>2020</v>
      </c>
      <c r="H1072" s="1071" t="s">
        <v>29</v>
      </c>
      <c r="AZ1072" s="1108"/>
      <c r="BA1072" s="1109"/>
      <c r="BB1072" s="1109"/>
      <c r="BC1072" s="1109"/>
      <c r="BD1072" s="1109"/>
      <c r="BE1072" s="1109"/>
      <c r="BF1072" s="1109">
        <f t="shared" ref="BF1072:BJ1072" si="1373">BF408*$AY105</f>
        <v>2.0273999999999997E-2</v>
      </c>
      <c r="BG1072" s="1109">
        <f t="shared" si="1373"/>
        <v>3.4749999999999996E-2</v>
      </c>
      <c r="BH1072" s="1109">
        <f t="shared" si="1373"/>
        <v>3.4749999999999996E-2</v>
      </c>
      <c r="BI1072" s="1109">
        <f t="shared" si="1373"/>
        <v>1.4476000000000003E-2</v>
      </c>
      <c r="BJ1072" s="1109">
        <f t="shared" si="1373"/>
        <v>0</v>
      </c>
    </row>
    <row r="1073" spans="2:62" hidden="1" outlineLevel="1">
      <c r="B1073" s="1094"/>
      <c r="C1073" s="1071" t="str">
        <f t="shared" ref="C1073:F1073" si="1374">C756</f>
        <v>T017 - LAPTOP W20007815</v>
      </c>
      <c r="D1073" s="1071" t="str">
        <f t="shared" si="1374"/>
        <v>IT Equipment</v>
      </c>
      <c r="E1073" s="1071" t="str">
        <f t="shared" si="1374"/>
        <v>T0170253</v>
      </c>
      <c r="F1073" s="1125">
        <f t="shared" si="1374"/>
        <v>2020</v>
      </c>
      <c r="H1073" s="1071" t="s">
        <v>29</v>
      </c>
      <c r="AZ1073" s="1108"/>
      <c r="BA1073" s="1109"/>
      <c r="BB1073" s="1109"/>
      <c r="BC1073" s="1109"/>
      <c r="BD1073" s="1109"/>
      <c r="BE1073" s="1109"/>
      <c r="BF1073" s="1109">
        <f t="shared" ref="BF1073:BJ1073" si="1375">BF409*$AY106</f>
        <v>7.5319499999999998E-2</v>
      </c>
      <c r="BG1073" s="1109">
        <f t="shared" si="1375"/>
        <v>7.5320499999999999E-2</v>
      </c>
      <c r="BH1073" s="1109">
        <f t="shared" si="1375"/>
        <v>7.5320499999999999E-2</v>
      </c>
      <c r="BI1073" s="1109">
        <f t="shared" si="1375"/>
        <v>1.0000000000122015E-6</v>
      </c>
      <c r="BJ1073" s="1109">
        <f t="shared" si="1375"/>
        <v>0</v>
      </c>
    </row>
    <row r="1074" spans="2:62" hidden="1" outlineLevel="1">
      <c r="B1074" s="1094"/>
      <c r="C1074" s="1071" t="str">
        <f t="shared" ref="C1074:F1074" si="1376">C757</f>
        <v>T017 - OPTIPLEX5060 W20007883</v>
      </c>
      <c r="D1074" s="1071" t="str">
        <f t="shared" si="1376"/>
        <v>IT Equipment</v>
      </c>
      <c r="E1074" s="1071" t="str">
        <f t="shared" si="1376"/>
        <v>T0170254</v>
      </c>
      <c r="F1074" s="1125">
        <f t="shared" si="1376"/>
        <v>2020</v>
      </c>
      <c r="H1074" s="1071" t="s">
        <v>29</v>
      </c>
      <c r="AZ1074" s="1108"/>
      <c r="BA1074" s="1109"/>
      <c r="BB1074" s="1109"/>
      <c r="BC1074" s="1109"/>
      <c r="BD1074" s="1109"/>
      <c r="BE1074" s="1109"/>
      <c r="BF1074" s="1109">
        <f t="shared" ref="BF1074:BJ1074" si="1377">BF410*$AY107</f>
        <v>3.0005999999999991E-2</v>
      </c>
      <c r="BG1074" s="1109">
        <f t="shared" si="1377"/>
        <v>2.9999999999999995E-2</v>
      </c>
      <c r="BH1074" s="1109">
        <f t="shared" si="1377"/>
        <v>2.9994000000000003E-2</v>
      </c>
      <c r="BI1074" s="1109">
        <f t="shared" si="1377"/>
        <v>0</v>
      </c>
      <c r="BJ1074" s="1109">
        <f t="shared" si="1377"/>
        <v>0</v>
      </c>
    </row>
    <row r="1075" spans="2:62" hidden="1" outlineLevel="1">
      <c r="B1075" s="1094"/>
      <c r="C1075" s="1071" t="str">
        <f t="shared" ref="C1075:F1075" si="1378">C758</f>
        <v>T017 - OPTIPLEX5060 W20007917</v>
      </c>
      <c r="D1075" s="1071" t="str">
        <f t="shared" si="1378"/>
        <v>IT Equipment</v>
      </c>
      <c r="E1075" s="1071" t="str">
        <f t="shared" si="1378"/>
        <v>T0170256</v>
      </c>
      <c r="F1075" s="1125">
        <f t="shared" si="1378"/>
        <v>2020</v>
      </c>
      <c r="H1075" s="1071" t="s">
        <v>29</v>
      </c>
      <c r="AZ1075" s="1108"/>
      <c r="BA1075" s="1109"/>
      <c r="BB1075" s="1109"/>
      <c r="BC1075" s="1109"/>
      <c r="BD1075" s="1109"/>
      <c r="BE1075" s="1109"/>
      <c r="BF1075" s="1109">
        <f t="shared" ref="BF1075:BJ1075" si="1379">BF411*$AY108</f>
        <v>3.0005999999999991E-2</v>
      </c>
      <c r="BG1075" s="1109">
        <f t="shared" si="1379"/>
        <v>2.9999999999999995E-2</v>
      </c>
      <c r="BH1075" s="1109">
        <f t="shared" si="1379"/>
        <v>2.9994000000000003E-2</v>
      </c>
      <c r="BI1075" s="1109">
        <f t="shared" si="1379"/>
        <v>0</v>
      </c>
      <c r="BJ1075" s="1109">
        <f t="shared" si="1379"/>
        <v>0</v>
      </c>
    </row>
    <row r="1076" spans="2:62" hidden="1" outlineLevel="1">
      <c r="B1076" s="1094"/>
      <c r="C1076" s="1071" t="str">
        <f t="shared" ref="C1076:F1076" si="1380">C759</f>
        <v>T017 - TOSHIBA W20008070</v>
      </c>
      <c r="D1076" s="1071" t="str">
        <f t="shared" si="1380"/>
        <v>IT Equipment</v>
      </c>
      <c r="E1076" s="1071" t="str">
        <f t="shared" si="1380"/>
        <v>T0170263</v>
      </c>
      <c r="F1076" s="1125">
        <f t="shared" si="1380"/>
        <v>2020</v>
      </c>
      <c r="H1076" s="1071" t="s">
        <v>29</v>
      </c>
      <c r="AZ1076" s="1108"/>
      <c r="BA1076" s="1109"/>
      <c r="BB1076" s="1109"/>
      <c r="BC1076" s="1109"/>
      <c r="BD1076" s="1109"/>
      <c r="BE1076" s="1109"/>
      <c r="BF1076" s="1109">
        <f t="shared" ref="BF1076:BJ1076" si="1381">BF412*$AY109</f>
        <v>1.7671500000000003E-2</v>
      </c>
      <c r="BG1076" s="1109">
        <f t="shared" si="1381"/>
        <v>3.0290000000000001E-2</v>
      </c>
      <c r="BH1076" s="1109">
        <f t="shared" si="1381"/>
        <v>3.0290000000000001E-2</v>
      </c>
      <c r="BI1076" s="1109">
        <f t="shared" si="1381"/>
        <v>1.2618499999999994E-2</v>
      </c>
      <c r="BJ1076" s="1109">
        <f t="shared" si="1381"/>
        <v>0</v>
      </c>
    </row>
    <row r="1077" spans="2:62" hidden="1" outlineLevel="1">
      <c r="B1077" s="1094"/>
      <c r="C1077" s="1071" t="str">
        <f t="shared" ref="C1077:F1077" si="1382">C760</f>
        <v>T017 - TOSHIBA W20008085</v>
      </c>
      <c r="D1077" s="1071" t="str">
        <f t="shared" si="1382"/>
        <v>IT Equipment</v>
      </c>
      <c r="E1077" s="1071" t="str">
        <f t="shared" si="1382"/>
        <v>T0170274</v>
      </c>
      <c r="F1077" s="1125">
        <f t="shared" si="1382"/>
        <v>2020</v>
      </c>
      <c r="H1077" s="1071" t="s">
        <v>29</v>
      </c>
      <c r="AZ1077" s="1108"/>
      <c r="BA1077" s="1109"/>
      <c r="BB1077" s="1109"/>
      <c r="BC1077" s="1109"/>
      <c r="BD1077" s="1109"/>
      <c r="BE1077" s="1109"/>
      <c r="BF1077" s="1109">
        <f t="shared" ref="BF1077:BJ1077" si="1383">BF413*$AY110</f>
        <v>1.7671500000000003E-2</v>
      </c>
      <c r="BG1077" s="1109">
        <f t="shared" si="1383"/>
        <v>3.0290000000000001E-2</v>
      </c>
      <c r="BH1077" s="1109">
        <f t="shared" si="1383"/>
        <v>3.0290000000000001E-2</v>
      </c>
      <c r="BI1077" s="1109">
        <f t="shared" si="1383"/>
        <v>1.2618499999999994E-2</v>
      </c>
      <c r="BJ1077" s="1109">
        <f t="shared" si="1383"/>
        <v>0</v>
      </c>
    </row>
    <row r="1078" spans="2:62" hidden="1" outlineLevel="1">
      <c r="B1078" s="1094"/>
      <c r="C1078" s="1071" t="str">
        <f t="shared" ref="C1078:F1078" si="1384">C761</f>
        <v>T017 - HP250G7 CORE W20008093</v>
      </c>
      <c r="D1078" s="1071" t="str">
        <f t="shared" si="1384"/>
        <v>IT Equipment</v>
      </c>
      <c r="E1078" s="1071" t="str">
        <f t="shared" si="1384"/>
        <v>T0170278</v>
      </c>
      <c r="F1078" s="1125">
        <f t="shared" si="1384"/>
        <v>2020</v>
      </c>
      <c r="H1078" s="1071" t="s">
        <v>29</v>
      </c>
      <c r="AZ1078" s="1108"/>
      <c r="BA1078" s="1109"/>
      <c r="BB1078" s="1109"/>
      <c r="BC1078" s="1109"/>
      <c r="BD1078" s="1109"/>
      <c r="BE1078" s="1109"/>
      <c r="BF1078" s="1109">
        <f t="shared" ref="BF1078:BJ1078" si="1385">BF414*$AY111</f>
        <v>2.8960499999999993E-2</v>
      </c>
      <c r="BG1078" s="1109">
        <f t="shared" si="1385"/>
        <v>3.4749999999999996E-2</v>
      </c>
      <c r="BH1078" s="1109">
        <f t="shared" si="1385"/>
        <v>3.4749999999999996E-2</v>
      </c>
      <c r="BI1078" s="1109">
        <f t="shared" si="1385"/>
        <v>5.7895000000000082E-3</v>
      </c>
      <c r="BJ1078" s="1109">
        <f t="shared" si="1385"/>
        <v>0</v>
      </c>
    </row>
    <row r="1079" spans="2:62" hidden="1" outlineLevel="1">
      <c r="B1079" s="1094"/>
      <c r="C1079" s="1071" t="str">
        <f t="shared" ref="C1079:F1079" si="1386">C762</f>
        <v>T017 - HP250G7 CORE W20008097</v>
      </c>
      <c r="D1079" s="1071" t="str">
        <f t="shared" si="1386"/>
        <v>IT Equipment</v>
      </c>
      <c r="E1079" s="1071" t="str">
        <f t="shared" si="1386"/>
        <v>T0170280</v>
      </c>
      <c r="F1079" s="1125">
        <f t="shared" si="1386"/>
        <v>2020</v>
      </c>
      <c r="H1079" s="1071" t="s">
        <v>29</v>
      </c>
      <c r="AZ1079" s="1108"/>
      <c r="BA1079" s="1109"/>
      <c r="BB1079" s="1109"/>
      <c r="BC1079" s="1109"/>
      <c r="BD1079" s="1109"/>
      <c r="BE1079" s="1109"/>
      <c r="BF1079" s="1109">
        <f t="shared" ref="BF1079:BJ1079" si="1387">BF415*$AY112</f>
        <v>2.8960499999999993E-2</v>
      </c>
      <c r="BG1079" s="1109">
        <f t="shared" si="1387"/>
        <v>3.4749999999999996E-2</v>
      </c>
      <c r="BH1079" s="1109">
        <f t="shared" si="1387"/>
        <v>3.4749999999999996E-2</v>
      </c>
      <c r="BI1079" s="1109">
        <f t="shared" si="1387"/>
        <v>5.7895000000000082E-3</v>
      </c>
      <c r="BJ1079" s="1109">
        <f t="shared" si="1387"/>
        <v>0</v>
      </c>
    </row>
    <row r="1080" spans="2:62" hidden="1" outlineLevel="1">
      <c r="B1080" s="1094"/>
      <c r="C1080" s="1071" t="str">
        <f t="shared" ref="C1080:F1080" si="1388">C763</f>
        <v>T017 - HP250G7 CORE W20008100</v>
      </c>
      <c r="D1080" s="1071" t="str">
        <f t="shared" si="1388"/>
        <v>IT Equipment</v>
      </c>
      <c r="E1080" s="1071" t="str">
        <f t="shared" si="1388"/>
        <v>T0170281</v>
      </c>
      <c r="F1080" s="1125">
        <f t="shared" si="1388"/>
        <v>2020</v>
      </c>
      <c r="H1080" s="1071" t="s">
        <v>29</v>
      </c>
      <c r="AZ1080" s="1108"/>
      <c r="BA1080" s="1109"/>
      <c r="BB1080" s="1109"/>
      <c r="BC1080" s="1109"/>
      <c r="BD1080" s="1109"/>
      <c r="BE1080" s="1109"/>
      <c r="BF1080" s="1109">
        <f t="shared" ref="BF1080:BJ1080" si="1389">BF416*$AY113</f>
        <v>2.8960499999999993E-2</v>
      </c>
      <c r="BG1080" s="1109">
        <f t="shared" si="1389"/>
        <v>3.4749999999999996E-2</v>
      </c>
      <c r="BH1080" s="1109">
        <f t="shared" si="1389"/>
        <v>3.4749999999999996E-2</v>
      </c>
      <c r="BI1080" s="1109">
        <f t="shared" si="1389"/>
        <v>5.7895000000000082E-3</v>
      </c>
      <c r="BJ1080" s="1109">
        <f t="shared" si="1389"/>
        <v>0</v>
      </c>
    </row>
    <row r="1081" spans="2:62" hidden="1" outlineLevel="1">
      <c r="B1081" s="1094"/>
      <c r="C1081" s="1071" t="str">
        <f t="shared" ref="C1081:F1081" si="1390">C764</f>
        <v>T017 - HP250G7 CORE W20008091</v>
      </c>
      <c r="D1081" s="1071" t="str">
        <f t="shared" si="1390"/>
        <v>IT Equipment</v>
      </c>
      <c r="E1081" s="1071" t="str">
        <f t="shared" si="1390"/>
        <v>T0170282</v>
      </c>
      <c r="F1081" s="1125">
        <f t="shared" si="1390"/>
        <v>2020</v>
      </c>
      <c r="H1081" s="1071" t="s">
        <v>29</v>
      </c>
      <c r="AZ1081" s="1108"/>
      <c r="BA1081" s="1109"/>
      <c r="BB1081" s="1109"/>
      <c r="BC1081" s="1109"/>
      <c r="BD1081" s="1109"/>
      <c r="BE1081" s="1109"/>
      <c r="BF1081" s="1109">
        <f t="shared" ref="BF1081:BJ1081" si="1391">BF417*$AY114</f>
        <v>2.0273999999999997E-2</v>
      </c>
      <c r="BG1081" s="1109">
        <f t="shared" si="1391"/>
        <v>3.4749999999999996E-2</v>
      </c>
      <c r="BH1081" s="1109">
        <f t="shared" si="1391"/>
        <v>3.4749999999999996E-2</v>
      </c>
      <c r="BI1081" s="1109">
        <f t="shared" si="1391"/>
        <v>1.4476000000000003E-2</v>
      </c>
      <c r="BJ1081" s="1109">
        <f t="shared" si="1391"/>
        <v>0</v>
      </c>
    </row>
    <row r="1082" spans="2:62" hidden="1" outlineLevel="1">
      <c r="B1082" s="1094"/>
      <c r="C1082" s="1071" t="str">
        <f t="shared" ref="C1082:F1082" si="1392">C765</f>
        <v>T017 - HP250G7 CORE W20008096</v>
      </c>
      <c r="D1082" s="1071" t="str">
        <f t="shared" si="1392"/>
        <v>IT Equipment</v>
      </c>
      <c r="E1082" s="1071" t="str">
        <f t="shared" si="1392"/>
        <v>T0170283</v>
      </c>
      <c r="F1082" s="1125">
        <f t="shared" si="1392"/>
        <v>2020</v>
      </c>
      <c r="H1082" s="1071" t="s">
        <v>29</v>
      </c>
      <c r="AZ1082" s="1108"/>
      <c r="BA1082" s="1109"/>
      <c r="BB1082" s="1109"/>
      <c r="BC1082" s="1109"/>
      <c r="BD1082" s="1109"/>
      <c r="BE1082" s="1109"/>
      <c r="BF1082" s="1109">
        <f t="shared" ref="BF1082:BJ1082" si="1393">BF418*$AY115</f>
        <v>2.0273999999999997E-2</v>
      </c>
      <c r="BG1082" s="1109">
        <f t="shared" si="1393"/>
        <v>3.4749999999999996E-2</v>
      </c>
      <c r="BH1082" s="1109">
        <f t="shared" si="1393"/>
        <v>3.4749999999999996E-2</v>
      </c>
      <c r="BI1082" s="1109">
        <f t="shared" si="1393"/>
        <v>1.4476000000000003E-2</v>
      </c>
      <c r="BJ1082" s="1109">
        <f t="shared" si="1393"/>
        <v>0</v>
      </c>
    </row>
    <row r="1083" spans="2:62" hidden="1" outlineLevel="1">
      <c r="B1083" s="1094"/>
      <c r="C1083" s="1071" t="str">
        <f t="shared" ref="C1083:F1083" si="1394">C766</f>
        <v>T017 - HP250G7 COREW20008098</v>
      </c>
      <c r="D1083" s="1071" t="str">
        <f t="shared" si="1394"/>
        <v>IT Equipment</v>
      </c>
      <c r="E1083" s="1071" t="str">
        <f t="shared" si="1394"/>
        <v>T0170284</v>
      </c>
      <c r="F1083" s="1125">
        <f t="shared" si="1394"/>
        <v>2020</v>
      </c>
      <c r="H1083" s="1071" t="s">
        <v>29</v>
      </c>
      <c r="AZ1083" s="1108"/>
      <c r="BA1083" s="1109"/>
      <c r="BB1083" s="1109"/>
      <c r="BC1083" s="1109"/>
      <c r="BD1083" s="1109"/>
      <c r="BE1083" s="1109"/>
      <c r="BF1083" s="1109">
        <f t="shared" ref="BF1083:BJ1083" si="1395">BF419*$AY116</f>
        <v>2.0273999999999997E-2</v>
      </c>
      <c r="BG1083" s="1109">
        <f t="shared" si="1395"/>
        <v>3.4749999999999996E-2</v>
      </c>
      <c r="BH1083" s="1109">
        <f t="shared" si="1395"/>
        <v>3.4749999999999996E-2</v>
      </c>
      <c r="BI1083" s="1109">
        <f t="shared" si="1395"/>
        <v>1.4476000000000003E-2</v>
      </c>
      <c r="BJ1083" s="1109">
        <f t="shared" si="1395"/>
        <v>0</v>
      </c>
    </row>
    <row r="1084" spans="2:62" hidden="1" outlineLevel="1">
      <c r="B1084" s="1094"/>
      <c r="C1084" s="1071" t="str">
        <f t="shared" ref="C1084:F1084" si="1396">C767</f>
        <v>T017 - OPTIPLEX5060 W20007909</v>
      </c>
      <c r="D1084" s="1071" t="str">
        <f t="shared" si="1396"/>
        <v>IT Equipment</v>
      </c>
      <c r="E1084" s="1071" t="str">
        <f t="shared" si="1396"/>
        <v>T0170290</v>
      </c>
      <c r="F1084" s="1125">
        <f t="shared" si="1396"/>
        <v>2020</v>
      </c>
      <c r="H1084" s="1071" t="s">
        <v>29</v>
      </c>
      <c r="AZ1084" s="1108"/>
      <c r="BA1084" s="1109"/>
      <c r="BB1084" s="1109"/>
      <c r="BC1084" s="1109"/>
      <c r="BD1084" s="1109"/>
      <c r="BE1084" s="1109"/>
      <c r="BF1084" s="1109">
        <f t="shared" ref="BF1084:BJ1084" si="1397">BF420*$AY117</f>
        <v>3.0005999999999991E-2</v>
      </c>
      <c r="BG1084" s="1109">
        <f t="shared" si="1397"/>
        <v>2.9999999999999995E-2</v>
      </c>
      <c r="BH1084" s="1109">
        <f t="shared" si="1397"/>
        <v>2.9994000000000003E-2</v>
      </c>
      <c r="BI1084" s="1109">
        <f t="shared" si="1397"/>
        <v>0</v>
      </c>
      <c r="BJ1084" s="1109">
        <f t="shared" si="1397"/>
        <v>0</v>
      </c>
    </row>
    <row r="1085" spans="2:62" hidden="1" outlineLevel="1">
      <c r="B1085" s="1094"/>
      <c r="C1085" s="1071" t="str">
        <f t="shared" ref="C1085:F1085" si="1398">C768</f>
        <v>T018 - MACBOOK PRO</v>
      </c>
      <c r="D1085" s="1071" t="str">
        <f t="shared" si="1398"/>
        <v>IT Equipment</v>
      </c>
      <c r="E1085" s="1071" t="str">
        <f t="shared" si="1398"/>
        <v>T0180061</v>
      </c>
      <c r="F1085" s="1125">
        <f t="shared" si="1398"/>
        <v>2020</v>
      </c>
      <c r="H1085" s="1071" t="s">
        <v>29</v>
      </c>
      <c r="AZ1085" s="1108"/>
      <c r="BA1085" s="1109"/>
      <c r="BB1085" s="1109"/>
      <c r="BC1085" s="1109"/>
      <c r="BD1085" s="1109"/>
      <c r="BE1085" s="1109"/>
      <c r="BF1085" s="1109">
        <f t="shared" ref="BF1085:BJ1085" si="1399">BF421*$AY118</f>
        <v>5.1556499999999991E-2</v>
      </c>
      <c r="BG1085" s="1109">
        <f t="shared" si="1399"/>
        <v>6.8741999999999998E-2</v>
      </c>
      <c r="BH1085" s="1109">
        <f t="shared" si="1399"/>
        <v>6.8741999999999998E-2</v>
      </c>
      <c r="BI1085" s="1109">
        <f t="shared" si="1399"/>
        <v>1.7185499999999999E-2</v>
      </c>
      <c r="BJ1085" s="1109">
        <f t="shared" si="1399"/>
        <v>0</v>
      </c>
    </row>
    <row r="1086" spans="2:62" hidden="1" outlineLevel="1">
      <c r="B1086" s="1094"/>
      <c r="C1086" s="1071" t="str">
        <f t="shared" ref="C1086:F1086" si="1400">C769</f>
        <v>T018 - LOGITECH GROUP VIDEO HQ</v>
      </c>
      <c r="D1086" s="1071" t="str">
        <f t="shared" si="1400"/>
        <v>IT Equipment</v>
      </c>
      <c r="E1086" s="1071" t="str">
        <f t="shared" si="1400"/>
        <v>T0180064</v>
      </c>
      <c r="F1086" s="1125">
        <f t="shared" si="1400"/>
        <v>2020</v>
      </c>
      <c r="H1086" s="1071" t="s">
        <v>29</v>
      </c>
      <c r="AZ1086" s="1108"/>
      <c r="BA1086" s="1109"/>
      <c r="BB1086" s="1109"/>
      <c r="BC1086" s="1109"/>
      <c r="BD1086" s="1109"/>
      <c r="BE1086" s="1109"/>
      <c r="BF1086" s="1109">
        <f t="shared" ref="BF1086:BJ1086" si="1401">BF422*$AY119</f>
        <v>3.3713999999999994E-2</v>
      </c>
      <c r="BG1086" s="1109">
        <f t="shared" si="1401"/>
        <v>0.13485000000000003</v>
      </c>
      <c r="BH1086" s="1109">
        <f t="shared" si="1401"/>
        <v>0.13485000000000003</v>
      </c>
      <c r="BI1086" s="1109">
        <f t="shared" si="1401"/>
        <v>0.101136</v>
      </c>
      <c r="BJ1086" s="1109">
        <f t="shared" si="1401"/>
        <v>0</v>
      </c>
    </row>
    <row r="1087" spans="2:62" hidden="1" outlineLevel="1">
      <c r="B1087" s="1094"/>
      <c r="C1087" s="1071" t="str">
        <f t="shared" ref="C1087:F1087" si="1402">C770</f>
        <v>T017 - X20 LAPTOPS W20007838</v>
      </c>
      <c r="D1087" s="1071" t="str">
        <f t="shared" si="1402"/>
        <v>IT Equipment</v>
      </c>
      <c r="E1087" s="1071" t="str">
        <f t="shared" si="1402"/>
        <v>T0170204</v>
      </c>
      <c r="F1087" s="1125">
        <f t="shared" si="1402"/>
        <v>2020</v>
      </c>
      <c r="H1087" s="1071" t="s">
        <v>29</v>
      </c>
      <c r="AZ1087" s="1108"/>
      <c r="BA1087" s="1109"/>
      <c r="BB1087" s="1109"/>
      <c r="BC1087" s="1109"/>
      <c r="BD1087" s="1109"/>
      <c r="BE1087" s="1109"/>
      <c r="BF1087" s="1109">
        <f t="shared" ref="BF1087:BJ1087" si="1403">BF423*$AY120</f>
        <v>7.3227500000000015E-2</v>
      </c>
      <c r="BG1087" s="1109">
        <f t="shared" si="1403"/>
        <v>0.12553416666666667</v>
      </c>
      <c r="BH1087" s="1109">
        <f t="shared" si="1403"/>
        <v>0.12553416666666667</v>
      </c>
      <c r="BI1087" s="1109">
        <f t="shared" si="1403"/>
        <v>5.2306666666666682E-2</v>
      </c>
      <c r="BJ1087" s="1109">
        <f t="shared" si="1403"/>
        <v>0</v>
      </c>
    </row>
    <row r="1088" spans="2:62" hidden="1" outlineLevel="1">
      <c r="B1088" s="1094"/>
      <c r="C1088" s="1071" t="str">
        <f t="shared" ref="C1088:F1088" si="1404">C771</f>
        <v>T017 - TOSHIBA X20 W20008071</v>
      </c>
      <c r="D1088" s="1071" t="str">
        <f t="shared" si="1404"/>
        <v>IT Equipment</v>
      </c>
      <c r="E1088" s="1071" t="str">
        <f t="shared" si="1404"/>
        <v>T0170216</v>
      </c>
      <c r="F1088" s="1125">
        <f t="shared" si="1404"/>
        <v>2020</v>
      </c>
      <c r="H1088" s="1071" t="s">
        <v>29</v>
      </c>
      <c r="AZ1088" s="1108"/>
      <c r="BA1088" s="1109"/>
      <c r="BB1088" s="1109"/>
      <c r="BC1088" s="1109"/>
      <c r="BD1088" s="1109"/>
      <c r="BE1088" s="1109"/>
      <c r="BF1088" s="1109">
        <f t="shared" ref="BF1088:BJ1088" si="1405">BF424*$AY121</f>
        <v>4.3784999999999998E-2</v>
      </c>
      <c r="BG1088" s="1109">
        <f t="shared" si="1405"/>
        <v>7.3022432432432435E-2</v>
      </c>
      <c r="BH1088" s="1109">
        <f t="shared" si="1405"/>
        <v>7.3022432432432435E-2</v>
      </c>
      <c r="BI1088" s="1109">
        <f t="shared" si="1405"/>
        <v>3.5322635135135137E-2</v>
      </c>
      <c r="BJ1088" s="1109">
        <f t="shared" si="1405"/>
        <v>0</v>
      </c>
    </row>
    <row r="1089" spans="2:62" hidden="1" outlineLevel="1">
      <c r="B1089" s="1094"/>
      <c r="C1089" s="1071" t="str">
        <f t="shared" ref="C1089:F1089" si="1406">C772</f>
        <v>T017 - TOSHIBA X20 W20008072</v>
      </c>
      <c r="D1089" s="1071" t="str">
        <f t="shared" si="1406"/>
        <v>IT Equipment</v>
      </c>
      <c r="E1089" s="1071" t="str">
        <f t="shared" si="1406"/>
        <v>T0170217</v>
      </c>
      <c r="F1089" s="1125">
        <f t="shared" si="1406"/>
        <v>2020</v>
      </c>
      <c r="H1089" s="1071" t="s">
        <v>29</v>
      </c>
      <c r="AZ1089" s="1108"/>
      <c r="BA1089" s="1109"/>
      <c r="BB1089" s="1109"/>
      <c r="BC1089" s="1109"/>
      <c r="BD1089" s="1109"/>
      <c r="BE1089" s="1109"/>
      <c r="BF1089" s="1109">
        <f t="shared" ref="BF1089:BJ1089" si="1407">BF425*$AY122</f>
        <v>4.3784999999999998E-2</v>
      </c>
      <c r="BG1089" s="1109">
        <f t="shared" si="1407"/>
        <v>7.3022432432432435E-2</v>
      </c>
      <c r="BH1089" s="1109">
        <f t="shared" si="1407"/>
        <v>7.3022432432432435E-2</v>
      </c>
      <c r="BI1089" s="1109">
        <f t="shared" si="1407"/>
        <v>3.5322635135135137E-2</v>
      </c>
      <c r="BJ1089" s="1109">
        <f t="shared" si="1407"/>
        <v>0</v>
      </c>
    </row>
    <row r="1090" spans="2:62" hidden="1" outlineLevel="1">
      <c r="B1090" s="1094"/>
      <c r="C1090" s="1071" t="str">
        <f t="shared" ref="C1090:F1090" si="1408">C773</f>
        <v>T017 - TOSHIBA X20 W20008079</v>
      </c>
      <c r="D1090" s="1071" t="str">
        <f t="shared" si="1408"/>
        <v>IT Equipment</v>
      </c>
      <c r="E1090" s="1071" t="str">
        <f t="shared" si="1408"/>
        <v>T0170223</v>
      </c>
      <c r="F1090" s="1125">
        <f t="shared" si="1408"/>
        <v>2020</v>
      </c>
      <c r="H1090" s="1071" t="s">
        <v>29</v>
      </c>
      <c r="AZ1090" s="1108"/>
      <c r="BA1090" s="1109"/>
      <c r="BB1090" s="1109"/>
      <c r="BC1090" s="1109"/>
      <c r="BD1090" s="1109"/>
      <c r="BE1090" s="1109"/>
      <c r="BF1090" s="1109">
        <f t="shared" ref="BF1090:BJ1090" si="1409">BF426*$AY123</f>
        <v>4.3784999999999998E-2</v>
      </c>
      <c r="BG1090" s="1109">
        <f t="shared" si="1409"/>
        <v>7.3022432432432435E-2</v>
      </c>
      <c r="BH1090" s="1109">
        <f t="shared" si="1409"/>
        <v>7.3022432432432435E-2</v>
      </c>
      <c r="BI1090" s="1109">
        <f t="shared" si="1409"/>
        <v>3.5322635135135137E-2</v>
      </c>
      <c r="BJ1090" s="1109">
        <f t="shared" si="1409"/>
        <v>0</v>
      </c>
    </row>
    <row r="1091" spans="2:62" hidden="1" outlineLevel="1">
      <c r="B1091" s="1094"/>
      <c r="C1091" s="1071" t="str">
        <f t="shared" ref="C1091:F1091" si="1410">C774</f>
        <v>T017 - TOSHIBA X20 W20008018</v>
      </c>
      <c r="D1091" s="1071" t="str">
        <f t="shared" si="1410"/>
        <v>IT Equipment</v>
      </c>
      <c r="E1091" s="1071" t="str">
        <f t="shared" si="1410"/>
        <v>T0170240</v>
      </c>
      <c r="F1091" s="1125">
        <f t="shared" si="1410"/>
        <v>2020</v>
      </c>
      <c r="H1091" s="1071" t="s">
        <v>29</v>
      </c>
      <c r="AZ1091" s="1108"/>
      <c r="BA1091" s="1109"/>
      <c r="BB1091" s="1109"/>
      <c r="BC1091" s="1109"/>
      <c r="BD1091" s="1109"/>
      <c r="BE1091" s="1109"/>
      <c r="BF1091" s="1109">
        <f t="shared" ref="BF1091:BJ1091" si="1411">BF427*$AY124</f>
        <v>7.3227500000000015E-2</v>
      </c>
      <c r="BG1091" s="1109">
        <f t="shared" si="1411"/>
        <v>0.12553416666666667</v>
      </c>
      <c r="BH1091" s="1109">
        <f t="shared" si="1411"/>
        <v>0.12553416666666667</v>
      </c>
      <c r="BI1091" s="1109">
        <f t="shared" si="1411"/>
        <v>5.2306666666666682E-2</v>
      </c>
      <c r="BJ1091" s="1109">
        <f t="shared" si="1411"/>
        <v>0</v>
      </c>
    </row>
    <row r="1092" spans="2:62" hidden="1" outlineLevel="1">
      <c r="B1092" s="1094"/>
      <c r="C1092" s="1071" t="str">
        <f t="shared" ref="C1092:F1092" si="1412">C775</f>
        <v>T017 - HP G7 CORE W20008101</v>
      </c>
      <c r="D1092" s="1071" t="str">
        <f t="shared" si="1412"/>
        <v>IT Equipment</v>
      </c>
      <c r="E1092" s="1071" t="str">
        <f t="shared" si="1412"/>
        <v>T0170251</v>
      </c>
      <c r="F1092" s="1125">
        <f t="shared" si="1412"/>
        <v>2020</v>
      </c>
      <c r="H1092" s="1071" t="s">
        <v>29</v>
      </c>
      <c r="AZ1092" s="1108"/>
      <c r="BA1092" s="1109"/>
      <c r="BB1092" s="1109"/>
      <c r="BC1092" s="1109"/>
      <c r="BD1092" s="1109"/>
      <c r="BE1092" s="1109"/>
      <c r="BF1092" s="1109">
        <f t="shared" ref="BF1092:BJ1092" si="1413">BF428*$AY125</f>
        <v>3.3789999999999994E-2</v>
      </c>
      <c r="BG1092" s="1109">
        <f t="shared" si="1413"/>
        <v>5.7916666666666665E-2</v>
      </c>
      <c r="BH1092" s="1109">
        <f t="shared" si="1413"/>
        <v>5.7916666666666665E-2</v>
      </c>
      <c r="BI1092" s="1109">
        <f t="shared" si="1413"/>
        <v>2.4126666666666671E-2</v>
      </c>
      <c r="BJ1092" s="1109">
        <f t="shared" si="1413"/>
        <v>0</v>
      </c>
    </row>
    <row r="1093" spans="2:62" hidden="1" outlineLevel="1">
      <c r="B1093" s="1094"/>
      <c r="C1093" s="1071" t="str">
        <f t="shared" ref="C1093:F1093" si="1414">C776</f>
        <v>T017 - OPTIPLEX5060 W20007744</v>
      </c>
      <c r="D1093" s="1071" t="str">
        <f t="shared" si="1414"/>
        <v>IT Equipment</v>
      </c>
      <c r="E1093" s="1071" t="str">
        <f t="shared" si="1414"/>
        <v>T0170252</v>
      </c>
      <c r="F1093" s="1125">
        <f t="shared" si="1414"/>
        <v>2020</v>
      </c>
      <c r="H1093" s="1071" t="s">
        <v>29</v>
      </c>
      <c r="AZ1093" s="1108"/>
      <c r="BA1093" s="1109"/>
      <c r="BB1093" s="1109"/>
      <c r="BC1093" s="1109"/>
      <c r="BD1093" s="1109"/>
      <c r="BE1093" s="1109"/>
      <c r="BF1093" s="1109">
        <f t="shared" ref="BF1093:BJ1093" si="1415">BF429*$AY126</f>
        <v>5.0009999999999985E-2</v>
      </c>
      <c r="BG1093" s="1109">
        <f t="shared" si="1415"/>
        <v>4.9999999999999996E-2</v>
      </c>
      <c r="BH1093" s="1109">
        <f t="shared" si="1415"/>
        <v>4.9990000000000007E-2</v>
      </c>
      <c r="BI1093" s="1109">
        <f t="shared" si="1415"/>
        <v>0</v>
      </c>
      <c r="BJ1093" s="1109">
        <f t="shared" si="1415"/>
        <v>0</v>
      </c>
    </row>
    <row r="1094" spans="2:62" hidden="1" outlineLevel="1">
      <c r="B1094" s="1094"/>
      <c r="C1094" s="1071" t="str">
        <f t="shared" ref="C1094:F1094" si="1416">C777</f>
        <v>T017 - TOSHIBA W20008071</v>
      </c>
      <c r="D1094" s="1071" t="str">
        <f t="shared" si="1416"/>
        <v>IT Equipment</v>
      </c>
      <c r="E1094" s="1071" t="str">
        <f t="shared" si="1416"/>
        <v>T0170264</v>
      </c>
      <c r="F1094" s="1125">
        <f t="shared" si="1416"/>
        <v>2020</v>
      </c>
      <c r="H1094" s="1071" t="s">
        <v>29</v>
      </c>
      <c r="AZ1094" s="1108"/>
      <c r="BA1094" s="1109"/>
      <c r="BB1094" s="1109"/>
      <c r="BC1094" s="1109"/>
      <c r="BD1094" s="1109"/>
      <c r="BE1094" s="1109"/>
      <c r="BF1094" s="1109">
        <f t="shared" ref="BF1094:BJ1094" si="1417">BF430*$AY127</f>
        <v>2.9452500000000006E-2</v>
      </c>
      <c r="BG1094" s="1109">
        <f t="shared" si="1417"/>
        <v>5.0483333333333338E-2</v>
      </c>
      <c r="BH1094" s="1109">
        <f t="shared" si="1417"/>
        <v>5.0483333333333338E-2</v>
      </c>
      <c r="BI1094" s="1109">
        <f t="shared" si="1417"/>
        <v>2.1030833333333325E-2</v>
      </c>
      <c r="BJ1094" s="1109">
        <f t="shared" si="1417"/>
        <v>0</v>
      </c>
    </row>
    <row r="1095" spans="2:62" hidden="1" outlineLevel="1">
      <c r="B1095" s="1094"/>
      <c r="C1095" s="1071" t="str">
        <f t="shared" ref="C1095:F1095" si="1418">C778</f>
        <v>T017 - TOSHIBA W20008072</v>
      </c>
      <c r="D1095" s="1071" t="str">
        <f t="shared" si="1418"/>
        <v>IT Equipment</v>
      </c>
      <c r="E1095" s="1071" t="str">
        <f t="shared" si="1418"/>
        <v>T0170265</v>
      </c>
      <c r="F1095" s="1125">
        <f t="shared" si="1418"/>
        <v>2020</v>
      </c>
      <c r="H1095" s="1071" t="s">
        <v>29</v>
      </c>
      <c r="AZ1095" s="1108"/>
      <c r="BA1095" s="1109"/>
      <c r="BB1095" s="1109"/>
      <c r="BC1095" s="1109"/>
      <c r="BD1095" s="1109"/>
      <c r="BE1095" s="1109"/>
      <c r="BF1095" s="1109">
        <f t="shared" ref="BF1095:BJ1095" si="1419">BF431*$AY128</f>
        <v>2.9452500000000006E-2</v>
      </c>
      <c r="BG1095" s="1109">
        <f t="shared" si="1419"/>
        <v>5.0483333333333338E-2</v>
      </c>
      <c r="BH1095" s="1109">
        <f t="shared" si="1419"/>
        <v>5.0483333333333338E-2</v>
      </c>
      <c r="BI1095" s="1109">
        <f t="shared" si="1419"/>
        <v>2.1030833333333325E-2</v>
      </c>
      <c r="BJ1095" s="1109">
        <f t="shared" si="1419"/>
        <v>0</v>
      </c>
    </row>
    <row r="1096" spans="2:62" hidden="1" outlineLevel="1">
      <c r="B1096" s="1094"/>
      <c r="C1096" s="1071" t="str">
        <f t="shared" ref="C1096:F1096" si="1420">C779</f>
        <v>T017 - TOSHIBA W20008079</v>
      </c>
      <c r="D1096" s="1071" t="str">
        <f t="shared" si="1420"/>
        <v>IT Equipment</v>
      </c>
      <c r="E1096" s="1071" t="str">
        <f t="shared" si="1420"/>
        <v>T0170271</v>
      </c>
      <c r="F1096" s="1125">
        <f t="shared" si="1420"/>
        <v>2020</v>
      </c>
      <c r="H1096" s="1071" t="s">
        <v>29</v>
      </c>
      <c r="AZ1096" s="1108"/>
      <c r="BA1096" s="1109"/>
      <c r="BB1096" s="1109"/>
      <c r="BC1096" s="1109"/>
      <c r="BD1096" s="1109"/>
      <c r="BE1096" s="1109"/>
      <c r="BF1096" s="1109">
        <f t="shared" ref="BF1096:BJ1096" si="1421">BF432*$AY129</f>
        <v>2.9452500000000006E-2</v>
      </c>
      <c r="BG1096" s="1109">
        <f t="shared" si="1421"/>
        <v>5.0483333333333338E-2</v>
      </c>
      <c r="BH1096" s="1109">
        <f t="shared" si="1421"/>
        <v>5.0483333333333338E-2</v>
      </c>
      <c r="BI1096" s="1109">
        <f t="shared" si="1421"/>
        <v>2.1030833333333325E-2</v>
      </c>
      <c r="BJ1096" s="1109">
        <f t="shared" si="1421"/>
        <v>0</v>
      </c>
    </row>
    <row r="1097" spans="2:62" hidden="1" outlineLevel="1">
      <c r="B1097" s="1094"/>
      <c r="C1097" s="1071" t="str">
        <f t="shared" ref="C1097:F1097" si="1422">C780</f>
        <v>T017 - HP250G7 CORE W20008101</v>
      </c>
      <c r="D1097" s="1071" t="str">
        <f t="shared" si="1422"/>
        <v>IT Equipment</v>
      </c>
      <c r="E1097" s="1071" t="str">
        <f t="shared" si="1422"/>
        <v>T0170286</v>
      </c>
      <c r="F1097" s="1125">
        <f t="shared" si="1422"/>
        <v>2020</v>
      </c>
      <c r="H1097" s="1071" t="s">
        <v>29</v>
      </c>
      <c r="AZ1097" s="1108"/>
      <c r="BA1097" s="1109"/>
      <c r="BB1097" s="1109"/>
      <c r="BC1097" s="1109"/>
      <c r="BD1097" s="1109"/>
      <c r="BE1097" s="1109"/>
      <c r="BF1097" s="1109">
        <f t="shared" ref="BF1097:BJ1097" si="1423">BF433*$AY130</f>
        <v>3.3789999999999994E-2</v>
      </c>
      <c r="BG1097" s="1109">
        <f t="shared" si="1423"/>
        <v>5.7916666666666665E-2</v>
      </c>
      <c r="BH1097" s="1109">
        <f t="shared" si="1423"/>
        <v>5.7916666666666665E-2</v>
      </c>
      <c r="BI1097" s="1109">
        <f t="shared" si="1423"/>
        <v>2.4126666666666671E-2</v>
      </c>
      <c r="BJ1097" s="1109">
        <f t="shared" si="1423"/>
        <v>0</v>
      </c>
    </row>
    <row r="1098" spans="2:62" hidden="1" outlineLevel="1">
      <c r="B1098" s="1094"/>
      <c r="C1098" s="1071" t="str">
        <f t="shared" ref="C1098:F1098" si="1424">C781</f>
        <v>T017 - HP250G7 CORE W20008103</v>
      </c>
      <c r="D1098" s="1071" t="str">
        <f t="shared" si="1424"/>
        <v>IT Equipment</v>
      </c>
      <c r="E1098" s="1071" t="str">
        <f t="shared" si="1424"/>
        <v>T0170288</v>
      </c>
      <c r="F1098" s="1125">
        <f t="shared" si="1424"/>
        <v>2020</v>
      </c>
      <c r="H1098" s="1071" t="s">
        <v>29</v>
      </c>
      <c r="AZ1098" s="1108"/>
      <c r="BA1098" s="1109"/>
      <c r="BB1098" s="1109"/>
      <c r="BC1098" s="1109"/>
      <c r="BD1098" s="1109"/>
      <c r="BE1098" s="1109"/>
      <c r="BF1098" s="1109">
        <f t="shared" ref="BF1098:BJ1098" si="1425">BF434*$AY131</f>
        <v>3.3789999999999994E-2</v>
      </c>
      <c r="BG1098" s="1109">
        <f t="shared" si="1425"/>
        <v>5.7916666666666665E-2</v>
      </c>
      <c r="BH1098" s="1109">
        <f t="shared" si="1425"/>
        <v>5.7916666666666665E-2</v>
      </c>
      <c r="BI1098" s="1109">
        <f t="shared" si="1425"/>
        <v>2.4126666666666671E-2</v>
      </c>
      <c r="BJ1098" s="1109">
        <f t="shared" si="1425"/>
        <v>0</v>
      </c>
    </row>
    <row r="1099" spans="2:62" hidden="1" outlineLevel="1">
      <c r="B1099" s="1094"/>
      <c r="C1099" s="1071" t="str">
        <f t="shared" ref="C1099:F1099" si="1426">C782</f>
        <v>T017 - OPTIPLEX5060 W20007789</v>
      </c>
      <c r="D1099" s="1071" t="str">
        <f t="shared" si="1426"/>
        <v>IT Equipment</v>
      </c>
      <c r="E1099" s="1071" t="str">
        <f t="shared" si="1426"/>
        <v>T0170289</v>
      </c>
      <c r="F1099" s="1125">
        <f t="shared" si="1426"/>
        <v>2020</v>
      </c>
      <c r="H1099" s="1071" t="s">
        <v>29</v>
      </c>
      <c r="AZ1099" s="1108"/>
      <c r="BA1099" s="1109"/>
      <c r="BB1099" s="1109"/>
      <c r="BC1099" s="1109"/>
      <c r="BD1099" s="1109"/>
      <c r="BE1099" s="1109"/>
      <c r="BF1099" s="1109">
        <f t="shared" ref="BF1099:BJ1099" si="1427">BF435*$AY132</f>
        <v>5.0009999999999985E-2</v>
      </c>
      <c r="BG1099" s="1109">
        <f t="shared" si="1427"/>
        <v>4.9999999999999996E-2</v>
      </c>
      <c r="BH1099" s="1109">
        <f t="shared" si="1427"/>
        <v>4.9990000000000007E-2</v>
      </c>
      <c r="BI1099" s="1109">
        <f t="shared" si="1427"/>
        <v>0</v>
      </c>
      <c r="BJ1099" s="1109">
        <f t="shared" si="1427"/>
        <v>0</v>
      </c>
    </row>
    <row r="1100" spans="2:62" hidden="1" outlineLevel="1">
      <c r="B1100" s="1094"/>
      <c r="C1100" s="1071" t="str">
        <f t="shared" ref="C1100:F1100" si="1428">C783</f>
        <v>T017 - QUEST W20007746</v>
      </c>
      <c r="D1100" s="1071" t="str">
        <f t="shared" si="1428"/>
        <v>IT Equipment</v>
      </c>
      <c r="E1100" s="1071" t="str">
        <f t="shared" si="1428"/>
        <v>T0170295</v>
      </c>
      <c r="F1100" s="1125">
        <f t="shared" si="1428"/>
        <v>2020</v>
      </c>
      <c r="H1100" s="1071" t="s">
        <v>29</v>
      </c>
      <c r="AZ1100" s="1108"/>
      <c r="BA1100" s="1109"/>
      <c r="BB1100" s="1109"/>
      <c r="BC1100" s="1109"/>
      <c r="BD1100" s="1109"/>
      <c r="BE1100" s="1109"/>
      <c r="BF1100" s="1109">
        <f t="shared" ref="BF1100:BJ1100" si="1429">BF436*$AY133</f>
        <v>1.8567500000000001E-2</v>
      </c>
      <c r="BG1100" s="1109">
        <f t="shared" si="1429"/>
        <v>0.22281333333333336</v>
      </c>
      <c r="BH1100" s="1109">
        <f t="shared" si="1429"/>
        <v>0.22281333333333336</v>
      </c>
      <c r="BI1100" s="1109">
        <f t="shared" si="1429"/>
        <v>0.20424583333333335</v>
      </c>
      <c r="BJ1100" s="1109">
        <f t="shared" si="1429"/>
        <v>0</v>
      </c>
    </row>
    <row r="1101" spans="2:62" hidden="1" outlineLevel="1">
      <c r="B1101" s="1094"/>
      <c r="C1101" s="1071" t="str">
        <f t="shared" ref="C1101:F1101" si="1430">C784</f>
        <v>T018 - HP COLOR LASERJET BCY</v>
      </c>
      <c r="D1101" s="1071" t="str">
        <f t="shared" si="1430"/>
        <v>IT Equipment</v>
      </c>
      <c r="E1101" s="1071" t="str">
        <f t="shared" si="1430"/>
        <v>T0180063</v>
      </c>
      <c r="F1101" s="1125">
        <f t="shared" si="1430"/>
        <v>2020</v>
      </c>
      <c r="H1101" s="1071" t="s">
        <v>29</v>
      </c>
      <c r="AZ1101" s="1108"/>
      <c r="BA1101" s="1109"/>
      <c r="BB1101" s="1109"/>
      <c r="BC1101" s="1109"/>
      <c r="BD1101" s="1109"/>
      <c r="BE1101" s="1109"/>
      <c r="BF1101" s="1109">
        <f t="shared" ref="BF1101:BJ1101" si="1431">BF437*$AY134</f>
        <v>9.6877500000000005E-2</v>
      </c>
      <c r="BG1101" s="1109">
        <f t="shared" si="1431"/>
        <v>0.38750000000000001</v>
      </c>
      <c r="BH1101" s="1109">
        <f t="shared" si="1431"/>
        <v>0.38750000000000001</v>
      </c>
      <c r="BI1101" s="1109">
        <f t="shared" si="1431"/>
        <v>0.29062250000000006</v>
      </c>
      <c r="BJ1101" s="1109">
        <f t="shared" si="1431"/>
        <v>0</v>
      </c>
    </row>
    <row r="1102" spans="2:62" hidden="1" outlineLevel="1">
      <c r="B1102" s="1094"/>
      <c r="C1102" s="1071" t="str">
        <f t="shared" ref="C1102:F1102" si="1432">C785</f>
        <v>T017 - TOSHIBA X20 W20008075</v>
      </c>
      <c r="D1102" s="1071" t="str">
        <f t="shared" si="1432"/>
        <v>IT Equipment</v>
      </c>
      <c r="E1102" s="1071" t="str">
        <f t="shared" si="1432"/>
        <v>T0170220</v>
      </c>
      <c r="F1102" s="1125">
        <f t="shared" si="1432"/>
        <v>2020</v>
      </c>
      <c r="H1102" s="1071" t="s">
        <v>29</v>
      </c>
      <c r="AZ1102" s="1108"/>
      <c r="BA1102" s="1109"/>
      <c r="BB1102" s="1109"/>
      <c r="BC1102" s="1109"/>
      <c r="BD1102" s="1109"/>
      <c r="BE1102" s="1109"/>
      <c r="BF1102" s="1109">
        <f t="shared" ref="BF1102:BJ1102" si="1433">BF438*$AY135</f>
        <v>8.7569999999999995E-2</v>
      </c>
      <c r="BG1102" s="1109">
        <f t="shared" si="1433"/>
        <v>0.14604486486486487</v>
      </c>
      <c r="BH1102" s="1109">
        <f t="shared" si="1433"/>
        <v>0.14604486486486487</v>
      </c>
      <c r="BI1102" s="1109">
        <f t="shared" si="1433"/>
        <v>7.0645270270270275E-2</v>
      </c>
      <c r="BJ1102" s="1109">
        <f t="shared" si="1433"/>
        <v>0</v>
      </c>
    </row>
    <row r="1103" spans="2:62" hidden="1" outlineLevel="1">
      <c r="B1103" s="1094"/>
      <c r="C1103" s="1071" t="str">
        <f t="shared" ref="C1103:F1103" si="1434">C786</f>
        <v>T017 - TOSHIBA X20 W20008017</v>
      </c>
      <c r="D1103" s="1071" t="str">
        <f t="shared" si="1434"/>
        <v>IT Equipment</v>
      </c>
      <c r="E1103" s="1071" t="str">
        <f t="shared" si="1434"/>
        <v>T0170239</v>
      </c>
      <c r="F1103" s="1125">
        <f t="shared" si="1434"/>
        <v>2020</v>
      </c>
      <c r="H1103" s="1071" t="s">
        <v>29</v>
      </c>
      <c r="AZ1103" s="1108"/>
      <c r="BA1103" s="1109"/>
      <c r="BB1103" s="1109"/>
      <c r="BC1103" s="1109"/>
      <c r="BD1103" s="1109"/>
      <c r="BE1103" s="1109"/>
      <c r="BF1103" s="1109">
        <f t="shared" ref="BF1103:BJ1103" si="1435">BF439*$AY136</f>
        <v>0.14645500000000003</v>
      </c>
      <c r="BG1103" s="1109">
        <f t="shared" si="1435"/>
        <v>0.25106833333333334</v>
      </c>
      <c r="BH1103" s="1109">
        <f t="shared" si="1435"/>
        <v>0.25106833333333334</v>
      </c>
      <c r="BI1103" s="1109">
        <f t="shared" si="1435"/>
        <v>0.10461333333333336</v>
      </c>
      <c r="BJ1103" s="1109">
        <f t="shared" si="1435"/>
        <v>0</v>
      </c>
    </row>
    <row r="1104" spans="2:62" hidden="1" outlineLevel="1">
      <c r="B1104" s="1094"/>
      <c r="C1104" s="1071" t="str">
        <f t="shared" ref="C1104:F1104" si="1436">C787</f>
        <v>T017 - TOSHIBA W20008075</v>
      </c>
      <c r="D1104" s="1071" t="str">
        <f t="shared" si="1436"/>
        <v>IT Equipment</v>
      </c>
      <c r="E1104" s="1071" t="str">
        <f t="shared" si="1436"/>
        <v>T0170268</v>
      </c>
      <c r="F1104" s="1125">
        <f t="shared" si="1436"/>
        <v>2020</v>
      </c>
      <c r="H1104" s="1071" t="s">
        <v>29</v>
      </c>
      <c r="AZ1104" s="1108"/>
      <c r="BA1104" s="1109"/>
      <c r="BB1104" s="1109"/>
      <c r="BC1104" s="1109"/>
      <c r="BD1104" s="1109"/>
      <c r="BE1104" s="1109"/>
      <c r="BF1104" s="1109">
        <f t="shared" ref="BF1104:BJ1104" si="1437">BF440*$AY137</f>
        <v>5.8905000000000013E-2</v>
      </c>
      <c r="BG1104" s="1109">
        <f t="shared" si="1437"/>
        <v>0.10096666666666668</v>
      </c>
      <c r="BH1104" s="1109">
        <f t="shared" si="1437"/>
        <v>0.10096666666666668</v>
      </c>
      <c r="BI1104" s="1109">
        <f t="shared" si="1437"/>
        <v>4.206166666666665E-2</v>
      </c>
      <c r="BJ1104" s="1109">
        <f t="shared" si="1437"/>
        <v>0</v>
      </c>
    </row>
    <row r="1105" spans="2:62" hidden="1" outlineLevel="1">
      <c r="B1105" s="1094"/>
      <c r="C1105" s="1071" t="str">
        <f t="shared" ref="C1105:F1105" si="1438">C788</f>
        <v>T022 - DAAMS OMP PACKAGE</v>
      </c>
      <c r="D1105" s="1071" t="str">
        <f t="shared" si="1438"/>
        <v>DAAMS OMP PACKAGE</v>
      </c>
      <c r="E1105" s="1071" t="str">
        <f t="shared" si="1438"/>
        <v>T0220001</v>
      </c>
      <c r="F1105" s="1125">
        <f t="shared" si="1438"/>
        <v>2020</v>
      </c>
      <c r="H1105" s="1071" t="s">
        <v>29</v>
      </c>
      <c r="AZ1105" s="1108"/>
      <c r="BA1105" s="1109"/>
      <c r="BB1105" s="1109"/>
      <c r="BC1105" s="1109"/>
      <c r="BD1105" s="1109"/>
      <c r="BE1105" s="1109"/>
      <c r="BF1105" s="1109">
        <f t="shared" ref="BF1105:BJ1105" si="1439">BF441*$AY138</f>
        <v>1.0000020000000001</v>
      </c>
      <c r="BG1105" s="1109">
        <f t="shared" si="1439"/>
        <v>3</v>
      </c>
      <c r="BH1105" s="1109">
        <f t="shared" si="1439"/>
        <v>3</v>
      </c>
      <c r="BI1105" s="1109">
        <f t="shared" si="1439"/>
        <v>1.9999979999999997</v>
      </c>
      <c r="BJ1105" s="1109">
        <f t="shared" si="1439"/>
        <v>0</v>
      </c>
    </row>
    <row r="1106" spans="2:62" hidden="1" outlineLevel="1">
      <c r="B1106" s="1094"/>
      <c r="C1106" s="1071" t="str">
        <f t="shared" ref="C1106:F1106" si="1440">C789</f>
        <v>S024 - BCY ITRoom Upgrades</v>
      </c>
      <c r="D1106" s="1071" t="str">
        <f t="shared" si="1440"/>
        <v>IT Room Upgrades</v>
      </c>
      <c r="E1106" s="1071" t="str">
        <f t="shared" si="1440"/>
        <v>S0240011</v>
      </c>
      <c r="F1106" s="1125">
        <f t="shared" si="1440"/>
        <v>2020</v>
      </c>
      <c r="H1106" s="1071" t="s">
        <v>29</v>
      </c>
      <c r="AZ1106" s="1108"/>
      <c r="BA1106" s="1109"/>
      <c r="BB1106" s="1109"/>
      <c r="BC1106" s="1109"/>
      <c r="BD1106" s="1109"/>
      <c r="BE1106" s="1109"/>
      <c r="BF1106" s="1109">
        <f t="shared" ref="BF1106:BJ1106" si="1441">BF442*$AY139</f>
        <v>0.2285325</v>
      </c>
      <c r="BG1106" s="1109">
        <f t="shared" si="1441"/>
        <v>2.7423899999999999</v>
      </c>
      <c r="BH1106" s="1109">
        <f t="shared" si="1441"/>
        <v>2.7423899999999999</v>
      </c>
      <c r="BI1106" s="1109">
        <f t="shared" si="1441"/>
        <v>2.7423899999999999</v>
      </c>
      <c r="BJ1106" s="1109">
        <f t="shared" si="1441"/>
        <v>2.7423899999999999</v>
      </c>
    </row>
    <row r="1107" spans="2:62" hidden="1" outlineLevel="1">
      <c r="B1107" s="1094"/>
      <c r="C1107" s="1071" t="str">
        <f t="shared" ref="C1107:F1107" si="1442">C790</f>
        <v>T019 - 2 Servers BCY</v>
      </c>
      <c r="D1107" s="1071" t="str">
        <f t="shared" si="1442"/>
        <v>IT Servers</v>
      </c>
      <c r="E1107" s="1071" t="str">
        <f t="shared" si="1442"/>
        <v>T0190003</v>
      </c>
      <c r="F1107" s="1125">
        <f t="shared" si="1442"/>
        <v>2020</v>
      </c>
      <c r="H1107" s="1071" t="s">
        <v>29</v>
      </c>
      <c r="AZ1107" s="1108"/>
      <c r="BA1107" s="1109"/>
      <c r="BB1107" s="1109"/>
      <c r="BC1107" s="1109"/>
      <c r="BD1107" s="1109"/>
      <c r="BE1107" s="1109"/>
      <c r="BF1107" s="1109">
        <f t="shared" ref="BF1107:BJ1107" si="1443">BF443*$AY140</f>
        <v>4.0715699999999995</v>
      </c>
      <c r="BG1107" s="1109">
        <f t="shared" si="1443"/>
        <v>4.0715649999999997</v>
      </c>
      <c r="BH1107" s="1109">
        <f t="shared" si="1443"/>
        <v>4.0715599999999998</v>
      </c>
      <c r="BI1107" s="1109">
        <f t="shared" si="1443"/>
        <v>0</v>
      </c>
      <c r="BJ1107" s="1109">
        <f t="shared" si="1443"/>
        <v>0</v>
      </c>
    </row>
    <row r="1108" spans="2:62" hidden="1" outlineLevel="1">
      <c r="B1108" s="1094"/>
      <c r="C1108" s="1071" t="str">
        <f t="shared" ref="C1108:F1108" si="1444">C791</f>
        <v>T019 - 1 Server SHN</v>
      </c>
      <c r="D1108" s="1071" t="str">
        <f t="shared" si="1444"/>
        <v>IT Servers</v>
      </c>
      <c r="E1108" s="1071" t="str">
        <f t="shared" si="1444"/>
        <v>T0190004</v>
      </c>
      <c r="F1108" s="1125">
        <f t="shared" si="1444"/>
        <v>2020</v>
      </c>
      <c r="H1108" s="1071" t="s">
        <v>29</v>
      </c>
      <c r="AZ1108" s="1108"/>
      <c r="BA1108" s="1109"/>
      <c r="BB1108" s="1109"/>
      <c r="BC1108" s="1109"/>
      <c r="BD1108" s="1109"/>
      <c r="BE1108" s="1109"/>
      <c r="BF1108" s="1109">
        <f t="shared" ref="BF1108:BJ1108" si="1445">BF444*$AY141</f>
        <v>0.12509000000000001</v>
      </c>
      <c r="BG1108" s="1109">
        <f t="shared" si="1445"/>
        <v>0.21443999999999999</v>
      </c>
      <c r="BH1108" s="1109">
        <f t="shared" si="1445"/>
        <v>0.21443999999999999</v>
      </c>
      <c r="BI1108" s="1109">
        <f t="shared" si="1445"/>
        <v>8.9349999999999999E-2</v>
      </c>
      <c r="BJ1108" s="1109">
        <f t="shared" si="1445"/>
        <v>0</v>
      </c>
    </row>
    <row r="1109" spans="2:62" hidden="1" outlineLevel="1">
      <c r="B1109" s="1094"/>
      <c r="C1109" s="1071" t="str">
        <f t="shared" ref="C1109:F1109" si="1446">C792</f>
        <v>P003 - RBS Radios Rosslare</v>
      </c>
      <c r="D1109" s="1071" t="str">
        <f t="shared" si="1446"/>
        <v>RBS Radios Rosslare</v>
      </c>
      <c r="E1109" s="1071" t="str">
        <f t="shared" si="1446"/>
        <v>P0030002</v>
      </c>
      <c r="F1109" s="1125">
        <f t="shared" si="1446"/>
        <v>2020</v>
      </c>
      <c r="H1109" s="1071" t="s">
        <v>29</v>
      </c>
      <c r="AZ1109" s="1108"/>
      <c r="BA1109" s="1109"/>
      <c r="BB1109" s="1109"/>
      <c r="BC1109" s="1109"/>
      <c r="BD1109" s="1109"/>
      <c r="BE1109" s="1109"/>
      <c r="BF1109" s="1109">
        <f t="shared" ref="BF1109:BJ1109" si="1447">BF445*$AY142</f>
        <v>0.34461999999999998</v>
      </c>
      <c r="BG1109" s="1109">
        <f t="shared" si="1447"/>
        <v>1.0338512499999999</v>
      </c>
      <c r="BH1109" s="1109">
        <f t="shared" si="1447"/>
        <v>1.0338512499999999</v>
      </c>
      <c r="BI1109" s="1109">
        <f t="shared" si="1447"/>
        <v>1.0338512499999999</v>
      </c>
      <c r="BJ1109" s="1109">
        <f t="shared" si="1447"/>
        <v>1.0338512499999999</v>
      </c>
    </row>
    <row r="1110" spans="2:62" hidden="1" outlineLevel="1">
      <c r="B1110" s="1094"/>
      <c r="C1110" s="1071" t="str">
        <f t="shared" ref="C1110:F1110" si="1448">C793</f>
        <v>Q027 HQ ICT Room Upgrades</v>
      </c>
      <c r="D1110" s="1071" t="str">
        <f t="shared" si="1448"/>
        <v>ICT Room Upgrades</v>
      </c>
      <c r="E1110" s="1071" t="str">
        <f t="shared" si="1448"/>
        <v>Q0270010</v>
      </c>
      <c r="F1110" s="1125">
        <f t="shared" si="1448"/>
        <v>2020</v>
      </c>
      <c r="H1110" s="1071" t="s">
        <v>29</v>
      </c>
      <c r="AZ1110" s="1108"/>
      <c r="BA1110" s="1109"/>
      <c r="BB1110" s="1109"/>
      <c r="BC1110" s="1109"/>
      <c r="BD1110" s="1109"/>
      <c r="BE1110" s="1109"/>
      <c r="BF1110" s="1109">
        <f t="shared" ref="BF1110:BJ1110" si="1449">BF446*$AY143</f>
        <v>0.76114800000000005</v>
      </c>
      <c r="BG1110" s="1109">
        <f t="shared" si="1449"/>
        <v>0.76114899999999996</v>
      </c>
      <c r="BH1110" s="1109">
        <f t="shared" si="1449"/>
        <v>0.76114899999999996</v>
      </c>
      <c r="BI1110" s="1109">
        <f t="shared" si="1449"/>
        <v>1.0000000001089765E-6</v>
      </c>
      <c r="BJ1110" s="1109">
        <f t="shared" si="1449"/>
        <v>0</v>
      </c>
    </row>
    <row r="1111" spans="2:62" hidden="1" outlineLevel="1">
      <c r="B1111" s="1094"/>
      <c r="C1111" s="1071" t="str">
        <f t="shared" ref="C1111:F1111" si="1450">C794</f>
        <v>Q027 BCY ICT Room Upgrades</v>
      </c>
      <c r="D1111" s="1071" t="str">
        <f t="shared" si="1450"/>
        <v>ICT Room Upgrades</v>
      </c>
      <c r="E1111" s="1071" t="str">
        <f t="shared" si="1450"/>
        <v>Q0270009</v>
      </c>
      <c r="F1111" s="1125">
        <f t="shared" si="1450"/>
        <v>2020</v>
      </c>
      <c r="H1111" s="1071" t="s">
        <v>29</v>
      </c>
      <c r="AZ1111" s="1108"/>
      <c r="BA1111" s="1109"/>
      <c r="BB1111" s="1109"/>
      <c r="BC1111" s="1109"/>
      <c r="BD1111" s="1109"/>
      <c r="BE1111" s="1109"/>
      <c r="BF1111" s="1109">
        <f t="shared" ref="BF1111:BJ1111" si="1451">BF447*$AY144</f>
        <v>1.2788849999999998</v>
      </c>
      <c r="BG1111" s="1109">
        <f t="shared" si="1451"/>
        <v>1.3951383333333334</v>
      </c>
      <c r="BH1111" s="1109">
        <f t="shared" si="1451"/>
        <v>1.3951383333333334</v>
      </c>
      <c r="BI1111" s="1109">
        <f t="shared" si="1451"/>
        <v>0.11625333333333351</v>
      </c>
      <c r="BJ1111" s="1109">
        <f t="shared" si="1451"/>
        <v>0</v>
      </c>
    </row>
    <row r="1112" spans="2:62" hidden="1" outlineLevel="1">
      <c r="B1112" s="1094"/>
      <c r="C1112" s="1071" t="str">
        <f t="shared" ref="C1112:F1112" si="1452">C795</f>
        <v>S004 - NRT2</v>
      </c>
      <c r="D1112" s="1071" t="str">
        <f t="shared" si="1452"/>
        <v>NRT2</v>
      </c>
      <c r="E1112" s="1071" t="str">
        <f t="shared" si="1452"/>
        <v>S0040015</v>
      </c>
      <c r="F1112" s="1125">
        <f t="shared" si="1452"/>
        <v>2020</v>
      </c>
      <c r="H1112" s="1071" t="s">
        <v>29</v>
      </c>
      <c r="AZ1112" s="1108"/>
      <c r="BA1112" s="1109"/>
      <c r="BB1112" s="1109"/>
      <c r="BC1112" s="1109"/>
      <c r="BD1112" s="1109"/>
      <c r="BE1112" s="1109"/>
      <c r="BF1112" s="1109">
        <f t="shared" ref="BF1112:BJ1112" si="1453">BF448*$AY145</f>
        <v>0.26064500000000002</v>
      </c>
      <c r="BG1112" s="1109">
        <f t="shared" si="1453"/>
        <v>0.28434999999999999</v>
      </c>
      <c r="BH1112" s="1109">
        <f t="shared" si="1453"/>
        <v>0.28434999999999999</v>
      </c>
      <c r="BI1112" s="1109">
        <f t="shared" si="1453"/>
        <v>0.28434999999999999</v>
      </c>
      <c r="BJ1112" s="1109">
        <f t="shared" si="1453"/>
        <v>0.28434999999999999</v>
      </c>
    </row>
    <row r="1113" spans="2:62" hidden="1" outlineLevel="1">
      <c r="B1113" s="1094"/>
      <c r="C1113" s="1071" t="str">
        <f t="shared" ref="C1113:F1113" si="1454">C796</f>
        <v>S004 - NRT2</v>
      </c>
      <c r="D1113" s="1071" t="str">
        <f t="shared" si="1454"/>
        <v>NRT2</v>
      </c>
      <c r="E1113" s="1071" t="str">
        <f t="shared" si="1454"/>
        <v>S0040014</v>
      </c>
      <c r="F1113" s="1125">
        <f t="shared" si="1454"/>
        <v>2020</v>
      </c>
      <c r="H1113" s="1071" t="s">
        <v>29</v>
      </c>
      <c r="AZ1113" s="1108"/>
      <c r="BA1113" s="1109"/>
      <c r="BB1113" s="1109"/>
      <c r="BC1113" s="1109"/>
      <c r="BD1113" s="1109"/>
      <c r="BE1113" s="1109"/>
      <c r="BF1113" s="1109">
        <f t="shared" ref="BF1113:BJ1113" si="1455">BF449*$AY146</f>
        <v>0.52131749999999999</v>
      </c>
      <c r="BG1113" s="1109">
        <f t="shared" si="1455"/>
        <v>0.56869999999999998</v>
      </c>
      <c r="BH1113" s="1109">
        <f t="shared" si="1455"/>
        <v>0.56869999999999998</v>
      </c>
      <c r="BI1113" s="1109">
        <f t="shared" si="1455"/>
        <v>0.56869999999999998</v>
      </c>
      <c r="BJ1113" s="1109">
        <f t="shared" si="1455"/>
        <v>0.56869999999999998</v>
      </c>
    </row>
    <row r="1114" spans="2:62" hidden="1" outlineLevel="1">
      <c r="B1114" s="1094"/>
      <c r="C1114" s="1071" t="str">
        <f t="shared" ref="C1114:F1114" si="1456">C797</f>
        <v>T013 - KF73875 FF AVIOR ELBRUS HBACK OPERATOR x2</v>
      </c>
      <c r="D1114" s="1071" t="str">
        <f t="shared" si="1456"/>
        <v>Office Equipment</v>
      </c>
      <c r="E1114" s="1071" t="str">
        <f t="shared" si="1456"/>
        <v>t0130005</v>
      </c>
      <c r="F1114" s="1125">
        <f t="shared" si="1456"/>
        <v>2020</v>
      </c>
      <c r="H1114" s="1071" t="s">
        <v>29</v>
      </c>
      <c r="AZ1114" s="1108"/>
      <c r="BA1114" s="1109"/>
      <c r="BB1114" s="1109"/>
      <c r="BC1114" s="1109"/>
      <c r="BD1114" s="1109"/>
      <c r="BE1114" s="1109"/>
      <c r="BF1114" s="1109">
        <f t="shared" ref="BF1114:BJ1114" si="1457">BF450*$AY147</f>
        <v>0</v>
      </c>
      <c r="BG1114" s="1109">
        <f t="shared" si="1457"/>
        <v>0</v>
      </c>
      <c r="BH1114" s="1109">
        <f t="shared" si="1457"/>
        <v>0</v>
      </c>
      <c r="BI1114" s="1109">
        <f t="shared" si="1457"/>
        <v>0</v>
      </c>
      <c r="BJ1114" s="1109">
        <f t="shared" si="1457"/>
        <v>0</v>
      </c>
    </row>
    <row r="1115" spans="2:62" hidden="1" outlineLevel="1">
      <c r="B1115" s="1094"/>
      <c r="C1115" s="1071" t="str">
        <f t="shared" ref="C1115:F1115" si="1458">C798</f>
        <v>T013 - OFFICE CHAIRS SHEFFIELD GREY x2</v>
      </c>
      <c r="D1115" s="1071" t="str">
        <f t="shared" si="1458"/>
        <v>Office Equipment</v>
      </c>
      <c r="E1115" s="1071" t="str">
        <f t="shared" si="1458"/>
        <v>T0130004</v>
      </c>
      <c r="F1115" s="1125">
        <f t="shared" si="1458"/>
        <v>2020</v>
      </c>
      <c r="H1115" s="1071" t="s">
        <v>29</v>
      </c>
      <c r="AZ1115" s="1108"/>
      <c r="BA1115" s="1109"/>
      <c r="BB1115" s="1109"/>
      <c r="BC1115" s="1109"/>
      <c r="BD1115" s="1109"/>
      <c r="BE1115" s="1109"/>
      <c r="BF1115" s="1109">
        <f t="shared" ref="BF1115:BJ1115" si="1459">BF451*$AY148</f>
        <v>0.1827</v>
      </c>
      <c r="BG1115" s="1109">
        <f t="shared" si="1459"/>
        <v>0.24359999999999998</v>
      </c>
      <c r="BH1115" s="1109">
        <f t="shared" si="1459"/>
        <v>0.24359999999999998</v>
      </c>
      <c r="BI1115" s="1109">
        <f t="shared" si="1459"/>
        <v>0.24359999999999998</v>
      </c>
      <c r="BJ1115" s="1109">
        <f t="shared" si="1459"/>
        <v>0.24359999999999998</v>
      </c>
    </row>
    <row r="1116" spans="2:62" hidden="1" outlineLevel="1">
      <c r="B1116" s="1094"/>
      <c r="C1116" s="1071" t="str">
        <f t="shared" ref="C1116:F1116" si="1460">C799</f>
        <v>New Dublin Tower - Building</v>
      </c>
      <c r="D1116" s="1071" t="str">
        <f t="shared" si="1460"/>
        <v>New Dublin Tower</v>
      </c>
      <c r="E1116" s="1071" t="str">
        <f t="shared" si="1460"/>
        <v>R034</v>
      </c>
      <c r="F1116" s="1125" t="str">
        <f t="shared" si="1460"/>
        <v>2021-2024</v>
      </c>
      <c r="H1116" s="1071" t="s">
        <v>29</v>
      </c>
      <c r="AZ1116" s="1108"/>
      <c r="BA1116" s="1109"/>
      <c r="BB1116" s="1109"/>
      <c r="BC1116" s="1109"/>
      <c r="BD1116" s="1109"/>
      <c r="BE1116" s="1109"/>
      <c r="BF1116" s="1109">
        <f t="shared" ref="BF1116:BJ1116" si="1461">BF452*$AY149</f>
        <v>0</v>
      </c>
      <c r="BG1116" s="1109">
        <f t="shared" si="1461"/>
        <v>909.81566249999992</v>
      </c>
      <c r="BH1116" s="1109">
        <f t="shared" si="1461"/>
        <v>1819.6313249999998</v>
      </c>
      <c r="BI1116" s="1109">
        <f t="shared" si="1461"/>
        <v>1819.6313249999998</v>
      </c>
      <c r="BJ1116" s="1109">
        <f t="shared" si="1461"/>
        <v>1819.6313249999998</v>
      </c>
    </row>
    <row r="1117" spans="2:62" hidden="1" outlineLevel="1">
      <c r="B1117" s="1094"/>
      <c r="C1117" s="1071" t="str">
        <f t="shared" ref="C1117:F1117" si="1462">C800</f>
        <v>New Dublin Tower Equipment</v>
      </c>
      <c r="D1117" s="1071" t="str">
        <f t="shared" si="1462"/>
        <v>New Dublin Tower</v>
      </c>
      <c r="E1117" s="1071" t="str">
        <f t="shared" si="1462"/>
        <v>R035</v>
      </c>
      <c r="F1117" s="1125" t="str">
        <f t="shared" si="1462"/>
        <v>2021-2024</v>
      </c>
      <c r="H1117" s="1071" t="s">
        <v>29</v>
      </c>
      <c r="AZ1117" s="1108"/>
      <c r="BA1117" s="1109"/>
      <c r="BB1117" s="1109"/>
      <c r="BC1117" s="1109"/>
      <c r="BD1117" s="1109"/>
      <c r="BE1117" s="1109"/>
      <c r="BF1117" s="1109">
        <f t="shared" ref="BF1117:BJ1117" si="1463">BF453*$AY150</f>
        <v>0</v>
      </c>
      <c r="BG1117" s="1109">
        <f t="shared" si="1463"/>
        <v>0</v>
      </c>
      <c r="BH1117" s="1109">
        <f t="shared" si="1463"/>
        <v>0</v>
      </c>
      <c r="BI1117" s="1109">
        <f t="shared" si="1463"/>
        <v>0</v>
      </c>
      <c r="BJ1117" s="1109">
        <f t="shared" si="1463"/>
        <v>0</v>
      </c>
    </row>
    <row r="1118" spans="2:62" hidden="1" outlineLevel="1">
      <c r="B1118" s="1094"/>
      <c r="C1118" s="1071" t="str">
        <f t="shared" ref="C1118:F1118" si="1464">C801</f>
        <v>New Dublin Tower Equipment - Contingency</v>
      </c>
      <c r="D1118" s="1071" t="str">
        <f t="shared" si="1464"/>
        <v>New Dublin Tower</v>
      </c>
      <c r="E1118" s="1071" t="str">
        <f t="shared" si="1464"/>
        <v>R035A</v>
      </c>
      <c r="F1118" s="1125" t="str">
        <f t="shared" si="1464"/>
        <v>2021-2024</v>
      </c>
      <c r="H1118" s="1071" t="s">
        <v>29</v>
      </c>
      <c r="AZ1118" s="1108"/>
      <c r="BA1118" s="1109"/>
      <c r="BB1118" s="1109"/>
      <c r="BC1118" s="1109"/>
      <c r="BD1118" s="1109"/>
      <c r="BE1118" s="1109"/>
      <c r="BF1118" s="1109">
        <f t="shared" ref="BF1118:BJ1118" si="1465">BF454*$AY151</f>
        <v>0</v>
      </c>
      <c r="BG1118" s="1109">
        <f t="shared" si="1465"/>
        <v>1.0921875000000001</v>
      </c>
      <c r="BH1118" s="1109">
        <f t="shared" si="1465"/>
        <v>2.1843750000000002</v>
      </c>
      <c r="BI1118" s="1109">
        <f t="shared" si="1465"/>
        <v>2.1843750000000002</v>
      </c>
      <c r="BJ1118" s="1109">
        <f t="shared" si="1465"/>
        <v>2.1843750000000002</v>
      </c>
    </row>
    <row r="1119" spans="2:62" hidden="1" outlineLevel="1">
      <c r="B1119" s="1094"/>
      <c r="C1119" s="1071" t="str">
        <f t="shared" ref="C1119:F1119" si="1466">C802</f>
        <v>New Dublin Tower Equipment - Airspace redesign etc.</v>
      </c>
      <c r="D1119" s="1071" t="str">
        <f t="shared" si="1466"/>
        <v>New Dublin Tower</v>
      </c>
      <c r="E1119" s="1071" t="str">
        <f t="shared" si="1466"/>
        <v>R035A</v>
      </c>
      <c r="F1119" s="1125" t="str">
        <f t="shared" si="1466"/>
        <v>2021-2024</v>
      </c>
      <c r="H1119" s="1071" t="s">
        <v>29</v>
      </c>
      <c r="AZ1119" s="1108"/>
      <c r="BA1119" s="1109"/>
      <c r="BB1119" s="1109"/>
      <c r="BC1119" s="1109"/>
      <c r="BD1119" s="1109"/>
      <c r="BE1119" s="1109"/>
      <c r="BF1119" s="1109">
        <f t="shared" ref="BF1119:BJ1119" si="1467">BF455*$AY152</f>
        <v>0</v>
      </c>
      <c r="BG1119" s="1109">
        <f t="shared" si="1467"/>
        <v>0</v>
      </c>
      <c r="BH1119" s="1109">
        <f t="shared" si="1467"/>
        <v>109.984453125</v>
      </c>
      <c r="BI1119" s="1109">
        <f t="shared" si="1467"/>
        <v>219.96890625</v>
      </c>
      <c r="BJ1119" s="1109">
        <f t="shared" si="1467"/>
        <v>219.96890625</v>
      </c>
    </row>
    <row r="1120" spans="2:62" hidden="1" outlineLevel="1">
      <c r="B1120" s="1094"/>
      <c r="C1120" s="1071" t="str">
        <f t="shared" ref="C1120:F1120" si="1468">C803</f>
        <v>New Dublin Tower Equipment - Communications Installations</v>
      </c>
      <c r="D1120" s="1071" t="str">
        <f t="shared" si="1468"/>
        <v>New Dublin Tower</v>
      </c>
      <c r="E1120" s="1071" t="str">
        <f t="shared" si="1468"/>
        <v>R035A</v>
      </c>
      <c r="F1120" s="1125" t="str">
        <f t="shared" si="1468"/>
        <v>2021-2024</v>
      </c>
      <c r="H1120" s="1071" t="s">
        <v>29</v>
      </c>
      <c r="AZ1120" s="1108"/>
      <c r="BA1120" s="1109"/>
      <c r="BB1120" s="1109"/>
      <c r="BC1120" s="1109"/>
      <c r="BD1120" s="1109"/>
      <c r="BE1120" s="1109"/>
      <c r="BF1120" s="1109">
        <f t="shared" ref="BF1120:BJ1120" si="1469">BF456*$AY153</f>
        <v>0</v>
      </c>
      <c r="BG1120" s="1109">
        <f t="shared" si="1469"/>
        <v>146.02814406250002</v>
      </c>
      <c r="BH1120" s="1109">
        <f t="shared" si="1469"/>
        <v>292.05628812500004</v>
      </c>
      <c r="BI1120" s="1109">
        <f t="shared" si="1469"/>
        <v>292.05628812500004</v>
      </c>
      <c r="BJ1120" s="1109">
        <f t="shared" si="1469"/>
        <v>292.05628812500004</v>
      </c>
    </row>
    <row r="1121" spans="2:62" hidden="1" outlineLevel="1">
      <c r="B1121" s="1094"/>
      <c r="C1121" s="1071" t="str">
        <f t="shared" ref="C1121:F1121" si="1470">C804</f>
        <v>New Dublin Tower Equipment - IATS</v>
      </c>
      <c r="D1121" s="1071" t="str">
        <f t="shared" si="1470"/>
        <v>New Dublin Tower</v>
      </c>
      <c r="E1121" s="1071" t="str">
        <f t="shared" si="1470"/>
        <v>R035A</v>
      </c>
      <c r="F1121" s="1125" t="str">
        <f t="shared" si="1470"/>
        <v>2021-2024</v>
      </c>
      <c r="H1121" s="1071" t="s">
        <v>29</v>
      </c>
      <c r="AZ1121" s="1108"/>
      <c r="BA1121" s="1109"/>
      <c r="BB1121" s="1109"/>
      <c r="BC1121" s="1109"/>
      <c r="BD1121" s="1109"/>
      <c r="BE1121" s="1109"/>
      <c r="BF1121" s="1109">
        <f t="shared" ref="BF1121:BJ1121" si="1471">BF457*$AY154</f>
        <v>0</v>
      </c>
      <c r="BG1121" s="1109">
        <f t="shared" si="1471"/>
        <v>164.84667718750001</v>
      </c>
      <c r="BH1121" s="1109">
        <f t="shared" si="1471"/>
        <v>369.06518531250003</v>
      </c>
      <c r="BI1121" s="1109">
        <f t="shared" si="1471"/>
        <v>408.43701625</v>
      </c>
      <c r="BJ1121" s="1109">
        <f t="shared" si="1471"/>
        <v>408.43701625</v>
      </c>
    </row>
    <row r="1122" spans="2:62" hidden="1" outlineLevel="1">
      <c r="B1122" s="1094"/>
      <c r="C1122" s="1071" t="str">
        <f t="shared" ref="C1122:F1122" si="1472">C805</f>
        <v>New Dublin Tower Equipment - Safety Case</v>
      </c>
      <c r="D1122" s="1071" t="str">
        <f t="shared" si="1472"/>
        <v>New Dublin Tower</v>
      </c>
      <c r="E1122" s="1071" t="str">
        <f t="shared" si="1472"/>
        <v>R035A</v>
      </c>
      <c r="F1122" s="1125" t="str">
        <f t="shared" si="1472"/>
        <v>2021-2024</v>
      </c>
      <c r="H1122" s="1071" t="s">
        <v>29</v>
      </c>
      <c r="AZ1122" s="1108"/>
      <c r="BA1122" s="1109"/>
      <c r="BB1122" s="1109"/>
      <c r="BC1122" s="1109"/>
      <c r="BD1122" s="1109"/>
      <c r="BE1122" s="1109"/>
      <c r="BF1122" s="1109">
        <f t="shared" ref="BF1122:BJ1122" si="1473">BF458*$AY155</f>
        <v>0</v>
      </c>
      <c r="BG1122" s="1109">
        <f t="shared" si="1473"/>
        <v>34.932499999999997</v>
      </c>
      <c r="BH1122" s="1109">
        <f t="shared" si="1473"/>
        <v>69.864999999999995</v>
      </c>
      <c r="BI1122" s="1109">
        <f t="shared" si="1473"/>
        <v>69.864999999999995</v>
      </c>
      <c r="BJ1122" s="1109">
        <f t="shared" si="1473"/>
        <v>69.864999999999995</v>
      </c>
    </row>
    <row r="1123" spans="2:62" hidden="1" outlineLevel="1">
      <c r="B1123" s="1094"/>
      <c r="C1123" s="1071" t="str">
        <f t="shared" ref="C1123:F1123" si="1474">C806</f>
        <v>New Dublin Tower Equipment - ILS/IRVR Systems</v>
      </c>
      <c r="D1123" s="1071" t="str">
        <f t="shared" si="1474"/>
        <v>New Dublin Tower</v>
      </c>
      <c r="E1123" s="1071" t="str">
        <f t="shared" si="1474"/>
        <v>R035A</v>
      </c>
      <c r="F1123" s="1125" t="str">
        <f t="shared" si="1474"/>
        <v>2021-2024</v>
      </c>
      <c r="H1123" s="1071" t="s">
        <v>29</v>
      </c>
      <c r="AZ1123" s="1108"/>
      <c r="BA1123" s="1109"/>
      <c r="BB1123" s="1109"/>
      <c r="BC1123" s="1109"/>
      <c r="BD1123" s="1109"/>
      <c r="BE1123" s="1109"/>
      <c r="BF1123" s="1109">
        <f t="shared" ref="BF1123:BJ1123" si="1475">BF459*$AY156</f>
        <v>0</v>
      </c>
      <c r="BG1123" s="1109">
        <f t="shared" si="1475"/>
        <v>0</v>
      </c>
      <c r="BH1123" s="1109">
        <f t="shared" si="1475"/>
        <v>141.88075125</v>
      </c>
      <c r="BI1123" s="1109">
        <f t="shared" si="1475"/>
        <v>283.76150250000001</v>
      </c>
      <c r="BJ1123" s="1109">
        <f t="shared" si="1475"/>
        <v>283.76150250000001</v>
      </c>
    </row>
    <row r="1124" spans="2:62" hidden="1" outlineLevel="1">
      <c r="B1124" s="1094"/>
      <c r="C1124" s="1071" t="str">
        <f t="shared" ref="C1124:F1124" si="1476">C807</f>
        <v>New Dublin Tower Equipment - Replacement ASMGCS &amp; GMR Tower</v>
      </c>
      <c r="D1124" s="1071" t="str">
        <f t="shared" si="1476"/>
        <v>New Dublin Tower</v>
      </c>
      <c r="E1124" s="1071" t="str">
        <f t="shared" si="1476"/>
        <v>R035A</v>
      </c>
      <c r="F1124" s="1125" t="str">
        <f t="shared" si="1476"/>
        <v>2021-2024</v>
      </c>
      <c r="H1124" s="1071" t="s">
        <v>29</v>
      </c>
      <c r="AZ1124" s="1108"/>
      <c r="BA1124" s="1109"/>
      <c r="BB1124" s="1109"/>
      <c r="BC1124" s="1109"/>
      <c r="BD1124" s="1109"/>
      <c r="BE1124" s="1109"/>
      <c r="BF1124" s="1109">
        <f t="shared" ref="BF1124:BJ1124" si="1477">BF460*$AY157</f>
        <v>0</v>
      </c>
      <c r="BG1124" s="1109">
        <f t="shared" si="1477"/>
        <v>0</v>
      </c>
      <c r="BH1124" s="1109">
        <f t="shared" si="1477"/>
        <v>0</v>
      </c>
      <c r="BI1124" s="1109">
        <f t="shared" si="1477"/>
        <v>114.58875</v>
      </c>
      <c r="BJ1124" s="1109">
        <f t="shared" si="1477"/>
        <v>114.58875</v>
      </c>
    </row>
    <row r="1125" spans="2:62" hidden="1" outlineLevel="1">
      <c r="B1125" s="1094"/>
      <c r="C1125" s="1071" t="str">
        <f t="shared" ref="C1125:F1125" si="1478">C808</f>
        <v>New Dublin Tower Equipment - Infrastructure Changes (50% runway)</v>
      </c>
      <c r="D1125" s="1071" t="str">
        <f t="shared" si="1478"/>
        <v>New Dublin Tower</v>
      </c>
      <c r="E1125" s="1071" t="str">
        <f t="shared" si="1478"/>
        <v>R035A</v>
      </c>
      <c r="F1125" s="1125" t="str">
        <f t="shared" si="1478"/>
        <v>2021-2024</v>
      </c>
      <c r="H1125" s="1071" t="s">
        <v>29</v>
      </c>
      <c r="AZ1125" s="1108"/>
      <c r="BA1125" s="1109"/>
      <c r="BB1125" s="1109"/>
      <c r="BC1125" s="1109"/>
      <c r="BD1125" s="1109"/>
      <c r="BE1125" s="1109"/>
      <c r="BF1125" s="1109">
        <f t="shared" ref="BF1125:BJ1125" si="1479">BF461*$AY158</f>
        <v>0</v>
      </c>
      <c r="BG1125" s="1109">
        <f t="shared" si="1479"/>
        <v>75.342425700401989</v>
      </c>
      <c r="BH1125" s="1109">
        <f t="shared" si="1479"/>
        <v>150.68485140080398</v>
      </c>
      <c r="BI1125" s="1109">
        <f t="shared" si="1479"/>
        <v>150.68485140080398</v>
      </c>
      <c r="BJ1125" s="1109">
        <f t="shared" si="1479"/>
        <v>150.68485140080398</v>
      </c>
    </row>
    <row r="1126" spans="2:62" hidden="1" outlineLevel="1">
      <c r="B1126" s="1094"/>
      <c r="C1126" s="1071" t="str">
        <f t="shared" ref="C1126:F1126" si="1480">C809</f>
        <v>New Dublin Tower Equipment - IAA Networks</v>
      </c>
      <c r="D1126" s="1071" t="str">
        <f t="shared" si="1480"/>
        <v>New Dublin Tower</v>
      </c>
      <c r="E1126" s="1071" t="str">
        <f t="shared" si="1480"/>
        <v>R035A</v>
      </c>
      <c r="F1126" s="1125" t="str">
        <f t="shared" si="1480"/>
        <v>2021-2024</v>
      </c>
      <c r="H1126" s="1071" t="s">
        <v>29</v>
      </c>
      <c r="AZ1126" s="1108"/>
      <c r="BA1126" s="1109"/>
      <c r="BB1126" s="1109"/>
      <c r="BC1126" s="1109"/>
      <c r="BD1126" s="1109"/>
      <c r="BE1126" s="1109"/>
      <c r="BF1126" s="1109">
        <f t="shared" ref="BF1126:BJ1126" si="1481">BF462*$AY159</f>
        <v>0</v>
      </c>
      <c r="BG1126" s="1109">
        <f t="shared" si="1481"/>
        <v>36.552869374999993</v>
      </c>
      <c r="BH1126" s="1109">
        <f t="shared" si="1481"/>
        <v>73.105738749999986</v>
      </c>
      <c r="BI1126" s="1109">
        <f t="shared" si="1481"/>
        <v>73.105738749999986</v>
      </c>
      <c r="BJ1126" s="1109">
        <f t="shared" si="1481"/>
        <v>73.105738749999986</v>
      </c>
    </row>
    <row r="1127" spans="2:62" hidden="1" outlineLevel="1">
      <c r="B1127" s="1094"/>
      <c r="C1127" s="1071" t="str">
        <f t="shared" ref="C1127:F1127" si="1482">C810</f>
        <v>New Dublin Tower Equipment - ICT</v>
      </c>
      <c r="D1127" s="1071" t="str">
        <f t="shared" si="1482"/>
        <v>New Dublin Tower</v>
      </c>
      <c r="E1127" s="1071" t="str">
        <f t="shared" si="1482"/>
        <v>R035A</v>
      </c>
      <c r="F1127" s="1125" t="str">
        <f t="shared" si="1482"/>
        <v>2021-2024</v>
      </c>
      <c r="H1127" s="1071" t="s">
        <v>29</v>
      </c>
      <c r="AZ1127" s="1108"/>
      <c r="BA1127" s="1109"/>
      <c r="BB1127" s="1109"/>
      <c r="BC1127" s="1109"/>
      <c r="BD1127" s="1109"/>
      <c r="BE1127" s="1109"/>
      <c r="BF1127" s="1109">
        <f t="shared" ref="BF1127:BJ1127" si="1483">BF463*$AY160</f>
        <v>0</v>
      </c>
      <c r="BG1127" s="1109">
        <f t="shared" si="1483"/>
        <v>0</v>
      </c>
      <c r="BH1127" s="1109">
        <f t="shared" si="1483"/>
        <v>0</v>
      </c>
      <c r="BI1127" s="1109">
        <f t="shared" si="1483"/>
        <v>0</v>
      </c>
      <c r="BJ1127" s="1109">
        <f t="shared" si="1483"/>
        <v>0</v>
      </c>
    </row>
    <row r="1128" spans="2:62" hidden="1" outlineLevel="1">
      <c r="B1128" s="1094"/>
      <c r="C1128" s="1071" t="str">
        <f t="shared" ref="C1128:F1128" si="1484">C811</f>
        <v>New Dublin Tower Equipment - Changes to Centralised Monitoring</v>
      </c>
      <c r="D1128" s="1071" t="str">
        <f t="shared" si="1484"/>
        <v>New Dublin Tower</v>
      </c>
      <c r="E1128" s="1071" t="str">
        <f t="shared" si="1484"/>
        <v>R035A</v>
      </c>
      <c r="F1128" s="1125" t="str">
        <f t="shared" si="1484"/>
        <v>2021-2024</v>
      </c>
      <c r="H1128" s="1071" t="s">
        <v>29</v>
      </c>
      <c r="AZ1128" s="1108"/>
      <c r="BA1128" s="1109"/>
      <c r="BB1128" s="1109"/>
      <c r="BC1128" s="1109"/>
      <c r="BD1128" s="1109"/>
      <c r="BE1128" s="1109"/>
      <c r="BF1128" s="1109">
        <f t="shared" ref="BF1128:BJ1128" si="1485">BF464*$AY161</f>
        <v>0</v>
      </c>
      <c r="BG1128" s="1109">
        <f t="shared" si="1485"/>
        <v>15.568831874999999</v>
      </c>
      <c r="BH1128" s="1109">
        <f t="shared" si="1485"/>
        <v>32.075163749999994</v>
      </c>
      <c r="BI1128" s="1109">
        <f t="shared" si="1485"/>
        <v>33.012663749999994</v>
      </c>
      <c r="BJ1128" s="1109">
        <f t="shared" si="1485"/>
        <v>33.012663749999994</v>
      </c>
    </row>
    <row r="1129" spans="2:62" hidden="1" outlineLevel="1">
      <c r="B1129" s="1094"/>
      <c r="C1129" s="1071" t="str">
        <f t="shared" ref="C1129:F1129" si="1486">C812</f>
        <v>New Dublin Tower Equipment - M&amp;E/UPS/Cabling/Power</v>
      </c>
      <c r="D1129" s="1071" t="str">
        <f t="shared" si="1486"/>
        <v>New Dublin Tower</v>
      </c>
      <c r="E1129" s="1071" t="str">
        <f t="shared" si="1486"/>
        <v>R035A</v>
      </c>
      <c r="F1129" s="1125" t="str">
        <f t="shared" si="1486"/>
        <v>2021-2024</v>
      </c>
      <c r="H1129" s="1071" t="s">
        <v>29</v>
      </c>
      <c r="AZ1129" s="1108"/>
      <c r="BA1129" s="1109"/>
      <c r="BB1129" s="1109"/>
      <c r="BC1129" s="1109"/>
      <c r="BD1129" s="1109"/>
      <c r="BE1129" s="1109"/>
      <c r="BF1129" s="1109">
        <f t="shared" ref="BF1129:BJ1129" si="1487">BF465*$AY162</f>
        <v>0</v>
      </c>
      <c r="BG1129" s="1109">
        <f t="shared" si="1487"/>
        <v>17.629356875000003</v>
      </c>
      <c r="BH1129" s="1109">
        <f t="shared" si="1487"/>
        <v>35.258713750000005</v>
      </c>
      <c r="BI1129" s="1109">
        <f t="shared" si="1487"/>
        <v>35.258713750000005</v>
      </c>
      <c r="BJ1129" s="1109">
        <f t="shared" si="1487"/>
        <v>35.258713750000005</v>
      </c>
    </row>
    <row r="1130" spans="2:62" hidden="1" outlineLevel="1">
      <c r="B1130" s="1094"/>
      <c r="C1130" s="1071" t="str">
        <f t="shared" ref="C1130:F1130" si="1488">C813</f>
        <v>COOPANS Build 3 Dublin</v>
      </c>
      <c r="D1130" s="1071" t="str">
        <f t="shared" si="1488"/>
        <v>COOPANS</v>
      </c>
      <c r="E1130" s="1071" t="str">
        <f t="shared" si="1488"/>
        <v>L001A</v>
      </c>
      <c r="F1130" s="1125" t="str">
        <f t="shared" si="1488"/>
        <v>2021-2024</v>
      </c>
      <c r="H1130" s="1071" t="s">
        <v>29</v>
      </c>
      <c r="AZ1130" s="1108"/>
      <c r="BA1130" s="1109"/>
      <c r="BB1130" s="1109"/>
      <c r="BC1130" s="1109"/>
      <c r="BD1130" s="1109"/>
      <c r="BE1130" s="1109"/>
      <c r="BF1130" s="1109">
        <f t="shared" ref="BF1130:BJ1130" si="1489">BF466*$AY163</f>
        <v>0</v>
      </c>
      <c r="BG1130" s="1109">
        <f t="shared" si="1489"/>
        <v>6.1191163423886401</v>
      </c>
      <c r="BH1130" s="1109">
        <f t="shared" si="1489"/>
        <v>12.238232684777289</v>
      </c>
      <c r="BI1130" s="1109">
        <f t="shared" si="1489"/>
        <v>12.238232684777289</v>
      </c>
      <c r="BJ1130" s="1109">
        <f t="shared" si="1489"/>
        <v>12.238232684777289</v>
      </c>
    </row>
    <row r="1131" spans="2:62" hidden="1" outlineLevel="1">
      <c r="B1131" s="1094"/>
      <c r="C1131" s="1071" t="str">
        <f t="shared" ref="C1131:F1131" si="1490">C814</f>
        <v>COOPANS Build 3 Shannon</v>
      </c>
      <c r="D1131" s="1071" t="str">
        <f t="shared" si="1490"/>
        <v>COOPANS</v>
      </c>
      <c r="E1131" s="1071" t="str">
        <f t="shared" si="1490"/>
        <v>L001A</v>
      </c>
      <c r="F1131" s="1125" t="str">
        <f t="shared" si="1490"/>
        <v>2021-2024</v>
      </c>
      <c r="H1131" s="1071" t="s">
        <v>29</v>
      </c>
      <c r="AZ1131" s="1108"/>
      <c r="BA1131" s="1109"/>
      <c r="BB1131" s="1109"/>
      <c r="BC1131" s="1109"/>
      <c r="BD1131" s="1109"/>
      <c r="BE1131" s="1109"/>
      <c r="BF1131" s="1109">
        <f t="shared" ref="BF1131:BJ1131" si="1491">BF467*$AY164</f>
        <v>0</v>
      </c>
      <c r="BG1131" s="1109">
        <f t="shared" si="1491"/>
        <v>11.364073207293186</v>
      </c>
      <c r="BH1131" s="1109">
        <f t="shared" si="1491"/>
        <v>22.728146414586366</v>
      </c>
      <c r="BI1131" s="1109">
        <f t="shared" si="1491"/>
        <v>22.728146414586366</v>
      </c>
      <c r="BJ1131" s="1109">
        <f t="shared" si="1491"/>
        <v>22.728146414586366</v>
      </c>
    </row>
    <row r="1132" spans="2:62" hidden="1" outlineLevel="1">
      <c r="B1132" s="1094"/>
      <c r="C1132" s="1071" t="str">
        <f t="shared" ref="C1132:F1132" si="1492">C815</f>
        <v>COOPANS Build 3.6 Onwards Dublin</v>
      </c>
      <c r="D1132" s="1071" t="str">
        <f t="shared" si="1492"/>
        <v>COOPANS</v>
      </c>
      <c r="E1132" s="1071" t="str">
        <f t="shared" si="1492"/>
        <v>R001</v>
      </c>
      <c r="F1132" s="1125" t="str">
        <f t="shared" si="1492"/>
        <v>2021-2024</v>
      </c>
      <c r="H1132" s="1071" t="s">
        <v>29</v>
      </c>
      <c r="AZ1132" s="1108"/>
      <c r="BA1132" s="1109"/>
      <c r="BB1132" s="1109"/>
      <c r="BC1132" s="1109"/>
      <c r="BD1132" s="1109"/>
      <c r="BE1132" s="1109"/>
      <c r="BF1132" s="1109">
        <f t="shared" ref="BF1132:BJ1132" si="1493">BF468*$AY165</f>
        <v>0</v>
      </c>
      <c r="BG1132" s="1109">
        <f t="shared" si="1493"/>
        <v>14.400344821302925</v>
      </c>
      <c r="BH1132" s="1109">
        <f t="shared" si="1493"/>
        <v>51.173857462983356</v>
      </c>
      <c r="BI1132" s="1109">
        <f t="shared" si="1493"/>
        <v>67.555346847466964</v>
      </c>
      <c r="BJ1132" s="1109">
        <f t="shared" si="1493"/>
        <v>67.555346847466964</v>
      </c>
    </row>
    <row r="1133" spans="2:62" hidden="1" outlineLevel="1">
      <c r="B1133" s="1094"/>
      <c r="C1133" s="1071" t="str">
        <f t="shared" ref="C1133:F1133" si="1494">C816</f>
        <v>COOPANS Build 3.6 Onwards Shannon</v>
      </c>
      <c r="D1133" s="1071" t="str">
        <f t="shared" si="1494"/>
        <v>COOPANS</v>
      </c>
      <c r="E1133" s="1071" t="str">
        <f t="shared" si="1494"/>
        <v>R001A</v>
      </c>
      <c r="F1133" s="1125" t="str">
        <f t="shared" si="1494"/>
        <v>2021-2024</v>
      </c>
      <c r="H1133" s="1071" t="s">
        <v>29</v>
      </c>
      <c r="AZ1133" s="1108"/>
      <c r="BA1133" s="1109"/>
      <c r="BB1133" s="1109"/>
      <c r="BC1133" s="1109"/>
      <c r="BD1133" s="1109"/>
      <c r="BE1133" s="1109"/>
      <c r="BF1133" s="1109">
        <f t="shared" ref="BF1133:BJ1133" si="1495">BF469*$AY166</f>
        <v>0</v>
      </c>
      <c r="BG1133" s="1109">
        <f t="shared" si="1495"/>
        <v>26.743497525276862</v>
      </c>
      <c r="BH1133" s="1109">
        <f t="shared" si="1495"/>
        <v>95.037163859826236</v>
      </c>
      <c r="BI1133" s="1109">
        <f t="shared" si="1495"/>
        <v>125.45992985958149</v>
      </c>
      <c r="BJ1133" s="1109">
        <f t="shared" si="1495"/>
        <v>125.45992985958146</v>
      </c>
    </row>
    <row r="1134" spans="2:62" hidden="1" outlineLevel="1">
      <c r="B1134" s="1094"/>
      <c r="C1134" s="1071" t="str">
        <f t="shared" ref="C1134:F1134" si="1496">C817</f>
        <v>COOPANS 2019 Roadmap Builds</v>
      </c>
      <c r="D1134" s="1071" t="str">
        <f t="shared" si="1496"/>
        <v>COOPANS</v>
      </c>
      <c r="E1134" s="1071" t="str">
        <f t="shared" si="1496"/>
        <v>U002</v>
      </c>
      <c r="F1134" s="1125" t="str">
        <f t="shared" si="1496"/>
        <v>2021-2024</v>
      </c>
      <c r="H1134" s="1071" t="s">
        <v>29</v>
      </c>
      <c r="AZ1134" s="1108"/>
      <c r="BA1134" s="1109"/>
      <c r="BB1134" s="1109"/>
      <c r="BC1134" s="1109"/>
      <c r="BD1134" s="1109"/>
      <c r="BE1134" s="1109"/>
      <c r="BF1134" s="1109">
        <f t="shared" ref="BF1134:BJ1134" si="1497">BF470*$AY167</f>
        <v>0</v>
      </c>
      <c r="BG1134" s="1109">
        <f t="shared" si="1497"/>
        <v>0</v>
      </c>
      <c r="BH1134" s="1109">
        <f t="shared" si="1497"/>
        <v>0</v>
      </c>
      <c r="BI1134" s="1109">
        <f t="shared" si="1497"/>
        <v>0</v>
      </c>
      <c r="BJ1134" s="1109">
        <f t="shared" si="1497"/>
        <v>0</v>
      </c>
    </row>
    <row r="1135" spans="2:62" hidden="1" outlineLevel="1">
      <c r="B1135" s="1094"/>
      <c r="C1135" s="1071" t="str">
        <f t="shared" ref="C1135:F1135" si="1498">C818</f>
        <v>COOPANS 2019 Roadmap Builds Dub</v>
      </c>
      <c r="D1135" s="1071" t="str">
        <f t="shared" si="1498"/>
        <v>COOPANS</v>
      </c>
      <c r="E1135" s="1071" t="str">
        <f t="shared" si="1498"/>
        <v>U002A</v>
      </c>
      <c r="F1135" s="1125" t="str">
        <f t="shared" si="1498"/>
        <v>2021-2024</v>
      </c>
      <c r="H1135" s="1071" t="s">
        <v>29</v>
      </c>
      <c r="AZ1135" s="1108"/>
      <c r="BA1135" s="1109"/>
      <c r="BB1135" s="1109"/>
      <c r="BC1135" s="1109"/>
      <c r="BD1135" s="1109"/>
      <c r="BE1135" s="1109"/>
      <c r="BF1135" s="1109">
        <f t="shared" ref="BF1135:BJ1135" si="1499">BF471*$AY168</f>
        <v>0</v>
      </c>
      <c r="BG1135" s="1109">
        <f t="shared" si="1499"/>
        <v>0</v>
      </c>
      <c r="BH1135" s="1109">
        <f t="shared" si="1499"/>
        <v>0</v>
      </c>
      <c r="BI1135" s="1109">
        <f t="shared" si="1499"/>
        <v>5.0404582721488005</v>
      </c>
      <c r="BJ1135" s="1109">
        <f t="shared" si="1499"/>
        <v>20.161833088595202</v>
      </c>
    </row>
    <row r="1136" spans="2:62" hidden="1" outlineLevel="1">
      <c r="B1136" s="1094"/>
      <c r="C1136" s="1071" t="str">
        <f t="shared" ref="C1136:F1136" si="1500">C819</f>
        <v>COOPANS 2019 Roadmap Builds Shn</v>
      </c>
      <c r="D1136" s="1071" t="str">
        <f t="shared" si="1500"/>
        <v>COOPANS</v>
      </c>
      <c r="E1136" s="1071" t="str">
        <f t="shared" si="1500"/>
        <v>U002A</v>
      </c>
      <c r="F1136" s="1125" t="str">
        <f t="shared" si="1500"/>
        <v>2021-2024</v>
      </c>
      <c r="H1136" s="1071" t="s">
        <v>29</v>
      </c>
      <c r="AZ1136" s="1108"/>
      <c r="BA1136" s="1109"/>
      <c r="BB1136" s="1109"/>
      <c r="BC1136" s="1109"/>
      <c r="BD1136" s="1109"/>
      <c r="BE1136" s="1109"/>
      <c r="BF1136" s="1109">
        <f t="shared" ref="BF1136:BJ1136" si="1501">BF472*$AY169</f>
        <v>0</v>
      </c>
      <c r="BG1136" s="1109">
        <f t="shared" si="1501"/>
        <v>0</v>
      </c>
      <c r="BH1136" s="1109">
        <f t="shared" si="1501"/>
        <v>0</v>
      </c>
      <c r="BI1136" s="1109">
        <f t="shared" si="1501"/>
        <v>0</v>
      </c>
      <c r="BJ1136" s="1109">
        <f t="shared" si="1501"/>
        <v>37.443404307391091</v>
      </c>
    </row>
    <row r="1137" spans="2:62" hidden="1" outlineLevel="1">
      <c r="B1137" s="1094"/>
      <c r="C1137" s="1071" t="str">
        <f t="shared" ref="C1137:F1137" si="1502">C820</f>
        <v>SWIM Enabling project</v>
      </c>
      <c r="D1137" s="1071" t="str">
        <f t="shared" si="1502"/>
        <v>COOPANS</v>
      </c>
      <c r="E1137" s="1071" t="str">
        <f t="shared" si="1502"/>
        <v>S001</v>
      </c>
      <c r="F1137" s="1125" t="str">
        <f t="shared" si="1502"/>
        <v>2021-2024</v>
      </c>
      <c r="H1137" s="1071" t="s">
        <v>29</v>
      </c>
      <c r="AZ1137" s="1108"/>
      <c r="BA1137" s="1109"/>
      <c r="BB1137" s="1109"/>
      <c r="BC1137" s="1109"/>
      <c r="BD1137" s="1109"/>
      <c r="BE1137" s="1109"/>
      <c r="BF1137" s="1109">
        <f t="shared" ref="BF1137:BJ1137" si="1503">BF473*$AY170</f>
        <v>0</v>
      </c>
      <c r="BG1137" s="1109">
        <f t="shared" si="1503"/>
        <v>0</v>
      </c>
      <c r="BH1137" s="1109">
        <f t="shared" si="1503"/>
        <v>0</v>
      </c>
      <c r="BI1137" s="1109">
        <f t="shared" si="1503"/>
        <v>0</v>
      </c>
      <c r="BJ1137" s="1109">
        <f t="shared" si="1503"/>
        <v>8.6407856093979447</v>
      </c>
    </row>
    <row r="1138" spans="2:62" hidden="1" outlineLevel="1">
      <c r="B1138" s="1094"/>
      <c r="C1138" s="1071" t="str">
        <f t="shared" ref="C1138:F1138" si="1504">C821</f>
        <v>Emergency Air Situation Display System (DUB)</v>
      </c>
      <c r="D1138" s="1071" t="str">
        <f t="shared" si="1504"/>
        <v>Emergency Air Situation Display System</v>
      </c>
      <c r="E1138" s="1071" t="str">
        <f t="shared" si="1504"/>
        <v>U003</v>
      </c>
      <c r="F1138" s="1125" t="str">
        <f t="shared" si="1504"/>
        <v>2021-2024</v>
      </c>
      <c r="H1138" s="1071" t="s">
        <v>29</v>
      </c>
      <c r="AZ1138" s="1108"/>
      <c r="BA1138" s="1109"/>
      <c r="BB1138" s="1109"/>
      <c r="BC1138" s="1109"/>
      <c r="BD1138" s="1109"/>
      <c r="BE1138" s="1109"/>
      <c r="BF1138" s="1109">
        <f t="shared" ref="BF1138:BJ1138" si="1505">BF474*$AY171</f>
        <v>0</v>
      </c>
      <c r="BG1138" s="1109">
        <f t="shared" si="1505"/>
        <v>0</v>
      </c>
      <c r="BH1138" s="1109">
        <f t="shared" si="1505"/>
        <v>0</v>
      </c>
      <c r="BI1138" s="1109">
        <f t="shared" si="1505"/>
        <v>49.21875</v>
      </c>
      <c r="BJ1138" s="1109">
        <f t="shared" si="1505"/>
        <v>65.625</v>
      </c>
    </row>
    <row r="1139" spans="2:62" hidden="1" outlineLevel="1">
      <c r="B1139" s="1094"/>
      <c r="C1139" s="1071" t="str">
        <f t="shared" ref="C1139:F1139" si="1506">C822</f>
        <v>Emergency Air Situation Display System (SHN)</v>
      </c>
      <c r="D1139" s="1071" t="str">
        <f t="shared" si="1506"/>
        <v>Emergency Air Situation Display System</v>
      </c>
      <c r="E1139" s="1071" t="str">
        <f t="shared" si="1506"/>
        <v>U003A</v>
      </c>
      <c r="F1139" s="1125" t="str">
        <f t="shared" si="1506"/>
        <v>2021-2024</v>
      </c>
      <c r="H1139" s="1071" t="s">
        <v>29</v>
      </c>
      <c r="AZ1139" s="1108"/>
      <c r="BA1139" s="1109"/>
      <c r="BB1139" s="1109"/>
      <c r="BC1139" s="1109"/>
      <c r="BD1139" s="1109"/>
      <c r="BE1139" s="1109"/>
      <c r="BF1139" s="1109">
        <f t="shared" ref="BF1139:BJ1139" si="1507">BF475*$AY172</f>
        <v>0</v>
      </c>
      <c r="BG1139" s="1109">
        <f t="shared" si="1507"/>
        <v>0</v>
      </c>
      <c r="BH1139" s="1109">
        <f t="shared" si="1507"/>
        <v>30.46875</v>
      </c>
      <c r="BI1139" s="1109">
        <f t="shared" si="1507"/>
        <v>121.875</v>
      </c>
      <c r="BJ1139" s="1109">
        <f t="shared" si="1507"/>
        <v>121.875</v>
      </c>
    </row>
    <row r="1140" spans="2:62" hidden="1" outlineLevel="1">
      <c r="B1140" s="1094"/>
      <c r="C1140" s="1071" t="str">
        <f t="shared" ref="C1140:F1140" si="1508">C823</f>
        <v>Emergency Air Situation Display System Simulator (SHN)</v>
      </c>
      <c r="D1140" s="1071" t="str">
        <f t="shared" si="1508"/>
        <v>Emergency Air Situation Display System</v>
      </c>
      <c r="E1140" s="1071" t="str">
        <f t="shared" si="1508"/>
        <v>U003A</v>
      </c>
      <c r="F1140" s="1125" t="str">
        <f t="shared" si="1508"/>
        <v>2021-2024</v>
      </c>
      <c r="H1140" s="1071" t="s">
        <v>29</v>
      </c>
      <c r="AZ1140" s="1108"/>
      <c r="BA1140" s="1109"/>
      <c r="BB1140" s="1109"/>
      <c r="BC1140" s="1109"/>
      <c r="BD1140" s="1109"/>
      <c r="BE1140" s="1109"/>
      <c r="BF1140" s="1109">
        <f t="shared" ref="BF1140:BJ1140" si="1509">BF476*$AY173</f>
        <v>0</v>
      </c>
      <c r="BG1140" s="1109">
        <f t="shared" si="1509"/>
        <v>0</v>
      </c>
      <c r="BH1140" s="1109">
        <f t="shared" si="1509"/>
        <v>5.859375</v>
      </c>
      <c r="BI1140" s="1109">
        <f t="shared" si="1509"/>
        <v>23.4375</v>
      </c>
      <c r="BJ1140" s="1109">
        <f t="shared" si="1509"/>
        <v>23.4375</v>
      </c>
    </row>
    <row r="1141" spans="2:62" hidden="1" outlineLevel="1">
      <c r="B1141" s="1094"/>
      <c r="C1141" s="1071" t="str">
        <f t="shared" ref="C1141:F1141" si="1510">C824</f>
        <v>Emergency Air Situation Display System Simulator (DUB)</v>
      </c>
      <c r="D1141" s="1071" t="str">
        <f t="shared" si="1510"/>
        <v>Emergency Air Situation Display System</v>
      </c>
      <c r="E1141" s="1071" t="str">
        <f t="shared" si="1510"/>
        <v>U003A</v>
      </c>
      <c r="F1141" s="1125" t="str">
        <f t="shared" si="1510"/>
        <v>2021-2024</v>
      </c>
      <c r="H1141" s="1071" t="s">
        <v>29</v>
      </c>
      <c r="AZ1141" s="1108"/>
      <c r="BA1141" s="1109"/>
      <c r="BB1141" s="1109"/>
      <c r="BC1141" s="1109"/>
      <c r="BD1141" s="1109"/>
      <c r="BE1141" s="1109"/>
      <c r="BF1141" s="1109">
        <f t="shared" ref="BF1141:BJ1141" si="1511">BF477*$AY174</f>
        <v>0</v>
      </c>
      <c r="BG1141" s="1109">
        <f t="shared" si="1511"/>
        <v>0</v>
      </c>
      <c r="BH1141" s="1109">
        <f t="shared" si="1511"/>
        <v>0</v>
      </c>
      <c r="BI1141" s="1109">
        <f t="shared" si="1511"/>
        <v>17.578125</v>
      </c>
      <c r="BJ1141" s="1109">
        <f t="shared" si="1511"/>
        <v>23.4375</v>
      </c>
    </row>
    <row r="1142" spans="2:62" hidden="1" outlineLevel="1">
      <c r="B1142" s="1094"/>
      <c r="C1142" s="1071" t="str">
        <f t="shared" ref="C1142:F1142" si="1512">C825</f>
        <v>NAV Aids Replacement Programme</v>
      </c>
      <c r="D1142" s="1071" t="str">
        <f t="shared" si="1512"/>
        <v>NAV Aids Replacement Programme</v>
      </c>
      <c r="E1142" s="1071" t="str">
        <f t="shared" si="1512"/>
        <v>R005</v>
      </c>
      <c r="F1142" s="1125" t="str">
        <f t="shared" si="1512"/>
        <v>2021-2024</v>
      </c>
      <c r="H1142" s="1071" t="s">
        <v>29</v>
      </c>
      <c r="AZ1142" s="1108"/>
      <c r="BA1142" s="1109"/>
      <c r="BB1142" s="1109"/>
      <c r="BC1142" s="1109"/>
      <c r="BD1142" s="1109"/>
      <c r="BE1142" s="1109"/>
      <c r="BF1142" s="1109">
        <f t="shared" ref="BF1142:BJ1142" si="1513">BF478*$AY175</f>
        <v>0</v>
      </c>
      <c r="BG1142" s="1109">
        <f t="shared" si="1513"/>
        <v>0</v>
      </c>
      <c r="BH1142" s="1109">
        <f t="shared" si="1513"/>
        <v>0</v>
      </c>
      <c r="BI1142" s="1109">
        <f t="shared" si="1513"/>
        <v>0</v>
      </c>
      <c r="BJ1142" s="1109">
        <f t="shared" si="1513"/>
        <v>0</v>
      </c>
    </row>
    <row r="1143" spans="2:62" hidden="1" outlineLevel="1">
      <c r="B1143" s="1094"/>
      <c r="C1143" s="1071" t="str">
        <f t="shared" ref="C1143:F1143" si="1514">C826</f>
        <v>NAV Aids Replacement Programme Dublin ILS (3rd)</v>
      </c>
      <c r="D1143" s="1071" t="str">
        <f t="shared" si="1514"/>
        <v>NAV Aids Replacement Programme</v>
      </c>
      <c r="E1143" s="1071" t="str">
        <f t="shared" si="1514"/>
        <v>R005A</v>
      </c>
      <c r="F1143" s="1125" t="str">
        <f t="shared" si="1514"/>
        <v>2021-2024</v>
      </c>
      <c r="H1143" s="1071" t="s">
        <v>29</v>
      </c>
      <c r="AZ1143" s="1108"/>
      <c r="BA1143" s="1109"/>
      <c r="BB1143" s="1109"/>
      <c r="BC1143" s="1109"/>
      <c r="BD1143" s="1109"/>
      <c r="BE1143" s="1109"/>
      <c r="BF1143" s="1109">
        <f t="shared" ref="BF1143:BJ1143" si="1515">BF479*$AY176</f>
        <v>0</v>
      </c>
      <c r="BG1143" s="1109">
        <f t="shared" si="1515"/>
        <v>0</v>
      </c>
      <c r="BH1143" s="1109">
        <f t="shared" si="1515"/>
        <v>0</v>
      </c>
      <c r="BI1143" s="1109">
        <f t="shared" si="1515"/>
        <v>0</v>
      </c>
      <c r="BJ1143" s="1109">
        <f t="shared" si="1515"/>
        <v>87.158004375000004</v>
      </c>
    </row>
    <row r="1144" spans="2:62" hidden="1" outlineLevel="1">
      <c r="B1144" s="1094"/>
      <c r="C1144" s="1071" t="str">
        <f t="shared" ref="C1144:F1144" si="1516">C827</f>
        <v>NAV Aids Replacement Programme Shannon ILS (1st)</v>
      </c>
      <c r="D1144" s="1071" t="str">
        <f t="shared" si="1516"/>
        <v>NAV Aids Replacement Programme</v>
      </c>
      <c r="E1144" s="1071" t="str">
        <f t="shared" si="1516"/>
        <v>R005A</v>
      </c>
      <c r="F1144" s="1125" t="str">
        <f t="shared" si="1516"/>
        <v>2021-2024</v>
      </c>
      <c r="H1144" s="1071" t="s">
        <v>29</v>
      </c>
      <c r="AZ1144" s="1108"/>
      <c r="BA1144" s="1109"/>
      <c r="BB1144" s="1109"/>
      <c r="BC1144" s="1109"/>
      <c r="BD1144" s="1109"/>
      <c r="BE1144" s="1109"/>
      <c r="BF1144" s="1109">
        <f t="shared" ref="BF1144:BJ1144" si="1517">BF480*$AY177</f>
        <v>0</v>
      </c>
      <c r="BG1144" s="1109">
        <f t="shared" si="1517"/>
        <v>0</v>
      </c>
      <c r="BH1144" s="1109">
        <f t="shared" si="1517"/>
        <v>42.8125</v>
      </c>
      <c r="BI1144" s="1109">
        <f t="shared" si="1517"/>
        <v>171.25</v>
      </c>
      <c r="BJ1144" s="1109">
        <f t="shared" si="1517"/>
        <v>171.25</v>
      </c>
    </row>
    <row r="1145" spans="2:62" hidden="1" outlineLevel="1">
      <c r="B1145" s="1094"/>
      <c r="C1145" s="1071" t="str">
        <f t="shared" ref="C1145:F1145" si="1518">C828</f>
        <v>NAV Aids Replacement Programme Cork ILS (2nd)</v>
      </c>
      <c r="D1145" s="1071" t="str">
        <f t="shared" si="1518"/>
        <v>NAV Aids Replacement Programme</v>
      </c>
      <c r="E1145" s="1071" t="str">
        <f t="shared" si="1518"/>
        <v>R005A</v>
      </c>
      <c r="F1145" s="1125" t="str">
        <f t="shared" si="1518"/>
        <v>2021-2024</v>
      </c>
      <c r="H1145" s="1071" t="s">
        <v>29</v>
      </c>
      <c r="AZ1145" s="1108"/>
      <c r="BA1145" s="1109"/>
      <c r="BB1145" s="1109"/>
      <c r="BC1145" s="1109"/>
      <c r="BD1145" s="1109"/>
      <c r="BE1145" s="1109"/>
      <c r="BF1145" s="1109">
        <f t="shared" ref="BF1145:BJ1145" si="1519">BF481*$AY178</f>
        <v>0</v>
      </c>
      <c r="BG1145" s="1109">
        <f t="shared" si="1519"/>
        <v>0</v>
      </c>
      <c r="BH1145" s="1109">
        <f t="shared" si="1519"/>
        <v>0</v>
      </c>
      <c r="BI1145" s="1109">
        <f t="shared" si="1519"/>
        <v>64.0625</v>
      </c>
      <c r="BJ1145" s="1109">
        <f t="shared" si="1519"/>
        <v>256.25</v>
      </c>
    </row>
    <row r="1146" spans="2:62" hidden="1" outlineLevel="1">
      <c r="B1146" s="1094"/>
      <c r="C1146" s="1071" t="str">
        <f t="shared" ref="C1146:F1146" si="1520">C829</f>
        <v>NAV Aids Replacement Programme Dublin IRVR</v>
      </c>
      <c r="D1146" s="1071" t="str">
        <f t="shared" si="1520"/>
        <v>NAV Aids Replacement Programme</v>
      </c>
      <c r="E1146" s="1071" t="str">
        <f t="shared" si="1520"/>
        <v>R005A</v>
      </c>
      <c r="F1146" s="1125" t="str">
        <f t="shared" si="1520"/>
        <v>2021-2024</v>
      </c>
      <c r="H1146" s="1071" t="s">
        <v>29</v>
      </c>
      <c r="AZ1146" s="1108"/>
      <c r="BA1146" s="1109"/>
      <c r="BB1146" s="1109"/>
      <c r="BC1146" s="1109"/>
      <c r="BD1146" s="1109"/>
      <c r="BE1146" s="1109"/>
      <c r="BF1146" s="1109">
        <f t="shared" ref="BF1146:BJ1146" si="1521">BF482*$AY179</f>
        <v>0</v>
      </c>
      <c r="BG1146" s="1109">
        <f t="shared" si="1521"/>
        <v>15.747365625</v>
      </c>
      <c r="BH1146" s="1109">
        <f t="shared" si="1521"/>
        <v>62.989462500000002</v>
      </c>
      <c r="BI1146" s="1109">
        <f t="shared" si="1521"/>
        <v>62.989462500000002</v>
      </c>
      <c r="BJ1146" s="1109">
        <f t="shared" si="1521"/>
        <v>62.989462500000002</v>
      </c>
    </row>
    <row r="1147" spans="2:62" hidden="1" outlineLevel="1">
      <c r="B1147" s="1094"/>
      <c r="C1147" s="1071" t="str">
        <f t="shared" ref="C1147:F1147" si="1522">C830</f>
        <v>NAV Aids Replacement Programme Shannon IRVR</v>
      </c>
      <c r="D1147" s="1071" t="str">
        <f t="shared" si="1522"/>
        <v>NAV Aids Replacement Programme</v>
      </c>
      <c r="E1147" s="1071" t="str">
        <f t="shared" si="1522"/>
        <v>R005A</v>
      </c>
      <c r="F1147" s="1125" t="str">
        <f t="shared" si="1522"/>
        <v>2021-2024</v>
      </c>
      <c r="H1147" s="1071" t="s">
        <v>29</v>
      </c>
      <c r="AZ1147" s="1108"/>
      <c r="BA1147" s="1109"/>
      <c r="BB1147" s="1109"/>
      <c r="BC1147" s="1109"/>
      <c r="BD1147" s="1109"/>
      <c r="BE1147" s="1109"/>
      <c r="BF1147" s="1109">
        <f t="shared" ref="BF1147:BJ1147" si="1523">BF483*$AY180</f>
        <v>0</v>
      </c>
      <c r="BG1147" s="1109">
        <f t="shared" si="1523"/>
        <v>0</v>
      </c>
      <c r="BH1147" s="1109">
        <f t="shared" si="1523"/>
        <v>32.471642500000002</v>
      </c>
      <c r="BI1147" s="1109">
        <f t="shared" si="1523"/>
        <v>32.471642500000002</v>
      </c>
      <c r="BJ1147" s="1109">
        <f t="shared" si="1523"/>
        <v>32.471642500000002</v>
      </c>
    </row>
    <row r="1148" spans="2:62" hidden="1" outlineLevel="1">
      <c r="B1148" s="1094"/>
      <c r="C1148" s="1071" t="str">
        <f t="shared" ref="C1148:F1148" si="1524">C831</f>
        <v>NAV Aids Replacement Programme Cork IRVR</v>
      </c>
      <c r="D1148" s="1071" t="str">
        <f t="shared" si="1524"/>
        <v>NAV Aids Replacement Programme</v>
      </c>
      <c r="E1148" s="1071" t="str">
        <f t="shared" si="1524"/>
        <v>R005A</v>
      </c>
      <c r="F1148" s="1125" t="str">
        <f t="shared" si="1524"/>
        <v>2021-2024</v>
      </c>
      <c r="H1148" s="1071" t="s">
        <v>29</v>
      </c>
      <c r="AZ1148" s="1108"/>
      <c r="BA1148" s="1109"/>
      <c r="BB1148" s="1109"/>
      <c r="BC1148" s="1109"/>
      <c r="BD1148" s="1109"/>
      <c r="BE1148" s="1109"/>
      <c r="BF1148" s="1109">
        <f t="shared" ref="BF1148:BJ1148" si="1525">BF484*$AY181</f>
        <v>0</v>
      </c>
      <c r="BG1148" s="1109">
        <f t="shared" si="1525"/>
        <v>0</v>
      </c>
      <c r="BH1148" s="1109">
        <f t="shared" si="1525"/>
        <v>26.817787499999998</v>
      </c>
      <c r="BI1148" s="1109">
        <f t="shared" si="1525"/>
        <v>35.75705</v>
      </c>
      <c r="BJ1148" s="1109">
        <f t="shared" si="1525"/>
        <v>35.75705</v>
      </c>
    </row>
    <row r="1149" spans="2:62" hidden="1" outlineLevel="1">
      <c r="B1149" s="1094"/>
      <c r="C1149" s="1071" t="str">
        <f t="shared" ref="C1149:F1149" si="1526">C832</f>
        <v>Plant &amp; Equipment upgrades (Chillers, AC etc.)</v>
      </c>
      <c r="D1149" s="1071" t="str">
        <f t="shared" si="1526"/>
        <v>Plant &amp; Equipment upgrades</v>
      </c>
      <c r="E1149" s="1071" t="str">
        <f t="shared" si="1526"/>
        <v>RP3-PROP-3</v>
      </c>
      <c r="F1149" s="1125" t="str">
        <f t="shared" si="1526"/>
        <v>2021-2024</v>
      </c>
      <c r="H1149" s="1071" t="s">
        <v>29</v>
      </c>
      <c r="AZ1149" s="1108"/>
      <c r="BA1149" s="1109"/>
      <c r="BB1149" s="1109"/>
      <c r="BC1149" s="1109"/>
      <c r="BD1149" s="1109"/>
      <c r="BE1149" s="1109"/>
      <c r="BF1149" s="1109">
        <f t="shared" ref="BF1149:BJ1149" si="1527">BF485*$AY182</f>
        <v>0</v>
      </c>
      <c r="BG1149" s="1109">
        <f t="shared" si="1527"/>
        <v>0</v>
      </c>
      <c r="BH1149" s="1109">
        <f t="shared" si="1527"/>
        <v>0</v>
      </c>
      <c r="BI1149" s="1109">
        <f t="shared" si="1527"/>
        <v>0</v>
      </c>
      <c r="BJ1149" s="1109">
        <f t="shared" si="1527"/>
        <v>0</v>
      </c>
    </row>
    <row r="1150" spans="2:62" hidden="1" outlineLevel="1">
      <c r="B1150" s="1094"/>
      <c r="C1150" s="1071" t="str">
        <f t="shared" ref="C1150:F1150" si="1528">C833</f>
        <v>Plant &amp; Equipment upgrades Shannon En Route</v>
      </c>
      <c r="D1150" s="1071" t="str">
        <f t="shared" si="1528"/>
        <v>Plant &amp; Equipment upgrades</v>
      </c>
      <c r="E1150" s="1071" t="str">
        <f t="shared" si="1528"/>
        <v>RP3-PROP-3</v>
      </c>
      <c r="F1150" s="1125" t="str">
        <f t="shared" si="1528"/>
        <v>2021-2024</v>
      </c>
      <c r="H1150" s="1071" t="s">
        <v>29</v>
      </c>
      <c r="AZ1150" s="1108"/>
      <c r="BA1150" s="1109"/>
      <c r="BB1150" s="1109"/>
      <c r="BC1150" s="1109"/>
      <c r="BD1150" s="1109"/>
      <c r="BE1150" s="1109"/>
      <c r="BF1150" s="1109">
        <f t="shared" ref="BF1150:BJ1150" si="1529">BF486*$AY183</f>
        <v>0</v>
      </c>
      <c r="BG1150" s="1109">
        <f t="shared" si="1529"/>
        <v>0</v>
      </c>
      <c r="BH1150" s="1109">
        <f t="shared" si="1529"/>
        <v>0</v>
      </c>
      <c r="BI1150" s="1109">
        <f t="shared" si="1529"/>
        <v>0</v>
      </c>
      <c r="BJ1150" s="1109">
        <f t="shared" si="1529"/>
        <v>0</v>
      </c>
    </row>
    <row r="1151" spans="2:62" hidden="1" outlineLevel="1">
      <c r="B1151" s="1094"/>
      <c r="C1151" s="1071" t="str">
        <f t="shared" ref="C1151:F1151" si="1530">C834</f>
        <v>Plant &amp; Equipment upgrades Shannon Joint</v>
      </c>
      <c r="D1151" s="1071" t="str">
        <f t="shared" si="1530"/>
        <v>Plant &amp; Equipment upgrades</v>
      </c>
      <c r="E1151" s="1071" t="str">
        <f t="shared" si="1530"/>
        <v>RP3-PROP-3</v>
      </c>
      <c r="F1151" s="1125" t="str">
        <f t="shared" si="1530"/>
        <v>2021-2024</v>
      </c>
      <c r="H1151" s="1071" t="s">
        <v>29</v>
      </c>
      <c r="AZ1151" s="1108"/>
      <c r="BA1151" s="1109"/>
      <c r="BB1151" s="1109"/>
      <c r="BC1151" s="1109"/>
      <c r="BD1151" s="1109"/>
      <c r="BE1151" s="1109"/>
      <c r="BF1151" s="1109">
        <f t="shared" ref="BF1151:BJ1151" si="1531">BF487*$AY184</f>
        <v>0</v>
      </c>
      <c r="BG1151" s="1109">
        <f t="shared" si="1531"/>
        <v>0</v>
      </c>
      <c r="BH1151" s="1109">
        <f t="shared" si="1531"/>
        <v>0.5859375</v>
      </c>
      <c r="BI1151" s="1109">
        <f t="shared" si="1531"/>
        <v>2.34375</v>
      </c>
      <c r="BJ1151" s="1109">
        <f t="shared" si="1531"/>
        <v>9.609375</v>
      </c>
    </row>
    <row r="1152" spans="2:62" hidden="1" outlineLevel="1">
      <c r="B1152" s="1094"/>
      <c r="C1152" s="1071" t="str">
        <f t="shared" ref="C1152:F1152" si="1532">C835</f>
        <v>Plant &amp; Equipment upgrades Shannon Terminal</v>
      </c>
      <c r="D1152" s="1071" t="str">
        <f t="shared" si="1532"/>
        <v>Plant &amp; Equipment upgrades</v>
      </c>
      <c r="E1152" s="1071" t="str">
        <f t="shared" si="1532"/>
        <v>RP3-PROP-3</v>
      </c>
      <c r="F1152" s="1125" t="str">
        <f t="shared" si="1532"/>
        <v>2021-2024</v>
      </c>
      <c r="H1152" s="1071" t="s">
        <v>29</v>
      </c>
      <c r="AZ1152" s="1108"/>
      <c r="BA1152" s="1109"/>
      <c r="BB1152" s="1109"/>
      <c r="BC1152" s="1109"/>
      <c r="BD1152" s="1109"/>
      <c r="BE1152" s="1109"/>
      <c r="BF1152" s="1109">
        <f t="shared" ref="BF1152:BJ1152" si="1533">BF488*$AY185</f>
        <v>0</v>
      </c>
      <c r="BG1152" s="1109">
        <f t="shared" si="1533"/>
        <v>0</v>
      </c>
      <c r="BH1152" s="1109">
        <f t="shared" si="1533"/>
        <v>0</v>
      </c>
      <c r="BI1152" s="1109">
        <f t="shared" si="1533"/>
        <v>96.875</v>
      </c>
      <c r="BJ1152" s="1109">
        <f t="shared" si="1533"/>
        <v>96.875</v>
      </c>
    </row>
    <row r="1153" spans="2:62" hidden="1" outlineLevel="1">
      <c r="B1153" s="1094"/>
      <c r="C1153" s="1071" t="str">
        <f t="shared" ref="C1153:F1153" si="1534">C836</f>
        <v>Plant &amp; Equipment upgrades Dublin Joint</v>
      </c>
      <c r="D1153" s="1071" t="str">
        <f t="shared" si="1534"/>
        <v>Plant &amp; Equipment upgrades</v>
      </c>
      <c r="E1153" s="1071" t="str">
        <f t="shared" si="1534"/>
        <v>RP3-PROP-3</v>
      </c>
      <c r="F1153" s="1125" t="str">
        <f t="shared" si="1534"/>
        <v>2021-2024</v>
      </c>
      <c r="H1153" s="1071" t="s">
        <v>29</v>
      </c>
      <c r="AZ1153" s="1108"/>
      <c r="BA1153" s="1109"/>
      <c r="BB1153" s="1109"/>
      <c r="BC1153" s="1109"/>
      <c r="BD1153" s="1109"/>
      <c r="BE1153" s="1109"/>
      <c r="BF1153" s="1109">
        <f t="shared" ref="BF1153:BJ1153" si="1535">BF489*$AY186</f>
        <v>0</v>
      </c>
      <c r="BG1153" s="1109">
        <f t="shared" si="1535"/>
        <v>0</v>
      </c>
      <c r="BH1153" s="1109">
        <f t="shared" si="1535"/>
        <v>0</v>
      </c>
      <c r="BI1153" s="1109">
        <f t="shared" si="1535"/>
        <v>50.859375</v>
      </c>
      <c r="BJ1153" s="1109">
        <f t="shared" si="1535"/>
        <v>50.859375</v>
      </c>
    </row>
    <row r="1154" spans="2:62" hidden="1" outlineLevel="1">
      <c r="B1154" s="1094"/>
      <c r="C1154" s="1071" t="str">
        <f t="shared" ref="C1154:F1154" si="1536">C837</f>
        <v>Plant &amp; Equipment upgrades Cork Terminal</v>
      </c>
      <c r="D1154" s="1071" t="str">
        <f t="shared" si="1536"/>
        <v>Plant &amp; Equipment upgrades</v>
      </c>
      <c r="E1154" s="1071" t="str">
        <f t="shared" si="1536"/>
        <v>RP3-PROP-3</v>
      </c>
      <c r="F1154" s="1125" t="str">
        <f t="shared" si="1536"/>
        <v>2021-2024</v>
      </c>
      <c r="H1154" s="1071" t="s">
        <v>29</v>
      </c>
      <c r="AZ1154" s="1108"/>
      <c r="BA1154" s="1109"/>
      <c r="BB1154" s="1109"/>
      <c r="BC1154" s="1109"/>
      <c r="BD1154" s="1109"/>
      <c r="BE1154" s="1109"/>
      <c r="BF1154" s="1109">
        <f t="shared" ref="BF1154:BJ1154" si="1537">BF490*$AY187</f>
        <v>0</v>
      </c>
      <c r="BG1154" s="1109">
        <f t="shared" si="1537"/>
        <v>0</v>
      </c>
      <c r="BH1154" s="1109">
        <f t="shared" si="1537"/>
        <v>0</v>
      </c>
      <c r="BI1154" s="1109">
        <f t="shared" si="1537"/>
        <v>0</v>
      </c>
      <c r="BJ1154" s="1109">
        <f t="shared" si="1537"/>
        <v>14.53125</v>
      </c>
    </row>
    <row r="1155" spans="2:62" hidden="1" outlineLevel="1">
      <c r="B1155" s="1094"/>
      <c r="C1155" s="1071" t="str">
        <f t="shared" ref="C1155:F1155" si="1538">C838</f>
        <v>Plant &amp; Equipment upgrades HQ Joint</v>
      </c>
      <c r="D1155" s="1071" t="str">
        <f t="shared" si="1538"/>
        <v>Plant &amp; Equipment upgrades</v>
      </c>
      <c r="E1155" s="1071" t="str">
        <f t="shared" si="1538"/>
        <v>RP3-PROP-3</v>
      </c>
      <c r="F1155" s="1125" t="str">
        <f t="shared" si="1538"/>
        <v>2021-2024</v>
      </c>
      <c r="H1155" s="1071" t="s">
        <v>29</v>
      </c>
      <c r="AZ1155" s="1108"/>
      <c r="BA1155" s="1109"/>
      <c r="BB1155" s="1109"/>
      <c r="BC1155" s="1109"/>
      <c r="BD1155" s="1109"/>
      <c r="BE1155" s="1109"/>
      <c r="BF1155" s="1109">
        <f t="shared" ref="BF1155:BJ1155" si="1539">BF491*$AY188</f>
        <v>0</v>
      </c>
      <c r="BG1155" s="1109">
        <f t="shared" si="1539"/>
        <v>0</v>
      </c>
      <c r="BH1155" s="1109">
        <f t="shared" si="1539"/>
        <v>0</v>
      </c>
      <c r="BI1155" s="1109">
        <f t="shared" si="1539"/>
        <v>10.8984375</v>
      </c>
      <c r="BJ1155" s="1109">
        <f t="shared" si="1539"/>
        <v>43.59375</v>
      </c>
    </row>
    <row r="1156" spans="2:62" hidden="1" outlineLevel="1">
      <c r="B1156" s="1094"/>
      <c r="C1156" s="1071" t="str">
        <f t="shared" ref="C1156:F1156" si="1540">C839</f>
        <v>Climate action plan</v>
      </c>
      <c r="D1156" s="1071" t="str">
        <f t="shared" si="1540"/>
        <v>Climate action plan</v>
      </c>
      <c r="E1156" s="1071" t="str">
        <f t="shared" si="1540"/>
        <v>U011</v>
      </c>
      <c r="F1156" s="1125" t="str">
        <f t="shared" si="1540"/>
        <v>2021-2024</v>
      </c>
      <c r="H1156" s="1071" t="s">
        <v>29</v>
      </c>
      <c r="AZ1156" s="1108"/>
      <c r="BA1156" s="1109"/>
      <c r="BB1156" s="1109"/>
      <c r="BC1156" s="1109"/>
      <c r="BD1156" s="1109"/>
      <c r="BE1156" s="1109"/>
      <c r="BF1156" s="1109">
        <f t="shared" ref="BF1156:BJ1156" si="1541">BF492*$AY189</f>
        <v>0</v>
      </c>
      <c r="BG1156" s="1109">
        <f t="shared" si="1541"/>
        <v>8.75</v>
      </c>
      <c r="BH1156" s="1109">
        <f t="shared" si="1541"/>
        <v>40</v>
      </c>
      <c r="BI1156" s="1109">
        <f t="shared" si="1541"/>
        <v>142.5</v>
      </c>
      <c r="BJ1156" s="1109">
        <f t="shared" si="1541"/>
        <v>265</v>
      </c>
    </row>
    <row r="1157" spans="2:62" hidden="1" outlineLevel="1">
      <c r="B1157" s="1094"/>
      <c r="C1157" s="1071" t="str">
        <f t="shared" ref="C1157:F1157" si="1542">C840</f>
        <v>RADAR Overhaul - Woodcock Hill</v>
      </c>
      <c r="D1157" s="1071" t="str">
        <f t="shared" si="1542"/>
        <v>RADAR Overhaul</v>
      </c>
      <c r="E1157" s="1071" t="str">
        <f t="shared" si="1542"/>
        <v>RP3-SURV-1</v>
      </c>
      <c r="F1157" s="1125" t="str">
        <f t="shared" si="1542"/>
        <v>2021-2024</v>
      </c>
      <c r="H1157" s="1071" t="s">
        <v>29</v>
      </c>
      <c r="AZ1157" s="1108"/>
      <c r="BA1157" s="1109"/>
      <c r="BB1157" s="1109"/>
      <c r="BC1157" s="1109"/>
      <c r="BD1157" s="1109"/>
      <c r="BE1157" s="1109"/>
      <c r="BF1157" s="1109">
        <f t="shared" ref="BF1157:BJ1157" si="1543">BF493*$AY190</f>
        <v>0</v>
      </c>
      <c r="BG1157" s="1109">
        <f t="shared" si="1543"/>
        <v>0</v>
      </c>
      <c r="BH1157" s="1109">
        <f t="shared" si="1543"/>
        <v>0</v>
      </c>
      <c r="BI1157" s="1109">
        <f t="shared" si="1543"/>
        <v>0</v>
      </c>
      <c r="BJ1157" s="1109">
        <f t="shared" si="1543"/>
        <v>0</v>
      </c>
    </row>
    <row r="1158" spans="2:62" hidden="1" outlineLevel="1">
      <c r="B1158" s="1094"/>
      <c r="C1158" s="1071" t="str">
        <f t="shared" ref="C1158:F1158" si="1544">C841</f>
        <v>RADAR Overhaul - MT Gabriel 1 &amp; 2</v>
      </c>
      <c r="D1158" s="1071" t="str">
        <f t="shared" si="1544"/>
        <v>RADAR Overhaul</v>
      </c>
      <c r="E1158" s="1071" t="str">
        <f t="shared" si="1544"/>
        <v>RP3-SURV-1</v>
      </c>
      <c r="F1158" s="1125" t="str">
        <f t="shared" si="1544"/>
        <v>2021-2024</v>
      </c>
      <c r="H1158" s="1071" t="s">
        <v>29</v>
      </c>
      <c r="AZ1158" s="1108"/>
      <c r="BA1158" s="1109"/>
      <c r="BB1158" s="1109"/>
      <c r="BC1158" s="1109"/>
      <c r="BD1158" s="1109"/>
      <c r="BE1158" s="1109"/>
      <c r="BF1158" s="1109">
        <f t="shared" ref="BF1158:BJ1158" si="1545">BF494*$AY191</f>
        <v>0</v>
      </c>
      <c r="BG1158" s="1109">
        <f t="shared" si="1545"/>
        <v>0</v>
      </c>
      <c r="BH1158" s="1109">
        <f t="shared" si="1545"/>
        <v>0</v>
      </c>
      <c r="BI1158" s="1109">
        <f t="shared" si="1545"/>
        <v>0</v>
      </c>
      <c r="BJ1158" s="1109">
        <f t="shared" si="1545"/>
        <v>0</v>
      </c>
    </row>
    <row r="1159" spans="2:62" hidden="1" outlineLevel="1">
      <c r="B1159" s="1094"/>
      <c r="C1159" s="1071" t="str">
        <f t="shared" ref="C1159:F1159" si="1546">C842</f>
        <v>Voice Communication Switch</v>
      </c>
      <c r="D1159" s="1071" t="str">
        <f t="shared" si="1546"/>
        <v>VOIP Switch</v>
      </c>
      <c r="E1159" s="1071" t="str">
        <f t="shared" si="1546"/>
        <v>S005</v>
      </c>
      <c r="F1159" s="1125" t="str">
        <f t="shared" si="1546"/>
        <v>2021-2024</v>
      </c>
      <c r="H1159" s="1071" t="s">
        <v>29</v>
      </c>
      <c r="AZ1159" s="1108"/>
      <c r="BA1159" s="1109"/>
      <c r="BB1159" s="1109"/>
      <c r="BC1159" s="1109"/>
      <c r="BD1159" s="1109"/>
      <c r="BE1159" s="1109"/>
      <c r="BF1159" s="1109">
        <f t="shared" ref="BF1159:BJ1159" si="1547">BF495*$AY192</f>
        <v>0</v>
      </c>
      <c r="BG1159" s="1109">
        <f t="shared" si="1547"/>
        <v>0</v>
      </c>
      <c r="BH1159" s="1109">
        <f t="shared" si="1547"/>
        <v>0</v>
      </c>
      <c r="BI1159" s="1109">
        <f t="shared" si="1547"/>
        <v>0</v>
      </c>
      <c r="BJ1159" s="1109">
        <f t="shared" si="1547"/>
        <v>0</v>
      </c>
    </row>
    <row r="1160" spans="2:62" hidden="1" outlineLevel="1">
      <c r="B1160" s="1094"/>
      <c r="C1160" s="1071" t="str">
        <f t="shared" ref="C1160:F1160" si="1548">C843</f>
        <v>VOIP Switch CRK</v>
      </c>
      <c r="D1160" s="1071" t="str">
        <f t="shared" si="1548"/>
        <v>VOIP Switch</v>
      </c>
      <c r="E1160" s="1071" t="str">
        <f t="shared" si="1548"/>
        <v>S005A</v>
      </c>
      <c r="F1160" s="1125" t="str">
        <f t="shared" si="1548"/>
        <v>2021-2024</v>
      </c>
      <c r="H1160" s="1071" t="s">
        <v>29</v>
      </c>
      <c r="AZ1160" s="1108"/>
      <c r="BA1160" s="1109"/>
      <c r="BB1160" s="1109"/>
      <c r="BC1160" s="1109"/>
      <c r="BD1160" s="1109"/>
      <c r="BE1160" s="1109"/>
      <c r="BF1160" s="1109">
        <f t="shared" ref="BF1160:BJ1160" si="1549">BF496*$AY193</f>
        <v>0</v>
      </c>
      <c r="BG1160" s="1109">
        <f t="shared" si="1549"/>
        <v>0</v>
      </c>
      <c r="BH1160" s="1109">
        <f t="shared" si="1549"/>
        <v>12.415952320312499</v>
      </c>
      <c r="BI1160" s="1109">
        <f t="shared" si="1549"/>
        <v>49.663809281249996</v>
      </c>
      <c r="BJ1160" s="1109">
        <f t="shared" si="1549"/>
        <v>49.663809281249996</v>
      </c>
    </row>
    <row r="1161" spans="2:62" hidden="1" outlineLevel="1">
      <c r="B1161" s="1094"/>
      <c r="C1161" s="1071" t="str">
        <f t="shared" ref="C1161:F1161" si="1550">C844</f>
        <v>VOIP Switch DUB</v>
      </c>
      <c r="D1161" s="1071" t="str">
        <f t="shared" si="1550"/>
        <v>VOIP Switch</v>
      </c>
      <c r="E1161" s="1071" t="str">
        <f t="shared" si="1550"/>
        <v>S005A</v>
      </c>
      <c r="F1161" s="1125" t="str">
        <f t="shared" si="1550"/>
        <v>2021-2024</v>
      </c>
      <c r="H1161" s="1071" t="s">
        <v>29</v>
      </c>
      <c r="AZ1161" s="1108"/>
      <c r="BA1161" s="1109"/>
      <c r="BB1161" s="1109"/>
      <c r="BC1161" s="1109"/>
      <c r="BD1161" s="1109"/>
      <c r="BE1161" s="1109"/>
      <c r="BF1161" s="1109">
        <f t="shared" ref="BF1161:BJ1161" si="1551">BF497*$AY194</f>
        <v>0</v>
      </c>
      <c r="BG1161" s="1109">
        <f t="shared" si="1551"/>
        <v>10.561487779296876</v>
      </c>
      <c r="BH1161" s="1109">
        <f t="shared" si="1551"/>
        <v>42.245951117187502</v>
      </c>
      <c r="BI1161" s="1109">
        <f t="shared" si="1551"/>
        <v>42.245951117187502</v>
      </c>
      <c r="BJ1161" s="1109">
        <f t="shared" si="1551"/>
        <v>42.245951117187502</v>
      </c>
    </row>
    <row r="1162" spans="2:62" hidden="1" outlineLevel="1">
      <c r="B1162" s="1094"/>
      <c r="C1162" s="1071" t="str">
        <f t="shared" ref="C1162:F1162" si="1552">C845</f>
        <v>VOIP Switch Ballycasey Main</v>
      </c>
      <c r="D1162" s="1071" t="str">
        <f t="shared" si="1552"/>
        <v>VOIP Switch</v>
      </c>
      <c r="E1162" s="1071" t="str">
        <f t="shared" si="1552"/>
        <v>S005A</v>
      </c>
      <c r="F1162" s="1125" t="str">
        <f t="shared" si="1552"/>
        <v>2021-2024</v>
      </c>
      <c r="H1162" s="1071" t="s">
        <v>29</v>
      </c>
      <c r="AZ1162" s="1108"/>
      <c r="BA1162" s="1109"/>
      <c r="BB1162" s="1109"/>
      <c r="BC1162" s="1109"/>
      <c r="BD1162" s="1109"/>
      <c r="BE1162" s="1109"/>
      <c r="BF1162" s="1109">
        <f t="shared" ref="BF1162:BJ1162" si="1553">BF498*$AY195</f>
        <v>0</v>
      </c>
      <c r="BG1162" s="1109">
        <f t="shared" si="1553"/>
        <v>0</v>
      </c>
      <c r="BH1162" s="1109">
        <f t="shared" si="1553"/>
        <v>0</v>
      </c>
      <c r="BI1162" s="1109">
        <f t="shared" si="1553"/>
        <v>0</v>
      </c>
      <c r="BJ1162" s="1109">
        <f t="shared" si="1553"/>
        <v>0</v>
      </c>
    </row>
    <row r="1163" spans="2:62" hidden="1" outlineLevel="1">
      <c r="B1163" s="1094"/>
      <c r="C1163" s="1071" t="str">
        <f t="shared" ref="C1163:F1163" si="1554">C846</f>
        <v>VOIP Switch STBU</v>
      </c>
      <c r="D1163" s="1071" t="str">
        <f t="shared" si="1554"/>
        <v>VOIP Switch</v>
      </c>
      <c r="E1163" s="1071" t="str">
        <f t="shared" si="1554"/>
        <v>S005A</v>
      </c>
      <c r="F1163" s="1125" t="str">
        <f t="shared" si="1554"/>
        <v>2021-2024</v>
      </c>
      <c r="H1163" s="1071" t="s">
        <v>29</v>
      </c>
      <c r="AZ1163" s="1108"/>
      <c r="BA1163" s="1109"/>
      <c r="BB1163" s="1109"/>
      <c r="BC1163" s="1109"/>
      <c r="BD1163" s="1109"/>
      <c r="BE1163" s="1109"/>
      <c r="BF1163" s="1109">
        <f t="shared" ref="BF1163:BJ1163" si="1555">BF499*$AY196</f>
        <v>0</v>
      </c>
      <c r="BG1163" s="1109">
        <f t="shared" si="1555"/>
        <v>0</v>
      </c>
      <c r="BH1163" s="1109">
        <f t="shared" si="1555"/>
        <v>0</v>
      </c>
      <c r="BI1163" s="1109">
        <f t="shared" si="1555"/>
        <v>9.375</v>
      </c>
      <c r="BJ1163" s="1109">
        <f t="shared" si="1555"/>
        <v>37.5</v>
      </c>
    </row>
    <row r="1164" spans="2:62" hidden="1" outlineLevel="1">
      <c r="B1164" s="1094"/>
      <c r="C1164" s="1071" t="str">
        <f t="shared" ref="C1164:F1164" si="1556">C847</f>
        <v>VOIP Test &amp; backup Ballycasey</v>
      </c>
      <c r="D1164" s="1071" t="str">
        <f t="shared" si="1556"/>
        <v>VOIP Switch</v>
      </c>
      <c r="E1164" s="1071" t="str">
        <f t="shared" si="1556"/>
        <v>S005A</v>
      </c>
      <c r="F1164" s="1125" t="str">
        <f t="shared" si="1556"/>
        <v>2021-2024</v>
      </c>
      <c r="H1164" s="1071" t="s">
        <v>29</v>
      </c>
      <c r="AZ1164" s="1108"/>
      <c r="BA1164" s="1109"/>
      <c r="BB1164" s="1109"/>
      <c r="BC1164" s="1109"/>
      <c r="BD1164" s="1109"/>
      <c r="BE1164" s="1109"/>
      <c r="BF1164" s="1109">
        <f t="shared" ref="BF1164:BJ1164" si="1557">BF500*$AY197</f>
        <v>0</v>
      </c>
      <c r="BG1164" s="1109">
        <f t="shared" si="1557"/>
        <v>0</v>
      </c>
      <c r="BH1164" s="1109">
        <f t="shared" si="1557"/>
        <v>0</v>
      </c>
      <c r="BI1164" s="1109">
        <f t="shared" si="1557"/>
        <v>4.1742187499999996</v>
      </c>
      <c r="BJ1164" s="1109">
        <f t="shared" si="1557"/>
        <v>16.696874999999999</v>
      </c>
    </row>
    <row r="1165" spans="2:62" hidden="1" outlineLevel="1">
      <c r="B1165" s="1094"/>
      <c r="C1165" s="1071" t="str">
        <f t="shared" ref="C1165:F1165" si="1558">C848</f>
        <v>North Dublin Radar Building</v>
      </c>
      <c r="D1165" s="1071" t="str">
        <f t="shared" si="1558"/>
        <v>North Dublin Radar Building</v>
      </c>
      <c r="E1165" s="1071" t="str">
        <f t="shared" si="1558"/>
        <v>T006</v>
      </c>
      <c r="F1165" s="1125" t="str">
        <f t="shared" si="1558"/>
        <v>2021-2024</v>
      </c>
      <c r="H1165" s="1071" t="s">
        <v>29</v>
      </c>
      <c r="AZ1165" s="1108"/>
      <c r="BA1165" s="1109"/>
      <c r="BB1165" s="1109"/>
      <c r="BC1165" s="1109"/>
      <c r="BD1165" s="1109"/>
      <c r="BE1165" s="1109"/>
      <c r="BF1165" s="1109">
        <f t="shared" ref="BF1165:BJ1165" si="1559">BF501*$AY198</f>
        <v>0</v>
      </c>
      <c r="BG1165" s="1109">
        <f t="shared" si="1559"/>
        <v>0</v>
      </c>
      <c r="BH1165" s="1109">
        <f t="shared" si="1559"/>
        <v>54.375</v>
      </c>
      <c r="BI1165" s="1109">
        <f t="shared" si="1559"/>
        <v>72.5</v>
      </c>
      <c r="BJ1165" s="1109">
        <f t="shared" si="1559"/>
        <v>72.5</v>
      </c>
    </row>
    <row r="1166" spans="2:62" hidden="1" outlineLevel="1">
      <c r="B1166" s="1094"/>
      <c r="C1166" s="1071" t="str">
        <f t="shared" ref="C1166:F1166" si="1560">C849</f>
        <v>Structural Upgrades Dublin ACC</v>
      </c>
      <c r="D1166" s="1071" t="str">
        <f t="shared" si="1560"/>
        <v>Structural Upgrades</v>
      </c>
      <c r="E1166" s="1071" t="str">
        <f t="shared" si="1560"/>
        <v>RP3-PROP-4</v>
      </c>
      <c r="F1166" s="1125" t="str">
        <f t="shared" si="1560"/>
        <v>2021-2024</v>
      </c>
      <c r="H1166" s="1071" t="s">
        <v>29</v>
      </c>
      <c r="AZ1166" s="1108"/>
      <c r="BA1166" s="1109"/>
      <c r="BB1166" s="1109"/>
      <c r="BC1166" s="1109"/>
      <c r="BD1166" s="1109"/>
      <c r="BE1166" s="1109"/>
      <c r="BF1166" s="1109">
        <f t="shared" ref="BF1166:BJ1166" si="1561">BF502*$AY199</f>
        <v>0</v>
      </c>
      <c r="BG1166" s="1109">
        <f t="shared" si="1561"/>
        <v>0</v>
      </c>
      <c r="BH1166" s="1109">
        <f t="shared" si="1561"/>
        <v>0</v>
      </c>
      <c r="BI1166" s="1109">
        <f t="shared" si="1561"/>
        <v>0</v>
      </c>
      <c r="BJ1166" s="1109">
        <f t="shared" si="1561"/>
        <v>24.21875</v>
      </c>
    </row>
    <row r="1167" spans="2:62" hidden="1" outlineLevel="1">
      <c r="B1167" s="1094"/>
      <c r="C1167" s="1071" t="str">
        <f t="shared" ref="C1167:F1167" si="1562">C850</f>
        <v>Structural Upgrades Ballycasey ACC</v>
      </c>
      <c r="D1167" s="1071" t="str">
        <f t="shared" si="1562"/>
        <v>Structural Upgrades</v>
      </c>
      <c r="E1167" s="1071" t="str">
        <f t="shared" si="1562"/>
        <v>RP3-PROP-4</v>
      </c>
      <c r="F1167" s="1125" t="str">
        <f t="shared" si="1562"/>
        <v>2021-2024</v>
      </c>
      <c r="H1167" s="1071" t="s">
        <v>29</v>
      </c>
      <c r="AZ1167" s="1108"/>
      <c r="BA1167" s="1109"/>
      <c r="BB1167" s="1109"/>
      <c r="BC1167" s="1109"/>
      <c r="BD1167" s="1109"/>
      <c r="BE1167" s="1109"/>
      <c r="BF1167" s="1109">
        <f t="shared" ref="BF1167:BJ1167" si="1563">BF503*$AY200</f>
        <v>0</v>
      </c>
      <c r="BG1167" s="1109">
        <f t="shared" si="1563"/>
        <v>0</v>
      </c>
      <c r="BH1167" s="1109">
        <f t="shared" si="1563"/>
        <v>0</v>
      </c>
      <c r="BI1167" s="1109">
        <f t="shared" si="1563"/>
        <v>0</v>
      </c>
      <c r="BJ1167" s="1109">
        <f t="shared" si="1563"/>
        <v>0</v>
      </c>
    </row>
    <row r="1168" spans="2:62" hidden="1" outlineLevel="1">
      <c r="B1168" s="1094"/>
      <c r="C1168" s="1071" t="str">
        <f t="shared" ref="C1168:F1168" si="1564">C851</f>
        <v>Structural Upgrades Shannon Air Traffic Control Tower</v>
      </c>
      <c r="D1168" s="1071" t="str">
        <f t="shared" si="1564"/>
        <v>Structural Upgrades</v>
      </c>
      <c r="E1168" s="1071" t="str">
        <f t="shared" si="1564"/>
        <v>RP3-PROP-4</v>
      </c>
      <c r="F1168" s="1125" t="str">
        <f t="shared" si="1564"/>
        <v>2021-2024</v>
      </c>
      <c r="H1168" s="1071" t="s">
        <v>29</v>
      </c>
      <c r="AZ1168" s="1108"/>
      <c r="BA1168" s="1109"/>
      <c r="BB1168" s="1109"/>
      <c r="BC1168" s="1109"/>
      <c r="BD1168" s="1109"/>
      <c r="BE1168" s="1109"/>
      <c r="BF1168" s="1109">
        <f t="shared" ref="BF1168:BJ1168" si="1565">BF504*$AY201</f>
        <v>0</v>
      </c>
      <c r="BG1168" s="1109">
        <f t="shared" si="1565"/>
        <v>0</v>
      </c>
      <c r="BH1168" s="1109">
        <f t="shared" si="1565"/>
        <v>0</v>
      </c>
      <c r="BI1168" s="1109">
        <f t="shared" si="1565"/>
        <v>77.5</v>
      </c>
      <c r="BJ1168" s="1109">
        <f t="shared" si="1565"/>
        <v>77.5</v>
      </c>
    </row>
    <row r="1169" spans="2:62" hidden="1" outlineLevel="1">
      <c r="B1169" s="1094"/>
      <c r="C1169" s="1071" t="str">
        <f t="shared" ref="C1169:F1169" si="1566">C852</f>
        <v>Restrucuring IT Costs ANSP</v>
      </c>
      <c r="D1169" s="1071" t="str">
        <f t="shared" si="1566"/>
        <v>Restrucuring IT Costs ANSP</v>
      </c>
      <c r="E1169" s="1071" t="str">
        <f t="shared" si="1566"/>
        <v>U022</v>
      </c>
      <c r="F1169" s="1125" t="str">
        <f t="shared" si="1566"/>
        <v>2021-2024</v>
      </c>
      <c r="H1169" s="1071" t="s">
        <v>29</v>
      </c>
      <c r="AZ1169" s="1108"/>
      <c r="BA1169" s="1109"/>
      <c r="BB1169" s="1109"/>
      <c r="BC1169" s="1109"/>
      <c r="BD1169" s="1109"/>
      <c r="BE1169" s="1109"/>
      <c r="BF1169" s="1109">
        <f t="shared" ref="BF1169:BJ1169" si="1567">BF505*$AY202</f>
        <v>0</v>
      </c>
      <c r="BG1169" s="1109">
        <f t="shared" si="1567"/>
        <v>0</v>
      </c>
      <c r="BH1169" s="1109">
        <f t="shared" si="1567"/>
        <v>92.399999999999991</v>
      </c>
      <c r="BI1169" s="1109">
        <f t="shared" si="1567"/>
        <v>92.399999999999991</v>
      </c>
      <c r="BJ1169" s="1109">
        <f t="shared" si="1567"/>
        <v>92.399999999999991</v>
      </c>
    </row>
    <row r="1170" spans="2:62" hidden="1" outlineLevel="1">
      <c r="B1170" s="1094"/>
      <c r="C1170" s="1071" t="str">
        <f t="shared" ref="C1170:F1170" si="1568">C853</f>
        <v>Conditional Surveys</v>
      </c>
      <c r="D1170" s="1071" t="str">
        <f t="shared" si="1568"/>
        <v>Conditional Surveys</v>
      </c>
      <c r="E1170" s="1071" t="str">
        <f t="shared" si="1568"/>
        <v>RP3-PROP-1</v>
      </c>
      <c r="F1170" s="1125" t="str">
        <f t="shared" si="1568"/>
        <v>2021-2024</v>
      </c>
      <c r="H1170" s="1071" t="s">
        <v>29</v>
      </c>
      <c r="AZ1170" s="1108"/>
      <c r="BA1170" s="1109"/>
      <c r="BB1170" s="1109"/>
      <c r="BC1170" s="1109"/>
      <c r="BD1170" s="1109"/>
      <c r="BE1170" s="1109"/>
      <c r="BF1170" s="1109">
        <f t="shared" ref="BF1170:BJ1170" si="1569">BF506*$AY203</f>
        <v>0</v>
      </c>
      <c r="BG1170" s="1109">
        <f t="shared" si="1569"/>
        <v>0</v>
      </c>
      <c r="BH1170" s="1109">
        <f t="shared" si="1569"/>
        <v>0</v>
      </c>
      <c r="BI1170" s="1109">
        <f t="shared" si="1569"/>
        <v>0</v>
      </c>
      <c r="BJ1170" s="1109">
        <f t="shared" si="1569"/>
        <v>0</v>
      </c>
    </row>
    <row r="1171" spans="2:62" hidden="1" outlineLevel="1">
      <c r="B1171" s="1094"/>
      <c r="C1171" s="1071" t="str">
        <f t="shared" ref="C1171:F1171" si="1570">C854</f>
        <v>Conditional Surveys Shannon En Route</v>
      </c>
      <c r="D1171" s="1071" t="str">
        <f t="shared" si="1570"/>
        <v>Conditional Surveys</v>
      </c>
      <c r="E1171" s="1071" t="str">
        <f t="shared" si="1570"/>
        <v>RP3-PROP-1</v>
      </c>
      <c r="F1171" s="1125" t="str">
        <f t="shared" si="1570"/>
        <v>2021-2024</v>
      </c>
      <c r="H1171" s="1071" t="s">
        <v>29</v>
      </c>
      <c r="AZ1171" s="1108"/>
      <c r="BA1171" s="1109"/>
      <c r="BB1171" s="1109"/>
      <c r="BC1171" s="1109"/>
      <c r="BD1171" s="1109"/>
      <c r="BE1171" s="1109"/>
      <c r="BF1171" s="1109">
        <f t="shared" ref="BF1171:BJ1171" si="1571">BF507*$AY204</f>
        <v>0</v>
      </c>
      <c r="BG1171" s="1109">
        <f t="shared" si="1571"/>
        <v>0</v>
      </c>
      <c r="BH1171" s="1109">
        <f t="shared" si="1571"/>
        <v>0</v>
      </c>
      <c r="BI1171" s="1109">
        <f t="shared" si="1571"/>
        <v>0</v>
      </c>
      <c r="BJ1171" s="1109">
        <f t="shared" si="1571"/>
        <v>0</v>
      </c>
    </row>
    <row r="1172" spans="2:62" hidden="1" outlineLevel="1">
      <c r="B1172" s="1094"/>
      <c r="C1172" s="1071" t="str">
        <f t="shared" ref="C1172:F1172" si="1572">C855</f>
        <v>Conditional Surveys Shannon Joint</v>
      </c>
      <c r="D1172" s="1071" t="str">
        <f t="shared" si="1572"/>
        <v>Conditional Surveys</v>
      </c>
      <c r="E1172" s="1071" t="str">
        <f t="shared" si="1572"/>
        <v>RP3-PROP-1</v>
      </c>
      <c r="F1172" s="1125" t="str">
        <f t="shared" si="1572"/>
        <v>2021-2024</v>
      </c>
      <c r="H1172" s="1071" t="s">
        <v>29</v>
      </c>
      <c r="AZ1172" s="1108"/>
      <c r="BA1172" s="1109"/>
      <c r="BB1172" s="1109"/>
      <c r="BC1172" s="1109"/>
      <c r="BD1172" s="1109"/>
      <c r="BE1172" s="1109"/>
      <c r="BF1172" s="1109">
        <f t="shared" ref="BF1172:BJ1172" si="1573">BF508*$AY205</f>
        <v>0</v>
      </c>
      <c r="BG1172" s="1109">
        <f t="shared" si="1573"/>
        <v>0</v>
      </c>
      <c r="BH1172" s="1109">
        <f t="shared" si="1573"/>
        <v>0</v>
      </c>
      <c r="BI1172" s="1109">
        <f t="shared" si="1573"/>
        <v>0.21484375</v>
      </c>
      <c r="BJ1172" s="1109">
        <f t="shared" si="1573"/>
        <v>2.421875</v>
      </c>
    </row>
    <row r="1173" spans="2:62" hidden="1" outlineLevel="1">
      <c r="B1173" s="1094"/>
      <c r="C1173" s="1071" t="str">
        <f t="shared" ref="C1173:F1173" si="1574">C856</f>
        <v>Conditional Surveys Shannon Terminal</v>
      </c>
      <c r="D1173" s="1071" t="str">
        <f t="shared" si="1574"/>
        <v>Conditional Surveys</v>
      </c>
      <c r="E1173" s="1071" t="str">
        <f t="shared" si="1574"/>
        <v>RP3-PROP-1</v>
      </c>
      <c r="F1173" s="1125" t="str">
        <f t="shared" si="1574"/>
        <v>2021-2024</v>
      </c>
      <c r="H1173" s="1071" t="s">
        <v>29</v>
      </c>
      <c r="AZ1173" s="1108"/>
      <c r="BA1173" s="1109"/>
      <c r="BB1173" s="1109"/>
      <c r="BC1173" s="1109"/>
      <c r="BD1173" s="1109"/>
      <c r="BE1173" s="1109"/>
      <c r="BF1173" s="1109">
        <f t="shared" ref="BF1173:BJ1173" si="1575">BF509*$AY206</f>
        <v>0</v>
      </c>
      <c r="BG1173" s="1109">
        <f t="shared" si="1575"/>
        <v>0</v>
      </c>
      <c r="BH1173" s="1109">
        <f t="shared" si="1575"/>
        <v>36.065625000000004</v>
      </c>
      <c r="BI1173" s="1109">
        <f t="shared" si="1575"/>
        <v>91.83750000000002</v>
      </c>
      <c r="BJ1173" s="1109">
        <f t="shared" si="1575"/>
        <v>91.83750000000002</v>
      </c>
    </row>
    <row r="1174" spans="2:62" hidden="1" outlineLevel="1">
      <c r="B1174" s="1094"/>
      <c r="C1174" s="1071" t="str">
        <f t="shared" ref="C1174:F1174" si="1576">C857</f>
        <v>Conditional Surveys Dublin Joint</v>
      </c>
      <c r="D1174" s="1071" t="str">
        <f t="shared" si="1576"/>
        <v>Conditional Surveys</v>
      </c>
      <c r="E1174" s="1071" t="str">
        <f t="shared" si="1576"/>
        <v>RP3-PROP-1</v>
      </c>
      <c r="F1174" s="1125" t="str">
        <f t="shared" si="1576"/>
        <v>2021-2024</v>
      </c>
      <c r="H1174" s="1071" t="s">
        <v>29</v>
      </c>
      <c r="AZ1174" s="1108"/>
      <c r="BA1174" s="1109"/>
      <c r="BB1174" s="1109"/>
      <c r="BC1174" s="1109"/>
      <c r="BD1174" s="1109"/>
      <c r="BE1174" s="1109"/>
      <c r="BF1174" s="1109">
        <f t="shared" ref="BF1174:BJ1174" si="1577">BF510*$AY207</f>
        <v>0</v>
      </c>
      <c r="BG1174" s="1109">
        <f t="shared" si="1577"/>
        <v>0</v>
      </c>
      <c r="BH1174" s="1109">
        <f t="shared" si="1577"/>
        <v>1.2109375</v>
      </c>
      <c r="BI1174" s="1109">
        <f t="shared" si="1577"/>
        <v>2.421875</v>
      </c>
      <c r="BJ1174" s="1109">
        <f t="shared" si="1577"/>
        <v>3.2421875</v>
      </c>
    </row>
    <row r="1175" spans="2:62" hidden="1" outlineLevel="1">
      <c r="B1175" s="1094"/>
      <c r="C1175" s="1071" t="str">
        <f t="shared" ref="C1175:F1175" si="1578">C858</f>
        <v>Conditional Surveys Cork Terminal</v>
      </c>
      <c r="D1175" s="1071" t="str">
        <f t="shared" si="1578"/>
        <v>Conditional Surveys</v>
      </c>
      <c r="E1175" s="1071" t="str">
        <f t="shared" si="1578"/>
        <v>RP3-PROP-1</v>
      </c>
      <c r="F1175" s="1125" t="str">
        <f t="shared" si="1578"/>
        <v>2021-2024</v>
      </c>
      <c r="H1175" s="1071" t="s">
        <v>29</v>
      </c>
      <c r="AZ1175" s="1108"/>
      <c r="BA1175" s="1109"/>
      <c r="BB1175" s="1109"/>
      <c r="BC1175" s="1109"/>
      <c r="BD1175" s="1109"/>
      <c r="BE1175" s="1109"/>
      <c r="BF1175" s="1109">
        <f t="shared" ref="BF1175:BJ1175" si="1579">BF511*$AY208</f>
        <v>0</v>
      </c>
      <c r="BG1175" s="1109">
        <f t="shared" si="1579"/>
        <v>0</v>
      </c>
      <c r="BH1175" s="1109">
        <f t="shared" si="1579"/>
        <v>0</v>
      </c>
      <c r="BI1175" s="1109">
        <f t="shared" si="1579"/>
        <v>5.44921875</v>
      </c>
      <c r="BJ1175" s="1109">
        <f t="shared" si="1579"/>
        <v>14.53125</v>
      </c>
    </row>
    <row r="1176" spans="2:62" hidden="1" outlineLevel="1">
      <c r="B1176" s="1094"/>
      <c r="C1176" s="1071" t="str">
        <f t="shared" ref="C1176:F1176" si="1580">C859</f>
        <v>Replacement Dublin 2 RADAR Existing</v>
      </c>
      <c r="D1176" s="1071" t="str">
        <f t="shared" si="1580"/>
        <v>Replacement Dublin 2 RADAR</v>
      </c>
      <c r="E1176" s="1071" t="str">
        <f t="shared" si="1580"/>
        <v>Q012</v>
      </c>
      <c r="F1176" s="1125" t="str">
        <f t="shared" si="1580"/>
        <v>2021-2024</v>
      </c>
      <c r="H1176" s="1071" t="s">
        <v>29</v>
      </c>
      <c r="AZ1176" s="1108"/>
      <c r="BA1176" s="1109"/>
      <c r="BB1176" s="1109"/>
      <c r="BC1176" s="1109"/>
      <c r="BD1176" s="1109"/>
      <c r="BE1176" s="1109"/>
      <c r="BF1176" s="1109">
        <f t="shared" ref="BF1176:BJ1176" si="1581">BF512*$AY209</f>
        <v>0</v>
      </c>
      <c r="BG1176" s="1109">
        <f t="shared" si="1581"/>
        <v>0</v>
      </c>
      <c r="BH1176" s="1109">
        <f t="shared" si="1581"/>
        <v>0</v>
      </c>
      <c r="BI1176" s="1109">
        <f t="shared" si="1581"/>
        <v>0</v>
      </c>
      <c r="BJ1176" s="1109">
        <f t="shared" si="1581"/>
        <v>0</v>
      </c>
    </row>
    <row r="1177" spans="2:62" hidden="1" outlineLevel="1">
      <c r="B1177" s="1094"/>
      <c r="C1177" s="1071" t="str">
        <f t="shared" ref="C1177:F1177" si="1582">C860</f>
        <v>Replacement Dublin 2 RADAR New (Phase 2)</v>
      </c>
      <c r="D1177" s="1071" t="str">
        <f t="shared" si="1582"/>
        <v>Replacement Dublin 2 RADAR</v>
      </c>
      <c r="E1177" s="1071" t="str">
        <f t="shared" si="1582"/>
        <v>Q012A</v>
      </c>
      <c r="F1177" s="1125" t="str">
        <f t="shared" si="1582"/>
        <v>2021-2024</v>
      </c>
      <c r="H1177" s="1071" t="s">
        <v>29</v>
      </c>
      <c r="AZ1177" s="1108"/>
      <c r="BA1177" s="1109"/>
      <c r="BB1177" s="1109"/>
      <c r="BC1177" s="1109"/>
      <c r="BD1177" s="1109"/>
      <c r="BE1177" s="1109"/>
      <c r="BF1177" s="1109">
        <f t="shared" ref="BF1177:BJ1177" si="1583">BF513*$AY210</f>
        <v>0</v>
      </c>
      <c r="BG1177" s="1109">
        <f t="shared" si="1583"/>
        <v>0</v>
      </c>
      <c r="BH1177" s="1109">
        <f t="shared" si="1583"/>
        <v>19.3268359375</v>
      </c>
      <c r="BI1177" s="1109">
        <f t="shared" si="1583"/>
        <v>77.307343750000001</v>
      </c>
      <c r="BJ1177" s="1109">
        <f t="shared" si="1583"/>
        <v>77.307343750000001</v>
      </c>
    </row>
    <row r="1178" spans="2:62" hidden="1" outlineLevel="1">
      <c r="B1178" s="1094"/>
      <c r="C1178" s="1071" t="str">
        <f t="shared" ref="C1178:F1178" si="1584">C861</f>
        <v>Cork ATC Building Upgrade</v>
      </c>
      <c r="D1178" s="1071" t="str">
        <f t="shared" si="1584"/>
        <v>Cork ATC Building Upgrade</v>
      </c>
      <c r="E1178" s="1071" t="str">
        <f t="shared" si="1584"/>
        <v>U016</v>
      </c>
      <c r="F1178" s="1125" t="str">
        <f t="shared" si="1584"/>
        <v>2021-2024</v>
      </c>
      <c r="H1178" s="1071" t="s">
        <v>29</v>
      </c>
      <c r="AZ1178" s="1108"/>
      <c r="BA1178" s="1109"/>
      <c r="BB1178" s="1109"/>
      <c r="BC1178" s="1109"/>
      <c r="BD1178" s="1109"/>
      <c r="BE1178" s="1109"/>
      <c r="BF1178" s="1109">
        <f t="shared" ref="BF1178:BJ1178" si="1585">BF514*$AY211</f>
        <v>0</v>
      </c>
      <c r="BG1178" s="1109">
        <f t="shared" si="1585"/>
        <v>0</v>
      </c>
      <c r="BH1178" s="1109">
        <f t="shared" si="1585"/>
        <v>0</v>
      </c>
      <c r="BI1178" s="1109">
        <f t="shared" si="1585"/>
        <v>0</v>
      </c>
      <c r="BJ1178" s="1109">
        <f t="shared" si="1585"/>
        <v>87.1875</v>
      </c>
    </row>
    <row r="1179" spans="2:62" hidden="1" outlineLevel="1">
      <c r="B1179" s="1094"/>
      <c r="C1179" s="1071" t="str">
        <f t="shared" ref="C1179:F1179" si="1586">C862</f>
        <v>Energy Management Upgrades</v>
      </c>
      <c r="D1179" s="1071" t="str">
        <f t="shared" si="1586"/>
        <v>Energy Management Upgrades</v>
      </c>
      <c r="E1179" s="1071" t="str">
        <f t="shared" si="1586"/>
        <v>T007</v>
      </c>
      <c r="F1179" s="1125" t="str">
        <f t="shared" si="1586"/>
        <v>2021-2024</v>
      </c>
      <c r="H1179" s="1071" t="s">
        <v>29</v>
      </c>
      <c r="AZ1179" s="1108"/>
      <c r="BA1179" s="1109"/>
      <c r="BB1179" s="1109"/>
      <c r="BC1179" s="1109"/>
      <c r="BD1179" s="1109"/>
      <c r="BE1179" s="1109"/>
      <c r="BF1179" s="1109">
        <f t="shared" ref="BF1179:BJ1179" si="1587">BF515*$AY212</f>
        <v>0</v>
      </c>
      <c r="BG1179" s="1109">
        <f t="shared" si="1587"/>
        <v>0</v>
      </c>
      <c r="BH1179" s="1109">
        <f t="shared" si="1587"/>
        <v>0</v>
      </c>
      <c r="BI1179" s="1109">
        <f t="shared" si="1587"/>
        <v>0</v>
      </c>
      <c r="BJ1179" s="1109">
        <f t="shared" si="1587"/>
        <v>0</v>
      </c>
    </row>
    <row r="1180" spans="2:62" hidden="1" outlineLevel="1">
      <c r="B1180" s="1094"/>
      <c r="C1180" s="1071" t="str">
        <f t="shared" ref="C1180:F1180" si="1588">C863</f>
        <v>Energy Management Upgrades Dublin</v>
      </c>
      <c r="D1180" s="1071" t="str">
        <f t="shared" si="1588"/>
        <v>Energy Management Upgrades</v>
      </c>
      <c r="E1180" s="1071" t="str">
        <f t="shared" si="1588"/>
        <v>T007A</v>
      </c>
      <c r="F1180" s="1125" t="str">
        <f t="shared" si="1588"/>
        <v>2021-2024</v>
      </c>
      <c r="H1180" s="1071" t="s">
        <v>29</v>
      </c>
      <c r="AZ1180" s="1108"/>
      <c r="BA1180" s="1109"/>
      <c r="BB1180" s="1109"/>
      <c r="BC1180" s="1109"/>
      <c r="BD1180" s="1109"/>
      <c r="BE1180" s="1109"/>
      <c r="BF1180" s="1109">
        <f t="shared" ref="BF1180:BJ1180" si="1589">BF516*$AY213</f>
        <v>0</v>
      </c>
      <c r="BG1180" s="1109">
        <f t="shared" si="1589"/>
        <v>22.482833333333335</v>
      </c>
      <c r="BH1180" s="1109">
        <f t="shared" si="1589"/>
        <v>61.503166666666694</v>
      </c>
      <c r="BI1180" s="1109">
        <f t="shared" si="1589"/>
        <v>62.924000000000028</v>
      </c>
      <c r="BJ1180" s="1109">
        <f t="shared" si="1589"/>
        <v>62.924000000000028</v>
      </c>
    </row>
    <row r="1181" spans="2:62" hidden="1" outlineLevel="1">
      <c r="B1181" s="1094"/>
      <c r="C1181" s="1071" t="str">
        <f t="shared" ref="C1181:F1181" si="1590">C864</f>
        <v>Energy Management Upgrades Shannon</v>
      </c>
      <c r="D1181" s="1071" t="str">
        <f t="shared" si="1590"/>
        <v>Energy Management Upgrades</v>
      </c>
      <c r="E1181" s="1071" t="str">
        <f t="shared" si="1590"/>
        <v>T007A</v>
      </c>
      <c r="F1181" s="1125" t="str">
        <f t="shared" si="1590"/>
        <v>2021-2024</v>
      </c>
      <c r="H1181" s="1071" t="s">
        <v>29</v>
      </c>
      <c r="AZ1181" s="1108"/>
      <c r="BA1181" s="1109"/>
      <c r="BB1181" s="1109"/>
      <c r="BC1181" s="1109"/>
      <c r="BD1181" s="1109"/>
      <c r="BE1181" s="1109"/>
      <c r="BF1181" s="1109">
        <f t="shared" ref="BF1181:BJ1181" si="1591">BF517*$AY214</f>
        <v>0</v>
      </c>
      <c r="BG1181" s="1109">
        <f t="shared" si="1591"/>
        <v>14.3</v>
      </c>
      <c r="BH1181" s="1109">
        <f t="shared" si="1591"/>
        <v>31.1</v>
      </c>
      <c r="BI1181" s="1109">
        <f t="shared" si="1591"/>
        <v>31.1</v>
      </c>
      <c r="BJ1181" s="1109">
        <f t="shared" si="1591"/>
        <v>31.1</v>
      </c>
    </row>
    <row r="1182" spans="2:62" hidden="1" outlineLevel="1">
      <c r="B1182" s="1094"/>
      <c r="C1182" s="1071" t="str">
        <f t="shared" ref="C1182:F1182" si="1592">C865</f>
        <v>Energy Management Upgrades Cork</v>
      </c>
      <c r="D1182" s="1071" t="str">
        <f t="shared" si="1592"/>
        <v>Energy Management Upgrades</v>
      </c>
      <c r="E1182" s="1071" t="str">
        <f t="shared" si="1592"/>
        <v>T007A</v>
      </c>
      <c r="F1182" s="1125" t="str">
        <f t="shared" si="1592"/>
        <v>2021-2024</v>
      </c>
      <c r="H1182" s="1071" t="s">
        <v>29</v>
      </c>
      <c r="AZ1182" s="1108"/>
      <c r="BA1182" s="1109"/>
      <c r="BB1182" s="1109"/>
      <c r="BC1182" s="1109"/>
      <c r="BD1182" s="1109"/>
      <c r="BE1182" s="1109"/>
      <c r="BF1182" s="1109">
        <f t="shared" ref="BF1182:BJ1182" si="1593">BF518*$AY215</f>
        <v>0</v>
      </c>
      <c r="BG1182" s="1109">
        <f t="shared" si="1593"/>
        <v>1.7250000000000001</v>
      </c>
      <c r="BH1182" s="1109">
        <f t="shared" si="1593"/>
        <v>9</v>
      </c>
      <c r="BI1182" s="1109">
        <f t="shared" si="1593"/>
        <v>9</v>
      </c>
      <c r="BJ1182" s="1109">
        <f t="shared" si="1593"/>
        <v>9</v>
      </c>
    </row>
    <row r="1183" spans="2:62" hidden="1" outlineLevel="1">
      <c r="B1183" s="1094"/>
      <c r="C1183" s="1071" t="str">
        <f t="shared" ref="C1183:F1183" si="1594">C866</f>
        <v>National Security System Network</v>
      </c>
      <c r="D1183" s="1071" t="str">
        <f t="shared" si="1594"/>
        <v>National Security System Network</v>
      </c>
      <c r="E1183" s="1071" t="str">
        <f t="shared" si="1594"/>
        <v>U013</v>
      </c>
      <c r="F1183" s="1125" t="str">
        <f t="shared" si="1594"/>
        <v>2021-2024</v>
      </c>
      <c r="H1183" s="1071" t="s">
        <v>29</v>
      </c>
      <c r="AZ1183" s="1108"/>
      <c r="BA1183" s="1109"/>
      <c r="BB1183" s="1109"/>
      <c r="BC1183" s="1109"/>
      <c r="BD1183" s="1109"/>
      <c r="BE1183" s="1109"/>
      <c r="BF1183" s="1109">
        <f t="shared" ref="BF1183:BJ1183" si="1595">BF519*$AY216</f>
        <v>0</v>
      </c>
      <c r="BG1183" s="1109">
        <f t="shared" si="1595"/>
        <v>0</v>
      </c>
      <c r="BH1183" s="1109">
        <f t="shared" si="1595"/>
        <v>11.3525390625</v>
      </c>
      <c r="BI1183" s="1109">
        <f t="shared" si="1595"/>
        <v>41.6259765625</v>
      </c>
      <c r="BJ1183" s="1109">
        <f t="shared" si="1595"/>
        <v>60.546875</v>
      </c>
    </row>
    <row r="1184" spans="2:62" hidden="1" outlineLevel="1">
      <c r="B1184" s="1094"/>
      <c r="C1184" s="1071" t="str">
        <f t="shared" ref="C1184:F1184" si="1596">C867</f>
        <v>Replacement Airfield Cabling</v>
      </c>
      <c r="D1184" s="1071" t="str">
        <f t="shared" si="1596"/>
        <v>Replacement Airfield Cabling</v>
      </c>
      <c r="E1184" s="1071" t="str">
        <f t="shared" si="1596"/>
        <v>R006</v>
      </c>
      <c r="F1184" s="1125" t="str">
        <f t="shared" si="1596"/>
        <v>2021-2024</v>
      </c>
      <c r="H1184" s="1071" t="s">
        <v>29</v>
      </c>
      <c r="AZ1184" s="1108"/>
      <c r="BA1184" s="1109"/>
      <c r="BB1184" s="1109"/>
      <c r="BC1184" s="1109"/>
      <c r="BD1184" s="1109"/>
      <c r="BE1184" s="1109"/>
      <c r="BF1184" s="1109">
        <f t="shared" ref="BF1184:BJ1184" si="1597">BF520*$AY217</f>
        <v>0</v>
      </c>
      <c r="BG1184" s="1109">
        <f t="shared" si="1597"/>
        <v>0</v>
      </c>
      <c r="BH1184" s="1109">
        <f t="shared" si="1597"/>
        <v>0</v>
      </c>
      <c r="BI1184" s="1109">
        <f t="shared" si="1597"/>
        <v>0</v>
      </c>
      <c r="BJ1184" s="1109">
        <f t="shared" si="1597"/>
        <v>0</v>
      </c>
    </row>
    <row r="1185" spans="2:62" hidden="1" outlineLevel="1">
      <c r="B1185" s="1094"/>
      <c r="C1185" s="1071" t="str">
        <f t="shared" ref="C1185:F1185" si="1598">C868</f>
        <v>Replacement Airfield Cabling Dublin</v>
      </c>
      <c r="D1185" s="1071" t="str">
        <f t="shared" si="1598"/>
        <v>Replacement Airfield Cabling</v>
      </c>
      <c r="E1185" s="1071" t="str">
        <f t="shared" si="1598"/>
        <v>R006A</v>
      </c>
      <c r="F1185" s="1125" t="str">
        <f t="shared" si="1598"/>
        <v>2021-2024</v>
      </c>
      <c r="H1185" s="1071" t="s">
        <v>29</v>
      </c>
      <c r="AZ1185" s="1108"/>
      <c r="BA1185" s="1109"/>
      <c r="BB1185" s="1109"/>
      <c r="BC1185" s="1109"/>
      <c r="BD1185" s="1109"/>
      <c r="BE1185" s="1109"/>
      <c r="BF1185" s="1109">
        <f t="shared" ref="BF1185:BJ1185" si="1599">BF521*$AY218</f>
        <v>0</v>
      </c>
      <c r="BG1185" s="1109">
        <f t="shared" si="1599"/>
        <v>0</v>
      </c>
      <c r="BH1185" s="1109">
        <f t="shared" si="1599"/>
        <v>0</v>
      </c>
      <c r="BI1185" s="1109">
        <f t="shared" si="1599"/>
        <v>15.9375</v>
      </c>
      <c r="BJ1185" s="1109">
        <f t="shared" si="1599"/>
        <v>63.75</v>
      </c>
    </row>
    <row r="1186" spans="2:62" hidden="1" outlineLevel="1">
      <c r="B1186" s="1094"/>
      <c r="C1186" s="1071" t="str">
        <f t="shared" ref="C1186:F1186" si="1600">C869</f>
        <v>Replacement Airfield Cabling Shannon</v>
      </c>
      <c r="D1186" s="1071" t="str">
        <f t="shared" si="1600"/>
        <v>Replacement Airfield Cabling</v>
      </c>
      <c r="E1186" s="1071" t="str">
        <f t="shared" si="1600"/>
        <v>R006A</v>
      </c>
      <c r="F1186" s="1125" t="str">
        <f t="shared" si="1600"/>
        <v>2021-2024</v>
      </c>
      <c r="H1186" s="1071" t="s">
        <v>29</v>
      </c>
      <c r="AZ1186" s="1108"/>
      <c r="BA1186" s="1109"/>
      <c r="BB1186" s="1109"/>
      <c r="BC1186" s="1109"/>
      <c r="BD1186" s="1109"/>
      <c r="BE1186" s="1109"/>
      <c r="BF1186" s="1109">
        <f t="shared" ref="BF1186:BJ1186" si="1601">BF522*$AY219</f>
        <v>0</v>
      </c>
      <c r="BG1186" s="1109">
        <f t="shared" si="1601"/>
        <v>0</v>
      </c>
      <c r="BH1186" s="1109">
        <f t="shared" si="1601"/>
        <v>86.571475000000007</v>
      </c>
      <c r="BI1186" s="1109">
        <f t="shared" si="1601"/>
        <v>114.69647500000001</v>
      </c>
      <c r="BJ1186" s="1109">
        <f t="shared" si="1601"/>
        <v>114.69647500000001</v>
      </c>
    </row>
    <row r="1187" spans="2:62" hidden="1" outlineLevel="1">
      <c r="B1187" s="1094"/>
      <c r="C1187" s="1071" t="str">
        <f t="shared" ref="C1187:F1187" si="1602">C870</f>
        <v>Replacement Airfield Cabling Cork</v>
      </c>
      <c r="D1187" s="1071" t="str">
        <f t="shared" si="1602"/>
        <v>Replacement Airfield Cabling</v>
      </c>
      <c r="E1187" s="1071" t="str">
        <f t="shared" si="1602"/>
        <v>R006A</v>
      </c>
      <c r="F1187" s="1125" t="str">
        <f t="shared" si="1602"/>
        <v>2021-2024</v>
      </c>
      <c r="H1187" s="1071" t="s">
        <v>29</v>
      </c>
      <c r="AZ1187" s="1108"/>
      <c r="BA1187" s="1109"/>
      <c r="BB1187" s="1109"/>
      <c r="BC1187" s="1109"/>
      <c r="BD1187" s="1109"/>
      <c r="BE1187" s="1109"/>
      <c r="BF1187" s="1109">
        <f t="shared" ref="BF1187:BJ1187" si="1603">BF523*$AY220</f>
        <v>0</v>
      </c>
      <c r="BG1187" s="1109">
        <f t="shared" si="1603"/>
        <v>0</v>
      </c>
      <c r="BH1187" s="1109">
        <f t="shared" si="1603"/>
        <v>15.625</v>
      </c>
      <c r="BI1187" s="1109">
        <f t="shared" si="1603"/>
        <v>62.5</v>
      </c>
      <c r="BJ1187" s="1109">
        <f t="shared" si="1603"/>
        <v>62.5</v>
      </c>
    </row>
    <row r="1188" spans="2:62" hidden="1" outlineLevel="1">
      <c r="B1188" s="1094"/>
      <c r="C1188" s="1071" t="str">
        <f t="shared" ref="C1188:F1188" si="1604">C871</f>
        <v>VHF Replacement Programme</v>
      </c>
      <c r="D1188" s="1071" t="str">
        <f t="shared" si="1604"/>
        <v>VHF Replacement Programme</v>
      </c>
      <c r="E1188" s="1071" t="str">
        <f t="shared" si="1604"/>
        <v>Q006</v>
      </c>
      <c r="F1188" s="1125" t="str">
        <f t="shared" si="1604"/>
        <v>2021-2024</v>
      </c>
      <c r="H1188" s="1071" t="s">
        <v>29</v>
      </c>
      <c r="AZ1188" s="1108"/>
      <c r="BA1188" s="1109"/>
      <c r="BB1188" s="1109"/>
      <c r="BC1188" s="1109"/>
      <c r="BD1188" s="1109"/>
      <c r="BE1188" s="1109"/>
      <c r="BF1188" s="1109">
        <f t="shared" ref="BF1188:BJ1188" si="1605">BF524*$AY221</f>
        <v>0</v>
      </c>
      <c r="BG1188" s="1109">
        <f t="shared" si="1605"/>
        <v>0</v>
      </c>
      <c r="BH1188" s="1109">
        <f t="shared" si="1605"/>
        <v>0</v>
      </c>
      <c r="BI1188" s="1109">
        <f t="shared" si="1605"/>
        <v>0</v>
      </c>
      <c r="BJ1188" s="1109">
        <f t="shared" si="1605"/>
        <v>0</v>
      </c>
    </row>
    <row r="1189" spans="2:62" hidden="1" outlineLevel="1">
      <c r="B1189" s="1094"/>
      <c r="C1189" s="1071" t="str">
        <f t="shared" ref="C1189:F1189" si="1606">C872</f>
        <v>VHF Replacement Dublin</v>
      </c>
      <c r="D1189" s="1071" t="str">
        <f t="shared" si="1606"/>
        <v>VHF Replacement Programme</v>
      </c>
      <c r="E1189" s="1071" t="str">
        <f t="shared" si="1606"/>
        <v>Q006A</v>
      </c>
      <c r="F1189" s="1125" t="str">
        <f t="shared" si="1606"/>
        <v>2021-2024</v>
      </c>
      <c r="H1189" s="1071" t="s">
        <v>29</v>
      </c>
      <c r="AZ1189" s="1108"/>
      <c r="BA1189" s="1109"/>
      <c r="BB1189" s="1109"/>
      <c r="BC1189" s="1109"/>
      <c r="BD1189" s="1109"/>
      <c r="BE1189" s="1109"/>
      <c r="BF1189" s="1109">
        <f t="shared" ref="BF1189:BJ1189" si="1607">BF525*$AY222</f>
        <v>0</v>
      </c>
      <c r="BG1189" s="1109">
        <f t="shared" si="1607"/>
        <v>13.03580125</v>
      </c>
      <c r="BH1189" s="1109">
        <f t="shared" si="1607"/>
        <v>26.071602500000001</v>
      </c>
      <c r="BI1189" s="1109">
        <f t="shared" si="1607"/>
        <v>26.071602500000001</v>
      </c>
      <c r="BJ1189" s="1109">
        <f t="shared" si="1607"/>
        <v>26.071602500000001</v>
      </c>
    </row>
    <row r="1190" spans="2:62" hidden="1" outlineLevel="1">
      <c r="B1190" s="1094"/>
      <c r="C1190" s="1071" t="str">
        <f t="shared" ref="C1190:F1190" si="1608">C873</f>
        <v>VHF Replacement Shannon</v>
      </c>
      <c r="D1190" s="1071" t="str">
        <f t="shared" si="1608"/>
        <v>VHF Replacement Programme</v>
      </c>
      <c r="E1190" s="1071" t="str">
        <f t="shared" si="1608"/>
        <v>Q006A</v>
      </c>
      <c r="F1190" s="1125" t="str">
        <f t="shared" si="1608"/>
        <v>2021-2024</v>
      </c>
      <c r="H1190" s="1071" t="s">
        <v>29</v>
      </c>
      <c r="AZ1190" s="1108"/>
      <c r="BA1190" s="1109"/>
      <c r="BB1190" s="1109"/>
      <c r="BC1190" s="1109"/>
      <c r="BD1190" s="1109"/>
      <c r="BE1190" s="1109"/>
      <c r="BF1190" s="1109">
        <f t="shared" ref="BF1190:BJ1190" si="1609">BF526*$AY223</f>
        <v>0</v>
      </c>
      <c r="BG1190" s="1109">
        <f t="shared" si="1609"/>
        <v>0</v>
      </c>
      <c r="BH1190" s="1109">
        <f t="shared" si="1609"/>
        <v>0</v>
      </c>
      <c r="BI1190" s="1109">
        <f t="shared" si="1609"/>
        <v>8.28125</v>
      </c>
      <c r="BJ1190" s="1109">
        <f t="shared" si="1609"/>
        <v>16.5625</v>
      </c>
    </row>
    <row r="1191" spans="2:62" hidden="1" outlineLevel="1">
      <c r="B1191" s="1094"/>
      <c r="C1191" s="1071" t="str">
        <f t="shared" ref="C1191:F1191" si="1610">C874</f>
        <v>VHF Replacement Cork</v>
      </c>
      <c r="D1191" s="1071" t="str">
        <f t="shared" si="1610"/>
        <v>VHF Replacement Programme</v>
      </c>
      <c r="E1191" s="1071" t="str">
        <f t="shared" si="1610"/>
        <v>Q006A</v>
      </c>
      <c r="F1191" s="1125" t="str">
        <f t="shared" si="1610"/>
        <v>2021-2024</v>
      </c>
      <c r="H1191" s="1071" t="s">
        <v>29</v>
      </c>
      <c r="AZ1191" s="1108"/>
      <c r="BA1191" s="1109"/>
      <c r="BB1191" s="1109"/>
      <c r="BC1191" s="1109"/>
      <c r="BD1191" s="1109"/>
      <c r="BE1191" s="1109"/>
      <c r="BF1191" s="1109">
        <f t="shared" ref="BF1191:BJ1191" si="1611">BF527*$AY224</f>
        <v>0</v>
      </c>
      <c r="BG1191" s="1109">
        <f t="shared" si="1611"/>
        <v>0</v>
      </c>
      <c r="BH1191" s="1109">
        <f t="shared" si="1611"/>
        <v>37.5</v>
      </c>
      <c r="BI1191" s="1109">
        <f t="shared" si="1611"/>
        <v>37.5</v>
      </c>
      <c r="BJ1191" s="1109">
        <f t="shared" si="1611"/>
        <v>37.5</v>
      </c>
    </row>
    <row r="1192" spans="2:62" hidden="1" outlineLevel="1">
      <c r="B1192" s="1094"/>
      <c r="C1192" s="1071" t="str">
        <f t="shared" ref="C1192:F1192" si="1612">C875</f>
        <v>VHF Replacement Remote Sites</v>
      </c>
      <c r="D1192" s="1071" t="str">
        <f t="shared" si="1612"/>
        <v>VHF Replacement Programme</v>
      </c>
      <c r="E1192" s="1071" t="str">
        <f t="shared" si="1612"/>
        <v>Q006A</v>
      </c>
      <c r="F1192" s="1125" t="str">
        <f t="shared" si="1612"/>
        <v>2021-2024</v>
      </c>
      <c r="H1192" s="1071" t="s">
        <v>29</v>
      </c>
      <c r="AZ1192" s="1108"/>
      <c r="BA1192" s="1109"/>
      <c r="BB1192" s="1109"/>
      <c r="BC1192" s="1109"/>
      <c r="BD1192" s="1109"/>
      <c r="BE1192" s="1109"/>
      <c r="BF1192" s="1109">
        <f t="shared" ref="BF1192:BJ1192" si="1613">BF528*$AY225</f>
        <v>0</v>
      </c>
      <c r="BG1192" s="1109">
        <f t="shared" si="1613"/>
        <v>0</v>
      </c>
      <c r="BH1192" s="1109">
        <f t="shared" si="1613"/>
        <v>0</v>
      </c>
      <c r="BI1192" s="1109">
        <f t="shared" si="1613"/>
        <v>0</v>
      </c>
      <c r="BJ1192" s="1109">
        <f t="shared" si="1613"/>
        <v>0</v>
      </c>
    </row>
    <row r="1193" spans="2:62" hidden="1" outlineLevel="1">
      <c r="B1193" s="1094"/>
      <c r="C1193" s="1071" t="str">
        <f t="shared" ref="C1193:F1193" si="1614">C876</f>
        <v>Met Server  SHN</v>
      </c>
      <c r="D1193" s="1071" t="str">
        <f t="shared" si="1614"/>
        <v>Met Server</v>
      </c>
      <c r="E1193" s="1071" t="str">
        <f t="shared" si="1614"/>
        <v>R016A</v>
      </c>
      <c r="F1193" s="1125" t="str">
        <f t="shared" si="1614"/>
        <v>2021-2024</v>
      </c>
      <c r="H1193" s="1071" t="s">
        <v>29</v>
      </c>
      <c r="AZ1193" s="1108"/>
      <c r="BA1193" s="1109"/>
      <c r="BB1193" s="1109"/>
      <c r="BC1193" s="1109"/>
      <c r="BD1193" s="1109"/>
      <c r="BE1193" s="1109"/>
      <c r="BF1193" s="1109">
        <f t="shared" ref="BF1193:BJ1193" si="1615">BF529*$AY226</f>
        <v>0</v>
      </c>
      <c r="BG1193" s="1109">
        <f t="shared" si="1615"/>
        <v>0</v>
      </c>
      <c r="BH1193" s="1109">
        <f t="shared" si="1615"/>
        <v>6.9418078124999996</v>
      </c>
      <c r="BI1193" s="1109">
        <f t="shared" si="1615"/>
        <v>27.767231249999998</v>
      </c>
      <c r="BJ1193" s="1109">
        <f t="shared" si="1615"/>
        <v>27.767231249999998</v>
      </c>
    </row>
    <row r="1194" spans="2:62" hidden="1" outlineLevel="1">
      <c r="B1194" s="1094"/>
      <c r="C1194" s="1071" t="str">
        <f t="shared" ref="C1194:F1194" si="1616">C877</f>
        <v>Met Server  DUB</v>
      </c>
      <c r="D1194" s="1071" t="str">
        <f t="shared" si="1616"/>
        <v>Met Server</v>
      </c>
      <c r="E1194" s="1071" t="str">
        <f t="shared" si="1616"/>
        <v>R016A</v>
      </c>
      <c r="F1194" s="1125" t="str">
        <f t="shared" si="1616"/>
        <v>2021-2024</v>
      </c>
      <c r="H1194" s="1071" t="s">
        <v>29</v>
      </c>
      <c r="AZ1194" s="1108"/>
      <c r="BA1194" s="1109"/>
      <c r="BB1194" s="1109"/>
      <c r="BC1194" s="1109"/>
      <c r="BD1194" s="1109"/>
      <c r="BE1194" s="1109"/>
      <c r="BF1194" s="1109">
        <f t="shared" ref="BF1194:BJ1194" si="1617">BF530*$AY227</f>
        <v>0</v>
      </c>
      <c r="BG1194" s="1109">
        <f t="shared" si="1617"/>
        <v>6.9418078124999996</v>
      </c>
      <c r="BH1194" s="1109">
        <f t="shared" si="1617"/>
        <v>27.767231249999998</v>
      </c>
      <c r="BI1194" s="1109">
        <f t="shared" si="1617"/>
        <v>27.767231249999998</v>
      </c>
      <c r="BJ1194" s="1109">
        <f t="shared" si="1617"/>
        <v>27.767231249999998</v>
      </c>
    </row>
    <row r="1195" spans="2:62" hidden="1" outlineLevel="1">
      <c r="B1195" s="1094"/>
      <c r="C1195" s="1071" t="str">
        <f t="shared" ref="C1195:F1195" si="1618">C878</f>
        <v>Fire Safey Upgrade Works</v>
      </c>
      <c r="D1195" s="1071" t="str">
        <f t="shared" si="1618"/>
        <v>Fire Safey Upgrade Works</v>
      </c>
      <c r="E1195" s="1071" t="str">
        <f t="shared" si="1618"/>
        <v>T008</v>
      </c>
      <c r="F1195" s="1125" t="str">
        <f t="shared" si="1618"/>
        <v>2021-2024</v>
      </c>
      <c r="H1195" s="1071" t="s">
        <v>29</v>
      </c>
      <c r="AZ1195" s="1108"/>
      <c r="BA1195" s="1109"/>
      <c r="BB1195" s="1109"/>
      <c r="BC1195" s="1109"/>
      <c r="BD1195" s="1109"/>
      <c r="BE1195" s="1109"/>
      <c r="BF1195" s="1109">
        <f t="shared" ref="BF1195:BJ1195" si="1619">BF531*$AY228</f>
        <v>0</v>
      </c>
      <c r="BG1195" s="1109">
        <f t="shared" si="1619"/>
        <v>0</v>
      </c>
      <c r="BH1195" s="1109">
        <f t="shared" si="1619"/>
        <v>0</v>
      </c>
      <c r="BI1195" s="1109">
        <f t="shared" si="1619"/>
        <v>0</v>
      </c>
      <c r="BJ1195" s="1109">
        <f t="shared" si="1619"/>
        <v>0</v>
      </c>
    </row>
    <row r="1196" spans="2:62" hidden="1" outlineLevel="1">
      <c r="B1196" s="1094"/>
      <c r="C1196" s="1071" t="str">
        <f t="shared" ref="C1196:F1196" si="1620">C879</f>
        <v>Fire Safey Upgrade Works Dublin</v>
      </c>
      <c r="D1196" s="1071" t="str">
        <f t="shared" si="1620"/>
        <v>Fire Safey Upgrade Works</v>
      </c>
      <c r="E1196" s="1071" t="str">
        <f t="shared" si="1620"/>
        <v>T008A</v>
      </c>
      <c r="F1196" s="1125" t="str">
        <f t="shared" si="1620"/>
        <v>2021-2024</v>
      </c>
      <c r="H1196" s="1071" t="s">
        <v>29</v>
      </c>
      <c r="AZ1196" s="1108"/>
      <c r="BA1196" s="1109"/>
      <c r="BB1196" s="1109"/>
      <c r="BC1196" s="1109"/>
      <c r="BD1196" s="1109"/>
      <c r="BE1196" s="1109"/>
      <c r="BF1196" s="1109">
        <f t="shared" ref="BF1196:BJ1196" si="1621">BF532*$AY229</f>
        <v>0</v>
      </c>
      <c r="BG1196" s="1109">
        <f t="shared" si="1621"/>
        <v>13.914792887392936</v>
      </c>
      <c r="BH1196" s="1109">
        <f t="shared" si="1621"/>
        <v>54.414098849857254</v>
      </c>
      <c r="BI1196" s="1109">
        <f t="shared" si="1621"/>
        <v>56.25472384985725</v>
      </c>
      <c r="BJ1196" s="1109">
        <f t="shared" si="1621"/>
        <v>56.25472384985725</v>
      </c>
    </row>
    <row r="1197" spans="2:62" hidden="1" outlineLevel="1">
      <c r="B1197" s="1094"/>
      <c r="C1197" s="1071" t="str">
        <f t="shared" ref="C1197:F1197" si="1622">C880</f>
        <v>Fire Safey Upgrade Works Shannon</v>
      </c>
      <c r="D1197" s="1071" t="str">
        <f t="shared" si="1622"/>
        <v>Fire Safey Upgrade Works</v>
      </c>
      <c r="E1197" s="1071" t="str">
        <f t="shared" si="1622"/>
        <v>T008A</v>
      </c>
      <c r="F1197" s="1125" t="str">
        <f t="shared" si="1622"/>
        <v>2021-2024</v>
      </c>
      <c r="H1197" s="1071" t="s">
        <v>29</v>
      </c>
      <c r="AZ1197" s="1108"/>
      <c r="BA1197" s="1109"/>
      <c r="BB1197" s="1109"/>
      <c r="BC1197" s="1109"/>
      <c r="BD1197" s="1109"/>
      <c r="BE1197" s="1109"/>
      <c r="BF1197" s="1109">
        <f t="shared" ref="BF1197:BJ1197" si="1623">BF533*$AY230</f>
        <v>0</v>
      </c>
      <c r="BG1197" s="1109">
        <f t="shared" si="1623"/>
        <v>11.671692210945414</v>
      </c>
      <c r="BH1197" s="1109">
        <f t="shared" si="1623"/>
        <v>15.56225628126055</v>
      </c>
      <c r="BI1197" s="1109">
        <f t="shared" si="1623"/>
        <v>15.56225628126055</v>
      </c>
      <c r="BJ1197" s="1109">
        <f t="shared" si="1623"/>
        <v>15.56225628126055</v>
      </c>
    </row>
    <row r="1198" spans="2:62" hidden="1" outlineLevel="1">
      <c r="B1198" s="1094"/>
      <c r="C1198" s="1071" t="str">
        <f t="shared" ref="C1198:F1198" si="1624">C881</f>
        <v>Fire Safey Upgrade Works Cork</v>
      </c>
      <c r="D1198" s="1071" t="str">
        <f t="shared" si="1624"/>
        <v>Fire Safey Upgrade Works</v>
      </c>
      <c r="E1198" s="1071" t="str">
        <f t="shared" si="1624"/>
        <v>T008A</v>
      </c>
      <c r="F1198" s="1125" t="str">
        <f t="shared" si="1624"/>
        <v>2021-2024</v>
      </c>
      <c r="H1198" s="1071" t="s">
        <v>29</v>
      </c>
      <c r="AZ1198" s="1108"/>
      <c r="BA1198" s="1109"/>
      <c r="BB1198" s="1109"/>
      <c r="BC1198" s="1109"/>
      <c r="BD1198" s="1109"/>
      <c r="BE1198" s="1109"/>
      <c r="BF1198" s="1109">
        <f t="shared" ref="BF1198:BJ1198" si="1625">BF534*$AY231</f>
        <v>0</v>
      </c>
      <c r="BG1198" s="1109">
        <f t="shared" si="1625"/>
        <v>2.5384395430533098</v>
      </c>
      <c r="BH1198" s="1109">
        <f t="shared" si="1625"/>
        <v>12.45375817221324</v>
      </c>
      <c r="BI1198" s="1109">
        <f t="shared" si="1625"/>
        <v>12.45375817221324</v>
      </c>
      <c r="BJ1198" s="1109">
        <f t="shared" si="1625"/>
        <v>12.45375817221324</v>
      </c>
    </row>
    <row r="1199" spans="2:62" hidden="1" outlineLevel="1">
      <c r="B1199" s="1094"/>
      <c r="C1199" s="1071" t="str">
        <f t="shared" ref="C1199:F1199" si="1626">C882</f>
        <v>IT Other Projects</v>
      </c>
      <c r="D1199" s="1071" t="str">
        <f t="shared" si="1626"/>
        <v>IT Other Projects</v>
      </c>
      <c r="E1199" s="1071" t="str">
        <f t="shared" si="1626"/>
        <v>RP3-ICTS-1</v>
      </c>
      <c r="F1199" s="1125" t="str">
        <f t="shared" si="1626"/>
        <v>2021-2024</v>
      </c>
      <c r="H1199" s="1071" t="s">
        <v>29</v>
      </c>
      <c r="AZ1199" s="1108"/>
      <c r="BA1199" s="1109"/>
      <c r="BB1199" s="1109"/>
      <c r="BC1199" s="1109"/>
      <c r="BD1199" s="1109"/>
      <c r="BE1199" s="1109"/>
      <c r="BF1199" s="1109">
        <f t="shared" ref="BF1199:BJ1199" si="1627">BF535*$AY232</f>
        <v>0</v>
      </c>
      <c r="BG1199" s="1109">
        <f t="shared" si="1627"/>
        <v>0</v>
      </c>
      <c r="BH1199" s="1109">
        <f t="shared" si="1627"/>
        <v>1.7578125</v>
      </c>
      <c r="BI1199" s="1109">
        <f t="shared" si="1627"/>
        <v>12.890625</v>
      </c>
      <c r="BJ1199" s="1109">
        <f t="shared" si="1627"/>
        <v>24.84375</v>
      </c>
    </row>
    <row r="1200" spans="2:62" hidden="1" outlineLevel="1">
      <c r="B1200" s="1094"/>
      <c r="C1200" s="1071" t="str">
        <f t="shared" ref="C1200:F1200" si="1628">C883</f>
        <v>Barco Screen Replacement - BCY</v>
      </c>
      <c r="D1200" s="1071" t="str">
        <f t="shared" si="1628"/>
        <v>Barco Screen Replacement</v>
      </c>
      <c r="E1200" s="1071" t="str">
        <f t="shared" si="1628"/>
        <v>RP3-SURV-4</v>
      </c>
      <c r="F1200" s="1125" t="str">
        <f t="shared" si="1628"/>
        <v>2021-2024</v>
      </c>
      <c r="H1200" s="1071" t="s">
        <v>29</v>
      </c>
      <c r="AZ1200" s="1108"/>
      <c r="BA1200" s="1109"/>
      <c r="BB1200" s="1109"/>
      <c r="BC1200" s="1109"/>
      <c r="BD1200" s="1109"/>
      <c r="BE1200" s="1109"/>
      <c r="BF1200" s="1109">
        <f t="shared" ref="BF1200:BJ1200" si="1629">BF536*$AY233</f>
        <v>0</v>
      </c>
      <c r="BG1200" s="1109">
        <f t="shared" si="1629"/>
        <v>0</v>
      </c>
      <c r="BH1200" s="1109">
        <f t="shared" si="1629"/>
        <v>0</v>
      </c>
      <c r="BI1200" s="1109">
        <f t="shared" si="1629"/>
        <v>7.6171875</v>
      </c>
      <c r="BJ1200" s="1109">
        <f t="shared" si="1629"/>
        <v>30.46875</v>
      </c>
    </row>
    <row r="1201" spans="2:62" hidden="1" outlineLevel="1">
      <c r="B1201" s="1094"/>
      <c r="C1201" s="1071" t="str">
        <f t="shared" ref="C1201:F1201" si="1630">C884</f>
        <v>Barco Screen Replacement - DAP</v>
      </c>
      <c r="D1201" s="1071" t="str">
        <f t="shared" si="1630"/>
        <v>Barco Screen Replacement</v>
      </c>
      <c r="E1201" s="1071" t="str">
        <f t="shared" si="1630"/>
        <v>RP3-SURV-4</v>
      </c>
      <c r="F1201" s="1125" t="str">
        <f t="shared" si="1630"/>
        <v>2021-2024</v>
      </c>
      <c r="H1201" s="1071" t="s">
        <v>29</v>
      </c>
      <c r="AZ1201" s="1108"/>
      <c r="BA1201" s="1109"/>
      <c r="BB1201" s="1109"/>
      <c r="BC1201" s="1109"/>
      <c r="BD1201" s="1109"/>
      <c r="BE1201" s="1109"/>
      <c r="BF1201" s="1109">
        <f t="shared" ref="BF1201:BJ1201" si="1631">BF537*$AY234</f>
        <v>0</v>
      </c>
      <c r="BG1201" s="1109">
        <f t="shared" si="1631"/>
        <v>0</v>
      </c>
      <c r="BH1201" s="1109">
        <f t="shared" si="1631"/>
        <v>0</v>
      </c>
      <c r="BI1201" s="1109">
        <f t="shared" si="1631"/>
        <v>0</v>
      </c>
      <c r="BJ1201" s="1109">
        <f t="shared" si="1631"/>
        <v>4.1015625</v>
      </c>
    </row>
    <row r="1202" spans="2:62" hidden="1" outlineLevel="1">
      <c r="B1202" s="1094"/>
      <c r="C1202" s="1071" t="str">
        <f t="shared" ref="C1202:F1202" si="1632">C885</f>
        <v>Security Upgrades</v>
      </c>
      <c r="D1202" s="1071" t="str">
        <f t="shared" si="1632"/>
        <v>Security Upgrades</v>
      </c>
      <c r="E1202" s="1071" t="str">
        <f t="shared" si="1632"/>
        <v>RP3-PROP-2</v>
      </c>
      <c r="F1202" s="1125" t="str">
        <f t="shared" si="1632"/>
        <v>2021-2024</v>
      </c>
      <c r="H1202" s="1071" t="s">
        <v>29</v>
      </c>
      <c r="AZ1202" s="1108"/>
      <c r="BA1202" s="1109"/>
      <c r="BB1202" s="1109"/>
      <c r="BC1202" s="1109"/>
      <c r="BD1202" s="1109"/>
      <c r="BE1202" s="1109"/>
      <c r="BF1202" s="1109">
        <f t="shared" ref="BF1202:BJ1202" si="1633">BF538*$AY235</f>
        <v>0</v>
      </c>
      <c r="BG1202" s="1109">
        <f t="shared" si="1633"/>
        <v>0</v>
      </c>
      <c r="BH1202" s="1109">
        <f t="shared" si="1633"/>
        <v>0</v>
      </c>
      <c r="BI1202" s="1109">
        <f t="shared" si="1633"/>
        <v>0</v>
      </c>
      <c r="BJ1202" s="1109">
        <f t="shared" si="1633"/>
        <v>0</v>
      </c>
    </row>
    <row r="1203" spans="2:62" hidden="1" outlineLevel="1">
      <c r="B1203" s="1094"/>
      <c r="C1203" s="1071" t="str">
        <f t="shared" ref="C1203:F1203" si="1634">C886</f>
        <v>Security Upgrades Shannon En Route</v>
      </c>
      <c r="D1203" s="1071" t="str">
        <f t="shared" si="1634"/>
        <v>Security Upgrades</v>
      </c>
      <c r="E1203" s="1071" t="str">
        <f t="shared" si="1634"/>
        <v>RP3-PROP-2</v>
      </c>
      <c r="F1203" s="1125" t="str">
        <f t="shared" si="1634"/>
        <v>2021-2024</v>
      </c>
      <c r="H1203" s="1071" t="s">
        <v>29</v>
      </c>
      <c r="AZ1203" s="1108"/>
      <c r="BA1203" s="1109"/>
      <c r="BB1203" s="1109"/>
      <c r="BC1203" s="1109"/>
      <c r="BD1203" s="1109"/>
      <c r="BE1203" s="1109"/>
      <c r="BF1203" s="1109">
        <f t="shared" ref="BF1203:BJ1203" si="1635">BF539*$AY236</f>
        <v>0</v>
      </c>
      <c r="BG1203" s="1109">
        <f t="shared" si="1635"/>
        <v>0</v>
      </c>
      <c r="BH1203" s="1109">
        <f t="shared" si="1635"/>
        <v>0</v>
      </c>
      <c r="BI1203" s="1109">
        <f t="shared" si="1635"/>
        <v>0</v>
      </c>
      <c r="BJ1203" s="1109">
        <f t="shared" si="1635"/>
        <v>0</v>
      </c>
    </row>
    <row r="1204" spans="2:62" hidden="1" outlineLevel="1">
      <c r="B1204" s="1094"/>
      <c r="C1204" s="1071" t="str">
        <f t="shared" ref="C1204:F1204" si="1636">C887</f>
        <v>Security Upgrades Shannon Joint</v>
      </c>
      <c r="D1204" s="1071" t="str">
        <f t="shared" si="1636"/>
        <v>Security Upgrades</v>
      </c>
      <c r="E1204" s="1071" t="str">
        <f t="shared" si="1636"/>
        <v>RP3-PROP-2</v>
      </c>
      <c r="F1204" s="1125" t="str">
        <f t="shared" si="1636"/>
        <v>2021-2024</v>
      </c>
      <c r="H1204" s="1071" t="s">
        <v>29</v>
      </c>
      <c r="AZ1204" s="1108"/>
      <c r="BA1204" s="1109"/>
      <c r="BB1204" s="1109"/>
      <c r="BC1204" s="1109"/>
      <c r="BD1204" s="1109"/>
      <c r="BE1204" s="1109"/>
      <c r="BF1204" s="1109">
        <f t="shared" ref="BF1204:BJ1204" si="1637">BF540*$AY237</f>
        <v>0</v>
      </c>
      <c r="BG1204" s="1109">
        <f t="shared" si="1637"/>
        <v>2.5278049999999999</v>
      </c>
      <c r="BH1204" s="1109">
        <f t="shared" si="1637"/>
        <v>8.7999849999999995</v>
      </c>
      <c r="BI1204" s="1109">
        <f t="shared" si="1637"/>
        <v>13.15936</v>
      </c>
      <c r="BJ1204" s="1109">
        <f t="shared" si="1637"/>
        <v>25.75311</v>
      </c>
    </row>
    <row r="1205" spans="2:62" hidden="1" outlineLevel="1">
      <c r="B1205" s="1094"/>
      <c r="C1205" s="1071" t="str">
        <f t="shared" ref="C1205:F1205" si="1638">C888</f>
        <v>Security Upgrades Dublin Joint</v>
      </c>
      <c r="D1205" s="1071" t="str">
        <f t="shared" si="1638"/>
        <v>Security Upgrades</v>
      </c>
      <c r="E1205" s="1071" t="str">
        <f t="shared" si="1638"/>
        <v>RP3-PROP-2</v>
      </c>
      <c r="F1205" s="1125" t="str">
        <f t="shared" si="1638"/>
        <v>2021-2024</v>
      </c>
      <c r="H1205" s="1071" t="s">
        <v>29</v>
      </c>
      <c r="AZ1205" s="1108"/>
      <c r="BA1205" s="1109"/>
      <c r="BB1205" s="1109"/>
      <c r="BC1205" s="1109"/>
      <c r="BD1205" s="1109"/>
      <c r="BE1205" s="1109"/>
      <c r="BF1205" s="1109">
        <f t="shared" ref="BF1205:BJ1205" si="1639">BF541*$AY238</f>
        <v>0</v>
      </c>
      <c r="BG1205" s="1109">
        <f t="shared" si="1639"/>
        <v>1.7344072500000003</v>
      </c>
      <c r="BH1205" s="1109">
        <f t="shared" si="1639"/>
        <v>8.855754000000001</v>
      </c>
      <c r="BI1205" s="1109">
        <f t="shared" si="1639"/>
        <v>15.540129000000002</v>
      </c>
      <c r="BJ1205" s="1109">
        <f t="shared" si="1639"/>
        <v>20.771379000000003</v>
      </c>
    </row>
    <row r="1206" spans="2:62" hidden="1" outlineLevel="1">
      <c r="B1206" s="1094"/>
      <c r="C1206" s="1071" t="str">
        <f t="shared" ref="C1206:F1206" si="1640">C889</f>
        <v>Security Upgrades Dublin Terminal</v>
      </c>
      <c r="D1206" s="1071" t="str">
        <f t="shared" si="1640"/>
        <v>Security Upgrades</v>
      </c>
      <c r="E1206" s="1071" t="str">
        <f t="shared" si="1640"/>
        <v>RP3-PROP-2</v>
      </c>
      <c r="F1206" s="1125" t="str">
        <f t="shared" si="1640"/>
        <v>2021-2024</v>
      </c>
      <c r="H1206" s="1071" t="s">
        <v>29</v>
      </c>
      <c r="AZ1206" s="1108"/>
      <c r="BA1206" s="1109"/>
      <c r="BB1206" s="1109"/>
      <c r="BC1206" s="1109"/>
      <c r="BD1206" s="1109"/>
      <c r="BE1206" s="1109"/>
      <c r="BF1206" s="1109">
        <f t="shared" ref="BF1206:BJ1206" si="1641">BF542*$AY239</f>
        <v>0</v>
      </c>
      <c r="BG1206" s="1109">
        <f t="shared" si="1641"/>
        <v>1.75</v>
      </c>
      <c r="BH1206" s="1109">
        <f t="shared" si="1641"/>
        <v>10.6425</v>
      </c>
      <c r="BI1206" s="1109">
        <f t="shared" si="1641"/>
        <v>21.569999999999997</v>
      </c>
      <c r="BJ1206" s="1109">
        <f t="shared" si="1641"/>
        <v>21.569999999999997</v>
      </c>
    </row>
    <row r="1207" spans="2:62" hidden="1" outlineLevel="1">
      <c r="B1207" s="1094"/>
      <c r="C1207" s="1071" t="str">
        <f t="shared" ref="C1207:F1207" si="1642">C890</f>
        <v>Security Upgrades Cork Terminal</v>
      </c>
      <c r="D1207" s="1071" t="str">
        <f t="shared" si="1642"/>
        <v>Security Upgrades</v>
      </c>
      <c r="E1207" s="1071" t="str">
        <f t="shared" si="1642"/>
        <v>RP3-PROP-2</v>
      </c>
      <c r="F1207" s="1125" t="str">
        <f t="shared" si="1642"/>
        <v>2021-2024</v>
      </c>
      <c r="H1207" s="1071" t="s">
        <v>29</v>
      </c>
      <c r="AZ1207" s="1108"/>
      <c r="BA1207" s="1109"/>
      <c r="BB1207" s="1109"/>
      <c r="BC1207" s="1109"/>
      <c r="BD1207" s="1109"/>
      <c r="BE1207" s="1109"/>
      <c r="BF1207" s="1109">
        <f t="shared" ref="BF1207:BJ1207" si="1643">BF543*$AY240</f>
        <v>0</v>
      </c>
      <c r="BG1207" s="1109">
        <f t="shared" si="1643"/>
        <v>1.0074999999999998</v>
      </c>
      <c r="BH1207" s="1109">
        <f t="shared" si="1643"/>
        <v>5.9049999999999994</v>
      </c>
      <c r="BI1207" s="1109">
        <f t="shared" si="1643"/>
        <v>11.53</v>
      </c>
      <c r="BJ1207" s="1109">
        <f t="shared" si="1643"/>
        <v>11.53</v>
      </c>
    </row>
    <row r="1208" spans="2:62" hidden="1" outlineLevel="1">
      <c r="B1208" s="1094"/>
      <c r="C1208" s="1071" t="str">
        <f t="shared" ref="C1208:F1208" si="1644">C891</f>
        <v>Security Upgrades HQ Joint</v>
      </c>
      <c r="D1208" s="1071" t="str">
        <f t="shared" si="1644"/>
        <v>Security Upgrades</v>
      </c>
      <c r="E1208" s="1071" t="str">
        <f t="shared" si="1644"/>
        <v>RP3-PROP-2</v>
      </c>
      <c r="F1208" s="1125" t="str">
        <f t="shared" si="1644"/>
        <v>2021-2024</v>
      </c>
      <c r="H1208" s="1071" t="s">
        <v>29</v>
      </c>
      <c r="AZ1208" s="1108"/>
      <c r="BA1208" s="1109"/>
      <c r="BB1208" s="1109"/>
      <c r="BC1208" s="1109"/>
      <c r="BD1208" s="1109"/>
      <c r="BE1208" s="1109"/>
      <c r="BF1208" s="1109">
        <f t="shared" ref="BF1208:BJ1208" si="1645">BF544*$AY241</f>
        <v>0</v>
      </c>
      <c r="BG1208" s="1109">
        <f t="shared" si="1645"/>
        <v>0</v>
      </c>
      <c r="BH1208" s="1109">
        <f t="shared" si="1645"/>
        <v>0</v>
      </c>
      <c r="BI1208" s="1109">
        <f t="shared" si="1645"/>
        <v>2.3249999999999997</v>
      </c>
      <c r="BJ1208" s="1109">
        <f t="shared" si="1645"/>
        <v>2.3249999999999997</v>
      </c>
    </row>
    <row r="1209" spans="2:62" hidden="1" outlineLevel="1">
      <c r="B1209" s="1094"/>
      <c r="C1209" s="1071" t="str">
        <f t="shared" ref="C1209:F1209" si="1646">C892</f>
        <v>Rostering project</v>
      </c>
      <c r="D1209" s="1071" t="str">
        <f t="shared" si="1646"/>
        <v>Rostering project</v>
      </c>
      <c r="E1209" s="1071" t="str">
        <f t="shared" si="1646"/>
        <v>S027</v>
      </c>
      <c r="F1209" s="1125" t="str">
        <f t="shared" si="1646"/>
        <v>2021-2024</v>
      </c>
      <c r="H1209" s="1071" t="s">
        <v>29</v>
      </c>
      <c r="AZ1209" s="1108"/>
      <c r="BA1209" s="1109"/>
      <c r="BB1209" s="1109"/>
      <c r="BC1209" s="1109"/>
      <c r="BD1209" s="1109"/>
      <c r="BE1209" s="1109"/>
      <c r="BF1209" s="1109">
        <f t="shared" ref="BF1209:BJ1209" si="1647">BF545*$AY242</f>
        <v>0</v>
      </c>
      <c r="BG1209" s="1109">
        <f t="shared" si="1647"/>
        <v>0</v>
      </c>
      <c r="BH1209" s="1109">
        <f t="shared" si="1647"/>
        <v>20.3125</v>
      </c>
      <c r="BI1209" s="1109">
        <f t="shared" si="1647"/>
        <v>40.625</v>
      </c>
      <c r="BJ1209" s="1109">
        <f t="shared" si="1647"/>
        <v>40.625</v>
      </c>
    </row>
    <row r="1210" spans="2:62" hidden="1" outlineLevel="1">
      <c r="B1210" s="1094"/>
      <c r="C1210" s="1071" t="str">
        <f t="shared" ref="C1210:F1210" si="1648">C893</f>
        <v>New Tower Simulator Dublin IATS</v>
      </c>
      <c r="D1210" s="1071" t="str">
        <f t="shared" si="1648"/>
        <v>New Tower Simulator Dublin IATS</v>
      </c>
      <c r="E1210" s="1071" t="str">
        <f t="shared" si="1648"/>
        <v>R017</v>
      </c>
      <c r="F1210" s="1125" t="str">
        <f t="shared" si="1648"/>
        <v>2021-2024</v>
      </c>
      <c r="H1210" s="1071" t="s">
        <v>29</v>
      </c>
      <c r="AZ1210" s="1108"/>
      <c r="BA1210" s="1109"/>
      <c r="BB1210" s="1109"/>
      <c r="BC1210" s="1109"/>
      <c r="BD1210" s="1109"/>
      <c r="BE1210" s="1109"/>
      <c r="BF1210" s="1109">
        <f t="shared" ref="BF1210:BJ1210" si="1649">BF546*$AY243</f>
        <v>0</v>
      </c>
      <c r="BG1210" s="1109">
        <f t="shared" si="1649"/>
        <v>0</v>
      </c>
      <c r="BH1210" s="1109">
        <f t="shared" si="1649"/>
        <v>0</v>
      </c>
      <c r="BI1210" s="1109">
        <f t="shared" si="1649"/>
        <v>0</v>
      </c>
      <c r="BJ1210" s="1109">
        <f t="shared" si="1649"/>
        <v>31.25</v>
      </c>
    </row>
    <row r="1211" spans="2:62" hidden="1" outlineLevel="1">
      <c r="B1211" s="1094"/>
      <c r="C1211" s="1071" t="str">
        <f t="shared" ref="C1211:F1211" si="1650">C894</f>
        <v>EDISON Core Network &amp; Cyber Security</v>
      </c>
      <c r="D1211" s="1071" t="str">
        <f t="shared" si="1650"/>
        <v>EDISON Core Network &amp; Cyber Security</v>
      </c>
      <c r="E1211" s="1071" t="str">
        <f t="shared" si="1650"/>
        <v>S007</v>
      </c>
      <c r="F1211" s="1125" t="str">
        <f t="shared" si="1650"/>
        <v>2021-2024</v>
      </c>
      <c r="H1211" s="1071" t="s">
        <v>29</v>
      </c>
      <c r="AZ1211" s="1108"/>
      <c r="BA1211" s="1109"/>
      <c r="BB1211" s="1109"/>
      <c r="BC1211" s="1109"/>
      <c r="BD1211" s="1109"/>
      <c r="BE1211" s="1109"/>
      <c r="BF1211" s="1109">
        <f t="shared" ref="BF1211:BJ1211" si="1651">BF547*$AY244</f>
        <v>0</v>
      </c>
      <c r="BG1211" s="1109">
        <f t="shared" si="1651"/>
        <v>0</v>
      </c>
      <c r="BH1211" s="1109">
        <f t="shared" si="1651"/>
        <v>15.507470625000003</v>
      </c>
      <c r="BI1211" s="1109">
        <f t="shared" si="1651"/>
        <v>31.014941250000007</v>
      </c>
      <c r="BJ1211" s="1109">
        <f t="shared" si="1651"/>
        <v>31.014941250000007</v>
      </c>
    </row>
    <row r="1212" spans="2:62" hidden="1" outlineLevel="1">
      <c r="B1212" s="1094"/>
      <c r="C1212" s="1071" t="str">
        <f t="shared" ref="C1212:F1212" si="1652">C895</f>
        <v>Chiller and AHU Replacement Dublin</v>
      </c>
      <c r="D1212" s="1071" t="str">
        <f t="shared" si="1652"/>
        <v>Chiller and AHU Replacement Dublin</v>
      </c>
      <c r="E1212" s="1071" t="str">
        <f t="shared" si="1652"/>
        <v>T014</v>
      </c>
      <c r="F1212" s="1125" t="str">
        <f t="shared" si="1652"/>
        <v>2021-2024</v>
      </c>
      <c r="H1212" s="1071" t="s">
        <v>29</v>
      </c>
      <c r="AZ1212" s="1108"/>
      <c r="BA1212" s="1109"/>
      <c r="BB1212" s="1109"/>
      <c r="BC1212" s="1109"/>
      <c r="BD1212" s="1109"/>
      <c r="BE1212" s="1109"/>
      <c r="BF1212" s="1109">
        <f t="shared" ref="BF1212:BJ1212" si="1653">BF548*$AY245</f>
        <v>0</v>
      </c>
      <c r="BG1212" s="1109">
        <f t="shared" si="1653"/>
        <v>10.7038025</v>
      </c>
      <c r="BH1212" s="1109">
        <f t="shared" si="1653"/>
        <v>46.907604999999997</v>
      </c>
      <c r="BI1212" s="1109">
        <f t="shared" si="1653"/>
        <v>46.907604999999997</v>
      </c>
      <c r="BJ1212" s="1109">
        <f t="shared" si="1653"/>
        <v>46.907604999999997</v>
      </c>
    </row>
    <row r="1213" spans="2:62" hidden="1" outlineLevel="1">
      <c r="B1213" s="1094"/>
      <c r="C1213" s="1071" t="str">
        <f t="shared" ref="C1213:F1213" si="1654">C896</f>
        <v>U023 2.6 GHz Filters (SHN)</v>
      </c>
      <c r="D1213" s="1071" t="str">
        <f t="shared" si="1654"/>
        <v>U023 2.6 GHz Filters</v>
      </c>
      <c r="E1213" s="1071" t="str">
        <f t="shared" si="1654"/>
        <v>U023</v>
      </c>
      <c r="F1213" s="1125" t="str">
        <f t="shared" si="1654"/>
        <v>2021-2024</v>
      </c>
      <c r="H1213" s="1071" t="s">
        <v>29</v>
      </c>
      <c r="AZ1213" s="1108"/>
      <c r="BA1213" s="1109"/>
      <c r="BB1213" s="1109"/>
      <c r="BC1213" s="1109"/>
      <c r="BD1213" s="1109"/>
      <c r="BE1213" s="1109"/>
      <c r="BF1213" s="1109">
        <f t="shared" ref="BF1213:BJ1213" si="1655">BF549*$AY246</f>
        <v>0</v>
      </c>
      <c r="BG1213" s="1109">
        <f t="shared" si="1655"/>
        <v>2.34375</v>
      </c>
      <c r="BH1213" s="1109">
        <f t="shared" si="1655"/>
        <v>9.375</v>
      </c>
      <c r="BI1213" s="1109">
        <f t="shared" si="1655"/>
        <v>9.375</v>
      </c>
      <c r="BJ1213" s="1109">
        <f t="shared" si="1655"/>
        <v>9.375</v>
      </c>
    </row>
    <row r="1214" spans="2:62" hidden="1" outlineLevel="1">
      <c r="B1214" s="1094"/>
      <c r="C1214" s="1071" t="str">
        <f t="shared" ref="C1214:F1214" si="1656">C897</f>
        <v>U023 2.6 GHz Filters (CRK)</v>
      </c>
      <c r="D1214" s="1071" t="str">
        <f t="shared" si="1656"/>
        <v>U023 2.6 GHz Filters</v>
      </c>
      <c r="E1214" s="1071" t="str">
        <f t="shared" si="1656"/>
        <v>U023A</v>
      </c>
      <c r="F1214" s="1125" t="str">
        <f t="shared" si="1656"/>
        <v>2021-2024</v>
      </c>
      <c r="H1214" s="1071" t="s">
        <v>29</v>
      </c>
      <c r="AZ1214" s="1108"/>
      <c r="BA1214" s="1109"/>
      <c r="BB1214" s="1109"/>
      <c r="BC1214" s="1109"/>
      <c r="BD1214" s="1109"/>
      <c r="BE1214" s="1109"/>
      <c r="BF1214" s="1109">
        <f t="shared" ref="BF1214:BJ1214" si="1657">BF550*$AY247</f>
        <v>0</v>
      </c>
      <c r="BG1214" s="1109">
        <f t="shared" si="1657"/>
        <v>4.6875</v>
      </c>
      <c r="BH1214" s="1109">
        <f t="shared" si="1657"/>
        <v>18.75</v>
      </c>
      <c r="BI1214" s="1109">
        <f t="shared" si="1657"/>
        <v>18.75</v>
      </c>
      <c r="BJ1214" s="1109">
        <f t="shared" si="1657"/>
        <v>18.75</v>
      </c>
    </row>
    <row r="1215" spans="2:62" hidden="1" outlineLevel="1">
      <c r="B1215" s="1094"/>
      <c r="C1215" s="1071" t="str">
        <f t="shared" ref="C1215:F1215" si="1658">C898</f>
        <v>U023 2.6 GHz Filters (DUB)</v>
      </c>
      <c r="D1215" s="1071" t="str">
        <f t="shared" si="1658"/>
        <v>U023 2.6 GHz Filters</v>
      </c>
      <c r="E1215" s="1071" t="str">
        <f t="shared" si="1658"/>
        <v>U023A</v>
      </c>
      <c r="F1215" s="1125" t="str">
        <f t="shared" si="1658"/>
        <v>2021-2024</v>
      </c>
      <c r="H1215" s="1071" t="s">
        <v>29</v>
      </c>
      <c r="AZ1215" s="1108"/>
      <c r="BA1215" s="1109"/>
      <c r="BB1215" s="1109"/>
      <c r="BC1215" s="1109"/>
      <c r="BD1215" s="1109"/>
      <c r="BE1215" s="1109"/>
      <c r="BF1215" s="1109">
        <f t="shared" ref="BF1215:BJ1215" si="1659">BF551*$AY248</f>
        <v>0</v>
      </c>
      <c r="BG1215" s="1109">
        <f t="shared" si="1659"/>
        <v>0</v>
      </c>
      <c r="BH1215" s="1109">
        <f t="shared" si="1659"/>
        <v>9.375</v>
      </c>
      <c r="BI1215" s="1109">
        <f t="shared" si="1659"/>
        <v>9.375</v>
      </c>
      <c r="BJ1215" s="1109">
        <f t="shared" si="1659"/>
        <v>9.375</v>
      </c>
    </row>
    <row r="1216" spans="2:62" hidden="1" outlineLevel="1">
      <c r="B1216" s="1094"/>
      <c r="C1216" s="1071" t="str">
        <f t="shared" ref="C1216:F1216" si="1660">C899</f>
        <v>SIEM &amp; SOC Software</v>
      </c>
      <c r="D1216" s="1071" t="str">
        <f t="shared" si="1660"/>
        <v>SIEM &amp; SOC Software</v>
      </c>
      <c r="E1216" s="1071" t="str">
        <f t="shared" si="1660"/>
        <v>U019</v>
      </c>
      <c r="F1216" s="1125" t="str">
        <f t="shared" si="1660"/>
        <v>2021-2024</v>
      </c>
      <c r="H1216" s="1071" t="s">
        <v>29</v>
      </c>
      <c r="AZ1216" s="1108"/>
      <c r="BA1216" s="1109"/>
      <c r="BB1216" s="1109"/>
      <c r="BC1216" s="1109"/>
      <c r="BD1216" s="1109"/>
      <c r="BE1216" s="1109"/>
      <c r="BF1216" s="1109">
        <f t="shared" ref="BF1216:BJ1216" si="1661">BF552*$AY249</f>
        <v>0</v>
      </c>
      <c r="BG1216" s="1109">
        <f t="shared" si="1661"/>
        <v>0</v>
      </c>
      <c r="BH1216" s="1109">
        <f t="shared" si="1661"/>
        <v>15</v>
      </c>
      <c r="BI1216" s="1109">
        <f t="shared" si="1661"/>
        <v>20</v>
      </c>
      <c r="BJ1216" s="1109">
        <f t="shared" si="1661"/>
        <v>24.999999999999996</v>
      </c>
    </row>
    <row r="1217" spans="2:62" hidden="1" outlineLevel="1">
      <c r="B1217" s="1094"/>
      <c r="C1217" s="1071" t="str">
        <f t="shared" ref="C1217:F1217" si="1662">C900</f>
        <v>Aireon Infrastructure</v>
      </c>
      <c r="D1217" s="1071" t="str">
        <f t="shared" si="1662"/>
        <v>Aireon Infrastructure</v>
      </c>
      <c r="E1217" s="1071" t="str">
        <f t="shared" si="1662"/>
        <v>Q002</v>
      </c>
      <c r="F1217" s="1125" t="str">
        <f t="shared" si="1662"/>
        <v>2021-2024</v>
      </c>
      <c r="H1217" s="1071" t="s">
        <v>29</v>
      </c>
      <c r="AZ1217" s="1108"/>
      <c r="BA1217" s="1109"/>
      <c r="BB1217" s="1109"/>
      <c r="BC1217" s="1109"/>
      <c r="BD1217" s="1109"/>
      <c r="BE1217" s="1109"/>
      <c r="BF1217" s="1109">
        <f t="shared" ref="BF1217:BJ1217" si="1663">BF553*$AY250</f>
        <v>0</v>
      </c>
      <c r="BG1217" s="1109">
        <f t="shared" si="1663"/>
        <v>0</v>
      </c>
      <c r="BH1217" s="1109">
        <f t="shared" si="1663"/>
        <v>0</v>
      </c>
      <c r="BI1217" s="1109">
        <f t="shared" si="1663"/>
        <v>0</v>
      </c>
      <c r="BJ1217" s="1109">
        <f t="shared" si="1663"/>
        <v>0</v>
      </c>
    </row>
    <row r="1218" spans="2:62" hidden="1" outlineLevel="1">
      <c r="B1218" s="1094"/>
      <c r="C1218" s="1071" t="str">
        <f t="shared" ref="C1218:F1218" si="1664">C901</f>
        <v>Fire supression system</v>
      </c>
      <c r="D1218" s="1071" t="str">
        <f t="shared" si="1664"/>
        <v>Fire supression system</v>
      </c>
      <c r="E1218" s="1071" t="str">
        <f t="shared" si="1664"/>
        <v>U015</v>
      </c>
      <c r="F1218" s="1125" t="str">
        <f t="shared" si="1664"/>
        <v>2021-2024</v>
      </c>
      <c r="H1218" s="1071" t="s">
        <v>29</v>
      </c>
      <c r="AZ1218" s="1108"/>
      <c r="BA1218" s="1109"/>
      <c r="BB1218" s="1109"/>
      <c r="BC1218" s="1109"/>
      <c r="BD1218" s="1109"/>
      <c r="BE1218" s="1109"/>
      <c r="BF1218" s="1109">
        <f t="shared" ref="BF1218:BJ1218" si="1665">BF554*$AY251</f>
        <v>0</v>
      </c>
      <c r="BG1218" s="1109">
        <f t="shared" si="1665"/>
        <v>0</v>
      </c>
      <c r="BH1218" s="1109">
        <f t="shared" si="1665"/>
        <v>0</v>
      </c>
      <c r="BI1218" s="1109">
        <f t="shared" si="1665"/>
        <v>0</v>
      </c>
      <c r="BJ1218" s="1109">
        <f t="shared" si="1665"/>
        <v>0</v>
      </c>
    </row>
    <row r="1219" spans="2:62" hidden="1" outlineLevel="1">
      <c r="B1219" s="1094"/>
      <c r="C1219" s="1071" t="str">
        <f t="shared" ref="C1219:F1219" si="1666">C902</f>
        <v>Fire suppression system - Woodcock Hill</v>
      </c>
      <c r="D1219" s="1071" t="str">
        <f t="shared" si="1666"/>
        <v>Fire supression system</v>
      </c>
      <c r="E1219" s="1071" t="str">
        <f t="shared" si="1666"/>
        <v>U015A</v>
      </c>
      <c r="F1219" s="1125" t="str">
        <f t="shared" si="1666"/>
        <v>2021-2024</v>
      </c>
      <c r="H1219" s="1071" t="s">
        <v>29</v>
      </c>
      <c r="AZ1219" s="1108"/>
      <c r="BA1219" s="1109"/>
      <c r="BB1219" s="1109"/>
      <c r="BC1219" s="1109"/>
      <c r="BD1219" s="1109"/>
      <c r="BE1219" s="1109"/>
      <c r="BF1219" s="1109">
        <f t="shared" ref="BF1219:BJ1219" si="1667">BF555*$AY252</f>
        <v>0</v>
      </c>
      <c r="BG1219" s="1109">
        <f t="shared" si="1667"/>
        <v>0</v>
      </c>
      <c r="BH1219" s="1109">
        <f t="shared" si="1667"/>
        <v>0</v>
      </c>
      <c r="BI1219" s="1109">
        <f t="shared" si="1667"/>
        <v>0</v>
      </c>
      <c r="BJ1219" s="1109">
        <f t="shared" si="1667"/>
        <v>0</v>
      </c>
    </row>
    <row r="1220" spans="2:62" hidden="1" outlineLevel="1">
      <c r="B1220" s="1094"/>
      <c r="C1220" s="1071" t="str">
        <f t="shared" ref="C1220:F1220" si="1668">C903</f>
        <v>Fire suppression system - Mt Gabriel</v>
      </c>
      <c r="D1220" s="1071" t="str">
        <f t="shared" si="1668"/>
        <v>Fire supression system</v>
      </c>
      <c r="E1220" s="1071" t="str">
        <f t="shared" si="1668"/>
        <v>U015A</v>
      </c>
      <c r="F1220" s="1125" t="str">
        <f t="shared" si="1668"/>
        <v>2021-2024</v>
      </c>
      <c r="H1220" s="1071" t="s">
        <v>29</v>
      </c>
      <c r="AZ1220" s="1108"/>
      <c r="BA1220" s="1109"/>
      <c r="BB1220" s="1109"/>
      <c r="BC1220" s="1109"/>
      <c r="BD1220" s="1109"/>
      <c r="BE1220" s="1109"/>
      <c r="BF1220" s="1109">
        <f t="shared" ref="BF1220:BJ1220" si="1669">BF556*$AY253</f>
        <v>0</v>
      </c>
      <c r="BG1220" s="1109">
        <f t="shared" si="1669"/>
        <v>0</v>
      </c>
      <c r="BH1220" s="1109">
        <f t="shared" si="1669"/>
        <v>0</v>
      </c>
      <c r="BI1220" s="1109">
        <f t="shared" si="1669"/>
        <v>0</v>
      </c>
      <c r="BJ1220" s="1109">
        <f t="shared" si="1669"/>
        <v>0</v>
      </c>
    </row>
    <row r="1221" spans="2:62" hidden="1" outlineLevel="1">
      <c r="B1221" s="1094"/>
      <c r="C1221" s="1071" t="str">
        <f t="shared" ref="C1221:F1221" si="1670">C904</f>
        <v>Fire suppression system - Dooncarton</v>
      </c>
      <c r="D1221" s="1071" t="str">
        <f t="shared" si="1670"/>
        <v>Fire supression system</v>
      </c>
      <c r="E1221" s="1071" t="str">
        <f t="shared" si="1670"/>
        <v>U015A</v>
      </c>
      <c r="F1221" s="1125" t="str">
        <f t="shared" si="1670"/>
        <v>2021-2024</v>
      </c>
      <c r="H1221" s="1071" t="s">
        <v>29</v>
      </c>
      <c r="AZ1221" s="1108"/>
      <c r="BA1221" s="1109"/>
      <c r="BB1221" s="1109"/>
      <c r="BC1221" s="1109"/>
      <c r="BD1221" s="1109"/>
      <c r="BE1221" s="1109"/>
      <c r="BF1221" s="1109">
        <f t="shared" ref="BF1221:BJ1221" si="1671">BF557*$AY254</f>
        <v>0</v>
      </c>
      <c r="BG1221" s="1109">
        <f t="shared" si="1671"/>
        <v>0</v>
      </c>
      <c r="BH1221" s="1109">
        <f t="shared" si="1671"/>
        <v>0</v>
      </c>
      <c r="BI1221" s="1109">
        <f t="shared" si="1671"/>
        <v>0</v>
      </c>
      <c r="BJ1221" s="1109">
        <f t="shared" si="1671"/>
        <v>0</v>
      </c>
    </row>
    <row r="1222" spans="2:62" hidden="1" outlineLevel="1">
      <c r="B1222" s="1094"/>
      <c r="C1222" s="1071" t="str">
        <f t="shared" ref="C1222:F1222" si="1672">C905</f>
        <v>Fire suppression system - Malin Head</v>
      </c>
      <c r="D1222" s="1071" t="str">
        <f t="shared" si="1672"/>
        <v>Fire supression system</v>
      </c>
      <c r="E1222" s="1071" t="str">
        <f t="shared" si="1672"/>
        <v>U015A</v>
      </c>
      <c r="F1222" s="1125" t="str">
        <f t="shared" si="1672"/>
        <v>2021-2024</v>
      </c>
      <c r="H1222" s="1071" t="s">
        <v>29</v>
      </c>
      <c r="AZ1222" s="1108"/>
      <c r="BA1222" s="1109"/>
      <c r="BB1222" s="1109"/>
      <c r="BC1222" s="1109"/>
      <c r="BD1222" s="1109"/>
      <c r="BE1222" s="1109"/>
      <c r="BF1222" s="1109">
        <f t="shared" ref="BF1222:BJ1222" si="1673">BF558*$AY255</f>
        <v>0</v>
      </c>
      <c r="BG1222" s="1109">
        <f t="shared" si="1673"/>
        <v>0</v>
      </c>
      <c r="BH1222" s="1109">
        <f t="shared" si="1673"/>
        <v>0</v>
      </c>
      <c r="BI1222" s="1109">
        <f t="shared" si="1673"/>
        <v>0</v>
      </c>
      <c r="BJ1222" s="1109">
        <f t="shared" si="1673"/>
        <v>0</v>
      </c>
    </row>
    <row r="1223" spans="2:62" hidden="1" outlineLevel="1">
      <c r="B1223" s="1094"/>
      <c r="C1223" s="1071" t="str">
        <f t="shared" ref="C1223:F1223" si="1674">C906</f>
        <v>Fire suppression system - Shannon Radar</v>
      </c>
      <c r="D1223" s="1071" t="str">
        <f t="shared" si="1674"/>
        <v>Fire supression system</v>
      </c>
      <c r="E1223" s="1071" t="str">
        <f t="shared" si="1674"/>
        <v>U015A</v>
      </c>
      <c r="F1223" s="1125" t="str">
        <f t="shared" si="1674"/>
        <v>2021-2024</v>
      </c>
      <c r="H1223" s="1071" t="s">
        <v>29</v>
      </c>
      <c r="AZ1223" s="1108"/>
      <c r="BA1223" s="1109"/>
      <c r="BB1223" s="1109"/>
      <c r="BC1223" s="1109"/>
      <c r="BD1223" s="1109"/>
      <c r="BE1223" s="1109"/>
      <c r="BF1223" s="1109">
        <f t="shared" ref="BF1223:BJ1223" si="1675">BF559*$AY256</f>
        <v>0</v>
      </c>
      <c r="BG1223" s="1109">
        <f t="shared" si="1675"/>
        <v>1.9375</v>
      </c>
      <c r="BH1223" s="1109">
        <f t="shared" si="1675"/>
        <v>3.875</v>
      </c>
      <c r="BI1223" s="1109">
        <f t="shared" si="1675"/>
        <v>3.875</v>
      </c>
      <c r="BJ1223" s="1109">
        <f t="shared" si="1675"/>
        <v>3.875</v>
      </c>
    </row>
    <row r="1224" spans="2:62" hidden="1" outlineLevel="1">
      <c r="B1224" s="1094"/>
      <c r="C1224" s="1071" t="str">
        <f t="shared" ref="C1224:F1224" si="1676">C907</f>
        <v>Fire suppression system - Dublin Radar</v>
      </c>
      <c r="D1224" s="1071" t="str">
        <f t="shared" si="1676"/>
        <v>Fire supression system</v>
      </c>
      <c r="E1224" s="1071" t="str">
        <f t="shared" si="1676"/>
        <v>U015A</v>
      </c>
      <c r="F1224" s="1125" t="str">
        <f t="shared" si="1676"/>
        <v>2021-2024</v>
      </c>
      <c r="H1224" s="1071" t="s">
        <v>29</v>
      </c>
      <c r="AZ1224" s="1108"/>
      <c r="BA1224" s="1109"/>
      <c r="BB1224" s="1109"/>
      <c r="BC1224" s="1109"/>
      <c r="BD1224" s="1109"/>
      <c r="BE1224" s="1109"/>
      <c r="BF1224" s="1109">
        <f t="shared" ref="BF1224:BJ1224" si="1677">BF560*$AY257</f>
        <v>0</v>
      </c>
      <c r="BG1224" s="1109">
        <f t="shared" si="1677"/>
        <v>0</v>
      </c>
      <c r="BH1224" s="1109">
        <f t="shared" si="1677"/>
        <v>0</v>
      </c>
      <c r="BI1224" s="1109">
        <f t="shared" si="1677"/>
        <v>0.96875</v>
      </c>
      <c r="BJ1224" s="1109">
        <f t="shared" si="1677"/>
        <v>5.0625</v>
      </c>
    </row>
    <row r="1225" spans="2:62" hidden="1" outlineLevel="1">
      <c r="B1225" s="1094"/>
      <c r="C1225" s="1071" t="str">
        <f t="shared" ref="C1225:F1225" si="1678">C908</f>
        <v>Cyber Security / Management</v>
      </c>
      <c r="D1225" s="1071" t="str">
        <f t="shared" si="1678"/>
        <v>Cyber Security / Management</v>
      </c>
      <c r="E1225" s="1071" t="str">
        <f t="shared" si="1678"/>
        <v>T001</v>
      </c>
      <c r="F1225" s="1125" t="str">
        <f t="shared" si="1678"/>
        <v>2021-2024</v>
      </c>
      <c r="H1225" s="1071" t="s">
        <v>29</v>
      </c>
      <c r="AZ1225" s="1108"/>
      <c r="BA1225" s="1109"/>
      <c r="BB1225" s="1109"/>
      <c r="BC1225" s="1109"/>
      <c r="BD1225" s="1109"/>
      <c r="BE1225" s="1109"/>
      <c r="BF1225" s="1109">
        <f t="shared" ref="BF1225:BJ1225" si="1679">BF561*$AY258</f>
        <v>0</v>
      </c>
      <c r="BG1225" s="1109">
        <f t="shared" si="1679"/>
        <v>0</v>
      </c>
      <c r="BH1225" s="1109">
        <f t="shared" si="1679"/>
        <v>0</v>
      </c>
      <c r="BI1225" s="1109">
        <f t="shared" si="1679"/>
        <v>21.71828125</v>
      </c>
      <c r="BJ1225" s="1109">
        <f t="shared" si="1679"/>
        <v>21.71828125</v>
      </c>
    </row>
    <row r="1226" spans="2:62" hidden="1" outlineLevel="1">
      <c r="B1226" s="1094"/>
      <c r="C1226" s="1071" t="str">
        <f t="shared" ref="C1226:F1226" si="1680">C909</f>
        <v>ICT Infrastructure</v>
      </c>
      <c r="D1226" s="1071" t="str">
        <f t="shared" si="1680"/>
        <v>ICT Infrastructure</v>
      </c>
      <c r="E1226" s="1071" t="str">
        <f t="shared" si="1680"/>
        <v>U020</v>
      </c>
      <c r="F1226" s="1125" t="str">
        <f t="shared" si="1680"/>
        <v>2021-2024</v>
      </c>
      <c r="H1226" s="1071" t="s">
        <v>29</v>
      </c>
      <c r="AZ1226" s="1108"/>
      <c r="BA1226" s="1109"/>
      <c r="BB1226" s="1109"/>
      <c r="BC1226" s="1109"/>
      <c r="BD1226" s="1109"/>
      <c r="BE1226" s="1109"/>
      <c r="BF1226" s="1109">
        <f t="shared" ref="BF1226:BJ1226" si="1681">BF562*$AY259</f>
        <v>0</v>
      </c>
      <c r="BG1226" s="1109">
        <f t="shared" si="1681"/>
        <v>0</v>
      </c>
      <c r="BH1226" s="1109">
        <f t="shared" si="1681"/>
        <v>13.75</v>
      </c>
      <c r="BI1226" s="1109">
        <f t="shared" si="1681"/>
        <v>21.249999999999996</v>
      </c>
      <c r="BJ1226" s="1109">
        <f t="shared" si="1681"/>
        <v>28.749999999999996</v>
      </c>
    </row>
    <row r="1227" spans="2:62" hidden="1" outlineLevel="1">
      <c r="B1227" s="1094"/>
      <c r="C1227" s="1071" t="str">
        <f t="shared" ref="C1227:F1227" si="1682">C910</f>
        <v>Upgrades to cable ducting - remote sites</v>
      </c>
      <c r="D1227" s="1071" t="str">
        <f t="shared" si="1682"/>
        <v>Upgrades to cable ducting</v>
      </c>
      <c r="E1227" s="1071" t="str">
        <f t="shared" si="1682"/>
        <v>R007</v>
      </c>
      <c r="F1227" s="1125" t="str">
        <f t="shared" si="1682"/>
        <v>2021-2024</v>
      </c>
      <c r="H1227" s="1071" t="s">
        <v>29</v>
      </c>
      <c r="AZ1227" s="1108"/>
      <c r="BA1227" s="1109"/>
      <c r="BB1227" s="1109"/>
      <c r="BC1227" s="1109"/>
      <c r="BD1227" s="1109"/>
      <c r="BE1227" s="1109"/>
      <c r="BF1227" s="1109">
        <f t="shared" ref="BF1227:BJ1227" si="1683">BF563*$AY260</f>
        <v>0</v>
      </c>
      <c r="BG1227" s="1109">
        <f t="shared" si="1683"/>
        <v>0</v>
      </c>
      <c r="BH1227" s="1109">
        <f t="shared" si="1683"/>
        <v>0</v>
      </c>
      <c r="BI1227" s="1109">
        <f t="shared" si="1683"/>
        <v>0</v>
      </c>
      <c r="BJ1227" s="1109">
        <f t="shared" si="1683"/>
        <v>0</v>
      </c>
    </row>
    <row r="1228" spans="2:62" hidden="1" outlineLevel="1">
      <c r="B1228" s="1094"/>
      <c r="C1228" s="1071" t="str">
        <f t="shared" ref="C1228:F1228" si="1684">C911</f>
        <v>Upgrades to cable ducting Woodcock Hill</v>
      </c>
      <c r="D1228" s="1071" t="str">
        <f t="shared" si="1684"/>
        <v>Upgrades to cable ducting</v>
      </c>
      <c r="E1228" s="1071" t="str">
        <f t="shared" si="1684"/>
        <v>R007A</v>
      </c>
      <c r="F1228" s="1125" t="str">
        <f t="shared" si="1684"/>
        <v>2021-2024</v>
      </c>
      <c r="H1228" s="1071" t="s">
        <v>29</v>
      </c>
      <c r="AZ1228" s="1108"/>
      <c r="BA1228" s="1109"/>
      <c r="BB1228" s="1109"/>
      <c r="BC1228" s="1109"/>
      <c r="BD1228" s="1109"/>
      <c r="BE1228" s="1109"/>
      <c r="BF1228" s="1109">
        <f t="shared" ref="BF1228:BJ1228" si="1685">BF564*$AY261</f>
        <v>0</v>
      </c>
      <c r="BG1228" s="1109">
        <f t="shared" si="1685"/>
        <v>0</v>
      </c>
      <c r="BH1228" s="1109">
        <f t="shared" si="1685"/>
        <v>0</v>
      </c>
      <c r="BI1228" s="1109">
        <f t="shared" si="1685"/>
        <v>0</v>
      </c>
      <c r="BJ1228" s="1109">
        <f t="shared" si="1685"/>
        <v>0</v>
      </c>
    </row>
    <row r="1229" spans="2:62" hidden="1" outlineLevel="1">
      <c r="B1229" s="1094"/>
      <c r="C1229" s="1071" t="str">
        <f t="shared" ref="C1229:F1229" si="1686">C912</f>
        <v>Upgrades to cable ducting Other remote sites</v>
      </c>
      <c r="D1229" s="1071" t="str">
        <f t="shared" si="1686"/>
        <v>Upgrades to cable ducting</v>
      </c>
      <c r="E1229" s="1071" t="str">
        <f t="shared" si="1686"/>
        <v>R007A</v>
      </c>
      <c r="F1229" s="1125" t="str">
        <f t="shared" si="1686"/>
        <v>2021-2024</v>
      </c>
      <c r="H1229" s="1071" t="s">
        <v>29</v>
      </c>
      <c r="AZ1229" s="1108"/>
      <c r="BA1229" s="1109"/>
      <c r="BB1229" s="1109"/>
      <c r="BC1229" s="1109"/>
      <c r="BD1229" s="1109"/>
      <c r="BE1229" s="1109"/>
      <c r="BF1229" s="1109">
        <f t="shared" ref="BF1229:BJ1229" si="1687">BF565*$AY262</f>
        <v>0</v>
      </c>
      <c r="BG1229" s="1109">
        <f t="shared" si="1687"/>
        <v>0</v>
      </c>
      <c r="BH1229" s="1109">
        <f t="shared" si="1687"/>
        <v>0</v>
      </c>
      <c r="BI1229" s="1109">
        <f t="shared" si="1687"/>
        <v>0</v>
      </c>
      <c r="BJ1229" s="1109">
        <f t="shared" si="1687"/>
        <v>0</v>
      </c>
    </row>
    <row r="1230" spans="2:62" hidden="1" outlineLevel="1">
      <c r="B1230" s="1094"/>
      <c r="C1230" s="1071" t="str">
        <f t="shared" ref="C1230:F1230" si="1688">C913</f>
        <v>IAA Smart Messenger (AFTN/SMHS) &amp; ROFDS Contingency</v>
      </c>
      <c r="D1230" s="1071" t="str">
        <f t="shared" si="1688"/>
        <v>IAA Smart Messenger</v>
      </c>
      <c r="E1230" s="1071" t="str">
        <f t="shared" si="1688"/>
        <v>U005</v>
      </c>
      <c r="F1230" s="1125" t="str">
        <f t="shared" si="1688"/>
        <v>2021-2024</v>
      </c>
      <c r="H1230" s="1071" t="s">
        <v>29</v>
      </c>
      <c r="AZ1230" s="1108"/>
      <c r="BA1230" s="1109"/>
      <c r="BB1230" s="1109"/>
      <c r="BC1230" s="1109"/>
      <c r="BD1230" s="1109"/>
      <c r="BE1230" s="1109"/>
      <c r="BF1230" s="1109">
        <f t="shared" ref="BF1230:BJ1230" si="1689">BF566*$AY263</f>
        <v>0</v>
      </c>
      <c r="BG1230" s="1109">
        <f t="shared" si="1689"/>
        <v>0</v>
      </c>
      <c r="BH1230" s="1109">
        <f t="shared" si="1689"/>
        <v>0</v>
      </c>
      <c r="BI1230" s="1109">
        <f t="shared" si="1689"/>
        <v>0</v>
      </c>
      <c r="BJ1230" s="1109">
        <f t="shared" si="1689"/>
        <v>0</v>
      </c>
    </row>
    <row r="1231" spans="2:62" hidden="1" outlineLevel="1">
      <c r="B1231" s="1094"/>
      <c r="C1231" s="1071" t="str">
        <f t="shared" ref="C1231:F1231" si="1690">C914</f>
        <v>IAA Smart Messenger (AFTN/SMHS)</v>
      </c>
      <c r="D1231" s="1071" t="str">
        <f t="shared" si="1690"/>
        <v>IAA Smart Messenger</v>
      </c>
      <c r="E1231" s="1071" t="str">
        <f t="shared" si="1690"/>
        <v>U005A</v>
      </c>
      <c r="F1231" s="1125" t="str">
        <f t="shared" si="1690"/>
        <v>2021-2024</v>
      </c>
      <c r="H1231" s="1071" t="s">
        <v>29</v>
      </c>
      <c r="AZ1231" s="1108"/>
      <c r="BA1231" s="1109"/>
      <c r="BB1231" s="1109"/>
      <c r="BC1231" s="1109"/>
      <c r="BD1231" s="1109"/>
      <c r="BE1231" s="1109"/>
      <c r="BF1231" s="1109">
        <f t="shared" ref="BF1231:BJ1231" si="1691">BF567*$AY264</f>
        <v>0</v>
      </c>
      <c r="BG1231" s="1109">
        <f t="shared" si="1691"/>
        <v>0</v>
      </c>
      <c r="BH1231" s="1109">
        <f t="shared" si="1691"/>
        <v>0</v>
      </c>
      <c r="BI1231" s="1109">
        <f t="shared" si="1691"/>
        <v>15.625</v>
      </c>
      <c r="BJ1231" s="1109">
        <f t="shared" si="1691"/>
        <v>15.625</v>
      </c>
    </row>
    <row r="1232" spans="2:62" hidden="1" outlineLevel="1">
      <c r="B1232" s="1094"/>
      <c r="C1232" s="1071" t="str">
        <f t="shared" ref="C1232:F1232" si="1692">C915</f>
        <v>BMS Upgrade Dublin / Ballycasey</v>
      </c>
      <c r="D1232" s="1071" t="str">
        <f t="shared" si="1692"/>
        <v>BMS Upgrade</v>
      </c>
      <c r="E1232" s="1071" t="str">
        <f t="shared" si="1692"/>
        <v>T010</v>
      </c>
      <c r="F1232" s="1125" t="str">
        <f t="shared" si="1692"/>
        <v>2021-2024</v>
      </c>
      <c r="H1232" s="1071" t="s">
        <v>29</v>
      </c>
      <c r="AZ1232" s="1108"/>
      <c r="BA1232" s="1109"/>
      <c r="BB1232" s="1109"/>
      <c r="BC1232" s="1109"/>
      <c r="BD1232" s="1109"/>
      <c r="BE1232" s="1109"/>
      <c r="BF1232" s="1109">
        <f t="shared" ref="BF1232:BJ1232" si="1693">BF568*$AY265</f>
        <v>0</v>
      </c>
      <c r="BG1232" s="1109">
        <f t="shared" si="1693"/>
        <v>0</v>
      </c>
      <c r="BH1232" s="1109">
        <f t="shared" si="1693"/>
        <v>0</v>
      </c>
      <c r="BI1232" s="1109">
        <f t="shared" si="1693"/>
        <v>0</v>
      </c>
      <c r="BJ1232" s="1109">
        <f t="shared" si="1693"/>
        <v>0</v>
      </c>
    </row>
    <row r="1233" spans="2:62" hidden="1" outlineLevel="1">
      <c r="B1233" s="1094"/>
      <c r="C1233" s="1071" t="str">
        <f t="shared" ref="C1233:F1233" si="1694">C916</f>
        <v>BMS Upgrade Dublin</v>
      </c>
      <c r="D1233" s="1071" t="str">
        <f t="shared" si="1694"/>
        <v>BMS Upgrade</v>
      </c>
      <c r="E1233" s="1071" t="str">
        <f t="shared" si="1694"/>
        <v>T010A</v>
      </c>
      <c r="F1233" s="1125" t="str">
        <f t="shared" si="1694"/>
        <v>2021-2024</v>
      </c>
      <c r="H1233" s="1071" t="s">
        <v>29</v>
      </c>
      <c r="AZ1233" s="1108"/>
      <c r="BA1233" s="1109"/>
      <c r="BB1233" s="1109"/>
      <c r="BC1233" s="1109"/>
      <c r="BD1233" s="1109"/>
      <c r="BE1233" s="1109"/>
      <c r="BF1233" s="1109">
        <f t="shared" ref="BF1233:BJ1233" si="1695">BF569*$AY266</f>
        <v>0</v>
      </c>
      <c r="BG1233" s="1109">
        <f t="shared" si="1695"/>
        <v>0</v>
      </c>
      <c r="BH1233" s="1109">
        <f t="shared" si="1695"/>
        <v>1.953125</v>
      </c>
      <c r="BI1233" s="1109">
        <f t="shared" si="1695"/>
        <v>7.8125</v>
      </c>
      <c r="BJ1233" s="1109">
        <f t="shared" si="1695"/>
        <v>7.8125</v>
      </c>
    </row>
    <row r="1234" spans="2:62" hidden="1" outlineLevel="1">
      <c r="B1234" s="1094"/>
      <c r="C1234" s="1071" t="str">
        <f t="shared" ref="C1234:F1234" si="1696">C917</f>
        <v>BMS Upgrade Ballycasey</v>
      </c>
      <c r="D1234" s="1071" t="str">
        <f t="shared" si="1696"/>
        <v>BMS Upgrade</v>
      </c>
      <c r="E1234" s="1071" t="str">
        <f t="shared" si="1696"/>
        <v>T010A</v>
      </c>
      <c r="F1234" s="1125" t="str">
        <f t="shared" si="1696"/>
        <v>2021-2024</v>
      </c>
      <c r="H1234" s="1071" t="s">
        <v>29</v>
      </c>
      <c r="AZ1234" s="1108"/>
      <c r="BA1234" s="1109"/>
      <c r="BB1234" s="1109"/>
      <c r="BC1234" s="1109"/>
      <c r="BD1234" s="1109"/>
      <c r="BE1234" s="1109"/>
      <c r="BF1234" s="1109">
        <f t="shared" ref="BF1234:BJ1234" si="1697">BF570*$AY267</f>
        <v>0</v>
      </c>
      <c r="BG1234" s="1109">
        <f t="shared" si="1697"/>
        <v>0</v>
      </c>
      <c r="BH1234" s="1109">
        <f t="shared" si="1697"/>
        <v>0</v>
      </c>
      <c r="BI1234" s="1109">
        <f t="shared" si="1697"/>
        <v>0</v>
      </c>
      <c r="BJ1234" s="1109">
        <f t="shared" si="1697"/>
        <v>0</v>
      </c>
    </row>
    <row r="1235" spans="2:62" hidden="1" outlineLevel="1">
      <c r="B1235" s="1094"/>
      <c r="C1235" s="1071" t="str">
        <f t="shared" ref="C1235:F1235" si="1698">C918</f>
        <v>ARTAS Upgrade</v>
      </c>
      <c r="D1235" s="1071" t="str">
        <f t="shared" si="1698"/>
        <v>ARTAS Upgrade</v>
      </c>
      <c r="E1235" s="1071" t="str">
        <f t="shared" si="1698"/>
        <v>RP3-SURV-2</v>
      </c>
      <c r="F1235" s="1125" t="str">
        <f t="shared" si="1698"/>
        <v>2021-2024</v>
      </c>
      <c r="H1235" s="1071" t="s">
        <v>29</v>
      </c>
      <c r="AZ1235" s="1108"/>
      <c r="BA1235" s="1109"/>
      <c r="BB1235" s="1109"/>
      <c r="BC1235" s="1109"/>
      <c r="BD1235" s="1109"/>
      <c r="BE1235" s="1109"/>
      <c r="BF1235" s="1109">
        <f t="shared" ref="BF1235:BJ1235" si="1699">BF571*$AY268</f>
        <v>0</v>
      </c>
      <c r="BG1235" s="1109">
        <f t="shared" si="1699"/>
        <v>0</v>
      </c>
      <c r="BH1235" s="1109">
        <f t="shared" si="1699"/>
        <v>0</v>
      </c>
      <c r="BI1235" s="1109">
        <f t="shared" si="1699"/>
        <v>0</v>
      </c>
      <c r="BJ1235" s="1109">
        <f t="shared" si="1699"/>
        <v>0</v>
      </c>
    </row>
    <row r="1236" spans="2:62" hidden="1" outlineLevel="1">
      <c r="B1236" s="1094"/>
      <c r="C1236" s="1071" t="str">
        <f t="shared" ref="C1236:F1236" si="1700">C919</f>
        <v>Frequency Expnasion Programme (Knock, Kerry &amp; Dublin)</v>
      </c>
      <c r="D1236" s="1071" t="str">
        <f t="shared" si="1700"/>
        <v>Frequency Expnasion Programme</v>
      </c>
      <c r="E1236" s="1071" t="str">
        <f t="shared" si="1700"/>
        <v>R009</v>
      </c>
      <c r="F1236" s="1125" t="str">
        <f t="shared" si="1700"/>
        <v>2021-2024</v>
      </c>
      <c r="H1236" s="1071" t="s">
        <v>29</v>
      </c>
      <c r="AZ1236" s="1108"/>
      <c r="BA1236" s="1109"/>
      <c r="BB1236" s="1109"/>
      <c r="BC1236" s="1109"/>
      <c r="BD1236" s="1109"/>
      <c r="BE1236" s="1109"/>
      <c r="BF1236" s="1109">
        <f t="shared" ref="BF1236:BJ1236" si="1701">BF572*$AY269</f>
        <v>0</v>
      </c>
      <c r="BG1236" s="1109">
        <f t="shared" si="1701"/>
        <v>0</v>
      </c>
      <c r="BH1236" s="1109">
        <f t="shared" si="1701"/>
        <v>0</v>
      </c>
      <c r="BI1236" s="1109">
        <f t="shared" si="1701"/>
        <v>0</v>
      </c>
      <c r="BJ1236" s="1109">
        <f t="shared" si="1701"/>
        <v>0</v>
      </c>
    </row>
    <row r="1237" spans="2:62" hidden="1" outlineLevel="1">
      <c r="B1237" s="1094"/>
      <c r="C1237" s="1071" t="str">
        <f t="shared" ref="C1237:F1237" si="1702">C920</f>
        <v>Frequency Expnasion Programme  Dublin</v>
      </c>
      <c r="D1237" s="1071" t="str">
        <f t="shared" si="1702"/>
        <v>Frequency Expnasion Programme</v>
      </c>
      <c r="E1237" s="1071" t="str">
        <f t="shared" si="1702"/>
        <v>R009A</v>
      </c>
      <c r="F1237" s="1125" t="str">
        <f t="shared" si="1702"/>
        <v>2021-2024</v>
      </c>
      <c r="H1237" s="1071" t="s">
        <v>29</v>
      </c>
      <c r="AZ1237" s="1108"/>
      <c r="BA1237" s="1109"/>
      <c r="BB1237" s="1109"/>
      <c r="BC1237" s="1109"/>
      <c r="BD1237" s="1109"/>
      <c r="BE1237" s="1109"/>
      <c r="BF1237" s="1109">
        <f t="shared" ref="BF1237:BJ1237" si="1703">BF573*$AY270</f>
        <v>0</v>
      </c>
      <c r="BG1237" s="1109">
        <f t="shared" si="1703"/>
        <v>2.21875</v>
      </c>
      <c r="BH1237" s="1109">
        <f t="shared" si="1703"/>
        <v>4.4375</v>
      </c>
      <c r="BI1237" s="1109">
        <f t="shared" si="1703"/>
        <v>4.4375</v>
      </c>
      <c r="BJ1237" s="1109">
        <f t="shared" si="1703"/>
        <v>4.4375</v>
      </c>
    </row>
    <row r="1238" spans="2:62" hidden="1" outlineLevel="1">
      <c r="B1238" s="1094"/>
      <c r="C1238" s="1071" t="str">
        <f t="shared" ref="C1238:F1238" si="1704">C921</f>
        <v>Frequency Expnasion Programme Knock</v>
      </c>
      <c r="D1238" s="1071" t="str">
        <f t="shared" si="1704"/>
        <v>Frequency Expnasion Programme</v>
      </c>
      <c r="E1238" s="1071" t="str">
        <f t="shared" si="1704"/>
        <v>R009A</v>
      </c>
      <c r="F1238" s="1125" t="str">
        <f t="shared" si="1704"/>
        <v>2021-2024</v>
      </c>
      <c r="H1238" s="1071" t="s">
        <v>29</v>
      </c>
      <c r="AZ1238" s="1108"/>
      <c r="BA1238" s="1109"/>
      <c r="BB1238" s="1109"/>
      <c r="BC1238" s="1109"/>
      <c r="BD1238" s="1109"/>
      <c r="BE1238" s="1109"/>
      <c r="BF1238" s="1109">
        <f t="shared" ref="BF1238:BJ1238" si="1705">BF574*$AY271</f>
        <v>0</v>
      </c>
      <c r="BG1238" s="1109">
        <f t="shared" si="1705"/>
        <v>0</v>
      </c>
      <c r="BH1238" s="1109">
        <f t="shared" si="1705"/>
        <v>0</v>
      </c>
      <c r="BI1238" s="1109">
        <f t="shared" si="1705"/>
        <v>0</v>
      </c>
      <c r="BJ1238" s="1109">
        <f t="shared" si="1705"/>
        <v>0</v>
      </c>
    </row>
    <row r="1239" spans="2:62" hidden="1" outlineLevel="1">
      <c r="B1239" s="1094"/>
      <c r="C1239" s="1071" t="str">
        <f t="shared" ref="C1239:F1239" si="1706">C922</f>
        <v>Frequency Expnasion Programme Shannon (Woodcock Hill, Dooncarton, Glc)</v>
      </c>
      <c r="D1239" s="1071" t="str">
        <f t="shared" si="1706"/>
        <v>Frequency Expnasion Programme</v>
      </c>
      <c r="E1239" s="1071" t="str">
        <f t="shared" si="1706"/>
        <v>R009A</v>
      </c>
      <c r="F1239" s="1125" t="str">
        <f t="shared" si="1706"/>
        <v>2021-2024</v>
      </c>
      <c r="H1239" s="1071" t="s">
        <v>29</v>
      </c>
      <c r="AZ1239" s="1108"/>
      <c r="BA1239" s="1109"/>
      <c r="BB1239" s="1109"/>
      <c r="BC1239" s="1109"/>
      <c r="BD1239" s="1109"/>
      <c r="BE1239" s="1109"/>
      <c r="BF1239" s="1109">
        <f t="shared" ref="BF1239:BJ1239" si="1707">BF575*$AY272</f>
        <v>0</v>
      </c>
      <c r="BG1239" s="1109">
        <f t="shared" si="1707"/>
        <v>0</v>
      </c>
      <c r="BH1239" s="1109">
        <f t="shared" si="1707"/>
        <v>0</v>
      </c>
      <c r="BI1239" s="1109">
        <f t="shared" si="1707"/>
        <v>0</v>
      </c>
      <c r="BJ1239" s="1109">
        <f t="shared" si="1707"/>
        <v>0</v>
      </c>
    </row>
    <row r="1240" spans="2:62" hidden="1" outlineLevel="1">
      <c r="B1240" s="1094"/>
      <c r="C1240" s="1071" t="str">
        <f t="shared" ref="C1240:F1240" si="1708">C923</f>
        <v>UPS System Replacement SHN/DUB</v>
      </c>
      <c r="D1240" s="1071" t="str">
        <f t="shared" si="1708"/>
        <v>UPS System Replacement</v>
      </c>
      <c r="E1240" s="1071" t="str">
        <f t="shared" si="1708"/>
        <v>S012</v>
      </c>
      <c r="F1240" s="1125" t="str">
        <f t="shared" si="1708"/>
        <v>2021-2024</v>
      </c>
      <c r="H1240" s="1071" t="s">
        <v>29</v>
      </c>
      <c r="AZ1240" s="1108"/>
      <c r="BA1240" s="1109"/>
      <c r="BB1240" s="1109"/>
      <c r="BC1240" s="1109"/>
      <c r="BD1240" s="1109"/>
      <c r="BE1240" s="1109"/>
      <c r="BF1240" s="1109">
        <f t="shared" ref="BF1240:BJ1240" si="1709">BF576*$AY273</f>
        <v>0</v>
      </c>
      <c r="BG1240" s="1109">
        <f t="shared" si="1709"/>
        <v>0</v>
      </c>
      <c r="BH1240" s="1109">
        <f t="shared" si="1709"/>
        <v>0</v>
      </c>
      <c r="BI1240" s="1109">
        <f t="shared" si="1709"/>
        <v>0</v>
      </c>
      <c r="BJ1240" s="1109">
        <f t="shared" si="1709"/>
        <v>0</v>
      </c>
    </row>
    <row r="1241" spans="2:62" hidden="1" outlineLevel="1">
      <c r="B1241" s="1094"/>
      <c r="C1241" s="1071" t="str">
        <f t="shared" ref="C1241:F1241" si="1710">C924</f>
        <v>UPS System Replacement DUB</v>
      </c>
      <c r="D1241" s="1071" t="str">
        <f t="shared" si="1710"/>
        <v>UPS System Replacement</v>
      </c>
      <c r="E1241" s="1071" t="str">
        <f t="shared" si="1710"/>
        <v>S012A</v>
      </c>
      <c r="F1241" s="1125" t="str">
        <f t="shared" si="1710"/>
        <v>2021-2024</v>
      </c>
      <c r="H1241" s="1071" t="s">
        <v>29</v>
      </c>
      <c r="AZ1241" s="1108"/>
      <c r="BA1241" s="1109"/>
      <c r="BB1241" s="1109"/>
      <c r="BC1241" s="1109"/>
      <c r="BD1241" s="1109"/>
      <c r="BE1241" s="1109"/>
      <c r="BF1241" s="1109">
        <f t="shared" ref="BF1241:BJ1241" si="1711">BF577*$AY274</f>
        <v>0</v>
      </c>
      <c r="BG1241" s="1109">
        <f t="shared" si="1711"/>
        <v>3.3612693750000004</v>
      </c>
      <c r="BH1241" s="1109">
        <f t="shared" si="1711"/>
        <v>6.7225387500000009</v>
      </c>
      <c r="BI1241" s="1109">
        <f t="shared" si="1711"/>
        <v>6.7225387500000009</v>
      </c>
      <c r="BJ1241" s="1109">
        <f t="shared" si="1711"/>
        <v>6.7225387500000009</v>
      </c>
    </row>
    <row r="1242" spans="2:62" hidden="1" outlineLevel="1">
      <c r="B1242" s="1094"/>
      <c r="C1242" s="1071" t="str">
        <f t="shared" ref="C1242:F1242" si="1712">C925</f>
        <v>UPS System Replacement SHN</v>
      </c>
      <c r="D1242" s="1071" t="str">
        <f t="shared" si="1712"/>
        <v>UPS System Replacement</v>
      </c>
      <c r="E1242" s="1071" t="str">
        <f t="shared" si="1712"/>
        <v>S012A</v>
      </c>
      <c r="F1242" s="1125" t="str">
        <f t="shared" si="1712"/>
        <v>2021-2024</v>
      </c>
      <c r="H1242" s="1071" t="s">
        <v>29</v>
      </c>
      <c r="AZ1242" s="1108"/>
      <c r="BA1242" s="1109"/>
      <c r="BB1242" s="1109"/>
      <c r="BC1242" s="1109"/>
      <c r="BD1242" s="1109"/>
      <c r="BE1242" s="1109"/>
      <c r="BF1242" s="1109">
        <f t="shared" ref="BF1242:BJ1242" si="1713">BF578*$AY275</f>
        <v>0</v>
      </c>
      <c r="BG1242" s="1109">
        <f t="shared" si="1713"/>
        <v>3.125</v>
      </c>
      <c r="BH1242" s="1109">
        <f t="shared" si="1713"/>
        <v>6.25</v>
      </c>
      <c r="BI1242" s="1109">
        <f t="shared" si="1713"/>
        <v>6.25</v>
      </c>
      <c r="BJ1242" s="1109">
        <f t="shared" si="1713"/>
        <v>6.25</v>
      </c>
    </row>
    <row r="1243" spans="2:62" hidden="1" outlineLevel="1">
      <c r="B1243" s="1094"/>
      <c r="C1243" s="1071" t="str">
        <f t="shared" ref="C1243:F1243" si="1714">C926</f>
        <v>Remote Power Management</v>
      </c>
      <c r="D1243" s="1071" t="str">
        <f t="shared" si="1714"/>
        <v>Remote Power Management</v>
      </c>
      <c r="E1243" s="1071" t="str">
        <f t="shared" si="1714"/>
        <v>R012</v>
      </c>
      <c r="F1243" s="1125" t="str">
        <f t="shared" si="1714"/>
        <v>2021-2024</v>
      </c>
      <c r="H1243" s="1071" t="s">
        <v>29</v>
      </c>
      <c r="AZ1243" s="1108"/>
      <c r="BA1243" s="1109"/>
      <c r="BB1243" s="1109"/>
      <c r="BC1243" s="1109"/>
      <c r="BD1243" s="1109"/>
      <c r="BE1243" s="1109"/>
      <c r="BF1243" s="1109">
        <f t="shared" ref="BF1243:BJ1243" si="1715">BF579*$AY276</f>
        <v>0</v>
      </c>
      <c r="BG1243" s="1109">
        <f t="shared" si="1715"/>
        <v>0</v>
      </c>
      <c r="BH1243" s="1109">
        <f t="shared" si="1715"/>
        <v>0</v>
      </c>
      <c r="BI1243" s="1109">
        <f t="shared" si="1715"/>
        <v>3.2110195312500003</v>
      </c>
      <c r="BJ1243" s="1109">
        <f t="shared" si="1715"/>
        <v>12.844078125000001</v>
      </c>
    </row>
    <row r="1244" spans="2:62" hidden="1" outlineLevel="1">
      <c r="B1244" s="1094"/>
      <c r="C1244" s="1071" t="str">
        <f t="shared" ref="C1244:F1244" si="1716">C927</f>
        <v>A-SMGCS Enhancements</v>
      </c>
      <c r="D1244" s="1071" t="str">
        <f t="shared" si="1716"/>
        <v>A-SMGCS Enhancements</v>
      </c>
      <c r="E1244" s="1071" t="str">
        <f t="shared" si="1716"/>
        <v>R015</v>
      </c>
      <c r="F1244" s="1125" t="str">
        <f t="shared" si="1716"/>
        <v>2021-2024</v>
      </c>
      <c r="H1244" s="1071" t="s">
        <v>29</v>
      </c>
      <c r="AZ1244" s="1108"/>
      <c r="BA1244" s="1109"/>
      <c r="BB1244" s="1109"/>
      <c r="BC1244" s="1109"/>
      <c r="BD1244" s="1109"/>
      <c r="BE1244" s="1109"/>
      <c r="BF1244" s="1109">
        <f t="shared" ref="BF1244:BJ1244" si="1717">BF580*$AY277</f>
        <v>0</v>
      </c>
      <c r="BG1244" s="1109">
        <f t="shared" si="1717"/>
        <v>8.0211765624999991</v>
      </c>
      <c r="BH1244" s="1109">
        <f t="shared" si="1717"/>
        <v>32.084706249999996</v>
      </c>
      <c r="BI1244" s="1109">
        <f t="shared" si="1717"/>
        <v>50.834706250000011</v>
      </c>
      <c r="BJ1244" s="1109">
        <f t="shared" si="1717"/>
        <v>50.834706249999989</v>
      </c>
    </row>
    <row r="1245" spans="2:62" hidden="1" outlineLevel="1">
      <c r="B1245" s="1094"/>
      <c r="C1245" s="1071" t="str">
        <f t="shared" ref="C1245:F1245" si="1718">C928</f>
        <v>LAN &amp; WAN Cybersecurity</v>
      </c>
      <c r="D1245" s="1071" t="str">
        <f t="shared" si="1718"/>
        <v>LAN &amp; WAN Cybersecurity</v>
      </c>
      <c r="E1245" s="1071" t="str">
        <f t="shared" si="1718"/>
        <v>V006</v>
      </c>
      <c r="F1245" s="1125" t="str">
        <f t="shared" si="1718"/>
        <v>2021-2024</v>
      </c>
      <c r="H1245" s="1071" t="s">
        <v>29</v>
      </c>
      <c r="AZ1245" s="1108"/>
      <c r="BA1245" s="1109"/>
      <c r="BB1245" s="1109"/>
      <c r="BC1245" s="1109"/>
      <c r="BD1245" s="1109"/>
      <c r="BE1245" s="1109"/>
      <c r="BF1245" s="1109">
        <f t="shared" ref="BF1245:BJ1245" si="1719">BF581*$AY278</f>
        <v>0</v>
      </c>
      <c r="BG1245" s="1109">
        <f t="shared" si="1719"/>
        <v>0</v>
      </c>
      <c r="BH1245" s="1109">
        <f t="shared" si="1719"/>
        <v>0</v>
      </c>
      <c r="BI1245" s="1109">
        <f t="shared" si="1719"/>
        <v>0</v>
      </c>
      <c r="BJ1245" s="1109">
        <f t="shared" si="1719"/>
        <v>0</v>
      </c>
    </row>
    <row r="1246" spans="2:62" hidden="1" outlineLevel="1">
      <c r="B1246" s="1094"/>
      <c r="C1246" s="1071" t="str">
        <f t="shared" ref="C1246:F1246" si="1720">C929</f>
        <v>LAN &amp; WAN Cybersecurity HQ</v>
      </c>
      <c r="D1246" s="1071" t="str">
        <f t="shared" si="1720"/>
        <v>LAN &amp; WAN Cybersecurity</v>
      </c>
      <c r="E1246" s="1071" t="str">
        <f t="shared" si="1720"/>
        <v>V006A</v>
      </c>
      <c r="F1246" s="1125" t="str">
        <f t="shared" si="1720"/>
        <v>2021-2024</v>
      </c>
      <c r="H1246" s="1071" t="s">
        <v>29</v>
      </c>
      <c r="AZ1246" s="1108"/>
      <c r="BA1246" s="1109"/>
      <c r="BB1246" s="1109"/>
      <c r="BC1246" s="1109"/>
      <c r="BD1246" s="1109"/>
      <c r="BE1246" s="1109"/>
      <c r="BF1246" s="1109">
        <f t="shared" ref="BF1246:BJ1246" si="1721">BF582*$AY279</f>
        <v>0</v>
      </c>
      <c r="BG1246" s="1109">
        <f t="shared" si="1721"/>
        <v>0</v>
      </c>
      <c r="BH1246" s="1109">
        <f t="shared" si="1721"/>
        <v>5.6874999999999991</v>
      </c>
      <c r="BI1246" s="1109">
        <f t="shared" si="1721"/>
        <v>11.374999999999998</v>
      </c>
      <c r="BJ1246" s="1109">
        <f t="shared" si="1721"/>
        <v>11.374999999999998</v>
      </c>
    </row>
    <row r="1247" spans="2:62" hidden="1" outlineLevel="1">
      <c r="B1247" s="1094"/>
      <c r="C1247" s="1071" t="str">
        <f t="shared" ref="C1247:F1247" si="1722">C930</f>
        <v>LAN &amp; WAN Cybersecurity SHN</v>
      </c>
      <c r="D1247" s="1071" t="str">
        <f t="shared" si="1722"/>
        <v>LAN &amp; WAN Cybersecurity</v>
      </c>
      <c r="E1247" s="1071" t="str">
        <f t="shared" si="1722"/>
        <v>V006A</v>
      </c>
      <c r="F1247" s="1125" t="str">
        <f t="shared" si="1722"/>
        <v>2021-2024</v>
      </c>
      <c r="H1247" s="1071" t="s">
        <v>29</v>
      </c>
      <c r="AZ1247" s="1108"/>
      <c r="BA1247" s="1109"/>
      <c r="BB1247" s="1109"/>
      <c r="BC1247" s="1109"/>
      <c r="BD1247" s="1109"/>
      <c r="BE1247" s="1109"/>
      <c r="BF1247" s="1109">
        <f t="shared" ref="BF1247:BJ1247" si="1723">BF583*$AY280</f>
        <v>0</v>
      </c>
      <c r="BG1247" s="1109">
        <f t="shared" si="1723"/>
        <v>0</v>
      </c>
      <c r="BH1247" s="1109">
        <f t="shared" si="1723"/>
        <v>5.104166666666667</v>
      </c>
      <c r="BI1247" s="1109">
        <f t="shared" si="1723"/>
        <v>10.208333333333334</v>
      </c>
      <c r="BJ1247" s="1109">
        <f t="shared" si="1723"/>
        <v>10.208333333333334</v>
      </c>
    </row>
    <row r="1248" spans="2:62" hidden="1" outlineLevel="1">
      <c r="B1248" s="1094"/>
      <c r="C1248" s="1071" t="str">
        <f t="shared" ref="C1248:F1248" si="1724">C931</f>
        <v>Hardware &amp; Software Provision</v>
      </c>
      <c r="D1248" s="1071" t="str">
        <f t="shared" si="1724"/>
        <v>Hardware &amp; Software Provision</v>
      </c>
      <c r="E1248" s="1071" t="str">
        <f t="shared" si="1724"/>
        <v>T018</v>
      </c>
      <c r="F1248" s="1125" t="str">
        <f t="shared" si="1724"/>
        <v>2021-2024</v>
      </c>
      <c r="H1248" s="1071" t="s">
        <v>29</v>
      </c>
      <c r="AZ1248" s="1108"/>
      <c r="BA1248" s="1109"/>
      <c r="BB1248" s="1109"/>
      <c r="BC1248" s="1109"/>
      <c r="BD1248" s="1109"/>
      <c r="BE1248" s="1109"/>
      <c r="BF1248" s="1109">
        <f t="shared" ref="BF1248:BJ1248" si="1725">BF584*$AY281</f>
        <v>0</v>
      </c>
      <c r="BG1248" s="1109">
        <f t="shared" si="1725"/>
        <v>0</v>
      </c>
      <c r="BH1248" s="1109">
        <f t="shared" si="1725"/>
        <v>0</v>
      </c>
      <c r="BI1248" s="1109">
        <f t="shared" si="1725"/>
        <v>0</v>
      </c>
      <c r="BJ1248" s="1109">
        <f t="shared" si="1725"/>
        <v>0</v>
      </c>
    </row>
    <row r="1249" spans="2:62" hidden="1" outlineLevel="1">
      <c r="B1249" s="1094"/>
      <c r="C1249" s="1071" t="str">
        <f t="shared" ref="C1249:F1249" si="1726">C932</f>
        <v>HW/SW Provision HQ - OTHER</v>
      </c>
      <c r="D1249" s="1071" t="str">
        <f t="shared" si="1726"/>
        <v>Hardware &amp; Software Provision</v>
      </c>
      <c r="E1249" s="1071" t="str">
        <f t="shared" si="1726"/>
        <v>T018A</v>
      </c>
      <c r="F1249" s="1125" t="str">
        <f t="shared" si="1726"/>
        <v>2021-2024</v>
      </c>
      <c r="H1249" s="1071" t="s">
        <v>29</v>
      </c>
      <c r="AZ1249" s="1108"/>
      <c r="BA1249" s="1109"/>
      <c r="BB1249" s="1109"/>
      <c r="BC1249" s="1109"/>
      <c r="BD1249" s="1109"/>
      <c r="BE1249" s="1109"/>
      <c r="BF1249" s="1109">
        <f t="shared" ref="BF1249:BJ1249" si="1727">BF585*$AY282</f>
        <v>0</v>
      </c>
      <c r="BG1249" s="1109">
        <f t="shared" si="1727"/>
        <v>0.27341470968749992</v>
      </c>
      <c r="BH1249" s="1109">
        <f t="shared" si="1727"/>
        <v>0.3645529462499999</v>
      </c>
      <c r="BI1249" s="1109">
        <f t="shared" si="1727"/>
        <v>0.3645529462499999</v>
      </c>
      <c r="BJ1249" s="1109">
        <f t="shared" si="1727"/>
        <v>9.1138236562499975E-2</v>
      </c>
    </row>
    <row r="1250" spans="2:62" hidden="1" outlineLevel="1">
      <c r="B1250" s="1094"/>
      <c r="C1250" s="1071" t="str">
        <f t="shared" ref="C1250:F1250" si="1728">C933</f>
        <v>HW/SW Provision DUB</v>
      </c>
      <c r="D1250" s="1071" t="str">
        <f t="shared" si="1728"/>
        <v>Hardware &amp; Software Provision</v>
      </c>
      <c r="E1250" s="1071" t="str">
        <f t="shared" si="1728"/>
        <v>T018A</v>
      </c>
      <c r="F1250" s="1125" t="str">
        <f t="shared" si="1728"/>
        <v>2021-2024</v>
      </c>
      <c r="H1250" s="1071" t="s">
        <v>29</v>
      </c>
      <c r="AZ1250" s="1108"/>
      <c r="BA1250" s="1109"/>
      <c r="BB1250" s="1109"/>
      <c r="BC1250" s="1109"/>
      <c r="BD1250" s="1109"/>
      <c r="BE1250" s="1109"/>
      <c r="BF1250" s="1109">
        <f t="shared" ref="BF1250:BJ1250" si="1729">BF586*$AY283</f>
        <v>0</v>
      </c>
      <c r="BG1250" s="1109">
        <f t="shared" si="1729"/>
        <v>0.45569118281249987</v>
      </c>
      <c r="BH1250" s="1109">
        <f t="shared" si="1729"/>
        <v>0.60758824374999987</v>
      </c>
      <c r="BI1250" s="1109">
        <f t="shared" si="1729"/>
        <v>0.60758824374999987</v>
      </c>
      <c r="BJ1250" s="1109">
        <f t="shared" si="1729"/>
        <v>0.15189706093749997</v>
      </c>
    </row>
    <row r="1251" spans="2:62" hidden="1" outlineLevel="1">
      <c r="B1251" s="1094"/>
      <c r="C1251" s="1071" t="str">
        <f t="shared" ref="C1251:F1251" si="1730">C934</f>
        <v>HW/SW Provision SHN</v>
      </c>
      <c r="D1251" s="1071" t="str">
        <f t="shared" si="1730"/>
        <v>Hardware &amp; Software Provision</v>
      </c>
      <c r="E1251" s="1071" t="str">
        <f t="shared" si="1730"/>
        <v>T018A</v>
      </c>
      <c r="F1251" s="1125" t="str">
        <f t="shared" si="1730"/>
        <v>2021-2024</v>
      </c>
      <c r="H1251" s="1071" t="s">
        <v>29</v>
      </c>
      <c r="AZ1251" s="1108"/>
      <c r="BA1251" s="1109"/>
      <c r="BB1251" s="1109"/>
      <c r="BC1251" s="1109"/>
      <c r="BD1251" s="1109"/>
      <c r="BE1251" s="1109"/>
      <c r="BF1251" s="1109">
        <f t="shared" ref="BF1251:BJ1251" si="1731">BF587*$AY284</f>
        <v>0</v>
      </c>
      <c r="BG1251" s="1109">
        <f t="shared" si="1731"/>
        <v>0.45569118281249987</v>
      </c>
      <c r="BH1251" s="1109">
        <f t="shared" si="1731"/>
        <v>0.60758824374999987</v>
      </c>
      <c r="BI1251" s="1109">
        <f t="shared" si="1731"/>
        <v>0.60758824374999987</v>
      </c>
      <c r="BJ1251" s="1109">
        <f t="shared" si="1731"/>
        <v>0.15189706093749997</v>
      </c>
    </row>
    <row r="1252" spans="2:62" hidden="1" outlineLevel="1">
      <c r="B1252" s="1094"/>
      <c r="C1252" s="1071" t="str">
        <f t="shared" ref="C1252:F1252" si="1732">C935</f>
        <v>HW/SW Provision</v>
      </c>
      <c r="D1252" s="1071" t="str">
        <f t="shared" si="1732"/>
        <v>Hardware &amp; Software Provision</v>
      </c>
      <c r="E1252" s="1071" t="str">
        <f t="shared" si="1732"/>
        <v>V004</v>
      </c>
      <c r="F1252" s="1125" t="str">
        <f t="shared" si="1732"/>
        <v>2021-2024</v>
      </c>
      <c r="H1252" s="1071" t="s">
        <v>29</v>
      </c>
      <c r="AZ1252" s="1108"/>
      <c r="BA1252" s="1109"/>
      <c r="BB1252" s="1109"/>
      <c r="BC1252" s="1109"/>
      <c r="BD1252" s="1109"/>
      <c r="BE1252" s="1109"/>
      <c r="BF1252" s="1109">
        <f t="shared" ref="BF1252:BJ1252" si="1733">BF588*$AY285</f>
        <v>0</v>
      </c>
      <c r="BG1252" s="1109">
        <f t="shared" si="1733"/>
        <v>0</v>
      </c>
      <c r="BH1252" s="1109">
        <f t="shared" si="1733"/>
        <v>0</v>
      </c>
      <c r="BI1252" s="1109">
        <f t="shared" si="1733"/>
        <v>0</v>
      </c>
      <c r="BJ1252" s="1109">
        <f t="shared" si="1733"/>
        <v>0</v>
      </c>
    </row>
    <row r="1253" spans="2:62" hidden="1" outlineLevel="1">
      <c r="B1253" s="1094"/>
      <c r="C1253" s="1071" t="str">
        <f t="shared" ref="C1253:F1253" si="1734">C936</f>
        <v>HW/SW Provision HQ - OTHER</v>
      </c>
      <c r="D1253" s="1071" t="str">
        <f t="shared" si="1734"/>
        <v>Hardware &amp; Software Provision</v>
      </c>
      <c r="E1253" s="1071" t="str">
        <f t="shared" si="1734"/>
        <v>V004A</v>
      </c>
      <c r="F1253" s="1125" t="str">
        <f t="shared" si="1734"/>
        <v>2021-2024</v>
      </c>
      <c r="H1253" s="1071" t="s">
        <v>29</v>
      </c>
      <c r="AZ1253" s="1108"/>
      <c r="BA1253" s="1109"/>
      <c r="BB1253" s="1109"/>
      <c r="BC1253" s="1109"/>
      <c r="BD1253" s="1109"/>
      <c r="BE1253" s="1109"/>
      <c r="BF1253" s="1109">
        <f t="shared" ref="BF1253:BJ1253" si="1735">BF589*$AY286</f>
        <v>0</v>
      </c>
      <c r="BG1253" s="1109">
        <f t="shared" si="1735"/>
        <v>1.3671874999999998</v>
      </c>
      <c r="BH1253" s="1109">
        <f t="shared" si="1735"/>
        <v>3.5546874999999996</v>
      </c>
      <c r="BI1253" s="1109">
        <f t="shared" si="1735"/>
        <v>5.7421875000000009</v>
      </c>
      <c r="BJ1253" s="1109">
        <f t="shared" si="1735"/>
        <v>6.5625000000000009</v>
      </c>
    </row>
    <row r="1254" spans="2:62" hidden="1" outlineLevel="1">
      <c r="B1254" s="1094"/>
      <c r="C1254" s="1071" t="str">
        <f t="shared" ref="C1254:F1254" si="1736">C937</f>
        <v>HW/SW Provision DUB</v>
      </c>
      <c r="D1254" s="1071" t="str">
        <f t="shared" si="1736"/>
        <v>Hardware &amp; Software Provision</v>
      </c>
      <c r="E1254" s="1071" t="str">
        <f t="shared" si="1736"/>
        <v>V004A</v>
      </c>
      <c r="F1254" s="1125" t="str">
        <f t="shared" si="1736"/>
        <v>2021-2024</v>
      </c>
      <c r="H1254" s="1071" t="s">
        <v>29</v>
      </c>
      <c r="AZ1254" s="1108"/>
      <c r="BA1254" s="1109"/>
      <c r="BB1254" s="1109"/>
      <c r="BC1254" s="1109"/>
      <c r="BD1254" s="1109"/>
      <c r="BE1254" s="1109"/>
      <c r="BF1254" s="1109">
        <f t="shared" ref="BF1254:BJ1254" si="1737">BF590*$AY287</f>
        <v>0</v>
      </c>
      <c r="BG1254" s="1109">
        <f t="shared" si="1737"/>
        <v>0.9765625</v>
      </c>
      <c r="BH1254" s="1109">
        <f t="shared" si="1737"/>
        <v>2.5390625</v>
      </c>
      <c r="BI1254" s="1109">
        <f t="shared" si="1737"/>
        <v>4.1015625</v>
      </c>
      <c r="BJ1254" s="1109">
        <f t="shared" si="1737"/>
        <v>4.6875</v>
      </c>
    </row>
    <row r="1255" spans="2:62" hidden="1" outlineLevel="1">
      <c r="B1255" s="1094"/>
      <c r="C1255" s="1071" t="str">
        <f t="shared" ref="C1255:F1255" si="1738">C938</f>
        <v>HW/SW Provision SHN</v>
      </c>
      <c r="D1255" s="1071" t="str">
        <f t="shared" si="1738"/>
        <v>Hardware &amp; Software Provision</v>
      </c>
      <c r="E1255" s="1071" t="str">
        <f t="shared" si="1738"/>
        <v>V004A</v>
      </c>
      <c r="F1255" s="1125" t="str">
        <f t="shared" si="1738"/>
        <v>2021-2024</v>
      </c>
      <c r="H1255" s="1071" t="s">
        <v>29</v>
      </c>
      <c r="AZ1255" s="1108"/>
      <c r="BA1255" s="1109"/>
      <c r="BB1255" s="1109"/>
      <c r="BC1255" s="1109"/>
      <c r="BD1255" s="1109"/>
      <c r="BE1255" s="1109"/>
      <c r="BF1255" s="1109">
        <f t="shared" ref="BF1255:BJ1255" si="1739">BF591*$AY288</f>
        <v>0</v>
      </c>
      <c r="BG1255" s="1109">
        <f t="shared" si="1739"/>
        <v>0.9765625</v>
      </c>
      <c r="BH1255" s="1109">
        <f t="shared" si="1739"/>
        <v>2.5390625</v>
      </c>
      <c r="BI1255" s="1109">
        <f t="shared" si="1739"/>
        <v>4.1015625</v>
      </c>
      <c r="BJ1255" s="1109">
        <f t="shared" si="1739"/>
        <v>4.6875</v>
      </c>
    </row>
    <row r="1256" spans="2:62" hidden="1" outlineLevel="1">
      <c r="B1256" s="1094"/>
      <c r="C1256" s="1071" t="str">
        <f t="shared" ref="C1256:F1256" si="1740">C939</f>
        <v>Automated Dependent Surveillance Broadcast Evaluation (ADS-B)</v>
      </c>
      <c r="D1256" s="1071" t="str">
        <f t="shared" si="1740"/>
        <v>Automated Dependent Surveillance Broadcast Evaluation (ADS-B)</v>
      </c>
      <c r="E1256" s="1071" t="str">
        <f t="shared" si="1740"/>
        <v>K010</v>
      </c>
      <c r="F1256" s="1125" t="str">
        <f t="shared" si="1740"/>
        <v>2021-2024</v>
      </c>
      <c r="H1256" s="1071" t="s">
        <v>29</v>
      </c>
      <c r="AZ1256" s="1108"/>
      <c r="BA1256" s="1109"/>
      <c r="BB1256" s="1109"/>
      <c r="BC1256" s="1109"/>
      <c r="BD1256" s="1109"/>
      <c r="BE1256" s="1109"/>
      <c r="BF1256" s="1109">
        <f t="shared" ref="BF1256:BJ1256" si="1741">BF592*$AY289</f>
        <v>0</v>
      </c>
      <c r="BG1256" s="1109">
        <f t="shared" si="1741"/>
        <v>0</v>
      </c>
      <c r="BH1256" s="1109">
        <f t="shared" si="1741"/>
        <v>2.6122539843750001</v>
      </c>
      <c r="BI1256" s="1109">
        <f t="shared" si="1741"/>
        <v>10.4490159375</v>
      </c>
      <c r="BJ1256" s="1109">
        <f t="shared" si="1741"/>
        <v>10.4490159375</v>
      </c>
    </row>
    <row r="1257" spans="2:62" hidden="1" outlineLevel="1">
      <c r="B1257" s="1094"/>
      <c r="C1257" s="1071" t="str">
        <f t="shared" ref="C1257:F1257" si="1742">C940</f>
        <v>Off the Glass Recording for VCCS Touchscreens</v>
      </c>
      <c r="D1257" s="1071" t="str">
        <f t="shared" si="1742"/>
        <v>Off the Glass Recording</v>
      </c>
      <c r="E1257" s="1071" t="str">
        <f t="shared" si="1742"/>
        <v>P004</v>
      </c>
      <c r="F1257" s="1125" t="str">
        <f t="shared" si="1742"/>
        <v>2021-2024</v>
      </c>
      <c r="H1257" s="1071" t="s">
        <v>29</v>
      </c>
      <c r="AZ1257" s="1108"/>
      <c r="BA1257" s="1109"/>
      <c r="BB1257" s="1109"/>
      <c r="BC1257" s="1109"/>
      <c r="BD1257" s="1109"/>
      <c r="BE1257" s="1109"/>
      <c r="BF1257" s="1109">
        <f t="shared" ref="BF1257:BJ1257" si="1743">BF593*$AY290</f>
        <v>0</v>
      </c>
      <c r="BG1257" s="1109">
        <f t="shared" si="1743"/>
        <v>0</v>
      </c>
      <c r="BH1257" s="1109">
        <f t="shared" si="1743"/>
        <v>0</v>
      </c>
      <c r="BI1257" s="1109">
        <f t="shared" si="1743"/>
        <v>0</v>
      </c>
      <c r="BJ1257" s="1109">
        <f t="shared" si="1743"/>
        <v>0</v>
      </c>
    </row>
    <row r="1258" spans="2:62" hidden="1" outlineLevel="1">
      <c r="B1258" s="1094"/>
      <c r="C1258" s="1071" t="str">
        <f t="shared" ref="C1258:F1258" si="1744">C941</f>
        <v>Off Glass Recording VCCS Dublin</v>
      </c>
      <c r="D1258" s="1071" t="str">
        <f t="shared" si="1744"/>
        <v>Off the Glass Recording</v>
      </c>
      <c r="E1258" s="1071" t="str">
        <f t="shared" si="1744"/>
        <v>P004A</v>
      </c>
      <c r="F1258" s="1125" t="str">
        <f t="shared" si="1744"/>
        <v>2021-2024</v>
      </c>
      <c r="H1258" s="1071" t="s">
        <v>29</v>
      </c>
      <c r="AZ1258" s="1108"/>
      <c r="BA1258" s="1109"/>
      <c r="BB1258" s="1109"/>
      <c r="BC1258" s="1109"/>
      <c r="BD1258" s="1109"/>
      <c r="BE1258" s="1109"/>
      <c r="BF1258" s="1109">
        <f t="shared" ref="BF1258:BJ1258" si="1745">BF594*$AY291</f>
        <v>0</v>
      </c>
      <c r="BG1258" s="1109">
        <f t="shared" si="1745"/>
        <v>5.0375757812499993</v>
      </c>
      <c r="BH1258" s="1109">
        <f t="shared" si="1745"/>
        <v>10.075151562499999</v>
      </c>
      <c r="BI1258" s="1109">
        <f t="shared" si="1745"/>
        <v>10.075151562499999</v>
      </c>
      <c r="BJ1258" s="1109">
        <f t="shared" si="1745"/>
        <v>10.075151562499999</v>
      </c>
    </row>
    <row r="1259" spans="2:62" hidden="1" outlineLevel="1">
      <c r="B1259" s="1094"/>
      <c r="C1259" s="1071" t="str">
        <f t="shared" ref="C1259:F1259" si="1746">C942</f>
        <v>Cessation of E1 Crcuits and Migration to IP (ERIN etc)</v>
      </c>
      <c r="D1259" s="1071" t="str">
        <f t="shared" si="1746"/>
        <v>Cessation of E1 Crcuits and Migration to IP (ERIN etc)</v>
      </c>
      <c r="E1259" s="1071" t="str">
        <f t="shared" si="1746"/>
        <v>V008</v>
      </c>
      <c r="F1259" s="1125" t="str">
        <f t="shared" si="1746"/>
        <v>2021-2024</v>
      </c>
      <c r="H1259" s="1071" t="s">
        <v>29</v>
      </c>
      <c r="AZ1259" s="1108"/>
      <c r="BA1259" s="1109"/>
      <c r="BB1259" s="1109"/>
      <c r="BC1259" s="1109"/>
      <c r="BD1259" s="1109"/>
      <c r="BE1259" s="1109"/>
      <c r="BF1259" s="1109">
        <f t="shared" ref="BF1259:BJ1259" si="1747">BF595*$AY292</f>
        <v>0</v>
      </c>
      <c r="BG1259" s="1109">
        <f t="shared" si="1747"/>
        <v>0</v>
      </c>
      <c r="BH1259" s="1109">
        <f t="shared" si="1747"/>
        <v>0</v>
      </c>
      <c r="BI1259" s="1109">
        <f t="shared" si="1747"/>
        <v>9.375</v>
      </c>
      <c r="BJ1259" s="1109">
        <f t="shared" si="1747"/>
        <v>9.375</v>
      </c>
    </row>
    <row r="1260" spans="2:62" hidden="1" outlineLevel="1">
      <c r="B1260" s="1094"/>
      <c r="C1260" s="1071" t="str">
        <f t="shared" ref="C1260:F1260" si="1748">C943</f>
        <v>Generator Replacement Programmes</v>
      </c>
      <c r="D1260" s="1071" t="str">
        <f t="shared" si="1748"/>
        <v>Generator Replacement Programmes</v>
      </c>
      <c r="E1260" s="1071" t="str">
        <f t="shared" si="1748"/>
        <v>RP3-SURV-3</v>
      </c>
      <c r="F1260" s="1125" t="str">
        <f t="shared" si="1748"/>
        <v>2021-2024</v>
      </c>
      <c r="H1260" s="1071" t="s">
        <v>29</v>
      </c>
      <c r="AZ1260" s="1108"/>
      <c r="BA1260" s="1109"/>
      <c r="BB1260" s="1109"/>
      <c r="BC1260" s="1109"/>
      <c r="BD1260" s="1109"/>
      <c r="BE1260" s="1109"/>
      <c r="BF1260" s="1109">
        <f t="shared" ref="BF1260:BJ1260" si="1749">BF596*$AY293</f>
        <v>0</v>
      </c>
      <c r="BG1260" s="1109">
        <f t="shared" si="1749"/>
        <v>0</v>
      </c>
      <c r="BH1260" s="1109">
        <f t="shared" si="1749"/>
        <v>0</v>
      </c>
      <c r="BI1260" s="1109">
        <f t="shared" si="1749"/>
        <v>0</v>
      </c>
      <c r="BJ1260" s="1109">
        <f t="shared" si="1749"/>
        <v>0</v>
      </c>
    </row>
    <row r="1261" spans="2:62" hidden="1" outlineLevel="1">
      <c r="B1261" s="1094"/>
      <c r="C1261" s="1071" t="str">
        <f t="shared" ref="C1261:F1261" si="1750">C944</f>
        <v>Generator Replacements Shannon Remote Sites</v>
      </c>
      <c r="D1261" s="1071" t="str">
        <f t="shared" si="1750"/>
        <v>Generator Replacement Programmes</v>
      </c>
      <c r="E1261" s="1071" t="str">
        <f t="shared" si="1750"/>
        <v>RP3-SURV-3</v>
      </c>
      <c r="F1261" s="1125" t="str">
        <f t="shared" si="1750"/>
        <v>2021-2024</v>
      </c>
      <c r="H1261" s="1071" t="s">
        <v>29</v>
      </c>
      <c r="AZ1261" s="1108"/>
      <c r="BA1261" s="1109"/>
      <c r="BB1261" s="1109"/>
      <c r="BC1261" s="1109"/>
      <c r="BD1261" s="1109"/>
      <c r="BE1261" s="1109"/>
      <c r="BF1261" s="1109">
        <f t="shared" ref="BF1261:BJ1261" si="1751">BF597*$AY294</f>
        <v>0</v>
      </c>
      <c r="BG1261" s="1109">
        <f t="shared" si="1751"/>
        <v>0</v>
      </c>
      <c r="BH1261" s="1109">
        <f t="shared" si="1751"/>
        <v>1.171875</v>
      </c>
      <c r="BI1261" s="1109">
        <f t="shared" si="1751"/>
        <v>5.859375</v>
      </c>
      <c r="BJ1261" s="1109">
        <f t="shared" si="1751"/>
        <v>9.375</v>
      </c>
    </row>
    <row r="1262" spans="2:62" hidden="1" outlineLevel="1">
      <c r="B1262" s="1094"/>
      <c r="C1262" s="1071" t="str">
        <f t="shared" ref="C1262:F1262" si="1752">C945</f>
        <v>Software Licencing</v>
      </c>
      <c r="D1262" s="1071" t="str">
        <f t="shared" si="1752"/>
        <v>Software Licencing</v>
      </c>
      <c r="E1262" s="1071" t="str">
        <f t="shared" si="1752"/>
        <v>V005</v>
      </c>
      <c r="F1262" s="1125" t="str">
        <f t="shared" si="1752"/>
        <v>2021-2024</v>
      </c>
      <c r="H1262" s="1071" t="s">
        <v>29</v>
      </c>
      <c r="AZ1262" s="1108"/>
      <c r="BA1262" s="1109"/>
      <c r="BB1262" s="1109"/>
      <c r="BC1262" s="1109"/>
      <c r="BD1262" s="1109"/>
      <c r="BE1262" s="1109"/>
      <c r="BF1262" s="1109">
        <f t="shared" ref="BF1262:BJ1262" si="1753">BF598*$AY295</f>
        <v>0</v>
      </c>
      <c r="BG1262" s="1109">
        <f t="shared" si="1753"/>
        <v>0</v>
      </c>
      <c r="BH1262" s="1109">
        <f t="shared" si="1753"/>
        <v>0</v>
      </c>
      <c r="BI1262" s="1109">
        <f t="shared" si="1753"/>
        <v>0</v>
      </c>
      <c r="BJ1262" s="1109">
        <f t="shared" si="1753"/>
        <v>0</v>
      </c>
    </row>
    <row r="1263" spans="2:62" hidden="1" outlineLevel="1">
      <c r="B1263" s="1094"/>
      <c r="C1263" s="1071" t="str">
        <f t="shared" ref="C1263:F1263" si="1754">C946</f>
        <v>Software Licencing HQ</v>
      </c>
      <c r="D1263" s="1071" t="str">
        <f t="shared" si="1754"/>
        <v>Software Licencing</v>
      </c>
      <c r="E1263" s="1071" t="str">
        <f t="shared" si="1754"/>
        <v>V005A</v>
      </c>
      <c r="F1263" s="1125" t="str">
        <f t="shared" si="1754"/>
        <v>2021-2024</v>
      </c>
      <c r="H1263" s="1071" t="s">
        <v>29</v>
      </c>
      <c r="AZ1263" s="1108"/>
      <c r="BA1263" s="1109"/>
      <c r="BB1263" s="1109"/>
      <c r="BC1263" s="1109"/>
      <c r="BD1263" s="1109"/>
      <c r="BE1263" s="1109"/>
      <c r="BF1263" s="1109">
        <f t="shared" ref="BF1263:BJ1263" si="1755">BF599*$AY296</f>
        <v>0</v>
      </c>
      <c r="BG1263" s="1109">
        <f t="shared" si="1755"/>
        <v>1.875</v>
      </c>
      <c r="BH1263" s="1109">
        <f t="shared" si="1755"/>
        <v>6.5625</v>
      </c>
      <c r="BI1263" s="1109">
        <f t="shared" si="1755"/>
        <v>7.5</v>
      </c>
      <c r="BJ1263" s="1109">
        <f t="shared" si="1755"/>
        <v>5.625</v>
      </c>
    </row>
    <row r="1264" spans="2:62" hidden="1" outlineLevel="1">
      <c r="B1264" s="1094"/>
      <c r="C1264" s="1071" t="str">
        <f t="shared" ref="C1264:F1264" si="1756">C947</f>
        <v>Software Licencing SHN</v>
      </c>
      <c r="D1264" s="1071" t="str">
        <f t="shared" si="1756"/>
        <v>Software Licencing</v>
      </c>
      <c r="E1264" s="1071" t="str">
        <f t="shared" si="1756"/>
        <v>V005A</v>
      </c>
      <c r="F1264" s="1125" t="str">
        <f t="shared" si="1756"/>
        <v>2021-2024</v>
      </c>
      <c r="H1264" s="1071" t="s">
        <v>29</v>
      </c>
      <c r="AZ1264" s="1108"/>
      <c r="BA1264" s="1109"/>
      <c r="BB1264" s="1109"/>
      <c r="BC1264" s="1109"/>
      <c r="BD1264" s="1109"/>
      <c r="BE1264" s="1109"/>
      <c r="BF1264" s="1109">
        <f t="shared" ref="BF1264:BJ1264" si="1757">BF600*$AY297</f>
        <v>0</v>
      </c>
      <c r="BG1264" s="1109">
        <f t="shared" si="1757"/>
        <v>3.125</v>
      </c>
      <c r="BH1264" s="1109">
        <f t="shared" si="1757"/>
        <v>10.9375</v>
      </c>
      <c r="BI1264" s="1109">
        <f t="shared" si="1757"/>
        <v>12.5</v>
      </c>
      <c r="BJ1264" s="1109">
        <f t="shared" si="1757"/>
        <v>9.375</v>
      </c>
    </row>
    <row r="1265" spans="2:62" hidden="1" outlineLevel="1">
      <c r="B1265" s="1094"/>
      <c r="C1265" s="1071" t="str">
        <f t="shared" ref="C1265:F1265" si="1758">C948</f>
        <v>PC / Laptop Replacements</v>
      </c>
      <c r="D1265" s="1071" t="str">
        <f t="shared" si="1758"/>
        <v>PC / Laptops</v>
      </c>
      <c r="E1265" s="1071" t="str">
        <f t="shared" si="1758"/>
        <v>T017</v>
      </c>
      <c r="F1265" s="1125" t="str">
        <f t="shared" si="1758"/>
        <v>2021-2024</v>
      </c>
      <c r="H1265" s="1071" t="s">
        <v>29</v>
      </c>
      <c r="AZ1265" s="1108"/>
      <c r="BA1265" s="1109"/>
      <c r="BB1265" s="1109"/>
      <c r="BC1265" s="1109"/>
      <c r="BD1265" s="1109"/>
      <c r="BE1265" s="1109"/>
      <c r="BF1265" s="1109">
        <f t="shared" ref="BF1265:BJ1265" si="1759">BF601*$AY298</f>
        <v>0</v>
      </c>
      <c r="BG1265" s="1109">
        <f t="shared" si="1759"/>
        <v>0</v>
      </c>
      <c r="BH1265" s="1109">
        <f t="shared" si="1759"/>
        <v>0</v>
      </c>
      <c r="BI1265" s="1109">
        <f t="shared" si="1759"/>
        <v>0</v>
      </c>
      <c r="BJ1265" s="1109">
        <f t="shared" si="1759"/>
        <v>0</v>
      </c>
    </row>
    <row r="1266" spans="2:62" hidden="1" outlineLevel="1">
      <c r="B1266" s="1094"/>
      <c r="C1266" s="1071" t="str">
        <f t="shared" ref="C1266:F1266" si="1760">C949</f>
        <v>PC/Laptops HQ - OTHER</v>
      </c>
      <c r="D1266" s="1071" t="str">
        <f t="shared" si="1760"/>
        <v>PC / Laptops</v>
      </c>
      <c r="E1266" s="1071" t="str">
        <f t="shared" si="1760"/>
        <v>T017A</v>
      </c>
      <c r="F1266" s="1125" t="str">
        <f t="shared" si="1760"/>
        <v>2021-2024</v>
      </c>
      <c r="H1266" s="1071" t="s">
        <v>29</v>
      </c>
      <c r="AZ1266" s="1108"/>
      <c r="BA1266" s="1109"/>
      <c r="BB1266" s="1109"/>
      <c r="BC1266" s="1109"/>
      <c r="BD1266" s="1109"/>
      <c r="BE1266" s="1109"/>
      <c r="BF1266" s="1109">
        <f t="shared" ref="BF1266:BJ1266" si="1761">BF602*$AY299</f>
        <v>0</v>
      </c>
      <c r="BG1266" s="1109">
        <f t="shared" si="1761"/>
        <v>0.5499922499999953</v>
      </c>
      <c r="BH1266" s="1109">
        <f t="shared" si="1761"/>
        <v>0.73332299999999373</v>
      </c>
      <c r="BI1266" s="1109">
        <f t="shared" si="1761"/>
        <v>0.73332299999999373</v>
      </c>
      <c r="BJ1266" s="1109">
        <f t="shared" si="1761"/>
        <v>0.18333074999999843</v>
      </c>
    </row>
    <row r="1267" spans="2:62" hidden="1" outlineLevel="1">
      <c r="B1267" s="1094"/>
      <c r="C1267" s="1071" t="str">
        <f t="shared" ref="C1267:F1267" si="1762">C950</f>
        <v>PC/Laptops DUB</v>
      </c>
      <c r="D1267" s="1071" t="str">
        <f t="shared" si="1762"/>
        <v>PC / Laptops</v>
      </c>
      <c r="E1267" s="1071" t="str">
        <f t="shared" si="1762"/>
        <v>T017A</v>
      </c>
      <c r="F1267" s="1125" t="str">
        <f t="shared" si="1762"/>
        <v>2021-2024</v>
      </c>
      <c r="H1267" s="1071" t="s">
        <v>29</v>
      </c>
      <c r="AZ1267" s="1108"/>
      <c r="BA1267" s="1109"/>
      <c r="BB1267" s="1109"/>
      <c r="BC1267" s="1109"/>
      <c r="BD1267" s="1109"/>
      <c r="BE1267" s="1109"/>
      <c r="BF1267" s="1109">
        <f t="shared" ref="BF1267:BJ1267" si="1763">BF603*$AY300</f>
        <v>0</v>
      </c>
      <c r="BG1267" s="1109">
        <f t="shared" si="1763"/>
        <v>0</v>
      </c>
      <c r="BH1267" s="1109">
        <f t="shared" si="1763"/>
        <v>0</v>
      </c>
      <c r="BI1267" s="1109">
        <f t="shared" si="1763"/>
        <v>0</v>
      </c>
      <c r="BJ1267" s="1109">
        <f t="shared" si="1763"/>
        <v>0</v>
      </c>
    </row>
    <row r="1268" spans="2:62" hidden="1" outlineLevel="1">
      <c r="B1268" s="1094"/>
      <c r="C1268" s="1071" t="str">
        <f t="shared" ref="C1268:F1268" si="1764">C951</f>
        <v>PC/Laptops SHN</v>
      </c>
      <c r="D1268" s="1071" t="str">
        <f t="shared" si="1764"/>
        <v>PC / Laptops</v>
      </c>
      <c r="E1268" s="1071" t="str">
        <f t="shared" si="1764"/>
        <v>T017A</v>
      </c>
      <c r="F1268" s="1125" t="str">
        <f t="shared" si="1764"/>
        <v>2021-2024</v>
      </c>
      <c r="H1268" s="1071" t="s">
        <v>29</v>
      </c>
      <c r="AZ1268" s="1108"/>
      <c r="BA1268" s="1109"/>
      <c r="BB1268" s="1109"/>
      <c r="BC1268" s="1109"/>
      <c r="BD1268" s="1109"/>
      <c r="BE1268" s="1109"/>
      <c r="BF1268" s="1109">
        <f t="shared" ref="BF1268:BJ1268" si="1765">BF604*$AY301</f>
        <v>0</v>
      </c>
      <c r="BG1268" s="1109">
        <f t="shared" si="1765"/>
        <v>0</v>
      </c>
      <c r="BH1268" s="1109">
        <f t="shared" si="1765"/>
        <v>0</v>
      </c>
      <c r="BI1268" s="1109">
        <f t="shared" si="1765"/>
        <v>0</v>
      </c>
      <c r="BJ1268" s="1109">
        <f t="shared" si="1765"/>
        <v>0</v>
      </c>
    </row>
    <row r="1269" spans="2:62" hidden="1" outlineLevel="1">
      <c r="B1269" s="1094"/>
      <c r="C1269" s="1071" t="str">
        <f t="shared" ref="C1269:F1269" si="1766">C952</f>
        <v>PC/Laptop Replacements</v>
      </c>
      <c r="D1269" s="1071" t="str">
        <f t="shared" si="1766"/>
        <v>PC / Laptops</v>
      </c>
      <c r="E1269" s="1071" t="str">
        <f t="shared" si="1766"/>
        <v>V003</v>
      </c>
      <c r="F1269" s="1125" t="str">
        <f t="shared" si="1766"/>
        <v>2021-2024</v>
      </c>
      <c r="H1269" s="1071" t="s">
        <v>29</v>
      </c>
      <c r="AZ1269" s="1108"/>
      <c r="BA1269" s="1109"/>
      <c r="BB1269" s="1109"/>
      <c r="BC1269" s="1109"/>
      <c r="BD1269" s="1109"/>
      <c r="BE1269" s="1109"/>
      <c r="BF1269" s="1109">
        <f t="shared" ref="BF1269:BJ1269" si="1767">BF605*$AY302</f>
        <v>0</v>
      </c>
      <c r="BG1269" s="1109">
        <f t="shared" si="1767"/>
        <v>0</v>
      </c>
      <c r="BH1269" s="1109">
        <f t="shared" si="1767"/>
        <v>0</v>
      </c>
      <c r="BI1269" s="1109">
        <f t="shared" si="1767"/>
        <v>0</v>
      </c>
      <c r="BJ1269" s="1109">
        <f t="shared" si="1767"/>
        <v>0</v>
      </c>
    </row>
    <row r="1270" spans="2:62" hidden="1" outlineLevel="1">
      <c r="B1270" s="1094"/>
      <c r="C1270" s="1071" t="str">
        <f t="shared" ref="C1270:F1270" si="1768">C953</f>
        <v>PC/Laptops HQ - OTHER</v>
      </c>
      <c r="D1270" s="1071" t="str">
        <f t="shared" si="1768"/>
        <v>PC / Laptops</v>
      </c>
      <c r="E1270" s="1071" t="str">
        <f t="shared" si="1768"/>
        <v>V003A</v>
      </c>
      <c r="F1270" s="1125" t="str">
        <f t="shared" si="1768"/>
        <v>2021-2024</v>
      </c>
      <c r="H1270" s="1071" t="s">
        <v>29</v>
      </c>
      <c r="AZ1270" s="1108"/>
      <c r="BA1270" s="1109"/>
      <c r="BB1270" s="1109"/>
      <c r="BC1270" s="1109"/>
      <c r="BD1270" s="1109"/>
      <c r="BE1270" s="1109"/>
      <c r="BF1270" s="1109">
        <f t="shared" ref="BF1270:BJ1270" si="1769">BF606*$AY303</f>
        <v>0</v>
      </c>
      <c r="BG1270" s="1109">
        <f t="shared" si="1769"/>
        <v>1.0937500000000002</v>
      </c>
      <c r="BH1270" s="1109">
        <f t="shared" si="1769"/>
        <v>2.8437500000000004</v>
      </c>
      <c r="BI1270" s="1109">
        <f t="shared" si="1769"/>
        <v>4.5937500000000018</v>
      </c>
      <c r="BJ1270" s="1109">
        <f t="shared" si="1769"/>
        <v>5.2500000000000018</v>
      </c>
    </row>
    <row r="1271" spans="2:62" hidden="1" outlineLevel="1">
      <c r="B1271" s="1094"/>
      <c r="C1271" s="1071" t="str">
        <f t="shared" ref="C1271:F1271" si="1770">C954</f>
        <v>PC/Laptops DUB</v>
      </c>
      <c r="D1271" s="1071" t="str">
        <f t="shared" si="1770"/>
        <v>PC / Laptops</v>
      </c>
      <c r="E1271" s="1071" t="str">
        <f t="shared" si="1770"/>
        <v>V003A</v>
      </c>
      <c r="F1271" s="1125" t="str">
        <f t="shared" si="1770"/>
        <v>2021-2024</v>
      </c>
      <c r="H1271" s="1071" t="s">
        <v>29</v>
      </c>
      <c r="AZ1271" s="1108"/>
      <c r="BA1271" s="1109"/>
      <c r="BB1271" s="1109"/>
      <c r="BC1271" s="1109"/>
      <c r="BD1271" s="1109"/>
      <c r="BE1271" s="1109"/>
      <c r="BF1271" s="1109">
        <f t="shared" ref="BF1271:BJ1271" si="1771">BF607*$AY304</f>
        <v>0</v>
      </c>
      <c r="BG1271" s="1109">
        <f t="shared" si="1771"/>
        <v>0.78124999999999978</v>
      </c>
      <c r="BH1271" s="1109">
        <f t="shared" si="1771"/>
        <v>2.03125</v>
      </c>
      <c r="BI1271" s="1109">
        <f t="shared" si="1771"/>
        <v>3.28125</v>
      </c>
      <c r="BJ1271" s="1109">
        <f t="shared" si="1771"/>
        <v>3.75</v>
      </c>
    </row>
    <row r="1272" spans="2:62" hidden="1" outlineLevel="1">
      <c r="B1272" s="1094"/>
      <c r="C1272" s="1071" t="str">
        <f t="shared" ref="C1272:F1272" si="1772">C955</f>
        <v>PC/Laptops SHN</v>
      </c>
      <c r="D1272" s="1071" t="str">
        <f t="shared" si="1772"/>
        <v>PC / Laptops</v>
      </c>
      <c r="E1272" s="1071" t="str">
        <f t="shared" si="1772"/>
        <v>V003A</v>
      </c>
      <c r="F1272" s="1125" t="str">
        <f t="shared" si="1772"/>
        <v>2021-2024</v>
      </c>
      <c r="H1272" s="1071" t="s">
        <v>29</v>
      </c>
      <c r="AZ1272" s="1108"/>
      <c r="BA1272" s="1109"/>
      <c r="BB1272" s="1109"/>
      <c r="BC1272" s="1109"/>
      <c r="BD1272" s="1109"/>
      <c r="BE1272" s="1109"/>
      <c r="BF1272" s="1109">
        <f t="shared" ref="BF1272:BJ1272" si="1773">BF608*$AY305</f>
        <v>0</v>
      </c>
      <c r="BG1272" s="1109">
        <f t="shared" si="1773"/>
        <v>0.78124999999999978</v>
      </c>
      <c r="BH1272" s="1109">
        <f t="shared" si="1773"/>
        <v>2.03125</v>
      </c>
      <c r="BI1272" s="1109">
        <f t="shared" si="1773"/>
        <v>3.28125</v>
      </c>
      <c r="BJ1272" s="1109">
        <f t="shared" si="1773"/>
        <v>3.75</v>
      </c>
    </row>
    <row r="1273" spans="2:62" hidden="1" outlineLevel="1">
      <c r="B1273" s="1094"/>
      <c r="C1273" s="1071" t="str">
        <f t="shared" ref="C1273:F1273" si="1774">C956</f>
        <v>Upgrades and Contingency IAA Net</v>
      </c>
      <c r="D1273" s="1071" t="str">
        <f t="shared" si="1774"/>
        <v>Upgrades and Contingency IAA Net</v>
      </c>
      <c r="E1273" s="1071" t="str">
        <f t="shared" si="1774"/>
        <v>S002</v>
      </c>
      <c r="F1273" s="1125" t="str">
        <f t="shared" si="1774"/>
        <v>2021-2024</v>
      </c>
      <c r="H1273" s="1071" t="s">
        <v>29</v>
      </c>
      <c r="AZ1273" s="1108"/>
      <c r="BA1273" s="1109"/>
      <c r="BB1273" s="1109"/>
      <c r="BC1273" s="1109"/>
      <c r="BD1273" s="1109"/>
      <c r="BE1273" s="1109"/>
      <c r="BF1273" s="1109">
        <f t="shared" ref="BF1273:BJ1273" si="1775">BF609*$AY306</f>
        <v>0</v>
      </c>
      <c r="BG1273" s="1109">
        <f t="shared" si="1775"/>
        <v>0</v>
      </c>
      <c r="BH1273" s="1109">
        <f t="shared" si="1775"/>
        <v>1.5625</v>
      </c>
      <c r="BI1273" s="1109">
        <f t="shared" si="1775"/>
        <v>6.25</v>
      </c>
      <c r="BJ1273" s="1109">
        <f t="shared" si="1775"/>
        <v>6.25</v>
      </c>
    </row>
    <row r="1274" spans="2:62" hidden="1" outlineLevel="1">
      <c r="B1274" s="1094"/>
      <c r="C1274" s="1071" t="str">
        <f t="shared" ref="C1274:F1274" si="1776">C957</f>
        <v>New En Route Contingency Facility</v>
      </c>
      <c r="D1274" s="1071" t="str">
        <f t="shared" si="1776"/>
        <v>New En Route Contingency Facility</v>
      </c>
      <c r="E1274" s="1071" t="str">
        <f t="shared" si="1776"/>
        <v>N004</v>
      </c>
      <c r="F1274" s="1125" t="str">
        <f t="shared" si="1776"/>
        <v>2021-2024</v>
      </c>
      <c r="H1274" s="1071" t="s">
        <v>29</v>
      </c>
      <c r="AZ1274" s="1108"/>
      <c r="BA1274" s="1109"/>
      <c r="BB1274" s="1109"/>
      <c r="BC1274" s="1109"/>
      <c r="BD1274" s="1109"/>
      <c r="BE1274" s="1109"/>
      <c r="BF1274" s="1109">
        <f t="shared" ref="BF1274:BJ1274" si="1777">BF610*$AY307</f>
        <v>0</v>
      </c>
      <c r="BG1274" s="1109">
        <f t="shared" si="1777"/>
        <v>0</v>
      </c>
      <c r="BH1274" s="1109">
        <f t="shared" si="1777"/>
        <v>0</v>
      </c>
      <c r="BI1274" s="1109">
        <f t="shared" si="1777"/>
        <v>0</v>
      </c>
      <c r="BJ1274" s="1109">
        <f t="shared" si="1777"/>
        <v>0</v>
      </c>
    </row>
    <row r="1275" spans="2:62" hidden="1" outlineLevel="1">
      <c r="B1275" s="1094"/>
      <c r="C1275" s="1071" t="str">
        <f t="shared" ref="C1275:F1275" si="1778">C958</f>
        <v>New En Route Contingency Facility - ATM Equipment</v>
      </c>
      <c r="D1275" s="1071" t="str">
        <f t="shared" si="1778"/>
        <v>New En Route Contingency Facility</v>
      </c>
      <c r="E1275" s="1071" t="str">
        <f t="shared" si="1778"/>
        <v>N004A</v>
      </c>
      <c r="F1275" s="1125" t="str">
        <f t="shared" si="1778"/>
        <v>2021-2024</v>
      </c>
      <c r="H1275" s="1071" t="s">
        <v>29</v>
      </c>
      <c r="AZ1275" s="1108"/>
      <c r="BA1275" s="1109"/>
      <c r="BB1275" s="1109"/>
      <c r="BC1275" s="1109"/>
      <c r="BD1275" s="1109"/>
      <c r="BE1275" s="1109"/>
      <c r="BF1275" s="1109">
        <f t="shared" ref="BF1275:BJ1275" si="1779">BF611*$AY308</f>
        <v>0</v>
      </c>
      <c r="BG1275" s="1109">
        <f t="shared" si="1779"/>
        <v>0</v>
      </c>
      <c r="BH1275" s="1109">
        <f t="shared" si="1779"/>
        <v>0</v>
      </c>
      <c r="BI1275" s="1109">
        <f t="shared" si="1779"/>
        <v>0</v>
      </c>
      <c r="BJ1275" s="1109">
        <f t="shared" si="1779"/>
        <v>0</v>
      </c>
    </row>
    <row r="1276" spans="2:62" hidden="1" outlineLevel="1">
      <c r="B1276" s="1094"/>
      <c r="C1276" s="1071" t="str">
        <f t="shared" ref="C1276:F1276" si="1780">C959</f>
        <v>New En Route Contingency Facility - Building</v>
      </c>
      <c r="D1276" s="1071" t="str">
        <f t="shared" si="1780"/>
        <v>New En Route Contingency Facility</v>
      </c>
      <c r="E1276" s="1071" t="str">
        <f t="shared" si="1780"/>
        <v>N004A</v>
      </c>
      <c r="F1276" s="1125" t="str">
        <f t="shared" si="1780"/>
        <v>2021-2024</v>
      </c>
      <c r="H1276" s="1071" t="s">
        <v>29</v>
      </c>
      <c r="AZ1276" s="1108"/>
      <c r="BA1276" s="1109"/>
      <c r="BB1276" s="1109"/>
      <c r="BC1276" s="1109"/>
      <c r="BD1276" s="1109"/>
      <c r="BE1276" s="1109"/>
      <c r="BF1276" s="1109">
        <f t="shared" ref="BF1276:BJ1276" si="1781">BF612*$AY309</f>
        <v>0</v>
      </c>
      <c r="BG1276" s="1109">
        <f t="shared" si="1781"/>
        <v>0</v>
      </c>
      <c r="BH1276" s="1109">
        <f t="shared" si="1781"/>
        <v>0</v>
      </c>
      <c r="BI1276" s="1109">
        <f t="shared" si="1781"/>
        <v>0</v>
      </c>
      <c r="BJ1276" s="1109">
        <f t="shared" si="1781"/>
        <v>0</v>
      </c>
    </row>
    <row r="1277" spans="2:62" hidden="1" outlineLevel="1">
      <c r="B1277" s="1094"/>
      <c r="C1277" s="1071" t="str">
        <f t="shared" ref="C1277:F1277" si="1782">C960</f>
        <v>Shannon Tower MEP</v>
      </c>
      <c r="D1277" s="1071" t="str">
        <f t="shared" si="1782"/>
        <v>Shannon Tower MEP</v>
      </c>
      <c r="E1277" s="1071" t="str">
        <f t="shared" si="1782"/>
        <v>J004A</v>
      </c>
      <c r="F1277" s="1125" t="str">
        <f t="shared" si="1782"/>
        <v>2021-2024</v>
      </c>
      <c r="H1277" s="1071" t="s">
        <v>29</v>
      </c>
      <c r="AZ1277" s="1108"/>
      <c r="BA1277" s="1109"/>
      <c r="BB1277" s="1109"/>
      <c r="BC1277" s="1109"/>
      <c r="BD1277" s="1109"/>
      <c r="BE1277" s="1109"/>
      <c r="BF1277" s="1109">
        <f t="shared" ref="BF1277:BJ1277" si="1783">BF613*$AY310</f>
        <v>0</v>
      </c>
      <c r="BG1277" s="1109">
        <f t="shared" si="1783"/>
        <v>2.395465781250008</v>
      </c>
      <c r="BH1277" s="1109">
        <f t="shared" si="1783"/>
        <v>4.7909315625000159</v>
      </c>
      <c r="BI1277" s="1109">
        <f t="shared" si="1783"/>
        <v>4.7909315625000159</v>
      </c>
      <c r="BJ1277" s="1109">
        <f t="shared" si="1783"/>
        <v>4.7909315625000159</v>
      </c>
    </row>
    <row r="1278" spans="2:62" hidden="1" outlineLevel="1">
      <c r="C1278" s="1071" t="str">
        <f t="shared" ref="C1278:F1278" si="1784">C961</f>
        <v>UMT Drone Protection System</v>
      </c>
      <c r="D1278" s="1071" t="str">
        <f t="shared" si="1784"/>
        <v>UMT Drone Protection System</v>
      </c>
      <c r="E1278" s="1071" t="str">
        <f t="shared" si="1784"/>
        <v>RP3-FDPS-2</v>
      </c>
      <c r="F1278" s="1125" t="str">
        <f t="shared" si="1784"/>
        <v>2021-2024</v>
      </c>
      <c r="H1278" s="1071" t="s">
        <v>29</v>
      </c>
      <c r="AZ1278" s="1108"/>
      <c r="BA1278" s="1109"/>
      <c r="BB1278" s="1109"/>
      <c r="BC1278" s="1109"/>
      <c r="BD1278" s="1109"/>
      <c r="BE1278" s="1109"/>
      <c r="BF1278" s="1109">
        <f t="shared" ref="BF1278:BJ1278" si="1785">BF614*$AY311</f>
        <v>0</v>
      </c>
      <c r="BG1278" s="1109">
        <f t="shared" si="1785"/>
        <v>0</v>
      </c>
      <c r="BH1278" s="1109">
        <f t="shared" si="1785"/>
        <v>0</v>
      </c>
      <c r="BI1278" s="1109">
        <f t="shared" si="1785"/>
        <v>0</v>
      </c>
      <c r="BJ1278" s="1109">
        <f t="shared" si="1785"/>
        <v>14.0625</v>
      </c>
    </row>
    <row r="1279" spans="2:62" hidden="1" outlineLevel="1">
      <c r="C1279" s="1071" t="str">
        <f t="shared" ref="C1279:F1279" si="1786">C962</f>
        <v>Enhancements to Financial Management Systems</v>
      </c>
      <c r="D1279" s="1071" t="str">
        <f t="shared" si="1786"/>
        <v>Enhancements to Financial Management Systems</v>
      </c>
      <c r="E1279" s="1071" t="str">
        <f t="shared" si="1786"/>
        <v>Q019</v>
      </c>
      <c r="F1279" s="1125" t="str">
        <f t="shared" si="1786"/>
        <v>2021-2024</v>
      </c>
      <c r="H1279" s="1071" t="s">
        <v>29</v>
      </c>
      <c r="AZ1279" s="1108"/>
      <c r="BA1279" s="1109"/>
      <c r="BB1279" s="1109"/>
      <c r="BC1279" s="1109"/>
      <c r="BD1279" s="1109"/>
      <c r="BE1279" s="1109"/>
      <c r="BF1279" s="1109">
        <f t="shared" ref="BF1279:BJ1279" si="1787">BF615*$AY312</f>
        <v>0</v>
      </c>
      <c r="BG1279" s="1109">
        <f t="shared" si="1787"/>
        <v>0</v>
      </c>
      <c r="BH1279" s="1109">
        <f t="shared" si="1787"/>
        <v>0</v>
      </c>
      <c r="BI1279" s="1109">
        <f t="shared" si="1787"/>
        <v>2.8125</v>
      </c>
      <c r="BJ1279" s="1109">
        <f t="shared" si="1787"/>
        <v>2.8125</v>
      </c>
    </row>
    <row r="1280" spans="2:62" hidden="1" outlineLevel="1">
      <c r="C1280" s="1071" t="str">
        <f t="shared" ref="C1280:F1280" si="1788">C963</f>
        <v>Quadrant Roof-Light in Dublin ACC</v>
      </c>
      <c r="D1280" s="1071" t="str">
        <f t="shared" si="1788"/>
        <v>Quadrant Roof-Light in Dublin ACC</v>
      </c>
      <c r="E1280" s="1071" t="str">
        <f t="shared" si="1788"/>
        <v>S020</v>
      </c>
      <c r="F1280" s="1125" t="str">
        <f t="shared" si="1788"/>
        <v>2021-2024</v>
      </c>
      <c r="H1280" s="1071" t="s">
        <v>29</v>
      </c>
      <c r="AZ1280" s="1108"/>
      <c r="BA1280" s="1109"/>
      <c r="BB1280" s="1109"/>
      <c r="BC1280" s="1109"/>
      <c r="BD1280" s="1109"/>
      <c r="BE1280" s="1109"/>
      <c r="BF1280" s="1109">
        <f t="shared" ref="BF1280:BJ1280" si="1789">BF616*$AY313</f>
        <v>0</v>
      </c>
      <c r="BG1280" s="1109">
        <f t="shared" si="1789"/>
        <v>0</v>
      </c>
      <c r="BH1280" s="1109">
        <f t="shared" si="1789"/>
        <v>4.0625</v>
      </c>
      <c r="BI1280" s="1109">
        <f t="shared" si="1789"/>
        <v>4.0625</v>
      </c>
      <c r="BJ1280" s="1109">
        <f t="shared" si="1789"/>
        <v>4.0625</v>
      </c>
    </row>
    <row r="1281" spans="3:62" hidden="1" outlineLevel="1">
      <c r="C1281" s="1071" t="str">
        <f t="shared" ref="C1281:F1281" si="1790">C964</f>
        <v>Generator replacement project</v>
      </c>
      <c r="D1281" s="1071" t="str">
        <f t="shared" si="1790"/>
        <v>Generator replacement project</v>
      </c>
      <c r="E1281" s="1071" t="str">
        <f t="shared" si="1790"/>
        <v>U010</v>
      </c>
      <c r="F1281" s="1125" t="str">
        <f t="shared" si="1790"/>
        <v>2021-2024</v>
      </c>
      <c r="H1281" s="1071" t="s">
        <v>29</v>
      </c>
      <c r="AZ1281" s="1108"/>
      <c r="BA1281" s="1109"/>
      <c r="BB1281" s="1109"/>
      <c r="BC1281" s="1109"/>
      <c r="BD1281" s="1109"/>
      <c r="BE1281" s="1109"/>
      <c r="BF1281" s="1109">
        <f t="shared" ref="BF1281:BJ1281" si="1791">BF617*$AY314</f>
        <v>0</v>
      </c>
      <c r="BG1281" s="1109">
        <f t="shared" si="1791"/>
        <v>0.8984375</v>
      </c>
      <c r="BH1281" s="1109">
        <f t="shared" si="1791"/>
        <v>3.59375</v>
      </c>
      <c r="BI1281" s="1109">
        <f t="shared" si="1791"/>
        <v>3.59375</v>
      </c>
      <c r="BJ1281" s="1109">
        <f t="shared" si="1791"/>
        <v>3.59375</v>
      </c>
    </row>
    <row r="1282" spans="3:62" hidden="1" outlineLevel="1">
      <c r="C1282" s="1071" t="str">
        <f t="shared" ref="C1282:F1282" si="1792">C965</f>
        <v>Replacement of COOPANS Hardware</v>
      </c>
      <c r="D1282" s="1071" t="str">
        <f t="shared" si="1792"/>
        <v>COOPANS Hardware</v>
      </c>
      <c r="E1282" s="1071" t="str">
        <f t="shared" si="1792"/>
        <v>Q001</v>
      </c>
      <c r="F1282" s="1125" t="str">
        <f t="shared" si="1792"/>
        <v>2021-2024</v>
      </c>
      <c r="H1282" s="1071" t="s">
        <v>29</v>
      </c>
      <c r="AZ1282" s="1108"/>
      <c r="BA1282" s="1109"/>
      <c r="BB1282" s="1109"/>
      <c r="BC1282" s="1109"/>
      <c r="BD1282" s="1109"/>
      <c r="BE1282" s="1109"/>
      <c r="BF1282" s="1109">
        <f t="shared" ref="BF1282:BJ1282" si="1793">BF618*$AY315</f>
        <v>0</v>
      </c>
      <c r="BG1282" s="1109">
        <f t="shared" si="1793"/>
        <v>0</v>
      </c>
      <c r="BH1282" s="1109">
        <f t="shared" si="1793"/>
        <v>0</v>
      </c>
      <c r="BI1282" s="1109">
        <f t="shared" si="1793"/>
        <v>0</v>
      </c>
      <c r="BJ1282" s="1109">
        <f t="shared" si="1793"/>
        <v>0</v>
      </c>
    </row>
    <row r="1283" spans="3:62" hidden="1" outlineLevel="1">
      <c r="C1283" s="1071" t="str">
        <f t="shared" ref="C1283:F1283" si="1794">C966</f>
        <v>COOPANS HARDWARE Shannon</v>
      </c>
      <c r="D1283" s="1071" t="str">
        <f t="shared" si="1794"/>
        <v>COOPANS Hardware</v>
      </c>
      <c r="E1283" s="1071" t="str">
        <f t="shared" si="1794"/>
        <v>Q001A</v>
      </c>
      <c r="F1283" s="1125" t="str">
        <f t="shared" si="1794"/>
        <v>2021-2024</v>
      </c>
      <c r="H1283" s="1071" t="s">
        <v>29</v>
      </c>
      <c r="AZ1283" s="1108"/>
      <c r="BA1283" s="1109"/>
      <c r="BB1283" s="1109"/>
      <c r="BC1283" s="1109"/>
      <c r="BD1283" s="1109"/>
      <c r="BE1283" s="1109"/>
      <c r="BF1283" s="1109">
        <f t="shared" ref="BF1283:BJ1283" si="1795">BF619*$AY316</f>
        <v>0</v>
      </c>
      <c r="BG1283" s="1109">
        <f t="shared" si="1795"/>
        <v>1.2073124603174656</v>
      </c>
      <c r="BH1283" s="1109">
        <f t="shared" si="1795"/>
        <v>1.5979374603174656</v>
      </c>
      <c r="BI1283" s="1109">
        <f t="shared" si="1795"/>
        <v>1.5979374603174656</v>
      </c>
      <c r="BJ1283" s="1109">
        <f t="shared" si="1795"/>
        <v>1.5979374603174656</v>
      </c>
    </row>
    <row r="1284" spans="3:62" hidden="1" outlineLevel="1">
      <c r="C1284" s="1071" t="str">
        <f t="shared" ref="C1284:F1284" si="1796">C967</f>
        <v>COOPANS HARDWARE Dublin</v>
      </c>
      <c r="D1284" s="1071" t="str">
        <f t="shared" si="1796"/>
        <v>COOPANS Hardware</v>
      </c>
      <c r="E1284" s="1071" t="str">
        <f t="shared" si="1796"/>
        <v>Q001A</v>
      </c>
      <c r="F1284" s="1125" t="str">
        <f t="shared" si="1796"/>
        <v>2021-2024</v>
      </c>
      <c r="H1284" s="1071" t="s">
        <v>29</v>
      </c>
      <c r="AZ1284" s="1108"/>
      <c r="BA1284" s="1109"/>
      <c r="BB1284" s="1109"/>
      <c r="BC1284" s="1109"/>
      <c r="BD1284" s="1109"/>
      <c r="BE1284" s="1109"/>
      <c r="BF1284" s="1109">
        <f t="shared" ref="BF1284:BJ1284" si="1797">BF620*$AY317</f>
        <v>0</v>
      </c>
      <c r="BG1284" s="1109">
        <f t="shared" si="1797"/>
        <v>1.171875</v>
      </c>
      <c r="BH1284" s="1109">
        <f t="shared" si="1797"/>
        <v>1.5625</v>
      </c>
      <c r="BI1284" s="1109">
        <f t="shared" si="1797"/>
        <v>1.5625</v>
      </c>
      <c r="BJ1284" s="1109">
        <f t="shared" si="1797"/>
        <v>1.5625</v>
      </c>
    </row>
    <row r="1285" spans="3:62" hidden="1" outlineLevel="1">
      <c r="C1285" s="1071" t="str">
        <f t="shared" ref="C1285:F1285" si="1798">C968</f>
        <v>PABX Infrastructure Upgrade BCY/CRK</v>
      </c>
      <c r="D1285" s="1071" t="str">
        <f t="shared" si="1798"/>
        <v>PABX Infrastructure Upgrade BCY/CRK</v>
      </c>
      <c r="E1285" s="1071" t="str">
        <f t="shared" si="1798"/>
        <v>S009</v>
      </c>
      <c r="F1285" s="1125" t="str">
        <f t="shared" si="1798"/>
        <v>2021-2024</v>
      </c>
      <c r="H1285" s="1071" t="s">
        <v>29</v>
      </c>
      <c r="AZ1285" s="1108"/>
      <c r="BA1285" s="1109"/>
      <c r="BB1285" s="1109"/>
      <c r="BC1285" s="1109"/>
      <c r="BD1285" s="1109"/>
      <c r="BE1285" s="1109"/>
      <c r="BF1285" s="1109">
        <f t="shared" ref="BF1285:BJ1285" si="1799">BF621*$AY318</f>
        <v>0</v>
      </c>
      <c r="BG1285" s="1109">
        <f t="shared" si="1799"/>
        <v>0</v>
      </c>
      <c r="BH1285" s="1109">
        <f t="shared" si="1799"/>
        <v>0.78125</v>
      </c>
      <c r="BI1285" s="1109">
        <f t="shared" si="1799"/>
        <v>3.125</v>
      </c>
      <c r="BJ1285" s="1109">
        <f t="shared" si="1799"/>
        <v>3.125</v>
      </c>
    </row>
    <row r="1286" spans="3:62" hidden="1" outlineLevel="1">
      <c r="C1286" s="1071" t="str">
        <f t="shared" ref="C1286:F1286" si="1800">C969</f>
        <v>Test Equipment</v>
      </c>
      <c r="D1286" s="1071" t="str">
        <f t="shared" si="1800"/>
        <v>Test Equipment</v>
      </c>
      <c r="E1286" s="1071" t="str">
        <f t="shared" si="1800"/>
        <v>T003</v>
      </c>
      <c r="F1286" s="1125" t="str">
        <f t="shared" si="1800"/>
        <v>2021-2024</v>
      </c>
      <c r="H1286" s="1071" t="s">
        <v>29</v>
      </c>
      <c r="AZ1286" s="1108"/>
      <c r="BA1286" s="1109"/>
      <c r="BB1286" s="1109"/>
      <c r="BC1286" s="1109"/>
      <c r="BD1286" s="1109"/>
      <c r="BE1286" s="1109"/>
      <c r="BF1286" s="1109">
        <f t="shared" ref="BF1286:BJ1286" si="1801">BF622*$AY319</f>
        <v>0</v>
      </c>
      <c r="BG1286" s="1109">
        <f t="shared" si="1801"/>
        <v>1.25</v>
      </c>
      <c r="BH1286" s="1109">
        <f t="shared" si="1801"/>
        <v>5</v>
      </c>
      <c r="BI1286" s="1109">
        <f t="shared" si="1801"/>
        <v>5</v>
      </c>
      <c r="BJ1286" s="1109">
        <f t="shared" si="1801"/>
        <v>5</v>
      </c>
    </row>
    <row r="1287" spans="3:62" hidden="1" outlineLevel="1">
      <c r="C1287" s="1071" t="str">
        <f t="shared" ref="C1287:F1287" si="1802">C970</f>
        <v>Multifunctional Devices - Network Printers</v>
      </c>
      <c r="D1287" s="1071" t="str">
        <f t="shared" si="1802"/>
        <v>Multifunctional Devices - Network Printers</v>
      </c>
      <c r="E1287" s="1071" t="str">
        <f t="shared" si="1802"/>
        <v>U017</v>
      </c>
      <c r="F1287" s="1125" t="str">
        <f t="shared" si="1802"/>
        <v>2021-2024</v>
      </c>
      <c r="H1287" s="1071" t="s">
        <v>29</v>
      </c>
      <c r="AZ1287" s="1108"/>
      <c r="BA1287" s="1109"/>
      <c r="BB1287" s="1109"/>
      <c r="BC1287" s="1109"/>
      <c r="BD1287" s="1109"/>
      <c r="BE1287" s="1109"/>
      <c r="BF1287" s="1109">
        <f t="shared" ref="BF1287:BJ1287" si="1803">BF623*$AY320</f>
        <v>0</v>
      </c>
      <c r="BG1287" s="1109">
        <f t="shared" si="1803"/>
        <v>0.5625</v>
      </c>
      <c r="BH1287" s="1109">
        <f t="shared" si="1803"/>
        <v>2.8125</v>
      </c>
      <c r="BI1287" s="1109">
        <f t="shared" si="1803"/>
        <v>3</v>
      </c>
      <c r="BJ1287" s="1109">
        <f t="shared" si="1803"/>
        <v>3</v>
      </c>
    </row>
    <row r="1288" spans="3:62" hidden="1" outlineLevel="1">
      <c r="C1288" s="1071" t="str">
        <f t="shared" ref="C1288:F1288" si="1804">C971</f>
        <v>Virtual Environment Server Replacements</v>
      </c>
      <c r="D1288" s="1071" t="str">
        <f t="shared" si="1804"/>
        <v>Virtual Environment Server Replacements</v>
      </c>
      <c r="E1288" s="1071" t="str">
        <f t="shared" si="1804"/>
        <v>U018</v>
      </c>
      <c r="F1288" s="1125" t="str">
        <f t="shared" si="1804"/>
        <v>2021-2024</v>
      </c>
      <c r="H1288" s="1071" t="s">
        <v>29</v>
      </c>
      <c r="AZ1288" s="1108"/>
      <c r="BA1288" s="1109"/>
      <c r="BB1288" s="1109"/>
      <c r="BC1288" s="1109"/>
      <c r="BD1288" s="1109"/>
      <c r="BE1288" s="1109"/>
      <c r="BF1288" s="1109">
        <f t="shared" ref="BF1288:BJ1288" si="1805">BF624*$AY321</f>
        <v>0</v>
      </c>
      <c r="BG1288" s="1109">
        <f t="shared" si="1805"/>
        <v>0.9375</v>
      </c>
      <c r="BH1288" s="1109">
        <f t="shared" si="1805"/>
        <v>4.6875</v>
      </c>
      <c r="BI1288" s="1109">
        <f t="shared" si="1805"/>
        <v>5</v>
      </c>
      <c r="BJ1288" s="1109">
        <f t="shared" si="1805"/>
        <v>4.0625</v>
      </c>
    </row>
    <row r="1289" spans="3:62" hidden="1" outlineLevel="1">
      <c r="C1289" s="1071" t="str">
        <f t="shared" ref="C1289:F1289" si="1806">C972</f>
        <v>Server Replacements</v>
      </c>
      <c r="D1289" s="1071" t="str">
        <f t="shared" si="1806"/>
        <v>Server Replacements</v>
      </c>
      <c r="E1289" s="1071" t="str">
        <f t="shared" si="1806"/>
        <v>T019</v>
      </c>
      <c r="F1289" s="1125" t="str">
        <f t="shared" si="1806"/>
        <v>2021-2024</v>
      </c>
      <c r="H1289" s="1071" t="s">
        <v>29</v>
      </c>
      <c r="AZ1289" s="1108"/>
      <c r="BA1289" s="1109"/>
      <c r="BB1289" s="1109"/>
      <c r="BC1289" s="1109"/>
      <c r="BD1289" s="1109"/>
      <c r="BE1289" s="1109"/>
      <c r="BF1289" s="1109">
        <f t="shared" ref="BF1289:BJ1289" si="1807">BF625*$AY322</f>
        <v>0</v>
      </c>
      <c r="BG1289" s="1109">
        <f t="shared" si="1807"/>
        <v>0</v>
      </c>
      <c r="BH1289" s="1109">
        <f t="shared" si="1807"/>
        <v>0</v>
      </c>
      <c r="BI1289" s="1109">
        <f t="shared" si="1807"/>
        <v>0</v>
      </c>
      <c r="BJ1289" s="1109">
        <f t="shared" si="1807"/>
        <v>0</v>
      </c>
    </row>
    <row r="1290" spans="3:62" hidden="1" outlineLevel="1">
      <c r="C1290" s="1071" t="str">
        <f t="shared" ref="C1290:F1290" si="1808">C973</f>
        <v>Server Replacements HQ</v>
      </c>
      <c r="D1290" s="1071" t="str">
        <f t="shared" si="1808"/>
        <v>Server Replacements</v>
      </c>
      <c r="E1290" s="1071" t="str">
        <f t="shared" si="1808"/>
        <v>T019A</v>
      </c>
      <c r="F1290" s="1125" t="str">
        <f t="shared" si="1808"/>
        <v>2021-2024</v>
      </c>
      <c r="H1290" s="1071" t="s">
        <v>29</v>
      </c>
      <c r="AZ1290" s="1108"/>
      <c r="BA1290" s="1109"/>
      <c r="BB1290" s="1109"/>
      <c r="BC1290" s="1109"/>
      <c r="BD1290" s="1109"/>
      <c r="BE1290" s="1109"/>
      <c r="BF1290" s="1109">
        <f t="shared" ref="BF1290:BJ1290" si="1809">BF626*$AY323</f>
        <v>0</v>
      </c>
      <c r="BG1290" s="1109">
        <f t="shared" si="1809"/>
        <v>1.2408999999999999</v>
      </c>
      <c r="BH1290" s="1109">
        <f t="shared" si="1809"/>
        <v>4.9635999999999996</v>
      </c>
      <c r="BI1290" s="1109">
        <f t="shared" si="1809"/>
        <v>4.9635999999999996</v>
      </c>
      <c r="BJ1290" s="1109">
        <f t="shared" si="1809"/>
        <v>3.7226999999999997</v>
      </c>
    </row>
    <row r="1291" spans="3:62" hidden="1" outlineLevel="1">
      <c r="C1291" s="1071" t="str">
        <f t="shared" ref="C1291:F1291" si="1810">C974</f>
        <v>Server Replacements BCY</v>
      </c>
      <c r="D1291" s="1071" t="str">
        <f t="shared" si="1810"/>
        <v>Server Replacements</v>
      </c>
      <c r="E1291" s="1071" t="str">
        <f t="shared" si="1810"/>
        <v>T019A</v>
      </c>
      <c r="F1291" s="1125" t="str">
        <f t="shared" si="1810"/>
        <v>2021-2024</v>
      </c>
      <c r="H1291" s="1071" t="s">
        <v>29</v>
      </c>
      <c r="AZ1291" s="1108"/>
      <c r="BA1291" s="1109"/>
      <c r="BB1291" s="1109"/>
      <c r="BC1291" s="1109"/>
      <c r="BD1291" s="1109"/>
      <c r="BE1291" s="1109"/>
      <c r="BF1291" s="1109">
        <f t="shared" ref="BF1291:BJ1291" si="1811">BF627*$AY324</f>
        <v>0</v>
      </c>
      <c r="BG1291" s="1109">
        <f t="shared" si="1811"/>
        <v>0</v>
      </c>
      <c r="BH1291" s="1109">
        <f t="shared" si="1811"/>
        <v>0</v>
      </c>
      <c r="BI1291" s="1109">
        <f t="shared" si="1811"/>
        <v>0</v>
      </c>
      <c r="BJ1291" s="1109">
        <f t="shared" si="1811"/>
        <v>0</v>
      </c>
    </row>
    <row r="1292" spans="3:62" hidden="1" outlineLevel="1">
      <c r="C1292" s="1071" t="str">
        <f t="shared" ref="C1292:F1292" si="1812">C975</f>
        <v>Essential Security Upgrades</v>
      </c>
      <c r="D1292" s="1071" t="str">
        <f t="shared" si="1812"/>
        <v>Essential Security Upgrades</v>
      </c>
      <c r="E1292" s="1071" t="str">
        <f t="shared" si="1812"/>
        <v>T009</v>
      </c>
      <c r="F1292" s="1125" t="str">
        <f t="shared" si="1812"/>
        <v>2021-2024</v>
      </c>
      <c r="H1292" s="1071" t="s">
        <v>29</v>
      </c>
      <c r="AZ1292" s="1108"/>
      <c r="BA1292" s="1109"/>
      <c r="BB1292" s="1109"/>
      <c r="BC1292" s="1109"/>
      <c r="BD1292" s="1109"/>
      <c r="BE1292" s="1109"/>
      <c r="BF1292" s="1109">
        <f t="shared" ref="BF1292:BJ1292" si="1813">BF628*$AY325</f>
        <v>0</v>
      </c>
      <c r="BG1292" s="1109">
        <f t="shared" si="1813"/>
        <v>0</v>
      </c>
      <c r="BH1292" s="1109">
        <f t="shared" si="1813"/>
        <v>0</v>
      </c>
      <c r="BI1292" s="1109">
        <f t="shared" si="1813"/>
        <v>0</v>
      </c>
      <c r="BJ1292" s="1109">
        <f t="shared" si="1813"/>
        <v>0</v>
      </c>
    </row>
    <row r="1293" spans="3:62" hidden="1" outlineLevel="1">
      <c r="C1293" s="1071" t="str">
        <f t="shared" ref="C1293:F1293" si="1814">C976</f>
        <v>Essential Security Upgrades DUB</v>
      </c>
      <c r="D1293" s="1071" t="str">
        <f t="shared" si="1814"/>
        <v>Essential Security Upgrades</v>
      </c>
      <c r="E1293" s="1071" t="str">
        <f t="shared" si="1814"/>
        <v>T009A</v>
      </c>
      <c r="F1293" s="1125" t="str">
        <f t="shared" si="1814"/>
        <v>2021-2024</v>
      </c>
      <c r="H1293" s="1071" t="s">
        <v>29</v>
      </c>
      <c r="AZ1293" s="1108"/>
      <c r="BA1293" s="1109"/>
      <c r="BB1293" s="1109"/>
      <c r="BC1293" s="1109"/>
      <c r="BD1293" s="1109"/>
      <c r="BE1293" s="1109"/>
      <c r="BF1293" s="1109">
        <f t="shared" ref="BF1293:BJ1293" si="1815">BF629*$AY326</f>
        <v>0</v>
      </c>
      <c r="BG1293" s="1109">
        <f t="shared" si="1815"/>
        <v>0.9361250000000001</v>
      </c>
      <c r="BH1293" s="1109">
        <f t="shared" si="1815"/>
        <v>1.8722500000000002</v>
      </c>
      <c r="BI1293" s="1109">
        <f t="shared" si="1815"/>
        <v>1.8722500000000002</v>
      </c>
      <c r="BJ1293" s="1109">
        <f t="shared" si="1815"/>
        <v>1.8722500000000002</v>
      </c>
    </row>
    <row r="1294" spans="3:62" hidden="1" outlineLevel="1">
      <c r="C1294" s="1071" t="str">
        <f t="shared" ref="C1294:F1294" si="1816">C977</f>
        <v>Essential Security Upgrades Cork</v>
      </c>
      <c r="D1294" s="1071" t="str">
        <f t="shared" si="1816"/>
        <v>Essential Security Upgrades</v>
      </c>
      <c r="E1294" s="1071" t="str">
        <f t="shared" si="1816"/>
        <v>T009A</v>
      </c>
      <c r="F1294" s="1125" t="str">
        <f t="shared" si="1816"/>
        <v>2021-2024</v>
      </c>
      <c r="H1294" s="1071" t="s">
        <v>29</v>
      </c>
      <c r="AZ1294" s="1108"/>
      <c r="BA1294" s="1109"/>
      <c r="BB1294" s="1109"/>
      <c r="BC1294" s="1109"/>
      <c r="BD1294" s="1109"/>
      <c r="BE1294" s="1109"/>
      <c r="BF1294" s="1109">
        <f t="shared" ref="BF1294:BJ1294" si="1817">BF630*$AY327</f>
        <v>0</v>
      </c>
      <c r="BG1294" s="1109">
        <f t="shared" si="1817"/>
        <v>0</v>
      </c>
      <c r="BH1294" s="1109">
        <f t="shared" si="1817"/>
        <v>0</v>
      </c>
      <c r="BI1294" s="1109">
        <f t="shared" si="1817"/>
        <v>0</v>
      </c>
      <c r="BJ1294" s="1109">
        <f t="shared" si="1817"/>
        <v>0</v>
      </c>
    </row>
    <row r="1295" spans="3:62" hidden="1" outlineLevel="1">
      <c r="C1295" s="1071" t="str">
        <f t="shared" ref="C1295:F1295" si="1818">C978</f>
        <v>Essential Security Upgrades SHN</v>
      </c>
      <c r="D1295" s="1071" t="str">
        <f t="shared" si="1818"/>
        <v>Essential Security Upgrades</v>
      </c>
      <c r="E1295" s="1071" t="str">
        <f t="shared" si="1818"/>
        <v>T009A</v>
      </c>
      <c r="F1295" s="1125" t="str">
        <f t="shared" si="1818"/>
        <v>2021-2024</v>
      </c>
      <c r="H1295" s="1071" t="s">
        <v>29</v>
      </c>
      <c r="AZ1295" s="1108"/>
      <c r="BA1295" s="1109"/>
      <c r="BB1295" s="1109"/>
      <c r="BC1295" s="1109"/>
      <c r="BD1295" s="1109"/>
      <c r="BE1295" s="1109"/>
      <c r="BF1295" s="1109">
        <f t="shared" ref="BF1295:BJ1295" si="1819">BF631*$AY328</f>
        <v>0</v>
      </c>
      <c r="BG1295" s="1109">
        <f t="shared" si="1819"/>
        <v>0</v>
      </c>
      <c r="BH1295" s="1109">
        <f t="shared" si="1819"/>
        <v>0</v>
      </c>
      <c r="BI1295" s="1109">
        <f t="shared" si="1819"/>
        <v>0</v>
      </c>
      <c r="BJ1295" s="1109">
        <f t="shared" si="1819"/>
        <v>0</v>
      </c>
    </row>
    <row r="1296" spans="3:62" hidden="1" outlineLevel="1">
      <c r="C1296" s="1071" t="str">
        <f t="shared" ref="C1296:F1296" si="1820">C979</f>
        <v>Network test equipment</v>
      </c>
      <c r="D1296" s="1071" t="str">
        <f t="shared" si="1820"/>
        <v>Network test equipment</v>
      </c>
      <c r="E1296" s="1071" t="str">
        <f t="shared" si="1820"/>
        <v>U009</v>
      </c>
      <c r="F1296" s="1125" t="str">
        <f t="shared" si="1820"/>
        <v>2021-2024</v>
      </c>
      <c r="H1296" s="1071" t="s">
        <v>29</v>
      </c>
      <c r="AZ1296" s="1108"/>
      <c r="BA1296" s="1109"/>
      <c r="BB1296" s="1109"/>
      <c r="BC1296" s="1109"/>
      <c r="BD1296" s="1109"/>
      <c r="BE1296" s="1109"/>
      <c r="BF1296" s="1109">
        <f t="shared" ref="BF1296:BJ1296" si="1821">BF632*$AY329</f>
        <v>0</v>
      </c>
      <c r="BG1296" s="1109">
        <f t="shared" si="1821"/>
        <v>0</v>
      </c>
      <c r="BH1296" s="1109">
        <f t="shared" si="1821"/>
        <v>0</v>
      </c>
      <c r="BI1296" s="1109">
        <f t="shared" si="1821"/>
        <v>1.125</v>
      </c>
      <c r="BJ1296" s="1109">
        <f t="shared" si="1821"/>
        <v>4.5</v>
      </c>
    </row>
    <row r="1297" spans="3:62" hidden="1" outlineLevel="1">
      <c r="C1297" s="1071" t="str">
        <f t="shared" ref="C1297:F1297" si="1822">C980</f>
        <v>Audio visual rooms</v>
      </c>
      <c r="D1297" s="1071" t="str">
        <f t="shared" si="1822"/>
        <v>Audio visual rooms</v>
      </c>
      <c r="E1297" s="1071" t="str">
        <f t="shared" si="1822"/>
        <v>S026</v>
      </c>
      <c r="F1297" s="1125" t="str">
        <f t="shared" si="1822"/>
        <v>2021-2024</v>
      </c>
      <c r="H1297" s="1071" t="s">
        <v>29</v>
      </c>
      <c r="AZ1297" s="1108"/>
      <c r="BA1297" s="1109"/>
      <c r="BB1297" s="1109"/>
      <c r="BC1297" s="1109"/>
      <c r="BD1297" s="1109"/>
      <c r="BE1297" s="1109"/>
      <c r="BF1297" s="1109">
        <f t="shared" ref="BF1297:BJ1297" si="1823">BF633*$AY330</f>
        <v>0</v>
      </c>
      <c r="BG1297" s="1109">
        <f t="shared" si="1823"/>
        <v>1.125</v>
      </c>
      <c r="BH1297" s="1109">
        <f t="shared" si="1823"/>
        <v>4.5</v>
      </c>
      <c r="BI1297" s="1109">
        <f t="shared" si="1823"/>
        <v>4.5</v>
      </c>
      <c r="BJ1297" s="1109">
        <f t="shared" si="1823"/>
        <v>3.375</v>
      </c>
    </row>
    <row r="1298" spans="3:62" hidden="1" outlineLevel="1">
      <c r="C1298" s="1071" t="str">
        <f t="shared" ref="C1298:F1298" si="1824">C981</f>
        <v>Migration of FMTP from IPv4 to IPv6</v>
      </c>
      <c r="D1298" s="1071" t="str">
        <f t="shared" si="1824"/>
        <v>Migration of FMTP from IPv4 to IPv6</v>
      </c>
      <c r="E1298" s="1071" t="str">
        <f t="shared" si="1824"/>
        <v>Q004</v>
      </c>
      <c r="F1298" s="1125" t="str">
        <f t="shared" si="1824"/>
        <v>2021-2024</v>
      </c>
      <c r="H1298" s="1071" t="s">
        <v>29</v>
      </c>
      <c r="AZ1298" s="1108"/>
      <c r="BA1298" s="1109"/>
      <c r="BB1298" s="1109"/>
      <c r="BC1298" s="1109"/>
      <c r="BD1298" s="1109"/>
      <c r="BE1298" s="1109"/>
      <c r="BF1298" s="1109">
        <f t="shared" ref="BF1298:BJ1298" si="1825">BF634*$AY331</f>
        <v>0</v>
      </c>
      <c r="BG1298" s="1109">
        <f t="shared" si="1825"/>
        <v>0.65474179687500011</v>
      </c>
      <c r="BH1298" s="1109">
        <f t="shared" si="1825"/>
        <v>2.6189671875000005</v>
      </c>
      <c r="BI1298" s="1109">
        <f t="shared" si="1825"/>
        <v>2.6189671875000005</v>
      </c>
      <c r="BJ1298" s="1109">
        <f t="shared" si="1825"/>
        <v>2.6189671875000005</v>
      </c>
    </row>
    <row r="1299" spans="3:62" hidden="1" outlineLevel="1">
      <c r="C1299" s="1071" t="str">
        <f t="shared" ref="C1299:F1299" si="1826">C982</f>
        <v>PABX Infrastructure</v>
      </c>
      <c r="D1299" s="1071" t="str">
        <f t="shared" si="1826"/>
        <v>PABX Infrastructure</v>
      </c>
      <c r="E1299" s="1071" t="str">
        <f t="shared" si="1826"/>
        <v>P005</v>
      </c>
      <c r="F1299" s="1125" t="str">
        <f t="shared" si="1826"/>
        <v>2021-2024</v>
      </c>
      <c r="H1299" s="1071" t="s">
        <v>29</v>
      </c>
      <c r="AZ1299" s="1108"/>
      <c r="BA1299" s="1109"/>
      <c r="BB1299" s="1109"/>
      <c r="BC1299" s="1109"/>
      <c r="BD1299" s="1109"/>
      <c r="BE1299" s="1109"/>
      <c r="BF1299" s="1109">
        <f t="shared" ref="BF1299:BJ1299" si="1827">BF635*$AY332</f>
        <v>0</v>
      </c>
      <c r="BG1299" s="1109">
        <f t="shared" si="1827"/>
        <v>1.2749517187500001</v>
      </c>
      <c r="BH1299" s="1109">
        <f t="shared" si="1827"/>
        <v>2.5499034375000003</v>
      </c>
      <c r="BI1299" s="1109">
        <f t="shared" si="1827"/>
        <v>2.5499034375000003</v>
      </c>
      <c r="BJ1299" s="1109">
        <f t="shared" si="1827"/>
        <v>2.5499034375000003</v>
      </c>
    </row>
    <row r="1300" spans="3:62" hidden="1" outlineLevel="1">
      <c r="C1300" s="1071" t="str">
        <f t="shared" ref="C1300:F1300" si="1828">C983</f>
        <v>Gerator Upgrade Programme</v>
      </c>
      <c r="D1300" s="1071" t="str">
        <f t="shared" si="1828"/>
        <v>Gerator Upgrade Programme</v>
      </c>
      <c r="E1300" s="1071" t="str">
        <f t="shared" si="1828"/>
        <v>T004</v>
      </c>
      <c r="F1300" s="1125" t="str">
        <f t="shared" si="1828"/>
        <v>2021-2024</v>
      </c>
      <c r="H1300" s="1071" t="s">
        <v>29</v>
      </c>
      <c r="AZ1300" s="1108"/>
      <c r="BA1300" s="1109"/>
      <c r="BB1300" s="1109"/>
      <c r="BC1300" s="1109"/>
      <c r="BD1300" s="1109"/>
      <c r="BE1300" s="1109"/>
      <c r="BF1300" s="1109">
        <f t="shared" ref="BF1300:BJ1300" si="1829">BF636*$AY333</f>
        <v>0</v>
      </c>
      <c r="BG1300" s="1109">
        <f t="shared" si="1829"/>
        <v>0</v>
      </c>
      <c r="BH1300" s="1109">
        <f t="shared" si="1829"/>
        <v>0</v>
      </c>
      <c r="BI1300" s="1109">
        <f t="shared" si="1829"/>
        <v>0</v>
      </c>
      <c r="BJ1300" s="1109">
        <f t="shared" si="1829"/>
        <v>0</v>
      </c>
    </row>
    <row r="1301" spans="3:62" hidden="1" outlineLevel="1">
      <c r="C1301" s="1071" t="str">
        <f t="shared" ref="C1301:F1301" si="1830">C984</f>
        <v>Gerator Upgrade Programme - Woodcock Hill</v>
      </c>
      <c r="D1301" s="1071" t="str">
        <f t="shared" si="1830"/>
        <v>Gerator Upgrade Programme</v>
      </c>
      <c r="E1301" s="1071" t="str">
        <f t="shared" si="1830"/>
        <v>T004A</v>
      </c>
      <c r="F1301" s="1125" t="str">
        <f t="shared" si="1830"/>
        <v>2021-2024</v>
      </c>
      <c r="H1301" s="1071" t="s">
        <v>29</v>
      </c>
      <c r="AZ1301" s="1108"/>
      <c r="BA1301" s="1109"/>
      <c r="BB1301" s="1109"/>
      <c r="BC1301" s="1109"/>
      <c r="BD1301" s="1109"/>
      <c r="BE1301" s="1109"/>
      <c r="BF1301" s="1109">
        <f t="shared" ref="BF1301:BJ1301" si="1831">BF637*$AY334</f>
        <v>0</v>
      </c>
      <c r="BG1301" s="1109">
        <f t="shared" si="1831"/>
        <v>0</v>
      </c>
      <c r="BH1301" s="1109">
        <f t="shared" si="1831"/>
        <v>2.5</v>
      </c>
      <c r="BI1301" s="1109">
        <f t="shared" si="1831"/>
        <v>2.5</v>
      </c>
      <c r="BJ1301" s="1109">
        <f t="shared" si="1831"/>
        <v>2.5</v>
      </c>
    </row>
    <row r="1302" spans="3:62" hidden="1" outlineLevel="1">
      <c r="C1302" s="1071" t="str">
        <f t="shared" ref="C1302:F1302" si="1832">C985</f>
        <v>Test Equipment for Navigational Aid Systems</v>
      </c>
      <c r="D1302" s="1071" t="str">
        <f t="shared" si="1832"/>
        <v>Nav Aids Equipment</v>
      </c>
      <c r="E1302" s="1071" t="str">
        <f t="shared" si="1832"/>
        <v>S004</v>
      </c>
      <c r="F1302" s="1125" t="str">
        <f t="shared" si="1832"/>
        <v>2021-2024</v>
      </c>
      <c r="H1302" s="1071" t="s">
        <v>29</v>
      </c>
      <c r="AZ1302" s="1108"/>
      <c r="BA1302" s="1109"/>
      <c r="BB1302" s="1109"/>
      <c r="BC1302" s="1109"/>
      <c r="BD1302" s="1109"/>
      <c r="BE1302" s="1109"/>
      <c r="BF1302" s="1109">
        <f t="shared" ref="BF1302:BJ1302" si="1833">BF638*$AY335</f>
        <v>0</v>
      </c>
      <c r="BG1302" s="1109">
        <f t="shared" si="1833"/>
        <v>0</v>
      </c>
      <c r="BH1302" s="1109">
        <f t="shared" si="1833"/>
        <v>0</v>
      </c>
      <c r="BI1302" s="1109">
        <f t="shared" si="1833"/>
        <v>0</v>
      </c>
      <c r="BJ1302" s="1109">
        <f t="shared" si="1833"/>
        <v>0</v>
      </c>
    </row>
    <row r="1303" spans="3:62" hidden="1" outlineLevel="1">
      <c r="C1303" s="1071" t="str">
        <f t="shared" ref="C1303:F1303" si="1834">C986</f>
        <v>Nav Aids Equipment Dublin</v>
      </c>
      <c r="D1303" s="1071" t="str">
        <f t="shared" si="1834"/>
        <v>Nav Aids Equipment</v>
      </c>
      <c r="E1303" s="1071" t="str">
        <f t="shared" si="1834"/>
        <v>S004A</v>
      </c>
      <c r="F1303" s="1125" t="str">
        <f t="shared" si="1834"/>
        <v>2021-2024</v>
      </c>
      <c r="H1303" s="1071" t="s">
        <v>29</v>
      </c>
      <c r="AZ1303" s="1108"/>
      <c r="BA1303" s="1109"/>
      <c r="BB1303" s="1109"/>
      <c r="BC1303" s="1109"/>
      <c r="BD1303" s="1109"/>
      <c r="BE1303" s="1109"/>
      <c r="BF1303" s="1109">
        <f t="shared" ref="BF1303:BJ1303" si="1835">BF639*$AY336</f>
        <v>0</v>
      </c>
      <c r="BG1303" s="1109">
        <f t="shared" si="1835"/>
        <v>1.1847687499999984</v>
      </c>
      <c r="BH1303" s="1109">
        <f t="shared" si="1835"/>
        <v>4.7390749999999935</v>
      </c>
      <c r="BI1303" s="1109">
        <f t="shared" si="1835"/>
        <v>4.7390749999999935</v>
      </c>
      <c r="BJ1303" s="1109">
        <f t="shared" si="1835"/>
        <v>4.7390749999999935</v>
      </c>
    </row>
    <row r="1304" spans="3:62" hidden="1" outlineLevel="1">
      <c r="C1304" s="1071" t="str">
        <f t="shared" ref="C1304:F1304" si="1836">C987</f>
        <v>Nav Aids Equipment Cork</v>
      </c>
      <c r="D1304" s="1071" t="str">
        <f t="shared" si="1836"/>
        <v>Nav Aids Equipment</v>
      </c>
      <c r="E1304" s="1071" t="str">
        <f t="shared" si="1836"/>
        <v>S004A</v>
      </c>
      <c r="F1304" s="1125" t="str">
        <f t="shared" si="1836"/>
        <v>2021-2024</v>
      </c>
      <c r="H1304" s="1071" t="s">
        <v>29</v>
      </c>
      <c r="AZ1304" s="1108"/>
      <c r="BA1304" s="1109"/>
      <c r="BB1304" s="1109"/>
      <c r="BC1304" s="1109"/>
      <c r="BD1304" s="1109"/>
      <c r="BE1304" s="1109"/>
      <c r="BF1304" s="1109">
        <f t="shared" ref="BF1304:BJ1304" si="1837">BF640*$AY337</f>
        <v>0</v>
      </c>
      <c r="BG1304" s="1109">
        <f t="shared" si="1837"/>
        <v>0</v>
      </c>
      <c r="BH1304" s="1109">
        <f t="shared" si="1837"/>
        <v>0</v>
      </c>
      <c r="BI1304" s="1109">
        <f t="shared" si="1837"/>
        <v>0</v>
      </c>
      <c r="BJ1304" s="1109">
        <f t="shared" si="1837"/>
        <v>0</v>
      </c>
    </row>
    <row r="1305" spans="3:62" hidden="1" outlineLevel="1">
      <c r="C1305" s="1071" t="str">
        <f t="shared" ref="C1305:F1305" si="1838">C988</f>
        <v>Nav Aids Equipment Shannon</v>
      </c>
      <c r="D1305" s="1071" t="str">
        <f t="shared" si="1838"/>
        <v>Nav Aids Equipment</v>
      </c>
      <c r="E1305" s="1071" t="str">
        <f t="shared" si="1838"/>
        <v>S004A</v>
      </c>
      <c r="F1305" s="1125" t="str">
        <f t="shared" si="1838"/>
        <v>2021-2024</v>
      </c>
      <c r="H1305" s="1071" t="s">
        <v>29</v>
      </c>
      <c r="AZ1305" s="1108"/>
      <c r="BA1305" s="1109"/>
      <c r="BB1305" s="1109"/>
      <c r="BC1305" s="1109"/>
      <c r="BD1305" s="1109"/>
      <c r="BE1305" s="1109"/>
      <c r="BF1305" s="1109">
        <f t="shared" ref="BF1305:BJ1305" si="1839">BF641*$AY338</f>
        <v>0</v>
      </c>
      <c r="BG1305" s="1109">
        <f t="shared" si="1839"/>
        <v>0</v>
      </c>
      <c r="BH1305" s="1109">
        <f t="shared" si="1839"/>
        <v>1.09375</v>
      </c>
      <c r="BI1305" s="1109">
        <f t="shared" si="1839"/>
        <v>4.375</v>
      </c>
      <c r="BJ1305" s="1109">
        <f t="shared" si="1839"/>
        <v>4.375</v>
      </c>
    </row>
    <row r="1306" spans="3:62" hidden="1" outlineLevel="1">
      <c r="C1306" s="1071" t="str">
        <f t="shared" ref="C1306:F1306" si="1840">C989</f>
        <v>Conference Centre Wi-FI &amp; UPS</v>
      </c>
      <c r="D1306" s="1071" t="str">
        <f t="shared" si="1840"/>
        <v>Conference Centre Wi-FI &amp; UPS</v>
      </c>
      <c r="E1306" s="1071" t="str">
        <f t="shared" si="1840"/>
        <v>S033</v>
      </c>
      <c r="F1306" s="1125" t="str">
        <f t="shared" si="1840"/>
        <v>2021-2024</v>
      </c>
      <c r="H1306" s="1071" t="s">
        <v>29</v>
      </c>
      <c r="AZ1306" s="1108"/>
      <c r="BA1306" s="1109"/>
      <c r="BB1306" s="1109"/>
      <c r="BC1306" s="1109"/>
      <c r="BD1306" s="1109"/>
      <c r="BE1306" s="1109"/>
      <c r="BF1306" s="1109">
        <f t="shared" ref="BF1306:BJ1306" si="1841">BF642*$AY339</f>
        <v>0</v>
      </c>
      <c r="BG1306" s="1109">
        <f t="shared" si="1841"/>
        <v>0.26250000000000001</v>
      </c>
      <c r="BH1306" s="1109">
        <f t="shared" si="1841"/>
        <v>1.05</v>
      </c>
      <c r="BI1306" s="1109">
        <f t="shared" si="1841"/>
        <v>1.05</v>
      </c>
      <c r="BJ1306" s="1109">
        <f t="shared" si="1841"/>
        <v>1.05</v>
      </c>
    </row>
    <row r="1307" spans="3:62" hidden="1" outlineLevel="1">
      <c r="C1307" s="1071" t="str">
        <f t="shared" ref="C1307:F1307" si="1842">C990</f>
        <v>Mechanical and Electrical Requirements</v>
      </c>
      <c r="D1307" s="1071" t="str">
        <f t="shared" si="1842"/>
        <v>Mechanical and Electrical Requirements</v>
      </c>
      <c r="E1307" s="1071" t="str">
        <f t="shared" si="1842"/>
        <v>S022</v>
      </c>
      <c r="F1307" s="1125" t="str">
        <f t="shared" si="1842"/>
        <v>2021-2024</v>
      </c>
      <c r="H1307" s="1071" t="s">
        <v>29</v>
      </c>
      <c r="AZ1307" s="1108"/>
      <c r="BA1307" s="1109"/>
      <c r="BB1307" s="1109"/>
      <c r="BC1307" s="1109"/>
      <c r="BD1307" s="1109"/>
      <c r="BE1307" s="1109"/>
      <c r="BF1307" s="1109">
        <f t="shared" ref="BF1307:BJ1307" si="1843">BF643*$AY340</f>
        <v>0</v>
      </c>
      <c r="BG1307" s="1109">
        <f t="shared" si="1843"/>
        <v>0</v>
      </c>
      <c r="BH1307" s="1109">
        <f t="shared" si="1843"/>
        <v>0.85978125000000005</v>
      </c>
      <c r="BI1307" s="1109">
        <f t="shared" si="1843"/>
        <v>0.85978125000000005</v>
      </c>
      <c r="BJ1307" s="1109">
        <f t="shared" si="1843"/>
        <v>0.85978125000000005</v>
      </c>
    </row>
    <row r="1308" spans="3:62" hidden="1" outlineLevel="1">
      <c r="C1308" s="1071" t="str">
        <f t="shared" ref="C1308:F1308" si="1844">C991</f>
        <v>Controller Pilot Data Linking (CPDLC) SITA Ground Station expansion</v>
      </c>
      <c r="D1308" s="1071" t="str">
        <f t="shared" si="1844"/>
        <v>Controller Pilot Data Linking (CPDLC) SITA Ground Station expansion</v>
      </c>
      <c r="E1308" s="1071" t="str">
        <f t="shared" si="1844"/>
        <v>Q009</v>
      </c>
      <c r="F1308" s="1125" t="str">
        <f t="shared" si="1844"/>
        <v>2021-2024</v>
      </c>
      <c r="H1308" s="1071" t="s">
        <v>29</v>
      </c>
      <c r="AZ1308" s="1108"/>
      <c r="BA1308" s="1109"/>
      <c r="BB1308" s="1109"/>
      <c r="BC1308" s="1109"/>
      <c r="BD1308" s="1109"/>
      <c r="BE1308" s="1109"/>
      <c r="BF1308" s="1109">
        <f t="shared" ref="BF1308:BJ1308" si="1845">BF644*$AY341</f>
        <v>0</v>
      </c>
      <c r="BG1308" s="1109">
        <f t="shared" si="1845"/>
        <v>0</v>
      </c>
      <c r="BH1308" s="1109">
        <f t="shared" si="1845"/>
        <v>0</v>
      </c>
      <c r="BI1308" s="1109">
        <f t="shared" si="1845"/>
        <v>0</v>
      </c>
      <c r="BJ1308" s="1109">
        <f t="shared" si="1845"/>
        <v>0</v>
      </c>
    </row>
    <row r="1309" spans="3:62" hidden="1" outlineLevel="1">
      <c r="C1309" s="1071" t="str">
        <f t="shared" ref="C1309:F1309" si="1846">C992</f>
        <v>Piloting New Technology</v>
      </c>
      <c r="D1309" s="1071" t="str">
        <f t="shared" si="1846"/>
        <v>Piloting New Technology</v>
      </c>
      <c r="E1309" s="1071" t="str">
        <f t="shared" si="1846"/>
        <v>L016</v>
      </c>
      <c r="F1309" s="1125" t="str">
        <f t="shared" si="1846"/>
        <v>2021-2024</v>
      </c>
      <c r="H1309" s="1071" t="s">
        <v>29</v>
      </c>
      <c r="AZ1309" s="1108"/>
      <c r="BA1309" s="1109"/>
      <c r="BB1309" s="1109"/>
      <c r="BC1309" s="1109"/>
      <c r="BD1309" s="1109"/>
      <c r="BE1309" s="1109"/>
      <c r="BF1309" s="1109">
        <f t="shared" ref="BF1309:BJ1309" si="1847">BF645*$AY342</f>
        <v>0</v>
      </c>
      <c r="BG1309" s="1109">
        <f t="shared" si="1847"/>
        <v>0</v>
      </c>
      <c r="BH1309" s="1109">
        <f t="shared" si="1847"/>
        <v>0</v>
      </c>
      <c r="BI1309" s="1109">
        <f t="shared" si="1847"/>
        <v>1.9323333333333332</v>
      </c>
      <c r="BJ1309" s="1109">
        <f t="shared" si="1847"/>
        <v>1.9323333333333332</v>
      </c>
    </row>
    <row r="1310" spans="3:62" ht="10.15" customHeight="1" collapsed="1">
      <c r="C1310" s="1110"/>
      <c r="D1310" s="1110"/>
      <c r="E1310" s="1110"/>
      <c r="F1310" s="1110"/>
      <c r="G1310" s="1110"/>
      <c r="H1310" s="1110"/>
      <c r="I1310" s="1110"/>
      <c r="J1310" s="1110"/>
      <c r="K1310" s="1110"/>
      <c r="L1310" s="1110"/>
      <c r="M1310" s="1110"/>
      <c r="N1310" s="1110"/>
      <c r="O1310" s="1110"/>
      <c r="P1310" s="1110"/>
      <c r="Q1310" s="1110"/>
      <c r="R1310" s="1110"/>
      <c r="S1310" s="1110"/>
      <c r="T1310" s="1110"/>
      <c r="U1310" s="1110"/>
      <c r="V1310" s="1110"/>
      <c r="W1310" s="1110"/>
      <c r="X1310" s="1110"/>
      <c r="Y1310" s="1110"/>
      <c r="Z1310" s="1110"/>
      <c r="AA1310" s="1110"/>
      <c r="AB1310" s="1110"/>
      <c r="AC1310" s="1110"/>
      <c r="AD1310" s="1110"/>
      <c r="AE1310" s="1110"/>
      <c r="AF1310" s="1110"/>
      <c r="AG1310" s="1110"/>
      <c r="AH1310" s="1110"/>
      <c r="AI1310" s="1110"/>
      <c r="AJ1310" s="1110"/>
      <c r="AK1310" s="1110"/>
      <c r="AL1310" s="1110"/>
      <c r="AM1310" s="1110"/>
      <c r="AN1310" s="1110"/>
      <c r="AO1310" s="1110"/>
      <c r="AP1310" s="1110"/>
      <c r="AQ1310" s="1110"/>
      <c r="AR1310" s="1110"/>
      <c r="AS1310" s="1110"/>
      <c r="AT1310" s="1110"/>
      <c r="AU1310" s="1110"/>
      <c r="AV1310" s="1110"/>
      <c r="AW1310" s="1110"/>
      <c r="AX1310" s="1110"/>
      <c r="AY1310" s="1110"/>
      <c r="AZ1310" s="1110"/>
      <c r="BA1310" s="1111"/>
      <c r="BB1310" s="1111"/>
      <c r="BC1310" s="1111"/>
      <c r="BD1310" s="1111"/>
      <c r="BE1310" s="1111"/>
      <c r="BF1310" s="1111"/>
      <c r="BG1310" s="1111"/>
      <c r="BH1310" s="1111"/>
      <c r="BI1310" s="1111"/>
      <c r="BJ1310" s="1111"/>
    </row>
    <row r="1311" spans="3:62" ht="14.25" customHeight="1">
      <c r="C1311" s="1206" t="s">
        <v>727</v>
      </c>
      <c r="H1311" s="1576" t="s">
        <v>29</v>
      </c>
      <c r="BA1311" s="1071"/>
      <c r="BB1311" s="1071"/>
      <c r="BC1311" s="1071"/>
      <c r="BD1311" s="1071"/>
      <c r="BE1311" s="1071"/>
      <c r="BF1311" s="1105">
        <f>SUMPRODUCT(BF$45:BF$342,AQ$45:AQ$342,$K$45:$K$342,$AY$45:$AY$342)</f>
        <v>39.57135450000002</v>
      </c>
      <c r="BG1311" s="1105">
        <f t="shared" ref="BG1311:BJ1311" si="1848">SUMPRODUCT(BG$45:BG$342,AR$45:AR$342,$K$45:$K$342,$AY$45:$AY$342)</f>
        <v>1658.3743737144396</v>
      </c>
      <c r="BH1311" s="1105">
        <f t="shared" si="1848"/>
        <v>1039.6668284779619</v>
      </c>
      <c r="BI1311" s="1105">
        <f t="shared" si="1848"/>
        <v>784.98660201182406</v>
      </c>
      <c r="BJ1311" s="1105">
        <f t="shared" si="1848"/>
        <v>369.06246185939796</v>
      </c>
    </row>
    <row r="1312" spans="3:62" ht="13.5" customHeight="1">
      <c r="C1312" s="1206" t="s">
        <v>728</v>
      </c>
      <c r="H1312" s="1576" t="s">
        <v>29</v>
      </c>
      <c r="BA1312" s="1071"/>
      <c r="BB1312" s="1071"/>
      <c r="BC1312" s="1071"/>
      <c r="BD1312" s="1071"/>
      <c r="BE1312" s="1071"/>
      <c r="BF1312" s="1105">
        <f>BF1313-BF1311</f>
        <v>0</v>
      </c>
      <c r="BG1312" s="1105">
        <f t="shared" ref="BG1312:BJ1312" si="1849">BG1313-BG1311</f>
        <v>74.879767632319727</v>
      </c>
      <c r="BH1312" s="1105">
        <f t="shared" si="1849"/>
        <v>3565.5540896799439</v>
      </c>
      <c r="BI1312" s="1105">
        <f t="shared" si="1849"/>
        <v>5549.0226918091512</v>
      </c>
      <c r="BJ1312" s="1105">
        <f t="shared" si="1849"/>
        <v>6859.428602665389</v>
      </c>
    </row>
    <row r="1313" spans="1:63" s="1575" customFormat="1">
      <c r="C1313" s="1206" t="s">
        <v>729</v>
      </c>
      <c r="H1313" s="1576" t="s">
        <v>29</v>
      </c>
      <c r="BA1313" s="1105"/>
      <c r="BB1313" s="1105"/>
      <c r="BC1313" s="1105"/>
      <c r="BD1313" s="1105"/>
      <c r="BE1313" s="1105"/>
      <c r="BF1313" s="1105">
        <f>SUM(BF1012:BF1309)</f>
        <v>39.57135450000002</v>
      </c>
      <c r="BG1313" s="1105">
        <f>SUM(BG1012:BG1309)</f>
        <v>1733.2541413467593</v>
      </c>
      <c r="BH1313" s="1105">
        <f>SUM(BH1012:BH1309)</f>
        <v>4605.2209181579055</v>
      </c>
      <c r="BI1313" s="1105">
        <f>SUM(BI1012:BI1309)</f>
        <v>6334.0092938209755</v>
      </c>
      <c r="BJ1313" s="1105">
        <f>SUM(BJ1012:BJ1309)</f>
        <v>7228.4910645247874</v>
      </c>
      <c r="BK1313" s="1105"/>
    </row>
    <row r="1314" spans="1:63">
      <c r="C1314" s="1206" t="s">
        <v>730</v>
      </c>
      <c r="H1314" s="1104" t="s">
        <v>29</v>
      </c>
      <c r="BA1314" s="1105"/>
      <c r="BB1314" s="1105"/>
      <c r="BC1314" s="1105"/>
      <c r="BD1314" s="1105"/>
      <c r="BE1314" s="1105"/>
      <c r="BF1314" s="1105">
        <f>BF23</f>
        <v>2400.1864614425212</v>
      </c>
      <c r="BG1314" s="1105">
        <f>BG23</f>
        <v>2264.0940607550338</v>
      </c>
      <c r="BH1314" s="1105">
        <f>BH23</f>
        <v>1838.7897862966947</v>
      </c>
      <c r="BI1314" s="1105">
        <f>BI23</f>
        <v>1342.8672087883633</v>
      </c>
      <c r="BJ1314" s="1105">
        <f>BJ23</f>
        <v>938.30246644669683</v>
      </c>
    </row>
    <row r="1315" spans="1:63">
      <c r="C1315" s="1206" t="s">
        <v>731</v>
      </c>
      <c r="H1315" s="1104" t="s">
        <v>29</v>
      </c>
      <c r="BA1315" s="1105"/>
      <c r="BB1315" s="1105"/>
      <c r="BC1315" s="1105"/>
      <c r="BD1315" s="1105"/>
      <c r="BE1315" s="1105"/>
      <c r="BF1315" s="1105">
        <f t="shared" ref="BF1315:BJ1315" si="1850">SUM(BF1313:BF1314)</f>
        <v>2439.7578159425211</v>
      </c>
      <c r="BG1315" s="1105">
        <f t="shared" si="1850"/>
        <v>3997.348202101793</v>
      </c>
      <c r="BH1315" s="1105">
        <f t="shared" si="1850"/>
        <v>6444.0107044546003</v>
      </c>
      <c r="BI1315" s="1105">
        <f t="shared" si="1850"/>
        <v>7676.8765026093388</v>
      </c>
      <c r="BJ1315" s="1105">
        <f t="shared" si="1850"/>
        <v>8166.793530971484</v>
      </c>
    </row>
    <row r="1316" spans="1:63">
      <c r="C1316" s="1104"/>
      <c r="H1316" s="1104"/>
      <c r="BA1316" s="1105"/>
      <c r="BB1316" s="1105"/>
      <c r="BC1316" s="1105"/>
      <c r="BD1316" s="1105"/>
      <c r="BE1316" s="1582" t="s">
        <v>737</v>
      </c>
      <c r="BF1316" s="1583">
        <f>SUMPRODUCT(BF348:BF645,$AY$45:$AY$342)+BF23-BF1315</f>
        <v>0</v>
      </c>
      <c r="BG1316" s="1583">
        <f t="shared" ref="BG1316:BJ1316" si="1851">SUMPRODUCT(BG348:BG645,$AY$45:$AY$342)+BG23-BG1315</f>
        <v>0</v>
      </c>
      <c r="BH1316" s="1583">
        <f t="shared" si="1851"/>
        <v>0</v>
      </c>
      <c r="BI1316" s="1583">
        <f t="shared" si="1851"/>
        <v>0</v>
      </c>
      <c r="BJ1316" s="1584">
        <f t="shared" si="1851"/>
        <v>0</v>
      </c>
    </row>
    <row r="1317" spans="1:63">
      <c r="B1317" s="1091" t="s">
        <v>738</v>
      </c>
      <c r="C1317" s="1091"/>
      <c r="D1317" s="1106"/>
      <c r="E1317" s="1106"/>
      <c r="F1317" s="1106"/>
      <c r="G1317" s="1106"/>
      <c r="H1317" s="1106"/>
      <c r="I1317" s="1106"/>
      <c r="J1317" s="1106"/>
      <c r="K1317" s="1106"/>
      <c r="L1317" s="1106"/>
      <c r="M1317" s="1106"/>
      <c r="N1317" s="1106"/>
      <c r="O1317" s="1106"/>
      <c r="P1317" s="1106"/>
      <c r="Q1317" s="1091"/>
      <c r="R1317" s="1091"/>
      <c r="S1317" s="1091"/>
      <c r="T1317" s="1091"/>
      <c r="U1317" s="1091"/>
      <c r="V1317" s="1091"/>
      <c r="W1317" s="1091"/>
      <c r="X1317" s="1091"/>
      <c r="Y1317" s="1091"/>
      <c r="Z1317" s="1091"/>
      <c r="AA1317" s="1091"/>
      <c r="AB1317" s="1091"/>
      <c r="AC1317" s="1091"/>
      <c r="AD1317" s="1091"/>
      <c r="AE1317" s="1091"/>
      <c r="AF1317" s="1091"/>
      <c r="AG1317" s="1091"/>
      <c r="AH1317" s="1091"/>
      <c r="AI1317" s="1091"/>
      <c r="AJ1317" s="1091"/>
      <c r="AK1317" s="1091"/>
      <c r="AL1317" s="1091"/>
      <c r="AM1317" s="1091"/>
      <c r="AN1317" s="1091"/>
      <c r="AO1317" s="1091"/>
      <c r="AP1317" s="1091"/>
      <c r="AQ1317" s="1091"/>
      <c r="AR1317" s="1091"/>
      <c r="AS1317" s="1091"/>
      <c r="AT1317" s="1091"/>
      <c r="AU1317" s="1091"/>
      <c r="AV1317" s="1091"/>
      <c r="AW1317" s="1106"/>
      <c r="AX1317" s="1106"/>
      <c r="AY1317" s="1106"/>
      <c r="AZ1317" s="1106"/>
      <c r="BA1317" s="1106"/>
      <c r="BB1317" s="1106"/>
      <c r="BC1317" s="1107"/>
      <c r="BD1317" s="1107"/>
      <c r="BE1317" s="1107"/>
      <c r="BF1317" s="1107"/>
      <c r="BG1317" s="1107"/>
      <c r="BH1317" s="1107"/>
      <c r="BI1317" s="1107"/>
      <c r="BJ1317" s="1107"/>
    </row>
    <row r="1318" spans="1:63">
      <c r="C1318" s="1207" t="s">
        <v>733</v>
      </c>
      <c r="H1318" s="1104" t="s">
        <v>29</v>
      </c>
      <c r="BA1318" s="1071"/>
      <c r="BB1318" s="1071"/>
      <c r="BC1318" s="1071"/>
      <c r="BD1318" s="1071"/>
      <c r="BE1318" s="1071"/>
      <c r="BF1318" s="1116">
        <f>((BE1320-BF1314-BF1312)+BE1320)/2</f>
        <v>9981.9850822212393</v>
      </c>
      <c r="BG1318" s="1116">
        <f t="shared" ref="BG1318:BI1318" si="1852">((BF1320-BG1314-BG1312)+BF1320)/2</f>
        <v>8009.6689863063011</v>
      </c>
      <c r="BH1318" s="1116">
        <f t="shared" si="1852"/>
        <v>51356.094988378769</v>
      </c>
      <c r="BI1318" s="1116">
        <f t="shared" si="1852"/>
        <v>59391.411580989778</v>
      </c>
      <c r="BJ1318" s="1116">
        <f>((BI1320-BJ1314-BJ1312)+BI1320)/2</f>
        <v>61099.479907791778</v>
      </c>
    </row>
    <row r="1319" spans="1:63">
      <c r="C1319" s="1104" t="s">
        <v>734</v>
      </c>
      <c r="H1319" s="1104" t="s">
        <v>29</v>
      </c>
      <c r="BA1319" s="1084"/>
      <c r="BB1319" s="1084"/>
      <c r="BC1319" s="1084"/>
      <c r="BD1319" s="1084"/>
      <c r="BE1319" s="1084"/>
      <c r="BF1319" s="1116">
        <f>BF1318+SUMPRODUCT(BF$45:BF$342,AQ$45:AQ$342,$AY$45:$AY$342)-BF1311</f>
        <v>10170.741769304574</v>
      </c>
      <c r="BG1319" s="1116">
        <f t="shared" ref="BG1319:BI1319" si="1853">BG1318+SUMPRODUCT(BG$45:BG$342,AR$45:AR$342,$AY$45:$AY$342)-BG1311</f>
        <v>30161.839100006637</v>
      </c>
      <c r="BH1319" s="1116">
        <f t="shared" si="1853"/>
        <v>58054.088350224505</v>
      </c>
      <c r="BI1319" s="1116">
        <f t="shared" si="1853"/>
        <v>64310.35456590588</v>
      </c>
      <c r="BJ1319" s="1116">
        <f>BJ1318+SUMPRODUCT(BJ$45:BJ$342,AU$45:AU$342,$AY$45:$AY$342)-BJ1311</f>
        <v>64769.346828307564</v>
      </c>
    </row>
    <row r="1320" spans="1:63">
      <c r="C1320" s="1104" t="s">
        <v>735</v>
      </c>
      <c r="H1320" s="1104" t="s">
        <v>29</v>
      </c>
      <c r="BA1320" s="1084"/>
      <c r="BB1320" s="1084"/>
      <c r="BC1320" s="1084"/>
      <c r="BD1320" s="1084"/>
      <c r="BE1320" s="1116">
        <f>BE22</f>
        <v>11182.0783129425</v>
      </c>
      <c r="BF1320" s="1116">
        <f>BE1320+SUMPRODUCT(BF45:BF342,$AY$45:$AY$342)-BF1315</f>
        <v>9179.1559004999781</v>
      </c>
      <c r="BG1320" s="1116">
        <f t="shared" ref="BG1320:BI1320" si="1854">BF1320+SUMPRODUCT(BG45:BG342,$AY$45:$AY$342)-BG1315</f>
        <v>54058.26692636709</v>
      </c>
      <c r="BH1320" s="1116">
        <f t="shared" si="1854"/>
        <v>62837.356531288533</v>
      </c>
      <c r="BI1320" s="1116">
        <f t="shared" si="1854"/>
        <v>64998.345442347818</v>
      </c>
      <c r="BJ1320" s="1116">
        <f>BI1320+SUMPRODUCT(BJ45:BJ342,$AY$45:$AY$342)-BJ1315</f>
        <v>64556.468711251524</v>
      </c>
    </row>
    <row r="1321" spans="1:63">
      <c r="BA1321" s="1084"/>
      <c r="BB1321" s="1084"/>
      <c r="BC1321" s="1084"/>
      <c r="BD1321" s="1084"/>
      <c r="BE1321" s="1582" t="s">
        <v>737</v>
      </c>
      <c r="BF1321" s="1583">
        <f>BE1320+SUMPRODUCT(BF$45:BF$342,$AY$45:$AY$342)-BF1315-BF1320</f>
        <v>0</v>
      </c>
      <c r="BG1321" s="1583">
        <f t="shared" ref="BG1321:BJ1321" si="1855">BF1320+SUMPRODUCT(BG$45:BG$342,$AY$45:$AY$342)-BG1315-BG1320</f>
        <v>0</v>
      </c>
      <c r="BH1321" s="1583">
        <f t="shared" si="1855"/>
        <v>0</v>
      </c>
      <c r="BI1321" s="1583">
        <f t="shared" si="1855"/>
        <v>0</v>
      </c>
      <c r="BJ1321" s="1584">
        <f t="shared" si="1855"/>
        <v>0</v>
      </c>
    </row>
    <row r="1322" spans="1:63">
      <c r="B1322" s="1091" t="s">
        <v>738</v>
      </c>
      <c r="C1322" s="1091"/>
      <c r="D1322" s="1106"/>
      <c r="E1322" s="1106"/>
      <c r="F1322" s="1106"/>
      <c r="G1322" s="1106"/>
      <c r="H1322" s="1106"/>
      <c r="I1322" s="1106"/>
      <c r="J1322" s="1106"/>
      <c r="K1322" s="1106"/>
      <c r="L1322" s="1106"/>
      <c r="M1322" s="1106"/>
      <c r="N1322" s="1106"/>
      <c r="O1322" s="1106"/>
      <c r="P1322" s="1106"/>
      <c r="Q1322" s="1091"/>
      <c r="R1322" s="1091"/>
      <c r="S1322" s="1091"/>
      <c r="T1322" s="1091"/>
      <c r="U1322" s="1091"/>
      <c r="V1322" s="1091"/>
      <c r="W1322" s="1091"/>
      <c r="X1322" s="1091"/>
      <c r="Y1322" s="1091"/>
      <c r="Z1322" s="1091"/>
      <c r="AA1322" s="1091"/>
      <c r="AB1322" s="1091"/>
      <c r="AC1322" s="1091"/>
      <c r="AD1322" s="1091"/>
      <c r="AE1322" s="1091"/>
      <c r="AF1322" s="1091"/>
      <c r="AG1322" s="1091"/>
      <c r="AH1322" s="1091"/>
      <c r="AI1322" s="1091"/>
      <c r="AJ1322" s="1091"/>
      <c r="AK1322" s="1091"/>
      <c r="AL1322" s="1091"/>
      <c r="AM1322" s="1091"/>
      <c r="AN1322" s="1091"/>
      <c r="AO1322" s="1091"/>
      <c r="AP1322" s="1091"/>
      <c r="AQ1322" s="1091"/>
      <c r="AR1322" s="1091"/>
      <c r="AS1322" s="1091"/>
      <c r="AT1322" s="1091"/>
      <c r="AU1322" s="1091"/>
      <c r="AV1322" s="1091"/>
      <c r="AW1322" s="1106"/>
      <c r="AX1322" s="1106"/>
      <c r="AY1322" s="1106"/>
      <c r="AZ1322" s="1106"/>
      <c r="BA1322" s="1106"/>
      <c r="BB1322" s="1106"/>
      <c r="BC1322" s="1107"/>
      <c r="BD1322" s="1107"/>
      <c r="BE1322" s="1107"/>
      <c r="BF1322" s="1107"/>
      <c r="BG1322" s="1107"/>
      <c r="BH1322" s="1107"/>
      <c r="BI1322" s="1107"/>
      <c r="BJ1322" s="1107"/>
    </row>
    <row r="1323" spans="1:63">
      <c r="C1323" s="1104" t="s">
        <v>740</v>
      </c>
      <c r="H1323" s="1104" t="s">
        <v>29</v>
      </c>
      <c r="I1323" s="1104"/>
      <c r="BA1323" s="1071"/>
      <c r="BB1323" s="1071"/>
      <c r="BC1323" s="1105"/>
      <c r="BD1323" s="1105"/>
      <c r="BE1323" s="1105"/>
      <c r="BF1323" s="1105">
        <f>BF34</f>
        <v>128.52237419270833</v>
      </c>
      <c r="BG1323" s="1105">
        <f t="shared" ref="BG1323:BJ1323" si="1856">BG34</f>
        <v>126.15983777083332</v>
      </c>
      <c r="BH1323" s="1105">
        <f t="shared" si="1856"/>
        <v>101.21726667708332</v>
      </c>
      <c r="BI1323" s="1105">
        <f t="shared" si="1856"/>
        <v>65.289993848958304</v>
      </c>
      <c r="BJ1323" s="1105">
        <f t="shared" si="1856"/>
        <v>46.653394760416653</v>
      </c>
    </row>
    <row r="1324" spans="1:63">
      <c r="C1324" s="1104" t="s">
        <v>741</v>
      </c>
      <c r="H1324" s="1104" t="s">
        <v>29</v>
      </c>
      <c r="I1324" s="1104"/>
      <c r="BA1324" s="1071"/>
      <c r="BB1324" s="1071"/>
      <c r="BC1324" s="1105"/>
      <c r="BD1324" s="1105"/>
      <c r="BE1324" s="1105"/>
      <c r="BF1324" s="1105">
        <f>SUMPRODUCT(BF$659:BF$686,$AY$659:$AY$686)</f>
        <v>0</v>
      </c>
      <c r="BG1324" s="1105">
        <f t="shared" ref="BG1324:BJ1324" si="1857">SUMPRODUCT(BG$659:BG$686,$AY$659:$AY$686)</f>
        <v>196.35744494975256</v>
      </c>
      <c r="BH1324" s="1105">
        <f t="shared" si="1857"/>
        <v>434.76454237470494</v>
      </c>
      <c r="BI1324" s="1105">
        <f t="shared" si="1857"/>
        <v>536.34432884546413</v>
      </c>
      <c r="BJ1324" s="1105">
        <f t="shared" si="1857"/>
        <v>619.61120234181112</v>
      </c>
    </row>
    <row r="1325" spans="1:63">
      <c r="C1325" s="1104" t="s">
        <v>742</v>
      </c>
      <c r="H1325" s="1104" t="s">
        <v>29</v>
      </c>
      <c r="I1325" s="1104"/>
      <c r="BA1325" s="1071"/>
      <c r="BB1325" s="1071"/>
      <c r="BC1325" s="1105"/>
      <c r="BD1325" s="1105"/>
      <c r="BE1325" s="1105"/>
      <c r="BF1325" s="1105">
        <f>SUM(BF1323:BF1324)</f>
        <v>128.52237419270833</v>
      </c>
      <c r="BG1325" s="1105">
        <f>SUM(BG1323:BG1324)</f>
        <v>322.51728272058585</v>
      </c>
      <c r="BH1325" s="1105">
        <f>SUM(BH1323:BH1324)</f>
        <v>535.98180905178822</v>
      </c>
      <c r="BI1325" s="1105">
        <f>SUM(BI1323:BI1324)</f>
        <v>601.63432269442239</v>
      </c>
      <c r="BJ1325" s="1105">
        <f>SUM(BJ1323:BJ1324)</f>
        <v>666.26459710222775</v>
      </c>
    </row>
    <row r="1326" spans="1:63">
      <c r="BA1326" s="1084"/>
      <c r="BB1326" s="1084"/>
      <c r="BC1326" s="1084"/>
      <c r="BD1326" s="1084"/>
      <c r="BE1326" s="1084"/>
      <c r="BF1326" s="1084"/>
      <c r="BG1326" s="1084"/>
      <c r="BH1326" s="1084"/>
      <c r="BI1326" s="1084"/>
      <c r="BJ1326" s="1084"/>
    </row>
    <row r="1327" spans="1:63" s="1117" customFormat="1">
      <c r="A1327" s="1071"/>
      <c r="B1327" s="1073" t="s">
        <v>60</v>
      </c>
      <c r="C1327" s="1072"/>
      <c r="D1327" s="1072"/>
      <c r="E1327" s="1072"/>
      <c r="F1327" s="1072"/>
      <c r="G1327" s="1072"/>
      <c r="H1327" s="1072"/>
      <c r="I1327" s="1072"/>
      <c r="J1327" s="1072"/>
      <c r="K1327" s="1072"/>
      <c r="L1327" s="1072"/>
      <c r="M1327" s="1072"/>
      <c r="N1327" s="1072"/>
      <c r="O1327" s="1072"/>
      <c r="P1327" s="1072"/>
      <c r="Q1327" s="1072"/>
      <c r="R1327" s="1072"/>
      <c r="S1327" s="1072"/>
      <c r="T1327" s="1072"/>
      <c r="U1327" s="1072"/>
      <c r="V1327" s="1072"/>
      <c r="W1327" s="1072"/>
      <c r="X1327" s="1072"/>
      <c r="Y1327" s="1072"/>
      <c r="Z1327" s="1072"/>
      <c r="AA1327" s="1072"/>
      <c r="AB1327" s="1072"/>
      <c r="AC1327" s="1072"/>
      <c r="AD1327" s="1072"/>
      <c r="AE1327" s="1072"/>
      <c r="AF1327" s="1072"/>
      <c r="AG1327" s="1072"/>
      <c r="AH1327" s="1072"/>
      <c r="AI1327" s="1072"/>
      <c r="AJ1327" s="1072"/>
      <c r="AK1327" s="1072"/>
      <c r="AL1327" s="1072"/>
      <c r="AM1327" s="1072"/>
      <c r="AN1327" s="1072"/>
      <c r="AO1327" s="1072"/>
      <c r="AP1327" s="1072"/>
      <c r="AQ1327" s="1072"/>
      <c r="AR1327" s="1072"/>
      <c r="AS1327" s="1072"/>
      <c r="AT1327" s="1072"/>
      <c r="AU1327" s="1072"/>
      <c r="AV1327" s="1072"/>
      <c r="AW1327" s="1072"/>
      <c r="AX1327" s="1072"/>
      <c r="AY1327" s="1072"/>
      <c r="AZ1327" s="1072"/>
      <c r="BA1327" s="1072"/>
      <c r="BB1327" s="1072"/>
      <c r="BC1327" s="1072"/>
      <c r="BD1327" s="1072"/>
      <c r="BE1327" s="1072"/>
      <c r="BF1327" s="1072"/>
      <c r="BG1327" s="1072"/>
      <c r="BH1327" s="1072"/>
      <c r="BI1327" s="1072"/>
      <c r="BJ1327" s="1072"/>
      <c r="BK1327" s="1071"/>
    </row>
    <row r="1328" spans="1:63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3E72-A8EB-43C7-8697-E16222A1B52B}">
  <sheetPr>
    <tabColor theme="9" tint="0.59999389629810485"/>
  </sheetPr>
  <dimension ref="A1:XEY3024"/>
  <sheetViews>
    <sheetView zoomScale="80" zoomScaleNormal="80" workbookViewId="0">
      <pane ySplit="6" topLeftCell="A153" activePane="bottomLeft" state="frozen"/>
      <selection activeCell="L51" sqref="L51"/>
      <selection pane="bottomLeft" activeCell="H160" sqref="H160"/>
    </sheetView>
  </sheetViews>
  <sheetFormatPr defaultColWidth="0" defaultRowHeight="13" zeroHeight="1" outlineLevelRow="2" outlineLevelCol="1"/>
  <cols>
    <col min="1" max="1" width="1.453125" style="1071" customWidth="1"/>
    <col min="2" max="2" width="3.26953125" style="1071" customWidth="1"/>
    <col min="3" max="3" width="41.26953125" style="1071" customWidth="1"/>
    <col min="4" max="4" width="38.26953125" style="1071" customWidth="1"/>
    <col min="5" max="5" width="10.54296875" style="1071" customWidth="1"/>
    <col min="6" max="6" width="15.7265625" style="1071" customWidth="1"/>
    <col min="7" max="7" width="10.54296875" style="1071" customWidth="1"/>
    <col min="8" max="8" width="13" style="1071" customWidth="1"/>
    <col min="9" max="9" width="16.54296875" style="1071" customWidth="1"/>
    <col min="10" max="10" width="15" style="1071" customWidth="1"/>
    <col min="11" max="11" width="13.7265625" style="1071" customWidth="1"/>
    <col min="12" max="13" width="11.54296875" style="1071" customWidth="1"/>
    <col min="14" max="14" width="15.26953125" style="1071" customWidth="1"/>
    <col min="15" max="17" width="5.7265625" style="1071" hidden="1" customWidth="1" outlineLevel="1"/>
    <col min="18" max="18" width="7.1796875" style="1071" hidden="1" customWidth="1" outlineLevel="1"/>
    <col min="19" max="19" width="5.7265625" style="1071" hidden="1" customWidth="1" outlineLevel="1"/>
    <col min="20" max="20" width="5.81640625" style="1071" hidden="1" customWidth="1" outlineLevel="1"/>
    <col min="21" max="21" width="5.7265625" style="1071" hidden="1" customWidth="1" outlineLevel="1"/>
    <col min="22" max="25" width="7.453125" style="1071" hidden="1" customWidth="1" outlineLevel="1"/>
    <col min="26" max="26" width="5.81640625" style="1071" hidden="1" customWidth="1" outlineLevel="1"/>
    <col min="27" max="31" width="5.7265625" style="1071" hidden="1" customWidth="1" outlineLevel="1"/>
    <col min="32" max="32" width="5.81640625" style="1071" hidden="1" customWidth="1" outlineLevel="1"/>
    <col min="33" max="37" width="5.7265625" style="1071" hidden="1" customWidth="1" outlineLevel="1"/>
    <col min="38" max="38" width="5.81640625" style="1071" hidden="1" customWidth="1" outlineLevel="1"/>
    <col min="39" max="44" width="5.7265625" style="1071" hidden="1" customWidth="1" outlineLevel="1"/>
    <col min="45" max="45" width="7.453125" style="1071" hidden="1" customWidth="1" outlineLevel="1"/>
    <col min="46" max="46" width="6.453125" style="1071" hidden="1" customWidth="1" outlineLevel="1"/>
    <col min="47" max="49" width="7.453125" style="1071" hidden="1" customWidth="1" outlineLevel="1"/>
    <col min="50" max="50" width="6.81640625" style="1071" hidden="1" customWidth="1" outlineLevel="1"/>
    <col min="51" max="51" width="11.81640625" style="1071" hidden="1" customWidth="1" outlineLevel="1"/>
    <col min="52" max="52" width="3.54296875" style="1071" hidden="1" customWidth="1" outlineLevel="1"/>
    <col min="53" max="53" width="11.1796875" style="1071" hidden="1" customWidth="1" outlineLevel="1"/>
    <col min="54" max="54" width="11.81640625" style="1071" customWidth="1" collapsed="1"/>
    <col min="55" max="63" width="11.54296875" style="1099" bestFit="1" customWidth="1"/>
    <col min="64" max="64" width="14.453125" style="1099" customWidth="1"/>
    <col min="65" max="65" width="3.26953125" style="1071" customWidth="1"/>
    <col min="66" max="66" width="0" style="1071" hidden="1" customWidth="1"/>
    <col min="67" max="16384" width="8.81640625" style="1071" hidden="1"/>
  </cols>
  <sheetData>
    <row r="1" spans="2:64" ht="9" customHeight="1">
      <c r="BC1" s="1071"/>
      <c r="BD1" s="1071"/>
      <c r="BE1" s="1071"/>
      <c r="BF1" s="1071"/>
      <c r="BG1" s="1071"/>
      <c r="BH1" s="1071"/>
      <c r="BI1" s="1071"/>
      <c r="BJ1" s="1071"/>
      <c r="BK1" s="1071"/>
      <c r="BL1" s="1071"/>
    </row>
    <row r="2" spans="2:64">
      <c r="B2" s="1072"/>
      <c r="C2" s="1072"/>
      <c r="D2" s="1072"/>
      <c r="E2" s="1072"/>
      <c r="F2" s="1072"/>
      <c r="G2" s="1072"/>
      <c r="H2" s="1072"/>
      <c r="I2" s="1072"/>
      <c r="J2" s="1072"/>
      <c r="K2" s="1072"/>
      <c r="L2" s="1073"/>
      <c r="M2" s="1073"/>
      <c r="N2" s="1073" t="s">
        <v>161</v>
      </c>
      <c r="O2" s="1073"/>
      <c r="P2" s="1073"/>
      <c r="Q2" s="1073"/>
      <c r="R2" s="1073"/>
      <c r="S2" s="1073"/>
      <c r="T2" s="1073"/>
      <c r="U2" s="1073"/>
      <c r="V2" s="1073"/>
      <c r="W2" s="1073"/>
      <c r="X2" s="1073"/>
      <c r="Y2" s="1073"/>
      <c r="Z2" s="1073"/>
      <c r="AA2" s="1073"/>
      <c r="AB2" s="1073"/>
      <c r="AC2" s="1073"/>
      <c r="AD2" s="1073"/>
      <c r="AE2" s="1073"/>
      <c r="AF2" s="1073"/>
      <c r="AG2" s="1073"/>
      <c r="AH2" s="1073"/>
      <c r="AI2" s="1073"/>
      <c r="AJ2" s="1073"/>
      <c r="AK2" s="1073"/>
      <c r="AL2" s="1073"/>
      <c r="AM2" s="1073"/>
      <c r="AN2" s="1073"/>
      <c r="AO2" s="1073"/>
      <c r="AP2" s="1073"/>
      <c r="AQ2" s="1073"/>
      <c r="AR2" s="1073"/>
      <c r="AS2" s="1073"/>
      <c r="AT2" s="1073"/>
      <c r="AU2" s="1073"/>
      <c r="AV2" s="1073"/>
      <c r="AW2" s="1073"/>
      <c r="AX2" s="1073"/>
      <c r="AY2" s="1073"/>
      <c r="AZ2" s="1073"/>
      <c r="BA2" s="1073"/>
      <c r="BB2" s="1073" t="s">
        <v>120</v>
      </c>
      <c r="BC2" s="1074">
        <v>42005</v>
      </c>
      <c r="BD2" s="1074">
        <v>42370</v>
      </c>
      <c r="BE2" s="1074">
        <v>42736</v>
      </c>
      <c r="BF2" s="1074">
        <v>43101</v>
      </c>
      <c r="BG2" s="1074">
        <v>43466</v>
      </c>
      <c r="BH2" s="1074">
        <v>43831</v>
      </c>
      <c r="BI2" s="1074">
        <v>44197</v>
      </c>
      <c r="BJ2" s="1074">
        <v>44562</v>
      </c>
      <c r="BK2" s="1074">
        <v>44927</v>
      </c>
      <c r="BL2" s="1074">
        <v>45292</v>
      </c>
    </row>
    <row r="3" spans="2:64">
      <c r="B3" s="1072"/>
      <c r="C3" s="1075" t="s">
        <v>121</v>
      </c>
      <c r="D3" s="1072"/>
      <c r="E3" s="1072"/>
      <c r="F3" s="1072"/>
      <c r="G3" s="1072"/>
      <c r="H3" s="1072"/>
      <c r="I3" s="1072"/>
      <c r="J3" s="1072"/>
      <c r="K3" s="1072"/>
      <c r="L3" s="1073"/>
      <c r="M3" s="1073"/>
      <c r="N3" s="1076" t="s">
        <v>162</v>
      </c>
      <c r="O3" s="1073"/>
      <c r="P3" s="1073"/>
      <c r="Q3" s="1073"/>
      <c r="R3" s="1073"/>
      <c r="S3" s="1073"/>
      <c r="T3" s="1073"/>
      <c r="U3" s="1073"/>
      <c r="V3" s="1073"/>
      <c r="W3" s="1073"/>
      <c r="X3" s="1073"/>
      <c r="Y3" s="1073"/>
      <c r="Z3" s="1073"/>
      <c r="AA3" s="1073"/>
      <c r="AB3" s="1073"/>
      <c r="AC3" s="1073"/>
      <c r="AD3" s="1073"/>
      <c r="AE3" s="1073"/>
      <c r="AF3" s="1073"/>
      <c r="AG3" s="1073"/>
      <c r="AH3" s="1073"/>
      <c r="AI3" s="1073"/>
      <c r="AJ3" s="1073"/>
      <c r="AK3" s="1073"/>
      <c r="AL3" s="1073"/>
      <c r="AM3" s="1073"/>
      <c r="AN3" s="1073"/>
      <c r="AO3" s="1073"/>
      <c r="AP3" s="1073"/>
      <c r="AQ3" s="1073"/>
      <c r="AR3" s="1073"/>
      <c r="AS3" s="1073"/>
      <c r="AT3" s="1073"/>
      <c r="AU3" s="1073"/>
      <c r="AV3" s="1073"/>
      <c r="AW3" s="1073"/>
      <c r="AX3" s="1073"/>
      <c r="AY3" s="1073"/>
      <c r="AZ3" s="1073"/>
      <c r="BA3" s="1073"/>
      <c r="BB3" s="1073" t="s">
        <v>122</v>
      </c>
      <c r="BC3" s="1074">
        <v>42369</v>
      </c>
      <c r="BD3" s="1074">
        <v>42735</v>
      </c>
      <c r="BE3" s="1074">
        <v>43100</v>
      </c>
      <c r="BF3" s="1074">
        <v>43465</v>
      </c>
      <c r="BG3" s="1074">
        <v>43830</v>
      </c>
      <c r="BH3" s="1074">
        <v>44196</v>
      </c>
      <c r="BI3" s="1074">
        <v>44561</v>
      </c>
      <c r="BJ3" s="1074">
        <v>44926</v>
      </c>
      <c r="BK3" s="1074">
        <v>45291</v>
      </c>
      <c r="BL3" s="1074">
        <v>45657</v>
      </c>
    </row>
    <row r="4" spans="2:64">
      <c r="B4" s="1072"/>
      <c r="C4" s="1542" t="s">
        <v>123</v>
      </c>
      <c r="D4" s="1072"/>
      <c r="E4" s="1072"/>
      <c r="F4" s="1072"/>
      <c r="G4" s="1072"/>
      <c r="H4" s="1072"/>
      <c r="I4" s="1072"/>
      <c r="J4" s="1072"/>
      <c r="K4" s="1072"/>
      <c r="L4" s="1073"/>
      <c r="M4" s="1073"/>
      <c r="N4" s="1073"/>
      <c r="O4" s="1073" t="s">
        <v>163</v>
      </c>
      <c r="P4" s="1073"/>
      <c r="Q4" s="1073"/>
      <c r="R4" s="1073"/>
      <c r="S4" s="1073"/>
      <c r="T4" s="1073"/>
      <c r="U4" s="1073"/>
      <c r="V4" s="1073"/>
      <c r="W4" s="1073"/>
      <c r="X4" s="1073"/>
      <c r="Y4" s="1073"/>
      <c r="Z4" s="1073"/>
      <c r="AA4" s="1073"/>
      <c r="AB4" s="1073"/>
      <c r="AC4" s="1073"/>
      <c r="AD4" s="1073"/>
      <c r="AE4" s="1073"/>
      <c r="AF4" s="1073"/>
      <c r="AG4" s="1073"/>
      <c r="AH4" s="1073"/>
      <c r="AI4" s="1073"/>
      <c r="AJ4" s="1073"/>
      <c r="AK4" s="1073"/>
      <c r="AL4" s="1073"/>
      <c r="AM4" s="1073"/>
      <c r="AN4" s="1073"/>
      <c r="AO4" s="1073"/>
      <c r="AP4" s="1073"/>
      <c r="AQ4" s="1073"/>
      <c r="AR4" s="1073"/>
      <c r="AS4" s="1073"/>
      <c r="AT4" s="1073"/>
      <c r="AU4" s="1073"/>
      <c r="AV4" s="1073"/>
      <c r="AW4" s="1073"/>
      <c r="AX4" s="1073"/>
      <c r="AY4" s="1073"/>
      <c r="AZ4" s="1073"/>
      <c r="BA4" s="1073"/>
      <c r="BB4" s="1073" t="s">
        <v>124</v>
      </c>
      <c r="BC4" s="1077">
        <v>2015</v>
      </c>
      <c r="BD4" s="1077">
        <v>2016</v>
      </c>
      <c r="BE4" s="1077">
        <v>2017</v>
      </c>
      <c r="BF4" s="1077">
        <v>2018</v>
      </c>
      <c r="BG4" s="1077">
        <v>2019</v>
      </c>
      <c r="BH4" s="1077">
        <v>2020</v>
      </c>
      <c r="BI4" s="1077">
        <v>2021</v>
      </c>
      <c r="BJ4" s="1077">
        <v>2022</v>
      </c>
      <c r="BK4" s="1077">
        <v>2023</v>
      </c>
      <c r="BL4" s="1077">
        <v>2024</v>
      </c>
    </row>
    <row r="5" spans="2:64">
      <c r="B5" s="1072"/>
      <c r="C5" s="1073" t="s">
        <v>164</v>
      </c>
      <c r="D5" s="1072"/>
      <c r="E5" s="1072"/>
      <c r="F5" s="1072"/>
      <c r="G5" s="1072"/>
      <c r="H5" s="1072"/>
      <c r="I5" s="1072"/>
      <c r="J5" s="1072"/>
      <c r="K5" s="1072"/>
      <c r="L5" s="1073"/>
      <c r="M5" s="1073"/>
      <c r="N5" s="1073"/>
      <c r="O5" s="1073"/>
      <c r="P5" s="1073"/>
      <c r="Q5" s="1073"/>
      <c r="R5" s="1073"/>
      <c r="S5" s="1073"/>
      <c r="T5" s="1073"/>
      <c r="U5" s="1073"/>
      <c r="V5" s="1073"/>
      <c r="W5" s="1073"/>
      <c r="X5" s="1073"/>
      <c r="Y5" s="1073"/>
      <c r="Z5" s="1073"/>
      <c r="AA5" s="1073"/>
      <c r="AB5" s="1073"/>
      <c r="AC5" s="1073"/>
      <c r="AD5" s="1073"/>
      <c r="AE5" s="1073"/>
      <c r="AF5" s="1073"/>
      <c r="AG5" s="1073"/>
      <c r="AH5" s="1073"/>
      <c r="AI5" s="1073"/>
      <c r="AJ5" s="1073"/>
      <c r="AK5" s="1073"/>
      <c r="AL5" s="1073"/>
      <c r="AM5" s="1073"/>
      <c r="AN5" s="1073"/>
      <c r="AO5" s="1073"/>
      <c r="AP5" s="1073"/>
      <c r="AQ5" s="1073"/>
      <c r="AR5" s="1073"/>
      <c r="AS5" s="1073"/>
      <c r="AT5" s="1073"/>
      <c r="AU5" s="1073"/>
      <c r="AV5" s="1073"/>
      <c r="AW5" s="1073"/>
      <c r="AX5" s="1073"/>
      <c r="AY5" s="1073"/>
      <c r="AZ5" s="1073"/>
      <c r="BA5" s="1073"/>
      <c r="BB5" s="1073" t="s">
        <v>125</v>
      </c>
      <c r="BC5" s="1077">
        <v>1</v>
      </c>
      <c r="BD5" s="1077">
        <v>2</v>
      </c>
      <c r="BE5" s="1077">
        <v>3</v>
      </c>
      <c r="BF5" s="1077">
        <v>4</v>
      </c>
      <c r="BG5" s="1077">
        <v>5</v>
      </c>
      <c r="BH5" s="1077">
        <v>6</v>
      </c>
      <c r="BI5" s="1077">
        <v>7</v>
      </c>
      <c r="BJ5" s="1077">
        <v>8</v>
      </c>
      <c r="BK5" s="1077">
        <v>9</v>
      </c>
      <c r="BL5" s="1077">
        <v>10</v>
      </c>
    </row>
    <row r="6" spans="2:64">
      <c r="B6" s="1072"/>
      <c r="C6" s="1073" t="s">
        <v>165</v>
      </c>
      <c r="D6" s="1073" t="s">
        <v>166</v>
      </c>
      <c r="E6" s="1073" t="s">
        <v>167</v>
      </c>
      <c r="F6" s="1077" t="s">
        <v>124</v>
      </c>
      <c r="G6" s="1073" t="s">
        <v>67</v>
      </c>
      <c r="H6" s="1073" t="s">
        <v>10</v>
      </c>
      <c r="I6" s="1073" t="s">
        <v>744</v>
      </c>
      <c r="J6" s="1073" t="s">
        <v>745</v>
      </c>
      <c r="K6" s="1073" t="s">
        <v>746</v>
      </c>
      <c r="L6" s="1073" t="s">
        <v>169</v>
      </c>
      <c r="M6" s="1073"/>
      <c r="N6" s="1073"/>
      <c r="O6" s="1073" t="s">
        <v>170</v>
      </c>
      <c r="P6" s="1073"/>
      <c r="Q6" s="1073"/>
      <c r="R6" s="1073"/>
      <c r="S6" s="1073"/>
      <c r="T6" s="1073"/>
      <c r="U6" s="1073" t="s">
        <v>171</v>
      </c>
      <c r="V6" s="1073"/>
      <c r="W6" s="1073"/>
      <c r="X6" s="1073"/>
      <c r="Y6" s="1073"/>
      <c r="Z6" s="1073"/>
      <c r="AA6" s="1073" t="s">
        <v>172</v>
      </c>
      <c r="AB6" s="1073"/>
      <c r="AC6" s="1073"/>
      <c r="AD6" s="1073"/>
      <c r="AE6" s="1073"/>
      <c r="AF6" s="1073"/>
      <c r="AG6" s="1073" t="s">
        <v>173</v>
      </c>
      <c r="AH6" s="1073"/>
      <c r="AI6" s="1073"/>
      <c r="AJ6" s="1073"/>
      <c r="AK6" s="1073"/>
      <c r="AL6" s="1073"/>
      <c r="AM6" s="1073" t="s">
        <v>174</v>
      </c>
      <c r="AN6" s="1073"/>
      <c r="AO6" s="1073"/>
      <c r="AP6" s="1073"/>
      <c r="AQ6" s="1073"/>
      <c r="AR6" s="1073"/>
      <c r="AS6" s="1073"/>
      <c r="AT6" s="1073"/>
      <c r="AU6" s="1073"/>
      <c r="AV6" s="1073"/>
      <c r="AW6" s="1073"/>
      <c r="AX6" s="1073"/>
      <c r="AY6" s="1073" t="s">
        <v>176</v>
      </c>
      <c r="AZ6" s="1073"/>
      <c r="BA6" s="1073" t="s">
        <v>177</v>
      </c>
      <c r="BB6" s="1073" t="s">
        <v>126</v>
      </c>
      <c r="BC6" s="1077" t="s">
        <v>127</v>
      </c>
      <c r="BD6" s="1077" t="s">
        <v>127</v>
      </c>
      <c r="BE6" s="1077" t="s">
        <v>127</v>
      </c>
      <c r="BF6" s="1077" t="s">
        <v>127</v>
      </c>
      <c r="BG6" s="1077" t="s">
        <v>127</v>
      </c>
      <c r="BH6" s="1077" t="s">
        <v>128</v>
      </c>
      <c r="BI6" s="1077" t="s">
        <v>128</v>
      </c>
      <c r="BJ6" s="1077" t="s">
        <v>128</v>
      </c>
      <c r="BK6" s="1077" t="s">
        <v>128</v>
      </c>
      <c r="BL6" s="1077" t="s">
        <v>128</v>
      </c>
    </row>
    <row r="7" spans="2:64">
      <c r="BC7" s="1078"/>
      <c r="BD7" s="1078"/>
      <c r="BE7" s="1078"/>
      <c r="BF7" s="1078"/>
      <c r="BG7" s="1078"/>
      <c r="BH7" s="1078"/>
      <c r="BI7" s="1078"/>
      <c r="BJ7" s="1078"/>
      <c r="BK7" s="1078"/>
      <c r="BL7" s="1078"/>
    </row>
    <row r="8" spans="2:64">
      <c r="B8" s="1073" t="s">
        <v>178</v>
      </c>
      <c r="C8" s="1072"/>
      <c r="D8" s="1072"/>
      <c r="E8" s="1072"/>
      <c r="F8" s="1072"/>
      <c r="G8" s="1072"/>
      <c r="H8" s="1072"/>
      <c r="I8" s="1072"/>
      <c r="J8" s="1072"/>
      <c r="K8" s="1072"/>
      <c r="L8" s="1072"/>
      <c r="M8" s="1072"/>
      <c r="N8" s="1072"/>
      <c r="O8" s="1072"/>
      <c r="P8" s="1072"/>
      <c r="Q8" s="1072"/>
      <c r="R8" s="1072"/>
      <c r="S8" s="1072"/>
      <c r="T8" s="1072"/>
      <c r="U8" s="1072"/>
      <c r="V8" s="1072"/>
      <c r="W8" s="1072"/>
      <c r="X8" s="1072"/>
      <c r="Y8" s="1072"/>
      <c r="Z8" s="1072"/>
      <c r="AA8" s="1072"/>
      <c r="AB8" s="1072"/>
      <c r="AC8" s="1072"/>
      <c r="AD8" s="1072"/>
      <c r="AE8" s="1072"/>
      <c r="AF8" s="1072"/>
      <c r="AG8" s="1072"/>
      <c r="AH8" s="1072"/>
      <c r="AI8" s="1072"/>
      <c r="AJ8" s="1072"/>
      <c r="AK8" s="1072"/>
      <c r="AL8" s="1072"/>
      <c r="AM8" s="1072"/>
      <c r="AN8" s="1072"/>
      <c r="AO8" s="1072"/>
      <c r="AP8" s="1072"/>
      <c r="AQ8" s="1072"/>
      <c r="AR8" s="1072"/>
      <c r="AS8" s="1072"/>
      <c r="AT8" s="1072"/>
      <c r="AU8" s="1072"/>
      <c r="AV8" s="1072"/>
      <c r="AW8" s="1072"/>
      <c r="AX8" s="1072"/>
      <c r="AY8" s="1072"/>
      <c r="AZ8" s="1072"/>
      <c r="BA8" s="1072"/>
      <c r="BB8" s="1072"/>
      <c r="BC8" s="1079"/>
      <c r="BD8" s="1079"/>
      <c r="BE8" s="1079"/>
      <c r="BF8" s="1079"/>
      <c r="BG8" s="1079"/>
      <c r="BH8" s="1079"/>
      <c r="BI8" s="1079"/>
      <c r="BJ8" s="1079"/>
      <c r="BK8" s="1079"/>
      <c r="BL8" s="1079"/>
    </row>
    <row r="9" spans="2:64">
      <c r="BC9" s="1080"/>
      <c r="BD9" s="1080"/>
      <c r="BE9" s="1080"/>
      <c r="BF9" s="1080"/>
      <c r="BG9" s="1080"/>
      <c r="BH9" s="1080"/>
      <c r="BI9" s="1080"/>
      <c r="BJ9" s="1080"/>
      <c r="BK9" s="1080"/>
      <c r="BL9" s="1080"/>
    </row>
    <row r="10" spans="2:64" hidden="1" outlineLevel="1">
      <c r="BC10" s="1071"/>
      <c r="BD10" s="1071"/>
      <c r="BE10" s="1071"/>
      <c r="BF10" s="1071"/>
      <c r="BG10" s="1071"/>
      <c r="BH10" s="1071"/>
      <c r="BI10" s="1071"/>
      <c r="BJ10" s="1071"/>
      <c r="BK10" s="1071"/>
      <c r="BL10" s="1071"/>
    </row>
    <row r="11" spans="2:64" hidden="1" outlineLevel="1">
      <c r="C11" s="1136" t="s">
        <v>179</v>
      </c>
      <c r="D11" s="1133"/>
      <c r="E11" s="1133"/>
      <c r="F11" s="1133"/>
      <c r="G11" s="1133"/>
      <c r="H11" s="1133"/>
      <c r="I11" s="1133"/>
      <c r="J11" s="1133"/>
      <c r="K11" s="1133"/>
      <c r="L11" s="1133"/>
      <c r="M11" s="1133"/>
      <c r="N11" s="1133"/>
      <c r="O11" s="1133"/>
      <c r="P11" s="1133"/>
      <c r="Q11" s="1133"/>
      <c r="R11" s="1133"/>
      <c r="S11" s="1133"/>
      <c r="T11" s="1133"/>
      <c r="U11" s="1133"/>
      <c r="V11" s="1133"/>
      <c r="W11" s="1133"/>
      <c r="X11" s="1133"/>
      <c r="Y11" s="1133"/>
      <c r="Z11" s="1133"/>
      <c r="AA11" s="1133"/>
      <c r="AB11" s="1133"/>
      <c r="AC11" s="1133"/>
      <c r="AD11" s="1133"/>
      <c r="AE11" s="1133"/>
      <c r="AF11" s="1133"/>
      <c r="AG11" s="1133"/>
      <c r="AH11" s="1133"/>
      <c r="AI11" s="1133"/>
      <c r="AJ11" s="1133"/>
      <c r="AK11" s="1133"/>
      <c r="AL11" s="1133"/>
      <c r="AM11" s="1133"/>
      <c r="AN11" s="1133"/>
      <c r="AO11" s="1133"/>
      <c r="AP11" s="1133"/>
      <c r="AQ11" s="1133"/>
      <c r="AR11" s="1133"/>
      <c r="AS11" s="1133"/>
      <c r="AT11" s="1133"/>
      <c r="AU11" s="1133"/>
      <c r="AV11" s="1133"/>
      <c r="AW11" s="1133"/>
      <c r="AX11" s="1133"/>
      <c r="AY11" s="1133"/>
      <c r="AZ11" s="1133"/>
      <c r="BA11" s="1133"/>
      <c r="BB11" s="1133"/>
      <c r="BC11" s="1134"/>
      <c r="BD11" s="1134"/>
      <c r="BE11" s="1134"/>
      <c r="BF11" s="1134"/>
      <c r="BG11" s="1134"/>
      <c r="BH11" s="1134"/>
      <c r="BI11" s="1134"/>
      <c r="BJ11" s="1134"/>
      <c r="BK11" s="1134"/>
      <c r="BL11" s="1134"/>
    </row>
    <row r="12" spans="2:64" hidden="1" outlineLevel="1">
      <c r="C12" s="1133"/>
      <c r="D12" s="1133"/>
      <c r="E12" s="1133"/>
      <c r="F12" s="1133"/>
      <c r="G12" s="1133"/>
      <c r="H12" s="1133"/>
      <c r="I12" s="1133"/>
      <c r="J12" s="1133"/>
      <c r="K12" s="1133"/>
      <c r="L12" s="1133"/>
      <c r="M12" s="1133"/>
      <c r="N12" s="1133"/>
      <c r="O12" s="1133"/>
      <c r="P12" s="1133"/>
      <c r="Q12" s="1133"/>
      <c r="R12" s="1133"/>
      <c r="S12" s="1133"/>
      <c r="T12" s="1133"/>
      <c r="U12" s="1133"/>
      <c r="V12" s="1133"/>
      <c r="W12" s="1133"/>
      <c r="X12" s="1133"/>
      <c r="Y12" s="1133"/>
      <c r="Z12" s="1133"/>
      <c r="AA12" s="1133"/>
      <c r="AB12" s="1133"/>
      <c r="AC12" s="1133"/>
      <c r="AD12" s="1133"/>
      <c r="AE12" s="1133"/>
      <c r="AF12" s="1133"/>
      <c r="AG12" s="1133"/>
      <c r="AH12" s="1133"/>
      <c r="AI12" s="1133"/>
      <c r="AJ12" s="1133"/>
      <c r="AK12" s="1133"/>
      <c r="AL12" s="1133"/>
      <c r="AM12" s="1133"/>
      <c r="AN12" s="1133"/>
      <c r="AO12" s="1133"/>
      <c r="AP12" s="1133"/>
      <c r="AQ12" s="1133"/>
      <c r="AR12" s="1133"/>
      <c r="AS12" s="1133"/>
      <c r="AT12" s="1133"/>
      <c r="AU12" s="1133"/>
      <c r="AV12" s="1133"/>
      <c r="AW12" s="1133"/>
      <c r="AX12" s="1133"/>
      <c r="AY12" s="1133"/>
      <c r="AZ12" s="1133"/>
      <c r="BA12" s="1133"/>
      <c r="BB12" s="1133"/>
      <c r="BC12" s="1134"/>
      <c r="BD12" s="1134"/>
      <c r="BE12" s="1134"/>
      <c r="BF12" s="1134"/>
      <c r="BG12" s="1134"/>
      <c r="BH12" s="1134"/>
      <c r="BI12" s="1134"/>
      <c r="BJ12" s="1134"/>
      <c r="BK12" s="1134"/>
      <c r="BL12" s="1134"/>
    </row>
    <row r="13" spans="2:64" ht="13.5" hidden="1" outlineLevel="1" thickBot="1">
      <c r="C13" s="1081" t="s">
        <v>747</v>
      </c>
      <c r="D13" s="1081"/>
      <c r="E13" s="1081"/>
      <c r="F13" s="1081"/>
      <c r="G13" s="1081"/>
      <c r="H13" s="1081"/>
      <c r="I13" s="1081"/>
      <c r="J13" s="1081"/>
      <c r="K13" s="1081"/>
      <c r="L13" s="1081"/>
      <c r="M13" s="1081"/>
      <c r="N13" s="1081"/>
      <c r="O13" s="1081"/>
      <c r="P13" s="1081"/>
      <c r="Q13" s="1081"/>
      <c r="R13" s="1081"/>
      <c r="S13" s="1081"/>
      <c r="T13" s="1081"/>
      <c r="U13" s="1081"/>
      <c r="V13" s="1081"/>
      <c r="W13" s="1081"/>
      <c r="X13" s="1081"/>
      <c r="Y13" s="1081"/>
      <c r="Z13" s="1081"/>
      <c r="AA13" s="1081"/>
      <c r="AB13" s="1081"/>
      <c r="AC13" s="1081"/>
      <c r="AD13" s="1081"/>
      <c r="AE13" s="1081"/>
      <c r="AF13" s="1081"/>
      <c r="AG13" s="1081"/>
      <c r="AH13" s="1081"/>
      <c r="AI13" s="1081"/>
      <c r="AJ13" s="1081"/>
      <c r="AK13" s="1081"/>
      <c r="AL13" s="1081"/>
      <c r="AM13" s="1081"/>
      <c r="AN13" s="1081"/>
      <c r="AO13" s="1081"/>
      <c r="AP13" s="1081"/>
      <c r="AQ13" s="1081"/>
      <c r="AR13" s="1081"/>
      <c r="AS13" s="1081"/>
      <c r="AT13" s="1081"/>
      <c r="AU13" s="1081"/>
      <c r="AV13" s="1081"/>
      <c r="AW13" s="1081"/>
      <c r="AX13" s="1081"/>
      <c r="AY13" s="1081"/>
      <c r="AZ13" s="1081"/>
      <c r="BA13" s="1081"/>
      <c r="BB13" s="1081"/>
      <c r="BC13" s="1081"/>
      <c r="BD13" s="1081"/>
      <c r="BE13" s="1081"/>
      <c r="BF13" s="1081"/>
      <c r="BG13" s="1081"/>
      <c r="BH13" s="1082"/>
      <c r="BI13" s="1082"/>
      <c r="BJ13" s="1082"/>
      <c r="BK13" s="1082"/>
      <c r="BL13" s="1082"/>
    </row>
    <row r="14" spans="2:64" hidden="1" outlineLevel="1">
      <c r="C14" s="1071" t="s">
        <v>181</v>
      </c>
      <c r="H14" s="1083" t="s">
        <v>29</v>
      </c>
      <c r="I14" s="1083"/>
      <c r="BC14" s="1071"/>
      <c r="BD14" s="1071"/>
      <c r="BE14" s="1071"/>
      <c r="BF14" s="1071"/>
      <c r="BG14" s="1577">
        <f>'ANSP Capex'!BE14</f>
        <v>34715.439395620102</v>
      </c>
      <c r="BH14" s="1581">
        <f>BG14-BH15</f>
        <v>26164.867169999969</v>
      </c>
      <c r="BI14" s="1581">
        <f>BH14-BI15</f>
        <v>18184.605129963158</v>
      </c>
      <c r="BJ14" s="1581">
        <f>BI14-BJ15</f>
        <v>11752.391251593068</v>
      </c>
      <c r="BK14" s="1581">
        <f>BJ14-BK15</f>
        <v>7222.9651866396143</v>
      </c>
      <c r="BL14" s="1581">
        <f>BK14-BL15</f>
        <v>4807.7874448528273</v>
      </c>
    </row>
    <row r="15" spans="2:64" hidden="1" outlineLevel="1">
      <c r="C15" s="1071" t="s">
        <v>31</v>
      </c>
      <c r="H15" s="1083" t="s">
        <v>29</v>
      </c>
      <c r="I15" s="1083"/>
      <c r="BC15" s="1071"/>
      <c r="BD15" s="1071"/>
      <c r="BE15" s="1071"/>
      <c r="BF15" s="1071"/>
      <c r="BG15" s="1071"/>
      <c r="BH15" s="1578">
        <f>'ANSP Capex'!BF15</f>
        <v>8550.5722256201316</v>
      </c>
      <c r="BI15" s="1578">
        <f>'ANSP Capex'!BG15</f>
        <v>7980.2620400368105</v>
      </c>
      <c r="BJ15" s="1578">
        <f>'ANSP Capex'!BH15</f>
        <v>6432.2138783700902</v>
      </c>
      <c r="BK15" s="1578">
        <f>'ANSP Capex'!BI15</f>
        <v>4529.4260649534535</v>
      </c>
      <c r="BL15" s="1578">
        <f>'ANSP Capex'!BJ15</f>
        <v>2415.1777417867866</v>
      </c>
    </row>
    <row r="16" spans="2:64" ht="8.25" hidden="1" customHeight="1" outlineLevel="1">
      <c r="BC16" s="1071"/>
      <c r="BD16" s="1071"/>
      <c r="BE16" s="1071"/>
      <c r="BF16" s="1071"/>
      <c r="BG16" s="1071"/>
      <c r="BH16" s="1084"/>
      <c r="BI16" s="1084"/>
      <c r="BJ16" s="1084"/>
      <c r="BK16" s="1084"/>
      <c r="BL16" s="1084"/>
    </row>
    <row r="17" spans="3:64" ht="13.5" hidden="1" outlineLevel="1" thickBot="1">
      <c r="C17" s="1081" t="s">
        <v>182</v>
      </c>
      <c r="D17" s="1081"/>
      <c r="E17" s="1081"/>
      <c r="F17" s="1081"/>
      <c r="G17" s="1081"/>
      <c r="H17" s="1081"/>
      <c r="I17" s="1081"/>
      <c r="J17" s="1081"/>
      <c r="K17" s="1081"/>
      <c r="L17" s="1081"/>
      <c r="M17" s="1081"/>
      <c r="N17" s="1081"/>
      <c r="O17" s="1081"/>
      <c r="P17" s="1081"/>
      <c r="Q17" s="1081"/>
      <c r="R17" s="1081"/>
      <c r="S17" s="1081"/>
      <c r="T17" s="1081"/>
      <c r="U17" s="1081"/>
      <c r="V17" s="1081"/>
      <c r="W17" s="1081"/>
      <c r="X17" s="1081"/>
      <c r="Y17" s="1081"/>
      <c r="Z17" s="1081"/>
      <c r="AA17" s="1081"/>
      <c r="AB17" s="1081"/>
      <c r="AC17" s="1081"/>
      <c r="AD17" s="1081"/>
      <c r="AE17" s="1081"/>
      <c r="AF17" s="1081"/>
      <c r="AG17" s="1081"/>
      <c r="AH17" s="1081"/>
      <c r="AI17" s="1081"/>
      <c r="AJ17" s="1081"/>
      <c r="AK17" s="1081"/>
      <c r="AL17" s="1081"/>
      <c r="AM17" s="1081"/>
      <c r="AN17" s="1081"/>
      <c r="AO17" s="1081"/>
      <c r="AP17" s="1081"/>
      <c r="AQ17" s="1081"/>
      <c r="AR17" s="1081"/>
      <c r="AS17" s="1081"/>
      <c r="AT17" s="1081"/>
      <c r="AU17" s="1081"/>
      <c r="AV17" s="1081"/>
      <c r="AW17" s="1081"/>
      <c r="AX17" s="1081"/>
      <c r="AY17" s="1081"/>
      <c r="AZ17" s="1081"/>
      <c r="BA17" s="1081"/>
      <c r="BB17" s="1081"/>
      <c r="BC17" s="1081"/>
      <c r="BD17" s="1081"/>
      <c r="BE17" s="1081"/>
      <c r="BF17" s="1081"/>
      <c r="BG17" s="1081"/>
      <c r="BH17" s="1082"/>
      <c r="BI17" s="1082"/>
      <c r="BJ17" s="1082"/>
      <c r="BK17" s="1082"/>
      <c r="BL17" s="1082"/>
    </row>
    <row r="18" spans="3:64" hidden="1" outlineLevel="1">
      <c r="C18" s="1071" t="s">
        <v>181</v>
      </c>
      <c r="H18" s="1083" t="s">
        <v>29</v>
      </c>
      <c r="I18" s="1083"/>
      <c r="BC18" s="1071"/>
      <c r="BD18" s="1071"/>
      <c r="BE18" s="1071"/>
      <c r="BF18" s="1071"/>
      <c r="BG18" s="1577">
        <f>'ANSP Capex'!BE18</f>
        <v>23464.723873497602</v>
      </c>
      <c r="BH18" s="1581">
        <f>BG18-BH19</f>
        <v>17345.466655699991</v>
      </c>
      <c r="BI18" s="1581">
        <f>BH18-BI19</f>
        <v>11650.392733198216</v>
      </c>
      <c r="BJ18" s="1581">
        <f>BI18-BJ19</f>
        <v>7068.5225947048202</v>
      </c>
      <c r="BK18" s="1581">
        <f>BJ18-BK19</f>
        <v>3886.7928909797301</v>
      </c>
      <c r="BL18" s="1581">
        <f>BK18-BL19</f>
        <v>2409.9491156396407</v>
      </c>
    </row>
    <row r="19" spans="3:64" hidden="1" outlineLevel="1">
      <c r="C19" s="1071" t="s">
        <v>31</v>
      </c>
      <c r="H19" s="1083" t="s">
        <v>29</v>
      </c>
      <c r="I19" s="1083"/>
      <c r="BC19" s="1071"/>
      <c r="BD19" s="1071"/>
      <c r="BE19" s="1071"/>
      <c r="BF19" s="1071"/>
      <c r="BG19" s="1071"/>
      <c r="BH19" s="1579">
        <f>'ANSP Capex'!BF19</f>
        <v>6119.2572177976108</v>
      </c>
      <c r="BI19" s="1579">
        <f>'ANSP Capex'!BG19</f>
        <v>5695.073922501776</v>
      </c>
      <c r="BJ19" s="1579">
        <f>'ANSP Capex'!BH19</f>
        <v>4581.8701384933956</v>
      </c>
      <c r="BK19" s="1579">
        <f>'ANSP Capex'!BI19</f>
        <v>3181.7297037250901</v>
      </c>
      <c r="BL19" s="1579">
        <f>'ANSP Capex'!BJ19</f>
        <v>1476.8437753400895</v>
      </c>
    </row>
    <row r="20" spans="3:64" ht="9" hidden="1" customHeight="1" outlineLevel="1">
      <c r="BC20" s="1071"/>
      <c r="BD20" s="1071"/>
      <c r="BE20" s="1071"/>
      <c r="BF20" s="1071"/>
      <c r="BG20" s="1071"/>
      <c r="BH20" s="1084"/>
      <c r="BI20" s="1084"/>
      <c r="BJ20" s="1084"/>
      <c r="BK20" s="1084"/>
      <c r="BL20" s="1084"/>
    </row>
    <row r="21" spans="3:64" ht="13.5" hidden="1" outlineLevel="1" thickBot="1">
      <c r="C21" s="1081" t="s">
        <v>183</v>
      </c>
      <c r="D21" s="1081"/>
      <c r="E21" s="1081"/>
      <c r="F21" s="1081"/>
      <c r="G21" s="1081"/>
      <c r="H21" s="1081"/>
      <c r="I21" s="1081"/>
      <c r="J21" s="1081"/>
      <c r="K21" s="1081"/>
      <c r="L21" s="1081"/>
      <c r="M21" s="1081"/>
      <c r="N21" s="1081"/>
      <c r="O21" s="1081"/>
      <c r="P21" s="1081"/>
      <c r="Q21" s="1081"/>
      <c r="R21" s="1081"/>
      <c r="S21" s="1081"/>
      <c r="T21" s="1081"/>
      <c r="U21" s="1081"/>
      <c r="V21" s="1081"/>
      <c r="W21" s="1081"/>
      <c r="X21" s="1081"/>
      <c r="Y21" s="1081"/>
      <c r="Z21" s="1081"/>
      <c r="AA21" s="1081"/>
      <c r="AB21" s="1081"/>
      <c r="AC21" s="1081"/>
      <c r="AD21" s="1081"/>
      <c r="AE21" s="1081"/>
      <c r="AF21" s="1081"/>
      <c r="AG21" s="1081"/>
      <c r="AH21" s="1081"/>
      <c r="AI21" s="1081"/>
      <c r="AJ21" s="1081"/>
      <c r="AK21" s="1081"/>
      <c r="AL21" s="1081"/>
      <c r="AM21" s="1081"/>
      <c r="AN21" s="1081"/>
      <c r="AO21" s="1081"/>
      <c r="AP21" s="1081"/>
      <c r="AQ21" s="1081"/>
      <c r="AR21" s="1081"/>
      <c r="AS21" s="1081"/>
      <c r="AT21" s="1081"/>
      <c r="AU21" s="1081"/>
      <c r="AV21" s="1081"/>
      <c r="AW21" s="1081"/>
      <c r="AX21" s="1081"/>
      <c r="AY21" s="1081"/>
      <c r="AZ21" s="1081"/>
      <c r="BA21" s="1081"/>
      <c r="BB21" s="1081"/>
      <c r="BC21" s="1081"/>
      <c r="BD21" s="1081"/>
      <c r="BE21" s="1081"/>
      <c r="BF21" s="1081"/>
      <c r="BG21" s="1081"/>
      <c r="BH21" s="1082"/>
      <c r="BI21" s="1082"/>
      <c r="BJ21" s="1082"/>
      <c r="BK21" s="1082"/>
      <c r="BL21" s="1082"/>
    </row>
    <row r="22" spans="3:64" hidden="1" outlineLevel="1">
      <c r="C22" s="1071" t="s">
        <v>181</v>
      </c>
      <c r="H22" s="1083" t="s">
        <v>29</v>
      </c>
      <c r="I22" s="1083"/>
      <c r="BC22" s="1071"/>
      <c r="BD22" s="1071"/>
      <c r="BE22" s="1071"/>
      <c r="BF22" s="1071"/>
      <c r="BG22" s="1577">
        <f>'ANSP Capex'!BE22</f>
        <v>11182.0783129425</v>
      </c>
      <c r="BH22" s="1581">
        <f>BG22-BH23</f>
        <v>8781.8918514999787</v>
      </c>
      <c r="BI22" s="1581">
        <f>BH22-BI23</f>
        <v>6517.7977907449449</v>
      </c>
      <c r="BJ22" s="1581">
        <f>BI22-BJ23</f>
        <v>4679.0080044482502</v>
      </c>
      <c r="BK22" s="1581">
        <f>BJ22-BK23</f>
        <v>3336.1407956598869</v>
      </c>
      <c r="BL22" s="1581">
        <f>BK22-BL23</f>
        <v>2397.8383292131903</v>
      </c>
    </row>
    <row r="23" spans="3:64" hidden="1" outlineLevel="1">
      <c r="C23" s="1071" t="s">
        <v>31</v>
      </c>
      <c r="H23" s="1083" t="s">
        <v>29</v>
      </c>
      <c r="I23" s="1083"/>
      <c r="BC23" s="1071"/>
      <c r="BD23" s="1071"/>
      <c r="BE23" s="1071"/>
      <c r="BF23" s="1071"/>
      <c r="BG23" s="1071"/>
      <c r="BH23" s="1579">
        <f>'ANSP Capex'!BF23</f>
        <v>2400.1864614425212</v>
      </c>
      <c r="BI23" s="1579">
        <f>'ANSP Capex'!BG23</f>
        <v>2264.0940607550338</v>
      </c>
      <c r="BJ23" s="1579">
        <f>'ANSP Capex'!BH23</f>
        <v>1838.7897862966947</v>
      </c>
      <c r="BK23" s="1579">
        <f>'ANSP Capex'!BI23</f>
        <v>1342.8672087883633</v>
      </c>
      <c r="BL23" s="1579">
        <f>'ANSP Capex'!BJ23</f>
        <v>938.30246644669683</v>
      </c>
    </row>
    <row r="24" spans="3:64" hidden="1" outlineLevel="1">
      <c r="H24" s="1083"/>
      <c r="I24" s="1083"/>
      <c r="BC24" s="1071"/>
      <c r="BD24" s="1071"/>
      <c r="BE24" s="1071"/>
      <c r="BF24" s="1071"/>
      <c r="BG24" s="1071"/>
      <c r="BH24" s="1071"/>
      <c r="BI24" s="1071"/>
      <c r="BJ24" s="1071"/>
      <c r="BK24" s="1071"/>
      <c r="BL24" s="1071"/>
    </row>
    <row r="25" spans="3:64" hidden="1" outlineLevel="1">
      <c r="C25" s="1136" t="s">
        <v>184</v>
      </c>
      <c r="D25" s="1133"/>
      <c r="E25" s="1133"/>
      <c r="F25" s="1133"/>
      <c r="G25" s="1133"/>
      <c r="H25" s="1133"/>
      <c r="I25" s="1133"/>
      <c r="J25" s="1133"/>
      <c r="K25" s="1133"/>
      <c r="L25" s="1133"/>
      <c r="M25" s="1133"/>
      <c r="N25" s="1133"/>
      <c r="O25" s="1133"/>
      <c r="P25" s="1133"/>
      <c r="Q25" s="1133"/>
      <c r="R25" s="1133"/>
      <c r="S25" s="1133"/>
      <c r="T25" s="1133"/>
      <c r="U25" s="1133"/>
      <c r="V25" s="1133"/>
      <c r="W25" s="1133"/>
      <c r="X25" s="1133"/>
      <c r="Y25" s="1133"/>
      <c r="Z25" s="1133"/>
      <c r="AA25" s="1133"/>
      <c r="AB25" s="1133"/>
      <c r="AC25" s="1133"/>
      <c r="AD25" s="1133"/>
      <c r="AE25" s="1133"/>
      <c r="AF25" s="1133"/>
      <c r="AG25" s="1133"/>
      <c r="AH25" s="1133"/>
      <c r="AI25" s="1133"/>
      <c r="AJ25" s="1133"/>
      <c r="AK25" s="1133"/>
      <c r="AL25" s="1133"/>
      <c r="AM25" s="1133"/>
      <c r="AN25" s="1133"/>
      <c r="AO25" s="1133"/>
      <c r="AP25" s="1133"/>
      <c r="AQ25" s="1133"/>
      <c r="AR25" s="1133"/>
      <c r="AS25" s="1133"/>
      <c r="AT25" s="1133"/>
      <c r="AU25" s="1133"/>
      <c r="AV25" s="1133"/>
      <c r="AW25" s="1133"/>
      <c r="AX25" s="1133"/>
      <c r="AY25" s="1133"/>
      <c r="AZ25" s="1133"/>
      <c r="BA25" s="1134"/>
      <c r="BB25" s="1134"/>
      <c r="BC25" s="1134"/>
      <c r="BD25" s="1134"/>
      <c r="BE25" s="1134"/>
      <c r="BF25" s="1134"/>
      <c r="BG25" s="1134"/>
      <c r="BH25" s="1134"/>
      <c r="BI25" s="1134"/>
      <c r="BJ25" s="1134"/>
      <c r="BK25" s="1071"/>
      <c r="BL25" s="1071"/>
    </row>
    <row r="26" spans="3:64" hidden="1" outlineLevel="1">
      <c r="C26" s="1133"/>
      <c r="D26" s="1133"/>
      <c r="E26" s="1133"/>
      <c r="F26" s="1133"/>
      <c r="G26" s="1133"/>
      <c r="H26" s="1133"/>
      <c r="I26" s="1133"/>
      <c r="J26" s="1133"/>
      <c r="K26" s="1133"/>
      <c r="L26" s="1133"/>
      <c r="M26" s="1133"/>
      <c r="N26" s="1133"/>
      <c r="O26" s="1133"/>
      <c r="P26" s="1133"/>
      <c r="Q26" s="1133"/>
      <c r="R26" s="1133"/>
      <c r="S26" s="1133"/>
      <c r="T26" s="1133"/>
      <c r="U26" s="1133"/>
      <c r="V26" s="1133"/>
      <c r="W26" s="1133"/>
      <c r="X26" s="1133"/>
      <c r="Y26" s="1133"/>
      <c r="Z26" s="1133"/>
      <c r="AA26" s="1133"/>
      <c r="AB26" s="1133"/>
      <c r="AC26" s="1133"/>
      <c r="AD26" s="1133"/>
      <c r="AE26" s="1133"/>
      <c r="AF26" s="1133"/>
      <c r="AG26" s="1133"/>
      <c r="AH26" s="1133"/>
      <c r="AI26" s="1133"/>
      <c r="AJ26" s="1133"/>
      <c r="AK26" s="1133"/>
      <c r="AL26" s="1133"/>
      <c r="AM26" s="1133"/>
      <c r="AN26" s="1133"/>
      <c r="AO26" s="1133"/>
      <c r="AP26" s="1133"/>
      <c r="AQ26" s="1133"/>
      <c r="AR26" s="1133"/>
      <c r="AS26" s="1133"/>
      <c r="AT26" s="1133"/>
      <c r="AU26" s="1133"/>
      <c r="AV26" s="1133"/>
      <c r="AW26" s="1133"/>
      <c r="AX26" s="1133"/>
      <c r="AY26" s="1133"/>
      <c r="AZ26" s="1133"/>
      <c r="BA26" s="1134"/>
      <c r="BB26" s="1134"/>
      <c r="BC26" s="1134"/>
      <c r="BD26" s="1134"/>
      <c r="BE26" s="1134"/>
      <c r="BF26" s="1134"/>
      <c r="BG26" s="1134"/>
      <c r="BH26" s="1134"/>
      <c r="BI26" s="1134"/>
      <c r="BJ26" s="1134"/>
      <c r="BK26" s="1071"/>
      <c r="BL26" s="1071"/>
    </row>
    <row r="27" spans="3:64" ht="13.5" hidden="1" outlineLevel="1" thickBot="1">
      <c r="C27" s="1081" t="s">
        <v>12</v>
      </c>
      <c r="D27" s="1081"/>
      <c r="E27" s="1081"/>
      <c r="F27" s="1081"/>
      <c r="G27" s="1081"/>
      <c r="H27" s="1081"/>
      <c r="I27" s="1081"/>
      <c r="J27" s="1081"/>
      <c r="K27" s="1081"/>
      <c r="L27" s="1081"/>
      <c r="M27" s="1081"/>
      <c r="N27" s="1081"/>
      <c r="O27" s="1081"/>
      <c r="P27" s="1081"/>
      <c r="Q27" s="1081"/>
      <c r="R27" s="1081"/>
      <c r="S27" s="1081"/>
      <c r="T27" s="1081"/>
      <c r="U27" s="1081"/>
      <c r="V27" s="1081"/>
      <c r="W27" s="1081"/>
      <c r="X27" s="1081"/>
      <c r="Y27" s="1081"/>
      <c r="Z27" s="1081"/>
      <c r="AA27" s="1081"/>
      <c r="AB27" s="1081"/>
      <c r="AC27" s="1081"/>
      <c r="AD27" s="1081"/>
      <c r="AE27" s="1081"/>
      <c r="AF27" s="1081"/>
      <c r="AG27" s="1081"/>
      <c r="AH27" s="1081"/>
      <c r="AI27" s="1081"/>
      <c r="AJ27" s="1081"/>
      <c r="AK27" s="1081"/>
      <c r="AL27" s="1081"/>
      <c r="AM27" s="1081"/>
      <c r="AN27" s="1081"/>
      <c r="AO27" s="1081"/>
      <c r="AP27" s="1081"/>
      <c r="AQ27" s="1081"/>
      <c r="AR27" s="1081"/>
      <c r="AS27" s="1081"/>
      <c r="AT27" s="1081"/>
      <c r="AU27" s="1081"/>
      <c r="AV27" s="1081"/>
      <c r="AW27" s="1081"/>
      <c r="AX27" s="1081"/>
      <c r="AY27" s="1081"/>
      <c r="AZ27" s="1081"/>
      <c r="BA27" s="1081"/>
      <c r="BB27" s="1081"/>
      <c r="BC27" s="1081"/>
      <c r="BD27" s="1081"/>
      <c r="BE27" s="1081"/>
      <c r="BF27" s="1081"/>
      <c r="BG27" s="1081"/>
      <c r="BH27" s="1082"/>
      <c r="BI27" s="1082"/>
      <c r="BJ27" s="1082"/>
      <c r="BK27" s="1082"/>
      <c r="BL27" s="1082"/>
    </row>
    <row r="28" spans="3:64" hidden="1" outlineLevel="1">
      <c r="C28" s="1071" t="s">
        <v>185</v>
      </c>
      <c r="H28" s="1083" t="s">
        <v>29</v>
      </c>
      <c r="BC28" s="1071"/>
      <c r="BD28" s="1071"/>
      <c r="BE28" s="1071"/>
      <c r="BF28" s="1071"/>
      <c r="BG28" s="1071"/>
      <c r="BH28" s="1578">
        <f>'ANSP Capex'!BF28</f>
        <v>635.60573595833341</v>
      </c>
      <c r="BI28" s="1578">
        <f>'ANSP Capex'!BG28</f>
        <v>956.2826670000004</v>
      </c>
      <c r="BJ28" s="1578">
        <f>'ANSP Capex'!BH28</f>
        <v>862.4089992083334</v>
      </c>
      <c r="BK28" s="1578">
        <f>'ANSP Capex'!BI28</f>
        <v>674.11780489583339</v>
      </c>
      <c r="BL28" s="1578">
        <f>'ANSP Capex'!BJ28</f>
        <v>438.10182354166659</v>
      </c>
    </row>
    <row r="29" spans="3:64" hidden="1" outlineLevel="1">
      <c r="BC29" s="1071"/>
      <c r="BD29" s="1071"/>
      <c r="BE29" s="1071"/>
      <c r="BF29" s="1071"/>
      <c r="BG29" s="1071"/>
      <c r="BH29" s="1084"/>
      <c r="BI29" s="1084"/>
      <c r="BJ29" s="1084"/>
      <c r="BK29" s="1084"/>
      <c r="BL29" s="1084"/>
    </row>
    <row r="30" spans="3:64" ht="13.5" hidden="1" outlineLevel="1" thickBot="1">
      <c r="C30" s="1081" t="s">
        <v>182</v>
      </c>
      <c r="D30" s="1081"/>
      <c r="E30" s="1081"/>
      <c r="F30" s="1081"/>
      <c r="G30" s="1081"/>
      <c r="H30" s="1081"/>
      <c r="I30" s="1081"/>
      <c r="J30" s="1081"/>
      <c r="K30" s="1081"/>
      <c r="L30" s="1081"/>
      <c r="M30" s="1081"/>
      <c r="N30" s="1081"/>
      <c r="O30" s="1081"/>
      <c r="P30" s="1081"/>
      <c r="Q30" s="1081"/>
      <c r="R30" s="1081"/>
      <c r="S30" s="1081"/>
      <c r="T30" s="1081"/>
      <c r="U30" s="1081"/>
      <c r="V30" s="1081"/>
      <c r="W30" s="1081"/>
      <c r="X30" s="1081"/>
      <c r="Y30" s="1081"/>
      <c r="Z30" s="1081"/>
      <c r="AA30" s="1081"/>
      <c r="AB30" s="1081"/>
      <c r="AC30" s="1081"/>
      <c r="AD30" s="1081"/>
      <c r="AE30" s="1081"/>
      <c r="AF30" s="1081"/>
      <c r="AG30" s="1081"/>
      <c r="AH30" s="1081"/>
      <c r="AI30" s="1081"/>
      <c r="AJ30" s="1081"/>
      <c r="AK30" s="1081"/>
      <c r="AL30" s="1081"/>
      <c r="AM30" s="1081"/>
      <c r="AN30" s="1081"/>
      <c r="AO30" s="1081"/>
      <c r="AP30" s="1081"/>
      <c r="AQ30" s="1081"/>
      <c r="AR30" s="1081"/>
      <c r="AS30" s="1081"/>
      <c r="AT30" s="1081"/>
      <c r="AU30" s="1081"/>
      <c r="AV30" s="1081"/>
      <c r="AW30" s="1081"/>
      <c r="AX30" s="1081"/>
      <c r="AY30" s="1081"/>
      <c r="AZ30" s="1081"/>
      <c r="BA30" s="1081"/>
      <c r="BB30" s="1081"/>
      <c r="BC30" s="1081"/>
      <c r="BD30" s="1081"/>
      <c r="BE30" s="1081"/>
      <c r="BF30" s="1081"/>
      <c r="BG30" s="1081"/>
      <c r="BH30" s="1082"/>
      <c r="BI30" s="1082"/>
      <c r="BJ30" s="1082"/>
      <c r="BK30" s="1082"/>
      <c r="BL30" s="1082"/>
    </row>
    <row r="31" spans="3:64" hidden="1" outlineLevel="1">
      <c r="C31" s="1071" t="s">
        <v>185</v>
      </c>
      <c r="H31" s="1083" t="s">
        <v>29</v>
      </c>
      <c r="BC31" s="1071"/>
      <c r="BD31" s="1071"/>
      <c r="BE31" s="1071"/>
      <c r="BF31" s="1071"/>
      <c r="BG31" s="1071"/>
      <c r="BH31" s="1579">
        <f>'ANSP Capex'!BF31</f>
        <v>489.84097759895837</v>
      </c>
      <c r="BI31" s="1579">
        <f>'ANSP Capex'!BG31</f>
        <v>813.62077172916656</v>
      </c>
      <c r="BJ31" s="1579">
        <f>'ANSP Capex'!BH31</f>
        <v>744.68967503124986</v>
      </c>
      <c r="BK31" s="1579">
        <f>'ANSP Capex'!BI31</f>
        <v>601.7902575052085</v>
      </c>
      <c r="BL31" s="1579">
        <f>'ANSP Capex'!BJ31</f>
        <v>391.44842878125002</v>
      </c>
    </row>
    <row r="32" spans="3:64" hidden="1" outlineLevel="1">
      <c r="BC32" s="1071"/>
      <c r="BD32" s="1071"/>
      <c r="BE32" s="1071"/>
      <c r="BF32" s="1071"/>
      <c r="BG32" s="1071"/>
      <c r="BH32" s="1084"/>
      <c r="BI32" s="1084"/>
      <c r="BJ32" s="1084"/>
      <c r="BK32" s="1084"/>
      <c r="BL32" s="1084"/>
    </row>
    <row r="33" spans="2:64" ht="13.5" hidden="1" outlineLevel="1" thickBot="1">
      <c r="C33" s="1081" t="s">
        <v>183</v>
      </c>
      <c r="D33" s="1081"/>
      <c r="E33" s="1081"/>
      <c r="F33" s="1081"/>
      <c r="G33" s="1081"/>
      <c r="H33" s="1081"/>
      <c r="I33" s="1081"/>
      <c r="J33" s="1081"/>
      <c r="K33" s="1081"/>
      <c r="L33" s="1081"/>
      <c r="M33" s="1081"/>
      <c r="N33" s="1081"/>
      <c r="O33" s="1081"/>
      <c r="P33" s="1081"/>
      <c r="Q33" s="1081"/>
      <c r="R33" s="1081"/>
      <c r="S33" s="1081"/>
      <c r="T33" s="1081"/>
      <c r="U33" s="1081"/>
      <c r="V33" s="1081"/>
      <c r="W33" s="1081"/>
      <c r="X33" s="1081"/>
      <c r="Y33" s="1081"/>
      <c r="Z33" s="1081"/>
      <c r="AA33" s="1081"/>
      <c r="AB33" s="1081"/>
      <c r="AC33" s="1081"/>
      <c r="AD33" s="1081"/>
      <c r="AE33" s="1081"/>
      <c r="AF33" s="1081"/>
      <c r="AG33" s="1081"/>
      <c r="AH33" s="1081"/>
      <c r="AI33" s="1081"/>
      <c r="AJ33" s="1081"/>
      <c r="AK33" s="1081"/>
      <c r="AL33" s="1081"/>
      <c r="AM33" s="1081"/>
      <c r="AN33" s="1081"/>
      <c r="AO33" s="1081"/>
      <c r="AP33" s="1081"/>
      <c r="AQ33" s="1081"/>
      <c r="AR33" s="1081"/>
      <c r="AS33" s="1081"/>
      <c r="AT33" s="1081"/>
      <c r="AU33" s="1081"/>
      <c r="AV33" s="1081"/>
      <c r="AW33" s="1081"/>
      <c r="AX33" s="1081"/>
      <c r="AY33" s="1081"/>
      <c r="AZ33" s="1081"/>
      <c r="BA33" s="1081"/>
      <c r="BB33" s="1081"/>
      <c r="BC33" s="1081"/>
      <c r="BD33" s="1081"/>
      <c r="BE33" s="1081"/>
      <c r="BF33" s="1081"/>
      <c r="BG33" s="1081"/>
      <c r="BH33" s="1082"/>
      <c r="BI33" s="1082"/>
      <c r="BJ33" s="1082"/>
      <c r="BK33" s="1082"/>
      <c r="BL33" s="1082"/>
    </row>
    <row r="34" spans="2:64" hidden="1" outlineLevel="1">
      <c r="C34" s="1071" t="s">
        <v>185</v>
      </c>
      <c r="H34" s="1083" t="s">
        <v>29</v>
      </c>
      <c r="BC34" s="1071"/>
      <c r="BD34" s="1071"/>
      <c r="BE34" s="1071"/>
      <c r="BF34" s="1071"/>
      <c r="BG34" s="1071"/>
      <c r="BH34" s="1579">
        <f>'ANSP Capex'!BF34</f>
        <v>128.52237419270833</v>
      </c>
      <c r="BI34" s="1579">
        <f>'ANSP Capex'!BG34</f>
        <v>126.15983777083332</v>
      </c>
      <c r="BJ34" s="1579">
        <f>'ANSP Capex'!BH34</f>
        <v>101.21726667708332</v>
      </c>
      <c r="BK34" s="1579">
        <f>'ANSP Capex'!BI34</f>
        <v>65.289993848958304</v>
      </c>
      <c r="BL34" s="1579">
        <f>'ANSP Capex'!BJ34</f>
        <v>46.653394760416653</v>
      </c>
    </row>
    <row r="35" spans="2:64" hidden="1" outlineLevel="1">
      <c r="H35" s="1083"/>
      <c r="I35" s="1083"/>
      <c r="BC35" s="1071"/>
      <c r="BD35" s="1071"/>
      <c r="BE35" s="1071"/>
      <c r="BF35" s="1071"/>
      <c r="BG35" s="1071"/>
      <c r="BH35" s="1071"/>
      <c r="BI35" s="1071"/>
      <c r="BJ35" s="1071"/>
      <c r="BK35" s="1071"/>
      <c r="BL35" s="1071"/>
    </row>
    <row r="36" spans="2:64" collapsed="1">
      <c r="BC36" s="1080"/>
      <c r="BD36" s="1080"/>
      <c r="BE36" s="1080"/>
      <c r="BF36" s="1080"/>
      <c r="BG36" s="1080"/>
      <c r="BH36" s="1080"/>
      <c r="BI36" s="1080"/>
      <c r="BJ36" s="1080"/>
      <c r="BK36" s="1080"/>
      <c r="BL36" s="1080"/>
    </row>
    <row r="37" spans="2:64">
      <c r="B37" s="1073" t="s">
        <v>186</v>
      </c>
      <c r="C37" s="1072"/>
      <c r="D37" s="1072"/>
      <c r="E37" s="1072"/>
      <c r="F37" s="1072"/>
      <c r="G37" s="1072"/>
      <c r="H37" s="1072"/>
      <c r="I37" s="1072"/>
      <c r="J37" s="1072"/>
      <c r="K37" s="1072"/>
      <c r="L37" s="1072"/>
      <c r="M37" s="1072"/>
      <c r="N37" s="1072"/>
      <c r="O37" s="1072"/>
      <c r="P37" s="1072"/>
      <c r="Q37" s="1072"/>
      <c r="R37" s="1072"/>
      <c r="S37" s="1072"/>
      <c r="T37" s="1072"/>
      <c r="U37" s="1072"/>
      <c r="V37" s="1072"/>
      <c r="W37" s="1072"/>
      <c r="X37" s="1072"/>
      <c r="Y37" s="1072"/>
      <c r="Z37" s="1072"/>
      <c r="AA37" s="1072"/>
      <c r="AB37" s="1072"/>
      <c r="AC37" s="1072"/>
      <c r="AD37" s="1072"/>
      <c r="AE37" s="1072"/>
      <c r="AF37" s="1072"/>
      <c r="AG37" s="1072"/>
      <c r="AH37" s="1072"/>
      <c r="AI37" s="1072"/>
      <c r="AJ37" s="1072"/>
      <c r="AK37" s="1072"/>
      <c r="AL37" s="1072"/>
      <c r="AM37" s="1072"/>
      <c r="AN37" s="1072"/>
      <c r="AO37" s="1072"/>
      <c r="AP37" s="1072"/>
      <c r="AQ37" s="1072"/>
      <c r="AR37" s="1072"/>
      <c r="AS37" s="1072"/>
      <c r="AT37" s="1072"/>
      <c r="AU37" s="1072"/>
      <c r="AV37" s="1072"/>
      <c r="AW37" s="1072"/>
      <c r="AX37" s="1072"/>
      <c r="AY37" s="1072"/>
      <c r="AZ37" s="1072"/>
      <c r="BA37" s="1072"/>
      <c r="BB37" s="1072"/>
      <c r="BC37" s="1079"/>
      <c r="BD37" s="1079"/>
      <c r="BE37" s="1079"/>
      <c r="BF37" s="1079"/>
      <c r="BG37" s="1079"/>
      <c r="BH37" s="1079"/>
      <c r="BI37" s="1079"/>
      <c r="BJ37" s="1079"/>
      <c r="BK37" s="1079"/>
      <c r="BL37" s="1079"/>
    </row>
    <row r="38" spans="2:64">
      <c r="BC38" s="1084"/>
      <c r="BD38" s="1084"/>
      <c r="BE38" s="1084"/>
      <c r="BF38" s="1084"/>
      <c r="BG38" s="1084"/>
      <c r="BH38" s="1084"/>
      <c r="BI38" s="1084"/>
      <c r="BJ38" s="1084"/>
      <c r="BK38" s="1084"/>
      <c r="BL38" s="1084"/>
    </row>
    <row r="39" spans="2:64">
      <c r="B39" s="1088" t="s">
        <v>187</v>
      </c>
      <c r="C39" s="1089"/>
      <c r="D39" s="1089"/>
      <c r="E39" s="1089"/>
      <c r="F39" s="1089"/>
      <c r="G39" s="1089"/>
      <c r="H39" s="1089"/>
      <c r="I39" s="1089"/>
      <c r="J39" s="1089"/>
      <c r="K39" s="1089"/>
      <c r="L39" s="1089"/>
      <c r="M39" s="1089"/>
      <c r="N39" s="1089"/>
      <c r="O39" s="1089"/>
      <c r="P39" s="1089"/>
      <c r="Q39" s="1089"/>
      <c r="R39" s="1089"/>
      <c r="S39" s="1089"/>
      <c r="T39" s="1089"/>
      <c r="U39" s="1089"/>
      <c r="V39" s="1089"/>
      <c r="W39" s="1089"/>
      <c r="X39" s="1089"/>
      <c r="Y39" s="1089"/>
      <c r="Z39" s="1089"/>
      <c r="AA39" s="1089"/>
      <c r="AB39" s="1089"/>
      <c r="AC39" s="1089"/>
      <c r="AD39" s="1089"/>
      <c r="AE39" s="1089"/>
      <c r="AF39" s="1089"/>
      <c r="AG39" s="1089"/>
      <c r="AH39" s="1089"/>
      <c r="AI39" s="1089"/>
      <c r="AJ39" s="1089"/>
      <c r="AK39" s="1089"/>
      <c r="AL39" s="1089"/>
      <c r="AM39" s="1089"/>
      <c r="AN39" s="1089"/>
      <c r="AO39" s="1089"/>
      <c r="AP39" s="1089"/>
      <c r="AQ39" s="1089"/>
      <c r="AR39" s="1089"/>
      <c r="AS39" s="1089"/>
      <c r="AT39" s="1089"/>
      <c r="AU39" s="1089"/>
      <c r="AV39" s="1089"/>
      <c r="AW39" s="1089"/>
      <c r="AX39" s="1089"/>
      <c r="AY39" s="1089"/>
      <c r="AZ39" s="1089"/>
      <c r="BA39" s="1089"/>
      <c r="BB39" s="1089"/>
      <c r="BC39" s="1090"/>
      <c r="BD39" s="1090"/>
      <c r="BE39" s="1090"/>
      <c r="BF39" s="1090"/>
      <c r="BG39" s="1090"/>
      <c r="BH39" s="1090"/>
      <c r="BI39" s="1090"/>
      <c r="BJ39" s="1090"/>
      <c r="BK39" s="1090"/>
      <c r="BL39" s="1090"/>
    </row>
    <row r="40" spans="2:64">
      <c r="BC40" s="1084"/>
      <c r="BD40" s="1084"/>
      <c r="BE40" s="1084"/>
      <c r="BF40" s="1084"/>
      <c r="BG40" s="1084"/>
      <c r="BH40" s="1084"/>
      <c r="BI40" s="1084"/>
      <c r="BJ40" s="1084"/>
      <c r="BK40" s="1084"/>
      <c r="BL40" s="1084"/>
    </row>
    <row r="41" spans="2:64">
      <c r="C41" s="1104" t="s">
        <v>748</v>
      </c>
      <c r="F41" s="1125">
        <v>2020</v>
      </c>
      <c r="I41" s="1546"/>
      <c r="BC41" s="1084"/>
      <c r="BD41" s="1084"/>
      <c r="BE41" s="1084"/>
      <c r="BF41" s="1084"/>
      <c r="BG41" s="1084"/>
      <c r="BH41" s="1084"/>
      <c r="BI41" s="1084"/>
      <c r="BJ41" s="1084"/>
      <c r="BK41" s="1084"/>
      <c r="BL41" s="1084"/>
    </row>
    <row r="42" spans="2:64">
      <c r="F42" s="1125" t="s">
        <v>414</v>
      </c>
      <c r="I42" s="1546">
        <v>-0.2</v>
      </c>
      <c r="BC42" s="1084"/>
      <c r="BD42" s="1084"/>
      <c r="BE42" s="1084"/>
      <c r="BF42" s="1084"/>
      <c r="BG42" s="1084"/>
      <c r="BH42" s="1084"/>
      <c r="BI42" s="1084"/>
      <c r="BJ42" s="1084"/>
      <c r="BK42" s="1084"/>
      <c r="BL42" s="1084"/>
    </row>
    <row r="43" spans="2:64">
      <c r="BC43" s="1084"/>
      <c r="BD43" s="1084"/>
      <c r="BE43" s="1084"/>
      <c r="BF43" s="1084"/>
      <c r="BG43" s="1084"/>
      <c r="BH43" s="1084"/>
      <c r="BI43" s="1084"/>
      <c r="BJ43" s="1084"/>
      <c r="BK43" s="1084"/>
      <c r="BL43" s="1084"/>
    </row>
    <row r="44" spans="2:64" ht="13.5" thickBot="1">
      <c r="B44" s="1091" t="s">
        <v>53</v>
      </c>
      <c r="C44" s="1091"/>
      <c r="D44" s="1091"/>
      <c r="E44" s="1091"/>
      <c r="F44" s="1092"/>
      <c r="G44" s="1091"/>
      <c r="H44" s="1091"/>
      <c r="I44" s="1091"/>
      <c r="J44" s="1093"/>
      <c r="K44" s="1093"/>
      <c r="L44" s="1093"/>
      <c r="M44" s="1093"/>
      <c r="N44" s="1093"/>
      <c r="O44" s="1093"/>
      <c r="P44" s="1093"/>
      <c r="Q44" s="1093"/>
      <c r="R44" s="1093"/>
      <c r="S44" s="1093"/>
      <c r="T44" s="1093"/>
      <c r="U44" s="1093"/>
      <c r="V44" s="1093"/>
      <c r="W44" s="1093"/>
      <c r="X44" s="1093"/>
      <c r="Y44" s="1093"/>
      <c r="Z44" s="1093"/>
      <c r="AA44" s="1093"/>
      <c r="AB44" s="1093"/>
      <c r="AC44" s="1093"/>
      <c r="AD44" s="1093"/>
      <c r="AE44" s="1093"/>
      <c r="AF44" s="1093"/>
      <c r="AG44" s="1093"/>
      <c r="AH44" s="1093"/>
      <c r="AI44" s="1093"/>
      <c r="AJ44" s="1093"/>
      <c r="AK44" s="1093"/>
      <c r="AL44" s="1093"/>
      <c r="AM44" s="1093"/>
      <c r="AN44" s="1093"/>
      <c r="AO44" s="1093"/>
      <c r="AP44" s="1093"/>
      <c r="AQ44" s="1093"/>
      <c r="AR44" s="1093"/>
      <c r="AS44" s="1093"/>
      <c r="AT44" s="1093"/>
      <c r="AU44" s="1093"/>
      <c r="AV44" s="1093"/>
      <c r="AW44" s="1093"/>
      <c r="AX44" s="1093"/>
      <c r="AY44" s="1093"/>
      <c r="AZ44" s="1093"/>
      <c r="BA44" s="1082"/>
      <c r="BB44" s="1082"/>
      <c r="BC44" s="1082"/>
      <c r="BD44" s="1082"/>
      <c r="BE44" s="1082"/>
      <c r="BF44" s="1082"/>
      <c r="BG44" s="1082"/>
      <c r="BH44" s="1082"/>
      <c r="BI44" s="1082"/>
      <c r="BJ44" s="1082"/>
      <c r="BK44" s="1082"/>
      <c r="BL44" s="1082"/>
    </row>
    <row r="45" spans="2:64">
      <c r="BA45" s="1084"/>
      <c r="BB45" s="1084"/>
      <c r="BC45" s="1084"/>
      <c r="BD45" s="1084"/>
      <c r="BE45" s="1084"/>
      <c r="BF45" s="1084"/>
      <c r="BG45" s="1084"/>
      <c r="BH45" s="1084"/>
      <c r="BI45" s="1084"/>
      <c r="BJ45" s="1084"/>
      <c r="BK45" s="1084"/>
      <c r="BL45" s="1084"/>
    </row>
    <row r="46" spans="2:64">
      <c r="C46" s="1071" t="s">
        <v>188</v>
      </c>
      <c r="H46" s="1083" t="s">
        <v>29</v>
      </c>
      <c r="BA46" s="1084"/>
      <c r="BB46" s="1084"/>
      <c r="BC46" s="1084"/>
      <c r="BD46" s="1084"/>
      <c r="BE46" s="1084"/>
      <c r="BF46" s="1071"/>
      <c r="BG46" s="1071"/>
      <c r="BH46" s="1126">
        <f>'ANSP Capex'!BF42*(SUM(BH49:BH346)/SUM('ANSP Capex'!BF45:BF342))</f>
        <v>14000</v>
      </c>
      <c r="BI46" s="1126">
        <f>'ANSP Capex'!BG42*(SUM(BI49:BI346)/SUM('ANSP Capex'!BG45:BG342))</f>
        <v>25537.042628171926</v>
      </c>
      <c r="BJ46" s="1126">
        <f>'ANSP Capex'!BH42*(SUM(BJ49:BJ346)/SUM('ANSP Capex'!BH45:BH342))</f>
        <v>23908.535852348192</v>
      </c>
      <c r="BK46" s="1126">
        <f>'ANSP Capex'!BI42*(SUM(BK49:BK346)/SUM('ANSP Capex'!BI45:BI342))</f>
        <v>22571.755659749826</v>
      </c>
      <c r="BL46" s="1126">
        <f>'ANSP Capex'!BJ42*(SUM(BL49:BL346)/SUM('ANSP Capex'!BJ45:BJ342))</f>
        <v>12000</v>
      </c>
    </row>
    <row r="47" spans="2:64">
      <c r="BC47" s="1084"/>
      <c r="BD47" s="1084"/>
      <c r="BE47" s="1084"/>
      <c r="BF47" s="1084"/>
      <c r="BG47" s="1084"/>
      <c r="BH47" s="1084"/>
      <c r="BI47" s="1084"/>
      <c r="BJ47" s="1084"/>
      <c r="BK47" s="1084"/>
      <c r="BL47" s="1084"/>
    </row>
    <row r="48" spans="2:64" ht="13.5" thickBot="1">
      <c r="B48" s="1091" t="s">
        <v>189</v>
      </c>
      <c r="C48" s="1091"/>
      <c r="D48" s="1091"/>
      <c r="E48" s="1091"/>
      <c r="F48" s="1092" t="s">
        <v>190</v>
      </c>
      <c r="G48" s="1091"/>
      <c r="H48" s="1091"/>
      <c r="I48" s="1091"/>
      <c r="J48" s="1091"/>
      <c r="K48" s="1091"/>
      <c r="L48" s="1093"/>
      <c r="M48" s="1093" t="s">
        <v>191</v>
      </c>
      <c r="N48" s="1093"/>
      <c r="O48" s="1093">
        <v>2020</v>
      </c>
      <c r="P48" s="1093">
        <v>2021</v>
      </c>
      <c r="Q48" s="1093">
        <v>2022</v>
      </c>
      <c r="R48" s="1093">
        <v>2023</v>
      </c>
      <c r="S48" s="1093">
        <v>2024</v>
      </c>
      <c r="T48" s="1093"/>
      <c r="U48" s="1093">
        <v>2020</v>
      </c>
      <c r="V48" s="1093">
        <v>2021</v>
      </c>
      <c r="W48" s="1093">
        <v>2022</v>
      </c>
      <c r="X48" s="1093">
        <v>2023</v>
      </c>
      <c r="Y48" s="1093">
        <v>2024</v>
      </c>
      <c r="Z48" s="1093"/>
      <c r="AA48" s="1093">
        <v>2020</v>
      </c>
      <c r="AB48" s="1093">
        <v>2021</v>
      </c>
      <c r="AC48" s="1093">
        <v>2022</v>
      </c>
      <c r="AD48" s="1093">
        <v>2023</v>
      </c>
      <c r="AE48" s="1093">
        <v>2024</v>
      </c>
      <c r="AF48" s="1093"/>
      <c r="AG48" s="1093">
        <v>2020</v>
      </c>
      <c r="AH48" s="1093">
        <v>2021</v>
      </c>
      <c r="AI48" s="1093">
        <v>2022</v>
      </c>
      <c r="AJ48" s="1093">
        <v>2023</v>
      </c>
      <c r="AK48" s="1093">
        <v>2024</v>
      </c>
      <c r="AL48" s="1093"/>
      <c r="AM48" s="1093">
        <v>2020</v>
      </c>
      <c r="AN48" s="1093">
        <v>2021</v>
      </c>
      <c r="AO48" s="1093">
        <v>2022</v>
      </c>
      <c r="AP48" s="1093">
        <v>2023</v>
      </c>
      <c r="AQ48" s="1093">
        <v>2024</v>
      </c>
      <c r="AR48" s="1093"/>
      <c r="AS48" s="1093">
        <v>2020</v>
      </c>
      <c r="AT48" s="1093">
        <v>2021</v>
      </c>
      <c r="AU48" s="1093">
        <v>2022</v>
      </c>
      <c r="AV48" s="1093">
        <v>2023</v>
      </c>
      <c r="AW48" s="1093">
        <v>2024</v>
      </c>
      <c r="AX48" s="1093"/>
      <c r="AY48" s="1093" t="s">
        <v>176</v>
      </c>
      <c r="AZ48" s="1093"/>
      <c r="BA48" s="1093" t="s">
        <v>177</v>
      </c>
      <c r="BB48" s="1093"/>
      <c r="BC48" s="1082"/>
      <c r="BD48" s="1082"/>
      <c r="BE48" s="1082"/>
      <c r="BF48" s="1082"/>
      <c r="BG48" s="1082"/>
      <c r="BH48" s="1082"/>
      <c r="BI48" s="1082"/>
      <c r="BJ48" s="1082"/>
      <c r="BK48" s="1082"/>
      <c r="BL48" s="1082"/>
    </row>
    <row r="49" spans="1:64" outlineLevel="2">
      <c r="A49" s="1094"/>
      <c r="B49" s="1094"/>
      <c r="C49" s="1083" t="str">
        <f>'ANSP Capex'!C45</f>
        <v>N004 - CEROC Buildings</v>
      </c>
      <c r="D49" s="1083" t="str">
        <f>'ANSP Capex'!D45</f>
        <v>CEROC</v>
      </c>
      <c r="E49" s="1083" t="str">
        <f>'ANSP Capex'!E45</f>
        <v>N0040001</v>
      </c>
      <c r="F49" s="1083">
        <f>'ANSP Capex'!F45</f>
        <v>2020</v>
      </c>
      <c r="G49" s="1101">
        <f>SUM(BH49:BL49)</f>
        <v>4827.1379400000005</v>
      </c>
      <c r="H49" s="1083" t="str">
        <f>'ANSP Capex'!H45</f>
        <v>€'000</v>
      </c>
      <c r="I49" s="829"/>
      <c r="J49" s="1097">
        <f>'ANSP Capex'!I45</f>
        <v>20</v>
      </c>
      <c r="K49" s="1124">
        <v>40</v>
      </c>
      <c r="L49" s="1098">
        <f>IF(K49&lt;=0,J49*12,K49*12)</f>
        <v>480</v>
      </c>
      <c r="M49" s="153">
        <f>IFERROR(1/(L49/12),0)</f>
        <v>2.5000000000000001E-2</v>
      </c>
      <c r="N49" s="1099"/>
      <c r="O49" s="1100">
        <f>'ANSP Capex'!M45</f>
        <v>0.9999997638352135</v>
      </c>
      <c r="P49" s="1101">
        <f>IF($BH49=0,0,IF(SUM($O49:O49)&lt;($L49-12),12,$L49-SUM($O49:O49)))</f>
        <v>12</v>
      </c>
      <c r="Q49" s="1101">
        <f>IF($BH49=0,0,IF(SUM($O49:P49)&lt;($L49-12),12,$L49-SUM($O49:P49)))</f>
        <v>12</v>
      </c>
      <c r="R49" s="1101">
        <f>IF($BH49=0,0,IF(SUM($O49:Q49)&lt;($L49-12),12,$L49-SUM($O49:Q49)))</f>
        <v>12</v>
      </c>
      <c r="S49" s="1101">
        <f>IF($BH49=0,0,IF(SUM($O49:R49)&lt;($L49-12),12,$L49-SUM($O49:R49)))</f>
        <v>12</v>
      </c>
      <c r="U49" s="1100"/>
      <c r="V49" s="1100">
        <f>'ANSP Capex'!T45</f>
        <v>0</v>
      </c>
      <c r="W49" s="1101">
        <f>IF($BI49=0,0,IF(SUM($U49:V49)&lt;($L49-12),12,$L49-SUM($U49:V49)))</f>
        <v>0</v>
      </c>
      <c r="X49" s="1101">
        <f>IF($BI49=0,0,IF(SUM($U49:W49)&lt;($L49-12),12,$L49-SUM($U49:W49)))</f>
        <v>0</v>
      </c>
      <c r="Y49" s="1101">
        <f>IF($BI49=0,0,IF(SUM($U49:X49)&lt;($L49-12),12,$L49-SUM($U49:X49)))</f>
        <v>0</v>
      </c>
      <c r="AA49" s="1100"/>
      <c r="AB49" s="1100"/>
      <c r="AC49" s="1100">
        <f>'ANSP Capex'!AA45</f>
        <v>0</v>
      </c>
      <c r="AD49" s="1101">
        <f>IF($BJ49=0,0,IF(SUM($AA49:AC49)&lt;($L49-12),12,$L49-SUM($AA49:AC49)))</f>
        <v>0</v>
      </c>
      <c r="AE49" s="1101">
        <f>IF($BJ49=0,0,IF(SUM($AA49:AD49)&lt;($L49-12),12,$L49-SUM($AA49:AD49)))</f>
        <v>0</v>
      </c>
      <c r="AG49" s="1100"/>
      <c r="AH49" s="1100"/>
      <c r="AI49" s="1100"/>
      <c r="AJ49" s="1100">
        <f>'ANSP Capex'!AH45</f>
        <v>0</v>
      </c>
      <c r="AK49" s="1101">
        <f>IF($BK49=0,0,IF(SUM($AG49:AJ49)&lt;($L49-12),12,$L49-SUM($AG49:AJ49)))</f>
        <v>0</v>
      </c>
      <c r="AM49" s="1100"/>
      <c r="AN49" s="1100"/>
      <c r="AO49" s="1100"/>
      <c r="AP49" s="1100"/>
      <c r="AQ49" s="1100">
        <f>'ANSP Capex'!AO45</f>
        <v>0</v>
      </c>
      <c r="AS49" s="153">
        <f>O49/12</f>
        <v>8.3333313652934463E-2</v>
      </c>
      <c r="AT49" s="153">
        <f>V49/12</f>
        <v>0</v>
      </c>
      <c r="AU49" s="153">
        <f>AC49/12</f>
        <v>0</v>
      </c>
      <c r="AV49" s="153">
        <f>AJ49/12</f>
        <v>0</v>
      </c>
      <c r="AW49" s="153">
        <f>AQ49/12</f>
        <v>0</v>
      </c>
      <c r="AX49" s="153"/>
      <c r="AY49" s="1543">
        <f>'ANSP Capex'!AW45</f>
        <v>1</v>
      </c>
      <c r="AZ49" s="1102"/>
      <c r="BA49" s="1543">
        <f>'ANSP Capex'!AY45</f>
        <v>0</v>
      </c>
      <c r="BC49" s="1126"/>
      <c r="BD49" s="1126"/>
      <c r="BE49" s="1126"/>
      <c r="BF49" s="1126"/>
      <c r="BG49" s="1126"/>
      <c r="BH49" s="1126">
        <f>'ANSP Capex'!BF45*IF($I49="",(1+INDEX($I$41:$I$42,MATCH($F49,$F$41:$F$42,0))),(1+$I49))</f>
        <v>4827.1379400000005</v>
      </c>
      <c r="BI49" s="1126">
        <f>'ANSP Capex'!BG45*IF($I49="",(1+INDEX($I$41:$I$42,MATCH($F49,$F$41:$F$42,0))),(1+$I49))</f>
        <v>0</v>
      </c>
      <c r="BJ49" s="1126">
        <f>'ANSP Capex'!BH45*IF($I49="",(1+INDEX($I$41:$I$42,MATCH($F49,$F$41:$F$42,0))),(1+$I49))</f>
        <v>0</v>
      </c>
      <c r="BK49" s="1126">
        <f>'ANSP Capex'!BI45*IF($I49="",(1+INDEX($I$41:$I$42,MATCH($F49,$F$41:$F$42,0))),(1+$I49))</f>
        <v>0</v>
      </c>
      <c r="BL49" s="1126">
        <f>'ANSP Capex'!BJ45*IF($I49="",(1+INDEX($I$41:$I$42,MATCH($F49,$F$41:$F$42,0))),(1+$I49))</f>
        <v>0</v>
      </c>
    </row>
    <row r="50" spans="1:64" outlineLevel="2">
      <c r="A50" s="1094"/>
      <c r="B50" s="1094"/>
      <c r="C50" s="1083" t="str">
        <f>'ANSP Capex'!C46</f>
        <v>N004 - CEROC Network Servers</v>
      </c>
      <c r="D50" s="1083" t="str">
        <f>'ANSP Capex'!D46</f>
        <v>CEROC</v>
      </c>
      <c r="E50" s="1083" t="str">
        <f>'ANSP Capex'!E46</f>
        <v>N0040002</v>
      </c>
      <c r="F50" s="1083">
        <f>'ANSP Capex'!F46</f>
        <v>2020</v>
      </c>
      <c r="G50" s="1101">
        <f t="shared" ref="G50:G113" si="0">SUM(BH50:BL50)</f>
        <v>578.85391000000004</v>
      </c>
      <c r="H50" s="1083" t="str">
        <f>'ANSP Capex'!H46</f>
        <v>€'000</v>
      </c>
      <c r="I50" s="829"/>
      <c r="J50" s="1097">
        <f>'ANSP Capex'!I46</f>
        <v>8</v>
      </c>
      <c r="K50" s="1124">
        <v>0</v>
      </c>
      <c r="L50" s="1098">
        <f t="shared" ref="L50:L113" si="1">IF(K50&lt;=0,J50*12,K50*12)</f>
        <v>96</v>
      </c>
      <c r="M50" s="153">
        <f>IFERROR(1/(L50/12),0)</f>
        <v>0.125</v>
      </c>
      <c r="N50" s="1099"/>
      <c r="O50" s="1100">
        <f>'ANSP Capex'!M46</f>
        <v>1.0000002936837724</v>
      </c>
      <c r="P50" s="1101">
        <f>IF($BH50=0,0,IF(SUM($O50:O50)&lt;($L50-12),12,$L50-SUM($O50:O50)))</f>
        <v>12</v>
      </c>
      <c r="Q50" s="1101">
        <f>IF($BH50=0,0,IF(SUM($O50:P50)&lt;($L50-12),12,$L50-SUM($O50:P50)))</f>
        <v>12</v>
      </c>
      <c r="R50" s="1101">
        <f>IF($BH50=0,0,IF(SUM($O50:Q50)&lt;($L50-12),12,$L50-SUM($O50:Q50)))</f>
        <v>12</v>
      </c>
      <c r="S50" s="1101">
        <f>IF($BH50=0,0,IF(SUM($O50:R50)&lt;($L50-12),12,$L50-SUM($O50:R50)))</f>
        <v>12</v>
      </c>
      <c r="U50" s="1100"/>
      <c r="V50" s="1100">
        <f>'ANSP Capex'!T46</f>
        <v>0</v>
      </c>
      <c r="W50" s="1101">
        <f>IF($BI50=0,0,IF(SUM($U50:V50)&lt;($L50-12),12,$L50-SUM($U50:V50)))</f>
        <v>0</v>
      </c>
      <c r="X50" s="1101">
        <f>IF($BI50=0,0,IF(SUM($U50:W50)&lt;($L50-12),12,$L50-SUM($U50:W50)))</f>
        <v>0</v>
      </c>
      <c r="Y50" s="1101">
        <f>IF($BI50=0,0,IF(SUM($U50:X50)&lt;($L50-12),12,$L50-SUM($U50:X50)))</f>
        <v>0</v>
      </c>
      <c r="AA50" s="1100"/>
      <c r="AB50" s="1100"/>
      <c r="AC50" s="1100">
        <f>'ANSP Capex'!AA46</f>
        <v>0</v>
      </c>
      <c r="AD50" s="1101">
        <f>IF($BJ50=0,0,IF(SUM($AA50:AC50)&lt;($L50-12),12,$L50-SUM($AA50:AC50)))</f>
        <v>0</v>
      </c>
      <c r="AE50" s="1101">
        <f>IF($BJ50=0,0,IF(SUM($AA50:AD50)&lt;($L50-12),12,$L50-SUM($AA50:AD50)))</f>
        <v>0</v>
      </c>
      <c r="AG50" s="1100"/>
      <c r="AH50" s="1100"/>
      <c r="AI50" s="1100"/>
      <c r="AJ50" s="1100">
        <f>'ANSP Capex'!AH46</f>
        <v>0</v>
      </c>
      <c r="AK50" s="1101">
        <f>IF($BK50=0,0,IF(SUM($AG50:AJ50)&lt;($L50-12),12,$L50-SUM($AG50:AJ50)))</f>
        <v>0</v>
      </c>
      <c r="AM50" s="1100"/>
      <c r="AN50" s="1100"/>
      <c r="AO50" s="1100"/>
      <c r="AP50" s="1100"/>
      <c r="AQ50" s="1100">
        <f>'ANSP Capex'!AO46</f>
        <v>0</v>
      </c>
      <c r="AS50" s="153">
        <f>O50/12</f>
        <v>8.3333357806981034E-2</v>
      </c>
      <c r="AT50" s="153">
        <f>V50/12</f>
        <v>0</v>
      </c>
      <c r="AU50" s="153">
        <f>AC50/12</f>
        <v>0</v>
      </c>
      <c r="AV50" s="153">
        <f>AJ50/12</f>
        <v>0</v>
      </c>
      <c r="AW50" s="153">
        <f>AQ50/12</f>
        <v>0</v>
      </c>
      <c r="AX50" s="153"/>
      <c r="AY50" s="1543">
        <f>'ANSP Capex'!AW46</f>
        <v>1</v>
      </c>
      <c r="AZ50" s="1102"/>
      <c r="BA50" s="1543">
        <f>'ANSP Capex'!AY46</f>
        <v>0</v>
      </c>
      <c r="BC50" s="1126"/>
      <c r="BD50" s="1126"/>
      <c r="BE50" s="1126"/>
      <c r="BF50" s="1126"/>
      <c r="BG50" s="1126"/>
      <c r="BH50" s="1126">
        <f>'ANSP Capex'!BF46*IF($I50="",(1+INDEX($I$41:$I$42,MATCH($F50,$F$41:$F$42,0))),(1+$I50))</f>
        <v>578.85391000000004</v>
      </c>
      <c r="BI50" s="1126">
        <f>'ANSP Capex'!BG46*IF($I50="",(1+INDEX($I$41:$I$42,MATCH($F50,$F$41:$F$42,0))),(1+$I50))</f>
        <v>0</v>
      </c>
      <c r="BJ50" s="1126">
        <f>'ANSP Capex'!BH46*IF($I50="",(1+INDEX($I$41:$I$42,MATCH($F50,$F$41:$F$42,0))),(1+$I50))</f>
        <v>0</v>
      </c>
      <c r="BK50" s="1126">
        <f>'ANSP Capex'!BI46*IF($I50="",(1+INDEX($I$41:$I$42,MATCH($F50,$F$41:$F$42,0))),(1+$I50))</f>
        <v>0</v>
      </c>
      <c r="BL50" s="1126">
        <f>'ANSP Capex'!BJ46*IF($I50="",(1+INDEX($I$41:$I$42,MATCH($F50,$F$41:$F$42,0))),(1+$I50))</f>
        <v>0</v>
      </c>
    </row>
    <row r="51" spans="1:64" outlineLevel="2">
      <c r="A51" s="1094"/>
      <c r="B51" s="1094"/>
      <c r="C51" s="1083" t="str">
        <f>'ANSP Capex'!C47</f>
        <v>N004 - CEROC ATC Systems</v>
      </c>
      <c r="D51" s="1083" t="str">
        <f>'ANSP Capex'!D47</f>
        <v>CEROC</v>
      </c>
      <c r="E51" s="1083" t="str">
        <f>'ANSP Capex'!E47</f>
        <v>N0040003</v>
      </c>
      <c r="F51" s="1083">
        <f>'ANSP Capex'!F47</f>
        <v>2020</v>
      </c>
      <c r="G51" s="1101">
        <f t="shared" si="0"/>
        <v>3164.89536</v>
      </c>
      <c r="H51" s="1083" t="str">
        <f>'ANSP Capex'!H47</f>
        <v>€'000</v>
      </c>
      <c r="I51" s="829"/>
      <c r="J51" s="1097">
        <f>'ANSP Capex'!I47</f>
        <v>8</v>
      </c>
      <c r="K51" s="1124">
        <v>0</v>
      </c>
      <c r="L51" s="1098">
        <f t="shared" si="1"/>
        <v>96</v>
      </c>
      <c r="M51" s="153">
        <f t="shared" ref="M51:M114" si="2">IFERROR(1/(L51/12),0)</f>
        <v>0.125</v>
      </c>
      <c r="N51" s="1099"/>
      <c r="O51" s="1100">
        <f>'ANSP Capex'!M47</f>
        <v>1.0000000000000002</v>
      </c>
      <c r="P51" s="1101">
        <f>IF($BH51=0,0,IF(SUM($O51:O51)&lt;($L51-12),12,$L51-SUM($O51:O51)))</f>
        <v>12</v>
      </c>
      <c r="Q51" s="1101">
        <f>IF($BH51=0,0,IF(SUM($O51:P51)&lt;($L51-12),12,$L51-SUM($O51:P51)))</f>
        <v>12</v>
      </c>
      <c r="R51" s="1101">
        <f>IF($BH51=0,0,IF(SUM($O51:Q51)&lt;($L51-12),12,$L51-SUM($O51:Q51)))</f>
        <v>12</v>
      </c>
      <c r="S51" s="1101">
        <f>IF($BH51=0,0,IF(SUM($O51:R51)&lt;($L51-12),12,$L51-SUM($O51:R51)))</f>
        <v>12</v>
      </c>
      <c r="U51" s="1100"/>
      <c r="V51" s="1100">
        <f>'ANSP Capex'!T47</f>
        <v>0</v>
      </c>
      <c r="W51" s="1101">
        <f>IF($BI51=0,0,IF(SUM($U51:V51)&lt;($L51-12),12,$L51-SUM($U51:V51)))</f>
        <v>0</v>
      </c>
      <c r="X51" s="1101">
        <f>IF($BI51=0,0,IF(SUM($U51:W51)&lt;($L51-12),12,$L51-SUM($U51:W51)))</f>
        <v>0</v>
      </c>
      <c r="Y51" s="1101">
        <f>IF($BI51=0,0,IF(SUM($U51:X51)&lt;($L51-12),12,$L51-SUM($U51:X51)))</f>
        <v>0</v>
      </c>
      <c r="AA51" s="1100"/>
      <c r="AB51" s="1100"/>
      <c r="AC51" s="1100">
        <f>'ANSP Capex'!AA47</f>
        <v>0</v>
      </c>
      <c r="AD51" s="1101">
        <f>IF($BJ51=0,0,IF(SUM($AA51:AC51)&lt;($L51-12),12,$L51-SUM($AA51:AC51)))</f>
        <v>0</v>
      </c>
      <c r="AE51" s="1101">
        <f>IF($BJ51=0,0,IF(SUM($AA51:AD51)&lt;($L51-12),12,$L51-SUM($AA51:AD51)))</f>
        <v>0</v>
      </c>
      <c r="AG51" s="1100"/>
      <c r="AH51" s="1100"/>
      <c r="AI51" s="1100"/>
      <c r="AJ51" s="1100">
        <f>'ANSP Capex'!AH47</f>
        <v>0</v>
      </c>
      <c r="AK51" s="1101">
        <f>IF($BK51=0,0,IF(SUM($AG51:AJ51)&lt;($L51-12),12,$L51-SUM($AG51:AJ51)))</f>
        <v>0</v>
      </c>
      <c r="AM51" s="1100"/>
      <c r="AN51" s="1100"/>
      <c r="AO51" s="1100"/>
      <c r="AP51" s="1100"/>
      <c r="AQ51" s="1100">
        <f>'ANSP Capex'!AO47</f>
        <v>0</v>
      </c>
      <c r="AS51" s="153">
        <f t="shared" ref="AS51:AS114" si="3">O51/12</f>
        <v>8.3333333333333356E-2</v>
      </c>
      <c r="AT51" s="153">
        <f t="shared" ref="AT51:AT114" si="4">V51/12</f>
        <v>0</v>
      </c>
      <c r="AU51" s="153">
        <f t="shared" ref="AU51:AU114" si="5">AC51/12</f>
        <v>0</v>
      </c>
      <c r="AV51" s="153">
        <f t="shared" ref="AV51:AV114" si="6">AJ51/12</f>
        <v>0</v>
      </c>
      <c r="AW51" s="153">
        <f t="shared" ref="AW51:AW114" si="7">AQ51/12</f>
        <v>0</v>
      </c>
      <c r="AX51" s="153"/>
      <c r="AY51" s="1543">
        <f>'ANSP Capex'!AW47</f>
        <v>1</v>
      </c>
      <c r="AZ51" s="1102"/>
      <c r="BA51" s="1543">
        <f>'ANSP Capex'!AY47</f>
        <v>0</v>
      </c>
      <c r="BC51" s="1126"/>
      <c r="BD51" s="1126"/>
      <c r="BE51" s="1126"/>
      <c r="BF51" s="1126"/>
      <c r="BG51" s="1126"/>
      <c r="BH51" s="1126">
        <f>'ANSP Capex'!BF47*IF($I51="",(1+INDEX($I$41:$I$42,MATCH($F51,$F$41:$F$42,0))),(1+$I51))</f>
        <v>3164.89536</v>
      </c>
      <c r="BI51" s="1126">
        <f>'ANSP Capex'!BG47*IF($I51="",(1+INDEX($I$41:$I$42,MATCH($F51,$F$41:$F$42,0))),(1+$I51))</f>
        <v>0</v>
      </c>
      <c r="BJ51" s="1126">
        <f>'ANSP Capex'!BH47*IF($I51="",(1+INDEX($I$41:$I$42,MATCH($F51,$F$41:$F$42,0))),(1+$I51))</f>
        <v>0</v>
      </c>
      <c r="BK51" s="1126">
        <f>'ANSP Capex'!BI47*IF($I51="",(1+INDEX($I$41:$I$42,MATCH($F51,$F$41:$F$42,0))),(1+$I51))</f>
        <v>0</v>
      </c>
      <c r="BL51" s="1126">
        <f>'ANSP Capex'!BJ47*IF($I51="",(1+INDEX($I$41:$I$42,MATCH($F51,$F$41:$F$42,0))),(1+$I51))</f>
        <v>0</v>
      </c>
    </row>
    <row r="52" spans="1:64" outlineLevel="2">
      <c r="A52" s="1094"/>
      <c r="B52" s="1094"/>
      <c r="C52" s="1083" t="str">
        <f>'ANSP Capex'!C48</f>
        <v>N004 - CEROC Voice Comm System</v>
      </c>
      <c r="D52" s="1083" t="str">
        <f>'ANSP Capex'!D48</f>
        <v>CEROC</v>
      </c>
      <c r="E52" s="1083" t="str">
        <f>'ANSP Capex'!E48</f>
        <v>N0040004</v>
      </c>
      <c r="F52" s="1083">
        <f>'ANSP Capex'!F48</f>
        <v>2020</v>
      </c>
      <c r="G52" s="1101">
        <f t="shared" si="0"/>
        <v>2108.4916600000001</v>
      </c>
      <c r="H52" s="1083" t="str">
        <f>'ANSP Capex'!H48</f>
        <v>€'000</v>
      </c>
      <c r="I52" s="829"/>
      <c r="J52" s="1097">
        <f>'ANSP Capex'!I48</f>
        <v>8</v>
      </c>
      <c r="K52" s="1124">
        <v>0</v>
      </c>
      <c r="L52" s="1098">
        <f t="shared" si="1"/>
        <v>96</v>
      </c>
      <c r="M52" s="153">
        <f t="shared" si="2"/>
        <v>0.125</v>
      </c>
      <c r="N52" s="1099"/>
      <c r="O52" s="1100">
        <f>'ANSP Capex'!M48</f>
        <v>0.99999978183456506</v>
      </c>
      <c r="P52" s="1101">
        <f>IF($BH52=0,0,IF(SUM($O52:O52)&lt;($L52-12),12,$L52-SUM($O52:O52)))</f>
        <v>12</v>
      </c>
      <c r="Q52" s="1101">
        <f>IF($BH52=0,0,IF(SUM($O52:P52)&lt;($L52-12),12,$L52-SUM($O52:P52)))</f>
        <v>12</v>
      </c>
      <c r="R52" s="1101">
        <f>IF($BH52=0,0,IF(SUM($O52:Q52)&lt;($L52-12),12,$L52-SUM($O52:Q52)))</f>
        <v>12</v>
      </c>
      <c r="S52" s="1101">
        <f>IF($BH52=0,0,IF(SUM($O52:R52)&lt;($L52-12),12,$L52-SUM($O52:R52)))</f>
        <v>12</v>
      </c>
      <c r="U52" s="1100"/>
      <c r="V52" s="1100">
        <f>'ANSP Capex'!T48</f>
        <v>0</v>
      </c>
      <c r="W52" s="1101">
        <f>IF($BI52=0,0,IF(SUM($U52:V52)&lt;($L52-12),12,$L52-SUM($U52:V52)))</f>
        <v>0</v>
      </c>
      <c r="X52" s="1101">
        <f>IF($BI52=0,0,IF(SUM($U52:W52)&lt;($L52-12),12,$L52-SUM($U52:W52)))</f>
        <v>0</v>
      </c>
      <c r="Y52" s="1101">
        <f>IF($BI52=0,0,IF(SUM($U52:X52)&lt;($L52-12),12,$L52-SUM($U52:X52)))</f>
        <v>0</v>
      </c>
      <c r="AA52" s="1100"/>
      <c r="AB52" s="1100"/>
      <c r="AC52" s="1100">
        <f>'ANSP Capex'!AA48</f>
        <v>0</v>
      </c>
      <c r="AD52" s="1101">
        <f>IF($BJ52=0,0,IF(SUM($AA52:AC52)&lt;($L52-12),12,$L52-SUM($AA52:AC52)))</f>
        <v>0</v>
      </c>
      <c r="AE52" s="1101">
        <f>IF($BJ52=0,0,IF(SUM($AA52:AD52)&lt;($L52-12),12,$L52-SUM($AA52:AD52)))</f>
        <v>0</v>
      </c>
      <c r="AG52" s="1100"/>
      <c r="AH52" s="1100"/>
      <c r="AI52" s="1100"/>
      <c r="AJ52" s="1100">
        <f>'ANSP Capex'!AH48</f>
        <v>0</v>
      </c>
      <c r="AK52" s="1101">
        <f>IF($BK52=0,0,IF(SUM($AG52:AJ52)&lt;($L52-12),12,$L52-SUM($AG52:AJ52)))</f>
        <v>0</v>
      </c>
      <c r="AM52" s="1100"/>
      <c r="AN52" s="1100"/>
      <c r="AO52" s="1100"/>
      <c r="AP52" s="1100"/>
      <c r="AQ52" s="1100">
        <f>'ANSP Capex'!AO48</f>
        <v>0</v>
      </c>
      <c r="AS52" s="153">
        <f t="shared" si="3"/>
        <v>8.3333315152880422E-2</v>
      </c>
      <c r="AT52" s="153">
        <f t="shared" si="4"/>
        <v>0</v>
      </c>
      <c r="AU52" s="153">
        <f t="shared" si="5"/>
        <v>0</v>
      </c>
      <c r="AV52" s="153">
        <f t="shared" si="6"/>
        <v>0</v>
      </c>
      <c r="AW52" s="153">
        <f t="shared" si="7"/>
        <v>0</v>
      </c>
      <c r="AX52" s="153"/>
      <c r="AY52" s="1543">
        <f>'ANSP Capex'!AW48</f>
        <v>1</v>
      </c>
      <c r="AZ52" s="1102"/>
      <c r="BA52" s="1543">
        <f>'ANSP Capex'!AY48</f>
        <v>0</v>
      </c>
      <c r="BC52" s="1126"/>
      <c r="BD52" s="1126"/>
      <c r="BE52" s="1126"/>
      <c r="BF52" s="1126"/>
      <c r="BG52" s="1126"/>
      <c r="BH52" s="1126">
        <f>'ANSP Capex'!BF48*IF($I52="",(1+INDEX($I$41:$I$42,MATCH($F52,$F$41:$F$42,0))),(1+$I52))</f>
        <v>2108.4916600000001</v>
      </c>
      <c r="BI52" s="1126">
        <f>'ANSP Capex'!BG48*IF($I52="",(1+INDEX($I$41:$I$42,MATCH($F52,$F$41:$F$42,0))),(1+$I52))</f>
        <v>0</v>
      </c>
      <c r="BJ52" s="1126">
        <f>'ANSP Capex'!BH48*IF($I52="",(1+INDEX($I$41:$I$42,MATCH($F52,$F$41:$F$42,0))),(1+$I52))</f>
        <v>0</v>
      </c>
      <c r="BK52" s="1126">
        <f>'ANSP Capex'!BI48*IF($I52="",(1+INDEX($I$41:$I$42,MATCH($F52,$F$41:$F$42,0))),(1+$I52))</f>
        <v>0</v>
      </c>
      <c r="BL52" s="1126">
        <f>'ANSP Capex'!BJ48*IF($I52="",(1+INDEX($I$41:$I$42,MATCH($F52,$F$41:$F$42,0))),(1+$I52))</f>
        <v>0</v>
      </c>
    </row>
    <row r="53" spans="1:64" outlineLevel="2">
      <c r="A53" s="1094"/>
      <c r="B53" s="1094"/>
      <c r="C53" s="1083" t="str">
        <f>'ANSP Capex'!C49</f>
        <v>N004 - CEROC Reserve Voice Com System</v>
      </c>
      <c r="D53" s="1083" t="str">
        <f>'ANSP Capex'!D49</f>
        <v>CEROC</v>
      </c>
      <c r="E53" s="1083" t="str">
        <f>'ANSP Capex'!E49</f>
        <v>N0040005</v>
      </c>
      <c r="F53" s="1083">
        <f>'ANSP Capex'!F49</f>
        <v>2020</v>
      </c>
      <c r="G53" s="1101">
        <f t="shared" si="0"/>
        <v>782.92196000000001</v>
      </c>
      <c r="H53" s="1083" t="str">
        <f>'ANSP Capex'!H49</f>
        <v>€'000</v>
      </c>
      <c r="I53" s="829"/>
      <c r="J53" s="1097">
        <f>'ANSP Capex'!I49</f>
        <v>8</v>
      </c>
      <c r="K53" s="1124">
        <v>0</v>
      </c>
      <c r="L53" s="1098">
        <f t="shared" si="1"/>
        <v>96</v>
      </c>
      <c r="M53" s="153">
        <f t="shared" si="2"/>
        <v>0.125</v>
      </c>
      <c r="N53" s="1099"/>
      <c r="O53" s="1100">
        <f>'ANSP Capex'!M49</f>
        <v>1.000000357634623</v>
      </c>
      <c r="P53" s="1101">
        <f>IF($BH53=0,0,IF(SUM($O53:O53)&lt;($L53-12),12,$L53-SUM($O53:O53)))</f>
        <v>12</v>
      </c>
      <c r="Q53" s="1101">
        <f>IF($BH53=0,0,IF(SUM($O53:P53)&lt;($L53-12),12,$L53-SUM($O53:P53)))</f>
        <v>12</v>
      </c>
      <c r="R53" s="1101">
        <f>IF($BH53=0,0,IF(SUM($O53:Q53)&lt;($L53-12),12,$L53-SUM($O53:Q53)))</f>
        <v>12</v>
      </c>
      <c r="S53" s="1101">
        <f>IF($BH53=0,0,IF(SUM($O53:R53)&lt;($L53-12),12,$L53-SUM($O53:R53)))</f>
        <v>12</v>
      </c>
      <c r="U53" s="1100"/>
      <c r="V53" s="1100">
        <f>'ANSP Capex'!T49</f>
        <v>0</v>
      </c>
      <c r="W53" s="1101">
        <f>IF($BI53=0,0,IF(SUM($U53:V53)&lt;($L53-12),12,$L53-SUM($U53:V53)))</f>
        <v>0</v>
      </c>
      <c r="X53" s="1101">
        <f>IF($BI53=0,0,IF(SUM($U53:W53)&lt;($L53-12),12,$L53-SUM($U53:W53)))</f>
        <v>0</v>
      </c>
      <c r="Y53" s="1101">
        <f>IF($BI53=0,0,IF(SUM($U53:X53)&lt;($L53-12),12,$L53-SUM($U53:X53)))</f>
        <v>0</v>
      </c>
      <c r="AA53" s="1100"/>
      <c r="AB53" s="1100"/>
      <c r="AC53" s="1100">
        <f>'ANSP Capex'!AA49</f>
        <v>0</v>
      </c>
      <c r="AD53" s="1101">
        <f>IF($BJ53=0,0,IF(SUM($AA53:AC53)&lt;($L53-12),12,$L53-SUM($AA53:AC53)))</f>
        <v>0</v>
      </c>
      <c r="AE53" s="1101">
        <f>IF($BJ53=0,0,IF(SUM($AA53:AD53)&lt;($L53-12),12,$L53-SUM($AA53:AD53)))</f>
        <v>0</v>
      </c>
      <c r="AG53" s="1100"/>
      <c r="AH53" s="1100"/>
      <c r="AI53" s="1100"/>
      <c r="AJ53" s="1100">
        <f>'ANSP Capex'!AH49</f>
        <v>0</v>
      </c>
      <c r="AK53" s="1101">
        <f>IF($BK53=0,0,IF(SUM($AG53:AJ53)&lt;($L53-12),12,$L53-SUM($AG53:AJ53)))</f>
        <v>0</v>
      </c>
      <c r="AM53" s="1100"/>
      <c r="AN53" s="1100"/>
      <c r="AO53" s="1100"/>
      <c r="AP53" s="1100"/>
      <c r="AQ53" s="1100">
        <f>'ANSP Capex'!AO49</f>
        <v>0</v>
      </c>
      <c r="AS53" s="153">
        <f t="shared" si="3"/>
        <v>8.3333363136218586E-2</v>
      </c>
      <c r="AT53" s="153">
        <f t="shared" si="4"/>
        <v>0</v>
      </c>
      <c r="AU53" s="153">
        <f t="shared" si="5"/>
        <v>0</v>
      </c>
      <c r="AV53" s="153">
        <f t="shared" si="6"/>
        <v>0</v>
      </c>
      <c r="AW53" s="153">
        <f t="shared" si="7"/>
        <v>0</v>
      </c>
      <c r="AX53" s="153"/>
      <c r="AY53" s="1543">
        <f>'ANSP Capex'!AW49</f>
        <v>1</v>
      </c>
      <c r="AZ53" s="1102"/>
      <c r="BA53" s="1543">
        <f>'ANSP Capex'!AY49</f>
        <v>0</v>
      </c>
      <c r="BC53" s="1126"/>
      <c r="BD53" s="1126"/>
      <c r="BE53" s="1126"/>
      <c r="BF53" s="1126"/>
      <c r="BG53" s="1126"/>
      <c r="BH53" s="1126">
        <f>'ANSP Capex'!BF49*IF($I53="",(1+INDEX($I$41:$I$42,MATCH($F53,$F$41:$F$42,0))),(1+$I53))</f>
        <v>782.92196000000001</v>
      </c>
      <c r="BI53" s="1126">
        <f>'ANSP Capex'!BG49*IF($I53="",(1+INDEX($I$41:$I$42,MATCH($F53,$F$41:$F$42,0))),(1+$I53))</f>
        <v>0</v>
      </c>
      <c r="BJ53" s="1126">
        <f>'ANSP Capex'!BH49*IF($I53="",(1+INDEX($I$41:$I$42,MATCH($F53,$F$41:$F$42,0))),(1+$I53))</f>
        <v>0</v>
      </c>
      <c r="BK53" s="1126">
        <f>'ANSP Capex'!BI49*IF($I53="",(1+INDEX($I$41:$I$42,MATCH($F53,$F$41:$F$42,0))),(1+$I53))</f>
        <v>0</v>
      </c>
      <c r="BL53" s="1126">
        <f>'ANSP Capex'!BJ49*IF($I53="",(1+INDEX($I$41:$I$42,MATCH($F53,$F$41:$F$42,0))),(1+$I53))</f>
        <v>0</v>
      </c>
    </row>
    <row r="54" spans="1:64" outlineLevel="2">
      <c r="A54" s="1094"/>
      <c r="B54" s="1094"/>
      <c r="C54" s="1083" t="str">
        <f>'ANSP Capex'!C50</f>
        <v>N004 CEROC Voice Comm Recorder</v>
      </c>
      <c r="D54" s="1083" t="str">
        <f>'ANSP Capex'!D50</f>
        <v>CEROC</v>
      </c>
      <c r="E54" s="1083" t="str">
        <f>'ANSP Capex'!E50</f>
        <v>N0040006</v>
      </c>
      <c r="F54" s="1083">
        <f>'ANSP Capex'!F50</f>
        <v>2020</v>
      </c>
      <c r="G54" s="1101">
        <f t="shared" si="0"/>
        <v>263.77555000000001</v>
      </c>
      <c r="H54" s="1083" t="str">
        <f>'ANSP Capex'!H50</f>
        <v>€'000</v>
      </c>
      <c r="I54" s="829"/>
      <c r="J54" s="1097">
        <f>'ANSP Capex'!I50</f>
        <v>8</v>
      </c>
      <c r="K54" s="1124">
        <v>0</v>
      </c>
      <c r="L54" s="1098">
        <f t="shared" si="1"/>
        <v>96</v>
      </c>
      <c r="M54" s="153">
        <f t="shared" si="2"/>
        <v>0.125</v>
      </c>
      <c r="N54" s="1099"/>
      <c r="O54" s="1100">
        <f>'ANSP Capex'!M50</f>
        <v>0.99999927969063085</v>
      </c>
      <c r="P54" s="1101">
        <f>IF($BH54=0,0,IF(SUM($O54:O54)&lt;($L54-12),12,$L54-SUM($O54:O54)))</f>
        <v>12</v>
      </c>
      <c r="Q54" s="1101">
        <f>IF($BH54=0,0,IF(SUM($O54:P54)&lt;($L54-12),12,$L54-SUM($O54:P54)))</f>
        <v>12</v>
      </c>
      <c r="R54" s="1101">
        <f>IF($BH54=0,0,IF(SUM($O54:Q54)&lt;($L54-12),12,$L54-SUM($O54:Q54)))</f>
        <v>12</v>
      </c>
      <c r="S54" s="1101">
        <f>IF($BH54=0,0,IF(SUM($O54:R54)&lt;($L54-12),12,$L54-SUM($O54:R54)))</f>
        <v>12</v>
      </c>
      <c r="U54" s="1100"/>
      <c r="V54" s="1100">
        <f>'ANSP Capex'!T50</f>
        <v>0</v>
      </c>
      <c r="W54" s="1101">
        <f>IF($BI54=0,0,IF(SUM($U54:V54)&lt;($L54-12),12,$L54-SUM($U54:V54)))</f>
        <v>0</v>
      </c>
      <c r="X54" s="1101">
        <f>IF($BI54=0,0,IF(SUM($U54:W54)&lt;($L54-12),12,$L54-SUM($U54:W54)))</f>
        <v>0</v>
      </c>
      <c r="Y54" s="1101">
        <f>IF($BI54=0,0,IF(SUM($U54:X54)&lt;($L54-12),12,$L54-SUM($U54:X54)))</f>
        <v>0</v>
      </c>
      <c r="AA54" s="1100"/>
      <c r="AB54" s="1100"/>
      <c r="AC54" s="1100">
        <f>'ANSP Capex'!AA50</f>
        <v>0</v>
      </c>
      <c r="AD54" s="1101">
        <f>IF($BJ54=0,0,IF(SUM($AA54:AC54)&lt;($L54-12),12,$L54-SUM($AA54:AC54)))</f>
        <v>0</v>
      </c>
      <c r="AE54" s="1101">
        <f>IF($BJ54=0,0,IF(SUM($AA54:AD54)&lt;($L54-12),12,$L54-SUM($AA54:AD54)))</f>
        <v>0</v>
      </c>
      <c r="AG54" s="1100"/>
      <c r="AH54" s="1100"/>
      <c r="AI54" s="1100"/>
      <c r="AJ54" s="1100">
        <f>'ANSP Capex'!AH50</f>
        <v>0</v>
      </c>
      <c r="AK54" s="1101">
        <f>IF($BK54=0,0,IF(SUM($AG54:AJ54)&lt;($L54-12),12,$L54-SUM($AG54:AJ54)))</f>
        <v>0</v>
      </c>
      <c r="AM54" s="1100"/>
      <c r="AN54" s="1100"/>
      <c r="AO54" s="1100"/>
      <c r="AP54" s="1100"/>
      <c r="AQ54" s="1100">
        <f>'ANSP Capex'!AO50</f>
        <v>0</v>
      </c>
      <c r="AS54" s="153">
        <f t="shared" si="3"/>
        <v>8.3333273307552566E-2</v>
      </c>
      <c r="AT54" s="153">
        <f t="shared" si="4"/>
        <v>0</v>
      </c>
      <c r="AU54" s="153">
        <f t="shared" si="5"/>
        <v>0</v>
      </c>
      <c r="AV54" s="153">
        <f t="shared" si="6"/>
        <v>0</v>
      </c>
      <c r="AW54" s="153">
        <f t="shared" si="7"/>
        <v>0</v>
      </c>
      <c r="AX54" s="153"/>
      <c r="AY54" s="1543">
        <f>'ANSP Capex'!AW50</f>
        <v>1</v>
      </c>
      <c r="AZ54" s="1102"/>
      <c r="BA54" s="1543">
        <f>'ANSP Capex'!AY50</f>
        <v>0</v>
      </c>
      <c r="BC54" s="1126"/>
      <c r="BD54" s="1126"/>
      <c r="BE54" s="1126"/>
      <c r="BF54" s="1126"/>
      <c r="BG54" s="1126"/>
      <c r="BH54" s="1126">
        <f>'ANSP Capex'!BF50*IF($I54="",(1+INDEX($I$41:$I$42,MATCH($F54,$F$41:$F$42,0))),(1+$I54))</f>
        <v>263.77555000000001</v>
      </c>
      <c r="BI54" s="1126">
        <f>'ANSP Capex'!BG50*IF($I54="",(1+INDEX($I$41:$I$42,MATCH($F54,$F$41:$F$42,0))),(1+$I54))</f>
        <v>0</v>
      </c>
      <c r="BJ54" s="1126">
        <f>'ANSP Capex'!BH50*IF($I54="",(1+INDEX($I$41:$I$42,MATCH($F54,$F$41:$F$42,0))),(1+$I54))</f>
        <v>0</v>
      </c>
      <c r="BK54" s="1126">
        <f>'ANSP Capex'!BI50*IF($I54="",(1+INDEX($I$41:$I$42,MATCH($F54,$F$41:$F$42,0))),(1+$I54))</f>
        <v>0</v>
      </c>
      <c r="BL54" s="1126">
        <f>'ANSP Capex'!BJ50*IF($I54="",(1+INDEX($I$41:$I$42,MATCH($F54,$F$41:$F$42,0))),(1+$I54))</f>
        <v>0</v>
      </c>
    </row>
    <row r="55" spans="1:64" outlineLevel="2">
      <c r="A55" s="1094"/>
      <c r="B55" s="1094"/>
      <c r="C55" s="1083" t="str">
        <f>'ANSP Capex'!C51</f>
        <v>N004 - CEROC PABX</v>
      </c>
      <c r="D55" s="1083" t="str">
        <f>'ANSP Capex'!D51</f>
        <v>CEROC</v>
      </c>
      <c r="E55" s="1083" t="str">
        <f>'ANSP Capex'!E51</f>
        <v>N0040007</v>
      </c>
      <c r="F55" s="1083">
        <f>'ANSP Capex'!F51</f>
        <v>2020</v>
      </c>
      <c r="G55" s="1101">
        <f t="shared" si="0"/>
        <v>135.51599999999999</v>
      </c>
      <c r="H55" s="1083" t="str">
        <f>'ANSP Capex'!H51</f>
        <v>€'000</v>
      </c>
      <c r="I55" s="829"/>
      <c r="J55" s="1097">
        <f>'ANSP Capex'!I51</f>
        <v>8</v>
      </c>
      <c r="K55" s="1124">
        <v>12</v>
      </c>
      <c r="L55" s="1098">
        <f t="shared" si="1"/>
        <v>144</v>
      </c>
      <c r="M55" s="153">
        <f t="shared" si="2"/>
        <v>8.3333333333333329E-2</v>
      </c>
      <c r="N55" s="1099"/>
      <c r="O55" s="1100">
        <f>'ANSP Capex'!M51</f>
        <v>1.0000035420171789</v>
      </c>
      <c r="P55" s="1101">
        <f>IF($BH55=0,0,IF(SUM($O55:O55)&lt;($L55-12),12,$L55-SUM($O55:O55)))</f>
        <v>12</v>
      </c>
      <c r="Q55" s="1101">
        <f>IF($BH55=0,0,IF(SUM($O55:P55)&lt;($L55-12),12,$L55-SUM($O55:P55)))</f>
        <v>12</v>
      </c>
      <c r="R55" s="1101">
        <f>IF($BH55=0,0,IF(SUM($O55:Q55)&lt;($L55-12),12,$L55-SUM($O55:Q55)))</f>
        <v>12</v>
      </c>
      <c r="S55" s="1101">
        <f>IF($BH55=0,0,IF(SUM($O55:R55)&lt;($L55-12),12,$L55-SUM($O55:R55)))</f>
        <v>12</v>
      </c>
      <c r="U55" s="1100"/>
      <c r="V55" s="1100">
        <f>'ANSP Capex'!T51</f>
        <v>0</v>
      </c>
      <c r="W55" s="1101">
        <f>IF($BI55=0,0,IF(SUM($U55:V55)&lt;($L55-12),12,$L55-SUM($U55:V55)))</f>
        <v>0</v>
      </c>
      <c r="X55" s="1101">
        <f>IF($BI55=0,0,IF(SUM($U55:W55)&lt;($L55-12),12,$L55-SUM($U55:W55)))</f>
        <v>0</v>
      </c>
      <c r="Y55" s="1101">
        <f>IF($BI55=0,0,IF(SUM($U55:X55)&lt;($L55-12),12,$L55-SUM($U55:X55)))</f>
        <v>0</v>
      </c>
      <c r="AA55" s="1100"/>
      <c r="AB55" s="1100"/>
      <c r="AC55" s="1100">
        <f>'ANSP Capex'!AA51</f>
        <v>0</v>
      </c>
      <c r="AD55" s="1101">
        <f>IF($BJ55=0,0,IF(SUM($AA55:AC55)&lt;($L55-12),12,$L55-SUM($AA55:AC55)))</f>
        <v>0</v>
      </c>
      <c r="AE55" s="1101">
        <f>IF($BJ55=0,0,IF(SUM($AA55:AD55)&lt;($L55-12),12,$L55-SUM($AA55:AD55)))</f>
        <v>0</v>
      </c>
      <c r="AG55" s="1100"/>
      <c r="AH55" s="1100"/>
      <c r="AI55" s="1100"/>
      <c r="AJ55" s="1100">
        <f>'ANSP Capex'!AH51</f>
        <v>0</v>
      </c>
      <c r="AK55" s="1101">
        <f>IF($BK55=0,0,IF(SUM($AG55:AJ55)&lt;($L55-12),12,$L55-SUM($AG55:AJ55)))</f>
        <v>0</v>
      </c>
      <c r="AM55" s="1100"/>
      <c r="AN55" s="1100"/>
      <c r="AO55" s="1100"/>
      <c r="AP55" s="1100"/>
      <c r="AQ55" s="1100">
        <f>'ANSP Capex'!AO51</f>
        <v>0</v>
      </c>
      <c r="AS55" s="153">
        <f t="shared" si="3"/>
        <v>8.333362850143157E-2</v>
      </c>
      <c r="AT55" s="153">
        <f t="shared" si="4"/>
        <v>0</v>
      </c>
      <c r="AU55" s="153">
        <f t="shared" si="5"/>
        <v>0</v>
      </c>
      <c r="AV55" s="153">
        <f t="shared" si="6"/>
        <v>0</v>
      </c>
      <c r="AW55" s="153">
        <f t="shared" si="7"/>
        <v>0</v>
      </c>
      <c r="AX55" s="153"/>
      <c r="AY55" s="1543">
        <f>'ANSP Capex'!AW51</f>
        <v>1</v>
      </c>
      <c r="AZ55" s="1102"/>
      <c r="BA55" s="1543">
        <f>'ANSP Capex'!AY51</f>
        <v>0</v>
      </c>
      <c r="BC55" s="1126"/>
      <c r="BD55" s="1126"/>
      <c r="BE55" s="1126"/>
      <c r="BF55" s="1126"/>
      <c r="BG55" s="1126"/>
      <c r="BH55" s="1126">
        <f>'ANSP Capex'!BF51*IF($I55="",(1+INDEX($I$41:$I$42,MATCH($F55,$F$41:$F$42,0))),(1+$I55))</f>
        <v>135.51599999999999</v>
      </c>
      <c r="BI55" s="1126">
        <f>'ANSP Capex'!BG51*IF($I55="",(1+INDEX($I$41:$I$42,MATCH($F55,$F$41:$F$42,0))),(1+$I55))</f>
        <v>0</v>
      </c>
      <c r="BJ55" s="1126">
        <f>'ANSP Capex'!BH51*IF($I55="",(1+INDEX($I$41:$I$42,MATCH($F55,$F$41:$F$42,0))),(1+$I55))</f>
        <v>0</v>
      </c>
      <c r="BK55" s="1126">
        <f>'ANSP Capex'!BI51*IF($I55="",(1+INDEX($I$41:$I$42,MATCH($F55,$F$41:$F$42,0))),(1+$I55))</f>
        <v>0</v>
      </c>
      <c r="BL55" s="1126">
        <f>'ANSP Capex'!BJ51*IF($I55="",(1+INDEX($I$41:$I$42,MATCH($F55,$F$41:$F$42,0))),(1+$I55))</f>
        <v>0</v>
      </c>
    </row>
    <row r="56" spans="1:64" outlineLevel="2">
      <c r="A56" s="1094"/>
      <c r="B56" s="1094"/>
      <c r="C56" s="1083" t="str">
        <f>'ANSP Capex'!C52</f>
        <v>N004-CEROC Centralised Monitor Monitoring</v>
      </c>
      <c r="D56" s="1083" t="str">
        <f>'ANSP Capex'!D52</f>
        <v>CEROC</v>
      </c>
      <c r="E56" s="1083" t="str">
        <f>'ANSP Capex'!E52</f>
        <v>N0040008</v>
      </c>
      <c r="F56" s="1083">
        <f>'ANSP Capex'!F52</f>
        <v>2020</v>
      </c>
      <c r="G56" s="1101">
        <f t="shared" si="0"/>
        <v>393.89095000000003</v>
      </c>
      <c r="H56" s="1083" t="str">
        <f>'ANSP Capex'!H52</f>
        <v>€'000</v>
      </c>
      <c r="I56" s="829"/>
      <c r="J56" s="1097">
        <f>'ANSP Capex'!I52</f>
        <v>8</v>
      </c>
      <c r="K56" s="1124">
        <v>0</v>
      </c>
      <c r="L56" s="1098">
        <f t="shared" si="1"/>
        <v>96</v>
      </c>
      <c r="M56" s="153">
        <f t="shared" si="2"/>
        <v>0.125</v>
      </c>
      <c r="N56" s="1099"/>
      <c r="O56" s="1100">
        <f>'ANSP Capex'!M52</f>
        <v>0.99999982228583817</v>
      </c>
      <c r="P56" s="1101">
        <f>IF($BH56=0,0,IF(SUM($O56:O56)&lt;($L56-12),12,$L56-SUM($O56:O56)))</f>
        <v>12</v>
      </c>
      <c r="Q56" s="1101">
        <f>IF($BH56=0,0,IF(SUM($O56:P56)&lt;($L56-12),12,$L56-SUM($O56:P56)))</f>
        <v>12</v>
      </c>
      <c r="R56" s="1101">
        <f>IF($BH56=0,0,IF(SUM($O56:Q56)&lt;($L56-12),12,$L56-SUM($O56:Q56)))</f>
        <v>12</v>
      </c>
      <c r="S56" s="1101">
        <f>IF($BH56=0,0,IF(SUM($O56:R56)&lt;($L56-12),12,$L56-SUM($O56:R56)))</f>
        <v>12</v>
      </c>
      <c r="U56" s="1100"/>
      <c r="V56" s="1100">
        <f>'ANSP Capex'!T52</f>
        <v>0</v>
      </c>
      <c r="W56" s="1101">
        <f>IF($BI56=0,0,IF(SUM($U56:V56)&lt;($L56-12),12,$L56-SUM($U56:V56)))</f>
        <v>0</v>
      </c>
      <c r="X56" s="1101">
        <f>IF($BI56=0,0,IF(SUM($U56:W56)&lt;($L56-12),12,$L56-SUM($U56:W56)))</f>
        <v>0</v>
      </c>
      <c r="Y56" s="1101">
        <f>IF($BI56=0,0,IF(SUM($U56:X56)&lt;($L56-12),12,$L56-SUM($U56:X56)))</f>
        <v>0</v>
      </c>
      <c r="AA56" s="1100"/>
      <c r="AB56" s="1100"/>
      <c r="AC56" s="1100">
        <f>'ANSP Capex'!AA52</f>
        <v>0</v>
      </c>
      <c r="AD56" s="1101">
        <f>IF($BJ56=0,0,IF(SUM($AA56:AC56)&lt;($L56-12),12,$L56-SUM($AA56:AC56)))</f>
        <v>0</v>
      </c>
      <c r="AE56" s="1101">
        <f>IF($BJ56=0,0,IF(SUM($AA56:AD56)&lt;($L56-12),12,$L56-SUM($AA56:AD56)))</f>
        <v>0</v>
      </c>
      <c r="AG56" s="1100"/>
      <c r="AH56" s="1100"/>
      <c r="AI56" s="1100"/>
      <c r="AJ56" s="1100">
        <f>'ANSP Capex'!AH52</f>
        <v>0</v>
      </c>
      <c r="AK56" s="1101">
        <f>IF($BK56=0,0,IF(SUM($AG56:AJ56)&lt;($L56-12),12,$L56-SUM($AG56:AJ56)))</f>
        <v>0</v>
      </c>
      <c r="AM56" s="1100"/>
      <c r="AN56" s="1100"/>
      <c r="AO56" s="1100"/>
      <c r="AP56" s="1100"/>
      <c r="AQ56" s="1100">
        <f>'ANSP Capex'!AO52</f>
        <v>0</v>
      </c>
      <c r="AS56" s="153">
        <f t="shared" si="3"/>
        <v>8.3333318523819852E-2</v>
      </c>
      <c r="AT56" s="153">
        <f t="shared" si="4"/>
        <v>0</v>
      </c>
      <c r="AU56" s="153">
        <f t="shared" si="5"/>
        <v>0</v>
      </c>
      <c r="AV56" s="153">
        <f t="shared" si="6"/>
        <v>0</v>
      </c>
      <c r="AW56" s="153">
        <f t="shared" si="7"/>
        <v>0</v>
      </c>
      <c r="AX56" s="153"/>
      <c r="AY56" s="1543">
        <f>'ANSP Capex'!AW52</f>
        <v>1</v>
      </c>
      <c r="AZ56" s="1102"/>
      <c r="BA56" s="1543">
        <f>'ANSP Capex'!AY52</f>
        <v>0</v>
      </c>
      <c r="BC56" s="1126"/>
      <c r="BD56" s="1126"/>
      <c r="BE56" s="1126"/>
      <c r="BF56" s="1126"/>
      <c r="BG56" s="1126"/>
      <c r="BH56" s="1126">
        <f>'ANSP Capex'!BF52*IF($I56="",(1+INDEX($I$41:$I$42,MATCH($F56,$F$41:$F$42,0))),(1+$I56))</f>
        <v>393.89095000000003</v>
      </c>
      <c r="BI56" s="1126">
        <f>'ANSP Capex'!BG52*IF($I56="",(1+INDEX($I$41:$I$42,MATCH($F56,$F$41:$F$42,0))),(1+$I56))</f>
        <v>0</v>
      </c>
      <c r="BJ56" s="1126">
        <f>'ANSP Capex'!BH52*IF($I56="",(1+INDEX($I$41:$I$42,MATCH($F56,$F$41:$F$42,0))),(1+$I56))</f>
        <v>0</v>
      </c>
      <c r="BK56" s="1126">
        <f>'ANSP Capex'!BI52*IF($I56="",(1+INDEX($I$41:$I$42,MATCH($F56,$F$41:$F$42,0))),(1+$I56))</f>
        <v>0</v>
      </c>
      <c r="BL56" s="1126">
        <f>'ANSP Capex'!BJ52*IF($I56="",(1+INDEX($I$41:$I$42,MATCH($F56,$F$41:$F$42,0))),(1+$I56))</f>
        <v>0</v>
      </c>
    </row>
    <row r="57" spans="1:64" outlineLevel="2">
      <c r="A57" s="1094"/>
      <c r="B57" s="1094"/>
      <c r="C57" s="1083" t="str">
        <f>'ANSP Capex'!C53</f>
        <v>Q001-CEROC Servers Workstation</v>
      </c>
      <c r="D57" s="1083" t="str">
        <f>'ANSP Capex'!D53</f>
        <v>CEROC</v>
      </c>
      <c r="E57" s="1083" t="str">
        <f>'ANSP Capex'!E53</f>
        <v>Q0010007</v>
      </c>
      <c r="F57" s="1083">
        <f>'ANSP Capex'!F53</f>
        <v>2020</v>
      </c>
      <c r="G57" s="1101">
        <f t="shared" si="0"/>
        <v>179.96229</v>
      </c>
      <c r="H57" s="1083" t="str">
        <f>'ANSP Capex'!H53</f>
        <v>€'000</v>
      </c>
      <c r="I57" s="829"/>
      <c r="J57" s="1097">
        <f>'ANSP Capex'!I53</f>
        <v>8</v>
      </c>
      <c r="K57" s="1124">
        <v>0</v>
      </c>
      <c r="L57" s="1098">
        <f t="shared" si="1"/>
        <v>96</v>
      </c>
      <c r="M57" s="153">
        <f t="shared" si="2"/>
        <v>0.125</v>
      </c>
      <c r="N57" s="1099"/>
      <c r="O57" s="1100">
        <f>'ANSP Capex'!M53</f>
        <v>1.0000015003143159</v>
      </c>
      <c r="P57" s="1101">
        <f>IF($BH57=0,0,IF(SUM($O57:O57)&lt;($L57-12),12,$L57-SUM($O57:O57)))</f>
        <v>12</v>
      </c>
      <c r="Q57" s="1101">
        <f>IF($BH57=0,0,IF(SUM($O57:P57)&lt;($L57-12),12,$L57-SUM($O57:P57)))</f>
        <v>12</v>
      </c>
      <c r="R57" s="1101">
        <f>IF($BH57=0,0,IF(SUM($O57:Q57)&lt;($L57-12),12,$L57-SUM($O57:Q57)))</f>
        <v>12</v>
      </c>
      <c r="S57" s="1101">
        <f>IF($BH57=0,0,IF(SUM($O57:R57)&lt;($L57-12),12,$L57-SUM($O57:R57)))</f>
        <v>12</v>
      </c>
      <c r="U57" s="1100"/>
      <c r="V57" s="1100">
        <f>'ANSP Capex'!T53</f>
        <v>0</v>
      </c>
      <c r="W57" s="1101">
        <f>IF($BI57=0,0,IF(SUM($U57:V57)&lt;($L57-12),12,$L57-SUM($U57:V57)))</f>
        <v>0</v>
      </c>
      <c r="X57" s="1101">
        <f>IF($BI57=0,0,IF(SUM($U57:W57)&lt;($L57-12),12,$L57-SUM($U57:W57)))</f>
        <v>0</v>
      </c>
      <c r="Y57" s="1101">
        <f>IF($BI57=0,0,IF(SUM($U57:X57)&lt;($L57-12),12,$L57-SUM($U57:X57)))</f>
        <v>0</v>
      </c>
      <c r="AA57" s="1100"/>
      <c r="AB57" s="1100"/>
      <c r="AC57" s="1100">
        <f>'ANSP Capex'!AA53</f>
        <v>0</v>
      </c>
      <c r="AD57" s="1101">
        <f>IF($BJ57=0,0,IF(SUM($AA57:AC57)&lt;($L57-12),12,$L57-SUM($AA57:AC57)))</f>
        <v>0</v>
      </c>
      <c r="AE57" s="1101">
        <f>IF($BJ57=0,0,IF(SUM($AA57:AD57)&lt;($L57-12),12,$L57-SUM($AA57:AD57)))</f>
        <v>0</v>
      </c>
      <c r="AG57" s="1100"/>
      <c r="AH57" s="1100"/>
      <c r="AI57" s="1100"/>
      <c r="AJ57" s="1100">
        <f>'ANSP Capex'!AH53</f>
        <v>0</v>
      </c>
      <c r="AK57" s="1101">
        <f>IF($BK57=0,0,IF(SUM($AG57:AJ57)&lt;($L57-12),12,$L57-SUM($AG57:AJ57)))</f>
        <v>0</v>
      </c>
      <c r="AM57" s="1100"/>
      <c r="AN57" s="1100"/>
      <c r="AO57" s="1100"/>
      <c r="AP57" s="1100"/>
      <c r="AQ57" s="1100">
        <f>'ANSP Capex'!AO53</f>
        <v>0</v>
      </c>
      <c r="AS57" s="153">
        <f t="shared" si="3"/>
        <v>8.3333458359526325E-2</v>
      </c>
      <c r="AT57" s="153">
        <f t="shared" si="4"/>
        <v>0</v>
      </c>
      <c r="AU57" s="153">
        <f t="shared" si="5"/>
        <v>0</v>
      </c>
      <c r="AV57" s="153">
        <f t="shared" si="6"/>
        <v>0</v>
      </c>
      <c r="AW57" s="153">
        <f t="shared" si="7"/>
        <v>0</v>
      </c>
      <c r="AX57" s="153"/>
      <c r="AY57" s="1543">
        <f>'ANSP Capex'!AW53</f>
        <v>1</v>
      </c>
      <c r="AZ57" s="1102"/>
      <c r="BA57" s="1543">
        <f>'ANSP Capex'!AY53</f>
        <v>0</v>
      </c>
      <c r="BC57" s="1126"/>
      <c r="BD57" s="1126"/>
      <c r="BE57" s="1126"/>
      <c r="BF57" s="1126"/>
      <c r="BG57" s="1126"/>
      <c r="BH57" s="1126">
        <f>'ANSP Capex'!BF53*IF($I57="",(1+INDEX($I$41:$I$42,MATCH($F57,$F$41:$F$42,0))),(1+$I57))</f>
        <v>179.96229</v>
      </c>
      <c r="BI57" s="1126">
        <f>'ANSP Capex'!BG53*IF($I57="",(1+INDEX($I$41:$I$42,MATCH($F57,$F$41:$F$42,0))),(1+$I57))</f>
        <v>0</v>
      </c>
      <c r="BJ57" s="1126">
        <f>'ANSP Capex'!BH53*IF($I57="",(1+INDEX($I$41:$I$42,MATCH($F57,$F$41:$F$42,0))),(1+$I57))</f>
        <v>0</v>
      </c>
      <c r="BK57" s="1126">
        <f>'ANSP Capex'!BI53*IF($I57="",(1+INDEX($I$41:$I$42,MATCH($F57,$F$41:$F$42,0))),(1+$I57))</f>
        <v>0</v>
      </c>
      <c r="BL57" s="1126">
        <f>'ANSP Capex'!BJ53*IF($I57="",(1+INDEX($I$41:$I$42,MATCH($F57,$F$41:$F$42,0))),(1+$I57))</f>
        <v>0</v>
      </c>
    </row>
    <row r="58" spans="1:64" outlineLevel="2">
      <c r="A58" s="1094"/>
      <c r="B58" s="1094"/>
      <c r="C58" s="1083" t="str">
        <f>'ANSP Capex'!C54</f>
        <v>Q001-CEROC Network Replacement</v>
      </c>
      <c r="D58" s="1083" t="str">
        <f>'ANSP Capex'!D54</f>
        <v>CEROC</v>
      </c>
      <c r="E58" s="1083" t="str">
        <f>'ANSP Capex'!E54</f>
        <v>Q0010008</v>
      </c>
      <c r="F58" s="1083">
        <f>'ANSP Capex'!F54</f>
        <v>2020</v>
      </c>
      <c r="G58" s="1101">
        <f t="shared" si="0"/>
        <v>11.512040000000001</v>
      </c>
      <c r="H58" s="1083" t="str">
        <f>'ANSP Capex'!H54</f>
        <v>€'000</v>
      </c>
      <c r="I58" s="829"/>
      <c r="J58" s="1097">
        <f>'ANSP Capex'!I54</f>
        <v>8</v>
      </c>
      <c r="K58" s="1124">
        <v>0</v>
      </c>
      <c r="L58" s="1098">
        <f t="shared" si="1"/>
        <v>96</v>
      </c>
      <c r="M58" s="153">
        <f t="shared" si="2"/>
        <v>0.125</v>
      </c>
      <c r="N58" s="1099"/>
      <c r="O58" s="1100">
        <f>'ANSP Capex'!M54</f>
        <v>1.0000243223616319</v>
      </c>
      <c r="P58" s="1101">
        <f>IF($BH58=0,0,IF(SUM($O58:O58)&lt;($L58-12),12,$L58-SUM($O58:O58)))</f>
        <v>12</v>
      </c>
      <c r="Q58" s="1101">
        <f>IF($BH58=0,0,IF(SUM($O58:P58)&lt;($L58-12),12,$L58-SUM($O58:P58)))</f>
        <v>12</v>
      </c>
      <c r="R58" s="1101">
        <f>IF($BH58=0,0,IF(SUM($O58:Q58)&lt;($L58-12),12,$L58-SUM($O58:Q58)))</f>
        <v>12</v>
      </c>
      <c r="S58" s="1101">
        <f>IF($BH58=0,0,IF(SUM($O58:R58)&lt;($L58-12),12,$L58-SUM($O58:R58)))</f>
        <v>12</v>
      </c>
      <c r="U58" s="1100"/>
      <c r="V58" s="1100">
        <f>'ANSP Capex'!T54</f>
        <v>0</v>
      </c>
      <c r="W58" s="1101">
        <f>IF($BI58=0,0,IF(SUM($U58:V58)&lt;($L58-12),12,$L58-SUM($U58:V58)))</f>
        <v>0</v>
      </c>
      <c r="X58" s="1101">
        <f>IF($BI58=0,0,IF(SUM($U58:W58)&lt;($L58-12),12,$L58-SUM($U58:W58)))</f>
        <v>0</v>
      </c>
      <c r="Y58" s="1101">
        <f>IF($BI58=0,0,IF(SUM($U58:X58)&lt;($L58-12),12,$L58-SUM($U58:X58)))</f>
        <v>0</v>
      </c>
      <c r="AA58" s="1100"/>
      <c r="AB58" s="1100"/>
      <c r="AC58" s="1100">
        <f>'ANSP Capex'!AA54</f>
        <v>0</v>
      </c>
      <c r="AD58" s="1101">
        <f>IF($BJ58=0,0,IF(SUM($AA58:AC58)&lt;($L58-12),12,$L58-SUM($AA58:AC58)))</f>
        <v>0</v>
      </c>
      <c r="AE58" s="1101">
        <f>IF($BJ58=0,0,IF(SUM($AA58:AD58)&lt;($L58-12),12,$L58-SUM($AA58:AD58)))</f>
        <v>0</v>
      </c>
      <c r="AG58" s="1100"/>
      <c r="AH58" s="1100"/>
      <c r="AI58" s="1100"/>
      <c r="AJ58" s="1100">
        <f>'ANSP Capex'!AH54</f>
        <v>0</v>
      </c>
      <c r="AK58" s="1101">
        <f>IF($BK58=0,0,IF(SUM($AG58:AJ58)&lt;($L58-12),12,$L58-SUM($AG58:AJ58)))</f>
        <v>0</v>
      </c>
      <c r="AM58" s="1100"/>
      <c r="AN58" s="1100"/>
      <c r="AO58" s="1100"/>
      <c r="AP58" s="1100"/>
      <c r="AQ58" s="1100">
        <f>'ANSP Capex'!AO54</f>
        <v>0</v>
      </c>
      <c r="AS58" s="153">
        <f t="shared" si="3"/>
        <v>8.3335360196802655E-2</v>
      </c>
      <c r="AT58" s="153">
        <f t="shared" si="4"/>
        <v>0</v>
      </c>
      <c r="AU58" s="153">
        <f t="shared" si="5"/>
        <v>0</v>
      </c>
      <c r="AV58" s="153">
        <f t="shared" si="6"/>
        <v>0</v>
      </c>
      <c r="AW58" s="153">
        <f t="shared" si="7"/>
        <v>0</v>
      </c>
      <c r="AX58" s="153"/>
      <c r="AY58" s="1543">
        <f>'ANSP Capex'!AW54</f>
        <v>1</v>
      </c>
      <c r="AZ58" s="1102"/>
      <c r="BA58" s="1543">
        <f>'ANSP Capex'!AY54</f>
        <v>0</v>
      </c>
      <c r="BC58" s="1126"/>
      <c r="BD58" s="1126"/>
      <c r="BE58" s="1126"/>
      <c r="BF58" s="1126"/>
      <c r="BG58" s="1126"/>
      <c r="BH58" s="1126">
        <f>'ANSP Capex'!BF54*IF($I58="",(1+INDEX($I$41:$I$42,MATCH($F58,$F$41:$F$42,0))),(1+$I58))</f>
        <v>11.512040000000001</v>
      </c>
      <c r="BI58" s="1126">
        <f>'ANSP Capex'!BG54*IF($I58="",(1+INDEX($I$41:$I$42,MATCH($F58,$F$41:$F$42,0))),(1+$I58))</f>
        <v>0</v>
      </c>
      <c r="BJ58" s="1126">
        <f>'ANSP Capex'!BH54*IF($I58="",(1+INDEX($I$41:$I$42,MATCH($F58,$F$41:$F$42,0))),(1+$I58))</f>
        <v>0</v>
      </c>
      <c r="BK58" s="1126">
        <f>'ANSP Capex'!BI54*IF($I58="",(1+INDEX($I$41:$I$42,MATCH($F58,$F$41:$F$42,0))),(1+$I58))</f>
        <v>0</v>
      </c>
      <c r="BL58" s="1126">
        <f>'ANSP Capex'!BJ54*IF($I58="",(1+INDEX($I$41:$I$42,MATCH($F58,$F$41:$F$42,0))),(1+$I58))</f>
        <v>0</v>
      </c>
    </row>
    <row r="59" spans="1:64" outlineLevel="2">
      <c r="A59" s="1094"/>
      <c r="B59" s="1094"/>
      <c r="C59" s="1083" t="str">
        <f>'ANSP Capex'!C55</f>
        <v>Q007 Nokia MNATP CEROC</v>
      </c>
      <c r="D59" s="1083" t="str">
        <f>'ANSP Capex'!D55</f>
        <v>CEROC</v>
      </c>
      <c r="E59" s="1083" t="str">
        <f>'ANSP Capex'!E55</f>
        <v>Q0070001</v>
      </c>
      <c r="F59" s="1083">
        <f>'ANSP Capex'!F55</f>
        <v>2020</v>
      </c>
      <c r="G59" s="1101">
        <f t="shared" si="0"/>
        <v>1049.40912</v>
      </c>
      <c r="H59" s="1083" t="str">
        <f>'ANSP Capex'!H55</f>
        <v>€'000</v>
      </c>
      <c r="I59" s="829"/>
      <c r="J59" s="1097">
        <f>'ANSP Capex'!I55</f>
        <v>8</v>
      </c>
      <c r="K59" s="1124">
        <v>0</v>
      </c>
      <c r="L59" s="1098">
        <f t="shared" si="1"/>
        <v>96</v>
      </c>
      <c r="M59" s="153">
        <f t="shared" si="2"/>
        <v>0.125</v>
      </c>
      <c r="N59" s="1099"/>
      <c r="O59" s="1100">
        <f>'ANSP Capex'!M55</f>
        <v>1.0000004574002559</v>
      </c>
      <c r="P59" s="1101">
        <f>IF($BH59=0,0,IF(SUM($O59:O59)&lt;($L59-12),12,$L59-SUM($O59:O59)))</f>
        <v>12</v>
      </c>
      <c r="Q59" s="1101">
        <f>IF($BH59=0,0,IF(SUM($O59:P59)&lt;($L59-12),12,$L59-SUM($O59:P59)))</f>
        <v>12</v>
      </c>
      <c r="R59" s="1101">
        <f>IF($BH59=0,0,IF(SUM($O59:Q59)&lt;($L59-12),12,$L59-SUM($O59:Q59)))</f>
        <v>12</v>
      </c>
      <c r="S59" s="1101">
        <f>IF($BH59=0,0,IF(SUM($O59:R59)&lt;($L59-12),12,$L59-SUM($O59:R59)))</f>
        <v>12</v>
      </c>
      <c r="U59" s="1100"/>
      <c r="V59" s="1100">
        <f>'ANSP Capex'!T55</f>
        <v>0</v>
      </c>
      <c r="W59" s="1101">
        <f>IF($BI59=0,0,IF(SUM($U59:V59)&lt;($L59-12),12,$L59-SUM($U59:V59)))</f>
        <v>0</v>
      </c>
      <c r="X59" s="1101">
        <f>IF($BI59=0,0,IF(SUM($U59:W59)&lt;($L59-12),12,$L59-SUM($U59:W59)))</f>
        <v>0</v>
      </c>
      <c r="Y59" s="1101">
        <f>IF($BI59=0,0,IF(SUM($U59:X59)&lt;($L59-12),12,$L59-SUM($U59:X59)))</f>
        <v>0</v>
      </c>
      <c r="AA59" s="1100"/>
      <c r="AB59" s="1100"/>
      <c r="AC59" s="1100">
        <f>'ANSP Capex'!AA55</f>
        <v>0</v>
      </c>
      <c r="AD59" s="1101">
        <f>IF($BJ59=0,0,IF(SUM($AA59:AC59)&lt;($L59-12),12,$L59-SUM($AA59:AC59)))</f>
        <v>0</v>
      </c>
      <c r="AE59" s="1101">
        <f>IF($BJ59=0,0,IF(SUM($AA59:AD59)&lt;($L59-12),12,$L59-SUM($AA59:AD59)))</f>
        <v>0</v>
      </c>
      <c r="AG59" s="1100"/>
      <c r="AH59" s="1100"/>
      <c r="AI59" s="1100"/>
      <c r="AJ59" s="1100">
        <f>'ANSP Capex'!AH55</f>
        <v>0</v>
      </c>
      <c r="AK59" s="1101">
        <f>IF($BK59=0,0,IF(SUM($AG59:AJ59)&lt;($L59-12),12,$L59-SUM($AG59:AJ59)))</f>
        <v>0</v>
      </c>
      <c r="AM59" s="1100"/>
      <c r="AN59" s="1100"/>
      <c r="AO59" s="1100"/>
      <c r="AP59" s="1100"/>
      <c r="AQ59" s="1100">
        <f>'ANSP Capex'!AO55</f>
        <v>0</v>
      </c>
      <c r="AS59" s="153">
        <f t="shared" si="3"/>
        <v>8.3333371450021329E-2</v>
      </c>
      <c r="AT59" s="153">
        <f t="shared" si="4"/>
        <v>0</v>
      </c>
      <c r="AU59" s="153">
        <f t="shared" si="5"/>
        <v>0</v>
      </c>
      <c r="AV59" s="153">
        <f t="shared" si="6"/>
        <v>0</v>
      </c>
      <c r="AW59" s="153">
        <f t="shared" si="7"/>
        <v>0</v>
      </c>
      <c r="AX59" s="153"/>
      <c r="AY59" s="1543">
        <f>'ANSP Capex'!AW55</f>
        <v>1</v>
      </c>
      <c r="AZ59" s="1102"/>
      <c r="BA59" s="1543">
        <f>'ANSP Capex'!AY55</f>
        <v>0</v>
      </c>
      <c r="BC59" s="1126"/>
      <c r="BD59" s="1126"/>
      <c r="BE59" s="1126"/>
      <c r="BF59" s="1126"/>
      <c r="BG59" s="1126"/>
      <c r="BH59" s="1126">
        <f>'ANSP Capex'!BF55*IF($I59="",(1+INDEX($I$41:$I$42,MATCH($F59,$F$41:$F$42,0))),(1+$I59))</f>
        <v>1049.40912</v>
      </c>
      <c r="BI59" s="1126">
        <f>'ANSP Capex'!BG55*IF($I59="",(1+INDEX($I$41:$I$42,MATCH($F59,$F$41:$F$42,0))),(1+$I59))</f>
        <v>0</v>
      </c>
      <c r="BJ59" s="1126">
        <f>'ANSP Capex'!BH55*IF($I59="",(1+INDEX($I$41:$I$42,MATCH($F59,$F$41:$F$42,0))),(1+$I59))</f>
        <v>0</v>
      </c>
      <c r="BK59" s="1126">
        <f>'ANSP Capex'!BI55*IF($I59="",(1+INDEX($I$41:$I$42,MATCH($F59,$F$41:$F$42,0))),(1+$I59))</f>
        <v>0</v>
      </c>
      <c r="BL59" s="1126">
        <f>'ANSP Capex'!BJ55*IF($I59="",(1+INDEX($I$41:$I$42,MATCH($F59,$F$41:$F$42,0))),(1+$I59))</f>
        <v>0</v>
      </c>
    </row>
    <row r="60" spans="1:64" outlineLevel="2">
      <c r="A60" s="1094"/>
      <c r="B60" s="1094"/>
      <c r="C60" s="1083" t="str">
        <f>'ANSP Capex'!C56</f>
        <v>Q029 - CEROC IT Equipment</v>
      </c>
      <c r="D60" s="1083" t="str">
        <f>'ANSP Capex'!D56</f>
        <v>CEROC</v>
      </c>
      <c r="E60" s="1083" t="str">
        <f>'ANSP Capex'!E56</f>
        <v>Q0290001</v>
      </c>
      <c r="F60" s="1083">
        <f>'ANSP Capex'!F56</f>
        <v>2020</v>
      </c>
      <c r="G60" s="1101">
        <f t="shared" si="0"/>
        <v>65.190269999999998</v>
      </c>
      <c r="H60" s="1083" t="str">
        <f>'ANSP Capex'!H56</f>
        <v>€'000</v>
      </c>
      <c r="I60" s="829"/>
      <c r="J60" s="1097">
        <f>'ANSP Capex'!I56</f>
        <v>3.0833333333333335</v>
      </c>
      <c r="K60" s="1124">
        <v>0</v>
      </c>
      <c r="L60" s="1098">
        <f t="shared" si="1"/>
        <v>37</v>
      </c>
      <c r="M60" s="153">
        <f t="shared" si="2"/>
        <v>0.32432432432432429</v>
      </c>
      <c r="N60" s="1099"/>
      <c r="O60" s="1100">
        <f>'ANSP Capex'!M56</f>
        <v>1.0277773048033088</v>
      </c>
      <c r="P60" s="1101">
        <f>IF($BH60=0,0,IF(SUM($O60:O60)&lt;($L60-12),12,$L60-SUM($O60:O60)))</f>
        <v>12</v>
      </c>
      <c r="Q60" s="1101">
        <f>IF($BH60=0,0,IF(SUM($O60:P60)&lt;($L60-12),12,$L60-SUM($O60:P60)))</f>
        <v>12</v>
      </c>
      <c r="R60" s="1101">
        <f>IF($BH60=0,0,IF(SUM($O60:Q60)&lt;($L60-12),12,$L60-SUM($O60:Q60)))</f>
        <v>11.972222695196692</v>
      </c>
      <c r="S60" s="1101">
        <f>IF($BH60=0,0,IF(SUM($O60:R60)&lt;($L60-12),12,$L60-SUM($O60:R60)))</f>
        <v>0</v>
      </c>
      <c r="U60" s="1100"/>
      <c r="V60" s="1100">
        <f>'ANSP Capex'!T56</f>
        <v>0</v>
      </c>
      <c r="W60" s="1101">
        <f>IF($BI60=0,0,IF(SUM($U60:V60)&lt;($L60-12),12,$L60-SUM($U60:V60)))</f>
        <v>0</v>
      </c>
      <c r="X60" s="1101">
        <f>IF($BI60=0,0,IF(SUM($U60:W60)&lt;($L60-12),12,$L60-SUM($U60:W60)))</f>
        <v>0</v>
      </c>
      <c r="Y60" s="1101">
        <f>IF($BI60=0,0,IF(SUM($U60:X60)&lt;($L60-12),12,$L60-SUM($U60:X60)))</f>
        <v>0</v>
      </c>
      <c r="AA60" s="1100"/>
      <c r="AB60" s="1100"/>
      <c r="AC60" s="1100">
        <f>'ANSP Capex'!AA56</f>
        <v>0</v>
      </c>
      <c r="AD60" s="1101">
        <f>IF($BJ60=0,0,IF(SUM($AA60:AC60)&lt;($L60-12),12,$L60-SUM($AA60:AC60)))</f>
        <v>0</v>
      </c>
      <c r="AE60" s="1101">
        <f>IF($BJ60=0,0,IF(SUM($AA60:AD60)&lt;($L60-12),12,$L60-SUM($AA60:AD60)))</f>
        <v>0</v>
      </c>
      <c r="AG60" s="1100"/>
      <c r="AH60" s="1100"/>
      <c r="AI60" s="1100"/>
      <c r="AJ60" s="1100">
        <f>'ANSP Capex'!AH56</f>
        <v>0</v>
      </c>
      <c r="AK60" s="1101">
        <f>IF($BK60=0,0,IF(SUM($AG60:AJ60)&lt;($L60-12),12,$L60-SUM($AG60:AJ60)))</f>
        <v>0</v>
      </c>
      <c r="AM60" s="1100"/>
      <c r="AN60" s="1100"/>
      <c r="AO60" s="1100"/>
      <c r="AP60" s="1100"/>
      <c r="AQ60" s="1100">
        <f>'ANSP Capex'!AO56</f>
        <v>0</v>
      </c>
      <c r="AS60" s="153">
        <f t="shared" si="3"/>
        <v>8.5648108733609063E-2</v>
      </c>
      <c r="AT60" s="153">
        <f t="shared" si="4"/>
        <v>0</v>
      </c>
      <c r="AU60" s="153">
        <f t="shared" si="5"/>
        <v>0</v>
      </c>
      <c r="AV60" s="153">
        <f t="shared" si="6"/>
        <v>0</v>
      </c>
      <c r="AW60" s="153">
        <f t="shared" si="7"/>
        <v>0</v>
      </c>
      <c r="AX60" s="153"/>
      <c r="AY60" s="1543">
        <f>'ANSP Capex'!AW56</f>
        <v>1</v>
      </c>
      <c r="AZ60" s="1102"/>
      <c r="BA60" s="1543">
        <f>'ANSP Capex'!AY56</f>
        <v>0</v>
      </c>
      <c r="BC60" s="1126"/>
      <c r="BD60" s="1126"/>
      <c r="BE60" s="1126"/>
      <c r="BF60" s="1126"/>
      <c r="BG60" s="1126"/>
      <c r="BH60" s="1126">
        <f>'ANSP Capex'!BF56*IF($I60="",(1+INDEX($I$41:$I$42,MATCH($F60,$F$41:$F$42,0))),(1+$I60))</f>
        <v>65.190269999999998</v>
      </c>
      <c r="BI60" s="1126">
        <f>'ANSP Capex'!BG56*IF($I60="",(1+INDEX($I$41:$I$42,MATCH($F60,$F$41:$F$42,0))),(1+$I60))</f>
        <v>0</v>
      </c>
      <c r="BJ60" s="1126">
        <f>'ANSP Capex'!BH56*IF($I60="",(1+INDEX($I$41:$I$42,MATCH($F60,$F$41:$F$42,0))),(1+$I60))</f>
        <v>0</v>
      </c>
      <c r="BK60" s="1126">
        <f>'ANSP Capex'!BI56*IF($I60="",(1+INDEX($I$41:$I$42,MATCH($F60,$F$41:$F$42,0))),(1+$I60))</f>
        <v>0</v>
      </c>
      <c r="BL60" s="1126">
        <f>'ANSP Capex'!BJ56*IF($I60="",(1+INDEX($I$41:$I$42,MATCH($F60,$F$41:$F$42,0))),(1+$I60))</f>
        <v>0</v>
      </c>
    </row>
    <row r="61" spans="1:64" outlineLevel="2">
      <c r="A61" s="1094"/>
      <c r="B61" s="1094"/>
      <c r="C61" s="1083" t="str">
        <f>'ANSP Capex'!C57</f>
        <v>Q029 -CEROC  Photocopier</v>
      </c>
      <c r="D61" s="1083" t="str">
        <f>'ANSP Capex'!D57</f>
        <v>CEROC</v>
      </c>
      <c r="E61" s="1083" t="str">
        <f>'ANSP Capex'!E57</f>
        <v>Q0290002</v>
      </c>
      <c r="F61" s="1083">
        <f>'ANSP Capex'!F57</f>
        <v>2020</v>
      </c>
      <c r="G61" s="1101">
        <f t="shared" si="0"/>
        <v>4.8657500000000002</v>
      </c>
      <c r="H61" s="1083" t="str">
        <f>'ANSP Capex'!H57</f>
        <v>€'000</v>
      </c>
      <c r="I61" s="829"/>
      <c r="J61" s="1097">
        <f>'ANSP Capex'!I57</f>
        <v>5</v>
      </c>
      <c r="K61" s="1124">
        <v>0</v>
      </c>
      <c r="L61" s="1098">
        <f t="shared" si="1"/>
        <v>60</v>
      </c>
      <c r="M61" s="153">
        <f t="shared" si="2"/>
        <v>0.2</v>
      </c>
      <c r="N61" s="1099"/>
      <c r="O61" s="1100">
        <f>'ANSP Capex'!M57</f>
        <v>1.0000513795406669</v>
      </c>
      <c r="P61" s="1101">
        <f>IF($BH61=0,0,IF(SUM($O61:O61)&lt;($L61-12),12,$L61-SUM($O61:O61)))</f>
        <v>12</v>
      </c>
      <c r="Q61" s="1101">
        <f>IF($BH61=0,0,IF(SUM($O61:P61)&lt;($L61-12),12,$L61-SUM($O61:P61)))</f>
        <v>12</v>
      </c>
      <c r="R61" s="1101">
        <f>IF($BH61=0,0,IF(SUM($O61:Q61)&lt;($L61-12),12,$L61-SUM($O61:Q61)))</f>
        <v>12</v>
      </c>
      <c r="S61" s="1101">
        <f>IF($BH61=0,0,IF(SUM($O61:R61)&lt;($L61-12),12,$L61-SUM($O61:R61)))</f>
        <v>12</v>
      </c>
      <c r="U61" s="1100"/>
      <c r="V61" s="1100">
        <f>'ANSP Capex'!T57</f>
        <v>0</v>
      </c>
      <c r="W61" s="1101">
        <f>IF($BI61=0,0,IF(SUM($U61:V61)&lt;($L61-12),12,$L61-SUM($U61:V61)))</f>
        <v>0</v>
      </c>
      <c r="X61" s="1101">
        <f>IF($BI61=0,0,IF(SUM($U61:W61)&lt;($L61-12),12,$L61-SUM($U61:W61)))</f>
        <v>0</v>
      </c>
      <c r="Y61" s="1101">
        <f>IF($BI61=0,0,IF(SUM($U61:X61)&lt;($L61-12),12,$L61-SUM($U61:X61)))</f>
        <v>0</v>
      </c>
      <c r="AA61" s="1100"/>
      <c r="AB61" s="1100"/>
      <c r="AC61" s="1100">
        <f>'ANSP Capex'!AA57</f>
        <v>0</v>
      </c>
      <c r="AD61" s="1101">
        <f>IF($BJ61=0,0,IF(SUM($AA61:AC61)&lt;($L61-12),12,$L61-SUM($AA61:AC61)))</f>
        <v>0</v>
      </c>
      <c r="AE61" s="1101">
        <f>IF($BJ61=0,0,IF(SUM($AA61:AD61)&lt;($L61-12),12,$L61-SUM($AA61:AD61)))</f>
        <v>0</v>
      </c>
      <c r="AG61" s="1100"/>
      <c r="AH61" s="1100"/>
      <c r="AI61" s="1100"/>
      <c r="AJ61" s="1100">
        <f>'ANSP Capex'!AH57</f>
        <v>0</v>
      </c>
      <c r="AK61" s="1101">
        <f>IF($BK61=0,0,IF(SUM($AG61:AJ61)&lt;($L61-12),12,$L61-SUM($AG61:AJ61)))</f>
        <v>0</v>
      </c>
      <c r="AM61" s="1100"/>
      <c r="AN61" s="1100"/>
      <c r="AO61" s="1100"/>
      <c r="AP61" s="1100"/>
      <c r="AQ61" s="1100">
        <f>'ANSP Capex'!AO57</f>
        <v>0</v>
      </c>
      <c r="AS61" s="153">
        <f t="shared" si="3"/>
        <v>8.3337614961722248E-2</v>
      </c>
      <c r="AT61" s="153">
        <f t="shared" si="4"/>
        <v>0</v>
      </c>
      <c r="AU61" s="153">
        <f t="shared" si="5"/>
        <v>0</v>
      </c>
      <c r="AV61" s="153">
        <f t="shared" si="6"/>
        <v>0</v>
      </c>
      <c r="AW61" s="153">
        <f t="shared" si="7"/>
        <v>0</v>
      </c>
      <c r="AX61" s="153"/>
      <c r="AY61" s="1543">
        <f>'ANSP Capex'!AW57</f>
        <v>1</v>
      </c>
      <c r="AZ61" s="1102"/>
      <c r="BA61" s="1543">
        <f>'ANSP Capex'!AY57</f>
        <v>0</v>
      </c>
      <c r="BC61" s="1126"/>
      <c r="BD61" s="1126"/>
      <c r="BE61" s="1126"/>
      <c r="BF61" s="1126"/>
      <c r="BG61" s="1126"/>
      <c r="BH61" s="1126">
        <f>'ANSP Capex'!BF57*IF($I61="",(1+INDEX($I$41:$I$42,MATCH($F61,$F$41:$F$42,0))),(1+$I61))</f>
        <v>4.8657500000000002</v>
      </c>
      <c r="BI61" s="1126">
        <f>'ANSP Capex'!BG57*IF($I61="",(1+INDEX($I$41:$I$42,MATCH($F61,$F$41:$F$42,0))),(1+$I61))</f>
        <v>0</v>
      </c>
      <c r="BJ61" s="1126">
        <f>'ANSP Capex'!BH57*IF($I61="",(1+INDEX($I$41:$I$42,MATCH($F61,$F$41:$F$42,0))),(1+$I61))</f>
        <v>0</v>
      </c>
      <c r="BK61" s="1126">
        <f>'ANSP Capex'!BI57*IF($I61="",(1+INDEX($I$41:$I$42,MATCH($F61,$F$41:$F$42,0))),(1+$I61))</f>
        <v>0</v>
      </c>
      <c r="BL61" s="1126">
        <f>'ANSP Capex'!BJ57*IF($I61="",(1+INDEX($I$41:$I$42,MATCH($F61,$F$41:$F$42,0))),(1+$I61))</f>
        <v>0</v>
      </c>
    </row>
    <row r="62" spans="1:64" outlineLevel="2">
      <c r="A62" s="1094"/>
      <c r="B62" s="1094"/>
      <c r="C62" s="1083" t="str">
        <f>'ANSP Capex'!C58</f>
        <v>Rosslare VHF - Cabins &amp; Civils Q015</v>
      </c>
      <c r="D62" s="1083" t="str">
        <f>'ANSP Capex'!D58</f>
        <v>Rosslare VHF - Cabins &amp; Civils Q015</v>
      </c>
      <c r="E62" s="1083" t="str">
        <f>'ANSP Capex'!E58</f>
        <v>q0150001</v>
      </c>
      <c r="F62" s="1083">
        <f>'ANSP Capex'!F58</f>
        <v>2020</v>
      </c>
      <c r="G62" s="1101">
        <f t="shared" si="0"/>
        <v>348.65758</v>
      </c>
      <c r="H62" s="1083" t="str">
        <f>'ANSP Capex'!H58</f>
        <v>€'000</v>
      </c>
      <c r="I62" s="829"/>
      <c r="J62" s="1097">
        <f>'ANSP Capex'!I58</f>
        <v>8</v>
      </c>
      <c r="K62" s="1124">
        <v>0</v>
      </c>
      <c r="L62" s="1098">
        <f t="shared" si="1"/>
        <v>96</v>
      </c>
      <c r="M62" s="153">
        <f t="shared" si="2"/>
        <v>0.125</v>
      </c>
      <c r="N62" s="1099"/>
      <c r="O62" s="1100">
        <f>'ANSP Capex'!M58</f>
        <v>4.0000002294514863</v>
      </c>
      <c r="P62" s="1101">
        <f>IF($BH62=0,0,IF(SUM($O62:O62)&lt;($L62-12),12,$L62-SUM($O62:O62)))</f>
        <v>12</v>
      </c>
      <c r="Q62" s="1101">
        <f>IF($BH62=0,0,IF(SUM($O62:P62)&lt;($L62-12),12,$L62-SUM($O62:P62)))</f>
        <v>12</v>
      </c>
      <c r="R62" s="1101">
        <f>IF($BH62=0,0,IF(SUM($O62:Q62)&lt;($L62-12),12,$L62-SUM($O62:Q62)))</f>
        <v>12</v>
      </c>
      <c r="S62" s="1101">
        <f>IF($BH62=0,0,IF(SUM($O62:R62)&lt;($L62-12),12,$L62-SUM($O62:R62)))</f>
        <v>12</v>
      </c>
      <c r="U62" s="1100"/>
      <c r="V62" s="1100">
        <f>'ANSP Capex'!T58</f>
        <v>0</v>
      </c>
      <c r="W62" s="1101">
        <f>IF($BI62=0,0,IF(SUM($U62:V62)&lt;($L62-12),12,$L62-SUM($U62:V62)))</f>
        <v>0</v>
      </c>
      <c r="X62" s="1101">
        <f>IF($BI62=0,0,IF(SUM($U62:W62)&lt;($L62-12),12,$L62-SUM($U62:W62)))</f>
        <v>0</v>
      </c>
      <c r="Y62" s="1101">
        <f>IF($BI62=0,0,IF(SUM($U62:X62)&lt;($L62-12),12,$L62-SUM($U62:X62)))</f>
        <v>0</v>
      </c>
      <c r="AA62" s="1100"/>
      <c r="AB62" s="1100"/>
      <c r="AC62" s="1100">
        <f>'ANSP Capex'!AA58</f>
        <v>0</v>
      </c>
      <c r="AD62" s="1101">
        <f>IF($BJ62=0,0,IF(SUM($AA62:AC62)&lt;($L62-12),12,$L62-SUM($AA62:AC62)))</f>
        <v>0</v>
      </c>
      <c r="AE62" s="1101">
        <f>IF($BJ62=0,0,IF(SUM($AA62:AD62)&lt;($L62-12),12,$L62-SUM($AA62:AD62)))</f>
        <v>0</v>
      </c>
      <c r="AG62" s="1100"/>
      <c r="AH62" s="1100"/>
      <c r="AI62" s="1100"/>
      <c r="AJ62" s="1100">
        <f>'ANSP Capex'!AH58</f>
        <v>0</v>
      </c>
      <c r="AK62" s="1101">
        <f>IF($BK62=0,0,IF(SUM($AG62:AJ62)&lt;($L62-12),12,$L62-SUM($AG62:AJ62)))</f>
        <v>0</v>
      </c>
      <c r="AM62" s="1100"/>
      <c r="AN62" s="1100"/>
      <c r="AO62" s="1100"/>
      <c r="AP62" s="1100"/>
      <c r="AQ62" s="1100">
        <f>'ANSP Capex'!AO58</f>
        <v>0</v>
      </c>
      <c r="AS62" s="153">
        <f t="shared" si="3"/>
        <v>0.33333335245429052</v>
      </c>
      <c r="AT62" s="153">
        <f t="shared" si="4"/>
        <v>0</v>
      </c>
      <c r="AU62" s="153">
        <f t="shared" si="5"/>
        <v>0</v>
      </c>
      <c r="AV62" s="153">
        <f t="shared" si="6"/>
        <v>0</v>
      </c>
      <c r="AW62" s="153">
        <f t="shared" si="7"/>
        <v>0</v>
      </c>
      <c r="AX62" s="153"/>
      <c r="AY62" s="1543">
        <f>'ANSP Capex'!AW58</f>
        <v>0.75</v>
      </c>
      <c r="AZ62" s="1102"/>
      <c r="BA62" s="1543">
        <f>'ANSP Capex'!AY58</f>
        <v>0.25</v>
      </c>
      <c r="BC62" s="1126"/>
      <c r="BD62" s="1126"/>
      <c r="BE62" s="1126"/>
      <c r="BF62" s="1126"/>
      <c r="BG62" s="1126"/>
      <c r="BH62" s="1126">
        <f>'ANSP Capex'!BF58*IF($I62="",(1+INDEX($I$41:$I$42,MATCH($F62,$F$41:$F$42,0))),(1+$I62))</f>
        <v>348.65758</v>
      </c>
      <c r="BI62" s="1126">
        <f>'ANSP Capex'!BG58*IF($I62="",(1+INDEX($I$41:$I$42,MATCH($F62,$F$41:$F$42,0))),(1+$I62))</f>
        <v>0</v>
      </c>
      <c r="BJ62" s="1126">
        <f>'ANSP Capex'!BH58*IF($I62="",(1+INDEX($I$41:$I$42,MATCH($F62,$F$41:$F$42,0))),(1+$I62))</f>
        <v>0</v>
      </c>
      <c r="BK62" s="1126">
        <f>'ANSP Capex'!BI58*IF($I62="",(1+INDEX($I$41:$I$42,MATCH($F62,$F$41:$F$42,0))),(1+$I62))</f>
        <v>0</v>
      </c>
      <c r="BL62" s="1126">
        <f>'ANSP Capex'!BJ58*IF($I62="",(1+INDEX($I$41:$I$42,MATCH($F62,$F$41:$F$42,0))),(1+$I62))</f>
        <v>0</v>
      </c>
    </row>
    <row r="63" spans="1:64" outlineLevel="2">
      <c r="A63" s="1094"/>
      <c r="B63" s="1094"/>
      <c r="C63" s="1083" t="str">
        <f>'ANSP Capex'!C59</f>
        <v>Q001- Coopans Hardware network</v>
      </c>
      <c r="D63" s="1083" t="str">
        <f>'ANSP Capex'!D59</f>
        <v>Coopans Hardware network</v>
      </c>
      <c r="E63" s="1083" t="str">
        <f>'ANSP Capex'!E59</f>
        <v>Q0010006</v>
      </c>
      <c r="F63" s="1083">
        <f>'ANSP Capex'!F59</f>
        <v>2020</v>
      </c>
      <c r="G63" s="1101">
        <f t="shared" si="0"/>
        <v>311.62266</v>
      </c>
      <c r="H63" s="1083" t="str">
        <f>'ANSP Capex'!H59</f>
        <v>€'000</v>
      </c>
      <c r="I63" s="829"/>
      <c r="J63" s="1097">
        <f>'ANSP Capex'!I59</f>
        <v>8</v>
      </c>
      <c r="K63" s="1124">
        <v>0</v>
      </c>
      <c r="L63" s="1098">
        <f t="shared" si="1"/>
        <v>96</v>
      </c>
      <c r="M63" s="153">
        <f t="shared" si="2"/>
        <v>0.125</v>
      </c>
      <c r="N63" s="1099"/>
      <c r="O63" s="1100">
        <f>'ANSP Capex'!M59</f>
        <v>11.000002117946108</v>
      </c>
      <c r="P63" s="1101">
        <f>IF($BH63=0,0,IF(SUM($O63:O63)&lt;($L63-12),12,$L63-SUM($O63:O63)))</f>
        <v>12</v>
      </c>
      <c r="Q63" s="1101">
        <f>IF($BH63=0,0,IF(SUM($O63:P63)&lt;($L63-12),12,$L63-SUM($O63:P63)))</f>
        <v>12</v>
      </c>
      <c r="R63" s="1101">
        <f>IF($BH63=0,0,IF(SUM($O63:Q63)&lt;($L63-12),12,$L63-SUM($O63:Q63)))</f>
        <v>12</v>
      </c>
      <c r="S63" s="1101">
        <f>IF($BH63=0,0,IF(SUM($O63:R63)&lt;($L63-12),12,$L63-SUM($O63:R63)))</f>
        <v>12</v>
      </c>
      <c r="U63" s="1100"/>
      <c r="V63" s="1100">
        <f>'ANSP Capex'!T59</f>
        <v>0</v>
      </c>
      <c r="W63" s="1101">
        <f>IF($BI63=0,0,IF(SUM($U63:V63)&lt;($L63-12),12,$L63-SUM($U63:V63)))</f>
        <v>0</v>
      </c>
      <c r="X63" s="1101">
        <f>IF($BI63=0,0,IF(SUM($U63:W63)&lt;($L63-12),12,$L63-SUM($U63:W63)))</f>
        <v>0</v>
      </c>
      <c r="Y63" s="1101">
        <f>IF($BI63=0,0,IF(SUM($U63:X63)&lt;($L63-12),12,$L63-SUM($U63:X63)))</f>
        <v>0</v>
      </c>
      <c r="AA63" s="1100"/>
      <c r="AB63" s="1100"/>
      <c r="AC63" s="1100">
        <f>'ANSP Capex'!AA59</f>
        <v>0</v>
      </c>
      <c r="AD63" s="1101">
        <f>IF($BJ63=0,0,IF(SUM($AA63:AC63)&lt;($L63-12),12,$L63-SUM($AA63:AC63)))</f>
        <v>0</v>
      </c>
      <c r="AE63" s="1101">
        <f>IF($BJ63=0,0,IF(SUM($AA63:AD63)&lt;($L63-12),12,$L63-SUM($AA63:AD63)))</f>
        <v>0</v>
      </c>
      <c r="AG63" s="1100"/>
      <c r="AH63" s="1100"/>
      <c r="AI63" s="1100"/>
      <c r="AJ63" s="1100">
        <f>'ANSP Capex'!AH59</f>
        <v>0</v>
      </c>
      <c r="AK63" s="1101">
        <f>IF($BK63=0,0,IF(SUM($AG63:AJ63)&lt;($L63-12),12,$L63-SUM($AG63:AJ63)))</f>
        <v>0</v>
      </c>
      <c r="AM63" s="1100"/>
      <c r="AN63" s="1100"/>
      <c r="AO63" s="1100"/>
      <c r="AP63" s="1100"/>
      <c r="AQ63" s="1100">
        <f>'ANSP Capex'!AO59</f>
        <v>0</v>
      </c>
      <c r="AS63" s="153">
        <f t="shared" si="3"/>
        <v>0.91666684316217573</v>
      </c>
      <c r="AT63" s="153">
        <f t="shared" si="4"/>
        <v>0</v>
      </c>
      <c r="AU63" s="153">
        <f t="shared" si="5"/>
        <v>0</v>
      </c>
      <c r="AV63" s="153">
        <f t="shared" si="6"/>
        <v>0</v>
      </c>
      <c r="AW63" s="153">
        <f t="shared" si="7"/>
        <v>0</v>
      </c>
      <c r="AX63" s="153"/>
      <c r="AY63" s="1543">
        <f>'ANSP Capex'!AW59</f>
        <v>0.75</v>
      </c>
      <c r="AZ63" s="1102"/>
      <c r="BA63" s="1543">
        <f>'ANSP Capex'!AY59</f>
        <v>0.25</v>
      </c>
      <c r="BC63" s="1126"/>
      <c r="BD63" s="1126"/>
      <c r="BE63" s="1126"/>
      <c r="BF63" s="1126"/>
      <c r="BG63" s="1126"/>
      <c r="BH63" s="1126">
        <f>'ANSP Capex'!BF59*IF($I63="",(1+INDEX($I$41:$I$42,MATCH($F63,$F$41:$F$42,0))),(1+$I63))</f>
        <v>311.62266</v>
      </c>
      <c r="BI63" s="1126">
        <f>'ANSP Capex'!BG59*IF($I63="",(1+INDEX($I$41:$I$42,MATCH($F63,$F$41:$F$42,0))),(1+$I63))</f>
        <v>0</v>
      </c>
      <c r="BJ63" s="1126">
        <f>'ANSP Capex'!BH59*IF($I63="",(1+INDEX($I$41:$I$42,MATCH($F63,$F$41:$F$42,0))),(1+$I63))</f>
        <v>0</v>
      </c>
      <c r="BK63" s="1126">
        <f>'ANSP Capex'!BI59*IF($I63="",(1+INDEX($I$41:$I$42,MATCH($F63,$F$41:$F$42,0))),(1+$I63))</f>
        <v>0</v>
      </c>
      <c r="BL63" s="1126">
        <f>'ANSP Capex'!BJ59*IF($I63="",(1+INDEX($I$41:$I$42,MATCH($F63,$F$41:$F$42,0))),(1+$I63))</f>
        <v>0</v>
      </c>
    </row>
    <row r="64" spans="1:64" outlineLevel="2">
      <c r="A64" s="1094"/>
      <c r="B64" s="1094"/>
      <c r="C64" s="1083" t="str">
        <f>'ANSP Capex'!C60</f>
        <v>P009 - New South East VHF Site</v>
      </c>
      <c r="D64" s="1083" t="str">
        <f>'ANSP Capex'!D60</f>
        <v>New South East VHF Site</v>
      </c>
      <c r="E64" s="1083" t="str">
        <f>'ANSP Capex'!E60</f>
        <v>P0090001</v>
      </c>
      <c r="F64" s="1083">
        <f>'ANSP Capex'!F60</f>
        <v>2020</v>
      </c>
      <c r="G64" s="1101">
        <f t="shared" si="0"/>
        <v>309.85399999999998</v>
      </c>
      <c r="H64" s="1083" t="str">
        <f>'ANSP Capex'!H60</f>
        <v>€'000</v>
      </c>
      <c r="I64" s="829"/>
      <c r="J64" s="1097">
        <f>'ANSP Capex'!I60</f>
        <v>8</v>
      </c>
      <c r="K64" s="1124">
        <v>0</v>
      </c>
      <c r="L64" s="1098">
        <f t="shared" si="1"/>
        <v>96</v>
      </c>
      <c r="M64" s="153">
        <f t="shared" si="2"/>
        <v>0.125</v>
      </c>
      <c r="N64" s="1099"/>
      <c r="O64" s="1100">
        <f>'ANSP Capex'!M60</f>
        <v>4.0000051637222693</v>
      </c>
      <c r="P64" s="1101">
        <f>IF($BH64=0,0,IF(SUM($O64:O64)&lt;($L64-12),12,$L64-SUM($O64:O64)))</f>
        <v>12</v>
      </c>
      <c r="Q64" s="1101">
        <f>IF($BH64=0,0,IF(SUM($O64:P64)&lt;($L64-12),12,$L64-SUM($O64:P64)))</f>
        <v>12</v>
      </c>
      <c r="R64" s="1101">
        <f>IF($BH64=0,0,IF(SUM($O64:Q64)&lt;($L64-12),12,$L64-SUM($O64:Q64)))</f>
        <v>12</v>
      </c>
      <c r="S64" s="1101">
        <f>IF($BH64=0,0,IF(SUM($O64:R64)&lt;($L64-12),12,$L64-SUM($O64:R64)))</f>
        <v>12</v>
      </c>
      <c r="U64" s="1100"/>
      <c r="V64" s="1100">
        <f>'ANSP Capex'!T60</f>
        <v>0</v>
      </c>
      <c r="W64" s="1101">
        <f>IF($BI64=0,0,IF(SUM($U64:V64)&lt;($L64-12),12,$L64-SUM($U64:V64)))</f>
        <v>0</v>
      </c>
      <c r="X64" s="1101">
        <f>IF($BI64=0,0,IF(SUM($U64:W64)&lt;($L64-12),12,$L64-SUM($U64:W64)))</f>
        <v>0</v>
      </c>
      <c r="Y64" s="1101">
        <f>IF($BI64=0,0,IF(SUM($U64:X64)&lt;($L64-12),12,$L64-SUM($U64:X64)))</f>
        <v>0</v>
      </c>
      <c r="AA64" s="1100"/>
      <c r="AB64" s="1100"/>
      <c r="AC64" s="1100">
        <f>'ANSP Capex'!AA60</f>
        <v>0</v>
      </c>
      <c r="AD64" s="1101">
        <f>IF($BJ64=0,0,IF(SUM($AA64:AC64)&lt;($L64-12),12,$L64-SUM($AA64:AC64)))</f>
        <v>0</v>
      </c>
      <c r="AE64" s="1101">
        <f>IF($BJ64=0,0,IF(SUM($AA64:AD64)&lt;($L64-12),12,$L64-SUM($AA64:AD64)))</f>
        <v>0</v>
      </c>
      <c r="AG64" s="1100"/>
      <c r="AH64" s="1100"/>
      <c r="AI64" s="1100"/>
      <c r="AJ64" s="1100">
        <f>'ANSP Capex'!AH60</f>
        <v>0</v>
      </c>
      <c r="AK64" s="1101">
        <f>IF($BK64=0,0,IF(SUM($AG64:AJ64)&lt;($L64-12),12,$L64-SUM($AG64:AJ64)))</f>
        <v>0</v>
      </c>
      <c r="AM64" s="1100"/>
      <c r="AN64" s="1100"/>
      <c r="AO64" s="1100"/>
      <c r="AP64" s="1100"/>
      <c r="AQ64" s="1100">
        <f>'ANSP Capex'!AO60</f>
        <v>0</v>
      </c>
      <c r="AS64" s="153">
        <f t="shared" si="3"/>
        <v>0.33333376364352246</v>
      </c>
      <c r="AT64" s="153">
        <f t="shared" si="4"/>
        <v>0</v>
      </c>
      <c r="AU64" s="153">
        <f t="shared" si="5"/>
        <v>0</v>
      </c>
      <c r="AV64" s="153">
        <f t="shared" si="6"/>
        <v>0</v>
      </c>
      <c r="AW64" s="153">
        <f t="shared" si="7"/>
        <v>0</v>
      </c>
      <c r="AX64" s="153"/>
      <c r="AY64" s="1543">
        <f>'ANSP Capex'!AW60</f>
        <v>0.75</v>
      </c>
      <c r="AZ64" s="1102"/>
      <c r="BA64" s="1543">
        <f>'ANSP Capex'!AY60</f>
        <v>0.25</v>
      </c>
      <c r="BC64" s="1126"/>
      <c r="BD64" s="1126"/>
      <c r="BE64" s="1126"/>
      <c r="BF64" s="1126"/>
      <c r="BG64" s="1126"/>
      <c r="BH64" s="1126">
        <f>'ANSP Capex'!BF60*IF($I64="",(1+INDEX($I$41:$I$42,MATCH($F64,$F$41:$F$42,0))),(1+$I64))</f>
        <v>309.85399999999998</v>
      </c>
      <c r="BI64" s="1126">
        <f>'ANSP Capex'!BG60*IF($I64="",(1+INDEX($I$41:$I$42,MATCH($F64,$F$41:$F$42,0))),(1+$I64))</f>
        <v>0</v>
      </c>
      <c r="BJ64" s="1126">
        <f>'ANSP Capex'!BH60*IF($I64="",(1+INDEX($I$41:$I$42,MATCH($F64,$F$41:$F$42,0))),(1+$I64))</f>
        <v>0</v>
      </c>
      <c r="BK64" s="1126">
        <f>'ANSP Capex'!BI60*IF($I64="",(1+INDEX($I$41:$I$42,MATCH($F64,$F$41:$F$42,0))),(1+$I64))</f>
        <v>0</v>
      </c>
      <c r="BL64" s="1126">
        <f>'ANSP Capex'!BJ60*IF($I64="",(1+INDEX($I$41:$I$42,MATCH($F64,$F$41:$F$42,0))),(1+$I64))</f>
        <v>0</v>
      </c>
    </row>
    <row r="65" spans="1:64" outlineLevel="2">
      <c r="A65" s="1094"/>
      <c r="B65" s="1094"/>
      <c r="C65" s="1083" t="str">
        <f>'ANSP Capex'!C61</f>
        <v>T024 - UPS System Woodcock</v>
      </c>
      <c r="D65" s="1083" t="str">
        <f>'ANSP Capex'!D61</f>
        <v>UPS System</v>
      </c>
      <c r="E65" s="1083" t="str">
        <f>'ANSP Capex'!E61</f>
        <v>T0240005</v>
      </c>
      <c r="F65" s="1083">
        <f>'ANSP Capex'!F61</f>
        <v>2020</v>
      </c>
      <c r="G65" s="1101">
        <f t="shared" si="0"/>
        <v>45.787759999999999</v>
      </c>
      <c r="H65" s="1083" t="str">
        <f>'ANSP Capex'!H61</f>
        <v>€'000</v>
      </c>
      <c r="I65" s="829"/>
      <c r="J65" s="1097">
        <f>'ANSP Capex'!I61</f>
        <v>8</v>
      </c>
      <c r="K65" s="1124">
        <v>0</v>
      </c>
      <c r="L65" s="1098">
        <f t="shared" si="1"/>
        <v>96</v>
      </c>
      <c r="M65" s="153">
        <f t="shared" si="2"/>
        <v>0.125</v>
      </c>
      <c r="N65" s="1099"/>
      <c r="O65" s="1100">
        <f>'ANSP Capex'!M61</f>
        <v>3.8670666571153514</v>
      </c>
      <c r="P65" s="1101">
        <f>IF($BH65=0,0,IF(SUM($O65:O65)&lt;($L65-12),12,$L65-SUM($O65:O65)))</f>
        <v>12</v>
      </c>
      <c r="Q65" s="1101">
        <f>IF($BH65=0,0,IF(SUM($O65:P65)&lt;($L65-12),12,$L65-SUM($O65:P65)))</f>
        <v>12</v>
      </c>
      <c r="R65" s="1101">
        <f>IF($BH65=0,0,IF(SUM($O65:Q65)&lt;($L65-12),12,$L65-SUM($O65:Q65)))</f>
        <v>12</v>
      </c>
      <c r="S65" s="1101">
        <f>IF($BH65=0,0,IF(SUM($O65:R65)&lt;($L65-12),12,$L65-SUM($O65:R65)))</f>
        <v>12</v>
      </c>
      <c r="U65" s="1100"/>
      <c r="V65" s="1100">
        <f>'ANSP Capex'!T61</f>
        <v>0</v>
      </c>
      <c r="W65" s="1101">
        <f>IF($BI65=0,0,IF(SUM($U65:V65)&lt;($L65-12),12,$L65-SUM($U65:V65)))</f>
        <v>0</v>
      </c>
      <c r="X65" s="1101">
        <f>IF($BI65=0,0,IF(SUM($U65:W65)&lt;($L65-12),12,$L65-SUM($U65:W65)))</f>
        <v>0</v>
      </c>
      <c r="Y65" s="1101">
        <f>IF($BI65=0,0,IF(SUM($U65:X65)&lt;($L65-12),12,$L65-SUM($U65:X65)))</f>
        <v>0</v>
      </c>
      <c r="AA65" s="1100"/>
      <c r="AB65" s="1100"/>
      <c r="AC65" s="1100">
        <f>'ANSP Capex'!AA61</f>
        <v>0</v>
      </c>
      <c r="AD65" s="1101">
        <f>IF($BJ65=0,0,IF(SUM($AA65:AC65)&lt;($L65-12),12,$L65-SUM($AA65:AC65)))</f>
        <v>0</v>
      </c>
      <c r="AE65" s="1101">
        <f>IF($BJ65=0,0,IF(SUM($AA65:AD65)&lt;($L65-12),12,$L65-SUM($AA65:AD65)))</f>
        <v>0</v>
      </c>
      <c r="AG65" s="1100"/>
      <c r="AH65" s="1100"/>
      <c r="AI65" s="1100"/>
      <c r="AJ65" s="1100">
        <f>'ANSP Capex'!AH61</f>
        <v>0</v>
      </c>
      <c r="AK65" s="1101">
        <f>IF($BK65=0,0,IF(SUM($AG65:AJ65)&lt;($L65-12),12,$L65-SUM($AG65:AJ65)))</f>
        <v>0</v>
      </c>
      <c r="AM65" s="1100"/>
      <c r="AN65" s="1100"/>
      <c r="AO65" s="1100"/>
      <c r="AP65" s="1100"/>
      <c r="AQ65" s="1100">
        <f>'ANSP Capex'!AO61</f>
        <v>0</v>
      </c>
      <c r="AS65" s="153">
        <f t="shared" si="3"/>
        <v>0.32225555475961259</v>
      </c>
      <c r="AT65" s="153">
        <f t="shared" si="4"/>
        <v>0</v>
      </c>
      <c r="AU65" s="153">
        <f t="shared" si="5"/>
        <v>0</v>
      </c>
      <c r="AV65" s="153">
        <f t="shared" si="6"/>
        <v>0</v>
      </c>
      <c r="AW65" s="153">
        <f t="shared" si="7"/>
        <v>0</v>
      </c>
      <c r="AX65" s="153"/>
      <c r="AY65" s="1543">
        <f>'ANSP Capex'!AW61</f>
        <v>1</v>
      </c>
      <c r="AZ65" s="1102"/>
      <c r="BA65" s="1543">
        <f>'ANSP Capex'!AY61</f>
        <v>0</v>
      </c>
      <c r="BC65" s="1126"/>
      <c r="BD65" s="1126"/>
      <c r="BE65" s="1126"/>
      <c r="BF65" s="1126"/>
      <c r="BG65" s="1126"/>
      <c r="BH65" s="1126">
        <f>'ANSP Capex'!BF61*IF($I65="",(1+INDEX($I$41:$I$42,MATCH($F65,$F$41:$F$42,0))),(1+$I65))</f>
        <v>45.787759999999999</v>
      </c>
      <c r="BI65" s="1126">
        <f>'ANSP Capex'!BG61*IF($I65="",(1+INDEX($I$41:$I$42,MATCH($F65,$F$41:$F$42,0))),(1+$I65))</f>
        <v>0</v>
      </c>
      <c r="BJ65" s="1126">
        <f>'ANSP Capex'!BH61*IF($I65="",(1+INDEX($I$41:$I$42,MATCH($F65,$F$41:$F$42,0))),(1+$I65))</f>
        <v>0</v>
      </c>
      <c r="BK65" s="1126">
        <f>'ANSP Capex'!BI61*IF($I65="",(1+INDEX($I$41:$I$42,MATCH($F65,$F$41:$F$42,0))),(1+$I65))</f>
        <v>0</v>
      </c>
      <c r="BL65" s="1126">
        <f>'ANSP Capex'!BJ61*IF($I65="",(1+INDEX($I$41:$I$42,MATCH($F65,$F$41:$F$42,0))),(1+$I65))</f>
        <v>0</v>
      </c>
    </row>
    <row r="66" spans="1:64" outlineLevel="2">
      <c r="A66" s="1094"/>
      <c r="B66" s="1094"/>
      <c r="C66" s="1083" t="str">
        <f>'ANSP Capex'!C62</f>
        <v>T024 -UPS System Shannon Tower</v>
      </c>
      <c r="D66" s="1083" t="str">
        <f>'ANSP Capex'!D62</f>
        <v>UPS System</v>
      </c>
      <c r="E66" s="1083" t="str">
        <f>'ANSP Capex'!E62</f>
        <v>T0240007</v>
      </c>
      <c r="F66" s="1083">
        <f>'ANSP Capex'!F62</f>
        <v>2020</v>
      </c>
      <c r="G66" s="1101">
        <f t="shared" si="0"/>
        <v>32.5</v>
      </c>
      <c r="H66" s="1083" t="str">
        <f>'ANSP Capex'!H62</f>
        <v>€'000</v>
      </c>
      <c r="I66" s="829"/>
      <c r="J66" s="1097">
        <f>'ANSP Capex'!I62</f>
        <v>8</v>
      </c>
      <c r="K66" s="1124">
        <v>0</v>
      </c>
      <c r="L66" s="1098">
        <f t="shared" si="1"/>
        <v>96</v>
      </c>
      <c r="M66" s="153">
        <f t="shared" si="2"/>
        <v>0.125</v>
      </c>
      <c r="N66" s="1099"/>
      <c r="O66" s="1100">
        <f>'ANSP Capex'!M62</f>
        <v>6.9999655384615389</v>
      </c>
      <c r="P66" s="1101">
        <f>IF($BH66=0,0,IF(SUM($O66:O66)&lt;($L66-12),12,$L66-SUM($O66:O66)))</f>
        <v>12</v>
      </c>
      <c r="Q66" s="1101">
        <f>IF($BH66=0,0,IF(SUM($O66:P66)&lt;($L66-12),12,$L66-SUM($O66:P66)))</f>
        <v>12</v>
      </c>
      <c r="R66" s="1101">
        <f>IF($BH66=0,0,IF(SUM($O66:Q66)&lt;($L66-12),12,$L66-SUM($O66:Q66)))</f>
        <v>12</v>
      </c>
      <c r="S66" s="1101">
        <f>IF($BH66=0,0,IF(SUM($O66:R66)&lt;($L66-12),12,$L66-SUM($O66:R66)))</f>
        <v>12</v>
      </c>
      <c r="U66" s="1100"/>
      <c r="V66" s="1100">
        <f>'ANSP Capex'!T62</f>
        <v>0</v>
      </c>
      <c r="W66" s="1101">
        <f>IF($BI66=0,0,IF(SUM($U66:V66)&lt;($L66-12),12,$L66-SUM($U66:V66)))</f>
        <v>0</v>
      </c>
      <c r="X66" s="1101">
        <f>IF($BI66=0,0,IF(SUM($U66:W66)&lt;($L66-12),12,$L66-SUM($U66:W66)))</f>
        <v>0</v>
      </c>
      <c r="Y66" s="1101">
        <f>IF($BI66=0,0,IF(SUM($U66:X66)&lt;($L66-12),12,$L66-SUM($U66:X66)))</f>
        <v>0</v>
      </c>
      <c r="AA66" s="1100"/>
      <c r="AB66" s="1100"/>
      <c r="AC66" s="1100">
        <f>'ANSP Capex'!AA62</f>
        <v>0</v>
      </c>
      <c r="AD66" s="1101">
        <f>IF($BJ66=0,0,IF(SUM($AA66:AC66)&lt;($L66-12),12,$L66-SUM($AA66:AC66)))</f>
        <v>0</v>
      </c>
      <c r="AE66" s="1101">
        <f>IF($BJ66=0,0,IF(SUM($AA66:AD66)&lt;($L66-12),12,$L66-SUM($AA66:AD66)))</f>
        <v>0</v>
      </c>
      <c r="AG66" s="1100"/>
      <c r="AH66" s="1100"/>
      <c r="AI66" s="1100"/>
      <c r="AJ66" s="1100">
        <f>'ANSP Capex'!AH62</f>
        <v>0</v>
      </c>
      <c r="AK66" s="1101">
        <f>IF($BK66=0,0,IF(SUM($AG66:AJ66)&lt;($L66-12),12,$L66-SUM($AG66:AJ66)))</f>
        <v>0</v>
      </c>
      <c r="AM66" s="1100"/>
      <c r="AN66" s="1100"/>
      <c r="AO66" s="1100"/>
      <c r="AP66" s="1100"/>
      <c r="AQ66" s="1100">
        <f>'ANSP Capex'!AO62</f>
        <v>0</v>
      </c>
      <c r="AS66" s="153">
        <f t="shared" si="3"/>
        <v>0.58333046153846158</v>
      </c>
      <c r="AT66" s="153">
        <f t="shared" si="4"/>
        <v>0</v>
      </c>
      <c r="AU66" s="153">
        <f t="shared" si="5"/>
        <v>0</v>
      </c>
      <c r="AV66" s="153">
        <f t="shared" si="6"/>
        <v>0</v>
      </c>
      <c r="AW66" s="153">
        <f t="shared" si="7"/>
        <v>0</v>
      </c>
      <c r="AX66" s="153"/>
      <c r="AY66" s="1543">
        <f>'ANSP Capex'!AW62</f>
        <v>0</v>
      </c>
      <c r="AZ66" s="1102"/>
      <c r="BA66" s="1543">
        <f>'ANSP Capex'!AY62</f>
        <v>1</v>
      </c>
      <c r="BC66" s="1126"/>
      <c r="BD66" s="1126"/>
      <c r="BE66" s="1126"/>
      <c r="BF66" s="1126"/>
      <c r="BG66" s="1126"/>
      <c r="BH66" s="1126">
        <f>'ANSP Capex'!BF62*IF($I66="",(1+INDEX($I$41:$I$42,MATCH($F66,$F$41:$F$42,0))),(1+$I66))</f>
        <v>32.5</v>
      </c>
      <c r="BI66" s="1126">
        <f>'ANSP Capex'!BG62*IF($I66="",(1+INDEX($I$41:$I$42,MATCH($F66,$F$41:$F$42,0))),(1+$I66))</f>
        <v>0</v>
      </c>
      <c r="BJ66" s="1126">
        <f>'ANSP Capex'!BH62*IF($I66="",(1+INDEX($I$41:$I$42,MATCH($F66,$F$41:$F$42,0))),(1+$I66))</f>
        <v>0</v>
      </c>
      <c r="BK66" s="1126">
        <f>'ANSP Capex'!BI62*IF($I66="",(1+INDEX($I$41:$I$42,MATCH($F66,$F$41:$F$42,0))),(1+$I66))</f>
        <v>0</v>
      </c>
      <c r="BL66" s="1126">
        <f>'ANSP Capex'!BJ62*IF($I66="",(1+INDEX($I$41:$I$42,MATCH($F66,$F$41:$F$42,0))),(1+$I66))</f>
        <v>0</v>
      </c>
    </row>
    <row r="67" spans="1:64" outlineLevel="2">
      <c r="A67" s="1094"/>
      <c r="B67" s="1094"/>
      <c r="C67" s="1083" t="str">
        <f>'ANSP Capex'!C63</f>
        <v>T024 -UPS System Shannon Radar</v>
      </c>
      <c r="D67" s="1083" t="str">
        <f>'ANSP Capex'!D63</f>
        <v>UPS System</v>
      </c>
      <c r="E67" s="1083" t="str">
        <f>'ANSP Capex'!E63</f>
        <v>T0240006</v>
      </c>
      <c r="F67" s="1083">
        <f>'ANSP Capex'!F63</f>
        <v>2020</v>
      </c>
      <c r="G67" s="1101">
        <f t="shared" si="0"/>
        <v>43.679670000000002</v>
      </c>
      <c r="H67" s="1083" t="str">
        <f>'ANSP Capex'!H63</f>
        <v>€'000</v>
      </c>
      <c r="I67" s="829"/>
      <c r="J67" s="1097">
        <f>'ANSP Capex'!I63</f>
        <v>8</v>
      </c>
      <c r="K67" s="1124">
        <v>0</v>
      </c>
      <c r="L67" s="1098">
        <f t="shared" si="1"/>
        <v>96</v>
      </c>
      <c r="M67" s="153">
        <f t="shared" si="2"/>
        <v>0.125</v>
      </c>
      <c r="N67" s="1099"/>
      <c r="O67" s="1100">
        <f>'ANSP Capex'!M63</f>
        <v>6.0000453300127958</v>
      </c>
      <c r="P67" s="1101">
        <f>IF($BH67=0,0,IF(SUM($O67:O67)&lt;($L67-12),12,$L67-SUM($O67:O67)))</f>
        <v>12</v>
      </c>
      <c r="Q67" s="1101">
        <f>IF($BH67=0,0,IF(SUM($O67:P67)&lt;($L67-12),12,$L67-SUM($O67:P67)))</f>
        <v>12</v>
      </c>
      <c r="R67" s="1101">
        <f>IF($BH67=0,0,IF(SUM($O67:Q67)&lt;($L67-12),12,$L67-SUM($O67:Q67)))</f>
        <v>12</v>
      </c>
      <c r="S67" s="1101">
        <f>IF($BH67=0,0,IF(SUM($O67:R67)&lt;($L67-12),12,$L67-SUM($O67:R67)))</f>
        <v>12</v>
      </c>
      <c r="U67" s="1100"/>
      <c r="V67" s="1100">
        <f>'ANSP Capex'!T63</f>
        <v>0</v>
      </c>
      <c r="W67" s="1101">
        <f>IF($BI67=0,0,IF(SUM($U67:V67)&lt;($L67-12),12,$L67-SUM($U67:V67)))</f>
        <v>0</v>
      </c>
      <c r="X67" s="1101">
        <f>IF($BI67=0,0,IF(SUM($U67:W67)&lt;($L67-12),12,$L67-SUM($U67:W67)))</f>
        <v>0</v>
      </c>
      <c r="Y67" s="1101">
        <f>IF($BI67=0,0,IF(SUM($U67:X67)&lt;($L67-12),12,$L67-SUM($U67:X67)))</f>
        <v>0</v>
      </c>
      <c r="AA67" s="1100"/>
      <c r="AB67" s="1100"/>
      <c r="AC67" s="1100">
        <f>'ANSP Capex'!AA63</f>
        <v>0</v>
      </c>
      <c r="AD67" s="1101">
        <f>IF($BJ67=0,0,IF(SUM($AA67:AC67)&lt;($L67-12),12,$L67-SUM($AA67:AC67)))</f>
        <v>0</v>
      </c>
      <c r="AE67" s="1101">
        <f>IF($BJ67=0,0,IF(SUM($AA67:AD67)&lt;($L67-12),12,$L67-SUM($AA67:AD67)))</f>
        <v>0</v>
      </c>
      <c r="AG67" s="1100"/>
      <c r="AH67" s="1100"/>
      <c r="AI67" s="1100"/>
      <c r="AJ67" s="1100">
        <f>'ANSP Capex'!AH63</f>
        <v>0</v>
      </c>
      <c r="AK67" s="1101">
        <f>IF($BK67=0,0,IF(SUM($AG67:AJ67)&lt;($L67-12),12,$L67-SUM($AG67:AJ67)))</f>
        <v>0</v>
      </c>
      <c r="AM67" s="1100"/>
      <c r="AN67" s="1100"/>
      <c r="AO67" s="1100"/>
      <c r="AP67" s="1100"/>
      <c r="AQ67" s="1100">
        <f>'ANSP Capex'!AO63</f>
        <v>0</v>
      </c>
      <c r="AS67" s="153">
        <f t="shared" si="3"/>
        <v>0.50000377750106628</v>
      </c>
      <c r="AT67" s="153">
        <f t="shared" si="4"/>
        <v>0</v>
      </c>
      <c r="AU67" s="153">
        <f t="shared" si="5"/>
        <v>0</v>
      </c>
      <c r="AV67" s="153">
        <f t="shared" si="6"/>
        <v>0</v>
      </c>
      <c r="AW67" s="153">
        <f t="shared" si="7"/>
        <v>0</v>
      </c>
      <c r="AX67" s="153"/>
      <c r="AY67" s="1543">
        <f>'ANSP Capex'!AW63</f>
        <v>0.75</v>
      </c>
      <c r="AZ67" s="1102"/>
      <c r="BA67" s="1543">
        <f>'ANSP Capex'!AY63</f>
        <v>0.25</v>
      </c>
      <c r="BC67" s="1126"/>
      <c r="BD67" s="1126"/>
      <c r="BE67" s="1126"/>
      <c r="BF67" s="1126"/>
      <c r="BG67" s="1126"/>
      <c r="BH67" s="1126">
        <f>'ANSP Capex'!BF63*IF($I67="",(1+INDEX($I$41:$I$42,MATCH($F67,$F$41:$F$42,0))),(1+$I67))</f>
        <v>43.679670000000002</v>
      </c>
      <c r="BI67" s="1126">
        <f>'ANSP Capex'!BG63*IF($I67="",(1+INDEX($I$41:$I$42,MATCH($F67,$F$41:$F$42,0))),(1+$I67))</f>
        <v>0</v>
      </c>
      <c r="BJ67" s="1126">
        <f>'ANSP Capex'!BH63*IF($I67="",(1+INDEX($I$41:$I$42,MATCH($F67,$F$41:$F$42,0))),(1+$I67))</f>
        <v>0</v>
      </c>
      <c r="BK67" s="1126">
        <f>'ANSP Capex'!BI63*IF($I67="",(1+INDEX($I$41:$I$42,MATCH($F67,$F$41:$F$42,0))),(1+$I67))</f>
        <v>0</v>
      </c>
      <c r="BL67" s="1126">
        <f>'ANSP Capex'!BJ63*IF($I67="",(1+INDEX($I$41:$I$42,MATCH($F67,$F$41:$F$42,0))),(1+$I67))</f>
        <v>0</v>
      </c>
    </row>
    <row r="68" spans="1:64" outlineLevel="2">
      <c r="A68" s="1094"/>
      <c r="B68" s="1094"/>
      <c r="C68" s="1083" t="str">
        <f>'ANSP Capex'!C64</f>
        <v>T024 - UPS System Cork</v>
      </c>
      <c r="D68" s="1083" t="str">
        <f>'ANSP Capex'!D64</f>
        <v>UPS System</v>
      </c>
      <c r="E68" s="1083" t="str">
        <f>'ANSP Capex'!E64</f>
        <v>T0240008</v>
      </c>
      <c r="F68" s="1083">
        <f>'ANSP Capex'!F64</f>
        <v>2020</v>
      </c>
      <c r="G68" s="1101">
        <f t="shared" si="0"/>
        <v>43.679670000000002</v>
      </c>
      <c r="H68" s="1083" t="str">
        <f>'ANSP Capex'!H64</f>
        <v>€'000</v>
      </c>
      <c r="I68" s="829"/>
      <c r="J68" s="1097">
        <f>'ANSP Capex'!I64</f>
        <v>8</v>
      </c>
      <c r="K68" s="1124">
        <v>0</v>
      </c>
      <c r="L68" s="1098">
        <f t="shared" si="1"/>
        <v>96</v>
      </c>
      <c r="M68" s="153">
        <f t="shared" si="2"/>
        <v>0.125</v>
      </c>
      <c r="N68" s="1099"/>
      <c r="O68" s="1100">
        <f>'ANSP Capex'!M64</f>
        <v>6.0000453300127958</v>
      </c>
      <c r="P68" s="1101">
        <f>IF($BH68=0,0,IF(SUM($O68:O68)&lt;($L68-12),12,$L68-SUM($O68:O68)))</f>
        <v>12</v>
      </c>
      <c r="Q68" s="1101">
        <f>IF($BH68=0,0,IF(SUM($O68:P68)&lt;($L68-12),12,$L68-SUM($O68:P68)))</f>
        <v>12</v>
      </c>
      <c r="R68" s="1101">
        <f>IF($BH68=0,0,IF(SUM($O68:Q68)&lt;($L68-12),12,$L68-SUM($O68:Q68)))</f>
        <v>12</v>
      </c>
      <c r="S68" s="1101">
        <f>IF($BH68=0,0,IF(SUM($O68:R68)&lt;($L68-12),12,$L68-SUM($O68:R68)))</f>
        <v>12</v>
      </c>
      <c r="U68" s="1100"/>
      <c r="V68" s="1100">
        <f>'ANSP Capex'!T64</f>
        <v>0</v>
      </c>
      <c r="W68" s="1101">
        <f>IF($BI68=0,0,IF(SUM($U68:V68)&lt;($L68-12),12,$L68-SUM($U68:V68)))</f>
        <v>0</v>
      </c>
      <c r="X68" s="1101">
        <f>IF($BI68=0,0,IF(SUM($U68:W68)&lt;($L68-12),12,$L68-SUM($U68:W68)))</f>
        <v>0</v>
      </c>
      <c r="Y68" s="1101">
        <f>IF($BI68=0,0,IF(SUM($U68:X68)&lt;($L68-12),12,$L68-SUM($U68:X68)))</f>
        <v>0</v>
      </c>
      <c r="AA68" s="1100"/>
      <c r="AB68" s="1100"/>
      <c r="AC68" s="1100">
        <f>'ANSP Capex'!AA64</f>
        <v>0</v>
      </c>
      <c r="AD68" s="1101">
        <f>IF($BJ68=0,0,IF(SUM($AA68:AC68)&lt;($L68-12),12,$L68-SUM($AA68:AC68)))</f>
        <v>0</v>
      </c>
      <c r="AE68" s="1101">
        <f>IF($BJ68=0,0,IF(SUM($AA68:AD68)&lt;($L68-12),12,$L68-SUM($AA68:AD68)))</f>
        <v>0</v>
      </c>
      <c r="AG68" s="1100"/>
      <c r="AH68" s="1100"/>
      <c r="AI68" s="1100"/>
      <c r="AJ68" s="1100">
        <f>'ANSP Capex'!AH64</f>
        <v>0</v>
      </c>
      <c r="AK68" s="1101">
        <f>IF($BK68=0,0,IF(SUM($AG68:AJ68)&lt;($L68-12),12,$L68-SUM($AG68:AJ68)))</f>
        <v>0</v>
      </c>
      <c r="AM68" s="1100"/>
      <c r="AN68" s="1100"/>
      <c r="AO68" s="1100"/>
      <c r="AP68" s="1100"/>
      <c r="AQ68" s="1100">
        <f>'ANSP Capex'!AO64</f>
        <v>0</v>
      </c>
      <c r="AS68" s="153">
        <f t="shared" si="3"/>
        <v>0.50000377750106628</v>
      </c>
      <c r="AT68" s="153">
        <f t="shared" si="4"/>
        <v>0</v>
      </c>
      <c r="AU68" s="153">
        <f t="shared" si="5"/>
        <v>0</v>
      </c>
      <c r="AV68" s="153">
        <f t="shared" si="6"/>
        <v>0</v>
      </c>
      <c r="AW68" s="153">
        <f t="shared" si="7"/>
        <v>0</v>
      </c>
      <c r="AX68" s="153"/>
      <c r="AY68" s="1543">
        <f>'ANSP Capex'!AW64</f>
        <v>0.5</v>
      </c>
      <c r="AZ68" s="1102"/>
      <c r="BA68" s="1543">
        <f>'ANSP Capex'!AY64</f>
        <v>0.5</v>
      </c>
      <c r="BC68" s="1126"/>
      <c r="BD68" s="1126"/>
      <c r="BE68" s="1126"/>
      <c r="BF68" s="1126"/>
      <c r="BG68" s="1126"/>
      <c r="BH68" s="1126">
        <f>'ANSP Capex'!BF64*IF($I68="",(1+INDEX($I$41:$I$42,MATCH($F68,$F$41:$F$42,0))),(1+$I68))</f>
        <v>43.679670000000002</v>
      </c>
      <c r="BI68" s="1126">
        <f>'ANSP Capex'!BG64*IF($I68="",(1+INDEX($I$41:$I$42,MATCH($F68,$F$41:$F$42,0))),(1+$I68))</f>
        <v>0</v>
      </c>
      <c r="BJ68" s="1126">
        <f>'ANSP Capex'!BH64*IF($I68="",(1+INDEX($I$41:$I$42,MATCH($F68,$F$41:$F$42,0))),(1+$I68))</f>
        <v>0</v>
      </c>
      <c r="BK68" s="1126">
        <f>'ANSP Capex'!BI64*IF($I68="",(1+INDEX($I$41:$I$42,MATCH($F68,$F$41:$F$42,0))),(1+$I68))</f>
        <v>0</v>
      </c>
      <c r="BL68" s="1126">
        <f>'ANSP Capex'!BJ64*IF($I68="",(1+INDEX($I$41:$I$42,MATCH($F68,$F$41:$F$42,0))),(1+$I68))</f>
        <v>0</v>
      </c>
    </row>
    <row r="69" spans="1:64" outlineLevel="2">
      <c r="A69" s="1094"/>
      <c r="B69" s="1094"/>
      <c r="C69" s="1083" t="str">
        <f>'ANSP Capex'!C65</f>
        <v>S025 MICROSOFT SQL SERVER - HQ</v>
      </c>
      <c r="D69" s="1083" t="str">
        <f>'ANSP Capex'!D65</f>
        <v>IT Network</v>
      </c>
      <c r="E69" s="1083" t="str">
        <f>'ANSP Capex'!E65</f>
        <v>S0250002</v>
      </c>
      <c r="F69" s="1083">
        <f>'ANSP Capex'!F65</f>
        <v>2020</v>
      </c>
      <c r="G69" s="1101">
        <f t="shared" si="0"/>
        <v>23.65869</v>
      </c>
      <c r="H69" s="1083" t="str">
        <f>'ANSP Capex'!H65</f>
        <v>€'000</v>
      </c>
      <c r="I69" s="829"/>
      <c r="J69" s="1097">
        <f>'ANSP Capex'!I65</f>
        <v>3.0833333333333335</v>
      </c>
      <c r="K69" s="1124">
        <v>0</v>
      </c>
      <c r="L69" s="1098">
        <f t="shared" si="1"/>
        <v>37</v>
      </c>
      <c r="M69" s="153">
        <f t="shared" si="2"/>
        <v>0.32432432432432429</v>
      </c>
      <c r="N69" s="1099"/>
      <c r="O69" s="1100">
        <f>'ANSP Capex'!M65</f>
        <v>5.1389214702927335</v>
      </c>
      <c r="P69" s="1101">
        <f>IF($BH69=0,0,IF(SUM($O69:O69)&lt;($L69-12),12,$L69-SUM($O69:O69)))</f>
        <v>12</v>
      </c>
      <c r="Q69" s="1101">
        <f>IF($BH69=0,0,IF(SUM($O69:P69)&lt;($L69-12),12,$L69-SUM($O69:P69)))</f>
        <v>12</v>
      </c>
      <c r="R69" s="1101">
        <f>IF($BH69=0,0,IF(SUM($O69:Q69)&lt;($L69-12),12,$L69-SUM($O69:Q69)))</f>
        <v>7.8610785297072674</v>
      </c>
      <c r="S69" s="1101">
        <f>IF($BH69=0,0,IF(SUM($O69:R69)&lt;($L69-12),12,$L69-SUM($O69:R69)))</f>
        <v>0</v>
      </c>
      <c r="U69" s="1100"/>
      <c r="V69" s="1100">
        <f>'ANSP Capex'!T65</f>
        <v>0</v>
      </c>
      <c r="W69" s="1101">
        <f>IF($BI69=0,0,IF(SUM($U69:V69)&lt;($L69-12),12,$L69-SUM($U69:V69)))</f>
        <v>0</v>
      </c>
      <c r="X69" s="1101">
        <f>IF($BI69=0,0,IF(SUM($U69:W69)&lt;($L69-12),12,$L69-SUM($U69:W69)))</f>
        <v>0</v>
      </c>
      <c r="Y69" s="1101">
        <f>IF($BI69=0,0,IF(SUM($U69:X69)&lt;($L69-12),12,$L69-SUM($U69:X69)))</f>
        <v>0</v>
      </c>
      <c r="AA69" s="1100"/>
      <c r="AB69" s="1100"/>
      <c r="AC69" s="1100">
        <f>'ANSP Capex'!AA65</f>
        <v>0</v>
      </c>
      <c r="AD69" s="1101">
        <f>IF($BJ69=0,0,IF(SUM($AA69:AC69)&lt;($L69-12),12,$L69-SUM($AA69:AC69)))</f>
        <v>0</v>
      </c>
      <c r="AE69" s="1101">
        <f>IF($BJ69=0,0,IF(SUM($AA69:AD69)&lt;($L69-12),12,$L69-SUM($AA69:AD69)))</f>
        <v>0</v>
      </c>
      <c r="AG69" s="1100"/>
      <c r="AH69" s="1100"/>
      <c r="AI69" s="1100"/>
      <c r="AJ69" s="1100">
        <f>'ANSP Capex'!AH65</f>
        <v>0</v>
      </c>
      <c r="AK69" s="1101">
        <f>IF($BK69=0,0,IF(SUM($AG69:AJ69)&lt;($L69-12),12,$L69-SUM($AG69:AJ69)))</f>
        <v>0</v>
      </c>
      <c r="AM69" s="1100"/>
      <c r="AN69" s="1100"/>
      <c r="AO69" s="1100"/>
      <c r="AP69" s="1100"/>
      <c r="AQ69" s="1100">
        <f>'ANSP Capex'!AO65</f>
        <v>0</v>
      </c>
      <c r="AS69" s="153">
        <f t="shared" si="3"/>
        <v>0.42824345585772777</v>
      </c>
      <c r="AT69" s="153">
        <f t="shared" si="4"/>
        <v>0</v>
      </c>
      <c r="AU69" s="153">
        <f t="shared" si="5"/>
        <v>0</v>
      </c>
      <c r="AV69" s="153">
        <f t="shared" si="6"/>
        <v>0</v>
      </c>
      <c r="AW69" s="153">
        <f t="shared" si="7"/>
        <v>0</v>
      </c>
      <c r="AX69" s="153"/>
      <c r="AY69" s="1543">
        <f>'ANSP Capex'!AW65</f>
        <v>0.73</v>
      </c>
      <c r="AZ69" s="1102"/>
      <c r="BA69" s="1543">
        <f>'ANSP Capex'!AY65</f>
        <v>0.15</v>
      </c>
      <c r="BC69" s="1126"/>
      <c r="BD69" s="1126"/>
      <c r="BE69" s="1126"/>
      <c r="BF69" s="1126"/>
      <c r="BG69" s="1126"/>
      <c r="BH69" s="1126">
        <f>'ANSP Capex'!BF65*IF($I69="",(1+INDEX($I$41:$I$42,MATCH($F69,$F$41:$F$42,0))),(1+$I69))</f>
        <v>23.65869</v>
      </c>
      <c r="BI69" s="1126">
        <f>'ANSP Capex'!BG65*IF($I69="",(1+INDEX($I$41:$I$42,MATCH($F69,$F$41:$F$42,0))),(1+$I69))</f>
        <v>0</v>
      </c>
      <c r="BJ69" s="1126">
        <f>'ANSP Capex'!BH65*IF($I69="",(1+INDEX($I$41:$I$42,MATCH($F69,$F$41:$F$42,0))),(1+$I69))</f>
        <v>0</v>
      </c>
      <c r="BK69" s="1126">
        <f>'ANSP Capex'!BI65*IF($I69="",(1+INDEX($I$41:$I$42,MATCH($F69,$F$41:$F$42,0))),(1+$I69))</f>
        <v>0</v>
      </c>
      <c r="BL69" s="1126">
        <f>'ANSP Capex'!BJ65*IF($I69="",(1+INDEX($I$41:$I$42,MATCH($F69,$F$41:$F$42,0))),(1+$I69))</f>
        <v>0</v>
      </c>
    </row>
    <row r="70" spans="1:64" outlineLevel="2">
      <c r="A70" s="1094"/>
      <c r="B70" s="1094"/>
      <c r="C70" s="1083" t="str">
        <f>'ANSP Capex'!C66</f>
        <v>S025 DATACENTRE LICENSES - HQ</v>
      </c>
      <c r="D70" s="1083" t="str">
        <f>'ANSP Capex'!D66</f>
        <v>IT Network</v>
      </c>
      <c r="E70" s="1083" t="str">
        <f>'ANSP Capex'!E66</f>
        <v>S0250004</v>
      </c>
      <c r="F70" s="1083">
        <f>'ANSP Capex'!F66</f>
        <v>2020</v>
      </c>
      <c r="G70" s="1101">
        <f t="shared" si="0"/>
        <v>19.861369999999997</v>
      </c>
      <c r="H70" s="1083" t="str">
        <f>'ANSP Capex'!H66</f>
        <v>€'000</v>
      </c>
      <c r="I70" s="829"/>
      <c r="J70" s="1097">
        <f>'ANSP Capex'!I66</f>
        <v>3</v>
      </c>
      <c r="K70" s="1124">
        <v>0</v>
      </c>
      <c r="L70" s="1098">
        <f t="shared" si="1"/>
        <v>36</v>
      </c>
      <c r="M70" s="153">
        <f t="shared" si="2"/>
        <v>0.33333333333333331</v>
      </c>
      <c r="N70" s="1099"/>
      <c r="O70" s="1100">
        <f>'ANSP Capex'!M66</f>
        <v>3.999983888321903</v>
      </c>
      <c r="P70" s="1101">
        <f>IF($BH70=0,0,IF(SUM($O70:O70)&lt;($L70-12),12,$L70-SUM($O70:O70)))</f>
        <v>12</v>
      </c>
      <c r="Q70" s="1101">
        <f>IF($BH70=0,0,IF(SUM($O70:P70)&lt;($L70-12),12,$L70-SUM($O70:P70)))</f>
        <v>12</v>
      </c>
      <c r="R70" s="1101">
        <f>IF($BH70=0,0,IF(SUM($O70:Q70)&lt;($L70-12),12,$L70-SUM($O70:Q70)))</f>
        <v>8.0000161116780966</v>
      </c>
      <c r="S70" s="1101">
        <f>IF($BH70=0,0,IF(SUM($O70:R70)&lt;($L70-12),12,$L70-SUM($O70:R70)))</f>
        <v>0</v>
      </c>
      <c r="U70" s="1100"/>
      <c r="V70" s="1100">
        <f>'ANSP Capex'!T66</f>
        <v>0</v>
      </c>
      <c r="W70" s="1101">
        <f>IF($BI70=0,0,IF(SUM($U70:V70)&lt;($L70-12),12,$L70-SUM($U70:V70)))</f>
        <v>0</v>
      </c>
      <c r="X70" s="1101">
        <f>IF($BI70=0,0,IF(SUM($U70:W70)&lt;($L70-12),12,$L70-SUM($U70:W70)))</f>
        <v>0</v>
      </c>
      <c r="Y70" s="1101">
        <f>IF($BI70=0,0,IF(SUM($U70:X70)&lt;($L70-12),12,$L70-SUM($U70:X70)))</f>
        <v>0</v>
      </c>
      <c r="AA70" s="1100"/>
      <c r="AB70" s="1100"/>
      <c r="AC70" s="1100">
        <f>'ANSP Capex'!AA66</f>
        <v>0</v>
      </c>
      <c r="AD70" s="1101">
        <f>IF($BJ70=0,0,IF(SUM($AA70:AC70)&lt;($L70-12),12,$L70-SUM($AA70:AC70)))</f>
        <v>0</v>
      </c>
      <c r="AE70" s="1101">
        <f>IF($BJ70=0,0,IF(SUM($AA70:AD70)&lt;($L70-12),12,$L70-SUM($AA70:AD70)))</f>
        <v>0</v>
      </c>
      <c r="AG70" s="1100"/>
      <c r="AH70" s="1100"/>
      <c r="AI70" s="1100"/>
      <c r="AJ70" s="1100">
        <f>'ANSP Capex'!AH66</f>
        <v>0</v>
      </c>
      <c r="AK70" s="1101">
        <f>IF($BK70=0,0,IF(SUM($AG70:AJ70)&lt;($L70-12),12,$L70-SUM($AG70:AJ70)))</f>
        <v>0</v>
      </c>
      <c r="AM70" s="1100"/>
      <c r="AN70" s="1100"/>
      <c r="AO70" s="1100"/>
      <c r="AP70" s="1100"/>
      <c r="AQ70" s="1100">
        <f>'ANSP Capex'!AO66</f>
        <v>0</v>
      </c>
      <c r="AS70" s="153">
        <f t="shared" si="3"/>
        <v>0.3333319906934919</v>
      </c>
      <c r="AT70" s="153">
        <f t="shared" si="4"/>
        <v>0</v>
      </c>
      <c r="AU70" s="153">
        <f t="shared" si="5"/>
        <v>0</v>
      </c>
      <c r="AV70" s="153">
        <f t="shared" si="6"/>
        <v>0</v>
      </c>
      <c r="AW70" s="153">
        <f t="shared" si="7"/>
        <v>0</v>
      </c>
      <c r="AX70" s="153"/>
      <c r="AY70" s="1543">
        <f>'ANSP Capex'!AW66</f>
        <v>0.73</v>
      </c>
      <c r="AZ70" s="1102"/>
      <c r="BA70" s="1543">
        <f>'ANSP Capex'!AY66</f>
        <v>0.15</v>
      </c>
      <c r="BC70" s="1126"/>
      <c r="BD70" s="1126"/>
      <c r="BE70" s="1126"/>
      <c r="BF70" s="1126"/>
      <c r="BG70" s="1126"/>
      <c r="BH70" s="1126">
        <f>'ANSP Capex'!BF66*IF($I70="",(1+INDEX($I$41:$I$42,MATCH($F70,$F$41:$F$42,0))),(1+$I70))</f>
        <v>19.861369999999997</v>
      </c>
      <c r="BI70" s="1126">
        <f>'ANSP Capex'!BG66*IF($I70="",(1+INDEX($I$41:$I$42,MATCH($F70,$F$41:$F$42,0))),(1+$I70))</f>
        <v>0</v>
      </c>
      <c r="BJ70" s="1126">
        <f>'ANSP Capex'!BH66*IF($I70="",(1+INDEX($I$41:$I$42,MATCH($F70,$F$41:$F$42,0))),(1+$I70))</f>
        <v>0</v>
      </c>
      <c r="BK70" s="1126">
        <f>'ANSP Capex'!BI66*IF($I70="",(1+INDEX($I$41:$I$42,MATCH($F70,$F$41:$F$42,0))),(1+$I70))</f>
        <v>0</v>
      </c>
      <c r="BL70" s="1126">
        <f>'ANSP Capex'!BJ66*IF($I70="",(1+INDEX($I$41:$I$42,MATCH($F70,$F$41:$F$42,0))),(1+$I70))</f>
        <v>0</v>
      </c>
    </row>
    <row r="71" spans="1:64" outlineLevel="2">
      <c r="A71" s="1094"/>
      <c r="B71" s="1094"/>
      <c r="C71" s="1083" t="str">
        <f>'ANSP Capex'!C67</f>
        <v>S025 SUPPORT VMWARE VS 7 - HQ</v>
      </c>
      <c r="D71" s="1083" t="str">
        <f>'ANSP Capex'!D67</f>
        <v>IT Network</v>
      </c>
      <c r="E71" s="1083" t="str">
        <f>'ANSP Capex'!E67</f>
        <v>S0250006</v>
      </c>
      <c r="F71" s="1083">
        <f>'ANSP Capex'!F67</f>
        <v>2020</v>
      </c>
      <c r="G71" s="1101">
        <f t="shared" si="0"/>
        <v>6.7678199999999995</v>
      </c>
      <c r="H71" s="1083" t="str">
        <f>'ANSP Capex'!H67</f>
        <v>€'000</v>
      </c>
      <c r="I71" s="829"/>
      <c r="J71" s="1097">
        <f>'ANSP Capex'!I67</f>
        <v>3.0833333333333335</v>
      </c>
      <c r="K71" s="1124">
        <v>0</v>
      </c>
      <c r="L71" s="1098">
        <f t="shared" si="1"/>
        <v>37</v>
      </c>
      <c r="M71" s="153">
        <f t="shared" si="2"/>
        <v>0.32432432432432429</v>
      </c>
      <c r="N71" s="1099"/>
      <c r="O71" s="1100">
        <f>'ANSP Capex'!M67</f>
        <v>1.0278051130201453</v>
      </c>
      <c r="P71" s="1101">
        <f>IF($BH71=0,0,IF(SUM($O71:O71)&lt;($L71-12),12,$L71-SUM($O71:O71)))</f>
        <v>12</v>
      </c>
      <c r="Q71" s="1101">
        <f>IF($BH71=0,0,IF(SUM($O71:P71)&lt;($L71-12),12,$L71-SUM($O71:P71)))</f>
        <v>12</v>
      </c>
      <c r="R71" s="1101">
        <f>IF($BH71=0,0,IF(SUM($O71:Q71)&lt;($L71-12),12,$L71-SUM($O71:Q71)))</f>
        <v>11.972194886979857</v>
      </c>
      <c r="S71" s="1101">
        <f>IF($BH71=0,0,IF(SUM($O71:R71)&lt;($L71-12),12,$L71-SUM($O71:R71)))</f>
        <v>0</v>
      </c>
      <c r="U71" s="1100"/>
      <c r="V71" s="1100">
        <f>'ANSP Capex'!T67</f>
        <v>0</v>
      </c>
      <c r="W71" s="1101">
        <f>IF($BI71=0,0,IF(SUM($U71:V71)&lt;($L71-12),12,$L71-SUM($U71:V71)))</f>
        <v>0</v>
      </c>
      <c r="X71" s="1101">
        <f>IF($BI71=0,0,IF(SUM($U71:W71)&lt;($L71-12),12,$L71-SUM($U71:W71)))</f>
        <v>0</v>
      </c>
      <c r="Y71" s="1101">
        <f>IF($BI71=0,0,IF(SUM($U71:X71)&lt;($L71-12),12,$L71-SUM($U71:X71)))</f>
        <v>0</v>
      </c>
      <c r="AA71" s="1100"/>
      <c r="AB71" s="1100"/>
      <c r="AC71" s="1100">
        <f>'ANSP Capex'!AA67</f>
        <v>0</v>
      </c>
      <c r="AD71" s="1101">
        <f>IF($BJ71=0,0,IF(SUM($AA71:AC71)&lt;($L71-12),12,$L71-SUM($AA71:AC71)))</f>
        <v>0</v>
      </c>
      <c r="AE71" s="1101">
        <f>IF($BJ71=0,0,IF(SUM($AA71:AD71)&lt;($L71-12),12,$L71-SUM($AA71:AD71)))</f>
        <v>0</v>
      </c>
      <c r="AG71" s="1100"/>
      <c r="AH71" s="1100"/>
      <c r="AI71" s="1100"/>
      <c r="AJ71" s="1100">
        <f>'ANSP Capex'!AH67</f>
        <v>0</v>
      </c>
      <c r="AK71" s="1101">
        <f>IF($BK71=0,0,IF(SUM($AG71:AJ71)&lt;($L71-12),12,$L71-SUM($AG71:AJ71)))</f>
        <v>0</v>
      </c>
      <c r="AM71" s="1100"/>
      <c r="AN71" s="1100"/>
      <c r="AO71" s="1100"/>
      <c r="AP71" s="1100"/>
      <c r="AQ71" s="1100">
        <f>'ANSP Capex'!AO67</f>
        <v>0</v>
      </c>
      <c r="AS71" s="153">
        <f t="shared" si="3"/>
        <v>8.565042608501211E-2</v>
      </c>
      <c r="AT71" s="153">
        <f t="shared" si="4"/>
        <v>0</v>
      </c>
      <c r="AU71" s="153">
        <f t="shared" si="5"/>
        <v>0</v>
      </c>
      <c r="AV71" s="153">
        <f t="shared" si="6"/>
        <v>0</v>
      </c>
      <c r="AW71" s="153">
        <f t="shared" si="7"/>
        <v>0</v>
      </c>
      <c r="AX71" s="153"/>
      <c r="AY71" s="1543">
        <f>'ANSP Capex'!AW67</f>
        <v>0.73</v>
      </c>
      <c r="AZ71" s="1102"/>
      <c r="BA71" s="1543">
        <f>'ANSP Capex'!AY67</f>
        <v>0.15</v>
      </c>
      <c r="BC71" s="1126"/>
      <c r="BD71" s="1126"/>
      <c r="BE71" s="1126"/>
      <c r="BF71" s="1126"/>
      <c r="BG71" s="1126"/>
      <c r="BH71" s="1126">
        <f>'ANSP Capex'!BF67*IF($I71="",(1+INDEX($I$41:$I$42,MATCH($F71,$F$41:$F$42,0))),(1+$I71))</f>
        <v>6.7678199999999995</v>
      </c>
      <c r="BI71" s="1126">
        <f>'ANSP Capex'!BG67*IF($I71="",(1+INDEX($I$41:$I$42,MATCH($F71,$F$41:$F$42,0))),(1+$I71))</f>
        <v>0</v>
      </c>
      <c r="BJ71" s="1126">
        <f>'ANSP Capex'!BH67*IF($I71="",(1+INDEX($I$41:$I$42,MATCH($F71,$F$41:$F$42,0))),(1+$I71))</f>
        <v>0</v>
      </c>
      <c r="BK71" s="1126">
        <f>'ANSP Capex'!BI67*IF($I71="",(1+INDEX($I$41:$I$42,MATCH($F71,$F$41:$F$42,0))),(1+$I71))</f>
        <v>0</v>
      </c>
      <c r="BL71" s="1126">
        <f>'ANSP Capex'!BJ67*IF($I71="",(1+INDEX($I$41:$I$42,MATCH($F71,$F$41:$F$42,0))),(1+$I71))</f>
        <v>0</v>
      </c>
    </row>
    <row r="72" spans="1:64" outlineLevel="2">
      <c r="A72" s="1094"/>
      <c r="B72" s="1094"/>
      <c r="C72" s="1083" t="str">
        <f>'ANSP Capex'!C68</f>
        <v>S025 MICROSOFT SQL SERVER -BCY</v>
      </c>
      <c r="D72" s="1083" t="str">
        <f>'ANSP Capex'!D68</f>
        <v>IT Network</v>
      </c>
      <c r="E72" s="1083" t="str">
        <f>'ANSP Capex'!E68</f>
        <v>S0250003</v>
      </c>
      <c r="F72" s="1083">
        <f>'ANSP Capex'!F68</f>
        <v>2020</v>
      </c>
      <c r="G72" s="1101">
        <f t="shared" si="0"/>
        <v>45.872019999999999</v>
      </c>
      <c r="H72" s="1083" t="str">
        <f>'ANSP Capex'!H68</f>
        <v>€'000</v>
      </c>
      <c r="I72" s="829"/>
      <c r="J72" s="1097">
        <f>'ANSP Capex'!I68</f>
        <v>3.0833333333333335</v>
      </c>
      <c r="K72" s="1124">
        <v>0</v>
      </c>
      <c r="L72" s="1098">
        <f t="shared" si="1"/>
        <v>37</v>
      </c>
      <c r="M72" s="153">
        <f t="shared" si="2"/>
        <v>0.32432432432432429</v>
      </c>
      <c r="N72" s="1099"/>
      <c r="O72" s="1100">
        <f>'ANSP Capex'!M68</f>
        <v>5.1388776862235419</v>
      </c>
      <c r="P72" s="1101">
        <f>IF($BH72=0,0,IF(SUM($O72:O72)&lt;($L72-12),12,$L72-SUM($O72:O72)))</f>
        <v>12</v>
      </c>
      <c r="Q72" s="1101">
        <f>IF($BH72=0,0,IF(SUM($O72:P72)&lt;($L72-12),12,$L72-SUM($O72:P72)))</f>
        <v>12</v>
      </c>
      <c r="R72" s="1101">
        <f>IF($BH72=0,0,IF(SUM($O72:Q72)&lt;($L72-12),12,$L72-SUM($O72:Q72)))</f>
        <v>7.861122313776459</v>
      </c>
      <c r="S72" s="1101">
        <f>IF($BH72=0,0,IF(SUM($O72:R72)&lt;($L72-12),12,$L72-SUM($O72:R72)))</f>
        <v>0</v>
      </c>
      <c r="U72" s="1100"/>
      <c r="V72" s="1100">
        <f>'ANSP Capex'!T68</f>
        <v>0</v>
      </c>
      <c r="W72" s="1101">
        <f>IF($BI72=0,0,IF(SUM($U72:V72)&lt;($L72-12),12,$L72-SUM($U72:V72)))</f>
        <v>0</v>
      </c>
      <c r="X72" s="1101">
        <f>IF($BI72=0,0,IF(SUM($U72:W72)&lt;($L72-12),12,$L72-SUM($U72:W72)))</f>
        <v>0</v>
      </c>
      <c r="Y72" s="1101">
        <f>IF($BI72=0,0,IF(SUM($U72:X72)&lt;($L72-12),12,$L72-SUM($U72:X72)))</f>
        <v>0</v>
      </c>
      <c r="AA72" s="1100"/>
      <c r="AB72" s="1100"/>
      <c r="AC72" s="1100">
        <f>'ANSP Capex'!AA68</f>
        <v>0</v>
      </c>
      <c r="AD72" s="1101">
        <f>IF($BJ72=0,0,IF(SUM($AA72:AC72)&lt;($L72-12),12,$L72-SUM($AA72:AC72)))</f>
        <v>0</v>
      </c>
      <c r="AE72" s="1101">
        <f>IF($BJ72=0,0,IF(SUM($AA72:AD72)&lt;($L72-12),12,$L72-SUM($AA72:AD72)))</f>
        <v>0</v>
      </c>
      <c r="AG72" s="1100"/>
      <c r="AH72" s="1100"/>
      <c r="AI72" s="1100"/>
      <c r="AJ72" s="1100">
        <f>'ANSP Capex'!AH68</f>
        <v>0</v>
      </c>
      <c r="AK72" s="1101">
        <f>IF($BK72=0,0,IF(SUM($AG72:AJ72)&lt;($L72-12),12,$L72-SUM($AG72:AJ72)))</f>
        <v>0</v>
      </c>
      <c r="AM72" s="1100"/>
      <c r="AN72" s="1100"/>
      <c r="AO72" s="1100"/>
      <c r="AP72" s="1100"/>
      <c r="AQ72" s="1100">
        <f>'ANSP Capex'!AO68</f>
        <v>0</v>
      </c>
      <c r="AS72" s="153">
        <f t="shared" si="3"/>
        <v>0.42823980718529514</v>
      </c>
      <c r="AT72" s="153">
        <f t="shared" si="4"/>
        <v>0</v>
      </c>
      <c r="AU72" s="153">
        <f t="shared" si="5"/>
        <v>0</v>
      </c>
      <c r="AV72" s="153">
        <f t="shared" si="6"/>
        <v>0</v>
      </c>
      <c r="AW72" s="153">
        <f t="shared" si="7"/>
        <v>0</v>
      </c>
      <c r="AX72" s="153"/>
      <c r="AY72" s="1543">
        <f>'ANSP Capex'!AW68</f>
        <v>0.75</v>
      </c>
      <c r="AZ72" s="1102"/>
      <c r="BA72" s="1543">
        <f>'ANSP Capex'!AY68</f>
        <v>0.25</v>
      </c>
      <c r="BC72" s="1126"/>
      <c r="BD72" s="1126"/>
      <c r="BE72" s="1126"/>
      <c r="BF72" s="1126"/>
      <c r="BG72" s="1126"/>
      <c r="BH72" s="1126">
        <f>'ANSP Capex'!BF68*IF($I72="",(1+INDEX($I$41:$I$42,MATCH($F72,$F$41:$F$42,0))),(1+$I72))</f>
        <v>45.872019999999999</v>
      </c>
      <c r="BI72" s="1126">
        <f>'ANSP Capex'!BG68*IF($I72="",(1+INDEX($I$41:$I$42,MATCH($F72,$F$41:$F$42,0))),(1+$I72))</f>
        <v>0</v>
      </c>
      <c r="BJ72" s="1126">
        <f>'ANSP Capex'!BH68*IF($I72="",(1+INDEX($I$41:$I$42,MATCH($F72,$F$41:$F$42,0))),(1+$I72))</f>
        <v>0</v>
      </c>
      <c r="BK72" s="1126">
        <f>'ANSP Capex'!BI68*IF($I72="",(1+INDEX($I$41:$I$42,MATCH($F72,$F$41:$F$42,0))),(1+$I72))</f>
        <v>0</v>
      </c>
      <c r="BL72" s="1126">
        <f>'ANSP Capex'!BJ68*IF($I72="",(1+INDEX($I$41:$I$42,MATCH($F72,$F$41:$F$42,0))),(1+$I72))</f>
        <v>0</v>
      </c>
    </row>
    <row r="73" spans="1:64" outlineLevel="2">
      <c r="A73" s="1094"/>
      <c r="B73" s="1094"/>
      <c r="C73" s="1083" t="str">
        <f>'ANSP Capex'!C69</f>
        <v>S025 DATACENTRE LICENSES - BCY</v>
      </c>
      <c r="D73" s="1083" t="str">
        <f>'ANSP Capex'!D69</f>
        <v>IT Network</v>
      </c>
      <c r="E73" s="1083" t="str">
        <f>'ANSP Capex'!E69</f>
        <v>S0250005</v>
      </c>
      <c r="F73" s="1083">
        <f>'ANSP Capex'!F69</f>
        <v>2020</v>
      </c>
      <c r="G73" s="1101">
        <f t="shared" si="0"/>
        <v>38.509370000000004</v>
      </c>
      <c r="H73" s="1083" t="str">
        <f>'ANSP Capex'!H69</f>
        <v>€'000</v>
      </c>
      <c r="I73" s="829"/>
      <c r="J73" s="1097">
        <f>'ANSP Capex'!I69</f>
        <v>3</v>
      </c>
      <c r="K73" s="1124">
        <v>0</v>
      </c>
      <c r="L73" s="1098">
        <f t="shared" si="1"/>
        <v>36</v>
      </c>
      <c r="M73" s="153">
        <f t="shared" si="2"/>
        <v>0.33333333333333331</v>
      </c>
      <c r="N73" s="1099"/>
      <c r="O73" s="1100">
        <f>'ANSP Capex'!M69</f>
        <v>3.9999916903340669</v>
      </c>
      <c r="P73" s="1101">
        <f>IF($BH73=0,0,IF(SUM($O73:O73)&lt;($L73-12),12,$L73-SUM($O73:O73)))</f>
        <v>12</v>
      </c>
      <c r="Q73" s="1101">
        <f>IF($BH73=0,0,IF(SUM($O73:P73)&lt;($L73-12),12,$L73-SUM($O73:P73)))</f>
        <v>12</v>
      </c>
      <c r="R73" s="1101">
        <f>IF($BH73=0,0,IF(SUM($O73:Q73)&lt;($L73-12),12,$L73-SUM($O73:Q73)))</f>
        <v>8.0000083096659331</v>
      </c>
      <c r="S73" s="1101">
        <f>IF($BH73=0,0,IF(SUM($O73:R73)&lt;($L73-12),12,$L73-SUM($O73:R73)))</f>
        <v>0</v>
      </c>
      <c r="U73" s="1100"/>
      <c r="V73" s="1100">
        <f>'ANSP Capex'!T69</f>
        <v>0</v>
      </c>
      <c r="W73" s="1101">
        <f>IF($BI73=0,0,IF(SUM($U73:V73)&lt;($L73-12),12,$L73-SUM($U73:V73)))</f>
        <v>0</v>
      </c>
      <c r="X73" s="1101">
        <f>IF($BI73=0,0,IF(SUM($U73:W73)&lt;($L73-12),12,$L73-SUM($U73:W73)))</f>
        <v>0</v>
      </c>
      <c r="Y73" s="1101">
        <f>IF($BI73=0,0,IF(SUM($U73:X73)&lt;($L73-12),12,$L73-SUM($U73:X73)))</f>
        <v>0</v>
      </c>
      <c r="AA73" s="1100"/>
      <c r="AB73" s="1100"/>
      <c r="AC73" s="1100">
        <f>'ANSP Capex'!AA69</f>
        <v>0</v>
      </c>
      <c r="AD73" s="1101">
        <f>IF($BJ73=0,0,IF(SUM($AA73:AC73)&lt;($L73-12),12,$L73-SUM($AA73:AC73)))</f>
        <v>0</v>
      </c>
      <c r="AE73" s="1101">
        <f>IF($BJ73=0,0,IF(SUM($AA73:AD73)&lt;($L73-12),12,$L73-SUM($AA73:AD73)))</f>
        <v>0</v>
      </c>
      <c r="AG73" s="1100"/>
      <c r="AH73" s="1100"/>
      <c r="AI73" s="1100"/>
      <c r="AJ73" s="1100">
        <f>'ANSP Capex'!AH69</f>
        <v>0</v>
      </c>
      <c r="AK73" s="1101">
        <f>IF($BK73=0,0,IF(SUM($AG73:AJ73)&lt;($L73-12),12,$L73-SUM($AG73:AJ73)))</f>
        <v>0</v>
      </c>
      <c r="AM73" s="1100"/>
      <c r="AN73" s="1100"/>
      <c r="AO73" s="1100"/>
      <c r="AP73" s="1100"/>
      <c r="AQ73" s="1100">
        <f>'ANSP Capex'!AO69</f>
        <v>0</v>
      </c>
      <c r="AS73" s="153">
        <f t="shared" si="3"/>
        <v>0.33333264086117226</v>
      </c>
      <c r="AT73" s="153">
        <f t="shared" si="4"/>
        <v>0</v>
      </c>
      <c r="AU73" s="153">
        <f t="shared" si="5"/>
        <v>0</v>
      </c>
      <c r="AV73" s="153">
        <f t="shared" si="6"/>
        <v>0</v>
      </c>
      <c r="AW73" s="153">
        <f t="shared" si="7"/>
        <v>0</v>
      </c>
      <c r="AX73" s="153"/>
      <c r="AY73" s="1543">
        <f>'ANSP Capex'!AW69</f>
        <v>0.75</v>
      </c>
      <c r="AZ73" s="1102"/>
      <c r="BA73" s="1543">
        <f>'ANSP Capex'!AY69</f>
        <v>0.25</v>
      </c>
      <c r="BC73" s="1126"/>
      <c r="BD73" s="1126"/>
      <c r="BE73" s="1126"/>
      <c r="BF73" s="1126"/>
      <c r="BG73" s="1126"/>
      <c r="BH73" s="1126">
        <f>'ANSP Capex'!BF69*IF($I73="",(1+INDEX($I$41:$I$42,MATCH($F73,$F$41:$F$42,0))),(1+$I73))</f>
        <v>38.509370000000004</v>
      </c>
      <c r="BI73" s="1126">
        <f>'ANSP Capex'!BG69*IF($I73="",(1+INDEX($I$41:$I$42,MATCH($F73,$F$41:$F$42,0))),(1+$I73))</f>
        <v>0</v>
      </c>
      <c r="BJ73" s="1126">
        <f>'ANSP Capex'!BH69*IF($I73="",(1+INDEX($I$41:$I$42,MATCH($F73,$F$41:$F$42,0))),(1+$I73))</f>
        <v>0</v>
      </c>
      <c r="BK73" s="1126">
        <f>'ANSP Capex'!BI69*IF($I73="",(1+INDEX($I$41:$I$42,MATCH($F73,$F$41:$F$42,0))),(1+$I73))</f>
        <v>0</v>
      </c>
      <c r="BL73" s="1126">
        <f>'ANSP Capex'!BJ69*IF($I73="",(1+INDEX($I$41:$I$42,MATCH($F73,$F$41:$F$42,0))),(1+$I73))</f>
        <v>0</v>
      </c>
    </row>
    <row r="74" spans="1:64" outlineLevel="2">
      <c r="A74" s="1094"/>
      <c r="B74" s="1094"/>
      <c r="C74" s="1083" t="str">
        <f>'ANSP Capex'!C70</f>
        <v>S025 SUPPORT VMWARE VS 7 - BCY</v>
      </c>
      <c r="D74" s="1083" t="str">
        <f>'ANSP Capex'!D70</f>
        <v>IT Network</v>
      </c>
      <c r="E74" s="1083" t="str">
        <f>'ANSP Capex'!E70</f>
        <v>S0250007</v>
      </c>
      <c r="F74" s="1083">
        <f>'ANSP Capex'!F70</f>
        <v>2020</v>
      </c>
      <c r="G74" s="1101">
        <f t="shared" si="0"/>
        <v>13.12218</v>
      </c>
      <c r="H74" s="1083" t="str">
        <f>'ANSP Capex'!H70</f>
        <v>€'000</v>
      </c>
      <c r="I74" s="829"/>
      <c r="J74" s="1097">
        <f>'ANSP Capex'!I70</f>
        <v>3.0833333333333335</v>
      </c>
      <c r="K74" s="1124">
        <v>0</v>
      </c>
      <c r="L74" s="1098">
        <f t="shared" si="1"/>
        <v>37</v>
      </c>
      <c r="M74" s="153">
        <f t="shared" si="2"/>
        <v>0.32432432432432429</v>
      </c>
      <c r="N74" s="1099"/>
      <c r="O74" s="1100">
        <f>'ANSP Capex'!M70</f>
        <v>1.0277918760449865</v>
      </c>
      <c r="P74" s="1101">
        <f>IF($BH74=0,0,IF(SUM($O74:O74)&lt;($L74-12),12,$L74-SUM($O74:O74)))</f>
        <v>12</v>
      </c>
      <c r="Q74" s="1101">
        <f>IF($BH74=0,0,IF(SUM($O74:P74)&lt;($L74-12),12,$L74-SUM($O74:P74)))</f>
        <v>12</v>
      </c>
      <c r="R74" s="1101">
        <f>IF($BH74=0,0,IF(SUM($O74:Q74)&lt;($L74-12),12,$L74-SUM($O74:Q74)))</f>
        <v>11.972208123955014</v>
      </c>
      <c r="S74" s="1101">
        <f>IF($BH74=0,0,IF(SUM($O74:R74)&lt;($L74-12),12,$L74-SUM($O74:R74)))</f>
        <v>0</v>
      </c>
      <c r="U74" s="1100"/>
      <c r="V74" s="1100">
        <f>'ANSP Capex'!T70</f>
        <v>0</v>
      </c>
      <c r="W74" s="1101">
        <f>IF($BI74=0,0,IF(SUM($U74:V74)&lt;($L74-12),12,$L74-SUM($U74:V74)))</f>
        <v>0</v>
      </c>
      <c r="X74" s="1101">
        <f>IF($BI74=0,0,IF(SUM($U74:W74)&lt;($L74-12),12,$L74-SUM($U74:W74)))</f>
        <v>0</v>
      </c>
      <c r="Y74" s="1101">
        <f>IF($BI74=0,0,IF(SUM($U74:X74)&lt;($L74-12),12,$L74-SUM($U74:X74)))</f>
        <v>0</v>
      </c>
      <c r="AA74" s="1100"/>
      <c r="AB74" s="1100"/>
      <c r="AC74" s="1100">
        <f>'ANSP Capex'!AA70</f>
        <v>0</v>
      </c>
      <c r="AD74" s="1101">
        <f>IF($BJ74=0,0,IF(SUM($AA74:AC74)&lt;($L74-12),12,$L74-SUM($AA74:AC74)))</f>
        <v>0</v>
      </c>
      <c r="AE74" s="1101">
        <f>IF($BJ74=0,0,IF(SUM($AA74:AD74)&lt;($L74-12),12,$L74-SUM($AA74:AD74)))</f>
        <v>0</v>
      </c>
      <c r="AG74" s="1100"/>
      <c r="AH74" s="1100"/>
      <c r="AI74" s="1100"/>
      <c r="AJ74" s="1100">
        <f>'ANSP Capex'!AH70</f>
        <v>0</v>
      </c>
      <c r="AK74" s="1101">
        <f>IF($BK74=0,0,IF(SUM($AG74:AJ74)&lt;($L74-12),12,$L74-SUM($AG74:AJ74)))</f>
        <v>0</v>
      </c>
      <c r="AM74" s="1100"/>
      <c r="AN74" s="1100"/>
      <c r="AO74" s="1100"/>
      <c r="AP74" s="1100"/>
      <c r="AQ74" s="1100">
        <f>'ANSP Capex'!AO70</f>
        <v>0</v>
      </c>
      <c r="AS74" s="153">
        <f t="shared" si="3"/>
        <v>8.5649323003748876E-2</v>
      </c>
      <c r="AT74" s="153">
        <f t="shared" si="4"/>
        <v>0</v>
      </c>
      <c r="AU74" s="153">
        <f t="shared" si="5"/>
        <v>0</v>
      </c>
      <c r="AV74" s="153">
        <f t="shared" si="6"/>
        <v>0</v>
      </c>
      <c r="AW74" s="153">
        <f t="shared" si="7"/>
        <v>0</v>
      </c>
      <c r="AX74" s="153"/>
      <c r="AY74" s="1543">
        <f>'ANSP Capex'!AW70</f>
        <v>0.75</v>
      </c>
      <c r="AZ74" s="1102"/>
      <c r="BA74" s="1543">
        <f>'ANSP Capex'!AY70</f>
        <v>0.25</v>
      </c>
      <c r="BC74" s="1126"/>
      <c r="BD74" s="1126"/>
      <c r="BE74" s="1126"/>
      <c r="BF74" s="1126"/>
      <c r="BG74" s="1126"/>
      <c r="BH74" s="1126">
        <f>'ANSP Capex'!BF70*IF($I74="",(1+INDEX($I$41:$I$42,MATCH($F74,$F$41:$F$42,0))),(1+$I74))</f>
        <v>13.12218</v>
      </c>
      <c r="BI74" s="1126">
        <f>'ANSP Capex'!BG70*IF($I74="",(1+INDEX($I$41:$I$42,MATCH($F74,$F$41:$F$42,0))),(1+$I74))</f>
        <v>0</v>
      </c>
      <c r="BJ74" s="1126">
        <f>'ANSP Capex'!BH70*IF($I74="",(1+INDEX($I$41:$I$42,MATCH($F74,$F$41:$F$42,0))),(1+$I74))</f>
        <v>0</v>
      </c>
      <c r="BK74" s="1126">
        <f>'ANSP Capex'!BI70*IF($I74="",(1+INDEX($I$41:$I$42,MATCH($F74,$F$41:$F$42,0))),(1+$I74))</f>
        <v>0</v>
      </c>
      <c r="BL74" s="1126">
        <f>'ANSP Capex'!BJ70*IF($I74="",(1+INDEX($I$41:$I$42,MATCH($F74,$F$41:$F$42,0))),(1+$I74))</f>
        <v>0</v>
      </c>
    </row>
    <row r="75" spans="1:64" outlineLevel="2">
      <c r="A75" s="1094"/>
      <c r="B75" s="1094"/>
      <c r="C75" s="1083" t="str">
        <f>'ANSP Capex'!C71</f>
        <v>S024 - AGILE HPE ARUBA BCY</v>
      </c>
      <c r="D75" s="1083" t="str">
        <f>'ANSP Capex'!D71</f>
        <v>AGILE HPE ARUBA</v>
      </c>
      <c r="E75" s="1083" t="str">
        <f>'ANSP Capex'!E71</f>
        <v>S0240005</v>
      </c>
      <c r="F75" s="1083">
        <f>'ANSP Capex'!F71</f>
        <v>2020</v>
      </c>
      <c r="G75" s="1101">
        <f t="shared" si="0"/>
        <v>18.62435</v>
      </c>
      <c r="H75" s="1083" t="str">
        <f>'ANSP Capex'!H71</f>
        <v>€'000</v>
      </c>
      <c r="I75" s="829"/>
      <c r="J75" s="1097">
        <f>'ANSP Capex'!I71</f>
        <v>3</v>
      </c>
      <c r="K75" s="1124">
        <v>0</v>
      </c>
      <c r="L75" s="1098">
        <f t="shared" si="1"/>
        <v>36</v>
      </c>
      <c r="M75" s="153">
        <f t="shared" si="2"/>
        <v>0.33333333333333331</v>
      </c>
      <c r="N75" s="1099"/>
      <c r="O75" s="1100">
        <f>'ANSP Capex'!M71</f>
        <v>6.9999586562752523</v>
      </c>
      <c r="P75" s="1101">
        <f>IF($BH75=0,0,IF(SUM($O75:O75)&lt;($L75-12),12,$L75-SUM($O75:O75)))</f>
        <v>12</v>
      </c>
      <c r="Q75" s="1101">
        <f>IF($BH75=0,0,IF(SUM($O75:P75)&lt;($L75-12),12,$L75-SUM($O75:P75)))</f>
        <v>12</v>
      </c>
      <c r="R75" s="1101">
        <f>IF($BH75=0,0,IF(SUM($O75:Q75)&lt;($L75-12),12,$L75-SUM($O75:Q75)))</f>
        <v>5.000041343724746</v>
      </c>
      <c r="S75" s="1101">
        <f>IF($BH75=0,0,IF(SUM($O75:R75)&lt;($L75-12),12,$L75-SUM($O75:R75)))</f>
        <v>0</v>
      </c>
      <c r="U75" s="1100"/>
      <c r="V75" s="1100">
        <f>'ANSP Capex'!T71</f>
        <v>0</v>
      </c>
      <c r="W75" s="1101">
        <f>IF($BI75=0,0,IF(SUM($U75:V75)&lt;($L75-12),12,$L75-SUM($U75:V75)))</f>
        <v>0</v>
      </c>
      <c r="X75" s="1101">
        <f>IF($BI75=0,0,IF(SUM($U75:W75)&lt;($L75-12),12,$L75-SUM($U75:W75)))</f>
        <v>0</v>
      </c>
      <c r="Y75" s="1101">
        <f>IF($BI75=0,0,IF(SUM($U75:X75)&lt;($L75-12),12,$L75-SUM($U75:X75)))</f>
        <v>0</v>
      </c>
      <c r="AA75" s="1100"/>
      <c r="AB75" s="1100"/>
      <c r="AC75" s="1100">
        <f>'ANSP Capex'!AA71</f>
        <v>0</v>
      </c>
      <c r="AD75" s="1101">
        <f>IF($BJ75=0,0,IF(SUM($AA75:AC75)&lt;($L75-12),12,$L75-SUM($AA75:AC75)))</f>
        <v>0</v>
      </c>
      <c r="AE75" s="1101">
        <f>IF($BJ75=0,0,IF(SUM($AA75:AD75)&lt;($L75-12),12,$L75-SUM($AA75:AD75)))</f>
        <v>0</v>
      </c>
      <c r="AG75" s="1100"/>
      <c r="AH75" s="1100"/>
      <c r="AI75" s="1100"/>
      <c r="AJ75" s="1100">
        <f>'ANSP Capex'!AH71</f>
        <v>0</v>
      </c>
      <c r="AK75" s="1101">
        <f>IF($BK75=0,0,IF(SUM($AG75:AJ75)&lt;($L75-12),12,$L75-SUM($AG75:AJ75)))</f>
        <v>0</v>
      </c>
      <c r="AM75" s="1100"/>
      <c r="AN75" s="1100"/>
      <c r="AO75" s="1100"/>
      <c r="AP75" s="1100"/>
      <c r="AQ75" s="1100">
        <f>'ANSP Capex'!AO71</f>
        <v>0</v>
      </c>
      <c r="AS75" s="153">
        <f t="shared" si="3"/>
        <v>0.58332988802293773</v>
      </c>
      <c r="AT75" s="153">
        <f t="shared" si="4"/>
        <v>0</v>
      </c>
      <c r="AU75" s="153">
        <f t="shared" si="5"/>
        <v>0</v>
      </c>
      <c r="AV75" s="153">
        <f t="shared" si="6"/>
        <v>0</v>
      </c>
      <c r="AW75" s="153">
        <f t="shared" si="7"/>
        <v>0</v>
      </c>
      <c r="AX75" s="153"/>
      <c r="AY75" s="1543">
        <f>'ANSP Capex'!AW71</f>
        <v>1</v>
      </c>
      <c r="AZ75" s="1102"/>
      <c r="BA75" s="1543">
        <f>'ANSP Capex'!AY71</f>
        <v>0</v>
      </c>
      <c r="BC75" s="1126"/>
      <c r="BD75" s="1126"/>
      <c r="BE75" s="1126"/>
      <c r="BF75" s="1126"/>
      <c r="BG75" s="1126"/>
      <c r="BH75" s="1126">
        <f>'ANSP Capex'!BF71*IF($I75="",(1+INDEX($I$41:$I$42,MATCH($F75,$F$41:$F$42,0))),(1+$I75))</f>
        <v>18.62435</v>
      </c>
      <c r="BI75" s="1126">
        <f>'ANSP Capex'!BG71*IF($I75="",(1+INDEX($I$41:$I$42,MATCH($F75,$F$41:$F$42,0))),(1+$I75))</f>
        <v>0</v>
      </c>
      <c r="BJ75" s="1126">
        <f>'ANSP Capex'!BH71*IF($I75="",(1+INDEX($I$41:$I$42,MATCH($F75,$F$41:$F$42,0))),(1+$I75))</f>
        <v>0</v>
      </c>
      <c r="BK75" s="1126">
        <f>'ANSP Capex'!BI71*IF($I75="",(1+INDEX($I$41:$I$42,MATCH($F75,$F$41:$F$42,0))),(1+$I75))</f>
        <v>0</v>
      </c>
      <c r="BL75" s="1126">
        <f>'ANSP Capex'!BJ71*IF($I75="",(1+INDEX($I$41:$I$42,MATCH($F75,$F$41:$F$42,0))),(1+$I75))</f>
        <v>0</v>
      </c>
    </row>
    <row r="76" spans="1:64" outlineLevel="2">
      <c r="A76" s="1094"/>
      <c r="B76" s="1094"/>
      <c r="C76" s="1083" t="str">
        <f>'ANSP Capex'!C72</f>
        <v>S024 - AGILE HPE ARUBA DAP</v>
      </c>
      <c r="D76" s="1083" t="str">
        <f>'ANSP Capex'!D72</f>
        <v>AGILE HPE ARUBA</v>
      </c>
      <c r="E76" s="1083" t="str">
        <f>'ANSP Capex'!E72</f>
        <v>S0240009</v>
      </c>
      <c r="F76" s="1083">
        <f>'ANSP Capex'!F72</f>
        <v>2020</v>
      </c>
      <c r="G76" s="1101">
        <f t="shared" si="0"/>
        <v>23.006550000000001</v>
      </c>
      <c r="H76" s="1083" t="str">
        <f>'ANSP Capex'!H72</f>
        <v>€'000</v>
      </c>
      <c r="I76" s="829"/>
      <c r="J76" s="1097">
        <f>'ANSP Capex'!I72</f>
        <v>3</v>
      </c>
      <c r="K76" s="1124">
        <v>0</v>
      </c>
      <c r="L76" s="1098">
        <f t="shared" si="1"/>
        <v>36</v>
      </c>
      <c r="M76" s="153">
        <f t="shared" si="2"/>
        <v>0.33333333333333331</v>
      </c>
      <c r="N76" s="1099"/>
      <c r="O76" s="1100">
        <f>'ANSP Capex'!M72</f>
        <v>6.9999908721646662</v>
      </c>
      <c r="P76" s="1101">
        <f>IF($BH76=0,0,IF(SUM($O76:O76)&lt;($L76-12),12,$L76-SUM($O76:O76)))</f>
        <v>12</v>
      </c>
      <c r="Q76" s="1101">
        <f>IF($BH76=0,0,IF(SUM($O76:P76)&lt;($L76-12),12,$L76-SUM($O76:P76)))</f>
        <v>12</v>
      </c>
      <c r="R76" s="1101">
        <f>IF($BH76=0,0,IF(SUM($O76:Q76)&lt;($L76-12),12,$L76-SUM($O76:Q76)))</f>
        <v>5.0000091278353338</v>
      </c>
      <c r="S76" s="1101">
        <f>IF($BH76=0,0,IF(SUM($O76:R76)&lt;($L76-12),12,$L76-SUM($O76:R76)))</f>
        <v>0</v>
      </c>
      <c r="U76" s="1100"/>
      <c r="V76" s="1100">
        <f>'ANSP Capex'!T72</f>
        <v>0</v>
      </c>
      <c r="W76" s="1101">
        <f>IF($BI76=0,0,IF(SUM($U76:V76)&lt;($L76-12),12,$L76-SUM($U76:V76)))</f>
        <v>0</v>
      </c>
      <c r="X76" s="1101">
        <f>IF($BI76=0,0,IF(SUM($U76:W76)&lt;($L76-12),12,$L76-SUM($U76:W76)))</f>
        <v>0</v>
      </c>
      <c r="Y76" s="1101">
        <f>IF($BI76=0,0,IF(SUM($U76:X76)&lt;($L76-12),12,$L76-SUM($U76:X76)))</f>
        <v>0</v>
      </c>
      <c r="AA76" s="1100"/>
      <c r="AB76" s="1100"/>
      <c r="AC76" s="1100">
        <f>'ANSP Capex'!AA72</f>
        <v>0</v>
      </c>
      <c r="AD76" s="1101">
        <f>IF($BJ76=0,0,IF(SUM($AA76:AC76)&lt;($L76-12),12,$L76-SUM($AA76:AC76)))</f>
        <v>0</v>
      </c>
      <c r="AE76" s="1101">
        <f>IF($BJ76=0,0,IF(SUM($AA76:AD76)&lt;($L76-12),12,$L76-SUM($AA76:AD76)))</f>
        <v>0</v>
      </c>
      <c r="AG76" s="1100"/>
      <c r="AH76" s="1100"/>
      <c r="AI76" s="1100"/>
      <c r="AJ76" s="1100">
        <f>'ANSP Capex'!AH72</f>
        <v>0</v>
      </c>
      <c r="AK76" s="1101">
        <f>IF($BK76=0,0,IF(SUM($AG76:AJ76)&lt;($L76-12),12,$L76-SUM($AG76:AJ76)))</f>
        <v>0</v>
      </c>
      <c r="AM76" s="1100"/>
      <c r="AN76" s="1100"/>
      <c r="AO76" s="1100"/>
      <c r="AP76" s="1100"/>
      <c r="AQ76" s="1100">
        <f>'ANSP Capex'!AO72</f>
        <v>0</v>
      </c>
      <c r="AS76" s="153">
        <f t="shared" si="3"/>
        <v>0.58333257268038885</v>
      </c>
      <c r="AT76" s="153">
        <f t="shared" si="4"/>
        <v>0</v>
      </c>
      <c r="AU76" s="153">
        <f t="shared" si="5"/>
        <v>0</v>
      </c>
      <c r="AV76" s="153">
        <f t="shared" si="6"/>
        <v>0</v>
      </c>
      <c r="AW76" s="153">
        <f t="shared" si="7"/>
        <v>0</v>
      </c>
      <c r="AX76" s="153"/>
      <c r="AY76" s="1543">
        <f>'ANSP Capex'!AW72</f>
        <v>0.75</v>
      </c>
      <c r="AZ76" s="1102"/>
      <c r="BA76" s="1543">
        <f>'ANSP Capex'!AY72</f>
        <v>0.25</v>
      </c>
      <c r="BC76" s="1126"/>
      <c r="BD76" s="1126"/>
      <c r="BE76" s="1126"/>
      <c r="BF76" s="1126"/>
      <c r="BG76" s="1126"/>
      <c r="BH76" s="1126">
        <f>'ANSP Capex'!BF72*IF($I76="",(1+INDEX($I$41:$I$42,MATCH($F76,$F$41:$F$42,0))),(1+$I76))</f>
        <v>23.006550000000001</v>
      </c>
      <c r="BI76" s="1126">
        <f>'ANSP Capex'!BG72*IF($I76="",(1+INDEX($I$41:$I$42,MATCH($F76,$F$41:$F$42,0))),(1+$I76))</f>
        <v>0</v>
      </c>
      <c r="BJ76" s="1126">
        <f>'ANSP Capex'!BH72*IF($I76="",(1+INDEX($I$41:$I$42,MATCH($F76,$F$41:$F$42,0))),(1+$I76))</f>
        <v>0</v>
      </c>
      <c r="BK76" s="1126">
        <f>'ANSP Capex'!BI72*IF($I76="",(1+INDEX($I$41:$I$42,MATCH($F76,$F$41:$F$42,0))),(1+$I76))</f>
        <v>0</v>
      </c>
      <c r="BL76" s="1126">
        <f>'ANSP Capex'!BJ72*IF($I76="",(1+INDEX($I$41:$I$42,MATCH($F76,$F$41:$F$42,0))),(1+$I76))</f>
        <v>0</v>
      </c>
    </row>
    <row r="77" spans="1:64" outlineLevel="2">
      <c r="A77" s="1094"/>
      <c r="B77" s="1094"/>
      <c r="C77" s="1083" t="str">
        <f>'ANSP Capex'!C73</f>
        <v>S024 - AGILE HPE ARUBA HQ</v>
      </c>
      <c r="D77" s="1083" t="str">
        <f>'ANSP Capex'!D73</f>
        <v>AGILE HPE ARUBA</v>
      </c>
      <c r="E77" s="1083" t="str">
        <f>'ANSP Capex'!E73</f>
        <v>S0240008</v>
      </c>
      <c r="F77" s="1083">
        <f>'ANSP Capex'!F73</f>
        <v>2020</v>
      </c>
      <c r="G77" s="1101">
        <f t="shared" si="0"/>
        <v>21.120919999999998</v>
      </c>
      <c r="H77" s="1083" t="str">
        <f>'ANSP Capex'!H73</f>
        <v>€'000</v>
      </c>
      <c r="I77" s="829"/>
      <c r="J77" s="1097">
        <f>'ANSP Capex'!I73</f>
        <v>3</v>
      </c>
      <c r="K77" s="1124">
        <v>0</v>
      </c>
      <c r="L77" s="1098">
        <f t="shared" si="1"/>
        <v>36</v>
      </c>
      <c r="M77" s="153">
        <f t="shared" si="2"/>
        <v>0.33333333333333331</v>
      </c>
      <c r="N77" s="1099"/>
      <c r="O77" s="1100">
        <f>'ANSP Capex'!M73</f>
        <v>6.9999734860034506</v>
      </c>
      <c r="P77" s="1101">
        <f>IF($BH77=0,0,IF(SUM($O77:O77)&lt;($L77-12),12,$L77-SUM($O77:O77)))</f>
        <v>12</v>
      </c>
      <c r="Q77" s="1101">
        <f>IF($BH77=0,0,IF(SUM($O77:P77)&lt;($L77-12),12,$L77-SUM($O77:P77)))</f>
        <v>12</v>
      </c>
      <c r="R77" s="1101">
        <f>IF($BH77=0,0,IF(SUM($O77:Q77)&lt;($L77-12),12,$L77-SUM($O77:Q77)))</f>
        <v>5.0000265139965485</v>
      </c>
      <c r="S77" s="1101">
        <f>IF($BH77=0,0,IF(SUM($O77:R77)&lt;($L77-12),12,$L77-SUM($O77:R77)))</f>
        <v>0</v>
      </c>
      <c r="U77" s="1100"/>
      <c r="V77" s="1100">
        <f>'ANSP Capex'!T73</f>
        <v>0</v>
      </c>
      <c r="W77" s="1101">
        <f>IF($BI77=0,0,IF(SUM($U77:V77)&lt;($L77-12),12,$L77-SUM($U77:V77)))</f>
        <v>0</v>
      </c>
      <c r="X77" s="1101">
        <f>IF($BI77=0,0,IF(SUM($U77:W77)&lt;($L77-12),12,$L77-SUM($U77:W77)))</f>
        <v>0</v>
      </c>
      <c r="Y77" s="1101">
        <f>IF($BI77=0,0,IF(SUM($U77:X77)&lt;($L77-12),12,$L77-SUM($U77:X77)))</f>
        <v>0</v>
      </c>
      <c r="AA77" s="1100"/>
      <c r="AB77" s="1100"/>
      <c r="AC77" s="1100">
        <f>'ANSP Capex'!AA73</f>
        <v>0</v>
      </c>
      <c r="AD77" s="1101">
        <f>IF($BJ77=0,0,IF(SUM($AA77:AC77)&lt;($L77-12),12,$L77-SUM($AA77:AC77)))</f>
        <v>0</v>
      </c>
      <c r="AE77" s="1101">
        <f>IF($BJ77=0,0,IF(SUM($AA77:AD77)&lt;($L77-12),12,$L77-SUM($AA77:AD77)))</f>
        <v>0</v>
      </c>
      <c r="AG77" s="1100"/>
      <c r="AH77" s="1100"/>
      <c r="AI77" s="1100"/>
      <c r="AJ77" s="1100">
        <f>'ANSP Capex'!AH73</f>
        <v>0</v>
      </c>
      <c r="AK77" s="1101">
        <f>IF($BK77=0,0,IF(SUM($AG77:AJ77)&lt;($L77-12),12,$L77-SUM($AG77:AJ77)))</f>
        <v>0</v>
      </c>
      <c r="AM77" s="1100"/>
      <c r="AN77" s="1100"/>
      <c r="AO77" s="1100"/>
      <c r="AP77" s="1100"/>
      <c r="AQ77" s="1100">
        <f>'ANSP Capex'!AO73</f>
        <v>0</v>
      </c>
      <c r="AS77" s="153">
        <f t="shared" si="3"/>
        <v>0.58333112383362085</v>
      </c>
      <c r="AT77" s="153">
        <f t="shared" si="4"/>
        <v>0</v>
      </c>
      <c r="AU77" s="153">
        <f t="shared" si="5"/>
        <v>0</v>
      </c>
      <c r="AV77" s="153">
        <f t="shared" si="6"/>
        <v>0</v>
      </c>
      <c r="AW77" s="153">
        <f t="shared" si="7"/>
        <v>0</v>
      </c>
      <c r="AX77" s="153"/>
      <c r="AY77" s="1543">
        <f>'ANSP Capex'!AW73</f>
        <v>0.73</v>
      </c>
      <c r="AZ77" s="1102"/>
      <c r="BA77" s="1543">
        <f>'ANSP Capex'!AY73</f>
        <v>0.15</v>
      </c>
      <c r="BC77" s="1126"/>
      <c r="BD77" s="1126"/>
      <c r="BE77" s="1126"/>
      <c r="BF77" s="1126"/>
      <c r="BG77" s="1126"/>
      <c r="BH77" s="1126">
        <f>'ANSP Capex'!BF73*IF($I77="",(1+INDEX($I$41:$I$42,MATCH($F77,$F$41:$F$42,0))),(1+$I77))</f>
        <v>21.120919999999998</v>
      </c>
      <c r="BI77" s="1126">
        <f>'ANSP Capex'!BG73*IF($I77="",(1+INDEX($I$41:$I$42,MATCH($F77,$F$41:$F$42,0))),(1+$I77))</f>
        <v>0</v>
      </c>
      <c r="BJ77" s="1126">
        <f>'ANSP Capex'!BH73*IF($I77="",(1+INDEX($I$41:$I$42,MATCH($F77,$F$41:$F$42,0))),(1+$I77))</f>
        <v>0</v>
      </c>
      <c r="BK77" s="1126">
        <f>'ANSP Capex'!BI73*IF($I77="",(1+INDEX($I$41:$I$42,MATCH($F77,$F$41:$F$42,0))),(1+$I77))</f>
        <v>0</v>
      </c>
      <c r="BL77" s="1126">
        <f>'ANSP Capex'!BJ73*IF($I77="",(1+INDEX($I$41:$I$42,MATCH($F77,$F$41:$F$42,0))),(1+$I77))</f>
        <v>0</v>
      </c>
    </row>
    <row r="78" spans="1:64" outlineLevel="2">
      <c r="A78" s="1094"/>
      <c r="B78" s="1094"/>
      <c r="C78" s="1083" t="str">
        <f>'ANSP Capex'!C74</f>
        <v>S024 - AGILE HPE ARUBA SHN</v>
      </c>
      <c r="D78" s="1083" t="str">
        <f>'ANSP Capex'!D74</f>
        <v>AGILE HPE ARUBA</v>
      </c>
      <c r="E78" s="1083" t="str">
        <f>'ANSP Capex'!E74</f>
        <v>S0240006</v>
      </c>
      <c r="F78" s="1083">
        <f>'ANSP Capex'!F74</f>
        <v>2020</v>
      </c>
      <c r="G78" s="1101">
        <f t="shared" si="0"/>
        <v>4.0170199999999996</v>
      </c>
      <c r="H78" s="1083" t="str">
        <f>'ANSP Capex'!H74</f>
        <v>€'000</v>
      </c>
      <c r="I78" s="829"/>
      <c r="J78" s="1097">
        <f>'ANSP Capex'!I74</f>
        <v>3</v>
      </c>
      <c r="K78" s="1124">
        <v>0</v>
      </c>
      <c r="L78" s="1098">
        <f t="shared" si="1"/>
        <v>36</v>
      </c>
      <c r="M78" s="153">
        <f t="shared" si="2"/>
        <v>0.33333333333333331</v>
      </c>
      <c r="N78" s="1099"/>
      <c r="O78" s="1100">
        <f>'ANSP Capex'!M74</f>
        <v>6.9997560380580621</v>
      </c>
      <c r="P78" s="1101">
        <f>IF($BH78=0,0,IF(SUM($O78:O78)&lt;($L78-12),12,$L78-SUM($O78:O78)))</f>
        <v>12</v>
      </c>
      <c r="Q78" s="1101">
        <f>IF($BH78=0,0,IF(SUM($O78:P78)&lt;($L78-12),12,$L78-SUM($O78:P78)))</f>
        <v>12</v>
      </c>
      <c r="R78" s="1101">
        <f>IF($BH78=0,0,IF(SUM($O78:Q78)&lt;($L78-12),12,$L78-SUM($O78:Q78)))</f>
        <v>5.000243961941937</v>
      </c>
      <c r="S78" s="1101">
        <f>IF($BH78=0,0,IF(SUM($O78:R78)&lt;($L78-12),12,$L78-SUM($O78:R78)))</f>
        <v>0</v>
      </c>
      <c r="U78" s="1100"/>
      <c r="V78" s="1100">
        <f>'ANSP Capex'!T74</f>
        <v>0</v>
      </c>
      <c r="W78" s="1101">
        <f>IF($BI78=0,0,IF(SUM($U78:V78)&lt;($L78-12),12,$L78-SUM($U78:V78)))</f>
        <v>0</v>
      </c>
      <c r="X78" s="1101">
        <f>IF($BI78=0,0,IF(SUM($U78:W78)&lt;($L78-12),12,$L78-SUM($U78:W78)))</f>
        <v>0</v>
      </c>
      <c r="Y78" s="1101">
        <f>IF($BI78=0,0,IF(SUM($U78:X78)&lt;($L78-12),12,$L78-SUM($U78:X78)))</f>
        <v>0</v>
      </c>
      <c r="AA78" s="1100"/>
      <c r="AB78" s="1100"/>
      <c r="AC78" s="1100">
        <f>'ANSP Capex'!AA74</f>
        <v>0</v>
      </c>
      <c r="AD78" s="1101">
        <f>IF($BJ78=0,0,IF(SUM($AA78:AC78)&lt;($L78-12),12,$L78-SUM($AA78:AC78)))</f>
        <v>0</v>
      </c>
      <c r="AE78" s="1101">
        <f>IF($BJ78=0,0,IF(SUM($AA78:AD78)&lt;($L78-12),12,$L78-SUM($AA78:AD78)))</f>
        <v>0</v>
      </c>
      <c r="AG78" s="1100"/>
      <c r="AH78" s="1100"/>
      <c r="AI78" s="1100"/>
      <c r="AJ78" s="1100">
        <f>'ANSP Capex'!AH74</f>
        <v>0</v>
      </c>
      <c r="AK78" s="1101">
        <f>IF($BK78=0,0,IF(SUM($AG78:AJ78)&lt;($L78-12),12,$L78-SUM($AG78:AJ78)))</f>
        <v>0</v>
      </c>
      <c r="AM78" s="1100"/>
      <c r="AN78" s="1100"/>
      <c r="AO78" s="1100"/>
      <c r="AP78" s="1100"/>
      <c r="AQ78" s="1100">
        <f>'ANSP Capex'!AO74</f>
        <v>0</v>
      </c>
      <c r="AS78" s="153">
        <f t="shared" si="3"/>
        <v>0.58331300317150514</v>
      </c>
      <c r="AT78" s="153">
        <f t="shared" si="4"/>
        <v>0</v>
      </c>
      <c r="AU78" s="153">
        <f t="shared" si="5"/>
        <v>0</v>
      </c>
      <c r="AV78" s="153">
        <f t="shared" si="6"/>
        <v>0</v>
      </c>
      <c r="AW78" s="153">
        <f t="shared" si="7"/>
        <v>0</v>
      </c>
      <c r="AX78" s="153"/>
      <c r="AY78" s="1543">
        <f>'ANSP Capex'!AW74</f>
        <v>0.75</v>
      </c>
      <c r="AZ78" s="1102"/>
      <c r="BA78" s="1543">
        <f>'ANSP Capex'!AY74</f>
        <v>0.25</v>
      </c>
      <c r="BC78" s="1126"/>
      <c r="BD78" s="1126"/>
      <c r="BE78" s="1126"/>
      <c r="BF78" s="1126"/>
      <c r="BG78" s="1126"/>
      <c r="BH78" s="1126">
        <f>'ANSP Capex'!BF74*IF($I78="",(1+INDEX($I$41:$I$42,MATCH($F78,$F$41:$F$42,0))),(1+$I78))</f>
        <v>4.0170199999999996</v>
      </c>
      <c r="BI78" s="1126">
        <f>'ANSP Capex'!BG74*IF($I78="",(1+INDEX($I$41:$I$42,MATCH($F78,$F$41:$F$42,0))),(1+$I78))</f>
        <v>0</v>
      </c>
      <c r="BJ78" s="1126">
        <f>'ANSP Capex'!BH74*IF($I78="",(1+INDEX($I$41:$I$42,MATCH($F78,$F$41:$F$42,0))),(1+$I78))</f>
        <v>0</v>
      </c>
      <c r="BK78" s="1126">
        <f>'ANSP Capex'!BI74*IF($I78="",(1+INDEX($I$41:$I$42,MATCH($F78,$F$41:$F$42,0))),(1+$I78))</f>
        <v>0</v>
      </c>
      <c r="BL78" s="1126">
        <f>'ANSP Capex'!BJ74*IF($I78="",(1+INDEX($I$41:$I$42,MATCH($F78,$F$41:$F$42,0))),(1+$I78))</f>
        <v>0</v>
      </c>
    </row>
    <row r="79" spans="1:64" outlineLevel="2">
      <c r="A79" s="1094"/>
      <c r="B79" s="1094"/>
      <c r="C79" s="1083" t="str">
        <f>'ANSP Capex'!C75</f>
        <v>S024 - AGILE HPE ARUBA Cork</v>
      </c>
      <c r="D79" s="1083" t="str">
        <f>'ANSP Capex'!D75</f>
        <v>AGILE HPE ARUBA</v>
      </c>
      <c r="E79" s="1083" t="str">
        <f>'ANSP Capex'!E75</f>
        <v>S0240010</v>
      </c>
      <c r="F79" s="1083">
        <f>'ANSP Capex'!F75</f>
        <v>2020</v>
      </c>
      <c r="G79" s="1101">
        <f t="shared" si="0"/>
        <v>4.0170199999999996</v>
      </c>
      <c r="H79" s="1083" t="str">
        <f>'ANSP Capex'!H75</f>
        <v>€'000</v>
      </c>
      <c r="I79" s="829"/>
      <c r="J79" s="1097">
        <f>'ANSP Capex'!I75</f>
        <v>3</v>
      </c>
      <c r="K79" s="1124">
        <v>0</v>
      </c>
      <c r="L79" s="1098">
        <f t="shared" si="1"/>
        <v>36</v>
      </c>
      <c r="M79" s="153">
        <f t="shared" si="2"/>
        <v>0.33333333333333331</v>
      </c>
      <c r="N79" s="1099"/>
      <c r="O79" s="1100">
        <f>'ANSP Capex'!M75</f>
        <v>6.9997560380580621</v>
      </c>
      <c r="P79" s="1101">
        <f>IF($BH79=0,0,IF(SUM($O79:O79)&lt;($L79-12),12,$L79-SUM($O79:O79)))</f>
        <v>12</v>
      </c>
      <c r="Q79" s="1101">
        <f>IF($BH79=0,0,IF(SUM($O79:P79)&lt;($L79-12),12,$L79-SUM($O79:P79)))</f>
        <v>12</v>
      </c>
      <c r="R79" s="1101">
        <f>IF($BH79=0,0,IF(SUM($O79:Q79)&lt;($L79-12),12,$L79-SUM($O79:Q79)))</f>
        <v>5.000243961941937</v>
      </c>
      <c r="S79" s="1101">
        <f>IF($BH79=0,0,IF(SUM($O79:R79)&lt;($L79-12),12,$L79-SUM($O79:R79)))</f>
        <v>0</v>
      </c>
      <c r="U79" s="1100"/>
      <c r="V79" s="1100">
        <f>'ANSP Capex'!T75</f>
        <v>0</v>
      </c>
      <c r="W79" s="1101">
        <f>IF($BI79=0,0,IF(SUM($U79:V79)&lt;($L79-12),12,$L79-SUM($U79:V79)))</f>
        <v>0</v>
      </c>
      <c r="X79" s="1101">
        <f>IF($BI79=0,0,IF(SUM($U79:W79)&lt;($L79-12),12,$L79-SUM($U79:W79)))</f>
        <v>0</v>
      </c>
      <c r="Y79" s="1101">
        <f>IF($BI79=0,0,IF(SUM($U79:X79)&lt;($L79-12),12,$L79-SUM($U79:X79)))</f>
        <v>0</v>
      </c>
      <c r="AA79" s="1100"/>
      <c r="AB79" s="1100"/>
      <c r="AC79" s="1100">
        <f>'ANSP Capex'!AA75</f>
        <v>0</v>
      </c>
      <c r="AD79" s="1101">
        <f>IF($BJ79=0,0,IF(SUM($AA79:AC79)&lt;($L79-12),12,$L79-SUM($AA79:AC79)))</f>
        <v>0</v>
      </c>
      <c r="AE79" s="1101">
        <f>IF($BJ79=0,0,IF(SUM($AA79:AD79)&lt;($L79-12),12,$L79-SUM($AA79:AD79)))</f>
        <v>0</v>
      </c>
      <c r="AG79" s="1100"/>
      <c r="AH79" s="1100"/>
      <c r="AI79" s="1100"/>
      <c r="AJ79" s="1100">
        <f>'ANSP Capex'!AH75</f>
        <v>0</v>
      </c>
      <c r="AK79" s="1101">
        <f>IF($BK79=0,0,IF(SUM($AG79:AJ79)&lt;($L79-12),12,$L79-SUM($AG79:AJ79)))</f>
        <v>0</v>
      </c>
      <c r="AM79" s="1100"/>
      <c r="AN79" s="1100"/>
      <c r="AO79" s="1100"/>
      <c r="AP79" s="1100"/>
      <c r="AQ79" s="1100">
        <f>'ANSP Capex'!AO75</f>
        <v>0</v>
      </c>
      <c r="AS79" s="153">
        <f t="shared" si="3"/>
        <v>0.58331300317150514</v>
      </c>
      <c r="AT79" s="153">
        <f t="shared" si="4"/>
        <v>0</v>
      </c>
      <c r="AU79" s="153">
        <f t="shared" si="5"/>
        <v>0</v>
      </c>
      <c r="AV79" s="153">
        <f t="shared" si="6"/>
        <v>0</v>
      </c>
      <c r="AW79" s="153">
        <f t="shared" si="7"/>
        <v>0</v>
      </c>
      <c r="AX79" s="153"/>
      <c r="AY79" s="1543">
        <f>'ANSP Capex'!AW75</f>
        <v>0.5</v>
      </c>
      <c r="AZ79" s="1102"/>
      <c r="BA79" s="1543">
        <f>'ANSP Capex'!AY75</f>
        <v>0.5</v>
      </c>
      <c r="BC79" s="1126"/>
      <c r="BD79" s="1126"/>
      <c r="BE79" s="1126"/>
      <c r="BF79" s="1126"/>
      <c r="BG79" s="1126"/>
      <c r="BH79" s="1126">
        <f>'ANSP Capex'!BF75*IF($I79="",(1+INDEX($I$41:$I$42,MATCH($F79,$F$41:$F$42,0))),(1+$I79))</f>
        <v>4.0170199999999996</v>
      </c>
      <c r="BI79" s="1126">
        <f>'ANSP Capex'!BG75*IF($I79="",(1+INDEX($I$41:$I$42,MATCH($F79,$F$41:$F$42,0))),(1+$I79))</f>
        <v>0</v>
      </c>
      <c r="BJ79" s="1126">
        <f>'ANSP Capex'!BH75*IF($I79="",(1+INDEX($I$41:$I$42,MATCH($F79,$F$41:$F$42,0))),(1+$I79))</f>
        <v>0</v>
      </c>
      <c r="BK79" s="1126">
        <f>'ANSP Capex'!BI75*IF($I79="",(1+INDEX($I$41:$I$42,MATCH($F79,$F$41:$F$42,0))),(1+$I79))</f>
        <v>0</v>
      </c>
      <c r="BL79" s="1126">
        <f>'ANSP Capex'!BJ75*IF($I79="",(1+INDEX($I$41:$I$42,MATCH($F79,$F$41:$F$42,0))),(1+$I79))</f>
        <v>0</v>
      </c>
    </row>
    <row r="80" spans="1:64" outlineLevel="2">
      <c r="A80" s="1094"/>
      <c r="B80" s="1094"/>
      <c r="C80" s="1083" t="str">
        <f>'ANSP Capex'!C76</f>
        <v>N008 - RAPS-SMD SENSOR MONITOR &amp; Analysis</v>
      </c>
      <c r="D80" s="1083" t="str">
        <f>'ANSP Capex'!D76</f>
        <v>RAPS-SMD SENSOR MONITOR &amp; Analysis</v>
      </c>
      <c r="E80" s="1083" t="str">
        <f>'ANSP Capex'!E76</f>
        <v>N0080007</v>
      </c>
      <c r="F80" s="1083">
        <f>'ANSP Capex'!F76</f>
        <v>2020</v>
      </c>
      <c r="G80" s="1101">
        <f t="shared" si="0"/>
        <v>64</v>
      </c>
      <c r="H80" s="1083" t="str">
        <f>'ANSP Capex'!H76</f>
        <v>€'000</v>
      </c>
      <c r="I80" s="829"/>
      <c r="J80" s="1097">
        <f>'ANSP Capex'!I76</f>
        <v>5</v>
      </c>
      <c r="K80" s="1124">
        <v>0</v>
      </c>
      <c r="L80" s="1098">
        <f t="shared" si="1"/>
        <v>60</v>
      </c>
      <c r="M80" s="153">
        <f t="shared" si="2"/>
        <v>0.2</v>
      </c>
      <c r="N80" s="1099"/>
      <c r="O80" s="1100">
        <f>'ANSP Capex'!M76</f>
        <v>8.0000250000000008</v>
      </c>
      <c r="P80" s="1101">
        <f>IF($BH80=0,0,IF(SUM($O80:O80)&lt;($L80-12),12,$L80-SUM($O80:O80)))</f>
        <v>12</v>
      </c>
      <c r="Q80" s="1101">
        <f>IF($BH80=0,0,IF(SUM($O80:P80)&lt;($L80-12),12,$L80-SUM($O80:P80)))</f>
        <v>12</v>
      </c>
      <c r="R80" s="1101">
        <f>IF($BH80=0,0,IF(SUM($O80:Q80)&lt;($L80-12),12,$L80-SUM($O80:Q80)))</f>
        <v>12</v>
      </c>
      <c r="S80" s="1101">
        <f>IF($BH80=0,0,IF(SUM($O80:R80)&lt;($L80-12),12,$L80-SUM($O80:R80)))</f>
        <v>12</v>
      </c>
      <c r="U80" s="1100"/>
      <c r="V80" s="1100">
        <f>'ANSP Capex'!T76</f>
        <v>0</v>
      </c>
      <c r="W80" s="1101">
        <f>IF($BI80=0,0,IF(SUM($U80:V80)&lt;($L80-12),12,$L80-SUM($U80:V80)))</f>
        <v>0</v>
      </c>
      <c r="X80" s="1101">
        <f>IF($BI80=0,0,IF(SUM($U80:W80)&lt;($L80-12),12,$L80-SUM($U80:W80)))</f>
        <v>0</v>
      </c>
      <c r="Y80" s="1101">
        <f>IF($BI80=0,0,IF(SUM($U80:X80)&lt;($L80-12),12,$L80-SUM($U80:X80)))</f>
        <v>0</v>
      </c>
      <c r="AA80" s="1100"/>
      <c r="AB80" s="1100"/>
      <c r="AC80" s="1100">
        <f>'ANSP Capex'!AA76</f>
        <v>0</v>
      </c>
      <c r="AD80" s="1101">
        <f>IF($BJ80=0,0,IF(SUM($AA80:AC80)&lt;($L80-12),12,$L80-SUM($AA80:AC80)))</f>
        <v>0</v>
      </c>
      <c r="AE80" s="1101">
        <f>IF($BJ80=0,0,IF(SUM($AA80:AD80)&lt;($L80-12),12,$L80-SUM($AA80:AD80)))</f>
        <v>0</v>
      </c>
      <c r="AG80" s="1100"/>
      <c r="AH80" s="1100"/>
      <c r="AI80" s="1100"/>
      <c r="AJ80" s="1100">
        <f>'ANSP Capex'!AH76</f>
        <v>0</v>
      </c>
      <c r="AK80" s="1101">
        <f>IF($BK80=0,0,IF(SUM($AG80:AJ80)&lt;($L80-12),12,$L80-SUM($AG80:AJ80)))</f>
        <v>0</v>
      </c>
      <c r="AM80" s="1100"/>
      <c r="AN80" s="1100"/>
      <c r="AO80" s="1100"/>
      <c r="AP80" s="1100"/>
      <c r="AQ80" s="1100">
        <f>'ANSP Capex'!AO76</f>
        <v>0</v>
      </c>
      <c r="AS80" s="153">
        <f t="shared" si="3"/>
        <v>0.66666875000000003</v>
      </c>
      <c r="AT80" s="153">
        <f t="shared" si="4"/>
        <v>0</v>
      </c>
      <c r="AU80" s="153">
        <f t="shared" si="5"/>
        <v>0</v>
      </c>
      <c r="AV80" s="153">
        <f t="shared" si="6"/>
        <v>0</v>
      </c>
      <c r="AW80" s="153">
        <f t="shared" si="7"/>
        <v>0</v>
      </c>
      <c r="AX80" s="153"/>
      <c r="AY80" s="1543">
        <f>'ANSP Capex'!AW76</f>
        <v>0.75</v>
      </c>
      <c r="AZ80" s="1102"/>
      <c r="BA80" s="1543">
        <f>'ANSP Capex'!AY76</f>
        <v>0.25</v>
      </c>
      <c r="BC80" s="1126"/>
      <c r="BD80" s="1126"/>
      <c r="BE80" s="1126"/>
      <c r="BF80" s="1126"/>
      <c r="BG80" s="1126"/>
      <c r="BH80" s="1126">
        <f>'ANSP Capex'!BF76*IF($I80="",(1+INDEX($I$41:$I$42,MATCH($F80,$F$41:$F$42,0))),(1+$I80))</f>
        <v>64</v>
      </c>
      <c r="BI80" s="1126">
        <f>'ANSP Capex'!BG76*IF($I80="",(1+INDEX($I$41:$I$42,MATCH($F80,$F$41:$F$42,0))),(1+$I80))</f>
        <v>0</v>
      </c>
      <c r="BJ80" s="1126">
        <f>'ANSP Capex'!BH76*IF($I80="",(1+INDEX($I$41:$I$42,MATCH($F80,$F$41:$F$42,0))),(1+$I80))</f>
        <v>0</v>
      </c>
      <c r="BK80" s="1126">
        <f>'ANSP Capex'!BI76*IF($I80="",(1+INDEX($I$41:$I$42,MATCH($F80,$F$41:$F$42,0))),(1+$I80))</f>
        <v>0</v>
      </c>
      <c r="BL80" s="1126">
        <f>'ANSP Capex'!BJ76*IF($I80="",(1+INDEX($I$41:$I$42,MATCH($F80,$F$41:$F$42,0))),(1+$I80))</f>
        <v>0</v>
      </c>
    </row>
    <row r="81" spans="1:64" outlineLevel="2">
      <c r="A81" s="1094"/>
      <c r="B81" s="1094"/>
      <c r="C81" s="1083" t="str">
        <f>'ANSP Capex'!C77</f>
        <v>T017 - OPTIPLEX5060 W20007783</v>
      </c>
      <c r="D81" s="1083" t="str">
        <f>'ANSP Capex'!D77</f>
        <v>IT Equipment</v>
      </c>
      <c r="E81" s="1083" t="str">
        <f>'ANSP Capex'!E77</f>
        <v>T0170203</v>
      </c>
      <c r="F81" s="1083">
        <f>'ANSP Capex'!F77</f>
        <v>2020</v>
      </c>
      <c r="G81" s="1101">
        <f t="shared" si="0"/>
        <v>0.6</v>
      </c>
      <c r="H81" s="1083" t="str">
        <f>'ANSP Capex'!H77</f>
        <v>€'000</v>
      </c>
      <c r="I81" s="829"/>
      <c r="J81" s="1097">
        <f>'ANSP Capex'!I77</f>
        <v>3</v>
      </c>
      <c r="K81" s="1124">
        <v>0</v>
      </c>
      <c r="L81" s="1098">
        <f t="shared" si="1"/>
        <v>36</v>
      </c>
      <c r="M81" s="153">
        <f t="shared" si="2"/>
        <v>0.33333333333333331</v>
      </c>
      <c r="N81" s="1099"/>
      <c r="O81" s="1100">
        <f>'ANSP Capex'!M77</f>
        <v>7.0013999999999994</v>
      </c>
      <c r="P81" s="1101">
        <f>IF($BH81=0,0,IF(SUM($O81:O81)&lt;($L81-12),12,$L81-SUM($O81:O81)))</f>
        <v>12</v>
      </c>
      <c r="Q81" s="1101">
        <f>IF($BH81=0,0,IF(SUM($O81:P81)&lt;($L81-12),12,$L81-SUM($O81:P81)))</f>
        <v>12</v>
      </c>
      <c r="R81" s="1101">
        <f>IF($BH81=0,0,IF(SUM($O81:Q81)&lt;($L81-12),12,$L81-SUM($O81:Q81)))</f>
        <v>4.9985999999999997</v>
      </c>
      <c r="S81" s="1101">
        <f>IF($BH81=0,0,IF(SUM($O81:R81)&lt;($L81-12),12,$L81-SUM($O81:R81)))</f>
        <v>0</v>
      </c>
      <c r="U81" s="1100"/>
      <c r="V81" s="1100">
        <f>'ANSP Capex'!T77</f>
        <v>0</v>
      </c>
      <c r="W81" s="1101">
        <f>IF($BI81=0,0,IF(SUM($U81:V81)&lt;($L81-12),12,$L81-SUM($U81:V81)))</f>
        <v>0</v>
      </c>
      <c r="X81" s="1101">
        <f>IF($BI81=0,0,IF(SUM($U81:W81)&lt;($L81-12),12,$L81-SUM($U81:W81)))</f>
        <v>0</v>
      </c>
      <c r="Y81" s="1101">
        <f>IF($BI81=0,0,IF(SUM($U81:X81)&lt;($L81-12),12,$L81-SUM($U81:X81)))</f>
        <v>0</v>
      </c>
      <c r="AA81" s="1100"/>
      <c r="AB81" s="1100"/>
      <c r="AC81" s="1100">
        <f>'ANSP Capex'!AA77</f>
        <v>0</v>
      </c>
      <c r="AD81" s="1101">
        <f>IF($BJ81=0,0,IF(SUM($AA81:AC81)&lt;($L81-12),12,$L81-SUM($AA81:AC81)))</f>
        <v>0</v>
      </c>
      <c r="AE81" s="1101">
        <f>IF($BJ81=0,0,IF(SUM($AA81:AD81)&lt;($L81-12),12,$L81-SUM($AA81:AD81)))</f>
        <v>0</v>
      </c>
      <c r="AG81" s="1100"/>
      <c r="AH81" s="1100"/>
      <c r="AI81" s="1100"/>
      <c r="AJ81" s="1100">
        <f>'ANSP Capex'!AH77</f>
        <v>0</v>
      </c>
      <c r="AK81" s="1101">
        <f>IF($BK81=0,0,IF(SUM($AG81:AJ81)&lt;($L81-12),12,$L81-SUM($AG81:AJ81)))</f>
        <v>0</v>
      </c>
      <c r="AM81" s="1100"/>
      <c r="AN81" s="1100"/>
      <c r="AO81" s="1100"/>
      <c r="AP81" s="1100"/>
      <c r="AQ81" s="1100">
        <f>'ANSP Capex'!AO77</f>
        <v>0</v>
      </c>
      <c r="AS81" s="153">
        <f t="shared" si="3"/>
        <v>0.58344999999999991</v>
      </c>
      <c r="AT81" s="153">
        <f t="shared" si="4"/>
        <v>0</v>
      </c>
      <c r="AU81" s="153">
        <f t="shared" si="5"/>
        <v>0</v>
      </c>
      <c r="AV81" s="153">
        <f t="shared" si="6"/>
        <v>0</v>
      </c>
      <c r="AW81" s="153">
        <f t="shared" si="7"/>
        <v>0</v>
      </c>
      <c r="AX81" s="153"/>
      <c r="AY81" s="1543">
        <f>'ANSP Capex'!AW77</f>
        <v>0.75</v>
      </c>
      <c r="AZ81" s="1102"/>
      <c r="BA81" s="1543">
        <f>'ANSP Capex'!AY77</f>
        <v>0.25</v>
      </c>
      <c r="BC81" s="1126"/>
      <c r="BD81" s="1126"/>
      <c r="BE81" s="1126"/>
      <c r="BF81" s="1126"/>
      <c r="BG81" s="1126"/>
      <c r="BH81" s="1126">
        <f>'ANSP Capex'!BF77*IF($I81="",(1+INDEX($I$41:$I$42,MATCH($F81,$F$41:$F$42,0))),(1+$I81))</f>
        <v>0.6</v>
      </c>
      <c r="BI81" s="1126">
        <f>'ANSP Capex'!BG77*IF($I81="",(1+INDEX($I$41:$I$42,MATCH($F81,$F$41:$F$42,0))),(1+$I81))</f>
        <v>0</v>
      </c>
      <c r="BJ81" s="1126">
        <f>'ANSP Capex'!BH77*IF($I81="",(1+INDEX($I$41:$I$42,MATCH($F81,$F$41:$F$42,0))),(1+$I81))</f>
        <v>0</v>
      </c>
      <c r="BK81" s="1126">
        <f>'ANSP Capex'!BI77*IF($I81="",(1+INDEX($I$41:$I$42,MATCH($F81,$F$41:$F$42,0))),(1+$I81))</f>
        <v>0</v>
      </c>
      <c r="BL81" s="1126">
        <f>'ANSP Capex'!BJ77*IF($I81="",(1+INDEX($I$41:$I$42,MATCH($F81,$F$41:$F$42,0))),(1+$I81))</f>
        <v>0</v>
      </c>
    </row>
    <row r="82" spans="1:64" outlineLevel="2">
      <c r="A82" s="1094"/>
      <c r="B82" s="1094"/>
      <c r="C82" s="1083" t="str">
        <f>'ANSP Capex'!C78</f>
        <v>T017 - OPTIPLEX5060 W20007913</v>
      </c>
      <c r="D82" s="1083" t="str">
        <f>'ANSP Capex'!D78</f>
        <v>IT Equipment</v>
      </c>
      <c r="E82" s="1083" t="str">
        <f>'ANSP Capex'!E78</f>
        <v>T0170211</v>
      </c>
      <c r="F82" s="1083">
        <f>'ANSP Capex'!F78</f>
        <v>2020</v>
      </c>
      <c r="G82" s="1101">
        <f t="shared" si="0"/>
        <v>0.6</v>
      </c>
      <c r="H82" s="1083" t="str">
        <f>'ANSP Capex'!H78</f>
        <v>€'000</v>
      </c>
      <c r="I82" s="829"/>
      <c r="J82" s="1097">
        <f>'ANSP Capex'!I78</f>
        <v>3</v>
      </c>
      <c r="K82" s="1124">
        <v>0</v>
      </c>
      <c r="L82" s="1098">
        <f t="shared" si="1"/>
        <v>36</v>
      </c>
      <c r="M82" s="153">
        <f t="shared" si="2"/>
        <v>0.33333333333333331</v>
      </c>
      <c r="N82" s="1099"/>
      <c r="O82" s="1100">
        <f>'ANSP Capex'!M78</f>
        <v>7.0013999999999994</v>
      </c>
      <c r="P82" s="1101">
        <f>IF($BH82=0,0,IF(SUM($O82:O82)&lt;($L82-12),12,$L82-SUM($O82:O82)))</f>
        <v>12</v>
      </c>
      <c r="Q82" s="1101">
        <f>IF($BH82=0,0,IF(SUM($O82:P82)&lt;($L82-12),12,$L82-SUM($O82:P82)))</f>
        <v>12</v>
      </c>
      <c r="R82" s="1101">
        <f>IF($BH82=0,0,IF(SUM($O82:Q82)&lt;($L82-12),12,$L82-SUM($O82:Q82)))</f>
        <v>4.9985999999999997</v>
      </c>
      <c r="S82" s="1101">
        <f>IF($BH82=0,0,IF(SUM($O82:R82)&lt;($L82-12),12,$L82-SUM($O82:R82)))</f>
        <v>0</v>
      </c>
      <c r="U82" s="1100"/>
      <c r="V82" s="1100">
        <f>'ANSP Capex'!T78</f>
        <v>0</v>
      </c>
      <c r="W82" s="1101">
        <f>IF($BI82=0,0,IF(SUM($U82:V82)&lt;($L82-12),12,$L82-SUM($U82:V82)))</f>
        <v>0</v>
      </c>
      <c r="X82" s="1101">
        <f>IF($BI82=0,0,IF(SUM($U82:W82)&lt;($L82-12),12,$L82-SUM($U82:W82)))</f>
        <v>0</v>
      </c>
      <c r="Y82" s="1101">
        <f>IF($BI82=0,0,IF(SUM($U82:X82)&lt;($L82-12),12,$L82-SUM($U82:X82)))</f>
        <v>0</v>
      </c>
      <c r="AA82" s="1100"/>
      <c r="AB82" s="1100"/>
      <c r="AC82" s="1100">
        <f>'ANSP Capex'!AA78</f>
        <v>0</v>
      </c>
      <c r="AD82" s="1101">
        <f>IF($BJ82=0,0,IF(SUM($AA82:AC82)&lt;($L82-12),12,$L82-SUM($AA82:AC82)))</f>
        <v>0</v>
      </c>
      <c r="AE82" s="1101">
        <f>IF($BJ82=0,0,IF(SUM($AA82:AD82)&lt;($L82-12),12,$L82-SUM($AA82:AD82)))</f>
        <v>0</v>
      </c>
      <c r="AG82" s="1100"/>
      <c r="AH82" s="1100"/>
      <c r="AI82" s="1100"/>
      <c r="AJ82" s="1100">
        <f>'ANSP Capex'!AH78</f>
        <v>0</v>
      </c>
      <c r="AK82" s="1101">
        <f>IF($BK82=0,0,IF(SUM($AG82:AJ82)&lt;($L82-12),12,$L82-SUM($AG82:AJ82)))</f>
        <v>0</v>
      </c>
      <c r="AM82" s="1100"/>
      <c r="AN82" s="1100"/>
      <c r="AO82" s="1100"/>
      <c r="AP82" s="1100"/>
      <c r="AQ82" s="1100">
        <f>'ANSP Capex'!AO78</f>
        <v>0</v>
      </c>
      <c r="AS82" s="153">
        <f t="shared" si="3"/>
        <v>0.58344999999999991</v>
      </c>
      <c r="AT82" s="153">
        <f t="shared" si="4"/>
        <v>0</v>
      </c>
      <c r="AU82" s="153">
        <f t="shared" si="5"/>
        <v>0</v>
      </c>
      <c r="AV82" s="153">
        <f t="shared" si="6"/>
        <v>0</v>
      </c>
      <c r="AW82" s="153">
        <f t="shared" si="7"/>
        <v>0</v>
      </c>
      <c r="AX82" s="153"/>
      <c r="AY82" s="1543">
        <f>'ANSP Capex'!AW78</f>
        <v>0.75</v>
      </c>
      <c r="AZ82" s="1102"/>
      <c r="BA82" s="1543">
        <f>'ANSP Capex'!AY78</f>
        <v>0.25</v>
      </c>
      <c r="BC82" s="1126"/>
      <c r="BD82" s="1126"/>
      <c r="BE82" s="1126"/>
      <c r="BF82" s="1126"/>
      <c r="BG82" s="1126"/>
      <c r="BH82" s="1126">
        <f>'ANSP Capex'!BF78*IF($I82="",(1+INDEX($I$41:$I$42,MATCH($F82,$F$41:$F$42,0))),(1+$I82))</f>
        <v>0.6</v>
      </c>
      <c r="BI82" s="1126">
        <f>'ANSP Capex'!BG78*IF($I82="",(1+INDEX($I$41:$I$42,MATCH($F82,$F$41:$F$42,0))),(1+$I82))</f>
        <v>0</v>
      </c>
      <c r="BJ82" s="1126">
        <f>'ANSP Capex'!BH78*IF($I82="",(1+INDEX($I$41:$I$42,MATCH($F82,$F$41:$F$42,0))),(1+$I82))</f>
        <v>0</v>
      </c>
      <c r="BK82" s="1126">
        <f>'ANSP Capex'!BI78*IF($I82="",(1+INDEX($I$41:$I$42,MATCH($F82,$F$41:$F$42,0))),(1+$I82))</f>
        <v>0</v>
      </c>
      <c r="BL82" s="1126">
        <f>'ANSP Capex'!BJ78*IF($I82="",(1+INDEX($I$41:$I$42,MATCH($F82,$F$41:$F$42,0))),(1+$I82))</f>
        <v>0</v>
      </c>
    </row>
    <row r="83" spans="1:64" outlineLevel="2">
      <c r="A83" s="1094"/>
      <c r="B83" s="1094"/>
      <c r="C83" s="1083" t="str">
        <f>'ANSP Capex'!C79</f>
        <v>T017 - TOSHIBA X20 W20008068</v>
      </c>
      <c r="D83" s="1083" t="str">
        <f>'ANSP Capex'!D79</f>
        <v>IT Equipment</v>
      </c>
      <c r="E83" s="1083" t="str">
        <f>'ANSP Capex'!E79</f>
        <v>T0170213</v>
      </c>
      <c r="F83" s="1083">
        <f>'ANSP Capex'!F79</f>
        <v>2020</v>
      </c>
      <c r="G83" s="1101">
        <f t="shared" si="0"/>
        <v>0.90061000000000002</v>
      </c>
      <c r="H83" s="1083" t="str">
        <f>'ANSP Capex'!H79</f>
        <v>€'000</v>
      </c>
      <c r="I83" s="829"/>
      <c r="J83" s="1097">
        <f>'ANSP Capex'!I79</f>
        <v>3.0833333333333335</v>
      </c>
      <c r="K83" s="1124">
        <v>0</v>
      </c>
      <c r="L83" s="1098">
        <f t="shared" si="1"/>
        <v>37</v>
      </c>
      <c r="M83" s="153">
        <f t="shared" si="2"/>
        <v>0.32432432432432429</v>
      </c>
      <c r="N83" s="1099"/>
      <c r="O83" s="1100">
        <f>'ANSP Capex'!M79</f>
        <v>7.1953231698515445</v>
      </c>
      <c r="P83" s="1101">
        <f>IF($BH83=0,0,IF(SUM($O83:O83)&lt;($L83-12),12,$L83-SUM($O83:O83)))</f>
        <v>12</v>
      </c>
      <c r="Q83" s="1101">
        <f>IF($BH83=0,0,IF(SUM($O83:P83)&lt;($L83-12),12,$L83-SUM($O83:P83)))</f>
        <v>12</v>
      </c>
      <c r="R83" s="1101">
        <f>IF($BH83=0,0,IF(SUM($O83:Q83)&lt;($L83-12),12,$L83-SUM($O83:Q83)))</f>
        <v>5.8046768301484555</v>
      </c>
      <c r="S83" s="1101">
        <f>IF($BH83=0,0,IF(SUM($O83:R83)&lt;($L83-12),12,$L83-SUM($O83:R83)))</f>
        <v>0</v>
      </c>
      <c r="U83" s="1100"/>
      <c r="V83" s="1100">
        <f>'ANSP Capex'!T79</f>
        <v>0</v>
      </c>
      <c r="W83" s="1101">
        <f>IF($BI83=0,0,IF(SUM($U83:V83)&lt;($L83-12),12,$L83-SUM($U83:V83)))</f>
        <v>0</v>
      </c>
      <c r="X83" s="1101">
        <f>IF($BI83=0,0,IF(SUM($U83:W83)&lt;($L83-12),12,$L83-SUM($U83:W83)))</f>
        <v>0</v>
      </c>
      <c r="Y83" s="1101">
        <f>IF($BI83=0,0,IF(SUM($U83:X83)&lt;($L83-12),12,$L83-SUM($U83:X83)))</f>
        <v>0</v>
      </c>
      <c r="AA83" s="1100"/>
      <c r="AB83" s="1100"/>
      <c r="AC83" s="1100">
        <f>'ANSP Capex'!AA79</f>
        <v>0</v>
      </c>
      <c r="AD83" s="1101">
        <f>IF($BJ83=0,0,IF(SUM($AA83:AC83)&lt;($L83-12),12,$L83-SUM($AA83:AC83)))</f>
        <v>0</v>
      </c>
      <c r="AE83" s="1101">
        <f>IF($BJ83=0,0,IF(SUM($AA83:AD83)&lt;($L83-12),12,$L83-SUM($AA83:AD83)))</f>
        <v>0</v>
      </c>
      <c r="AG83" s="1100"/>
      <c r="AH83" s="1100"/>
      <c r="AI83" s="1100"/>
      <c r="AJ83" s="1100">
        <f>'ANSP Capex'!AH79</f>
        <v>0</v>
      </c>
      <c r="AK83" s="1101">
        <f>IF($BK83=0,0,IF(SUM($AG83:AJ83)&lt;($L83-12),12,$L83-SUM($AG83:AJ83)))</f>
        <v>0</v>
      </c>
      <c r="AM83" s="1100"/>
      <c r="AN83" s="1100"/>
      <c r="AO83" s="1100"/>
      <c r="AP83" s="1100"/>
      <c r="AQ83" s="1100">
        <f>'ANSP Capex'!AO79</f>
        <v>0</v>
      </c>
      <c r="AS83" s="153">
        <f t="shared" si="3"/>
        <v>0.59961026415429541</v>
      </c>
      <c r="AT83" s="153">
        <f t="shared" si="4"/>
        <v>0</v>
      </c>
      <c r="AU83" s="153">
        <f t="shared" si="5"/>
        <v>0</v>
      </c>
      <c r="AV83" s="153">
        <f t="shared" si="6"/>
        <v>0</v>
      </c>
      <c r="AW83" s="153">
        <f t="shared" si="7"/>
        <v>0</v>
      </c>
      <c r="AX83" s="153"/>
      <c r="AY83" s="1543">
        <f>'ANSP Capex'!AW79</f>
        <v>0.75</v>
      </c>
      <c r="AZ83" s="1102"/>
      <c r="BA83" s="1543">
        <f>'ANSP Capex'!AY79</f>
        <v>0.25</v>
      </c>
      <c r="BC83" s="1126"/>
      <c r="BD83" s="1126"/>
      <c r="BE83" s="1126"/>
      <c r="BF83" s="1126"/>
      <c r="BG83" s="1126"/>
      <c r="BH83" s="1126">
        <f>'ANSP Capex'!BF79*IF($I83="",(1+INDEX($I$41:$I$42,MATCH($F83,$F$41:$F$42,0))),(1+$I83))</f>
        <v>0.90061000000000002</v>
      </c>
      <c r="BI83" s="1126">
        <f>'ANSP Capex'!BG79*IF($I83="",(1+INDEX($I$41:$I$42,MATCH($F83,$F$41:$F$42,0))),(1+$I83))</f>
        <v>0</v>
      </c>
      <c r="BJ83" s="1126">
        <f>'ANSP Capex'!BH79*IF($I83="",(1+INDEX($I$41:$I$42,MATCH($F83,$F$41:$F$42,0))),(1+$I83))</f>
        <v>0</v>
      </c>
      <c r="BK83" s="1126">
        <f>'ANSP Capex'!BI79*IF($I83="",(1+INDEX($I$41:$I$42,MATCH($F83,$F$41:$F$42,0))),(1+$I83))</f>
        <v>0</v>
      </c>
      <c r="BL83" s="1126">
        <f>'ANSP Capex'!BJ79*IF($I83="",(1+INDEX($I$41:$I$42,MATCH($F83,$F$41:$F$42,0))),(1+$I83))</f>
        <v>0</v>
      </c>
    </row>
    <row r="84" spans="1:64" outlineLevel="2">
      <c r="A84" s="1094"/>
      <c r="B84" s="1094"/>
      <c r="C84" s="1083" t="str">
        <f>'ANSP Capex'!C80</f>
        <v>T017 - TOSHIBA X20 W20008012</v>
      </c>
      <c r="D84" s="1083" t="str">
        <f>'ANSP Capex'!D80</f>
        <v>IT Equipment</v>
      </c>
      <c r="E84" s="1083" t="str">
        <f>'ANSP Capex'!E80</f>
        <v>T0170235</v>
      </c>
      <c r="F84" s="1083">
        <f>'ANSP Capex'!F80</f>
        <v>2020</v>
      </c>
      <c r="G84" s="1101">
        <f t="shared" si="0"/>
        <v>1.50641</v>
      </c>
      <c r="H84" s="1083" t="str">
        <f>'ANSP Capex'!H80</f>
        <v>€'000</v>
      </c>
      <c r="I84" s="829"/>
      <c r="J84" s="1097">
        <f>'ANSP Capex'!I80</f>
        <v>3</v>
      </c>
      <c r="K84" s="1124">
        <v>0</v>
      </c>
      <c r="L84" s="1098">
        <f t="shared" si="1"/>
        <v>36</v>
      </c>
      <c r="M84" s="153">
        <f t="shared" si="2"/>
        <v>0.33333333333333331</v>
      </c>
      <c r="N84" s="1099"/>
      <c r="O84" s="1100">
        <f>'ANSP Capex'!M80</f>
        <v>6.9999269787109757</v>
      </c>
      <c r="P84" s="1101">
        <f>IF($BH84=0,0,IF(SUM($O84:O84)&lt;($L84-12),12,$L84-SUM($O84:O84)))</f>
        <v>12</v>
      </c>
      <c r="Q84" s="1101">
        <f>IF($BH84=0,0,IF(SUM($O84:P84)&lt;($L84-12),12,$L84-SUM($O84:P84)))</f>
        <v>12</v>
      </c>
      <c r="R84" s="1101">
        <f>IF($BH84=0,0,IF(SUM($O84:Q84)&lt;($L84-12),12,$L84-SUM($O84:Q84)))</f>
        <v>5.0000730212890261</v>
      </c>
      <c r="S84" s="1101">
        <f>IF($BH84=0,0,IF(SUM($O84:R84)&lt;($L84-12),12,$L84-SUM($O84:R84)))</f>
        <v>0</v>
      </c>
      <c r="U84" s="1100"/>
      <c r="V84" s="1100">
        <f>'ANSP Capex'!T80</f>
        <v>0</v>
      </c>
      <c r="W84" s="1101">
        <f>IF($BI84=0,0,IF(SUM($U84:V84)&lt;($L84-12),12,$L84-SUM($U84:V84)))</f>
        <v>0</v>
      </c>
      <c r="X84" s="1101">
        <f>IF($BI84=0,0,IF(SUM($U84:W84)&lt;($L84-12),12,$L84-SUM($U84:W84)))</f>
        <v>0</v>
      </c>
      <c r="Y84" s="1101">
        <f>IF($BI84=0,0,IF(SUM($U84:X84)&lt;($L84-12),12,$L84-SUM($U84:X84)))</f>
        <v>0</v>
      </c>
      <c r="AA84" s="1100"/>
      <c r="AB84" s="1100"/>
      <c r="AC84" s="1100">
        <f>'ANSP Capex'!AA80</f>
        <v>0</v>
      </c>
      <c r="AD84" s="1101">
        <f>IF($BJ84=0,0,IF(SUM($AA84:AC84)&lt;($L84-12),12,$L84-SUM($AA84:AC84)))</f>
        <v>0</v>
      </c>
      <c r="AE84" s="1101">
        <f>IF($BJ84=0,0,IF(SUM($AA84:AD84)&lt;($L84-12),12,$L84-SUM($AA84:AD84)))</f>
        <v>0</v>
      </c>
      <c r="AG84" s="1100"/>
      <c r="AH84" s="1100"/>
      <c r="AI84" s="1100"/>
      <c r="AJ84" s="1100">
        <f>'ANSP Capex'!AH80</f>
        <v>0</v>
      </c>
      <c r="AK84" s="1101">
        <f>IF($BK84=0,0,IF(SUM($AG84:AJ84)&lt;($L84-12),12,$L84-SUM($AG84:AJ84)))</f>
        <v>0</v>
      </c>
      <c r="AM84" s="1100"/>
      <c r="AN84" s="1100"/>
      <c r="AO84" s="1100"/>
      <c r="AP84" s="1100"/>
      <c r="AQ84" s="1100">
        <f>'ANSP Capex'!AO80</f>
        <v>0</v>
      </c>
      <c r="AS84" s="153">
        <f t="shared" si="3"/>
        <v>0.58332724822591464</v>
      </c>
      <c r="AT84" s="153">
        <f t="shared" si="4"/>
        <v>0</v>
      </c>
      <c r="AU84" s="153">
        <f t="shared" si="5"/>
        <v>0</v>
      </c>
      <c r="AV84" s="153">
        <f t="shared" si="6"/>
        <v>0</v>
      </c>
      <c r="AW84" s="153">
        <f t="shared" si="7"/>
        <v>0</v>
      </c>
      <c r="AX84" s="153"/>
      <c r="AY84" s="1543">
        <f>'ANSP Capex'!AW80</f>
        <v>0.75</v>
      </c>
      <c r="AZ84" s="1102"/>
      <c r="BA84" s="1543">
        <f>'ANSP Capex'!AY80</f>
        <v>0.25</v>
      </c>
      <c r="BC84" s="1126"/>
      <c r="BD84" s="1126"/>
      <c r="BE84" s="1126"/>
      <c r="BF84" s="1126"/>
      <c r="BG84" s="1126"/>
      <c r="BH84" s="1126">
        <f>'ANSP Capex'!BF80*IF($I84="",(1+INDEX($I$41:$I$42,MATCH($F84,$F$41:$F$42,0))),(1+$I84))</f>
        <v>1.50641</v>
      </c>
      <c r="BI84" s="1126">
        <f>'ANSP Capex'!BG80*IF($I84="",(1+INDEX($I$41:$I$42,MATCH($F84,$F$41:$F$42,0))),(1+$I84))</f>
        <v>0</v>
      </c>
      <c r="BJ84" s="1126">
        <f>'ANSP Capex'!BH80*IF($I84="",(1+INDEX($I$41:$I$42,MATCH($F84,$F$41:$F$42,0))),(1+$I84))</f>
        <v>0</v>
      </c>
      <c r="BK84" s="1126">
        <f>'ANSP Capex'!BI80*IF($I84="",(1+INDEX($I$41:$I$42,MATCH($F84,$F$41:$F$42,0))),(1+$I84))</f>
        <v>0</v>
      </c>
      <c r="BL84" s="1126">
        <f>'ANSP Capex'!BJ80*IF($I84="",(1+INDEX($I$41:$I$42,MATCH($F84,$F$41:$F$42,0))),(1+$I84))</f>
        <v>0</v>
      </c>
    </row>
    <row r="85" spans="1:64" outlineLevel="2">
      <c r="A85" s="1094"/>
      <c r="B85" s="1094"/>
      <c r="C85" s="1083" t="str">
        <f>'ANSP Capex'!C81</f>
        <v>T017 - HP G7 CORE W20008095</v>
      </c>
      <c r="D85" s="1083" t="str">
        <f>'ANSP Capex'!D81</f>
        <v>IT Equipment</v>
      </c>
      <c r="E85" s="1083" t="str">
        <f>'ANSP Capex'!E81</f>
        <v>T0170249</v>
      </c>
      <c r="F85" s="1083">
        <f>'ANSP Capex'!F81</f>
        <v>2020</v>
      </c>
      <c r="G85" s="1101">
        <f t="shared" si="0"/>
        <v>0.69499999999999995</v>
      </c>
      <c r="H85" s="1083" t="str">
        <f>'ANSP Capex'!H81</f>
        <v>€'000</v>
      </c>
      <c r="I85" s="829"/>
      <c r="J85" s="1097">
        <f>'ANSP Capex'!I81</f>
        <v>3</v>
      </c>
      <c r="K85" s="1124">
        <v>0</v>
      </c>
      <c r="L85" s="1098">
        <f t="shared" si="1"/>
        <v>36</v>
      </c>
      <c r="M85" s="153">
        <f t="shared" si="2"/>
        <v>0.33333333333333331</v>
      </c>
      <c r="N85" s="1099"/>
      <c r="O85" s="1100">
        <f>'ANSP Capex'!M81</f>
        <v>7.0010935251798552</v>
      </c>
      <c r="P85" s="1101">
        <f>IF($BH85=0,0,IF(SUM($O85:O85)&lt;($L85-12),12,$L85-SUM($O85:O85)))</f>
        <v>12</v>
      </c>
      <c r="Q85" s="1101">
        <f>IF($BH85=0,0,IF(SUM($O85:P85)&lt;($L85-12),12,$L85-SUM($O85:P85)))</f>
        <v>12</v>
      </c>
      <c r="R85" s="1101">
        <f>IF($BH85=0,0,IF(SUM($O85:Q85)&lt;($L85-12),12,$L85-SUM($O85:Q85)))</f>
        <v>4.9989064748201457</v>
      </c>
      <c r="S85" s="1101">
        <f>IF($BH85=0,0,IF(SUM($O85:R85)&lt;($L85-12),12,$L85-SUM($O85:R85)))</f>
        <v>0</v>
      </c>
      <c r="U85" s="1100"/>
      <c r="V85" s="1100">
        <f>'ANSP Capex'!T81</f>
        <v>0</v>
      </c>
      <c r="W85" s="1101">
        <f>IF($BI85=0,0,IF(SUM($U85:V85)&lt;($L85-12),12,$L85-SUM($U85:V85)))</f>
        <v>0</v>
      </c>
      <c r="X85" s="1101">
        <f>IF($BI85=0,0,IF(SUM($U85:W85)&lt;($L85-12),12,$L85-SUM($U85:W85)))</f>
        <v>0</v>
      </c>
      <c r="Y85" s="1101">
        <f>IF($BI85=0,0,IF(SUM($U85:X85)&lt;($L85-12),12,$L85-SUM($U85:X85)))</f>
        <v>0</v>
      </c>
      <c r="AA85" s="1100"/>
      <c r="AB85" s="1100"/>
      <c r="AC85" s="1100">
        <f>'ANSP Capex'!AA81</f>
        <v>0</v>
      </c>
      <c r="AD85" s="1101">
        <f>IF($BJ85=0,0,IF(SUM($AA85:AC85)&lt;($L85-12),12,$L85-SUM($AA85:AC85)))</f>
        <v>0</v>
      </c>
      <c r="AE85" s="1101">
        <f>IF($BJ85=0,0,IF(SUM($AA85:AD85)&lt;($L85-12),12,$L85-SUM($AA85:AD85)))</f>
        <v>0</v>
      </c>
      <c r="AG85" s="1100"/>
      <c r="AH85" s="1100"/>
      <c r="AI85" s="1100"/>
      <c r="AJ85" s="1100">
        <f>'ANSP Capex'!AH81</f>
        <v>0</v>
      </c>
      <c r="AK85" s="1101">
        <f>IF($BK85=0,0,IF(SUM($AG85:AJ85)&lt;($L85-12),12,$L85-SUM($AG85:AJ85)))</f>
        <v>0</v>
      </c>
      <c r="AM85" s="1100"/>
      <c r="AN85" s="1100"/>
      <c r="AO85" s="1100"/>
      <c r="AP85" s="1100"/>
      <c r="AQ85" s="1100">
        <f>'ANSP Capex'!AO81</f>
        <v>0</v>
      </c>
      <c r="AS85" s="153">
        <f t="shared" si="3"/>
        <v>0.58342446043165463</v>
      </c>
      <c r="AT85" s="153">
        <f t="shared" si="4"/>
        <v>0</v>
      </c>
      <c r="AU85" s="153">
        <f t="shared" si="5"/>
        <v>0</v>
      </c>
      <c r="AV85" s="153">
        <f t="shared" si="6"/>
        <v>0</v>
      </c>
      <c r="AW85" s="153">
        <f t="shared" si="7"/>
        <v>0</v>
      </c>
      <c r="AX85" s="153"/>
      <c r="AY85" s="1543">
        <f>'ANSP Capex'!AW81</f>
        <v>0.75</v>
      </c>
      <c r="AZ85" s="1102"/>
      <c r="BA85" s="1543">
        <f>'ANSP Capex'!AY81</f>
        <v>0.25</v>
      </c>
      <c r="BC85" s="1126"/>
      <c r="BD85" s="1126"/>
      <c r="BE85" s="1126"/>
      <c r="BF85" s="1126"/>
      <c r="BG85" s="1126"/>
      <c r="BH85" s="1126">
        <f>'ANSP Capex'!BF81*IF($I85="",(1+INDEX($I$41:$I$42,MATCH($F85,$F$41:$F$42,0))),(1+$I85))</f>
        <v>0.69499999999999995</v>
      </c>
      <c r="BI85" s="1126">
        <f>'ANSP Capex'!BG81*IF($I85="",(1+INDEX($I$41:$I$42,MATCH($F85,$F$41:$F$42,0))),(1+$I85))</f>
        <v>0</v>
      </c>
      <c r="BJ85" s="1126">
        <f>'ANSP Capex'!BH81*IF($I85="",(1+INDEX($I$41:$I$42,MATCH($F85,$F$41:$F$42,0))),(1+$I85))</f>
        <v>0</v>
      </c>
      <c r="BK85" s="1126">
        <f>'ANSP Capex'!BI81*IF($I85="",(1+INDEX($I$41:$I$42,MATCH($F85,$F$41:$F$42,0))),(1+$I85))</f>
        <v>0</v>
      </c>
      <c r="BL85" s="1126">
        <f>'ANSP Capex'!BJ81*IF($I85="",(1+INDEX($I$41:$I$42,MATCH($F85,$F$41:$F$42,0))),(1+$I85))</f>
        <v>0</v>
      </c>
    </row>
    <row r="86" spans="1:64" outlineLevel="2">
      <c r="A86" s="1094"/>
      <c r="B86" s="1094"/>
      <c r="C86" s="1083" t="str">
        <f>'ANSP Capex'!C82</f>
        <v>T017 - TOSHIBA W20008013</v>
      </c>
      <c r="D86" s="1083" t="str">
        <f>'ANSP Capex'!D82</f>
        <v>IT Equipment</v>
      </c>
      <c r="E86" s="1083" t="str">
        <f>'ANSP Capex'!E82</f>
        <v>T0170258</v>
      </c>
      <c r="F86" s="1083">
        <f>'ANSP Capex'!F82</f>
        <v>2020</v>
      </c>
      <c r="G86" s="1101">
        <f t="shared" si="0"/>
        <v>1.50641</v>
      </c>
      <c r="H86" s="1083" t="str">
        <f>'ANSP Capex'!H82</f>
        <v>€'000</v>
      </c>
      <c r="I86" s="829"/>
      <c r="J86" s="1097">
        <f>'ANSP Capex'!I82</f>
        <v>3</v>
      </c>
      <c r="K86" s="1124">
        <v>0</v>
      </c>
      <c r="L86" s="1098">
        <f t="shared" si="1"/>
        <v>36</v>
      </c>
      <c r="M86" s="153">
        <f t="shared" si="2"/>
        <v>0.33333333333333331</v>
      </c>
      <c r="N86" s="1099"/>
      <c r="O86" s="1100">
        <f>'ANSP Capex'!M82</f>
        <v>9.749855616996701</v>
      </c>
      <c r="P86" s="1101">
        <f>IF($BH86=0,0,IF(SUM($O86:O86)&lt;($L86-12),12,$L86-SUM($O86:O86)))</f>
        <v>12</v>
      </c>
      <c r="Q86" s="1101">
        <f>IF($BH86=0,0,IF(SUM($O86:P86)&lt;($L86-12),12,$L86-SUM($O86:P86)))</f>
        <v>12</v>
      </c>
      <c r="R86" s="1101">
        <f>IF($BH86=0,0,IF(SUM($O86:Q86)&lt;($L86-12),12,$L86-SUM($O86:Q86)))</f>
        <v>2.2501443830033026</v>
      </c>
      <c r="S86" s="1101">
        <f>IF($BH86=0,0,IF(SUM($O86:R86)&lt;($L86-12),12,$L86-SUM($O86:R86)))</f>
        <v>0</v>
      </c>
      <c r="U86" s="1100"/>
      <c r="V86" s="1100">
        <f>'ANSP Capex'!T82</f>
        <v>0</v>
      </c>
      <c r="W86" s="1101">
        <f>IF($BI86=0,0,IF(SUM($U86:V86)&lt;($L86-12),12,$L86-SUM($U86:V86)))</f>
        <v>0</v>
      </c>
      <c r="X86" s="1101">
        <f>IF($BI86=0,0,IF(SUM($U86:W86)&lt;($L86-12),12,$L86-SUM($U86:W86)))</f>
        <v>0</v>
      </c>
      <c r="Y86" s="1101">
        <f>IF($BI86=0,0,IF(SUM($U86:X86)&lt;($L86-12),12,$L86-SUM($U86:X86)))</f>
        <v>0</v>
      </c>
      <c r="AA86" s="1100"/>
      <c r="AB86" s="1100"/>
      <c r="AC86" s="1100">
        <f>'ANSP Capex'!AA82</f>
        <v>0</v>
      </c>
      <c r="AD86" s="1101">
        <f>IF($BJ86=0,0,IF(SUM($AA86:AC86)&lt;($L86-12),12,$L86-SUM($AA86:AC86)))</f>
        <v>0</v>
      </c>
      <c r="AE86" s="1101">
        <f>IF($BJ86=0,0,IF(SUM($AA86:AD86)&lt;($L86-12),12,$L86-SUM($AA86:AD86)))</f>
        <v>0</v>
      </c>
      <c r="AG86" s="1100"/>
      <c r="AH86" s="1100"/>
      <c r="AI86" s="1100"/>
      <c r="AJ86" s="1100">
        <f>'ANSP Capex'!AH82</f>
        <v>0</v>
      </c>
      <c r="AK86" s="1101">
        <f>IF($BK86=0,0,IF(SUM($AG86:AJ86)&lt;($L86-12),12,$L86-SUM($AG86:AJ86)))</f>
        <v>0</v>
      </c>
      <c r="AM86" s="1100"/>
      <c r="AN86" s="1100"/>
      <c r="AO86" s="1100"/>
      <c r="AP86" s="1100"/>
      <c r="AQ86" s="1100">
        <f>'ANSP Capex'!AO82</f>
        <v>0</v>
      </c>
      <c r="AS86" s="153">
        <f t="shared" si="3"/>
        <v>0.81248796808305845</v>
      </c>
      <c r="AT86" s="153">
        <f t="shared" si="4"/>
        <v>0</v>
      </c>
      <c r="AU86" s="153">
        <f t="shared" si="5"/>
        <v>0</v>
      </c>
      <c r="AV86" s="153">
        <f t="shared" si="6"/>
        <v>0</v>
      </c>
      <c r="AW86" s="153">
        <f t="shared" si="7"/>
        <v>0</v>
      </c>
      <c r="AX86" s="153"/>
      <c r="AY86" s="1543">
        <f>'ANSP Capex'!AW82</f>
        <v>0.75</v>
      </c>
      <c r="AZ86" s="1102"/>
      <c r="BA86" s="1543">
        <f>'ANSP Capex'!AY82</f>
        <v>0.25</v>
      </c>
      <c r="BC86" s="1126"/>
      <c r="BD86" s="1126"/>
      <c r="BE86" s="1126"/>
      <c r="BF86" s="1126"/>
      <c r="BG86" s="1126"/>
      <c r="BH86" s="1126">
        <f>'ANSP Capex'!BF82*IF($I86="",(1+INDEX($I$41:$I$42,MATCH($F86,$F$41:$F$42,0))),(1+$I86))</f>
        <v>1.50641</v>
      </c>
      <c r="BI86" s="1126">
        <f>'ANSP Capex'!BG82*IF($I86="",(1+INDEX($I$41:$I$42,MATCH($F86,$F$41:$F$42,0))),(1+$I86))</f>
        <v>0</v>
      </c>
      <c r="BJ86" s="1126">
        <f>'ANSP Capex'!BH82*IF($I86="",(1+INDEX($I$41:$I$42,MATCH($F86,$F$41:$F$42,0))),(1+$I86))</f>
        <v>0</v>
      </c>
      <c r="BK86" s="1126">
        <f>'ANSP Capex'!BI82*IF($I86="",(1+INDEX($I$41:$I$42,MATCH($F86,$F$41:$F$42,0))),(1+$I86))</f>
        <v>0</v>
      </c>
      <c r="BL86" s="1126">
        <f>'ANSP Capex'!BJ82*IF($I86="",(1+INDEX($I$41:$I$42,MATCH($F86,$F$41:$F$42,0))),(1+$I86))</f>
        <v>0</v>
      </c>
    </row>
    <row r="87" spans="1:64" outlineLevel="2">
      <c r="A87" s="1094"/>
      <c r="B87" s="1094"/>
      <c r="C87" s="1083" t="str">
        <f>'ANSP Capex'!C83</f>
        <v>T017 - TOSHIBA W20008083</v>
      </c>
      <c r="D87" s="1083" t="str">
        <f>'ANSP Capex'!D83</f>
        <v>IT Equipment</v>
      </c>
      <c r="E87" s="1083" t="str">
        <f>'ANSP Capex'!E83</f>
        <v>T0170260</v>
      </c>
      <c r="F87" s="1083">
        <f>'ANSP Capex'!F83</f>
        <v>2020</v>
      </c>
      <c r="G87" s="1101">
        <f t="shared" si="0"/>
        <v>0.90061000000000002</v>
      </c>
      <c r="H87" s="1083" t="str">
        <f>'ANSP Capex'!H83</f>
        <v>€'000</v>
      </c>
      <c r="I87" s="829"/>
      <c r="J87" s="1097">
        <f>'ANSP Capex'!I83</f>
        <v>3.0833333333333335</v>
      </c>
      <c r="K87" s="1124">
        <v>0</v>
      </c>
      <c r="L87" s="1098">
        <f t="shared" si="1"/>
        <v>37</v>
      </c>
      <c r="M87" s="153">
        <f t="shared" si="2"/>
        <v>0.32432432432432429</v>
      </c>
      <c r="N87" s="1099"/>
      <c r="O87" s="1100">
        <f>'ANSP Capex'!M83</f>
        <v>10.27903309978792</v>
      </c>
      <c r="P87" s="1101">
        <f>IF($BH87=0,0,IF(SUM($O87:O87)&lt;($L87-12),12,$L87-SUM($O87:O87)))</f>
        <v>12</v>
      </c>
      <c r="Q87" s="1101">
        <f>IF($BH87=0,0,IF(SUM($O87:P87)&lt;($L87-12),12,$L87-SUM($O87:P87)))</f>
        <v>12</v>
      </c>
      <c r="R87" s="1101">
        <f>IF($BH87=0,0,IF(SUM($O87:Q87)&lt;($L87-12),12,$L87-SUM($O87:Q87)))</f>
        <v>2.7209669002120762</v>
      </c>
      <c r="S87" s="1101">
        <f>IF($BH87=0,0,IF(SUM($O87:R87)&lt;($L87-12),12,$L87-SUM($O87:R87)))</f>
        <v>0</v>
      </c>
      <c r="U87" s="1100"/>
      <c r="V87" s="1100">
        <f>'ANSP Capex'!T83</f>
        <v>0</v>
      </c>
      <c r="W87" s="1101">
        <f>IF($BI87=0,0,IF(SUM($U87:V87)&lt;($L87-12),12,$L87-SUM($U87:V87)))</f>
        <v>0</v>
      </c>
      <c r="X87" s="1101">
        <f>IF($BI87=0,0,IF(SUM($U87:W87)&lt;($L87-12),12,$L87-SUM($U87:W87)))</f>
        <v>0</v>
      </c>
      <c r="Y87" s="1101">
        <f>IF($BI87=0,0,IF(SUM($U87:X87)&lt;($L87-12),12,$L87-SUM($U87:X87)))</f>
        <v>0</v>
      </c>
      <c r="AA87" s="1100"/>
      <c r="AB87" s="1100"/>
      <c r="AC87" s="1100">
        <f>'ANSP Capex'!AA83</f>
        <v>0</v>
      </c>
      <c r="AD87" s="1101">
        <f>IF($BJ87=0,0,IF(SUM($AA87:AC87)&lt;($L87-12),12,$L87-SUM($AA87:AC87)))</f>
        <v>0</v>
      </c>
      <c r="AE87" s="1101">
        <f>IF($BJ87=0,0,IF(SUM($AA87:AD87)&lt;($L87-12),12,$L87-SUM($AA87:AD87)))</f>
        <v>0</v>
      </c>
      <c r="AG87" s="1100"/>
      <c r="AH87" s="1100"/>
      <c r="AI87" s="1100"/>
      <c r="AJ87" s="1100">
        <f>'ANSP Capex'!AH83</f>
        <v>0</v>
      </c>
      <c r="AK87" s="1101">
        <f>IF($BK87=0,0,IF(SUM($AG87:AJ87)&lt;($L87-12),12,$L87-SUM($AG87:AJ87)))</f>
        <v>0</v>
      </c>
      <c r="AM87" s="1100"/>
      <c r="AN87" s="1100"/>
      <c r="AO87" s="1100"/>
      <c r="AP87" s="1100"/>
      <c r="AQ87" s="1100">
        <f>'ANSP Capex'!AO83</f>
        <v>0</v>
      </c>
      <c r="AS87" s="153">
        <f t="shared" si="3"/>
        <v>0.85658609164899335</v>
      </c>
      <c r="AT87" s="153">
        <f t="shared" si="4"/>
        <v>0</v>
      </c>
      <c r="AU87" s="153">
        <f t="shared" si="5"/>
        <v>0</v>
      </c>
      <c r="AV87" s="153">
        <f t="shared" si="6"/>
        <v>0</v>
      </c>
      <c r="AW87" s="153">
        <f t="shared" si="7"/>
        <v>0</v>
      </c>
      <c r="AX87" s="153"/>
      <c r="AY87" s="1543">
        <f>'ANSP Capex'!AW83</f>
        <v>0.75</v>
      </c>
      <c r="AZ87" s="1102"/>
      <c r="BA87" s="1543">
        <f>'ANSP Capex'!AY83</f>
        <v>0.25</v>
      </c>
      <c r="BC87" s="1126"/>
      <c r="BD87" s="1126"/>
      <c r="BE87" s="1126"/>
      <c r="BF87" s="1126"/>
      <c r="BG87" s="1126"/>
      <c r="BH87" s="1126">
        <f>'ANSP Capex'!BF83*IF($I87="",(1+INDEX($I$41:$I$42,MATCH($F87,$F$41:$F$42,0))),(1+$I87))</f>
        <v>0.90061000000000002</v>
      </c>
      <c r="BI87" s="1126">
        <f>'ANSP Capex'!BG83*IF($I87="",(1+INDEX($I$41:$I$42,MATCH($F87,$F$41:$F$42,0))),(1+$I87))</f>
        <v>0</v>
      </c>
      <c r="BJ87" s="1126">
        <f>'ANSP Capex'!BH83*IF($I87="",(1+INDEX($I$41:$I$42,MATCH($F87,$F$41:$F$42,0))),(1+$I87))</f>
        <v>0</v>
      </c>
      <c r="BK87" s="1126">
        <f>'ANSP Capex'!BI83*IF($I87="",(1+INDEX($I$41:$I$42,MATCH($F87,$F$41:$F$42,0))),(1+$I87))</f>
        <v>0</v>
      </c>
      <c r="BL87" s="1126">
        <f>'ANSP Capex'!BJ83*IF($I87="",(1+INDEX($I$41:$I$42,MATCH($F87,$F$41:$F$42,0))),(1+$I87))</f>
        <v>0</v>
      </c>
    </row>
    <row r="88" spans="1:64" outlineLevel="2">
      <c r="A88" s="1094"/>
      <c r="B88" s="1094"/>
      <c r="C88" s="1083" t="str">
        <f>'ANSP Capex'!C84</f>
        <v>T017 - TOSHIBA W20008068</v>
      </c>
      <c r="D88" s="1083" t="str">
        <f>'ANSP Capex'!D84</f>
        <v>IT Equipment</v>
      </c>
      <c r="E88" s="1083" t="str">
        <f>'ANSP Capex'!E84</f>
        <v>T0170261</v>
      </c>
      <c r="F88" s="1083">
        <f>'ANSP Capex'!F84</f>
        <v>2020</v>
      </c>
      <c r="G88" s="1101">
        <f t="shared" si="0"/>
        <v>0.60580000000000001</v>
      </c>
      <c r="H88" s="1083" t="str">
        <f>'ANSP Capex'!H84</f>
        <v>€'000</v>
      </c>
      <c r="I88" s="829"/>
      <c r="J88" s="1097">
        <f>'ANSP Capex'!I84</f>
        <v>3</v>
      </c>
      <c r="K88" s="1124">
        <v>0</v>
      </c>
      <c r="L88" s="1098">
        <f t="shared" si="1"/>
        <v>36</v>
      </c>
      <c r="M88" s="153">
        <f t="shared" si="2"/>
        <v>0.33333333333333331</v>
      </c>
      <c r="N88" s="1099"/>
      <c r="O88" s="1100">
        <f>'ANSP Capex'!M84</f>
        <v>7.0009243974909223</v>
      </c>
      <c r="P88" s="1101">
        <f>IF($BH88=0,0,IF(SUM($O88:O88)&lt;($L88-12),12,$L88-SUM($O88:O88)))</f>
        <v>12</v>
      </c>
      <c r="Q88" s="1101">
        <f>IF($BH88=0,0,IF(SUM($O88:P88)&lt;($L88-12),12,$L88-SUM($O88:P88)))</f>
        <v>12</v>
      </c>
      <c r="R88" s="1101">
        <f>IF($BH88=0,0,IF(SUM($O88:Q88)&lt;($L88-12),12,$L88-SUM($O88:Q88)))</f>
        <v>4.9990756025090768</v>
      </c>
      <c r="S88" s="1101">
        <f>IF($BH88=0,0,IF(SUM($O88:R88)&lt;($L88-12),12,$L88-SUM($O88:R88)))</f>
        <v>0</v>
      </c>
      <c r="U88" s="1100"/>
      <c r="V88" s="1100">
        <f>'ANSP Capex'!T84</f>
        <v>0</v>
      </c>
      <c r="W88" s="1101">
        <f>IF($BI88=0,0,IF(SUM($U88:V88)&lt;($L88-12),12,$L88-SUM($U88:V88)))</f>
        <v>0</v>
      </c>
      <c r="X88" s="1101">
        <f>IF($BI88=0,0,IF(SUM($U88:W88)&lt;($L88-12),12,$L88-SUM($U88:W88)))</f>
        <v>0</v>
      </c>
      <c r="Y88" s="1101">
        <f>IF($BI88=0,0,IF(SUM($U88:X88)&lt;($L88-12),12,$L88-SUM($U88:X88)))</f>
        <v>0</v>
      </c>
      <c r="AA88" s="1100"/>
      <c r="AB88" s="1100"/>
      <c r="AC88" s="1100">
        <f>'ANSP Capex'!AA84</f>
        <v>0</v>
      </c>
      <c r="AD88" s="1101">
        <f>IF($BJ88=0,0,IF(SUM($AA88:AC88)&lt;($L88-12),12,$L88-SUM($AA88:AC88)))</f>
        <v>0</v>
      </c>
      <c r="AE88" s="1101">
        <f>IF($BJ88=0,0,IF(SUM($AA88:AD88)&lt;($L88-12),12,$L88-SUM($AA88:AD88)))</f>
        <v>0</v>
      </c>
      <c r="AG88" s="1100"/>
      <c r="AH88" s="1100"/>
      <c r="AI88" s="1100"/>
      <c r="AJ88" s="1100">
        <f>'ANSP Capex'!AH84</f>
        <v>0</v>
      </c>
      <c r="AK88" s="1101">
        <f>IF($BK88=0,0,IF(SUM($AG88:AJ88)&lt;($L88-12),12,$L88-SUM($AG88:AJ88)))</f>
        <v>0</v>
      </c>
      <c r="AM88" s="1100"/>
      <c r="AN88" s="1100"/>
      <c r="AO88" s="1100"/>
      <c r="AP88" s="1100"/>
      <c r="AQ88" s="1100">
        <f>'ANSP Capex'!AO84</f>
        <v>0</v>
      </c>
      <c r="AS88" s="153">
        <f t="shared" si="3"/>
        <v>0.58341036645757682</v>
      </c>
      <c r="AT88" s="153">
        <f t="shared" si="4"/>
        <v>0</v>
      </c>
      <c r="AU88" s="153">
        <f t="shared" si="5"/>
        <v>0</v>
      </c>
      <c r="AV88" s="153">
        <f t="shared" si="6"/>
        <v>0</v>
      </c>
      <c r="AW88" s="153">
        <f t="shared" si="7"/>
        <v>0</v>
      </c>
      <c r="AX88" s="153"/>
      <c r="AY88" s="1543">
        <f>'ANSP Capex'!AW84</f>
        <v>0.75</v>
      </c>
      <c r="AZ88" s="1102"/>
      <c r="BA88" s="1543">
        <f>'ANSP Capex'!AY84</f>
        <v>0.25</v>
      </c>
      <c r="BC88" s="1126"/>
      <c r="BD88" s="1126"/>
      <c r="BE88" s="1126"/>
      <c r="BF88" s="1126"/>
      <c r="BG88" s="1126"/>
      <c r="BH88" s="1126">
        <f>'ANSP Capex'!BF84*IF($I88="",(1+INDEX($I$41:$I$42,MATCH($F88,$F$41:$F$42,0))),(1+$I88))</f>
        <v>0.60580000000000001</v>
      </c>
      <c r="BI88" s="1126">
        <f>'ANSP Capex'!BG84*IF($I88="",(1+INDEX($I$41:$I$42,MATCH($F88,$F$41:$F$42,0))),(1+$I88))</f>
        <v>0</v>
      </c>
      <c r="BJ88" s="1126">
        <f>'ANSP Capex'!BH84*IF($I88="",(1+INDEX($I$41:$I$42,MATCH($F88,$F$41:$F$42,0))),(1+$I88))</f>
        <v>0</v>
      </c>
      <c r="BK88" s="1126">
        <f>'ANSP Capex'!BI84*IF($I88="",(1+INDEX($I$41:$I$42,MATCH($F88,$F$41:$F$42,0))),(1+$I88))</f>
        <v>0</v>
      </c>
      <c r="BL88" s="1126">
        <f>'ANSP Capex'!BJ84*IF($I88="",(1+INDEX($I$41:$I$42,MATCH($F88,$F$41:$F$42,0))),(1+$I88))</f>
        <v>0</v>
      </c>
    </row>
    <row r="89" spans="1:64" outlineLevel="2">
      <c r="A89" s="1094"/>
      <c r="B89" s="1094"/>
      <c r="C89" s="1083" t="str">
        <f>'ANSP Capex'!C85</f>
        <v>T017 - TOSHIBA W20008069</v>
      </c>
      <c r="D89" s="1083" t="str">
        <f>'ANSP Capex'!D85</f>
        <v>IT Equipment</v>
      </c>
      <c r="E89" s="1083" t="str">
        <f>'ANSP Capex'!E85</f>
        <v>T0170262</v>
      </c>
      <c r="F89" s="1083">
        <f>'ANSP Capex'!F85</f>
        <v>2020</v>
      </c>
      <c r="G89" s="1101">
        <f t="shared" si="0"/>
        <v>0.60580000000000001</v>
      </c>
      <c r="H89" s="1083" t="str">
        <f>'ANSP Capex'!H85</f>
        <v>€'000</v>
      </c>
      <c r="I89" s="829"/>
      <c r="J89" s="1097">
        <f>'ANSP Capex'!I85</f>
        <v>3</v>
      </c>
      <c r="K89" s="1124">
        <v>0</v>
      </c>
      <c r="L89" s="1098">
        <f t="shared" si="1"/>
        <v>36</v>
      </c>
      <c r="M89" s="153">
        <f t="shared" si="2"/>
        <v>0.33333333333333331</v>
      </c>
      <c r="N89" s="1099"/>
      <c r="O89" s="1100">
        <f>'ANSP Capex'!M85</f>
        <v>7.0009243974909223</v>
      </c>
      <c r="P89" s="1101">
        <f>IF($BH89=0,0,IF(SUM($O89:O89)&lt;($L89-12),12,$L89-SUM($O89:O89)))</f>
        <v>12</v>
      </c>
      <c r="Q89" s="1101">
        <f>IF($BH89=0,0,IF(SUM($O89:P89)&lt;($L89-12),12,$L89-SUM($O89:P89)))</f>
        <v>12</v>
      </c>
      <c r="R89" s="1101">
        <f>IF($BH89=0,0,IF(SUM($O89:Q89)&lt;($L89-12),12,$L89-SUM($O89:Q89)))</f>
        <v>4.9990756025090768</v>
      </c>
      <c r="S89" s="1101">
        <f>IF($BH89=0,0,IF(SUM($O89:R89)&lt;($L89-12),12,$L89-SUM($O89:R89)))</f>
        <v>0</v>
      </c>
      <c r="U89" s="1100"/>
      <c r="V89" s="1100">
        <f>'ANSP Capex'!T85</f>
        <v>0</v>
      </c>
      <c r="W89" s="1101">
        <f>IF($BI89=0,0,IF(SUM($U89:V89)&lt;($L89-12),12,$L89-SUM($U89:V89)))</f>
        <v>0</v>
      </c>
      <c r="X89" s="1101">
        <f>IF($BI89=0,0,IF(SUM($U89:W89)&lt;($L89-12),12,$L89-SUM($U89:W89)))</f>
        <v>0</v>
      </c>
      <c r="Y89" s="1101">
        <f>IF($BI89=0,0,IF(SUM($U89:X89)&lt;($L89-12),12,$L89-SUM($U89:X89)))</f>
        <v>0</v>
      </c>
      <c r="AA89" s="1100"/>
      <c r="AB89" s="1100"/>
      <c r="AC89" s="1100">
        <f>'ANSP Capex'!AA85</f>
        <v>0</v>
      </c>
      <c r="AD89" s="1101">
        <f>IF($BJ89=0,0,IF(SUM($AA89:AC89)&lt;($L89-12),12,$L89-SUM($AA89:AC89)))</f>
        <v>0</v>
      </c>
      <c r="AE89" s="1101">
        <f>IF($BJ89=0,0,IF(SUM($AA89:AD89)&lt;($L89-12),12,$L89-SUM($AA89:AD89)))</f>
        <v>0</v>
      </c>
      <c r="AG89" s="1100"/>
      <c r="AH89" s="1100"/>
      <c r="AI89" s="1100"/>
      <c r="AJ89" s="1100">
        <f>'ANSP Capex'!AH85</f>
        <v>0</v>
      </c>
      <c r="AK89" s="1101">
        <f>IF($BK89=0,0,IF(SUM($AG89:AJ89)&lt;($L89-12),12,$L89-SUM($AG89:AJ89)))</f>
        <v>0</v>
      </c>
      <c r="AM89" s="1100"/>
      <c r="AN89" s="1100"/>
      <c r="AO89" s="1100"/>
      <c r="AP89" s="1100"/>
      <c r="AQ89" s="1100">
        <f>'ANSP Capex'!AO85</f>
        <v>0</v>
      </c>
      <c r="AS89" s="153">
        <f t="shared" si="3"/>
        <v>0.58341036645757682</v>
      </c>
      <c r="AT89" s="153">
        <f t="shared" si="4"/>
        <v>0</v>
      </c>
      <c r="AU89" s="153">
        <f t="shared" si="5"/>
        <v>0</v>
      </c>
      <c r="AV89" s="153">
        <f t="shared" si="6"/>
        <v>0</v>
      </c>
      <c r="AW89" s="153">
        <f t="shared" si="7"/>
        <v>0</v>
      </c>
      <c r="AX89" s="153"/>
      <c r="AY89" s="1543">
        <f>'ANSP Capex'!AW85</f>
        <v>0.75</v>
      </c>
      <c r="AZ89" s="1102"/>
      <c r="BA89" s="1543">
        <f>'ANSP Capex'!AY85</f>
        <v>0.25</v>
      </c>
      <c r="BC89" s="1126"/>
      <c r="BD89" s="1126"/>
      <c r="BE89" s="1126"/>
      <c r="BF89" s="1126"/>
      <c r="BG89" s="1126"/>
      <c r="BH89" s="1126">
        <f>'ANSP Capex'!BF85*IF($I89="",(1+INDEX($I$41:$I$42,MATCH($F89,$F$41:$F$42,0))),(1+$I89))</f>
        <v>0.60580000000000001</v>
      </c>
      <c r="BI89" s="1126">
        <f>'ANSP Capex'!BG85*IF($I89="",(1+INDEX($I$41:$I$42,MATCH($F89,$F$41:$F$42,0))),(1+$I89))</f>
        <v>0</v>
      </c>
      <c r="BJ89" s="1126">
        <f>'ANSP Capex'!BH85*IF($I89="",(1+INDEX($I$41:$I$42,MATCH($F89,$F$41:$F$42,0))),(1+$I89))</f>
        <v>0</v>
      </c>
      <c r="BK89" s="1126">
        <f>'ANSP Capex'!BI85*IF($I89="",(1+INDEX($I$41:$I$42,MATCH($F89,$F$41:$F$42,0))),(1+$I89))</f>
        <v>0</v>
      </c>
      <c r="BL89" s="1126">
        <f>'ANSP Capex'!BJ85*IF($I89="",(1+INDEX($I$41:$I$42,MATCH($F89,$F$41:$F$42,0))),(1+$I89))</f>
        <v>0</v>
      </c>
    </row>
    <row r="90" spans="1:64" outlineLevel="2">
      <c r="A90" s="1094"/>
      <c r="B90" s="1094"/>
      <c r="C90" s="1083" t="str">
        <f>'ANSP Capex'!C86</f>
        <v>T017 - TOSHIBA W20008081</v>
      </c>
      <c r="D90" s="1083" t="str">
        <f>'ANSP Capex'!D86</f>
        <v>IT Equipment</v>
      </c>
      <c r="E90" s="1083" t="str">
        <f>'ANSP Capex'!E86</f>
        <v>T0170273</v>
      </c>
      <c r="F90" s="1083">
        <f>'ANSP Capex'!F86</f>
        <v>2020</v>
      </c>
      <c r="G90" s="1101">
        <f t="shared" si="0"/>
        <v>0.60580000000000001</v>
      </c>
      <c r="H90" s="1083" t="str">
        <f>'ANSP Capex'!H86</f>
        <v>€'000</v>
      </c>
      <c r="I90" s="829"/>
      <c r="J90" s="1097">
        <f>'ANSP Capex'!I86</f>
        <v>3</v>
      </c>
      <c r="K90" s="1124">
        <v>0</v>
      </c>
      <c r="L90" s="1098">
        <f t="shared" si="1"/>
        <v>36</v>
      </c>
      <c r="M90" s="153">
        <f t="shared" si="2"/>
        <v>0.33333333333333331</v>
      </c>
      <c r="N90" s="1099"/>
      <c r="O90" s="1100">
        <f>'ANSP Capex'!M86</f>
        <v>7.0009243974909223</v>
      </c>
      <c r="P90" s="1101">
        <f>IF($BH90=0,0,IF(SUM($O90:O90)&lt;($L90-12),12,$L90-SUM($O90:O90)))</f>
        <v>12</v>
      </c>
      <c r="Q90" s="1101">
        <f>IF($BH90=0,0,IF(SUM($O90:P90)&lt;($L90-12),12,$L90-SUM($O90:P90)))</f>
        <v>12</v>
      </c>
      <c r="R90" s="1101">
        <f>IF($BH90=0,0,IF(SUM($O90:Q90)&lt;($L90-12),12,$L90-SUM($O90:Q90)))</f>
        <v>4.9990756025090768</v>
      </c>
      <c r="S90" s="1101">
        <f>IF($BH90=0,0,IF(SUM($O90:R90)&lt;($L90-12),12,$L90-SUM($O90:R90)))</f>
        <v>0</v>
      </c>
      <c r="U90" s="1100"/>
      <c r="V90" s="1100">
        <f>'ANSP Capex'!T86</f>
        <v>0</v>
      </c>
      <c r="W90" s="1101">
        <f>IF($BI90=0,0,IF(SUM($U90:V90)&lt;($L90-12),12,$L90-SUM($U90:V90)))</f>
        <v>0</v>
      </c>
      <c r="X90" s="1101">
        <f>IF($BI90=0,0,IF(SUM($U90:W90)&lt;($L90-12),12,$L90-SUM($U90:W90)))</f>
        <v>0</v>
      </c>
      <c r="Y90" s="1101">
        <f>IF($BI90=0,0,IF(SUM($U90:X90)&lt;($L90-12),12,$L90-SUM($U90:X90)))</f>
        <v>0</v>
      </c>
      <c r="AA90" s="1100"/>
      <c r="AB90" s="1100"/>
      <c r="AC90" s="1100">
        <f>'ANSP Capex'!AA86</f>
        <v>0</v>
      </c>
      <c r="AD90" s="1101">
        <f>IF($BJ90=0,0,IF(SUM($AA90:AC90)&lt;($L90-12),12,$L90-SUM($AA90:AC90)))</f>
        <v>0</v>
      </c>
      <c r="AE90" s="1101">
        <f>IF($BJ90=0,0,IF(SUM($AA90:AD90)&lt;($L90-12),12,$L90-SUM($AA90:AD90)))</f>
        <v>0</v>
      </c>
      <c r="AG90" s="1100"/>
      <c r="AH90" s="1100"/>
      <c r="AI90" s="1100"/>
      <c r="AJ90" s="1100">
        <f>'ANSP Capex'!AH86</f>
        <v>0</v>
      </c>
      <c r="AK90" s="1101">
        <f>IF($BK90=0,0,IF(SUM($AG90:AJ90)&lt;($L90-12),12,$L90-SUM($AG90:AJ90)))</f>
        <v>0</v>
      </c>
      <c r="AM90" s="1100"/>
      <c r="AN90" s="1100"/>
      <c r="AO90" s="1100"/>
      <c r="AP90" s="1100"/>
      <c r="AQ90" s="1100">
        <f>'ANSP Capex'!AO86</f>
        <v>0</v>
      </c>
      <c r="AS90" s="153">
        <f t="shared" si="3"/>
        <v>0.58341036645757682</v>
      </c>
      <c r="AT90" s="153">
        <f t="shared" si="4"/>
        <v>0</v>
      </c>
      <c r="AU90" s="153">
        <f t="shared" si="5"/>
        <v>0</v>
      </c>
      <c r="AV90" s="153">
        <f t="shared" si="6"/>
        <v>0</v>
      </c>
      <c r="AW90" s="153">
        <f t="shared" si="7"/>
        <v>0</v>
      </c>
      <c r="AX90" s="153"/>
      <c r="AY90" s="1543">
        <f>'ANSP Capex'!AW86</f>
        <v>0.75</v>
      </c>
      <c r="AZ90" s="1102"/>
      <c r="BA90" s="1543">
        <f>'ANSP Capex'!AY86</f>
        <v>0.25</v>
      </c>
      <c r="BC90" s="1126"/>
      <c r="BD90" s="1126"/>
      <c r="BE90" s="1126"/>
      <c r="BF90" s="1126"/>
      <c r="BG90" s="1126"/>
      <c r="BH90" s="1126">
        <f>'ANSP Capex'!BF86*IF($I90="",(1+INDEX($I$41:$I$42,MATCH($F90,$F$41:$F$42,0))),(1+$I90))</f>
        <v>0.60580000000000001</v>
      </c>
      <c r="BI90" s="1126">
        <f>'ANSP Capex'!BG86*IF($I90="",(1+INDEX($I$41:$I$42,MATCH($F90,$F$41:$F$42,0))),(1+$I90))</f>
        <v>0</v>
      </c>
      <c r="BJ90" s="1126">
        <f>'ANSP Capex'!BH86*IF($I90="",(1+INDEX($I$41:$I$42,MATCH($F90,$F$41:$F$42,0))),(1+$I90))</f>
        <v>0</v>
      </c>
      <c r="BK90" s="1126">
        <f>'ANSP Capex'!BI86*IF($I90="",(1+INDEX($I$41:$I$42,MATCH($F90,$F$41:$F$42,0))),(1+$I90))</f>
        <v>0</v>
      </c>
      <c r="BL90" s="1126">
        <f>'ANSP Capex'!BJ86*IF($I90="",(1+INDEX($I$41:$I$42,MATCH($F90,$F$41:$F$42,0))),(1+$I90))</f>
        <v>0</v>
      </c>
    </row>
    <row r="91" spans="1:64" outlineLevel="2">
      <c r="A91" s="1094"/>
      <c r="B91" s="1094"/>
      <c r="C91" s="1083" t="str">
        <f>'ANSP Capex'!C87</f>
        <v>T017 - TOSHIBA W20008077</v>
      </c>
      <c r="D91" s="1083" t="str">
        <f>'ANSP Capex'!D87</f>
        <v>IT Equipment</v>
      </c>
      <c r="E91" s="1083" t="str">
        <f>'ANSP Capex'!E87</f>
        <v>T0170291</v>
      </c>
      <c r="F91" s="1083">
        <f>'ANSP Capex'!F87</f>
        <v>2020</v>
      </c>
      <c r="G91" s="1101">
        <f t="shared" si="0"/>
        <v>0.90061000000000002</v>
      </c>
      <c r="H91" s="1083" t="str">
        <f>'ANSP Capex'!H87</f>
        <v>€'000</v>
      </c>
      <c r="I91" s="829"/>
      <c r="J91" s="1097">
        <f>'ANSP Capex'!I87</f>
        <v>3.0833333333333335</v>
      </c>
      <c r="K91" s="1124">
        <v>0</v>
      </c>
      <c r="L91" s="1098">
        <f t="shared" si="1"/>
        <v>37</v>
      </c>
      <c r="M91" s="153">
        <f t="shared" si="2"/>
        <v>0.32432432432432429</v>
      </c>
      <c r="N91" s="1099"/>
      <c r="O91" s="1100">
        <f>-'ANSP Capex (CAR)'!A651*(1+$G91)</f>
        <v>0</v>
      </c>
      <c r="P91" s="1101">
        <f>IF($BH91=0,0,IF(SUM($O91:O91)&lt;($L91-12),12,$L91-SUM($O91:O91)))</f>
        <v>12</v>
      </c>
      <c r="Q91" s="1101">
        <f>IF($BH91=0,0,IF(SUM($O91:P91)&lt;($L91-12),12,$L91-SUM($O91:P91)))</f>
        <v>12</v>
      </c>
      <c r="R91" s="1101">
        <f>IF($BH91=0,0,IF(SUM($O91:Q91)&lt;($L91-12),12,$L91-SUM($O91:Q91)))</f>
        <v>12</v>
      </c>
      <c r="S91" s="1101">
        <f>IF($BH91=0,0,IF(SUM($O91:R91)&lt;($L91-12),12,$L91-SUM($O91:R91)))</f>
        <v>1</v>
      </c>
      <c r="U91" s="1100"/>
      <c r="V91" s="1100">
        <f>'ANSP Capex'!T87</f>
        <v>0</v>
      </c>
      <c r="W91" s="1101">
        <f>IF($BI91=0,0,IF(SUM($U91:V91)&lt;($L91-12),12,$L91-SUM($U91:V91)))</f>
        <v>0</v>
      </c>
      <c r="X91" s="1101">
        <f>IF($BI91=0,0,IF(SUM($U91:W91)&lt;($L91-12),12,$L91-SUM($U91:W91)))</f>
        <v>0</v>
      </c>
      <c r="Y91" s="1101">
        <f>IF($BI91=0,0,IF(SUM($U91:X91)&lt;($L91-12),12,$L91-SUM($U91:X91)))</f>
        <v>0</v>
      </c>
      <c r="AA91" s="1100"/>
      <c r="AB91" s="1100"/>
      <c r="AC91" s="1100">
        <f>'ANSP Capex'!AA87</f>
        <v>0</v>
      </c>
      <c r="AD91" s="1101">
        <f>IF($BJ91=0,0,IF(SUM($AA91:AC91)&lt;($L91-12),12,$L91-SUM($AA91:AC91)))</f>
        <v>0</v>
      </c>
      <c r="AE91" s="1101">
        <f>IF($BJ91=0,0,IF(SUM($AA91:AD91)&lt;($L91-12),12,$L91-SUM($AA91:AD91)))</f>
        <v>0</v>
      </c>
      <c r="AG91" s="1100"/>
      <c r="AH91" s="1100"/>
      <c r="AI91" s="1100"/>
      <c r="AJ91" s="1100">
        <f>'ANSP Capex'!AH87</f>
        <v>0</v>
      </c>
      <c r="AK91" s="1101">
        <f>IF($BK91=0,0,IF(SUM($AG91:AJ91)&lt;($L91-12),12,$L91-SUM($AG91:AJ91)))</f>
        <v>0</v>
      </c>
      <c r="AM91" s="1100"/>
      <c r="AN91" s="1100"/>
      <c r="AO91" s="1100"/>
      <c r="AP91" s="1100"/>
      <c r="AQ91" s="1100">
        <f>'ANSP Capex'!AO87</f>
        <v>0</v>
      </c>
      <c r="AS91" s="153">
        <f t="shared" si="3"/>
        <v>0</v>
      </c>
      <c r="AT91" s="153">
        <f t="shared" si="4"/>
        <v>0</v>
      </c>
      <c r="AU91" s="153">
        <f t="shared" si="5"/>
        <v>0</v>
      </c>
      <c r="AV91" s="153">
        <f t="shared" si="6"/>
        <v>0</v>
      </c>
      <c r="AW91" s="153">
        <f t="shared" si="7"/>
        <v>0</v>
      </c>
      <c r="AX91" s="153"/>
      <c r="AY91" s="1543">
        <f>'ANSP Capex'!AW87</f>
        <v>0.75</v>
      </c>
      <c r="AZ91" s="1102"/>
      <c r="BA91" s="1543">
        <f>'ANSP Capex'!AY87</f>
        <v>0.25</v>
      </c>
      <c r="BC91" s="1126"/>
      <c r="BD91" s="1126"/>
      <c r="BE91" s="1126"/>
      <c r="BF91" s="1126"/>
      <c r="BG91" s="1126"/>
      <c r="BH91" s="1126">
        <f>'ANSP Capex'!BF87*IF($I91="",(1+INDEX($I$41:$I$42,MATCH($F91,$F$41:$F$42,0))),(1+$I91))</f>
        <v>0.90061000000000002</v>
      </c>
      <c r="BI91" s="1126">
        <f>'ANSP Capex'!BG87*IF($I91="",(1+INDEX($I$41:$I$42,MATCH($F91,$F$41:$F$42,0))),(1+$I91))</f>
        <v>0</v>
      </c>
      <c r="BJ91" s="1126">
        <f>'ANSP Capex'!BH87*IF($I91="",(1+INDEX($I$41:$I$42,MATCH($F91,$F$41:$F$42,0))),(1+$I91))</f>
        <v>0</v>
      </c>
      <c r="BK91" s="1126">
        <f>'ANSP Capex'!BI87*IF($I91="",(1+INDEX($I$41:$I$42,MATCH($F91,$F$41:$F$42,0))),(1+$I91))</f>
        <v>0</v>
      </c>
      <c r="BL91" s="1126">
        <f>'ANSP Capex'!BJ87*IF($I91="",(1+INDEX($I$41:$I$42,MATCH($F91,$F$41:$F$42,0))),(1+$I91))</f>
        <v>0</v>
      </c>
    </row>
    <row r="92" spans="1:64" outlineLevel="2">
      <c r="A92" s="1094"/>
      <c r="B92" s="1094"/>
      <c r="C92" s="1083" t="str">
        <f>'ANSP Capex'!C88</f>
        <v>T017 - W20008077</v>
      </c>
      <c r="D92" s="1083" t="str">
        <f>'ANSP Capex'!D88</f>
        <v>IT Equipment</v>
      </c>
      <c r="E92" s="1083" t="str">
        <f>'ANSP Capex'!E88</f>
        <v>T0170292</v>
      </c>
      <c r="F92" s="1083">
        <f>'ANSP Capex'!F88</f>
        <v>2020</v>
      </c>
      <c r="G92" s="1101">
        <f t="shared" si="0"/>
        <v>0.60580000000000001</v>
      </c>
      <c r="H92" s="1083" t="str">
        <f>'ANSP Capex'!H88</f>
        <v>€'000</v>
      </c>
      <c r="I92" s="829"/>
      <c r="J92" s="1097">
        <f>'ANSP Capex'!I88</f>
        <v>3</v>
      </c>
      <c r="K92" s="1124">
        <v>0</v>
      </c>
      <c r="L92" s="1098">
        <f t="shared" si="1"/>
        <v>36</v>
      </c>
      <c r="M92" s="153">
        <f t="shared" si="2"/>
        <v>0.33333333333333331</v>
      </c>
      <c r="N92" s="1099"/>
      <c r="O92" s="1100">
        <f>'ANSP Capex'!M88</f>
        <v>7.0009243974909223</v>
      </c>
      <c r="P92" s="1101">
        <f>IF($BH92=0,0,IF(SUM($O92:O92)&lt;($L92-12),12,$L92-SUM($O92:O92)))</f>
        <v>12</v>
      </c>
      <c r="Q92" s="1101">
        <f>IF($BH92=0,0,IF(SUM($O92:P92)&lt;($L92-12),12,$L92-SUM($O92:P92)))</f>
        <v>12</v>
      </c>
      <c r="R92" s="1101">
        <f>IF($BH92=0,0,IF(SUM($O92:Q92)&lt;($L92-12),12,$L92-SUM($O92:Q92)))</f>
        <v>4.9990756025090768</v>
      </c>
      <c r="S92" s="1101">
        <f>IF($BH92=0,0,IF(SUM($O92:R92)&lt;($L92-12),12,$L92-SUM($O92:R92)))</f>
        <v>0</v>
      </c>
      <c r="U92" s="1100"/>
      <c r="V92" s="1100">
        <f>'ANSP Capex'!T88</f>
        <v>0</v>
      </c>
      <c r="W92" s="1101">
        <f>IF($BI92=0,0,IF(SUM($U92:V92)&lt;($L92-12),12,$L92-SUM($U92:V92)))</f>
        <v>0</v>
      </c>
      <c r="X92" s="1101">
        <f>IF($BI92=0,0,IF(SUM($U92:W92)&lt;($L92-12),12,$L92-SUM($U92:W92)))</f>
        <v>0</v>
      </c>
      <c r="Y92" s="1101">
        <f>IF($BI92=0,0,IF(SUM($U92:X92)&lt;($L92-12),12,$L92-SUM($U92:X92)))</f>
        <v>0</v>
      </c>
      <c r="AA92" s="1100"/>
      <c r="AB92" s="1100"/>
      <c r="AC92" s="1100">
        <f>'ANSP Capex'!AA88</f>
        <v>0</v>
      </c>
      <c r="AD92" s="1101">
        <f>IF($BJ92=0,0,IF(SUM($AA92:AC92)&lt;($L92-12),12,$L92-SUM($AA92:AC92)))</f>
        <v>0</v>
      </c>
      <c r="AE92" s="1101">
        <f>IF($BJ92=0,0,IF(SUM($AA92:AD92)&lt;($L92-12),12,$L92-SUM($AA92:AD92)))</f>
        <v>0</v>
      </c>
      <c r="AG92" s="1100"/>
      <c r="AH92" s="1100"/>
      <c r="AI92" s="1100"/>
      <c r="AJ92" s="1100">
        <f>'ANSP Capex'!AH88</f>
        <v>0</v>
      </c>
      <c r="AK92" s="1101">
        <f>IF($BK92=0,0,IF(SUM($AG92:AJ92)&lt;($L92-12),12,$L92-SUM($AG92:AJ92)))</f>
        <v>0</v>
      </c>
      <c r="AM92" s="1100"/>
      <c r="AN92" s="1100"/>
      <c r="AO92" s="1100"/>
      <c r="AP92" s="1100"/>
      <c r="AQ92" s="1100">
        <f>'ANSP Capex'!AO88</f>
        <v>0</v>
      </c>
      <c r="AS92" s="153">
        <f t="shared" si="3"/>
        <v>0.58341036645757682</v>
      </c>
      <c r="AT92" s="153">
        <f t="shared" si="4"/>
        <v>0</v>
      </c>
      <c r="AU92" s="153">
        <f t="shared" si="5"/>
        <v>0</v>
      </c>
      <c r="AV92" s="153">
        <f t="shared" si="6"/>
        <v>0</v>
      </c>
      <c r="AW92" s="153">
        <f t="shared" si="7"/>
        <v>0</v>
      </c>
      <c r="AX92" s="153"/>
      <c r="AY92" s="1543">
        <f>'ANSP Capex'!AW88</f>
        <v>0.75</v>
      </c>
      <c r="AZ92" s="1102"/>
      <c r="BA92" s="1543">
        <f>'ANSP Capex'!AY88</f>
        <v>0.25</v>
      </c>
      <c r="BC92" s="1126"/>
      <c r="BD92" s="1126"/>
      <c r="BE92" s="1126"/>
      <c r="BF92" s="1126"/>
      <c r="BG92" s="1126"/>
      <c r="BH92" s="1126">
        <f>'ANSP Capex'!BF88*IF($I92="",(1+INDEX($I$41:$I$42,MATCH($F92,$F$41:$F$42,0))),(1+$I92))</f>
        <v>0.60580000000000001</v>
      </c>
      <c r="BI92" s="1126">
        <f>'ANSP Capex'!BG88*IF($I92="",(1+INDEX($I$41:$I$42,MATCH($F92,$F$41:$F$42,0))),(1+$I92))</f>
        <v>0</v>
      </c>
      <c r="BJ92" s="1126">
        <f>'ANSP Capex'!BH88*IF($I92="",(1+INDEX($I$41:$I$42,MATCH($F92,$F$41:$F$42,0))),(1+$I92))</f>
        <v>0</v>
      </c>
      <c r="BK92" s="1126">
        <f>'ANSP Capex'!BI88*IF($I92="",(1+INDEX($I$41:$I$42,MATCH($F92,$F$41:$F$42,0))),(1+$I92))</f>
        <v>0</v>
      </c>
      <c r="BL92" s="1126">
        <f>'ANSP Capex'!BJ88*IF($I92="",(1+INDEX($I$41:$I$42,MATCH($F92,$F$41:$F$42,0))),(1+$I92))</f>
        <v>0</v>
      </c>
    </row>
    <row r="93" spans="1:64" outlineLevel="2">
      <c r="A93" s="1094"/>
      <c r="B93" s="1094"/>
      <c r="C93" s="1083" t="str">
        <f>'ANSP Capex'!C89</f>
        <v>T017 - TOSHIBA W20008083</v>
      </c>
      <c r="D93" s="1083" t="str">
        <f>'ANSP Capex'!D89</f>
        <v>IT Equipment</v>
      </c>
      <c r="E93" s="1083" t="str">
        <f>'ANSP Capex'!E89</f>
        <v>T0170294</v>
      </c>
      <c r="F93" s="1083">
        <f>'ANSP Capex'!F89</f>
        <v>2020</v>
      </c>
      <c r="G93" s="1101">
        <f t="shared" si="0"/>
        <v>0.60580000000000001</v>
      </c>
      <c r="H93" s="1083" t="str">
        <f>'ANSP Capex'!H89</f>
        <v>€'000</v>
      </c>
      <c r="I93" s="829"/>
      <c r="J93" s="1097">
        <f>'ANSP Capex'!I89</f>
        <v>3</v>
      </c>
      <c r="K93" s="1124">
        <v>0</v>
      </c>
      <c r="L93" s="1098">
        <f t="shared" si="1"/>
        <v>36</v>
      </c>
      <c r="M93" s="153">
        <f t="shared" si="2"/>
        <v>0.33333333333333331</v>
      </c>
      <c r="N93" s="1099"/>
      <c r="O93" s="1100">
        <f>'ANSP Capex'!M89</f>
        <v>7.0009243974909223</v>
      </c>
      <c r="P93" s="1101">
        <f>IF($BH93=0,0,IF(SUM($O93:O93)&lt;($L93-12),12,$L93-SUM($O93:O93)))</f>
        <v>12</v>
      </c>
      <c r="Q93" s="1101">
        <f>IF($BH93=0,0,IF(SUM($O93:P93)&lt;($L93-12),12,$L93-SUM($O93:P93)))</f>
        <v>12</v>
      </c>
      <c r="R93" s="1101">
        <f>IF($BH93=0,0,IF(SUM($O93:Q93)&lt;($L93-12),12,$L93-SUM($O93:Q93)))</f>
        <v>4.9990756025090768</v>
      </c>
      <c r="S93" s="1101">
        <f>IF($BH93=0,0,IF(SUM($O93:R93)&lt;($L93-12),12,$L93-SUM($O93:R93)))</f>
        <v>0</v>
      </c>
      <c r="U93" s="1100"/>
      <c r="V93" s="1100">
        <f>'ANSP Capex'!T89</f>
        <v>0</v>
      </c>
      <c r="W93" s="1101">
        <f>IF($BI93=0,0,IF(SUM($U93:V93)&lt;($L93-12),12,$L93-SUM($U93:V93)))</f>
        <v>0</v>
      </c>
      <c r="X93" s="1101">
        <f>IF($BI93=0,0,IF(SUM($U93:W93)&lt;($L93-12),12,$L93-SUM($U93:W93)))</f>
        <v>0</v>
      </c>
      <c r="Y93" s="1101">
        <f>IF($BI93=0,0,IF(SUM($U93:X93)&lt;($L93-12),12,$L93-SUM($U93:X93)))</f>
        <v>0</v>
      </c>
      <c r="AA93" s="1100"/>
      <c r="AB93" s="1100"/>
      <c r="AC93" s="1100">
        <f>'ANSP Capex'!AA89</f>
        <v>0</v>
      </c>
      <c r="AD93" s="1101">
        <f>IF($BJ93=0,0,IF(SUM($AA93:AC93)&lt;($L93-12),12,$L93-SUM($AA93:AC93)))</f>
        <v>0</v>
      </c>
      <c r="AE93" s="1101">
        <f>IF($BJ93=0,0,IF(SUM($AA93:AD93)&lt;($L93-12),12,$L93-SUM($AA93:AD93)))</f>
        <v>0</v>
      </c>
      <c r="AG93" s="1100"/>
      <c r="AH93" s="1100"/>
      <c r="AI93" s="1100"/>
      <c r="AJ93" s="1100">
        <f>'ANSP Capex'!AH89</f>
        <v>0</v>
      </c>
      <c r="AK93" s="1101">
        <f>IF($BK93=0,0,IF(SUM($AG93:AJ93)&lt;($L93-12),12,$L93-SUM($AG93:AJ93)))</f>
        <v>0</v>
      </c>
      <c r="AM93" s="1100"/>
      <c r="AN93" s="1100"/>
      <c r="AO93" s="1100"/>
      <c r="AP93" s="1100"/>
      <c r="AQ93" s="1100">
        <f>'ANSP Capex'!AO89</f>
        <v>0</v>
      </c>
      <c r="AS93" s="153">
        <f t="shared" si="3"/>
        <v>0.58341036645757682</v>
      </c>
      <c r="AT93" s="153">
        <f t="shared" si="4"/>
        <v>0</v>
      </c>
      <c r="AU93" s="153">
        <f t="shared" si="5"/>
        <v>0</v>
      </c>
      <c r="AV93" s="153">
        <f t="shared" si="6"/>
        <v>0</v>
      </c>
      <c r="AW93" s="153">
        <f t="shared" si="7"/>
        <v>0</v>
      </c>
      <c r="AX93" s="153"/>
      <c r="AY93" s="1543">
        <f>'ANSP Capex'!AW89</f>
        <v>0.75</v>
      </c>
      <c r="AZ93" s="1102"/>
      <c r="BA93" s="1543">
        <f>'ANSP Capex'!AY89</f>
        <v>0.25</v>
      </c>
      <c r="BC93" s="1126"/>
      <c r="BD93" s="1126"/>
      <c r="BE93" s="1126"/>
      <c r="BF93" s="1126"/>
      <c r="BG93" s="1126"/>
      <c r="BH93" s="1126">
        <f>'ANSP Capex'!BF89*IF($I93="",(1+INDEX($I$41:$I$42,MATCH($F93,$F$41:$F$42,0))),(1+$I93))</f>
        <v>0.60580000000000001</v>
      </c>
      <c r="BI93" s="1126">
        <f>'ANSP Capex'!BG89*IF($I93="",(1+INDEX($I$41:$I$42,MATCH($F93,$F$41:$F$42,0))),(1+$I93))</f>
        <v>0</v>
      </c>
      <c r="BJ93" s="1126">
        <f>'ANSP Capex'!BH89*IF($I93="",(1+INDEX($I$41:$I$42,MATCH($F93,$F$41:$F$42,0))),(1+$I93))</f>
        <v>0</v>
      </c>
      <c r="BK93" s="1126">
        <f>'ANSP Capex'!BI89*IF($I93="",(1+INDEX($I$41:$I$42,MATCH($F93,$F$41:$F$42,0))),(1+$I93))</f>
        <v>0</v>
      </c>
      <c r="BL93" s="1126">
        <f>'ANSP Capex'!BJ89*IF($I93="",(1+INDEX($I$41:$I$42,MATCH($F93,$F$41:$F$42,0))),(1+$I93))</f>
        <v>0</v>
      </c>
    </row>
    <row r="94" spans="1:64" outlineLevel="2">
      <c r="A94" s="1094"/>
      <c r="B94" s="1094"/>
      <c r="C94" s="1083" t="str">
        <f>'ANSP Capex'!C90</f>
        <v>T017 - OPTIPLEX5060 W20007867</v>
      </c>
      <c r="D94" s="1083" t="str">
        <f>'ANSP Capex'!D90</f>
        <v>IT Equipment</v>
      </c>
      <c r="E94" s="1083" t="str">
        <f>'ANSP Capex'!E90</f>
        <v>T0170205</v>
      </c>
      <c r="F94" s="1083">
        <f>'ANSP Capex'!F90</f>
        <v>2020</v>
      </c>
      <c r="G94" s="1101">
        <f t="shared" si="0"/>
        <v>0.6</v>
      </c>
      <c r="H94" s="1083" t="str">
        <f>'ANSP Capex'!H90</f>
        <v>€'000</v>
      </c>
      <c r="I94" s="829"/>
      <c r="J94" s="1097">
        <f>'ANSP Capex'!I90</f>
        <v>3</v>
      </c>
      <c r="K94" s="1124">
        <v>0</v>
      </c>
      <c r="L94" s="1098">
        <f t="shared" si="1"/>
        <v>36</v>
      </c>
      <c r="M94" s="153">
        <f t="shared" si="2"/>
        <v>0.33333333333333331</v>
      </c>
      <c r="N94" s="1099"/>
      <c r="O94" s="1100">
        <f>'ANSP Capex'!M90</f>
        <v>7.0013999999999994</v>
      </c>
      <c r="P94" s="1101">
        <f>IF($BH94=0,0,IF(SUM($O94:O94)&lt;($L94-12),12,$L94-SUM($O94:O94)))</f>
        <v>12</v>
      </c>
      <c r="Q94" s="1101">
        <f>IF($BH94=0,0,IF(SUM($O94:P94)&lt;($L94-12),12,$L94-SUM($O94:P94)))</f>
        <v>12</v>
      </c>
      <c r="R94" s="1101">
        <f>IF($BH94=0,0,IF(SUM($O94:Q94)&lt;($L94-12),12,$L94-SUM($O94:Q94)))</f>
        <v>4.9985999999999997</v>
      </c>
      <c r="S94" s="1101">
        <f>IF($BH94=0,0,IF(SUM($O94:R94)&lt;($L94-12),12,$L94-SUM($O94:R94)))</f>
        <v>0</v>
      </c>
      <c r="U94" s="1100"/>
      <c r="V94" s="1100">
        <f>'ANSP Capex'!T90</f>
        <v>0</v>
      </c>
      <c r="W94" s="1101">
        <f>IF($BI94=0,0,IF(SUM($U94:V94)&lt;($L94-12),12,$L94-SUM($U94:V94)))</f>
        <v>0</v>
      </c>
      <c r="X94" s="1101">
        <f>IF($BI94=0,0,IF(SUM($U94:W94)&lt;($L94-12),12,$L94-SUM($U94:W94)))</f>
        <v>0</v>
      </c>
      <c r="Y94" s="1101">
        <f>IF($BI94=0,0,IF(SUM($U94:X94)&lt;($L94-12),12,$L94-SUM($U94:X94)))</f>
        <v>0</v>
      </c>
      <c r="AA94" s="1100"/>
      <c r="AB94" s="1100"/>
      <c r="AC94" s="1100">
        <f>'ANSP Capex'!AA90</f>
        <v>0</v>
      </c>
      <c r="AD94" s="1101">
        <f>IF($BJ94=0,0,IF(SUM($AA94:AC94)&lt;($L94-12),12,$L94-SUM($AA94:AC94)))</f>
        <v>0</v>
      </c>
      <c r="AE94" s="1101">
        <f>IF($BJ94=0,0,IF(SUM($AA94:AD94)&lt;($L94-12),12,$L94-SUM($AA94:AD94)))</f>
        <v>0</v>
      </c>
      <c r="AG94" s="1100"/>
      <c r="AH94" s="1100"/>
      <c r="AI94" s="1100"/>
      <c r="AJ94" s="1100">
        <f>'ANSP Capex'!AH90</f>
        <v>0</v>
      </c>
      <c r="AK94" s="1101">
        <f>IF($BK94=0,0,IF(SUM($AG94:AJ94)&lt;($L94-12),12,$L94-SUM($AG94:AJ94)))</f>
        <v>0</v>
      </c>
      <c r="AM94" s="1100"/>
      <c r="AN94" s="1100"/>
      <c r="AO94" s="1100"/>
      <c r="AP94" s="1100"/>
      <c r="AQ94" s="1100">
        <f>'ANSP Capex'!AO90</f>
        <v>0</v>
      </c>
      <c r="AS94" s="153">
        <f t="shared" si="3"/>
        <v>0.58344999999999991</v>
      </c>
      <c r="AT94" s="153">
        <f t="shared" si="4"/>
        <v>0</v>
      </c>
      <c r="AU94" s="153">
        <f t="shared" si="5"/>
        <v>0</v>
      </c>
      <c r="AV94" s="153">
        <f t="shared" si="6"/>
        <v>0</v>
      </c>
      <c r="AW94" s="153">
        <f t="shared" si="7"/>
        <v>0</v>
      </c>
      <c r="AX94" s="153"/>
      <c r="AY94" s="1543">
        <f>'ANSP Capex'!AW90</f>
        <v>0.73</v>
      </c>
      <c r="AZ94" s="1102"/>
      <c r="BA94" s="1543">
        <f>'ANSP Capex'!AY90</f>
        <v>0.15</v>
      </c>
      <c r="BC94" s="1126"/>
      <c r="BD94" s="1126"/>
      <c r="BE94" s="1126"/>
      <c r="BF94" s="1126"/>
      <c r="BG94" s="1126"/>
      <c r="BH94" s="1126">
        <f>'ANSP Capex'!BF90*IF($I94="",(1+INDEX($I$41:$I$42,MATCH($F94,$F$41:$F$42,0))),(1+$I94))</f>
        <v>0.6</v>
      </c>
      <c r="BI94" s="1126">
        <f>'ANSP Capex'!BG90*IF($I94="",(1+INDEX($I$41:$I$42,MATCH($F94,$F$41:$F$42,0))),(1+$I94))</f>
        <v>0</v>
      </c>
      <c r="BJ94" s="1126">
        <f>'ANSP Capex'!BH90*IF($I94="",(1+INDEX($I$41:$I$42,MATCH($F94,$F$41:$F$42,0))),(1+$I94))</f>
        <v>0</v>
      </c>
      <c r="BK94" s="1126">
        <f>'ANSP Capex'!BI90*IF($I94="",(1+INDEX($I$41:$I$42,MATCH($F94,$F$41:$F$42,0))),(1+$I94))</f>
        <v>0</v>
      </c>
      <c r="BL94" s="1126">
        <f>'ANSP Capex'!BJ90*IF($I94="",(1+INDEX($I$41:$I$42,MATCH($F94,$F$41:$F$42,0))),(1+$I94))</f>
        <v>0</v>
      </c>
    </row>
    <row r="95" spans="1:64" outlineLevel="2">
      <c r="A95" s="1094"/>
      <c r="B95" s="1094"/>
      <c r="C95" s="1083" t="str">
        <f>'ANSP Capex'!C91</f>
        <v>T017 - OPTIPLEX5060 W20007900</v>
      </c>
      <c r="D95" s="1083" t="str">
        <f>'ANSP Capex'!D91</f>
        <v>IT Equipment</v>
      </c>
      <c r="E95" s="1083" t="str">
        <f>'ANSP Capex'!E91</f>
        <v>T0170206</v>
      </c>
      <c r="F95" s="1083">
        <f>'ANSP Capex'!F91</f>
        <v>2020</v>
      </c>
      <c r="G95" s="1101">
        <f t="shared" si="0"/>
        <v>0.6</v>
      </c>
      <c r="H95" s="1083" t="str">
        <f>'ANSP Capex'!H91</f>
        <v>€'000</v>
      </c>
      <c r="I95" s="829"/>
      <c r="J95" s="1097">
        <f>'ANSP Capex'!I91</f>
        <v>3</v>
      </c>
      <c r="K95" s="1124">
        <v>0</v>
      </c>
      <c r="L95" s="1098">
        <f t="shared" si="1"/>
        <v>36</v>
      </c>
      <c r="M95" s="153">
        <f t="shared" si="2"/>
        <v>0.33333333333333331</v>
      </c>
      <c r="N95" s="1099"/>
      <c r="O95" s="1100">
        <f>'ANSP Capex'!M91</f>
        <v>7.0013999999999994</v>
      </c>
      <c r="P95" s="1101">
        <f>IF($BH95=0,0,IF(SUM($O95:O95)&lt;($L95-12),12,$L95-SUM($O95:O95)))</f>
        <v>12</v>
      </c>
      <c r="Q95" s="1101">
        <f>IF($BH95=0,0,IF(SUM($O95:P95)&lt;($L95-12),12,$L95-SUM($O95:P95)))</f>
        <v>12</v>
      </c>
      <c r="R95" s="1101">
        <f>IF($BH95=0,0,IF(SUM($O95:Q95)&lt;($L95-12),12,$L95-SUM($O95:Q95)))</f>
        <v>4.9985999999999997</v>
      </c>
      <c r="S95" s="1101">
        <f>IF($BH95=0,0,IF(SUM($O95:R95)&lt;($L95-12),12,$L95-SUM($O95:R95)))</f>
        <v>0</v>
      </c>
      <c r="U95" s="1100"/>
      <c r="V95" s="1100">
        <f>'ANSP Capex'!T91</f>
        <v>0</v>
      </c>
      <c r="W95" s="1101">
        <f>IF($BI95=0,0,IF(SUM($U95:V95)&lt;($L95-12),12,$L95-SUM($U95:V95)))</f>
        <v>0</v>
      </c>
      <c r="X95" s="1101">
        <f>IF($BI95=0,0,IF(SUM($U95:W95)&lt;($L95-12),12,$L95-SUM($U95:W95)))</f>
        <v>0</v>
      </c>
      <c r="Y95" s="1101">
        <f>IF($BI95=0,0,IF(SUM($U95:X95)&lt;($L95-12),12,$L95-SUM($U95:X95)))</f>
        <v>0</v>
      </c>
      <c r="AA95" s="1100"/>
      <c r="AB95" s="1100"/>
      <c r="AC95" s="1100">
        <f>'ANSP Capex'!AA91</f>
        <v>0</v>
      </c>
      <c r="AD95" s="1101">
        <f>IF($BJ95=0,0,IF(SUM($AA95:AC95)&lt;($L95-12),12,$L95-SUM($AA95:AC95)))</f>
        <v>0</v>
      </c>
      <c r="AE95" s="1101">
        <f>IF($BJ95=0,0,IF(SUM($AA95:AD95)&lt;($L95-12),12,$L95-SUM($AA95:AD95)))</f>
        <v>0</v>
      </c>
      <c r="AG95" s="1100"/>
      <c r="AH95" s="1100"/>
      <c r="AI95" s="1100"/>
      <c r="AJ95" s="1100">
        <f>'ANSP Capex'!AH91</f>
        <v>0</v>
      </c>
      <c r="AK95" s="1101">
        <f>IF($BK95=0,0,IF(SUM($AG95:AJ95)&lt;($L95-12),12,$L95-SUM($AG95:AJ95)))</f>
        <v>0</v>
      </c>
      <c r="AM95" s="1100"/>
      <c r="AN95" s="1100"/>
      <c r="AO95" s="1100"/>
      <c r="AP95" s="1100"/>
      <c r="AQ95" s="1100">
        <f>'ANSP Capex'!AO91</f>
        <v>0</v>
      </c>
      <c r="AS95" s="153">
        <f t="shared" si="3"/>
        <v>0.58344999999999991</v>
      </c>
      <c r="AT95" s="153">
        <f t="shared" si="4"/>
        <v>0</v>
      </c>
      <c r="AU95" s="153">
        <f t="shared" si="5"/>
        <v>0</v>
      </c>
      <c r="AV95" s="153">
        <f t="shared" si="6"/>
        <v>0</v>
      </c>
      <c r="AW95" s="153">
        <f t="shared" si="7"/>
        <v>0</v>
      </c>
      <c r="AX95" s="153"/>
      <c r="AY95" s="1543">
        <f>'ANSP Capex'!AW91</f>
        <v>0.73</v>
      </c>
      <c r="AZ95" s="1102"/>
      <c r="BA95" s="1543">
        <f>'ANSP Capex'!AY91</f>
        <v>0.15</v>
      </c>
      <c r="BC95" s="1126"/>
      <c r="BD95" s="1126"/>
      <c r="BE95" s="1126"/>
      <c r="BF95" s="1126"/>
      <c r="BG95" s="1126"/>
      <c r="BH95" s="1126">
        <f>'ANSP Capex'!BF91*IF($I95="",(1+INDEX($I$41:$I$42,MATCH($F95,$F$41:$F$42,0))),(1+$I95))</f>
        <v>0.6</v>
      </c>
      <c r="BI95" s="1126">
        <f>'ANSP Capex'!BG91*IF($I95="",(1+INDEX($I$41:$I$42,MATCH($F95,$F$41:$F$42,0))),(1+$I95))</f>
        <v>0</v>
      </c>
      <c r="BJ95" s="1126">
        <f>'ANSP Capex'!BH91*IF($I95="",(1+INDEX($I$41:$I$42,MATCH($F95,$F$41:$F$42,0))),(1+$I95))</f>
        <v>0</v>
      </c>
      <c r="BK95" s="1126">
        <f>'ANSP Capex'!BI91*IF($I95="",(1+INDEX($I$41:$I$42,MATCH($F95,$F$41:$F$42,0))),(1+$I95))</f>
        <v>0</v>
      </c>
      <c r="BL95" s="1126">
        <f>'ANSP Capex'!BJ91*IF($I95="",(1+INDEX($I$41:$I$42,MATCH($F95,$F$41:$F$42,0))),(1+$I95))</f>
        <v>0</v>
      </c>
    </row>
    <row r="96" spans="1:64" outlineLevel="2">
      <c r="A96" s="1094"/>
      <c r="B96" s="1094"/>
      <c r="C96" s="1083" t="str">
        <f>'ANSP Capex'!C92</f>
        <v>T017 - OPTIPLEX5060 W20007906</v>
      </c>
      <c r="D96" s="1083" t="str">
        <f>'ANSP Capex'!D92</f>
        <v>IT Equipment</v>
      </c>
      <c r="E96" s="1083" t="str">
        <f>'ANSP Capex'!E92</f>
        <v>T0170209</v>
      </c>
      <c r="F96" s="1083">
        <f>'ANSP Capex'!F92</f>
        <v>2020</v>
      </c>
      <c r="G96" s="1101">
        <f t="shared" si="0"/>
        <v>0.6</v>
      </c>
      <c r="H96" s="1083" t="str">
        <f>'ANSP Capex'!H92</f>
        <v>€'000</v>
      </c>
      <c r="I96" s="829"/>
      <c r="J96" s="1097">
        <f>'ANSP Capex'!I92</f>
        <v>3</v>
      </c>
      <c r="K96" s="1124">
        <v>0</v>
      </c>
      <c r="L96" s="1098">
        <f t="shared" si="1"/>
        <v>36</v>
      </c>
      <c r="M96" s="153">
        <f t="shared" si="2"/>
        <v>0.33333333333333331</v>
      </c>
      <c r="N96" s="1099"/>
      <c r="O96" s="1100">
        <f>'ANSP Capex'!M92</f>
        <v>7.0013999999999994</v>
      </c>
      <c r="P96" s="1101">
        <f>IF($BH96=0,0,IF(SUM($O96:O96)&lt;($L96-12),12,$L96-SUM($O96:O96)))</f>
        <v>12</v>
      </c>
      <c r="Q96" s="1101">
        <f>IF($BH96=0,0,IF(SUM($O96:P96)&lt;($L96-12),12,$L96-SUM($O96:P96)))</f>
        <v>12</v>
      </c>
      <c r="R96" s="1101">
        <f>IF($BH96=0,0,IF(SUM($O96:Q96)&lt;($L96-12),12,$L96-SUM($O96:Q96)))</f>
        <v>4.9985999999999997</v>
      </c>
      <c r="S96" s="1101">
        <f>IF($BH96=0,0,IF(SUM($O96:R96)&lt;($L96-12),12,$L96-SUM($O96:R96)))</f>
        <v>0</v>
      </c>
      <c r="U96" s="1100"/>
      <c r="V96" s="1100">
        <f>'ANSP Capex'!T92</f>
        <v>0</v>
      </c>
      <c r="W96" s="1101">
        <f>IF($BI96=0,0,IF(SUM($U96:V96)&lt;($L96-12),12,$L96-SUM($U96:V96)))</f>
        <v>0</v>
      </c>
      <c r="X96" s="1101">
        <f>IF($BI96=0,0,IF(SUM($U96:W96)&lt;($L96-12),12,$L96-SUM($U96:W96)))</f>
        <v>0</v>
      </c>
      <c r="Y96" s="1101">
        <f>IF($BI96=0,0,IF(SUM($U96:X96)&lt;($L96-12),12,$L96-SUM($U96:X96)))</f>
        <v>0</v>
      </c>
      <c r="AA96" s="1100"/>
      <c r="AB96" s="1100"/>
      <c r="AC96" s="1100">
        <f>'ANSP Capex'!AA92</f>
        <v>0</v>
      </c>
      <c r="AD96" s="1101">
        <f>IF($BJ96=0,0,IF(SUM($AA96:AC96)&lt;($L96-12),12,$L96-SUM($AA96:AC96)))</f>
        <v>0</v>
      </c>
      <c r="AE96" s="1101">
        <f>IF($BJ96=0,0,IF(SUM($AA96:AD96)&lt;($L96-12),12,$L96-SUM($AA96:AD96)))</f>
        <v>0</v>
      </c>
      <c r="AG96" s="1100"/>
      <c r="AH96" s="1100"/>
      <c r="AI96" s="1100"/>
      <c r="AJ96" s="1100">
        <f>'ANSP Capex'!AH92</f>
        <v>0</v>
      </c>
      <c r="AK96" s="1101">
        <f>IF($BK96=0,0,IF(SUM($AG96:AJ96)&lt;($L96-12),12,$L96-SUM($AG96:AJ96)))</f>
        <v>0</v>
      </c>
      <c r="AM96" s="1100"/>
      <c r="AN96" s="1100"/>
      <c r="AO96" s="1100"/>
      <c r="AP96" s="1100"/>
      <c r="AQ96" s="1100">
        <f>'ANSP Capex'!AO92</f>
        <v>0</v>
      </c>
      <c r="AS96" s="153">
        <f t="shared" si="3"/>
        <v>0.58344999999999991</v>
      </c>
      <c r="AT96" s="153">
        <f t="shared" si="4"/>
        <v>0</v>
      </c>
      <c r="AU96" s="153">
        <f t="shared" si="5"/>
        <v>0</v>
      </c>
      <c r="AV96" s="153">
        <f t="shared" si="6"/>
        <v>0</v>
      </c>
      <c r="AW96" s="153">
        <f t="shared" si="7"/>
        <v>0</v>
      </c>
      <c r="AX96" s="153"/>
      <c r="AY96" s="1543">
        <f>'ANSP Capex'!AW92</f>
        <v>0.73</v>
      </c>
      <c r="AZ96" s="1102"/>
      <c r="BA96" s="1543">
        <f>'ANSP Capex'!AY92</f>
        <v>0.15</v>
      </c>
      <c r="BC96" s="1126"/>
      <c r="BD96" s="1126"/>
      <c r="BE96" s="1126"/>
      <c r="BF96" s="1126"/>
      <c r="BG96" s="1126"/>
      <c r="BH96" s="1126">
        <f>'ANSP Capex'!BF92*IF($I96="",(1+INDEX($I$41:$I$42,MATCH($F96,$F$41:$F$42,0))),(1+$I96))</f>
        <v>0.6</v>
      </c>
      <c r="BI96" s="1126">
        <f>'ANSP Capex'!BG92*IF($I96="",(1+INDEX($I$41:$I$42,MATCH($F96,$F$41:$F$42,0))),(1+$I96))</f>
        <v>0</v>
      </c>
      <c r="BJ96" s="1126">
        <f>'ANSP Capex'!BH92*IF($I96="",(1+INDEX($I$41:$I$42,MATCH($F96,$F$41:$F$42,0))),(1+$I96))</f>
        <v>0</v>
      </c>
      <c r="BK96" s="1126">
        <f>'ANSP Capex'!BI92*IF($I96="",(1+INDEX($I$41:$I$42,MATCH($F96,$F$41:$F$42,0))),(1+$I96))</f>
        <v>0</v>
      </c>
      <c r="BL96" s="1126">
        <f>'ANSP Capex'!BJ92*IF($I96="",(1+INDEX($I$41:$I$42,MATCH($F96,$F$41:$F$42,0))),(1+$I96))</f>
        <v>0</v>
      </c>
    </row>
    <row r="97" spans="1:64" outlineLevel="2">
      <c r="A97" s="1094"/>
      <c r="B97" s="1094"/>
      <c r="C97" s="1083" t="str">
        <f>'ANSP Capex'!C93</f>
        <v>T017 - TOSHIBA X20 W20008070</v>
      </c>
      <c r="D97" s="1083" t="str">
        <f>'ANSP Capex'!D93</f>
        <v>IT Equipment</v>
      </c>
      <c r="E97" s="1083" t="str">
        <f>'ANSP Capex'!E93</f>
        <v>T0170215</v>
      </c>
      <c r="F97" s="1083">
        <f>'ANSP Capex'!F93</f>
        <v>2020</v>
      </c>
      <c r="G97" s="1101">
        <f t="shared" si="0"/>
        <v>0.90061000000000002</v>
      </c>
      <c r="H97" s="1083" t="str">
        <f>'ANSP Capex'!H93</f>
        <v>€'000</v>
      </c>
      <c r="I97" s="829"/>
      <c r="J97" s="1097">
        <f>'ANSP Capex'!I93</f>
        <v>3.0833333333333335</v>
      </c>
      <c r="K97" s="1124">
        <v>0</v>
      </c>
      <c r="L97" s="1098">
        <f t="shared" si="1"/>
        <v>37</v>
      </c>
      <c r="M97" s="153">
        <f t="shared" si="2"/>
        <v>0.32432432432432429</v>
      </c>
      <c r="N97" s="1099"/>
      <c r="O97" s="1100">
        <f>'ANSP Capex'!M93</f>
        <v>7.1953231698515445</v>
      </c>
      <c r="P97" s="1101">
        <f>IF($BH97=0,0,IF(SUM($O97:O97)&lt;($L97-12),12,$L97-SUM($O97:O97)))</f>
        <v>12</v>
      </c>
      <c r="Q97" s="1101">
        <f>IF($BH97=0,0,IF(SUM($O97:P97)&lt;($L97-12),12,$L97-SUM($O97:P97)))</f>
        <v>12</v>
      </c>
      <c r="R97" s="1101">
        <f>IF($BH97=0,0,IF(SUM($O97:Q97)&lt;($L97-12),12,$L97-SUM($O97:Q97)))</f>
        <v>5.8046768301484555</v>
      </c>
      <c r="S97" s="1101">
        <f>IF($BH97=0,0,IF(SUM($O97:R97)&lt;($L97-12),12,$L97-SUM($O97:R97)))</f>
        <v>0</v>
      </c>
      <c r="U97" s="1100"/>
      <c r="V97" s="1100">
        <f>'ANSP Capex'!T93</f>
        <v>0</v>
      </c>
      <c r="W97" s="1101">
        <f>IF($BI97=0,0,IF(SUM($U97:V97)&lt;($L97-12),12,$L97-SUM($U97:V97)))</f>
        <v>0</v>
      </c>
      <c r="X97" s="1101">
        <f>IF($BI97=0,0,IF(SUM($U97:W97)&lt;($L97-12),12,$L97-SUM($U97:W97)))</f>
        <v>0</v>
      </c>
      <c r="Y97" s="1101">
        <f>IF($BI97=0,0,IF(SUM($U97:X97)&lt;($L97-12),12,$L97-SUM($U97:X97)))</f>
        <v>0</v>
      </c>
      <c r="AA97" s="1100"/>
      <c r="AB97" s="1100"/>
      <c r="AC97" s="1100">
        <f>'ANSP Capex'!AA93</f>
        <v>0</v>
      </c>
      <c r="AD97" s="1101">
        <f>IF($BJ97=0,0,IF(SUM($AA97:AC97)&lt;($L97-12),12,$L97-SUM($AA97:AC97)))</f>
        <v>0</v>
      </c>
      <c r="AE97" s="1101">
        <f>IF($BJ97=0,0,IF(SUM($AA97:AD97)&lt;($L97-12),12,$L97-SUM($AA97:AD97)))</f>
        <v>0</v>
      </c>
      <c r="AG97" s="1100"/>
      <c r="AH97" s="1100"/>
      <c r="AI97" s="1100"/>
      <c r="AJ97" s="1100">
        <f>'ANSP Capex'!AH93</f>
        <v>0</v>
      </c>
      <c r="AK97" s="1101">
        <f>IF($BK97=0,0,IF(SUM($AG97:AJ97)&lt;($L97-12),12,$L97-SUM($AG97:AJ97)))</f>
        <v>0</v>
      </c>
      <c r="AM97" s="1100"/>
      <c r="AN97" s="1100"/>
      <c r="AO97" s="1100"/>
      <c r="AP97" s="1100"/>
      <c r="AQ97" s="1100">
        <f>'ANSP Capex'!AO93</f>
        <v>0</v>
      </c>
      <c r="AS97" s="153">
        <f t="shared" si="3"/>
        <v>0.59961026415429541</v>
      </c>
      <c r="AT97" s="153">
        <f t="shared" si="4"/>
        <v>0</v>
      </c>
      <c r="AU97" s="153">
        <f t="shared" si="5"/>
        <v>0</v>
      </c>
      <c r="AV97" s="153">
        <f t="shared" si="6"/>
        <v>0</v>
      </c>
      <c r="AW97" s="153">
        <f t="shared" si="7"/>
        <v>0</v>
      </c>
      <c r="AX97" s="153"/>
      <c r="AY97" s="1543">
        <f>'ANSP Capex'!AW93</f>
        <v>0.73</v>
      </c>
      <c r="AZ97" s="1102"/>
      <c r="BA97" s="1543">
        <f>'ANSP Capex'!AY93</f>
        <v>0.15</v>
      </c>
      <c r="BC97" s="1126"/>
      <c r="BD97" s="1126"/>
      <c r="BE97" s="1126"/>
      <c r="BF97" s="1126"/>
      <c r="BG97" s="1126"/>
      <c r="BH97" s="1126">
        <f>'ANSP Capex'!BF93*IF($I97="",(1+INDEX($I$41:$I$42,MATCH($F97,$F$41:$F$42,0))),(1+$I97))</f>
        <v>0.90061000000000002</v>
      </c>
      <c r="BI97" s="1126">
        <f>'ANSP Capex'!BG93*IF($I97="",(1+INDEX($I$41:$I$42,MATCH($F97,$F$41:$F$42,0))),(1+$I97))</f>
        <v>0</v>
      </c>
      <c r="BJ97" s="1126">
        <f>'ANSP Capex'!BH93*IF($I97="",(1+INDEX($I$41:$I$42,MATCH($F97,$F$41:$F$42,0))),(1+$I97))</f>
        <v>0</v>
      </c>
      <c r="BK97" s="1126">
        <f>'ANSP Capex'!BI93*IF($I97="",(1+INDEX($I$41:$I$42,MATCH($F97,$F$41:$F$42,0))),(1+$I97))</f>
        <v>0</v>
      </c>
      <c r="BL97" s="1126">
        <f>'ANSP Capex'!BJ93*IF($I97="",(1+INDEX($I$41:$I$42,MATCH($F97,$F$41:$F$42,0))),(1+$I97))</f>
        <v>0</v>
      </c>
    </row>
    <row r="98" spans="1:64" outlineLevel="2">
      <c r="A98" s="1094"/>
      <c r="B98" s="1094"/>
      <c r="C98" s="1083" t="str">
        <f>'ANSP Capex'!C94</f>
        <v>T017 - TOSHIBA X20 W20008085</v>
      </c>
      <c r="D98" s="1083" t="str">
        <f>'ANSP Capex'!D94</f>
        <v>IT Equipment</v>
      </c>
      <c r="E98" s="1083" t="str">
        <f>'ANSP Capex'!E94</f>
        <v>T0170226</v>
      </c>
      <c r="F98" s="1083">
        <f>'ANSP Capex'!F94</f>
        <v>2020</v>
      </c>
      <c r="G98" s="1101">
        <f t="shared" si="0"/>
        <v>0.90061000000000002</v>
      </c>
      <c r="H98" s="1083" t="str">
        <f>'ANSP Capex'!H94</f>
        <v>€'000</v>
      </c>
      <c r="I98" s="829"/>
      <c r="J98" s="1097">
        <f>'ANSP Capex'!I94</f>
        <v>3.0833333333333335</v>
      </c>
      <c r="K98" s="1124">
        <v>0</v>
      </c>
      <c r="L98" s="1098">
        <f t="shared" si="1"/>
        <v>37</v>
      </c>
      <c r="M98" s="153">
        <f t="shared" si="2"/>
        <v>0.32432432432432429</v>
      </c>
      <c r="N98" s="1099"/>
      <c r="O98" s="1100">
        <f>'ANSP Capex'!M94</f>
        <v>7.1953231698515445</v>
      </c>
      <c r="P98" s="1101">
        <f>IF($BH98=0,0,IF(SUM($O98:O98)&lt;($L98-12),12,$L98-SUM($O98:O98)))</f>
        <v>12</v>
      </c>
      <c r="Q98" s="1101">
        <f>IF($BH98=0,0,IF(SUM($O98:P98)&lt;($L98-12),12,$L98-SUM($O98:P98)))</f>
        <v>12</v>
      </c>
      <c r="R98" s="1101">
        <f>IF($BH98=0,0,IF(SUM($O98:Q98)&lt;($L98-12),12,$L98-SUM($O98:Q98)))</f>
        <v>5.8046768301484555</v>
      </c>
      <c r="S98" s="1101">
        <f>IF($BH98=0,0,IF(SUM($O98:R98)&lt;($L98-12),12,$L98-SUM($O98:R98)))</f>
        <v>0</v>
      </c>
      <c r="U98" s="1100"/>
      <c r="V98" s="1100">
        <f>'ANSP Capex'!T94</f>
        <v>0</v>
      </c>
      <c r="W98" s="1101">
        <f>IF($BI98=0,0,IF(SUM($U98:V98)&lt;($L98-12),12,$L98-SUM($U98:V98)))</f>
        <v>0</v>
      </c>
      <c r="X98" s="1101">
        <f>IF($BI98=0,0,IF(SUM($U98:W98)&lt;($L98-12),12,$L98-SUM($U98:W98)))</f>
        <v>0</v>
      </c>
      <c r="Y98" s="1101">
        <f>IF($BI98=0,0,IF(SUM($U98:X98)&lt;($L98-12),12,$L98-SUM($U98:X98)))</f>
        <v>0</v>
      </c>
      <c r="AA98" s="1100"/>
      <c r="AB98" s="1100"/>
      <c r="AC98" s="1100">
        <f>'ANSP Capex'!AA94</f>
        <v>0</v>
      </c>
      <c r="AD98" s="1101">
        <f>IF($BJ98=0,0,IF(SUM($AA98:AC98)&lt;($L98-12),12,$L98-SUM($AA98:AC98)))</f>
        <v>0</v>
      </c>
      <c r="AE98" s="1101">
        <f>IF($BJ98=0,0,IF(SUM($AA98:AD98)&lt;($L98-12),12,$L98-SUM($AA98:AD98)))</f>
        <v>0</v>
      </c>
      <c r="AG98" s="1100"/>
      <c r="AH98" s="1100"/>
      <c r="AI98" s="1100"/>
      <c r="AJ98" s="1100">
        <f>'ANSP Capex'!AH94</f>
        <v>0</v>
      </c>
      <c r="AK98" s="1101">
        <f>IF($BK98=0,0,IF(SUM($AG98:AJ98)&lt;($L98-12),12,$L98-SUM($AG98:AJ98)))</f>
        <v>0</v>
      </c>
      <c r="AM98" s="1100"/>
      <c r="AN98" s="1100"/>
      <c r="AO98" s="1100"/>
      <c r="AP98" s="1100"/>
      <c r="AQ98" s="1100">
        <f>'ANSP Capex'!AO94</f>
        <v>0</v>
      </c>
      <c r="AS98" s="153">
        <f t="shared" si="3"/>
        <v>0.59961026415429541</v>
      </c>
      <c r="AT98" s="153">
        <f t="shared" si="4"/>
        <v>0</v>
      </c>
      <c r="AU98" s="153">
        <f t="shared" si="5"/>
        <v>0</v>
      </c>
      <c r="AV98" s="153">
        <f t="shared" si="6"/>
        <v>0</v>
      </c>
      <c r="AW98" s="153">
        <f t="shared" si="7"/>
        <v>0</v>
      </c>
      <c r="AX98" s="153"/>
      <c r="AY98" s="1543">
        <f>'ANSP Capex'!AW94</f>
        <v>0.73</v>
      </c>
      <c r="AZ98" s="1102"/>
      <c r="BA98" s="1543">
        <f>'ANSP Capex'!AY94</f>
        <v>0.15</v>
      </c>
      <c r="BC98" s="1126"/>
      <c r="BD98" s="1126"/>
      <c r="BE98" s="1126"/>
      <c r="BF98" s="1126"/>
      <c r="BG98" s="1126"/>
      <c r="BH98" s="1126">
        <f>'ANSP Capex'!BF94*IF($I98="",(1+INDEX($I$41:$I$42,MATCH($F98,$F$41:$F$42,0))),(1+$I98))</f>
        <v>0.90061000000000002</v>
      </c>
      <c r="BI98" s="1126">
        <f>'ANSP Capex'!BG94*IF($I98="",(1+INDEX($I$41:$I$42,MATCH($F98,$F$41:$F$42,0))),(1+$I98))</f>
        <v>0</v>
      </c>
      <c r="BJ98" s="1126">
        <f>'ANSP Capex'!BH94*IF($I98="",(1+INDEX($I$41:$I$42,MATCH($F98,$F$41:$F$42,0))),(1+$I98))</f>
        <v>0</v>
      </c>
      <c r="BK98" s="1126">
        <f>'ANSP Capex'!BI94*IF($I98="",(1+INDEX($I$41:$I$42,MATCH($F98,$F$41:$F$42,0))),(1+$I98))</f>
        <v>0</v>
      </c>
      <c r="BL98" s="1126">
        <f>'ANSP Capex'!BJ94*IF($I98="",(1+INDEX($I$41:$I$42,MATCH($F98,$F$41:$F$42,0))),(1+$I98))</f>
        <v>0</v>
      </c>
    </row>
    <row r="99" spans="1:64" outlineLevel="2">
      <c r="A99" s="1094"/>
      <c r="B99" s="1094"/>
      <c r="C99" s="1083" t="str">
        <f>'ANSP Capex'!C95</f>
        <v>T017 - TOSHIBA X20 W20008008</v>
      </c>
      <c r="D99" s="1083" t="str">
        <f>'ANSP Capex'!D95</f>
        <v>IT Equipment</v>
      </c>
      <c r="E99" s="1083" t="str">
        <f>'ANSP Capex'!E95</f>
        <v>T0170231</v>
      </c>
      <c r="F99" s="1083">
        <f>'ANSP Capex'!F95</f>
        <v>2020</v>
      </c>
      <c r="G99" s="1101">
        <f t="shared" si="0"/>
        <v>1.50641</v>
      </c>
      <c r="H99" s="1083" t="str">
        <f>'ANSP Capex'!H95</f>
        <v>€'000</v>
      </c>
      <c r="I99" s="829"/>
      <c r="J99" s="1097">
        <f>'ANSP Capex'!I95</f>
        <v>3</v>
      </c>
      <c r="K99" s="1124">
        <v>0</v>
      </c>
      <c r="L99" s="1098">
        <f t="shared" si="1"/>
        <v>36</v>
      </c>
      <c r="M99" s="153">
        <f t="shared" si="2"/>
        <v>0.33333333333333331</v>
      </c>
      <c r="N99" s="1099"/>
      <c r="O99" s="1100">
        <f>'ANSP Capex'!M95</f>
        <v>6.9999269787109757</v>
      </c>
      <c r="P99" s="1101">
        <f>IF($BH99=0,0,IF(SUM($O99:O99)&lt;($L99-12),12,$L99-SUM($O99:O99)))</f>
        <v>12</v>
      </c>
      <c r="Q99" s="1101">
        <f>IF($BH99=0,0,IF(SUM($O99:P99)&lt;($L99-12),12,$L99-SUM($O99:P99)))</f>
        <v>12</v>
      </c>
      <c r="R99" s="1101">
        <f>IF($BH99=0,0,IF(SUM($O99:Q99)&lt;($L99-12),12,$L99-SUM($O99:Q99)))</f>
        <v>5.0000730212890261</v>
      </c>
      <c r="S99" s="1101">
        <f>IF($BH99=0,0,IF(SUM($O99:R99)&lt;($L99-12),12,$L99-SUM($O99:R99)))</f>
        <v>0</v>
      </c>
      <c r="U99" s="1100"/>
      <c r="V99" s="1100">
        <f>'ANSP Capex'!T95</f>
        <v>0</v>
      </c>
      <c r="W99" s="1101">
        <f>IF($BI99=0,0,IF(SUM($U99:V99)&lt;($L99-12),12,$L99-SUM($U99:V99)))</f>
        <v>0</v>
      </c>
      <c r="X99" s="1101">
        <f>IF($BI99=0,0,IF(SUM($U99:W99)&lt;($L99-12),12,$L99-SUM($U99:W99)))</f>
        <v>0</v>
      </c>
      <c r="Y99" s="1101">
        <f>IF($BI99=0,0,IF(SUM($U99:X99)&lt;($L99-12),12,$L99-SUM($U99:X99)))</f>
        <v>0</v>
      </c>
      <c r="AA99" s="1100"/>
      <c r="AB99" s="1100"/>
      <c r="AC99" s="1100">
        <f>'ANSP Capex'!AA95</f>
        <v>0</v>
      </c>
      <c r="AD99" s="1101">
        <f>IF($BJ99=0,0,IF(SUM($AA99:AC99)&lt;($L99-12),12,$L99-SUM($AA99:AC99)))</f>
        <v>0</v>
      </c>
      <c r="AE99" s="1101">
        <f>IF($BJ99=0,0,IF(SUM($AA99:AD99)&lt;($L99-12),12,$L99-SUM($AA99:AD99)))</f>
        <v>0</v>
      </c>
      <c r="AG99" s="1100"/>
      <c r="AH99" s="1100"/>
      <c r="AI99" s="1100"/>
      <c r="AJ99" s="1100">
        <f>'ANSP Capex'!AH95</f>
        <v>0</v>
      </c>
      <c r="AK99" s="1101">
        <f>IF($BK99=0,0,IF(SUM($AG99:AJ99)&lt;($L99-12),12,$L99-SUM($AG99:AJ99)))</f>
        <v>0</v>
      </c>
      <c r="AM99" s="1100"/>
      <c r="AN99" s="1100"/>
      <c r="AO99" s="1100"/>
      <c r="AP99" s="1100"/>
      <c r="AQ99" s="1100">
        <f>'ANSP Capex'!AO95</f>
        <v>0</v>
      </c>
      <c r="AS99" s="153">
        <f t="shared" si="3"/>
        <v>0.58332724822591464</v>
      </c>
      <c r="AT99" s="153">
        <f t="shared" si="4"/>
        <v>0</v>
      </c>
      <c r="AU99" s="153">
        <f t="shared" si="5"/>
        <v>0</v>
      </c>
      <c r="AV99" s="153">
        <f t="shared" si="6"/>
        <v>0</v>
      </c>
      <c r="AW99" s="153">
        <f t="shared" si="7"/>
        <v>0</v>
      </c>
      <c r="AX99" s="153"/>
      <c r="AY99" s="1543">
        <f>'ANSP Capex'!AW95</f>
        <v>0.73</v>
      </c>
      <c r="AZ99" s="1102"/>
      <c r="BA99" s="1543">
        <f>'ANSP Capex'!AY95</f>
        <v>0.15</v>
      </c>
      <c r="BC99" s="1126"/>
      <c r="BD99" s="1126"/>
      <c r="BE99" s="1126"/>
      <c r="BF99" s="1126"/>
      <c r="BG99" s="1126"/>
      <c r="BH99" s="1126">
        <f>'ANSP Capex'!BF95*IF($I99="",(1+INDEX($I$41:$I$42,MATCH($F99,$F$41:$F$42,0))),(1+$I99))</f>
        <v>1.50641</v>
      </c>
      <c r="BI99" s="1126">
        <f>'ANSP Capex'!BG95*IF($I99="",(1+INDEX($I$41:$I$42,MATCH($F99,$F$41:$F$42,0))),(1+$I99))</f>
        <v>0</v>
      </c>
      <c r="BJ99" s="1126">
        <f>'ANSP Capex'!BH95*IF($I99="",(1+INDEX($I$41:$I$42,MATCH($F99,$F$41:$F$42,0))),(1+$I99))</f>
        <v>0</v>
      </c>
      <c r="BK99" s="1126">
        <f>'ANSP Capex'!BI95*IF($I99="",(1+INDEX($I$41:$I$42,MATCH($F99,$F$41:$F$42,0))),(1+$I99))</f>
        <v>0</v>
      </c>
      <c r="BL99" s="1126">
        <f>'ANSP Capex'!BJ95*IF($I99="",(1+INDEX($I$41:$I$42,MATCH($F99,$F$41:$F$42,0))),(1+$I99))</f>
        <v>0</v>
      </c>
    </row>
    <row r="100" spans="1:64" outlineLevel="2">
      <c r="A100" s="1094"/>
      <c r="B100" s="1094"/>
      <c r="C100" s="1083" t="str">
        <f>'ANSP Capex'!C96</f>
        <v>T017 - TOSHIBA X20 W20008009</v>
      </c>
      <c r="D100" s="1083" t="str">
        <f>'ANSP Capex'!D96</f>
        <v>IT Equipment</v>
      </c>
      <c r="E100" s="1083" t="str">
        <f>'ANSP Capex'!E96</f>
        <v>T0170232</v>
      </c>
      <c r="F100" s="1083">
        <f>'ANSP Capex'!F96</f>
        <v>2020</v>
      </c>
      <c r="G100" s="1101">
        <f t="shared" si="0"/>
        <v>1.50641</v>
      </c>
      <c r="H100" s="1083" t="str">
        <f>'ANSP Capex'!H96</f>
        <v>€'000</v>
      </c>
      <c r="I100" s="829"/>
      <c r="J100" s="1097">
        <f>'ANSP Capex'!I96</f>
        <v>3</v>
      </c>
      <c r="K100" s="1124">
        <v>0</v>
      </c>
      <c r="L100" s="1098">
        <f t="shared" si="1"/>
        <v>36</v>
      </c>
      <c r="M100" s="153">
        <f t="shared" si="2"/>
        <v>0.33333333333333331</v>
      </c>
      <c r="N100" s="1099"/>
      <c r="O100" s="1100">
        <f>'ANSP Capex'!M96</f>
        <v>6.9999269787109757</v>
      </c>
      <c r="P100" s="1101">
        <f>IF($BH100=0,0,IF(SUM($O100:O100)&lt;($L100-12),12,$L100-SUM($O100:O100)))</f>
        <v>12</v>
      </c>
      <c r="Q100" s="1101">
        <f>IF($BH100=0,0,IF(SUM($O100:P100)&lt;($L100-12),12,$L100-SUM($O100:P100)))</f>
        <v>12</v>
      </c>
      <c r="R100" s="1101">
        <f>IF($BH100=0,0,IF(SUM($O100:Q100)&lt;($L100-12),12,$L100-SUM($O100:Q100)))</f>
        <v>5.0000730212890261</v>
      </c>
      <c r="S100" s="1101">
        <f>IF($BH100=0,0,IF(SUM($O100:R100)&lt;($L100-12),12,$L100-SUM($O100:R100)))</f>
        <v>0</v>
      </c>
      <c r="U100" s="1100"/>
      <c r="V100" s="1100">
        <f>'ANSP Capex'!T96</f>
        <v>0</v>
      </c>
      <c r="W100" s="1101">
        <f>IF($BI100=0,0,IF(SUM($U100:V100)&lt;($L100-12),12,$L100-SUM($U100:V100)))</f>
        <v>0</v>
      </c>
      <c r="X100" s="1101">
        <f>IF($BI100=0,0,IF(SUM($U100:W100)&lt;($L100-12),12,$L100-SUM($U100:W100)))</f>
        <v>0</v>
      </c>
      <c r="Y100" s="1101">
        <f>IF($BI100=0,0,IF(SUM($U100:X100)&lt;($L100-12),12,$L100-SUM($U100:X100)))</f>
        <v>0</v>
      </c>
      <c r="AA100" s="1100"/>
      <c r="AB100" s="1100"/>
      <c r="AC100" s="1100">
        <f>'ANSP Capex'!AA96</f>
        <v>0</v>
      </c>
      <c r="AD100" s="1101">
        <f>IF($BJ100=0,0,IF(SUM($AA100:AC100)&lt;($L100-12),12,$L100-SUM($AA100:AC100)))</f>
        <v>0</v>
      </c>
      <c r="AE100" s="1101">
        <f>IF($BJ100=0,0,IF(SUM($AA100:AD100)&lt;($L100-12),12,$L100-SUM($AA100:AD100)))</f>
        <v>0</v>
      </c>
      <c r="AG100" s="1100"/>
      <c r="AH100" s="1100"/>
      <c r="AI100" s="1100"/>
      <c r="AJ100" s="1100">
        <f>'ANSP Capex'!AH96</f>
        <v>0</v>
      </c>
      <c r="AK100" s="1101">
        <f>IF($BK100=0,0,IF(SUM($AG100:AJ100)&lt;($L100-12),12,$L100-SUM($AG100:AJ100)))</f>
        <v>0</v>
      </c>
      <c r="AM100" s="1100"/>
      <c r="AN100" s="1100"/>
      <c r="AO100" s="1100"/>
      <c r="AP100" s="1100"/>
      <c r="AQ100" s="1100">
        <f>'ANSP Capex'!AO96</f>
        <v>0</v>
      </c>
      <c r="AS100" s="153">
        <f t="shared" si="3"/>
        <v>0.58332724822591464</v>
      </c>
      <c r="AT100" s="153">
        <f t="shared" si="4"/>
        <v>0</v>
      </c>
      <c r="AU100" s="153">
        <f t="shared" si="5"/>
        <v>0</v>
      </c>
      <c r="AV100" s="153">
        <f t="shared" si="6"/>
        <v>0</v>
      </c>
      <c r="AW100" s="153">
        <f t="shared" si="7"/>
        <v>0</v>
      </c>
      <c r="AX100" s="153"/>
      <c r="AY100" s="1543">
        <f>'ANSP Capex'!AW96</f>
        <v>0.73</v>
      </c>
      <c r="AZ100" s="1102"/>
      <c r="BA100" s="1543">
        <f>'ANSP Capex'!AY96</f>
        <v>0.15</v>
      </c>
      <c r="BC100" s="1126"/>
      <c r="BD100" s="1126"/>
      <c r="BE100" s="1126"/>
      <c r="BF100" s="1126"/>
      <c r="BG100" s="1126"/>
      <c r="BH100" s="1126">
        <f>'ANSP Capex'!BF96*IF($I100="",(1+INDEX($I$41:$I$42,MATCH($F100,$F$41:$F$42,0))),(1+$I100))</f>
        <v>1.50641</v>
      </c>
      <c r="BI100" s="1126">
        <f>'ANSP Capex'!BG96*IF($I100="",(1+INDEX($I$41:$I$42,MATCH($F100,$F$41:$F$42,0))),(1+$I100))</f>
        <v>0</v>
      </c>
      <c r="BJ100" s="1126">
        <f>'ANSP Capex'!BH96*IF($I100="",(1+INDEX($I$41:$I$42,MATCH($F100,$F$41:$F$42,0))),(1+$I100))</f>
        <v>0</v>
      </c>
      <c r="BK100" s="1126">
        <f>'ANSP Capex'!BI96*IF($I100="",(1+INDEX($I$41:$I$42,MATCH($F100,$F$41:$F$42,0))),(1+$I100))</f>
        <v>0</v>
      </c>
      <c r="BL100" s="1126">
        <f>'ANSP Capex'!BJ96*IF($I100="",(1+INDEX($I$41:$I$42,MATCH($F100,$F$41:$F$42,0))),(1+$I100))</f>
        <v>0</v>
      </c>
    </row>
    <row r="101" spans="1:64" outlineLevel="2">
      <c r="A101" s="1094"/>
      <c r="B101" s="1094"/>
      <c r="C101" s="1083" t="str">
        <f>'ANSP Capex'!C97</f>
        <v>T017 - TOSHIBA X20 W20008011</v>
      </c>
      <c r="D101" s="1083" t="str">
        <f>'ANSP Capex'!D97</f>
        <v>IT Equipment</v>
      </c>
      <c r="E101" s="1083" t="str">
        <f>'ANSP Capex'!E97</f>
        <v>T0170234</v>
      </c>
      <c r="F101" s="1083">
        <f>'ANSP Capex'!F97</f>
        <v>2020</v>
      </c>
      <c r="G101" s="1101">
        <f t="shared" si="0"/>
        <v>1.50641</v>
      </c>
      <c r="H101" s="1083" t="str">
        <f>'ANSP Capex'!H97</f>
        <v>€'000</v>
      </c>
      <c r="I101" s="829"/>
      <c r="J101" s="1097">
        <f>'ANSP Capex'!I97</f>
        <v>3</v>
      </c>
      <c r="K101" s="1124">
        <v>0</v>
      </c>
      <c r="L101" s="1098">
        <f t="shared" si="1"/>
        <v>36</v>
      </c>
      <c r="M101" s="153">
        <f t="shared" si="2"/>
        <v>0.33333333333333331</v>
      </c>
      <c r="N101" s="1099"/>
      <c r="O101" s="1100">
        <f>'ANSP Capex'!M97</f>
        <v>6.9999269787109757</v>
      </c>
      <c r="P101" s="1101">
        <f>IF($BH101=0,0,IF(SUM($O101:O101)&lt;($L101-12),12,$L101-SUM($O101:O101)))</f>
        <v>12</v>
      </c>
      <c r="Q101" s="1101">
        <f>IF($BH101=0,0,IF(SUM($O101:P101)&lt;($L101-12),12,$L101-SUM($O101:P101)))</f>
        <v>12</v>
      </c>
      <c r="R101" s="1101">
        <f>IF($BH101=0,0,IF(SUM($O101:Q101)&lt;($L101-12),12,$L101-SUM($O101:Q101)))</f>
        <v>5.0000730212890261</v>
      </c>
      <c r="S101" s="1101">
        <f>IF($BH101=0,0,IF(SUM($O101:R101)&lt;($L101-12),12,$L101-SUM($O101:R101)))</f>
        <v>0</v>
      </c>
      <c r="U101" s="1100"/>
      <c r="V101" s="1100">
        <f>'ANSP Capex'!T97</f>
        <v>0</v>
      </c>
      <c r="W101" s="1101">
        <f>IF($BI101=0,0,IF(SUM($U101:V101)&lt;($L101-12),12,$L101-SUM($U101:V101)))</f>
        <v>0</v>
      </c>
      <c r="X101" s="1101">
        <f>IF($BI101=0,0,IF(SUM($U101:W101)&lt;($L101-12),12,$L101-SUM($U101:W101)))</f>
        <v>0</v>
      </c>
      <c r="Y101" s="1101">
        <f>IF($BI101=0,0,IF(SUM($U101:X101)&lt;($L101-12),12,$L101-SUM($U101:X101)))</f>
        <v>0</v>
      </c>
      <c r="AA101" s="1100"/>
      <c r="AB101" s="1100"/>
      <c r="AC101" s="1100">
        <f>'ANSP Capex'!AA97</f>
        <v>0</v>
      </c>
      <c r="AD101" s="1101">
        <f>IF($BJ101=0,0,IF(SUM($AA101:AC101)&lt;($L101-12),12,$L101-SUM($AA101:AC101)))</f>
        <v>0</v>
      </c>
      <c r="AE101" s="1101">
        <f>IF($BJ101=0,0,IF(SUM($AA101:AD101)&lt;($L101-12),12,$L101-SUM($AA101:AD101)))</f>
        <v>0</v>
      </c>
      <c r="AG101" s="1100"/>
      <c r="AH101" s="1100"/>
      <c r="AI101" s="1100"/>
      <c r="AJ101" s="1100">
        <f>'ANSP Capex'!AH97</f>
        <v>0</v>
      </c>
      <c r="AK101" s="1101">
        <f>IF($BK101=0,0,IF(SUM($AG101:AJ101)&lt;($L101-12),12,$L101-SUM($AG101:AJ101)))</f>
        <v>0</v>
      </c>
      <c r="AM101" s="1100"/>
      <c r="AN101" s="1100"/>
      <c r="AO101" s="1100"/>
      <c r="AP101" s="1100"/>
      <c r="AQ101" s="1100">
        <f>'ANSP Capex'!AO97</f>
        <v>0</v>
      </c>
      <c r="AS101" s="153">
        <f t="shared" si="3"/>
        <v>0.58332724822591464</v>
      </c>
      <c r="AT101" s="153">
        <f t="shared" si="4"/>
        <v>0</v>
      </c>
      <c r="AU101" s="153">
        <f t="shared" si="5"/>
        <v>0</v>
      </c>
      <c r="AV101" s="153">
        <f t="shared" si="6"/>
        <v>0</v>
      </c>
      <c r="AW101" s="153">
        <f t="shared" si="7"/>
        <v>0</v>
      </c>
      <c r="AX101" s="153"/>
      <c r="AY101" s="1543">
        <f>'ANSP Capex'!AW97</f>
        <v>0.73</v>
      </c>
      <c r="AZ101" s="1102"/>
      <c r="BA101" s="1543">
        <f>'ANSP Capex'!AY97</f>
        <v>0.15</v>
      </c>
      <c r="BC101" s="1126"/>
      <c r="BD101" s="1126"/>
      <c r="BE101" s="1126"/>
      <c r="BF101" s="1126"/>
      <c r="BG101" s="1126"/>
      <c r="BH101" s="1126">
        <f>'ANSP Capex'!BF97*IF($I101="",(1+INDEX($I$41:$I$42,MATCH($F101,$F$41:$F$42,0))),(1+$I101))</f>
        <v>1.50641</v>
      </c>
      <c r="BI101" s="1126">
        <f>'ANSP Capex'!BG97*IF($I101="",(1+INDEX($I$41:$I$42,MATCH($F101,$F$41:$F$42,0))),(1+$I101))</f>
        <v>0</v>
      </c>
      <c r="BJ101" s="1126">
        <f>'ANSP Capex'!BH97*IF($I101="",(1+INDEX($I$41:$I$42,MATCH($F101,$F$41:$F$42,0))),(1+$I101))</f>
        <v>0</v>
      </c>
      <c r="BK101" s="1126">
        <f>'ANSP Capex'!BI97*IF($I101="",(1+INDEX($I$41:$I$42,MATCH($F101,$F$41:$F$42,0))),(1+$I101))</f>
        <v>0</v>
      </c>
      <c r="BL101" s="1126">
        <f>'ANSP Capex'!BJ97*IF($I101="",(1+INDEX($I$41:$I$42,MATCH($F101,$F$41:$F$42,0))),(1+$I101))</f>
        <v>0</v>
      </c>
    </row>
    <row r="102" spans="1:64" outlineLevel="2">
      <c r="A102" s="1094"/>
      <c r="B102" s="1094"/>
      <c r="C102" s="1083" t="str">
        <f>'ANSP Capex'!C98</f>
        <v>T017 - TOSHIBA X20 W20008014</v>
      </c>
      <c r="D102" s="1083" t="str">
        <f>'ANSP Capex'!D98</f>
        <v>IT Equipment</v>
      </c>
      <c r="E102" s="1083" t="str">
        <f>'ANSP Capex'!E98</f>
        <v>T0170236</v>
      </c>
      <c r="F102" s="1083">
        <f>'ANSP Capex'!F98</f>
        <v>2020</v>
      </c>
      <c r="G102" s="1101">
        <f t="shared" si="0"/>
        <v>1.50641</v>
      </c>
      <c r="H102" s="1083" t="str">
        <f>'ANSP Capex'!H98</f>
        <v>€'000</v>
      </c>
      <c r="I102" s="829"/>
      <c r="J102" s="1097">
        <f>'ANSP Capex'!I98</f>
        <v>3</v>
      </c>
      <c r="K102" s="1124">
        <v>0</v>
      </c>
      <c r="L102" s="1098">
        <f t="shared" si="1"/>
        <v>36</v>
      </c>
      <c r="M102" s="153">
        <f t="shared" si="2"/>
        <v>0.33333333333333331</v>
      </c>
      <c r="N102" s="1099"/>
      <c r="O102" s="1100">
        <f>'ANSP Capex'!M98</f>
        <v>6.9999269787109757</v>
      </c>
      <c r="P102" s="1101">
        <f>IF($BH102=0,0,IF(SUM($O102:O102)&lt;($L102-12),12,$L102-SUM($O102:O102)))</f>
        <v>12</v>
      </c>
      <c r="Q102" s="1101">
        <f>IF($BH102=0,0,IF(SUM($O102:P102)&lt;($L102-12),12,$L102-SUM($O102:P102)))</f>
        <v>12</v>
      </c>
      <c r="R102" s="1101">
        <f>IF($BH102=0,0,IF(SUM($O102:Q102)&lt;($L102-12),12,$L102-SUM($O102:Q102)))</f>
        <v>5.0000730212890261</v>
      </c>
      <c r="S102" s="1101">
        <f>IF($BH102=0,0,IF(SUM($O102:R102)&lt;($L102-12),12,$L102-SUM($O102:R102)))</f>
        <v>0</v>
      </c>
      <c r="U102" s="1100"/>
      <c r="V102" s="1100">
        <f>'ANSP Capex'!T98</f>
        <v>0</v>
      </c>
      <c r="W102" s="1101">
        <f>IF($BI102=0,0,IF(SUM($U102:V102)&lt;($L102-12),12,$L102-SUM($U102:V102)))</f>
        <v>0</v>
      </c>
      <c r="X102" s="1101">
        <f>IF($BI102=0,0,IF(SUM($U102:W102)&lt;($L102-12),12,$L102-SUM($U102:W102)))</f>
        <v>0</v>
      </c>
      <c r="Y102" s="1101">
        <f>IF($BI102=0,0,IF(SUM($U102:X102)&lt;($L102-12),12,$L102-SUM($U102:X102)))</f>
        <v>0</v>
      </c>
      <c r="AA102" s="1100"/>
      <c r="AB102" s="1100"/>
      <c r="AC102" s="1100">
        <f>'ANSP Capex'!AA98</f>
        <v>0</v>
      </c>
      <c r="AD102" s="1101">
        <f>IF($BJ102=0,0,IF(SUM($AA102:AC102)&lt;($L102-12),12,$L102-SUM($AA102:AC102)))</f>
        <v>0</v>
      </c>
      <c r="AE102" s="1101">
        <f>IF($BJ102=0,0,IF(SUM($AA102:AD102)&lt;($L102-12),12,$L102-SUM($AA102:AD102)))</f>
        <v>0</v>
      </c>
      <c r="AG102" s="1100"/>
      <c r="AH102" s="1100"/>
      <c r="AI102" s="1100"/>
      <c r="AJ102" s="1100">
        <f>'ANSP Capex'!AH98</f>
        <v>0</v>
      </c>
      <c r="AK102" s="1101">
        <f>IF($BK102=0,0,IF(SUM($AG102:AJ102)&lt;($L102-12),12,$L102-SUM($AG102:AJ102)))</f>
        <v>0</v>
      </c>
      <c r="AM102" s="1100"/>
      <c r="AN102" s="1100"/>
      <c r="AO102" s="1100"/>
      <c r="AP102" s="1100"/>
      <c r="AQ102" s="1100">
        <f>'ANSP Capex'!AO98</f>
        <v>0</v>
      </c>
      <c r="AS102" s="153">
        <f t="shared" si="3"/>
        <v>0.58332724822591464</v>
      </c>
      <c r="AT102" s="153">
        <f t="shared" si="4"/>
        <v>0</v>
      </c>
      <c r="AU102" s="153">
        <f t="shared" si="5"/>
        <v>0</v>
      </c>
      <c r="AV102" s="153">
        <f t="shared" si="6"/>
        <v>0</v>
      </c>
      <c r="AW102" s="153">
        <f t="shared" si="7"/>
        <v>0</v>
      </c>
      <c r="AX102" s="153"/>
      <c r="AY102" s="1543">
        <f>'ANSP Capex'!AW98</f>
        <v>0.73</v>
      </c>
      <c r="AZ102" s="1102"/>
      <c r="BA102" s="1543">
        <f>'ANSP Capex'!AY98</f>
        <v>0.15</v>
      </c>
      <c r="BC102" s="1126"/>
      <c r="BD102" s="1126"/>
      <c r="BE102" s="1126"/>
      <c r="BF102" s="1126"/>
      <c r="BG102" s="1126"/>
      <c r="BH102" s="1126">
        <f>'ANSP Capex'!BF98*IF($I102="",(1+INDEX($I$41:$I$42,MATCH($F102,$F$41:$F$42,0))),(1+$I102))</f>
        <v>1.50641</v>
      </c>
      <c r="BI102" s="1126">
        <f>'ANSP Capex'!BG98*IF($I102="",(1+INDEX($I$41:$I$42,MATCH($F102,$F$41:$F$42,0))),(1+$I102))</f>
        <v>0</v>
      </c>
      <c r="BJ102" s="1126">
        <f>'ANSP Capex'!BH98*IF($I102="",(1+INDEX($I$41:$I$42,MATCH($F102,$F$41:$F$42,0))),(1+$I102))</f>
        <v>0</v>
      </c>
      <c r="BK102" s="1126">
        <f>'ANSP Capex'!BI98*IF($I102="",(1+INDEX($I$41:$I$42,MATCH($F102,$F$41:$F$42,0))),(1+$I102))</f>
        <v>0</v>
      </c>
      <c r="BL102" s="1126">
        <f>'ANSP Capex'!BJ98*IF($I102="",(1+INDEX($I$41:$I$42,MATCH($F102,$F$41:$F$42,0))),(1+$I102))</f>
        <v>0</v>
      </c>
    </row>
    <row r="103" spans="1:64" outlineLevel="2">
      <c r="A103" s="1094"/>
      <c r="B103" s="1094"/>
      <c r="C103" s="1083" t="str">
        <f>'ANSP Capex'!C99</f>
        <v>T017 - TOSHIBA X20 W20008015</v>
      </c>
      <c r="D103" s="1083" t="str">
        <f>'ANSP Capex'!D99</f>
        <v>IT Equipment</v>
      </c>
      <c r="E103" s="1083" t="str">
        <f>'ANSP Capex'!E99</f>
        <v>T0170237</v>
      </c>
      <c r="F103" s="1083">
        <f>'ANSP Capex'!F99</f>
        <v>2020</v>
      </c>
      <c r="G103" s="1101">
        <f t="shared" si="0"/>
        <v>1.50641</v>
      </c>
      <c r="H103" s="1083" t="str">
        <f>'ANSP Capex'!H99</f>
        <v>€'000</v>
      </c>
      <c r="I103" s="829"/>
      <c r="J103" s="1097">
        <f>'ANSP Capex'!I99</f>
        <v>3</v>
      </c>
      <c r="K103" s="1124">
        <v>0</v>
      </c>
      <c r="L103" s="1098">
        <f t="shared" si="1"/>
        <v>36</v>
      </c>
      <c r="M103" s="153">
        <f t="shared" si="2"/>
        <v>0.33333333333333331</v>
      </c>
      <c r="N103" s="1099"/>
      <c r="O103" s="1100">
        <f>'ANSP Capex'!M99</f>
        <v>6.9999269787109757</v>
      </c>
      <c r="P103" s="1101">
        <f>IF($BH103=0,0,IF(SUM($O103:O103)&lt;($L103-12),12,$L103-SUM($O103:O103)))</f>
        <v>12</v>
      </c>
      <c r="Q103" s="1101">
        <f>IF($BH103=0,0,IF(SUM($O103:P103)&lt;($L103-12),12,$L103-SUM($O103:P103)))</f>
        <v>12</v>
      </c>
      <c r="R103" s="1101">
        <f>IF($BH103=0,0,IF(SUM($O103:Q103)&lt;($L103-12),12,$L103-SUM($O103:Q103)))</f>
        <v>5.0000730212890261</v>
      </c>
      <c r="S103" s="1101">
        <f>IF($BH103=0,0,IF(SUM($O103:R103)&lt;($L103-12),12,$L103-SUM($O103:R103)))</f>
        <v>0</v>
      </c>
      <c r="U103" s="1100"/>
      <c r="V103" s="1100">
        <f>'ANSP Capex'!T99</f>
        <v>0</v>
      </c>
      <c r="W103" s="1101">
        <f>IF($BI103=0,0,IF(SUM($U103:V103)&lt;($L103-12),12,$L103-SUM($U103:V103)))</f>
        <v>0</v>
      </c>
      <c r="X103" s="1101">
        <f>IF($BI103=0,0,IF(SUM($U103:W103)&lt;($L103-12),12,$L103-SUM($U103:W103)))</f>
        <v>0</v>
      </c>
      <c r="Y103" s="1101">
        <f>IF($BI103=0,0,IF(SUM($U103:X103)&lt;($L103-12),12,$L103-SUM($U103:X103)))</f>
        <v>0</v>
      </c>
      <c r="AA103" s="1100"/>
      <c r="AB103" s="1100"/>
      <c r="AC103" s="1100">
        <f>'ANSP Capex'!AA99</f>
        <v>0</v>
      </c>
      <c r="AD103" s="1101">
        <f>IF($BJ103=0,0,IF(SUM($AA103:AC103)&lt;($L103-12),12,$L103-SUM($AA103:AC103)))</f>
        <v>0</v>
      </c>
      <c r="AE103" s="1101">
        <f>IF($BJ103=0,0,IF(SUM($AA103:AD103)&lt;($L103-12),12,$L103-SUM($AA103:AD103)))</f>
        <v>0</v>
      </c>
      <c r="AG103" s="1100"/>
      <c r="AH103" s="1100"/>
      <c r="AI103" s="1100"/>
      <c r="AJ103" s="1100">
        <f>'ANSP Capex'!AH99</f>
        <v>0</v>
      </c>
      <c r="AK103" s="1101">
        <f>IF($BK103=0,0,IF(SUM($AG103:AJ103)&lt;($L103-12),12,$L103-SUM($AG103:AJ103)))</f>
        <v>0</v>
      </c>
      <c r="AM103" s="1100"/>
      <c r="AN103" s="1100"/>
      <c r="AO103" s="1100"/>
      <c r="AP103" s="1100"/>
      <c r="AQ103" s="1100">
        <f>'ANSP Capex'!AO99</f>
        <v>0</v>
      </c>
      <c r="AS103" s="153">
        <f t="shared" si="3"/>
        <v>0.58332724822591464</v>
      </c>
      <c r="AT103" s="153">
        <f t="shared" si="4"/>
        <v>0</v>
      </c>
      <c r="AU103" s="153">
        <f t="shared" si="5"/>
        <v>0</v>
      </c>
      <c r="AV103" s="153">
        <f t="shared" si="6"/>
        <v>0</v>
      </c>
      <c r="AW103" s="153">
        <f t="shared" si="7"/>
        <v>0</v>
      </c>
      <c r="AX103" s="153"/>
      <c r="AY103" s="1543">
        <f>'ANSP Capex'!AW99</f>
        <v>0.73</v>
      </c>
      <c r="AZ103" s="1102"/>
      <c r="BA103" s="1543">
        <f>'ANSP Capex'!AY99</f>
        <v>0.15</v>
      </c>
      <c r="BC103" s="1126"/>
      <c r="BD103" s="1126"/>
      <c r="BE103" s="1126"/>
      <c r="BF103" s="1126"/>
      <c r="BG103" s="1126"/>
      <c r="BH103" s="1126">
        <f>'ANSP Capex'!BF99*IF($I103="",(1+INDEX($I$41:$I$42,MATCH($F103,$F$41:$F$42,0))),(1+$I103))</f>
        <v>1.50641</v>
      </c>
      <c r="BI103" s="1126">
        <f>'ANSP Capex'!BG99*IF($I103="",(1+INDEX($I$41:$I$42,MATCH($F103,$F$41:$F$42,0))),(1+$I103))</f>
        <v>0</v>
      </c>
      <c r="BJ103" s="1126">
        <f>'ANSP Capex'!BH99*IF($I103="",(1+INDEX($I$41:$I$42,MATCH($F103,$F$41:$F$42,0))),(1+$I103))</f>
        <v>0</v>
      </c>
      <c r="BK103" s="1126">
        <f>'ANSP Capex'!BI99*IF($I103="",(1+INDEX($I$41:$I$42,MATCH($F103,$F$41:$F$42,0))),(1+$I103))</f>
        <v>0</v>
      </c>
      <c r="BL103" s="1126">
        <f>'ANSP Capex'!BJ99*IF($I103="",(1+INDEX($I$41:$I$42,MATCH($F103,$F$41:$F$42,0))),(1+$I103))</f>
        <v>0</v>
      </c>
    </row>
    <row r="104" spans="1:64" outlineLevel="2">
      <c r="A104" s="1094"/>
      <c r="B104" s="1094"/>
      <c r="C104" s="1083" t="str">
        <f>'ANSP Capex'!C100</f>
        <v>T017 - TOSHIBA X20 W20008020</v>
      </c>
      <c r="D104" s="1083" t="str">
        <f>'ANSP Capex'!D100</f>
        <v>IT Equipment</v>
      </c>
      <c r="E104" s="1083" t="str">
        <f>'ANSP Capex'!E100</f>
        <v>T0170242</v>
      </c>
      <c r="F104" s="1083">
        <f>'ANSP Capex'!F100</f>
        <v>2020</v>
      </c>
      <c r="G104" s="1101">
        <f t="shared" si="0"/>
        <v>1.50641</v>
      </c>
      <c r="H104" s="1083" t="str">
        <f>'ANSP Capex'!H100</f>
        <v>€'000</v>
      </c>
      <c r="I104" s="829"/>
      <c r="J104" s="1097">
        <f>'ANSP Capex'!I100</f>
        <v>3</v>
      </c>
      <c r="K104" s="1124">
        <v>0</v>
      </c>
      <c r="L104" s="1098">
        <f t="shared" si="1"/>
        <v>36</v>
      </c>
      <c r="M104" s="153">
        <f t="shared" si="2"/>
        <v>0.33333333333333331</v>
      </c>
      <c r="N104" s="1099"/>
      <c r="O104" s="1100">
        <f>'ANSP Capex'!M100</f>
        <v>6.9999269787109757</v>
      </c>
      <c r="P104" s="1101">
        <f>IF($BH104=0,0,IF(SUM($O104:O104)&lt;($L104-12),12,$L104-SUM($O104:O104)))</f>
        <v>12</v>
      </c>
      <c r="Q104" s="1101">
        <f>IF($BH104=0,0,IF(SUM($O104:P104)&lt;($L104-12),12,$L104-SUM($O104:P104)))</f>
        <v>12</v>
      </c>
      <c r="R104" s="1101">
        <f>IF($BH104=0,0,IF(SUM($O104:Q104)&lt;($L104-12),12,$L104-SUM($O104:Q104)))</f>
        <v>5.0000730212890261</v>
      </c>
      <c r="S104" s="1101">
        <f>IF($BH104=0,0,IF(SUM($O104:R104)&lt;($L104-12),12,$L104-SUM($O104:R104)))</f>
        <v>0</v>
      </c>
      <c r="U104" s="1100"/>
      <c r="V104" s="1100">
        <f>'ANSP Capex'!T100</f>
        <v>0</v>
      </c>
      <c r="W104" s="1101">
        <f>IF($BI104=0,0,IF(SUM($U104:V104)&lt;($L104-12),12,$L104-SUM($U104:V104)))</f>
        <v>0</v>
      </c>
      <c r="X104" s="1101">
        <f>IF($BI104=0,0,IF(SUM($U104:W104)&lt;($L104-12),12,$L104-SUM($U104:W104)))</f>
        <v>0</v>
      </c>
      <c r="Y104" s="1101">
        <f>IF($BI104=0,0,IF(SUM($U104:X104)&lt;($L104-12),12,$L104-SUM($U104:X104)))</f>
        <v>0</v>
      </c>
      <c r="AA104" s="1100"/>
      <c r="AB104" s="1100"/>
      <c r="AC104" s="1100">
        <f>'ANSP Capex'!AA100</f>
        <v>0</v>
      </c>
      <c r="AD104" s="1101">
        <f>IF($BJ104=0,0,IF(SUM($AA104:AC104)&lt;($L104-12),12,$L104-SUM($AA104:AC104)))</f>
        <v>0</v>
      </c>
      <c r="AE104" s="1101">
        <f>IF($BJ104=0,0,IF(SUM($AA104:AD104)&lt;($L104-12),12,$L104-SUM($AA104:AD104)))</f>
        <v>0</v>
      </c>
      <c r="AG104" s="1100"/>
      <c r="AH104" s="1100"/>
      <c r="AI104" s="1100"/>
      <c r="AJ104" s="1100">
        <f>'ANSP Capex'!AH100</f>
        <v>0</v>
      </c>
      <c r="AK104" s="1101">
        <f>IF($BK104=0,0,IF(SUM($AG104:AJ104)&lt;($L104-12),12,$L104-SUM($AG104:AJ104)))</f>
        <v>0</v>
      </c>
      <c r="AM104" s="1100"/>
      <c r="AN104" s="1100"/>
      <c r="AO104" s="1100"/>
      <c r="AP104" s="1100"/>
      <c r="AQ104" s="1100">
        <f>'ANSP Capex'!AO100</f>
        <v>0</v>
      </c>
      <c r="AS104" s="153">
        <f t="shared" si="3"/>
        <v>0.58332724822591464</v>
      </c>
      <c r="AT104" s="153">
        <f t="shared" si="4"/>
        <v>0</v>
      </c>
      <c r="AU104" s="153">
        <f t="shared" si="5"/>
        <v>0</v>
      </c>
      <c r="AV104" s="153">
        <f t="shared" si="6"/>
        <v>0</v>
      </c>
      <c r="AW104" s="153">
        <f t="shared" si="7"/>
        <v>0</v>
      </c>
      <c r="AX104" s="153"/>
      <c r="AY104" s="1543">
        <f>'ANSP Capex'!AW100</f>
        <v>0.73</v>
      </c>
      <c r="AZ104" s="1102"/>
      <c r="BA104" s="1543">
        <f>'ANSP Capex'!AY100</f>
        <v>0.15</v>
      </c>
      <c r="BC104" s="1126"/>
      <c r="BD104" s="1126"/>
      <c r="BE104" s="1126"/>
      <c r="BF104" s="1126"/>
      <c r="BG104" s="1126"/>
      <c r="BH104" s="1126">
        <f>'ANSP Capex'!BF100*IF($I104="",(1+INDEX($I$41:$I$42,MATCH($F104,$F$41:$F$42,0))),(1+$I104))</f>
        <v>1.50641</v>
      </c>
      <c r="BI104" s="1126">
        <f>'ANSP Capex'!BG100*IF($I104="",(1+INDEX($I$41:$I$42,MATCH($F104,$F$41:$F$42,0))),(1+$I104))</f>
        <v>0</v>
      </c>
      <c r="BJ104" s="1126">
        <f>'ANSP Capex'!BH100*IF($I104="",(1+INDEX($I$41:$I$42,MATCH($F104,$F$41:$F$42,0))),(1+$I104))</f>
        <v>0</v>
      </c>
      <c r="BK104" s="1126">
        <f>'ANSP Capex'!BI100*IF($I104="",(1+INDEX($I$41:$I$42,MATCH($F104,$F$41:$F$42,0))),(1+$I104))</f>
        <v>0</v>
      </c>
      <c r="BL104" s="1126">
        <f>'ANSP Capex'!BJ100*IF($I104="",(1+INDEX($I$41:$I$42,MATCH($F104,$F$41:$F$42,0))),(1+$I104))</f>
        <v>0</v>
      </c>
    </row>
    <row r="105" spans="1:64" outlineLevel="2">
      <c r="A105" s="1094"/>
      <c r="B105" s="1094"/>
      <c r="C105" s="1083" t="str">
        <f>'ANSP Capex'!C101</f>
        <v>T017 - TOSHIBA X20 W20008023</v>
      </c>
      <c r="D105" s="1083" t="str">
        <f>'ANSP Capex'!D101</f>
        <v>IT Equipment</v>
      </c>
      <c r="E105" s="1083" t="str">
        <f>'ANSP Capex'!E101</f>
        <v>T0170245</v>
      </c>
      <c r="F105" s="1083">
        <f>'ANSP Capex'!F101</f>
        <v>2020</v>
      </c>
      <c r="G105" s="1101">
        <f t="shared" si="0"/>
        <v>1.50641</v>
      </c>
      <c r="H105" s="1083" t="str">
        <f>'ANSP Capex'!H101</f>
        <v>€'000</v>
      </c>
      <c r="I105" s="829"/>
      <c r="J105" s="1097">
        <f>'ANSP Capex'!I101</f>
        <v>3</v>
      </c>
      <c r="K105" s="1124">
        <v>0</v>
      </c>
      <c r="L105" s="1098">
        <f t="shared" si="1"/>
        <v>36</v>
      </c>
      <c r="M105" s="153">
        <f t="shared" si="2"/>
        <v>0.33333333333333331</v>
      </c>
      <c r="N105" s="1099"/>
      <c r="O105" s="1100">
        <f>'ANSP Capex'!M101</f>
        <v>6.9999269787109757</v>
      </c>
      <c r="P105" s="1101">
        <f>IF($BH105=0,0,IF(SUM($O105:O105)&lt;($L105-12),12,$L105-SUM($O105:O105)))</f>
        <v>12</v>
      </c>
      <c r="Q105" s="1101">
        <f>IF($BH105=0,0,IF(SUM($O105:P105)&lt;($L105-12),12,$L105-SUM($O105:P105)))</f>
        <v>12</v>
      </c>
      <c r="R105" s="1101">
        <f>IF($BH105=0,0,IF(SUM($O105:Q105)&lt;($L105-12),12,$L105-SUM($O105:Q105)))</f>
        <v>5.0000730212890261</v>
      </c>
      <c r="S105" s="1101">
        <f>IF($BH105=0,0,IF(SUM($O105:R105)&lt;($L105-12),12,$L105-SUM($O105:R105)))</f>
        <v>0</v>
      </c>
      <c r="U105" s="1100"/>
      <c r="V105" s="1100">
        <f>'ANSP Capex'!T101</f>
        <v>0</v>
      </c>
      <c r="W105" s="1101">
        <f>IF($BI105=0,0,IF(SUM($U105:V105)&lt;($L105-12),12,$L105-SUM($U105:V105)))</f>
        <v>0</v>
      </c>
      <c r="X105" s="1101">
        <f>IF($BI105=0,0,IF(SUM($U105:W105)&lt;($L105-12),12,$L105-SUM($U105:W105)))</f>
        <v>0</v>
      </c>
      <c r="Y105" s="1101">
        <f>IF($BI105=0,0,IF(SUM($U105:X105)&lt;($L105-12),12,$L105-SUM($U105:X105)))</f>
        <v>0</v>
      </c>
      <c r="AA105" s="1100"/>
      <c r="AB105" s="1100"/>
      <c r="AC105" s="1100">
        <f>'ANSP Capex'!AA101</f>
        <v>0</v>
      </c>
      <c r="AD105" s="1101">
        <f>IF($BJ105=0,0,IF(SUM($AA105:AC105)&lt;($L105-12),12,$L105-SUM($AA105:AC105)))</f>
        <v>0</v>
      </c>
      <c r="AE105" s="1101">
        <f>IF($BJ105=0,0,IF(SUM($AA105:AD105)&lt;($L105-12),12,$L105-SUM($AA105:AD105)))</f>
        <v>0</v>
      </c>
      <c r="AG105" s="1100"/>
      <c r="AH105" s="1100"/>
      <c r="AI105" s="1100"/>
      <c r="AJ105" s="1100">
        <f>'ANSP Capex'!AH101</f>
        <v>0</v>
      </c>
      <c r="AK105" s="1101">
        <f>IF($BK105=0,0,IF(SUM($AG105:AJ105)&lt;($L105-12),12,$L105-SUM($AG105:AJ105)))</f>
        <v>0</v>
      </c>
      <c r="AM105" s="1100"/>
      <c r="AN105" s="1100"/>
      <c r="AO105" s="1100"/>
      <c r="AP105" s="1100"/>
      <c r="AQ105" s="1100">
        <f>'ANSP Capex'!AO101</f>
        <v>0</v>
      </c>
      <c r="AS105" s="153">
        <f t="shared" si="3"/>
        <v>0.58332724822591464</v>
      </c>
      <c r="AT105" s="153">
        <f t="shared" si="4"/>
        <v>0</v>
      </c>
      <c r="AU105" s="153">
        <f t="shared" si="5"/>
        <v>0</v>
      </c>
      <c r="AV105" s="153">
        <f t="shared" si="6"/>
        <v>0</v>
      </c>
      <c r="AW105" s="153">
        <f t="shared" si="7"/>
        <v>0</v>
      </c>
      <c r="AX105" s="153"/>
      <c r="AY105" s="1543">
        <f>'ANSP Capex'!AW101</f>
        <v>0.73</v>
      </c>
      <c r="AZ105" s="1102"/>
      <c r="BA105" s="1543">
        <f>'ANSP Capex'!AY101</f>
        <v>0.15</v>
      </c>
      <c r="BC105" s="1126"/>
      <c r="BD105" s="1126"/>
      <c r="BE105" s="1126"/>
      <c r="BF105" s="1126"/>
      <c r="BG105" s="1126"/>
      <c r="BH105" s="1126">
        <f>'ANSP Capex'!BF101*IF($I105="",(1+INDEX($I$41:$I$42,MATCH($F105,$F$41:$F$42,0))),(1+$I105))</f>
        <v>1.50641</v>
      </c>
      <c r="BI105" s="1126">
        <f>'ANSP Capex'!BG101*IF($I105="",(1+INDEX($I$41:$I$42,MATCH($F105,$F$41:$F$42,0))),(1+$I105))</f>
        <v>0</v>
      </c>
      <c r="BJ105" s="1126">
        <f>'ANSP Capex'!BH101*IF($I105="",(1+INDEX($I$41:$I$42,MATCH($F105,$F$41:$F$42,0))),(1+$I105))</f>
        <v>0</v>
      </c>
      <c r="BK105" s="1126">
        <f>'ANSP Capex'!BI101*IF($I105="",(1+INDEX($I$41:$I$42,MATCH($F105,$F$41:$F$42,0))),(1+$I105))</f>
        <v>0</v>
      </c>
      <c r="BL105" s="1126">
        <f>'ANSP Capex'!BJ101*IF($I105="",(1+INDEX($I$41:$I$42,MATCH($F105,$F$41:$F$42,0))),(1+$I105))</f>
        <v>0</v>
      </c>
    </row>
    <row r="106" spans="1:64" outlineLevel="2">
      <c r="A106" s="1094"/>
      <c r="B106" s="1094"/>
      <c r="C106" s="1083" t="str">
        <f>'ANSP Capex'!C102</f>
        <v>T017 - TOSHIBA X20 W20008024</v>
      </c>
      <c r="D106" s="1083" t="str">
        <f>'ANSP Capex'!D102</f>
        <v>IT Equipment</v>
      </c>
      <c r="E106" s="1083" t="str">
        <f>'ANSP Capex'!E102</f>
        <v>T0170246</v>
      </c>
      <c r="F106" s="1083">
        <f>'ANSP Capex'!F102</f>
        <v>2020</v>
      </c>
      <c r="G106" s="1101">
        <f t="shared" si="0"/>
        <v>1.50641</v>
      </c>
      <c r="H106" s="1083" t="str">
        <f>'ANSP Capex'!H102</f>
        <v>€'000</v>
      </c>
      <c r="I106" s="829"/>
      <c r="J106" s="1097">
        <f>'ANSP Capex'!I102</f>
        <v>3</v>
      </c>
      <c r="K106" s="1124">
        <v>0</v>
      </c>
      <c r="L106" s="1098">
        <f t="shared" si="1"/>
        <v>36</v>
      </c>
      <c r="M106" s="153">
        <f t="shared" si="2"/>
        <v>0.33333333333333331</v>
      </c>
      <c r="N106" s="1099"/>
      <c r="O106" s="1100">
        <f>'ANSP Capex'!M102</f>
        <v>6.9999269787109757</v>
      </c>
      <c r="P106" s="1101">
        <f>IF($BH106=0,0,IF(SUM($O106:O106)&lt;($L106-12),12,$L106-SUM($O106:O106)))</f>
        <v>12</v>
      </c>
      <c r="Q106" s="1101">
        <f>IF($BH106=0,0,IF(SUM($O106:P106)&lt;($L106-12),12,$L106-SUM($O106:P106)))</f>
        <v>12</v>
      </c>
      <c r="R106" s="1101">
        <f>IF($BH106=0,0,IF(SUM($O106:Q106)&lt;($L106-12),12,$L106-SUM($O106:Q106)))</f>
        <v>5.0000730212890261</v>
      </c>
      <c r="S106" s="1101">
        <f>IF($BH106=0,0,IF(SUM($O106:R106)&lt;($L106-12),12,$L106-SUM($O106:R106)))</f>
        <v>0</v>
      </c>
      <c r="U106" s="1100"/>
      <c r="V106" s="1100">
        <f>'ANSP Capex'!T102</f>
        <v>0</v>
      </c>
      <c r="W106" s="1101">
        <f>IF($BI106=0,0,IF(SUM($U106:V106)&lt;($L106-12),12,$L106-SUM($U106:V106)))</f>
        <v>0</v>
      </c>
      <c r="X106" s="1101">
        <f>IF($BI106=0,0,IF(SUM($U106:W106)&lt;($L106-12),12,$L106-SUM($U106:W106)))</f>
        <v>0</v>
      </c>
      <c r="Y106" s="1101">
        <f>IF($BI106=0,0,IF(SUM($U106:X106)&lt;($L106-12),12,$L106-SUM($U106:X106)))</f>
        <v>0</v>
      </c>
      <c r="AA106" s="1100"/>
      <c r="AB106" s="1100"/>
      <c r="AC106" s="1100">
        <f>'ANSP Capex'!AA102</f>
        <v>0</v>
      </c>
      <c r="AD106" s="1101">
        <f>IF($BJ106=0,0,IF(SUM($AA106:AC106)&lt;($L106-12),12,$L106-SUM($AA106:AC106)))</f>
        <v>0</v>
      </c>
      <c r="AE106" s="1101">
        <f>IF($BJ106=0,0,IF(SUM($AA106:AD106)&lt;($L106-12),12,$L106-SUM($AA106:AD106)))</f>
        <v>0</v>
      </c>
      <c r="AG106" s="1100"/>
      <c r="AH106" s="1100"/>
      <c r="AI106" s="1100"/>
      <c r="AJ106" s="1100">
        <f>'ANSP Capex'!AH102</f>
        <v>0</v>
      </c>
      <c r="AK106" s="1101">
        <f>IF($BK106=0,0,IF(SUM($AG106:AJ106)&lt;($L106-12),12,$L106-SUM($AG106:AJ106)))</f>
        <v>0</v>
      </c>
      <c r="AM106" s="1100"/>
      <c r="AN106" s="1100"/>
      <c r="AO106" s="1100"/>
      <c r="AP106" s="1100"/>
      <c r="AQ106" s="1100">
        <f>'ANSP Capex'!AO102</f>
        <v>0</v>
      </c>
      <c r="AS106" s="153">
        <f t="shared" si="3"/>
        <v>0.58332724822591464</v>
      </c>
      <c r="AT106" s="153">
        <f t="shared" si="4"/>
        <v>0</v>
      </c>
      <c r="AU106" s="153">
        <f t="shared" si="5"/>
        <v>0</v>
      </c>
      <c r="AV106" s="153">
        <f t="shared" si="6"/>
        <v>0</v>
      </c>
      <c r="AW106" s="153">
        <f t="shared" si="7"/>
        <v>0</v>
      </c>
      <c r="AX106" s="153"/>
      <c r="AY106" s="1543">
        <f>'ANSP Capex'!AW102</f>
        <v>0.73</v>
      </c>
      <c r="AZ106" s="1102"/>
      <c r="BA106" s="1543">
        <f>'ANSP Capex'!AY102</f>
        <v>0.15</v>
      </c>
      <c r="BC106" s="1126"/>
      <c r="BD106" s="1126"/>
      <c r="BE106" s="1126"/>
      <c r="BF106" s="1126"/>
      <c r="BG106" s="1126"/>
      <c r="BH106" s="1126">
        <f>'ANSP Capex'!BF102*IF($I106="",(1+INDEX($I$41:$I$42,MATCH($F106,$F$41:$F$42,0))),(1+$I106))</f>
        <v>1.50641</v>
      </c>
      <c r="BI106" s="1126">
        <f>'ANSP Capex'!BG102*IF($I106="",(1+INDEX($I$41:$I$42,MATCH($F106,$F$41:$F$42,0))),(1+$I106))</f>
        <v>0</v>
      </c>
      <c r="BJ106" s="1126">
        <f>'ANSP Capex'!BH102*IF($I106="",(1+INDEX($I$41:$I$42,MATCH($F106,$F$41:$F$42,0))),(1+$I106))</f>
        <v>0</v>
      </c>
      <c r="BK106" s="1126">
        <f>'ANSP Capex'!BI102*IF($I106="",(1+INDEX($I$41:$I$42,MATCH($F106,$F$41:$F$42,0))),(1+$I106))</f>
        <v>0</v>
      </c>
      <c r="BL106" s="1126">
        <f>'ANSP Capex'!BJ102*IF($I106="",(1+INDEX($I$41:$I$42,MATCH($F106,$F$41:$F$42,0))),(1+$I106))</f>
        <v>0</v>
      </c>
    </row>
    <row r="107" spans="1:64" outlineLevel="2">
      <c r="A107" s="1094"/>
      <c r="B107" s="1094"/>
      <c r="C107" s="1083" t="str">
        <f>'ANSP Capex'!C103</f>
        <v>T017 - TOSHIBA X20 W20008025</v>
      </c>
      <c r="D107" s="1083" t="str">
        <f>'ANSP Capex'!D103</f>
        <v>IT Equipment</v>
      </c>
      <c r="E107" s="1083" t="str">
        <f>'ANSP Capex'!E103</f>
        <v>T0170247</v>
      </c>
      <c r="F107" s="1083">
        <f>'ANSP Capex'!F103</f>
        <v>2020</v>
      </c>
      <c r="G107" s="1101">
        <f t="shared" si="0"/>
        <v>1.50641</v>
      </c>
      <c r="H107" s="1083" t="str">
        <f>'ANSP Capex'!H103</f>
        <v>€'000</v>
      </c>
      <c r="I107" s="829"/>
      <c r="J107" s="1097">
        <f>'ANSP Capex'!I103</f>
        <v>3</v>
      </c>
      <c r="K107" s="1124">
        <v>0</v>
      </c>
      <c r="L107" s="1098">
        <f t="shared" si="1"/>
        <v>36</v>
      </c>
      <c r="M107" s="153">
        <f t="shared" si="2"/>
        <v>0.33333333333333331</v>
      </c>
      <c r="N107" s="1099"/>
      <c r="O107" s="1100">
        <f>'ANSP Capex'!M103</f>
        <v>6.9999269787109757</v>
      </c>
      <c r="P107" s="1101">
        <f>IF($BH107=0,0,IF(SUM($O107:O107)&lt;($L107-12),12,$L107-SUM($O107:O107)))</f>
        <v>12</v>
      </c>
      <c r="Q107" s="1101">
        <f>IF($BH107=0,0,IF(SUM($O107:P107)&lt;($L107-12),12,$L107-SUM($O107:P107)))</f>
        <v>12</v>
      </c>
      <c r="R107" s="1101">
        <f>IF($BH107=0,0,IF(SUM($O107:Q107)&lt;($L107-12),12,$L107-SUM($O107:Q107)))</f>
        <v>5.0000730212890261</v>
      </c>
      <c r="S107" s="1101">
        <f>IF($BH107=0,0,IF(SUM($O107:R107)&lt;($L107-12),12,$L107-SUM($O107:R107)))</f>
        <v>0</v>
      </c>
      <c r="U107" s="1100"/>
      <c r="V107" s="1100">
        <f>'ANSP Capex'!T103</f>
        <v>0</v>
      </c>
      <c r="W107" s="1101">
        <f>IF($BI107=0,0,IF(SUM($U107:V107)&lt;($L107-12),12,$L107-SUM($U107:V107)))</f>
        <v>0</v>
      </c>
      <c r="X107" s="1101">
        <f>IF($BI107=0,0,IF(SUM($U107:W107)&lt;($L107-12),12,$L107-SUM($U107:W107)))</f>
        <v>0</v>
      </c>
      <c r="Y107" s="1101">
        <f>IF($BI107=0,0,IF(SUM($U107:X107)&lt;($L107-12),12,$L107-SUM($U107:X107)))</f>
        <v>0</v>
      </c>
      <c r="AA107" s="1100"/>
      <c r="AB107" s="1100"/>
      <c r="AC107" s="1100">
        <f>'ANSP Capex'!AA103</f>
        <v>0</v>
      </c>
      <c r="AD107" s="1101">
        <f>IF($BJ107=0,0,IF(SUM($AA107:AC107)&lt;($L107-12),12,$L107-SUM($AA107:AC107)))</f>
        <v>0</v>
      </c>
      <c r="AE107" s="1101">
        <f>IF($BJ107=0,0,IF(SUM($AA107:AD107)&lt;($L107-12),12,$L107-SUM($AA107:AD107)))</f>
        <v>0</v>
      </c>
      <c r="AG107" s="1100"/>
      <c r="AH107" s="1100"/>
      <c r="AI107" s="1100"/>
      <c r="AJ107" s="1100">
        <f>'ANSP Capex'!AH103</f>
        <v>0</v>
      </c>
      <c r="AK107" s="1101">
        <f>IF($BK107=0,0,IF(SUM($AG107:AJ107)&lt;($L107-12),12,$L107-SUM($AG107:AJ107)))</f>
        <v>0</v>
      </c>
      <c r="AM107" s="1100"/>
      <c r="AN107" s="1100"/>
      <c r="AO107" s="1100"/>
      <c r="AP107" s="1100"/>
      <c r="AQ107" s="1100">
        <f>'ANSP Capex'!AO103</f>
        <v>0</v>
      </c>
      <c r="AS107" s="153">
        <f t="shared" si="3"/>
        <v>0.58332724822591464</v>
      </c>
      <c r="AT107" s="153">
        <f t="shared" si="4"/>
        <v>0</v>
      </c>
      <c r="AU107" s="153">
        <f t="shared" si="5"/>
        <v>0</v>
      </c>
      <c r="AV107" s="153">
        <f t="shared" si="6"/>
        <v>0</v>
      </c>
      <c r="AW107" s="153">
        <f t="shared" si="7"/>
        <v>0</v>
      </c>
      <c r="AX107" s="153"/>
      <c r="AY107" s="1543">
        <f>'ANSP Capex'!AW103</f>
        <v>0.73</v>
      </c>
      <c r="AZ107" s="1102"/>
      <c r="BA107" s="1543">
        <f>'ANSP Capex'!AY103</f>
        <v>0.15</v>
      </c>
      <c r="BC107" s="1126"/>
      <c r="BD107" s="1126"/>
      <c r="BE107" s="1126"/>
      <c r="BF107" s="1126"/>
      <c r="BG107" s="1126"/>
      <c r="BH107" s="1126">
        <f>'ANSP Capex'!BF103*IF($I107="",(1+INDEX($I$41:$I$42,MATCH($F107,$F$41:$F$42,0))),(1+$I107))</f>
        <v>1.50641</v>
      </c>
      <c r="BI107" s="1126">
        <f>'ANSP Capex'!BG103*IF($I107="",(1+INDEX($I$41:$I$42,MATCH($F107,$F$41:$F$42,0))),(1+$I107))</f>
        <v>0</v>
      </c>
      <c r="BJ107" s="1126">
        <f>'ANSP Capex'!BH103*IF($I107="",(1+INDEX($I$41:$I$42,MATCH($F107,$F$41:$F$42,0))),(1+$I107))</f>
        <v>0</v>
      </c>
      <c r="BK107" s="1126">
        <f>'ANSP Capex'!BI103*IF($I107="",(1+INDEX($I$41:$I$42,MATCH($F107,$F$41:$F$42,0))),(1+$I107))</f>
        <v>0</v>
      </c>
      <c r="BL107" s="1126">
        <f>'ANSP Capex'!BJ103*IF($I107="",(1+INDEX($I$41:$I$42,MATCH($F107,$F$41:$F$42,0))),(1+$I107))</f>
        <v>0</v>
      </c>
    </row>
    <row r="108" spans="1:64" outlineLevel="2">
      <c r="A108" s="1094"/>
      <c r="B108" s="1094"/>
      <c r="C108" s="1083" t="str">
        <f>'ANSP Capex'!C104</f>
        <v>T017 - HP G7 CORE W20008096</v>
      </c>
      <c r="D108" s="1083" t="str">
        <f>'ANSP Capex'!D104</f>
        <v>IT Equipment</v>
      </c>
      <c r="E108" s="1083" t="str">
        <f>'ANSP Capex'!E104</f>
        <v>T0170248</v>
      </c>
      <c r="F108" s="1083">
        <f>'ANSP Capex'!F104</f>
        <v>2020</v>
      </c>
      <c r="G108" s="1101">
        <f t="shared" si="0"/>
        <v>0.69499999999999995</v>
      </c>
      <c r="H108" s="1083" t="str">
        <f>'ANSP Capex'!H104</f>
        <v>€'000</v>
      </c>
      <c r="I108" s="829"/>
      <c r="J108" s="1097">
        <f>'ANSP Capex'!I104</f>
        <v>3</v>
      </c>
      <c r="K108" s="1124">
        <v>0</v>
      </c>
      <c r="L108" s="1098">
        <f t="shared" si="1"/>
        <v>36</v>
      </c>
      <c r="M108" s="153">
        <f t="shared" si="2"/>
        <v>0.33333333333333331</v>
      </c>
      <c r="N108" s="1099"/>
      <c r="O108" s="1100">
        <f>'ANSP Capex'!M104</f>
        <v>7.0010935251798552</v>
      </c>
      <c r="P108" s="1101">
        <f>IF($BH108=0,0,IF(SUM($O108:O108)&lt;($L108-12),12,$L108-SUM($O108:O108)))</f>
        <v>12</v>
      </c>
      <c r="Q108" s="1101">
        <f>IF($BH108=0,0,IF(SUM($O108:P108)&lt;($L108-12),12,$L108-SUM($O108:P108)))</f>
        <v>12</v>
      </c>
      <c r="R108" s="1101">
        <f>IF($BH108=0,0,IF(SUM($O108:Q108)&lt;($L108-12),12,$L108-SUM($O108:Q108)))</f>
        <v>4.9989064748201457</v>
      </c>
      <c r="S108" s="1101">
        <f>IF($BH108=0,0,IF(SUM($O108:R108)&lt;($L108-12),12,$L108-SUM($O108:R108)))</f>
        <v>0</v>
      </c>
      <c r="U108" s="1100"/>
      <c r="V108" s="1100">
        <f>'ANSP Capex'!T104</f>
        <v>0</v>
      </c>
      <c r="W108" s="1101">
        <f>IF($BI108=0,0,IF(SUM($U108:V108)&lt;($L108-12),12,$L108-SUM($U108:V108)))</f>
        <v>0</v>
      </c>
      <c r="X108" s="1101">
        <f>IF($BI108=0,0,IF(SUM($U108:W108)&lt;($L108-12),12,$L108-SUM($U108:W108)))</f>
        <v>0</v>
      </c>
      <c r="Y108" s="1101">
        <f>IF($BI108=0,0,IF(SUM($U108:X108)&lt;($L108-12),12,$L108-SUM($U108:X108)))</f>
        <v>0</v>
      </c>
      <c r="AA108" s="1100"/>
      <c r="AB108" s="1100"/>
      <c r="AC108" s="1100">
        <f>'ANSP Capex'!AA104</f>
        <v>0</v>
      </c>
      <c r="AD108" s="1101">
        <f>IF($BJ108=0,0,IF(SUM($AA108:AC108)&lt;($L108-12),12,$L108-SUM($AA108:AC108)))</f>
        <v>0</v>
      </c>
      <c r="AE108" s="1101">
        <f>IF($BJ108=0,0,IF(SUM($AA108:AD108)&lt;($L108-12),12,$L108-SUM($AA108:AD108)))</f>
        <v>0</v>
      </c>
      <c r="AG108" s="1100"/>
      <c r="AH108" s="1100"/>
      <c r="AI108" s="1100"/>
      <c r="AJ108" s="1100">
        <f>'ANSP Capex'!AH104</f>
        <v>0</v>
      </c>
      <c r="AK108" s="1101">
        <f>IF($BK108=0,0,IF(SUM($AG108:AJ108)&lt;($L108-12),12,$L108-SUM($AG108:AJ108)))</f>
        <v>0</v>
      </c>
      <c r="AM108" s="1100"/>
      <c r="AN108" s="1100"/>
      <c r="AO108" s="1100"/>
      <c r="AP108" s="1100"/>
      <c r="AQ108" s="1100">
        <f>'ANSP Capex'!AO104</f>
        <v>0</v>
      </c>
      <c r="AS108" s="153">
        <f t="shared" si="3"/>
        <v>0.58342446043165463</v>
      </c>
      <c r="AT108" s="153">
        <f t="shared" si="4"/>
        <v>0</v>
      </c>
      <c r="AU108" s="153">
        <f t="shared" si="5"/>
        <v>0</v>
      </c>
      <c r="AV108" s="153">
        <f t="shared" si="6"/>
        <v>0</v>
      </c>
      <c r="AW108" s="153">
        <f t="shared" si="7"/>
        <v>0</v>
      </c>
      <c r="AX108" s="153"/>
      <c r="AY108" s="1543">
        <f>'ANSP Capex'!AW104</f>
        <v>0.73</v>
      </c>
      <c r="AZ108" s="1102"/>
      <c r="BA108" s="1543">
        <f>'ANSP Capex'!AY104</f>
        <v>0.15</v>
      </c>
      <c r="BC108" s="1126"/>
      <c r="BD108" s="1126"/>
      <c r="BE108" s="1126"/>
      <c r="BF108" s="1126"/>
      <c r="BG108" s="1126"/>
      <c r="BH108" s="1126">
        <f>'ANSP Capex'!BF104*IF($I108="",(1+INDEX($I$41:$I$42,MATCH($F108,$F$41:$F$42,0))),(1+$I108))</f>
        <v>0.69499999999999995</v>
      </c>
      <c r="BI108" s="1126">
        <f>'ANSP Capex'!BG104*IF($I108="",(1+INDEX($I$41:$I$42,MATCH($F108,$F$41:$F$42,0))),(1+$I108))</f>
        <v>0</v>
      </c>
      <c r="BJ108" s="1126">
        <f>'ANSP Capex'!BH104*IF($I108="",(1+INDEX($I$41:$I$42,MATCH($F108,$F$41:$F$42,0))),(1+$I108))</f>
        <v>0</v>
      </c>
      <c r="BK108" s="1126">
        <f>'ANSP Capex'!BI104*IF($I108="",(1+INDEX($I$41:$I$42,MATCH($F108,$F$41:$F$42,0))),(1+$I108))</f>
        <v>0</v>
      </c>
      <c r="BL108" s="1126">
        <f>'ANSP Capex'!BJ104*IF($I108="",(1+INDEX($I$41:$I$42,MATCH($F108,$F$41:$F$42,0))),(1+$I108))</f>
        <v>0</v>
      </c>
    </row>
    <row r="109" spans="1:64" outlineLevel="2">
      <c r="A109" s="1094"/>
      <c r="B109" s="1094"/>
      <c r="C109" s="1083" t="str">
        <f>'ANSP Capex'!C105</f>
        <v>T017 - HP G7 CORE W20008098</v>
      </c>
      <c r="D109" s="1083" t="str">
        <f>'ANSP Capex'!D105</f>
        <v>IT Equipment</v>
      </c>
      <c r="E109" s="1083" t="str">
        <f>'ANSP Capex'!E105</f>
        <v>T0170250</v>
      </c>
      <c r="F109" s="1083">
        <f>'ANSP Capex'!F105</f>
        <v>2020</v>
      </c>
      <c r="G109" s="1101">
        <f t="shared" si="0"/>
        <v>0.69499999999999995</v>
      </c>
      <c r="H109" s="1083" t="str">
        <f>'ANSP Capex'!H105</f>
        <v>€'000</v>
      </c>
      <c r="I109" s="829"/>
      <c r="J109" s="1097">
        <f>'ANSP Capex'!I105</f>
        <v>3</v>
      </c>
      <c r="K109" s="1124">
        <v>0</v>
      </c>
      <c r="L109" s="1098">
        <f t="shared" si="1"/>
        <v>36</v>
      </c>
      <c r="M109" s="153">
        <f t="shared" si="2"/>
        <v>0.33333333333333331</v>
      </c>
      <c r="N109" s="1099"/>
      <c r="O109" s="1100">
        <f>'ANSP Capex'!M105</f>
        <v>7.0010935251798552</v>
      </c>
      <c r="P109" s="1101">
        <f>IF($BH109=0,0,IF(SUM($O109:O109)&lt;($L109-12),12,$L109-SUM($O109:O109)))</f>
        <v>12</v>
      </c>
      <c r="Q109" s="1101">
        <f>IF($BH109=0,0,IF(SUM($O109:P109)&lt;($L109-12),12,$L109-SUM($O109:P109)))</f>
        <v>12</v>
      </c>
      <c r="R109" s="1101">
        <f>IF($BH109=0,0,IF(SUM($O109:Q109)&lt;($L109-12),12,$L109-SUM($O109:Q109)))</f>
        <v>4.9989064748201457</v>
      </c>
      <c r="S109" s="1101">
        <f>IF($BH109=0,0,IF(SUM($O109:R109)&lt;($L109-12),12,$L109-SUM($O109:R109)))</f>
        <v>0</v>
      </c>
      <c r="U109" s="1100"/>
      <c r="V109" s="1100">
        <f>'ANSP Capex'!T105</f>
        <v>0</v>
      </c>
      <c r="W109" s="1101">
        <f>IF($BI109=0,0,IF(SUM($U109:V109)&lt;($L109-12),12,$L109-SUM($U109:V109)))</f>
        <v>0</v>
      </c>
      <c r="X109" s="1101">
        <f>IF($BI109=0,0,IF(SUM($U109:W109)&lt;($L109-12),12,$L109-SUM($U109:W109)))</f>
        <v>0</v>
      </c>
      <c r="Y109" s="1101">
        <f>IF($BI109=0,0,IF(SUM($U109:X109)&lt;($L109-12),12,$L109-SUM($U109:X109)))</f>
        <v>0</v>
      </c>
      <c r="AA109" s="1100"/>
      <c r="AB109" s="1100"/>
      <c r="AC109" s="1100">
        <f>'ANSP Capex'!AA105</f>
        <v>0</v>
      </c>
      <c r="AD109" s="1101">
        <f>IF($BJ109=0,0,IF(SUM($AA109:AC109)&lt;($L109-12),12,$L109-SUM($AA109:AC109)))</f>
        <v>0</v>
      </c>
      <c r="AE109" s="1101">
        <f>IF($BJ109=0,0,IF(SUM($AA109:AD109)&lt;($L109-12),12,$L109-SUM($AA109:AD109)))</f>
        <v>0</v>
      </c>
      <c r="AG109" s="1100"/>
      <c r="AH109" s="1100"/>
      <c r="AI109" s="1100"/>
      <c r="AJ109" s="1100">
        <f>'ANSP Capex'!AH105</f>
        <v>0</v>
      </c>
      <c r="AK109" s="1101">
        <f>IF($BK109=0,0,IF(SUM($AG109:AJ109)&lt;($L109-12),12,$L109-SUM($AG109:AJ109)))</f>
        <v>0</v>
      </c>
      <c r="AM109" s="1100"/>
      <c r="AN109" s="1100"/>
      <c r="AO109" s="1100"/>
      <c r="AP109" s="1100"/>
      <c r="AQ109" s="1100">
        <f>'ANSP Capex'!AO105</f>
        <v>0</v>
      </c>
      <c r="AS109" s="153">
        <f t="shared" si="3"/>
        <v>0.58342446043165463</v>
      </c>
      <c r="AT109" s="153">
        <f t="shared" si="4"/>
        <v>0</v>
      </c>
      <c r="AU109" s="153">
        <f t="shared" si="5"/>
        <v>0</v>
      </c>
      <c r="AV109" s="153">
        <f t="shared" si="6"/>
        <v>0</v>
      </c>
      <c r="AW109" s="153">
        <f t="shared" si="7"/>
        <v>0</v>
      </c>
      <c r="AX109" s="153"/>
      <c r="AY109" s="1543">
        <f>'ANSP Capex'!AW105</f>
        <v>0.73</v>
      </c>
      <c r="AZ109" s="1102"/>
      <c r="BA109" s="1543">
        <f>'ANSP Capex'!AY105</f>
        <v>0.15</v>
      </c>
      <c r="BC109" s="1126"/>
      <c r="BD109" s="1126"/>
      <c r="BE109" s="1126"/>
      <c r="BF109" s="1126"/>
      <c r="BG109" s="1126"/>
      <c r="BH109" s="1126">
        <f>'ANSP Capex'!BF105*IF($I109="",(1+INDEX($I$41:$I$42,MATCH($F109,$F$41:$F$42,0))),(1+$I109))</f>
        <v>0.69499999999999995</v>
      </c>
      <c r="BI109" s="1126">
        <f>'ANSP Capex'!BG105*IF($I109="",(1+INDEX($I$41:$I$42,MATCH($F109,$F$41:$F$42,0))),(1+$I109))</f>
        <v>0</v>
      </c>
      <c r="BJ109" s="1126">
        <f>'ANSP Capex'!BH105*IF($I109="",(1+INDEX($I$41:$I$42,MATCH($F109,$F$41:$F$42,0))),(1+$I109))</f>
        <v>0</v>
      </c>
      <c r="BK109" s="1126">
        <f>'ANSP Capex'!BI105*IF($I109="",(1+INDEX($I$41:$I$42,MATCH($F109,$F$41:$F$42,0))),(1+$I109))</f>
        <v>0</v>
      </c>
      <c r="BL109" s="1126">
        <f>'ANSP Capex'!BJ105*IF($I109="",(1+INDEX($I$41:$I$42,MATCH($F109,$F$41:$F$42,0))),(1+$I109))</f>
        <v>0</v>
      </c>
    </row>
    <row r="110" spans="1:64" outlineLevel="2">
      <c r="A110" s="1094"/>
      <c r="B110" s="1094"/>
      <c r="C110" s="1083" t="str">
        <f>'ANSP Capex'!C106</f>
        <v>T017 - LAPTOP W20007815</v>
      </c>
      <c r="D110" s="1083" t="str">
        <f>'ANSP Capex'!D106</f>
        <v>IT Equipment</v>
      </c>
      <c r="E110" s="1083" t="str">
        <f>'ANSP Capex'!E106</f>
        <v>T0170253</v>
      </c>
      <c r="F110" s="1083">
        <f>'ANSP Capex'!F106</f>
        <v>2020</v>
      </c>
      <c r="G110" s="1101">
        <f t="shared" si="0"/>
        <v>1.50641</v>
      </c>
      <c r="H110" s="1083" t="str">
        <f>'ANSP Capex'!H106</f>
        <v>€'000</v>
      </c>
      <c r="I110" s="829"/>
      <c r="J110" s="1097">
        <f>'ANSP Capex'!I106</f>
        <v>3</v>
      </c>
      <c r="K110" s="1124">
        <v>0</v>
      </c>
      <c r="L110" s="1098">
        <f t="shared" si="1"/>
        <v>36</v>
      </c>
      <c r="M110" s="153">
        <f t="shared" si="2"/>
        <v>0.33333333333333331</v>
      </c>
      <c r="N110" s="1099"/>
      <c r="O110" s="1100">
        <f>'ANSP Capex'!M106</f>
        <v>11.999840680823946</v>
      </c>
      <c r="P110" s="1101">
        <f>IF($BH110=0,0,IF(SUM($O110:O110)&lt;($L110-12),12,$L110-SUM($O110:O110)))</f>
        <v>12</v>
      </c>
      <c r="Q110" s="1101">
        <f>IF($BH110=0,0,IF(SUM($O110:P110)&lt;($L110-12),12,$L110-SUM($O110:P110)))</f>
        <v>12</v>
      </c>
      <c r="R110" s="1101">
        <f>IF($BH110=0,0,IF(SUM($O110:Q110)&lt;($L110-12),12,$L110-SUM($O110:Q110)))</f>
        <v>1.5931917605627177E-4</v>
      </c>
      <c r="S110" s="1101">
        <f>IF($BH110=0,0,IF(SUM($O110:R110)&lt;($L110-12),12,$L110-SUM($O110:R110)))</f>
        <v>0</v>
      </c>
      <c r="U110" s="1100"/>
      <c r="V110" s="1100">
        <f>'ANSP Capex'!T106</f>
        <v>0</v>
      </c>
      <c r="W110" s="1101">
        <f>IF($BI110=0,0,IF(SUM($U110:V110)&lt;($L110-12),12,$L110-SUM($U110:V110)))</f>
        <v>0</v>
      </c>
      <c r="X110" s="1101">
        <f>IF($BI110=0,0,IF(SUM($U110:W110)&lt;($L110-12),12,$L110-SUM($U110:W110)))</f>
        <v>0</v>
      </c>
      <c r="Y110" s="1101">
        <f>IF($BI110=0,0,IF(SUM($U110:X110)&lt;($L110-12),12,$L110-SUM($U110:X110)))</f>
        <v>0</v>
      </c>
      <c r="AA110" s="1100"/>
      <c r="AB110" s="1100"/>
      <c r="AC110" s="1100">
        <f>'ANSP Capex'!AA106</f>
        <v>0</v>
      </c>
      <c r="AD110" s="1101">
        <f>IF($BJ110=0,0,IF(SUM($AA110:AC110)&lt;($L110-12),12,$L110-SUM($AA110:AC110)))</f>
        <v>0</v>
      </c>
      <c r="AE110" s="1101">
        <f>IF($BJ110=0,0,IF(SUM($AA110:AD110)&lt;($L110-12),12,$L110-SUM($AA110:AD110)))</f>
        <v>0</v>
      </c>
      <c r="AG110" s="1100"/>
      <c r="AH110" s="1100"/>
      <c r="AI110" s="1100"/>
      <c r="AJ110" s="1100">
        <f>'ANSP Capex'!AH106</f>
        <v>0</v>
      </c>
      <c r="AK110" s="1101">
        <f>IF($BK110=0,0,IF(SUM($AG110:AJ110)&lt;($L110-12),12,$L110-SUM($AG110:AJ110)))</f>
        <v>0</v>
      </c>
      <c r="AM110" s="1100"/>
      <c r="AN110" s="1100"/>
      <c r="AO110" s="1100"/>
      <c r="AP110" s="1100"/>
      <c r="AQ110" s="1100">
        <f>'ANSP Capex'!AO106</f>
        <v>0</v>
      </c>
      <c r="AS110" s="153">
        <f t="shared" si="3"/>
        <v>0.99998672340199546</v>
      </c>
      <c r="AT110" s="153">
        <f t="shared" si="4"/>
        <v>0</v>
      </c>
      <c r="AU110" s="153">
        <f t="shared" si="5"/>
        <v>0</v>
      </c>
      <c r="AV110" s="153">
        <f t="shared" si="6"/>
        <v>0</v>
      </c>
      <c r="AW110" s="153">
        <f t="shared" si="7"/>
        <v>0</v>
      </c>
      <c r="AX110" s="153"/>
      <c r="AY110" s="1543">
        <f>'ANSP Capex'!AW106</f>
        <v>0.73</v>
      </c>
      <c r="AZ110" s="1102"/>
      <c r="BA110" s="1543">
        <f>'ANSP Capex'!AY106</f>
        <v>0.15</v>
      </c>
      <c r="BC110" s="1126"/>
      <c r="BD110" s="1126"/>
      <c r="BE110" s="1126"/>
      <c r="BF110" s="1126"/>
      <c r="BG110" s="1126"/>
      <c r="BH110" s="1126">
        <f>'ANSP Capex'!BF106*IF($I110="",(1+INDEX($I$41:$I$42,MATCH($F110,$F$41:$F$42,0))),(1+$I110))</f>
        <v>1.50641</v>
      </c>
      <c r="BI110" s="1126">
        <f>'ANSP Capex'!BG106*IF($I110="",(1+INDEX($I$41:$I$42,MATCH($F110,$F$41:$F$42,0))),(1+$I110))</f>
        <v>0</v>
      </c>
      <c r="BJ110" s="1126">
        <f>'ANSP Capex'!BH106*IF($I110="",(1+INDEX($I$41:$I$42,MATCH($F110,$F$41:$F$42,0))),(1+$I110))</f>
        <v>0</v>
      </c>
      <c r="BK110" s="1126">
        <f>'ANSP Capex'!BI106*IF($I110="",(1+INDEX($I$41:$I$42,MATCH($F110,$F$41:$F$42,0))),(1+$I110))</f>
        <v>0</v>
      </c>
      <c r="BL110" s="1126">
        <f>'ANSP Capex'!BJ106*IF($I110="",(1+INDEX($I$41:$I$42,MATCH($F110,$F$41:$F$42,0))),(1+$I110))</f>
        <v>0</v>
      </c>
    </row>
    <row r="111" spans="1:64" outlineLevel="2">
      <c r="A111" s="1094"/>
      <c r="B111" s="1094"/>
      <c r="C111" s="1083" t="str">
        <f>'ANSP Capex'!C107</f>
        <v>T017 - OPTIPLEX5060 W20007883</v>
      </c>
      <c r="D111" s="1083" t="str">
        <f>'ANSP Capex'!D107</f>
        <v>IT Equipment</v>
      </c>
      <c r="E111" s="1083" t="str">
        <f>'ANSP Capex'!E107</f>
        <v>T0170254</v>
      </c>
      <c r="F111" s="1083">
        <f>'ANSP Capex'!F107</f>
        <v>2020</v>
      </c>
      <c r="G111" s="1101">
        <f t="shared" si="0"/>
        <v>0.6</v>
      </c>
      <c r="H111" s="1083" t="str">
        <f>'ANSP Capex'!H107</f>
        <v>€'000</v>
      </c>
      <c r="I111" s="829"/>
      <c r="J111" s="1097">
        <f>'ANSP Capex'!I107</f>
        <v>3</v>
      </c>
      <c r="K111" s="1124">
        <v>0</v>
      </c>
      <c r="L111" s="1098">
        <f t="shared" si="1"/>
        <v>36</v>
      </c>
      <c r="M111" s="153">
        <f t="shared" si="2"/>
        <v>0.33333333333333331</v>
      </c>
      <c r="N111" s="1099"/>
      <c r="O111" s="1100">
        <f>'ANSP Capex'!M107</f>
        <v>12.002399999999998</v>
      </c>
      <c r="P111" s="1101">
        <f>IF($BH111=0,0,IF(SUM($O111:O111)&lt;($L111-12),12,$L111-SUM($O111:O111)))</f>
        <v>12</v>
      </c>
      <c r="Q111" s="1101">
        <f>IF($BH111=0,0,IF(SUM($O111:P111)&lt;($L111-12),12,$L111-SUM($O111:P111)))</f>
        <v>11.997600000000002</v>
      </c>
      <c r="R111" s="1101">
        <f>IF($BH111=0,0,IF(SUM($O111:Q111)&lt;($L111-12),12,$L111-SUM($O111:Q111)))</f>
        <v>0</v>
      </c>
      <c r="S111" s="1101">
        <f>IF($BH111=0,0,IF(SUM($O111:R111)&lt;($L111-12),12,$L111-SUM($O111:R111)))</f>
        <v>0</v>
      </c>
      <c r="U111" s="1100"/>
      <c r="V111" s="1100">
        <f>'ANSP Capex'!T107</f>
        <v>0</v>
      </c>
      <c r="W111" s="1101">
        <f>IF($BI111=0,0,IF(SUM($U111:V111)&lt;($L111-12),12,$L111-SUM($U111:V111)))</f>
        <v>0</v>
      </c>
      <c r="X111" s="1101">
        <f>IF($BI111=0,0,IF(SUM($U111:W111)&lt;($L111-12),12,$L111-SUM($U111:W111)))</f>
        <v>0</v>
      </c>
      <c r="Y111" s="1101">
        <f>IF($BI111=0,0,IF(SUM($U111:X111)&lt;($L111-12),12,$L111-SUM($U111:X111)))</f>
        <v>0</v>
      </c>
      <c r="AA111" s="1100"/>
      <c r="AB111" s="1100"/>
      <c r="AC111" s="1100">
        <f>'ANSP Capex'!AA107</f>
        <v>0</v>
      </c>
      <c r="AD111" s="1101">
        <f>IF($BJ111=0,0,IF(SUM($AA111:AC111)&lt;($L111-12),12,$L111-SUM($AA111:AC111)))</f>
        <v>0</v>
      </c>
      <c r="AE111" s="1101">
        <f>IF($BJ111=0,0,IF(SUM($AA111:AD111)&lt;($L111-12),12,$L111-SUM($AA111:AD111)))</f>
        <v>0</v>
      </c>
      <c r="AG111" s="1100"/>
      <c r="AH111" s="1100"/>
      <c r="AI111" s="1100"/>
      <c r="AJ111" s="1100">
        <f>'ANSP Capex'!AH107</f>
        <v>0</v>
      </c>
      <c r="AK111" s="1101">
        <f>IF($BK111=0,0,IF(SUM($AG111:AJ111)&lt;($L111-12),12,$L111-SUM($AG111:AJ111)))</f>
        <v>0</v>
      </c>
      <c r="AM111" s="1100"/>
      <c r="AN111" s="1100"/>
      <c r="AO111" s="1100"/>
      <c r="AP111" s="1100"/>
      <c r="AQ111" s="1100">
        <f>'ANSP Capex'!AO107</f>
        <v>0</v>
      </c>
      <c r="AS111" s="153">
        <f t="shared" si="3"/>
        <v>1.0001999999999998</v>
      </c>
      <c r="AT111" s="153">
        <f t="shared" si="4"/>
        <v>0</v>
      </c>
      <c r="AU111" s="153">
        <f t="shared" si="5"/>
        <v>0</v>
      </c>
      <c r="AV111" s="153">
        <f t="shared" si="6"/>
        <v>0</v>
      </c>
      <c r="AW111" s="153">
        <f t="shared" si="7"/>
        <v>0</v>
      </c>
      <c r="AX111" s="153"/>
      <c r="AY111" s="1543">
        <f>'ANSP Capex'!AW107</f>
        <v>0.73</v>
      </c>
      <c r="AZ111" s="1102"/>
      <c r="BA111" s="1543">
        <f>'ANSP Capex'!AY107</f>
        <v>0.15</v>
      </c>
      <c r="BC111" s="1126"/>
      <c r="BD111" s="1126"/>
      <c r="BE111" s="1126"/>
      <c r="BF111" s="1126"/>
      <c r="BG111" s="1126"/>
      <c r="BH111" s="1126">
        <f>'ANSP Capex'!BF107*IF($I111="",(1+INDEX($I$41:$I$42,MATCH($F111,$F$41:$F$42,0))),(1+$I111))</f>
        <v>0.6</v>
      </c>
      <c r="BI111" s="1126">
        <f>'ANSP Capex'!BG107*IF($I111="",(1+INDEX($I$41:$I$42,MATCH($F111,$F$41:$F$42,0))),(1+$I111))</f>
        <v>0</v>
      </c>
      <c r="BJ111" s="1126">
        <f>'ANSP Capex'!BH107*IF($I111="",(1+INDEX($I$41:$I$42,MATCH($F111,$F$41:$F$42,0))),(1+$I111))</f>
        <v>0</v>
      </c>
      <c r="BK111" s="1126">
        <f>'ANSP Capex'!BI107*IF($I111="",(1+INDEX($I$41:$I$42,MATCH($F111,$F$41:$F$42,0))),(1+$I111))</f>
        <v>0</v>
      </c>
      <c r="BL111" s="1126">
        <f>'ANSP Capex'!BJ107*IF($I111="",(1+INDEX($I$41:$I$42,MATCH($F111,$F$41:$F$42,0))),(1+$I111))</f>
        <v>0</v>
      </c>
    </row>
    <row r="112" spans="1:64" outlineLevel="2">
      <c r="A112" s="1094"/>
      <c r="B112" s="1094"/>
      <c r="C112" s="1083" t="str">
        <f>'ANSP Capex'!C108</f>
        <v>T017 - OPTIPLEX5060 W20007917</v>
      </c>
      <c r="D112" s="1083" t="str">
        <f>'ANSP Capex'!D108</f>
        <v>IT Equipment</v>
      </c>
      <c r="E112" s="1083" t="str">
        <f>'ANSP Capex'!E108</f>
        <v>T0170256</v>
      </c>
      <c r="F112" s="1083">
        <f>'ANSP Capex'!F108</f>
        <v>2020</v>
      </c>
      <c r="G112" s="1101">
        <f t="shared" si="0"/>
        <v>0.6</v>
      </c>
      <c r="H112" s="1083" t="str">
        <f>'ANSP Capex'!H108</f>
        <v>€'000</v>
      </c>
      <c r="I112" s="829"/>
      <c r="J112" s="1097">
        <f>'ANSP Capex'!I108</f>
        <v>3</v>
      </c>
      <c r="K112" s="1124">
        <v>0</v>
      </c>
      <c r="L112" s="1098">
        <f t="shared" si="1"/>
        <v>36</v>
      </c>
      <c r="M112" s="153">
        <f t="shared" si="2"/>
        <v>0.33333333333333331</v>
      </c>
      <c r="N112" s="1099"/>
      <c r="O112" s="1100">
        <f>'ANSP Capex'!M108</f>
        <v>12.002399999999998</v>
      </c>
      <c r="P112" s="1101">
        <f>IF($BH112=0,0,IF(SUM($O112:O112)&lt;($L112-12),12,$L112-SUM($O112:O112)))</f>
        <v>12</v>
      </c>
      <c r="Q112" s="1101">
        <f>IF($BH112=0,0,IF(SUM($O112:P112)&lt;($L112-12),12,$L112-SUM($O112:P112)))</f>
        <v>11.997600000000002</v>
      </c>
      <c r="R112" s="1101">
        <f>IF($BH112=0,0,IF(SUM($O112:Q112)&lt;($L112-12),12,$L112-SUM($O112:Q112)))</f>
        <v>0</v>
      </c>
      <c r="S112" s="1101">
        <f>IF($BH112=0,0,IF(SUM($O112:R112)&lt;($L112-12),12,$L112-SUM($O112:R112)))</f>
        <v>0</v>
      </c>
      <c r="U112" s="1100"/>
      <c r="V112" s="1100">
        <f>'ANSP Capex'!T108</f>
        <v>0</v>
      </c>
      <c r="W112" s="1101">
        <f>IF($BI112=0,0,IF(SUM($U112:V112)&lt;($L112-12),12,$L112-SUM($U112:V112)))</f>
        <v>0</v>
      </c>
      <c r="X112" s="1101">
        <f>IF($BI112=0,0,IF(SUM($U112:W112)&lt;($L112-12),12,$L112-SUM($U112:W112)))</f>
        <v>0</v>
      </c>
      <c r="Y112" s="1101">
        <f>IF($BI112=0,0,IF(SUM($U112:X112)&lt;($L112-12),12,$L112-SUM($U112:X112)))</f>
        <v>0</v>
      </c>
      <c r="AA112" s="1100"/>
      <c r="AB112" s="1100"/>
      <c r="AC112" s="1100">
        <f>'ANSP Capex'!AA108</f>
        <v>0</v>
      </c>
      <c r="AD112" s="1101">
        <f>IF($BJ112=0,0,IF(SUM($AA112:AC112)&lt;($L112-12),12,$L112-SUM($AA112:AC112)))</f>
        <v>0</v>
      </c>
      <c r="AE112" s="1101">
        <f>IF($BJ112=0,0,IF(SUM($AA112:AD112)&lt;($L112-12),12,$L112-SUM($AA112:AD112)))</f>
        <v>0</v>
      </c>
      <c r="AG112" s="1100"/>
      <c r="AH112" s="1100"/>
      <c r="AI112" s="1100"/>
      <c r="AJ112" s="1100">
        <f>'ANSP Capex'!AH108</f>
        <v>0</v>
      </c>
      <c r="AK112" s="1101">
        <f>IF($BK112=0,0,IF(SUM($AG112:AJ112)&lt;($L112-12),12,$L112-SUM($AG112:AJ112)))</f>
        <v>0</v>
      </c>
      <c r="AM112" s="1100"/>
      <c r="AN112" s="1100"/>
      <c r="AO112" s="1100"/>
      <c r="AP112" s="1100"/>
      <c r="AQ112" s="1100">
        <f>'ANSP Capex'!AO108</f>
        <v>0</v>
      </c>
      <c r="AS112" s="153">
        <f t="shared" si="3"/>
        <v>1.0001999999999998</v>
      </c>
      <c r="AT112" s="153">
        <f t="shared" si="4"/>
        <v>0</v>
      </c>
      <c r="AU112" s="153">
        <f t="shared" si="5"/>
        <v>0</v>
      </c>
      <c r="AV112" s="153">
        <f t="shared" si="6"/>
        <v>0</v>
      </c>
      <c r="AW112" s="153">
        <f t="shared" si="7"/>
        <v>0</v>
      </c>
      <c r="AX112" s="153"/>
      <c r="AY112" s="1543">
        <f>'ANSP Capex'!AW108</f>
        <v>0.73</v>
      </c>
      <c r="AZ112" s="1102"/>
      <c r="BA112" s="1543">
        <f>'ANSP Capex'!AY108</f>
        <v>0.15</v>
      </c>
      <c r="BC112" s="1126"/>
      <c r="BD112" s="1126"/>
      <c r="BE112" s="1126"/>
      <c r="BF112" s="1126"/>
      <c r="BG112" s="1126"/>
      <c r="BH112" s="1126">
        <f>'ANSP Capex'!BF108*IF($I112="",(1+INDEX($I$41:$I$42,MATCH($F112,$F$41:$F$42,0))),(1+$I112))</f>
        <v>0.6</v>
      </c>
      <c r="BI112" s="1126">
        <f>'ANSP Capex'!BG108*IF($I112="",(1+INDEX($I$41:$I$42,MATCH($F112,$F$41:$F$42,0))),(1+$I112))</f>
        <v>0</v>
      </c>
      <c r="BJ112" s="1126">
        <f>'ANSP Capex'!BH108*IF($I112="",(1+INDEX($I$41:$I$42,MATCH($F112,$F$41:$F$42,0))),(1+$I112))</f>
        <v>0</v>
      </c>
      <c r="BK112" s="1126">
        <f>'ANSP Capex'!BI108*IF($I112="",(1+INDEX($I$41:$I$42,MATCH($F112,$F$41:$F$42,0))),(1+$I112))</f>
        <v>0</v>
      </c>
      <c r="BL112" s="1126">
        <f>'ANSP Capex'!BJ108*IF($I112="",(1+INDEX($I$41:$I$42,MATCH($F112,$F$41:$F$42,0))),(1+$I112))</f>
        <v>0</v>
      </c>
    </row>
    <row r="113" spans="1:64" outlineLevel="2">
      <c r="A113" s="1094"/>
      <c r="B113" s="1094"/>
      <c r="C113" s="1083" t="str">
        <f>'ANSP Capex'!C109</f>
        <v>T017 - TOSHIBA W20008070</v>
      </c>
      <c r="D113" s="1083" t="str">
        <f>'ANSP Capex'!D109</f>
        <v>IT Equipment</v>
      </c>
      <c r="E113" s="1083" t="str">
        <f>'ANSP Capex'!E109</f>
        <v>T0170263</v>
      </c>
      <c r="F113" s="1083">
        <f>'ANSP Capex'!F109</f>
        <v>2020</v>
      </c>
      <c r="G113" s="1101">
        <f t="shared" si="0"/>
        <v>0.60580000000000001</v>
      </c>
      <c r="H113" s="1083" t="str">
        <f>'ANSP Capex'!H109</f>
        <v>€'000</v>
      </c>
      <c r="I113" s="829"/>
      <c r="J113" s="1097">
        <f>'ANSP Capex'!I109</f>
        <v>3</v>
      </c>
      <c r="K113" s="1124">
        <v>0</v>
      </c>
      <c r="L113" s="1098">
        <f t="shared" si="1"/>
        <v>36</v>
      </c>
      <c r="M113" s="153">
        <f t="shared" si="2"/>
        <v>0.33333333333333331</v>
      </c>
      <c r="N113" s="1099"/>
      <c r="O113" s="1100">
        <f>'ANSP Capex'!M109</f>
        <v>7.0009243974909223</v>
      </c>
      <c r="P113" s="1101">
        <f>IF($BH113=0,0,IF(SUM($O113:O113)&lt;($L113-12),12,$L113-SUM($O113:O113)))</f>
        <v>12</v>
      </c>
      <c r="Q113" s="1101">
        <f>IF($BH113=0,0,IF(SUM($O113:P113)&lt;($L113-12),12,$L113-SUM($O113:P113)))</f>
        <v>12</v>
      </c>
      <c r="R113" s="1101">
        <f>IF($BH113=0,0,IF(SUM($O113:Q113)&lt;($L113-12),12,$L113-SUM($O113:Q113)))</f>
        <v>4.9990756025090768</v>
      </c>
      <c r="S113" s="1101">
        <f>IF($BH113=0,0,IF(SUM($O113:R113)&lt;($L113-12),12,$L113-SUM($O113:R113)))</f>
        <v>0</v>
      </c>
      <c r="U113" s="1100"/>
      <c r="V113" s="1100">
        <f>'ANSP Capex'!T109</f>
        <v>0</v>
      </c>
      <c r="W113" s="1101">
        <f>IF($BI113=0,0,IF(SUM($U113:V113)&lt;($L113-12),12,$L113-SUM($U113:V113)))</f>
        <v>0</v>
      </c>
      <c r="X113" s="1101">
        <f>IF($BI113=0,0,IF(SUM($U113:W113)&lt;($L113-12),12,$L113-SUM($U113:W113)))</f>
        <v>0</v>
      </c>
      <c r="Y113" s="1101">
        <f>IF($BI113=0,0,IF(SUM($U113:X113)&lt;($L113-12),12,$L113-SUM($U113:X113)))</f>
        <v>0</v>
      </c>
      <c r="AA113" s="1100"/>
      <c r="AB113" s="1100"/>
      <c r="AC113" s="1100">
        <f>'ANSP Capex'!AA109</f>
        <v>0</v>
      </c>
      <c r="AD113" s="1101">
        <f>IF($BJ113=0,0,IF(SUM($AA113:AC113)&lt;($L113-12),12,$L113-SUM($AA113:AC113)))</f>
        <v>0</v>
      </c>
      <c r="AE113" s="1101">
        <f>IF($BJ113=0,0,IF(SUM($AA113:AD113)&lt;($L113-12),12,$L113-SUM($AA113:AD113)))</f>
        <v>0</v>
      </c>
      <c r="AG113" s="1100"/>
      <c r="AH113" s="1100"/>
      <c r="AI113" s="1100"/>
      <c r="AJ113" s="1100">
        <f>'ANSP Capex'!AH109</f>
        <v>0</v>
      </c>
      <c r="AK113" s="1101">
        <f>IF($BK113=0,0,IF(SUM($AG113:AJ113)&lt;($L113-12),12,$L113-SUM($AG113:AJ113)))</f>
        <v>0</v>
      </c>
      <c r="AM113" s="1100"/>
      <c r="AN113" s="1100"/>
      <c r="AO113" s="1100"/>
      <c r="AP113" s="1100"/>
      <c r="AQ113" s="1100">
        <f>'ANSP Capex'!AO109</f>
        <v>0</v>
      </c>
      <c r="AS113" s="153">
        <f t="shared" si="3"/>
        <v>0.58341036645757682</v>
      </c>
      <c r="AT113" s="153">
        <f t="shared" si="4"/>
        <v>0</v>
      </c>
      <c r="AU113" s="153">
        <f t="shared" si="5"/>
        <v>0</v>
      </c>
      <c r="AV113" s="153">
        <f t="shared" si="6"/>
        <v>0</v>
      </c>
      <c r="AW113" s="153">
        <f t="shared" si="7"/>
        <v>0</v>
      </c>
      <c r="AX113" s="153"/>
      <c r="AY113" s="1543">
        <f>'ANSP Capex'!AW109</f>
        <v>0.73</v>
      </c>
      <c r="AZ113" s="1102"/>
      <c r="BA113" s="1543">
        <f>'ANSP Capex'!AY109</f>
        <v>0.15</v>
      </c>
      <c r="BC113" s="1126"/>
      <c r="BD113" s="1126"/>
      <c r="BE113" s="1126"/>
      <c r="BF113" s="1126"/>
      <c r="BG113" s="1126"/>
      <c r="BH113" s="1126">
        <f>'ANSP Capex'!BF109*IF($I113="",(1+INDEX($I$41:$I$42,MATCH($F113,$F$41:$F$42,0))),(1+$I113))</f>
        <v>0.60580000000000001</v>
      </c>
      <c r="BI113" s="1126">
        <f>'ANSP Capex'!BG109*IF($I113="",(1+INDEX($I$41:$I$42,MATCH($F113,$F$41:$F$42,0))),(1+$I113))</f>
        <v>0</v>
      </c>
      <c r="BJ113" s="1126">
        <f>'ANSP Capex'!BH109*IF($I113="",(1+INDEX($I$41:$I$42,MATCH($F113,$F$41:$F$42,0))),(1+$I113))</f>
        <v>0</v>
      </c>
      <c r="BK113" s="1126">
        <f>'ANSP Capex'!BI109*IF($I113="",(1+INDEX($I$41:$I$42,MATCH($F113,$F$41:$F$42,0))),(1+$I113))</f>
        <v>0</v>
      </c>
      <c r="BL113" s="1126">
        <f>'ANSP Capex'!BJ109*IF($I113="",(1+INDEX($I$41:$I$42,MATCH($F113,$F$41:$F$42,0))),(1+$I113))</f>
        <v>0</v>
      </c>
    </row>
    <row r="114" spans="1:64" outlineLevel="2">
      <c r="A114" s="1094"/>
      <c r="B114" s="1094"/>
      <c r="C114" s="1083" t="str">
        <f>'ANSP Capex'!C110</f>
        <v>T017 - TOSHIBA W20008085</v>
      </c>
      <c r="D114" s="1083" t="str">
        <f>'ANSP Capex'!D110</f>
        <v>IT Equipment</v>
      </c>
      <c r="E114" s="1083" t="str">
        <f>'ANSP Capex'!E110</f>
        <v>T0170274</v>
      </c>
      <c r="F114" s="1083">
        <f>'ANSP Capex'!F110</f>
        <v>2020</v>
      </c>
      <c r="G114" s="1101">
        <f t="shared" ref="G114:G177" si="8">SUM(BH114:BL114)</f>
        <v>0.60580000000000001</v>
      </c>
      <c r="H114" s="1083" t="str">
        <f>'ANSP Capex'!H110</f>
        <v>€'000</v>
      </c>
      <c r="I114" s="829"/>
      <c r="J114" s="1097">
        <f>'ANSP Capex'!I110</f>
        <v>3</v>
      </c>
      <c r="K114" s="1124">
        <v>0</v>
      </c>
      <c r="L114" s="1098">
        <f t="shared" ref="L114:L177" si="9">IF(K114&lt;=0,J114*12,K114*12)</f>
        <v>36</v>
      </c>
      <c r="M114" s="153">
        <f t="shared" si="2"/>
        <v>0.33333333333333331</v>
      </c>
      <c r="N114" s="1099"/>
      <c r="O114" s="1100">
        <f>'ANSP Capex'!M110</f>
        <v>7.0009243974909223</v>
      </c>
      <c r="P114" s="1101">
        <f>IF($BH114=0,0,IF(SUM($O114:O114)&lt;($L114-12),12,$L114-SUM($O114:O114)))</f>
        <v>12</v>
      </c>
      <c r="Q114" s="1101">
        <f>IF($BH114=0,0,IF(SUM($O114:P114)&lt;($L114-12),12,$L114-SUM($O114:P114)))</f>
        <v>12</v>
      </c>
      <c r="R114" s="1101">
        <f>IF($BH114=0,0,IF(SUM($O114:Q114)&lt;($L114-12),12,$L114-SUM($O114:Q114)))</f>
        <v>4.9990756025090768</v>
      </c>
      <c r="S114" s="1101">
        <f>IF($BH114=0,0,IF(SUM($O114:R114)&lt;($L114-12),12,$L114-SUM($O114:R114)))</f>
        <v>0</v>
      </c>
      <c r="U114" s="1100"/>
      <c r="V114" s="1100">
        <f>'ANSP Capex'!T110</f>
        <v>0</v>
      </c>
      <c r="W114" s="1101">
        <f>IF($BI114=0,0,IF(SUM($U114:V114)&lt;($L114-12),12,$L114-SUM($U114:V114)))</f>
        <v>0</v>
      </c>
      <c r="X114" s="1101">
        <f>IF($BI114=0,0,IF(SUM($U114:W114)&lt;($L114-12),12,$L114-SUM($U114:W114)))</f>
        <v>0</v>
      </c>
      <c r="Y114" s="1101">
        <f>IF($BI114=0,0,IF(SUM($U114:X114)&lt;($L114-12),12,$L114-SUM($U114:X114)))</f>
        <v>0</v>
      </c>
      <c r="AA114" s="1100"/>
      <c r="AB114" s="1100"/>
      <c r="AC114" s="1100">
        <f>'ANSP Capex'!AA110</f>
        <v>0</v>
      </c>
      <c r="AD114" s="1101">
        <f>IF($BJ114=0,0,IF(SUM($AA114:AC114)&lt;($L114-12),12,$L114-SUM($AA114:AC114)))</f>
        <v>0</v>
      </c>
      <c r="AE114" s="1101">
        <f>IF($BJ114=0,0,IF(SUM($AA114:AD114)&lt;($L114-12),12,$L114-SUM($AA114:AD114)))</f>
        <v>0</v>
      </c>
      <c r="AG114" s="1100"/>
      <c r="AH114" s="1100"/>
      <c r="AI114" s="1100"/>
      <c r="AJ114" s="1100">
        <f>'ANSP Capex'!AH110</f>
        <v>0</v>
      </c>
      <c r="AK114" s="1101">
        <f>IF($BK114=0,0,IF(SUM($AG114:AJ114)&lt;($L114-12),12,$L114-SUM($AG114:AJ114)))</f>
        <v>0</v>
      </c>
      <c r="AM114" s="1100"/>
      <c r="AN114" s="1100"/>
      <c r="AO114" s="1100"/>
      <c r="AP114" s="1100"/>
      <c r="AQ114" s="1100">
        <f>'ANSP Capex'!AO110</f>
        <v>0</v>
      </c>
      <c r="AS114" s="153">
        <f t="shared" si="3"/>
        <v>0.58341036645757682</v>
      </c>
      <c r="AT114" s="153">
        <f t="shared" si="4"/>
        <v>0</v>
      </c>
      <c r="AU114" s="153">
        <f t="shared" si="5"/>
        <v>0</v>
      </c>
      <c r="AV114" s="153">
        <f t="shared" si="6"/>
        <v>0</v>
      </c>
      <c r="AW114" s="153">
        <f t="shared" si="7"/>
        <v>0</v>
      </c>
      <c r="AX114" s="153"/>
      <c r="AY114" s="1543">
        <f>'ANSP Capex'!AW110</f>
        <v>0.73</v>
      </c>
      <c r="AZ114" s="1102"/>
      <c r="BA114" s="1543">
        <f>'ANSP Capex'!AY110</f>
        <v>0.15</v>
      </c>
      <c r="BC114" s="1126"/>
      <c r="BD114" s="1126"/>
      <c r="BE114" s="1126"/>
      <c r="BF114" s="1126"/>
      <c r="BG114" s="1126"/>
      <c r="BH114" s="1126">
        <f>'ANSP Capex'!BF110*IF($I114="",(1+INDEX($I$41:$I$42,MATCH($F114,$F$41:$F$42,0))),(1+$I114))</f>
        <v>0.60580000000000001</v>
      </c>
      <c r="BI114" s="1126">
        <f>'ANSP Capex'!BG110*IF($I114="",(1+INDEX($I$41:$I$42,MATCH($F114,$F$41:$F$42,0))),(1+$I114))</f>
        <v>0</v>
      </c>
      <c r="BJ114" s="1126">
        <f>'ANSP Capex'!BH110*IF($I114="",(1+INDEX($I$41:$I$42,MATCH($F114,$F$41:$F$42,0))),(1+$I114))</f>
        <v>0</v>
      </c>
      <c r="BK114" s="1126">
        <f>'ANSP Capex'!BI110*IF($I114="",(1+INDEX($I$41:$I$42,MATCH($F114,$F$41:$F$42,0))),(1+$I114))</f>
        <v>0</v>
      </c>
      <c r="BL114" s="1126">
        <f>'ANSP Capex'!BJ110*IF($I114="",(1+INDEX($I$41:$I$42,MATCH($F114,$F$41:$F$42,0))),(1+$I114))</f>
        <v>0</v>
      </c>
    </row>
    <row r="115" spans="1:64" outlineLevel="2">
      <c r="A115" s="1094"/>
      <c r="B115" s="1094"/>
      <c r="C115" s="1083" t="str">
        <f>'ANSP Capex'!C111</f>
        <v>T017 - HP250G7 CORE W20008093</v>
      </c>
      <c r="D115" s="1083" t="str">
        <f>'ANSP Capex'!D111</f>
        <v>IT Equipment</v>
      </c>
      <c r="E115" s="1083" t="str">
        <f>'ANSP Capex'!E111</f>
        <v>T0170278</v>
      </c>
      <c r="F115" s="1083">
        <f>'ANSP Capex'!F111</f>
        <v>2020</v>
      </c>
      <c r="G115" s="1101">
        <f t="shared" si="8"/>
        <v>0.69499999999999995</v>
      </c>
      <c r="H115" s="1083" t="str">
        <f>'ANSP Capex'!H111</f>
        <v>€'000</v>
      </c>
      <c r="I115" s="829"/>
      <c r="J115" s="1097">
        <f>'ANSP Capex'!I111</f>
        <v>3</v>
      </c>
      <c r="K115" s="1124">
        <v>0</v>
      </c>
      <c r="L115" s="1098">
        <f t="shared" si="9"/>
        <v>36</v>
      </c>
      <c r="M115" s="153">
        <f t="shared" ref="M115:M178" si="10">IFERROR(1/(L115/12),0)</f>
        <v>0.33333333333333331</v>
      </c>
      <c r="N115" s="1099"/>
      <c r="O115" s="1100">
        <f>'ANSP Capex'!M111</f>
        <v>10.000748201438848</v>
      </c>
      <c r="P115" s="1101">
        <f>IF($BH115=0,0,IF(SUM($O115:O115)&lt;($L115-12),12,$L115-SUM($O115:O115)))</f>
        <v>12</v>
      </c>
      <c r="Q115" s="1101">
        <f>IF($BH115=0,0,IF(SUM($O115:P115)&lt;($L115-12),12,$L115-SUM($O115:P115)))</f>
        <v>12</v>
      </c>
      <c r="R115" s="1101">
        <f>IF($BH115=0,0,IF(SUM($O115:Q115)&lt;($L115-12),12,$L115-SUM($O115:Q115)))</f>
        <v>1.9992517985611542</v>
      </c>
      <c r="S115" s="1101">
        <f>IF($BH115=0,0,IF(SUM($O115:R115)&lt;($L115-12),12,$L115-SUM($O115:R115)))</f>
        <v>0</v>
      </c>
      <c r="U115" s="1100"/>
      <c r="V115" s="1100">
        <f>'ANSP Capex'!T111</f>
        <v>0</v>
      </c>
      <c r="W115" s="1101">
        <f>IF($BI115=0,0,IF(SUM($U115:V115)&lt;($L115-12),12,$L115-SUM($U115:V115)))</f>
        <v>0</v>
      </c>
      <c r="X115" s="1101">
        <f>IF($BI115=0,0,IF(SUM($U115:W115)&lt;($L115-12),12,$L115-SUM($U115:W115)))</f>
        <v>0</v>
      </c>
      <c r="Y115" s="1101">
        <f>IF($BI115=0,0,IF(SUM($U115:X115)&lt;($L115-12),12,$L115-SUM($U115:X115)))</f>
        <v>0</v>
      </c>
      <c r="AA115" s="1100"/>
      <c r="AB115" s="1100"/>
      <c r="AC115" s="1100">
        <f>'ANSP Capex'!AA111</f>
        <v>0</v>
      </c>
      <c r="AD115" s="1101">
        <f>IF($BJ115=0,0,IF(SUM($AA115:AC115)&lt;($L115-12),12,$L115-SUM($AA115:AC115)))</f>
        <v>0</v>
      </c>
      <c r="AE115" s="1101">
        <f>IF($BJ115=0,0,IF(SUM($AA115:AD115)&lt;($L115-12),12,$L115-SUM($AA115:AD115)))</f>
        <v>0</v>
      </c>
      <c r="AG115" s="1100"/>
      <c r="AH115" s="1100"/>
      <c r="AI115" s="1100"/>
      <c r="AJ115" s="1100">
        <f>'ANSP Capex'!AH111</f>
        <v>0</v>
      </c>
      <c r="AK115" s="1101">
        <f>IF($BK115=0,0,IF(SUM($AG115:AJ115)&lt;($L115-12),12,$L115-SUM($AG115:AJ115)))</f>
        <v>0</v>
      </c>
      <c r="AM115" s="1100"/>
      <c r="AN115" s="1100"/>
      <c r="AO115" s="1100"/>
      <c r="AP115" s="1100"/>
      <c r="AQ115" s="1100">
        <f>'ANSP Capex'!AO111</f>
        <v>0</v>
      </c>
      <c r="AS115" s="153">
        <f t="shared" ref="AS115:AS178" si="11">O115/12</f>
        <v>0.83339568345323733</v>
      </c>
      <c r="AT115" s="153">
        <f t="shared" ref="AT115:AT178" si="12">V115/12</f>
        <v>0</v>
      </c>
      <c r="AU115" s="153">
        <f t="shared" ref="AU115:AU178" si="13">AC115/12</f>
        <v>0</v>
      </c>
      <c r="AV115" s="153">
        <f t="shared" ref="AV115:AV178" si="14">AJ115/12</f>
        <v>0</v>
      </c>
      <c r="AW115" s="153">
        <f t="shared" ref="AW115:AW178" si="15">AQ115/12</f>
        <v>0</v>
      </c>
      <c r="AX115" s="153"/>
      <c r="AY115" s="1543">
        <f>'ANSP Capex'!AW111</f>
        <v>0.73</v>
      </c>
      <c r="AZ115" s="1102"/>
      <c r="BA115" s="1543">
        <f>'ANSP Capex'!AY111</f>
        <v>0.15</v>
      </c>
      <c r="BC115" s="1126"/>
      <c r="BD115" s="1126"/>
      <c r="BE115" s="1126"/>
      <c r="BF115" s="1126"/>
      <c r="BG115" s="1126"/>
      <c r="BH115" s="1126">
        <f>'ANSP Capex'!BF111*IF($I115="",(1+INDEX($I$41:$I$42,MATCH($F115,$F$41:$F$42,0))),(1+$I115))</f>
        <v>0.69499999999999995</v>
      </c>
      <c r="BI115" s="1126">
        <f>'ANSP Capex'!BG111*IF($I115="",(1+INDEX($I$41:$I$42,MATCH($F115,$F$41:$F$42,0))),(1+$I115))</f>
        <v>0</v>
      </c>
      <c r="BJ115" s="1126">
        <f>'ANSP Capex'!BH111*IF($I115="",(1+INDEX($I$41:$I$42,MATCH($F115,$F$41:$F$42,0))),(1+$I115))</f>
        <v>0</v>
      </c>
      <c r="BK115" s="1126">
        <f>'ANSP Capex'!BI111*IF($I115="",(1+INDEX($I$41:$I$42,MATCH($F115,$F$41:$F$42,0))),(1+$I115))</f>
        <v>0</v>
      </c>
      <c r="BL115" s="1126">
        <f>'ANSP Capex'!BJ111*IF($I115="",(1+INDEX($I$41:$I$42,MATCH($F115,$F$41:$F$42,0))),(1+$I115))</f>
        <v>0</v>
      </c>
    </row>
    <row r="116" spans="1:64" outlineLevel="2">
      <c r="A116" s="1094"/>
      <c r="B116" s="1094"/>
      <c r="C116" s="1083" t="str">
        <f>'ANSP Capex'!C112</f>
        <v>T017 - HP250G7 CORE W20008097</v>
      </c>
      <c r="D116" s="1083" t="str">
        <f>'ANSP Capex'!D112</f>
        <v>IT Equipment</v>
      </c>
      <c r="E116" s="1083" t="str">
        <f>'ANSP Capex'!E112</f>
        <v>T0170280</v>
      </c>
      <c r="F116" s="1083">
        <f>'ANSP Capex'!F112</f>
        <v>2020</v>
      </c>
      <c r="G116" s="1101">
        <f t="shared" si="8"/>
        <v>0.69499999999999995</v>
      </c>
      <c r="H116" s="1083" t="str">
        <f>'ANSP Capex'!H112</f>
        <v>€'000</v>
      </c>
      <c r="I116" s="829"/>
      <c r="J116" s="1097">
        <f>'ANSP Capex'!I112</f>
        <v>3</v>
      </c>
      <c r="K116" s="1124">
        <v>0</v>
      </c>
      <c r="L116" s="1098">
        <f t="shared" si="9"/>
        <v>36</v>
      </c>
      <c r="M116" s="153">
        <f t="shared" si="10"/>
        <v>0.33333333333333331</v>
      </c>
      <c r="N116" s="1099"/>
      <c r="O116" s="1100">
        <f>'ANSP Capex'!M112</f>
        <v>10.000748201438848</v>
      </c>
      <c r="P116" s="1101">
        <f>IF($BH116=0,0,IF(SUM($O116:O116)&lt;($L116-12),12,$L116-SUM($O116:O116)))</f>
        <v>12</v>
      </c>
      <c r="Q116" s="1101">
        <f>IF($BH116=0,0,IF(SUM($O116:P116)&lt;($L116-12),12,$L116-SUM($O116:P116)))</f>
        <v>12</v>
      </c>
      <c r="R116" s="1101">
        <f>IF($BH116=0,0,IF(SUM($O116:Q116)&lt;($L116-12),12,$L116-SUM($O116:Q116)))</f>
        <v>1.9992517985611542</v>
      </c>
      <c r="S116" s="1101">
        <f>IF($BH116=0,0,IF(SUM($O116:R116)&lt;($L116-12),12,$L116-SUM($O116:R116)))</f>
        <v>0</v>
      </c>
      <c r="U116" s="1100"/>
      <c r="V116" s="1100">
        <f>'ANSP Capex'!T112</f>
        <v>0</v>
      </c>
      <c r="W116" s="1101">
        <f>IF($BI116=0,0,IF(SUM($U116:V116)&lt;($L116-12),12,$L116-SUM($U116:V116)))</f>
        <v>0</v>
      </c>
      <c r="X116" s="1101">
        <f>IF($BI116=0,0,IF(SUM($U116:W116)&lt;($L116-12),12,$L116-SUM($U116:W116)))</f>
        <v>0</v>
      </c>
      <c r="Y116" s="1101">
        <f>IF($BI116=0,0,IF(SUM($U116:X116)&lt;($L116-12),12,$L116-SUM($U116:X116)))</f>
        <v>0</v>
      </c>
      <c r="AA116" s="1100"/>
      <c r="AB116" s="1100"/>
      <c r="AC116" s="1100">
        <f>'ANSP Capex'!AA112</f>
        <v>0</v>
      </c>
      <c r="AD116" s="1101">
        <f>IF($BJ116=0,0,IF(SUM($AA116:AC116)&lt;($L116-12),12,$L116-SUM($AA116:AC116)))</f>
        <v>0</v>
      </c>
      <c r="AE116" s="1101">
        <f>IF($BJ116=0,0,IF(SUM($AA116:AD116)&lt;($L116-12),12,$L116-SUM($AA116:AD116)))</f>
        <v>0</v>
      </c>
      <c r="AG116" s="1100"/>
      <c r="AH116" s="1100"/>
      <c r="AI116" s="1100"/>
      <c r="AJ116" s="1100">
        <f>'ANSP Capex'!AH112</f>
        <v>0</v>
      </c>
      <c r="AK116" s="1101">
        <f>IF($BK116=0,0,IF(SUM($AG116:AJ116)&lt;($L116-12),12,$L116-SUM($AG116:AJ116)))</f>
        <v>0</v>
      </c>
      <c r="AM116" s="1100"/>
      <c r="AN116" s="1100"/>
      <c r="AO116" s="1100"/>
      <c r="AP116" s="1100"/>
      <c r="AQ116" s="1100">
        <f>'ANSP Capex'!AO112</f>
        <v>0</v>
      </c>
      <c r="AS116" s="153">
        <f t="shared" si="11"/>
        <v>0.83339568345323733</v>
      </c>
      <c r="AT116" s="153">
        <f t="shared" si="12"/>
        <v>0</v>
      </c>
      <c r="AU116" s="153">
        <f t="shared" si="13"/>
        <v>0</v>
      </c>
      <c r="AV116" s="153">
        <f t="shared" si="14"/>
        <v>0</v>
      </c>
      <c r="AW116" s="153">
        <f t="shared" si="15"/>
        <v>0</v>
      </c>
      <c r="AX116" s="153"/>
      <c r="AY116" s="1543">
        <f>'ANSP Capex'!AW112</f>
        <v>0.73</v>
      </c>
      <c r="AZ116" s="1102"/>
      <c r="BA116" s="1543">
        <f>'ANSP Capex'!AY112</f>
        <v>0.15</v>
      </c>
      <c r="BC116" s="1126"/>
      <c r="BD116" s="1126"/>
      <c r="BE116" s="1126"/>
      <c r="BF116" s="1126"/>
      <c r="BG116" s="1126"/>
      <c r="BH116" s="1126">
        <f>'ANSP Capex'!BF112*IF($I116="",(1+INDEX($I$41:$I$42,MATCH($F116,$F$41:$F$42,0))),(1+$I116))</f>
        <v>0.69499999999999995</v>
      </c>
      <c r="BI116" s="1126">
        <f>'ANSP Capex'!BG112*IF($I116="",(1+INDEX($I$41:$I$42,MATCH($F116,$F$41:$F$42,0))),(1+$I116))</f>
        <v>0</v>
      </c>
      <c r="BJ116" s="1126">
        <f>'ANSP Capex'!BH112*IF($I116="",(1+INDEX($I$41:$I$42,MATCH($F116,$F$41:$F$42,0))),(1+$I116))</f>
        <v>0</v>
      </c>
      <c r="BK116" s="1126">
        <f>'ANSP Capex'!BI112*IF($I116="",(1+INDEX($I$41:$I$42,MATCH($F116,$F$41:$F$42,0))),(1+$I116))</f>
        <v>0</v>
      </c>
      <c r="BL116" s="1126">
        <f>'ANSP Capex'!BJ112*IF($I116="",(1+INDEX($I$41:$I$42,MATCH($F116,$F$41:$F$42,0))),(1+$I116))</f>
        <v>0</v>
      </c>
    </row>
    <row r="117" spans="1:64" outlineLevel="2">
      <c r="A117" s="1094"/>
      <c r="B117" s="1094"/>
      <c r="C117" s="1083" t="str">
        <f>'ANSP Capex'!C113</f>
        <v>T017 - HP250G7 CORE W20008100</v>
      </c>
      <c r="D117" s="1083" t="str">
        <f>'ANSP Capex'!D113</f>
        <v>IT Equipment</v>
      </c>
      <c r="E117" s="1083" t="str">
        <f>'ANSP Capex'!E113</f>
        <v>T0170281</v>
      </c>
      <c r="F117" s="1083">
        <f>'ANSP Capex'!F113</f>
        <v>2020</v>
      </c>
      <c r="G117" s="1101">
        <f t="shared" si="8"/>
        <v>0.69499999999999995</v>
      </c>
      <c r="H117" s="1083" t="str">
        <f>'ANSP Capex'!H113</f>
        <v>€'000</v>
      </c>
      <c r="I117" s="829"/>
      <c r="J117" s="1097">
        <f>'ANSP Capex'!I113</f>
        <v>3</v>
      </c>
      <c r="K117" s="1124">
        <v>0</v>
      </c>
      <c r="L117" s="1098">
        <f t="shared" si="9"/>
        <v>36</v>
      </c>
      <c r="M117" s="153">
        <f t="shared" si="10"/>
        <v>0.33333333333333331</v>
      </c>
      <c r="N117" s="1099"/>
      <c r="O117" s="1100">
        <f>'ANSP Capex'!M113</f>
        <v>10.000748201438848</v>
      </c>
      <c r="P117" s="1101">
        <f>IF($BH117=0,0,IF(SUM($O117:O117)&lt;($L117-12),12,$L117-SUM($O117:O117)))</f>
        <v>12</v>
      </c>
      <c r="Q117" s="1101">
        <f>IF($BH117=0,0,IF(SUM($O117:P117)&lt;($L117-12),12,$L117-SUM($O117:P117)))</f>
        <v>12</v>
      </c>
      <c r="R117" s="1101">
        <f>IF($BH117=0,0,IF(SUM($O117:Q117)&lt;($L117-12),12,$L117-SUM($O117:Q117)))</f>
        <v>1.9992517985611542</v>
      </c>
      <c r="S117" s="1101">
        <f>IF($BH117=0,0,IF(SUM($O117:R117)&lt;($L117-12),12,$L117-SUM($O117:R117)))</f>
        <v>0</v>
      </c>
      <c r="U117" s="1100"/>
      <c r="V117" s="1100">
        <f>'ANSP Capex'!T113</f>
        <v>0</v>
      </c>
      <c r="W117" s="1101">
        <f>IF($BI117=0,0,IF(SUM($U117:V117)&lt;($L117-12),12,$L117-SUM($U117:V117)))</f>
        <v>0</v>
      </c>
      <c r="X117" s="1101">
        <f>IF($BI117=0,0,IF(SUM($U117:W117)&lt;($L117-12),12,$L117-SUM($U117:W117)))</f>
        <v>0</v>
      </c>
      <c r="Y117" s="1101">
        <f>IF($BI117=0,0,IF(SUM($U117:X117)&lt;($L117-12),12,$L117-SUM($U117:X117)))</f>
        <v>0</v>
      </c>
      <c r="AA117" s="1100"/>
      <c r="AB117" s="1100"/>
      <c r="AC117" s="1100">
        <f>'ANSP Capex'!AA113</f>
        <v>0</v>
      </c>
      <c r="AD117" s="1101">
        <f>IF($BJ117=0,0,IF(SUM($AA117:AC117)&lt;($L117-12),12,$L117-SUM($AA117:AC117)))</f>
        <v>0</v>
      </c>
      <c r="AE117" s="1101">
        <f>IF($BJ117=0,0,IF(SUM($AA117:AD117)&lt;($L117-12),12,$L117-SUM($AA117:AD117)))</f>
        <v>0</v>
      </c>
      <c r="AG117" s="1100"/>
      <c r="AH117" s="1100"/>
      <c r="AI117" s="1100"/>
      <c r="AJ117" s="1100">
        <f>'ANSP Capex'!AH113</f>
        <v>0</v>
      </c>
      <c r="AK117" s="1101">
        <f>IF($BK117=0,0,IF(SUM($AG117:AJ117)&lt;($L117-12),12,$L117-SUM($AG117:AJ117)))</f>
        <v>0</v>
      </c>
      <c r="AM117" s="1100"/>
      <c r="AN117" s="1100"/>
      <c r="AO117" s="1100"/>
      <c r="AP117" s="1100"/>
      <c r="AQ117" s="1100">
        <f>'ANSP Capex'!AO113</f>
        <v>0</v>
      </c>
      <c r="AS117" s="153">
        <f t="shared" si="11"/>
        <v>0.83339568345323733</v>
      </c>
      <c r="AT117" s="153">
        <f t="shared" si="12"/>
        <v>0</v>
      </c>
      <c r="AU117" s="153">
        <f t="shared" si="13"/>
        <v>0</v>
      </c>
      <c r="AV117" s="153">
        <f t="shared" si="14"/>
        <v>0</v>
      </c>
      <c r="AW117" s="153">
        <f t="shared" si="15"/>
        <v>0</v>
      </c>
      <c r="AX117" s="153"/>
      <c r="AY117" s="1543">
        <f>'ANSP Capex'!AW113</f>
        <v>0.73</v>
      </c>
      <c r="AZ117" s="1102"/>
      <c r="BA117" s="1543">
        <f>'ANSP Capex'!AY113</f>
        <v>0.15</v>
      </c>
      <c r="BC117" s="1126"/>
      <c r="BD117" s="1126"/>
      <c r="BE117" s="1126"/>
      <c r="BF117" s="1126"/>
      <c r="BG117" s="1126"/>
      <c r="BH117" s="1126">
        <f>'ANSP Capex'!BF113*IF($I117="",(1+INDEX($I$41:$I$42,MATCH($F117,$F$41:$F$42,0))),(1+$I117))</f>
        <v>0.69499999999999995</v>
      </c>
      <c r="BI117" s="1126">
        <f>'ANSP Capex'!BG113*IF($I117="",(1+INDEX($I$41:$I$42,MATCH($F117,$F$41:$F$42,0))),(1+$I117))</f>
        <v>0</v>
      </c>
      <c r="BJ117" s="1126">
        <f>'ANSP Capex'!BH113*IF($I117="",(1+INDEX($I$41:$I$42,MATCH($F117,$F$41:$F$42,0))),(1+$I117))</f>
        <v>0</v>
      </c>
      <c r="BK117" s="1126">
        <f>'ANSP Capex'!BI113*IF($I117="",(1+INDEX($I$41:$I$42,MATCH($F117,$F$41:$F$42,0))),(1+$I117))</f>
        <v>0</v>
      </c>
      <c r="BL117" s="1126">
        <f>'ANSP Capex'!BJ113*IF($I117="",(1+INDEX($I$41:$I$42,MATCH($F117,$F$41:$F$42,0))),(1+$I117))</f>
        <v>0</v>
      </c>
    </row>
    <row r="118" spans="1:64" outlineLevel="2">
      <c r="A118" s="1094"/>
      <c r="B118" s="1094"/>
      <c r="C118" s="1083" t="str">
        <f>'ANSP Capex'!C114</f>
        <v>T017 - HP250G7 CORE W20008091</v>
      </c>
      <c r="D118" s="1083" t="str">
        <f>'ANSP Capex'!D114</f>
        <v>IT Equipment</v>
      </c>
      <c r="E118" s="1083" t="str">
        <f>'ANSP Capex'!E114</f>
        <v>T0170282</v>
      </c>
      <c r="F118" s="1083">
        <f>'ANSP Capex'!F114</f>
        <v>2020</v>
      </c>
      <c r="G118" s="1101">
        <f t="shared" si="8"/>
        <v>0.69499999999999995</v>
      </c>
      <c r="H118" s="1083" t="str">
        <f>'ANSP Capex'!H114</f>
        <v>€'000</v>
      </c>
      <c r="I118" s="829"/>
      <c r="J118" s="1097">
        <f>'ANSP Capex'!I114</f>
        <v>3</v>
      </c>
      <c r="K118" s="1124">
        <v>0</v>
      </c>
      <c r="L118" s="1098">
        <f t="shared" si="9"/>
        <v>36</v>
      </c>
      <c r="M118" s="153">
        <f t="shared" si="10"/>
        <v>0.33333333333333331</v>
      </c>
      <c r="N118" s="1099"/>
      <c r="O118" s="1100">
        <f>'ANSP Capex'!M114</f>
        <v>7.0010935251798552</v>
      </c>
      <c r="P118" s="1101">
        <f>IF($BH118=0,0,IF(SUM($O118:O118)&lt;($L118-12),12,$L118-SUM($O118:O118)))</f>
        <v>12</v>
      </c>
      <c r="Q118" s="1101">
        <f>IF($BH118=0,0,IF(SUM($O118:P118)&lt;($L118-12),12,$L118-SUM($O118:P118)))</f>
        <v>12</v>
      </c>
      <c r="R118" s="1101">
        <f>IF($BH118=0,0,IF(SUM($O118:Q118)&lt;($L118-12),12,$L118-SUM($O118:Q118)))</f>
        <v>4.9989064748201457</v>
      </c>
      <c r="S118" s="1101">
        <f>IF($BH118=0,0,IF(SUM($O118:R118)&lt;($L118-12),12,$L118-SUM($O118:R118)))</f>
        <v>0</v>
      </c>
      <c r="U118" s="1100"/>
      <c r="V118" s="1100">
        <f>'ANSP Capex'!T114</f>
        <v>0</v>
      </c>
      <c r="W118" s="1101">
        <f>IF($BI118=0,0,IF(SUM($U118:V118)&lt;($L118-12),12,$L118-SUM($U118:V118)))</f>
        <v>0</v>
      </c>
      <c r="X118" s="1101">
        <f>IF($BI118=0,0,IF(SUM($U118:W118)&lt;($L118-12),12,$L118-SUM($U118:W118)))</f>
        <v>0</v>
      </c>
      <c r="Y118" s="1101">
        <f>IF($BI118=0,0,IF(SUM($U118:X118)&lt;($L118-12),12,$L118-SUM($U118:X118)))</f>
        <v>0</v>
      </c>
      <c r="AA118" s="1100"/>
      <c r="AB118" s="1100"/>
      <c r="AC118" s="1100">
        <f>'ANSP Capex'!AA114</f>
        <v>0</v>
      </c>
      <c r="AD118" s="1101">
        <f>IF($BJ118=0,0,IF(SUM($AA118:AC118)&lt;($L118-12),12,$L118-SUM($AA118:AC118)))</f>
        <v>0</v>
      </c>
      <c r="AE118" s="1101">
        <f>IF($BJ118=0,0,IF(SUM($AA118:AD118)&lt;($L118-12),12,$L118-SUM($AA118:AD118)))</f>
        <v>0</v>
      </c>
      <c r="AG118" s="1100"/>
      <c r="AH118" s="1100"/>
      <c r="AI118" s="1100"/>
      <c r="AJ118" s="1100">
        <f>'ANSP Capex'!AH114</f>
        <v>0</v>
      </c>
      <c r="AK118" s="1101">
        <f>IF($BK118=0,0,IF(SUM($AG118:AJ118)&lt;($L118-12),12,$L118-SUM($AG118:AJ118)))</f>
        <v>0</v>
      </c>
      <c r="AM118" s="1100"/>
      <c r="AN118" s="1100"/>
      <c r="AO118" s="1100"/>
      <c r="AP118" s="1100"/>
      <c r="AQ118" s="1100">
        <f>'ANSP Capex'!AO114</f>
        <v>0</v>
      </c>
      <c r="AS118" s="153">
        <f t="shared" si="11"/>
        <v>0.58342446043165463</v>
      </c>
      <c r="AT118" s="153">
        <f t="shared" si="12"/>
        <v>0</v>
      </c>
      <c r="AU118" s="153">
        <f t="shared" si="13"/>
        <v>0</v>
      </c>
      <c r="AV118" s="153">
        <f t="shared" si="14"/>
        <v>0</v>
      </c>
      <c r="AW118" s="153">
        <f t="shared" si="15"/>
        <v>0</v>
      </c>
      <c r="AX118" s="153"/>
      <c r="AY118" s="1543">
        <f>'ANSP Capex'!AW114</f>
        <v>0.73</v>
      </c>
      <c r="AZ118" s="1102"/>
      <c r="BA118" s="1543">
        <f>'ANSP Capex'!AY114</f>
        <v>0.15</v>
      </c>
      <c r="BC118" s="1126"/>
      <c r="BD118" s="1126"/>
      <c r="BE118" s="1126"/>
      <c r="BF118" s="1126"/>
      <c r="BG118" s="1126"/>
      <c r="BH118" s="1126">
        <f>'ANSP Capex'!BF114*IF($I118="",(1+INDEX($I$41:$I$42,MATCH($F118,$F$41:$F$42,0))),(1+$I118))</f>
        <v>0.69499999999999995</v>
      </c>
      <c r="BI118" s="1126">
        <f>'ANSP Capex'!BG114*IF($I118="",(1+INDEX($I$41:$I$42,MATCH($F118,$F$41:$F$42,0))),(1+$I118))</f>
        <v>0</v>
      </c>
      <c r="BJ118" s="1126">
        <f>'ANSP Capex'!BH114*IF($I118="",(1+INDEX($I$41:$I$42,MATCH($F118,$F$41:$F$42,0))),(1+$I118))</f>
        <v>0</v>
      </c>
      <c r="BK118" s="1126">
        <f>'ANSP Capex'!BI114*IF($I118="",(1+INDEX($I$41:$I$42,MATCH($F118,$F$41:$F$42,0))),(1+$I118))</f>
        <v>0</v>
      </c>
      <c r="BL118" s="1126">
        <f>'ANSP Capex'!BJ114*IF($I118="",(1+INDEX($I$41:$I$42,MATCH($F118,$F$41:$F$42,0))),(1+$I118))</f>
        <v>0</v>
      </c>
    </row>
    <row r="119" spans="1:64" outlineLevel="2">
      <c r="A119" s="1094"/>
      <c r="B119" s="1094"/>
      <c r="C119" s="1083" t="str">
        <f>'ANSP Capex'!C115</f>
        <v>T017 - HP250G7 CORE W20008096</v>
      </c>
      <c r="D119" s="1083" t="str">
        <f>'ANSP Capex'!D115</f>
        <v>IT Equipment</v>
      </c>
      <c r="E119" s="1083" t="str">
        <f>'ANSP Capex'!E115</f>
        <v>T0170283</v>
      </c>
      <c r="F119" s="1083">
        <f>'ANSP Capex'!F115</f>
        <v>2020</v>
      </c>
      <c r="G119" s="1101">
        <f t="shared" si="8"/>
        <v>0.69499999999999995</v>
      </c>
      <c r="H119" s="1083" t="str">
        <f>'ANSP Capex'!H115</f>
        <v>€'000</v>
      </c>
      <c r="I119" s="829"/>
      <c r="J119" s="1097">
        <f>'ANSP Capex'!I115</f>
        <v>3</v>
      </c>
      <c r="K119" s="1124">
        <v>0</v>
      </c>
      <c r="L119" s="1098">
        <f t="shared" si="9"/>
        <v>36</v>
      </c>
      <c r="M119" s="153">
        <f t="shared" si="10"/>
        <v>0.33333333333333331</v>
      </c>
      <c r="N119" s="1099"/>
      <c r="O119" s="1100">
        <f>'ANSP Capex'!M115</f>
        <v>7.0010935251798552</v>
      </c>
      <c r="P119" s="1101">
        <f>IF($BH119=0,0,IF(SUM($O119:O119)&lt;($L119-12),12,$L119-SUM($O119:O119)))</f>
        <v>12</v>
      </c>
      <c r="Q119" s="1101">
        <f>IF($BH119=0,0,IF(SUM($O119:P119)&lt;($L119-12),12,$L119-SUM($O119:P119)))</f>
        <v>12</v>
      </c>
      <c r="R119" s="1101">
        <f>IF($BH119=0,0,IF(SUM($O119:Q119)&lt;($L119-12),12,$L119-SUM($O119:Q119)))</f>
        <v>4.9989064748201457</v>
      </c>
      <c r="S119" s="1101">
        <f>IF($BH119=0,0,IF(SUM($O119:R119)&lt;($L119-12),12,$L119-SUM($O119:R119)))</f>
        <v>0</v>
      </c>
      <c r="U119" s="1100"/>
      <c r="V119" s="1100">
        <f>'ANSP Capex'!T115</f>
        <v>0</v>
      </c>
      <c r="W119" s="1101">
        <f>IF($BI119=0,0,IF(SUM($U119:V119)&lt;($L119-12),12,$L119-SUM($U119:V119)))</f>
        <v>0</v>
      </c>
      <c r="X119" s="1101">
        <f>IF($BI119=0,0,IF(SUM($U119:W119)&lt;($L119-12),12,$L119-SUM($U119:W119)))</f>
        <v>0</v>
      </c>
      <c r="Y119" s="1101">
        <f>IF($BI119=0,0,IF(SUM($U119:X119)&lt;($L119-12),12,$L119-SUM($U119:X119)))</f>
        <v>0</v>
      </c>
      <c r="AA119" s="1100"/>
      <c r="AB119" s="1100"/>
      <c r="AC119" s="1100">
        <f>'ANSP Capex'!AA115</f>
        <v>0</v>
      </c>
      <c r="AD119" s="1101">
        <f>IF($BJ119=0,0,IF(SUM($AA119:AC119)&lt;($L119-12),12,$L119-SUM($AA119:AC119)))</f>
        <v>0</v>
      </c>
      <c r="AE119" s="1101">
        <f>IF($BJ119=0,0,IF(SUM($AA119:AD119)&lt;($L119-12),12,$L119-SUM($AA119:AD119)))</f>
        <v>0</v>
      </c>
      <c r="AG119" s="1100"/>
      <c r="AH119" s="1100"/>
      <c r="AI119" s="1100"/>
      <c r="AJ119" s="1100">
        <f>'ANSP Capex'!AH115</f>
        <v>0</v>
      </c>
      <c r="AK119" s="1101">
        <f>IF($BK119=0,0,IF(SUM($AG119:AJ119)&lt;($L119-12),12,$L119-SUM($AG119:AJ119)))</f>
        <v>0</v>
      </c>
      <c r="AM119" s="1100"/>
      <c r="AN119" s="1100"/>
      <c r="AO119" s="1100"/>
      <c r="AP119" s="1100"/>
      <c r="AQ119" s="1100">
        <f>'ANSP Capex'!AO115</f>
        <v>0</v>
      </c>
      <c r="AS119" s="153">
        <f t="shared" si="11"/>
        <v>0.58342446043165463</v>
      </c>
      <c r="AT119" s="153">
        <f t="shared" si="12"/>
        <v>0</v>
      </c>
      <c r="AU119" s="153">
        <f t="shared" si="13"/>
        <v>0</v>
      </c>
      <c r="AV119" s="153">
        <f t="shared" si="14"/>
        <v>0</v>
      </c>
      <c r="AW119" s="153">
        <f t="shared" si="15"/>
        <v>0</v>
      </c>
      <c r="AX119" s="153"/>
      <c r="AY119" s="1543">
        <f>'ANSP Capex'!AW115</f>
        <v>0.73</v>
      </c>
      <c r="AZ119" s="1102"/>
      <c r="BA119" s="1543">
        <f>'ANSP Capex'!AY115</f>
        <v>0.15</v>
      </c>
      <c r="BC119" s="1126"/>
      <c r="BD119" s="1126"/>
      <c r="BE119" s="1126"/>
      <c r="BF119" s="1126"/>
      <c r="BG119" s="1126"/>
      <c r="BH119" s="1126">
        <f>'ANSP Capex'!BF115*IF($I119="",(1+INDEX($I$41:$I$42,MATCH($F119,$F$41:$F$42,0))),(1+$I119))</f>
        <v>0.69499999999999995</v>
      </c>
      <c r="BI119" s="1126">
        <f>'ANSP Capex'!BG115*IF($I119="",(1+INDEX($I$41:$I$42,MATCH($F119,$F$41:$F$42,0))),(1+$I119))</f>
        <v>0</v>
      </c>
      <c r="BJ119" s="1126">
        <f>'ANSP Capex'!BH115*IF($I119="",(1+INDEX($I$41:$I$42,MATCH($F119,$F$41:$F$42,0))),(1+$I119))</f>
        <v>0</v>
      </c>
      <c r="BK119" s="1126">
        <f>'ANSP Capex'!BI115*IF($I119="",(1+INDEX($I$41:$I$42,MATCH($F119,$F$41:$F$42,0))),(1+$I119))</f>
        <v>0</v>
      </c>
      <c r="BL119" s="1126">
        <f>'ANSP Capex'!BJ115*IF($I119="",(1+INDEX($I$41:$I$42,MATCH($F119,$F$41:$F$42,0))),(1+$I119))</f>
        <v>0</v>
      </c>
    </row>
    <row r="120" spans="1:64" outlineLevel="2">
      <c r="A120" s="1094"/>
      <c r="B120" s="1094"/>
      <c r="C120" s="1083" t="str">
        <f>'ANSP Capex'!C116</f>
        <v>T017 - HP250G7 COREW20008098</v>
      </c>
      <c r="D120" s="1083" t="str">
        <f>'ANSP Capex'!D116</f>
        <v>IT Equipment</v>
      </c>
      <c r="E120" s="1083" t="str">
        <f>'ANSP Capex'!E116</f>
        <v>T0170284</v>
      </c>
      <c r="F120" s="1083">
        <f>'ANSP Capex'!F116</f>
        <v>2020</v>
      </c>
      <c r="G120" s="1101">
        <f t="shared" si="8"/>
        <v>0.69499999999999995</v>
      </c>
      <c r="H120" s="1083" t="str">
        <f>'ANSP Capex'!H116</f>
        <v>€'000</v>
      </c>
      <c r="I120" s="829"/>
      <c r="J120" s="1097">
        <f>'ANSP Capex'!I116</f>
        <v>3</v>
      </c>
      <c r="K120" s="1124">
        <v>0</v>
      </c>
      <c r="L120" s="1098">
        <f t="shared" si="9"/>
        <v>36</v>
      </c>
      <c r="M120" s="153">
        <f t="shared" si="10"/>
        <v>0.33333333333333331</v>
      </c>
      <c r="N120" s="1099"/>
      <c r="O120" s="1100">
        <f>'ANSP Capex'!M116</f>
        <v>7.0010935251798552</v>
      </c>
      <c r="P120" s="1101">
        <f>IF($BH120=0,0,IF(SUM($O120:O120)&lt;($L120-12),12,$L120-SUM($O120:O120)))</f>
        <v>12</v>
      </c>
      <c r="Q120" s="1101">
        <f>IF($BH120=0,0,IF(SUM($O120:P120)&lt;($L120-12),12,$L120-SUM($O120:P120)))</f>
        <v>12</v>
      </c>
      <c r="R120" s="1101">
        <f>IF($BH120=0,0,IF(SUM($O120:Q120)&lt;($L120-12),12,$L120-SUM($O120:Q120)))</f>
        <v>4.9989064748201457</v>
      </c>
      <c r="S120" s="1101">
        <f>IF($BH120=0,0,IF(SUM($O120:R120)&lt;($L120-12),12,$L120-SUM($O120:R120)))</f>
        <v>0</v>
      </c>
      <c r="U120" s="1100"/>
      <c r="V120" s="1100">
        <f>'ANSP Capex'!T116</f>
        <v>0</v>
      </c>
      <c r="W120" s="1101">
        <f>IF($BI120=0,0,IF(SUM($U120:V120)&lt;($L120-12),12,$L120-SUM($U120:V120)))</f>
        <v>0</v>
      </c>
      <c r="X120" s="1101">
        <f>IF($BI120=0,0,IF(SUM($U120:W120)&lt;($L120-12),12,$L120-SUM($U120:W120)))</f>
        <v>0</v>
      </c>
      <c r="Y120" s="1101">
        <f>IF($BI120=0,0,IF(SUM($U120:X120)&lt;($L120-12),12,$L120-SUM($U120:X120)))</f>
        <v>0</v>
      </c>
      <c r="AA120" s="1100"/>
      <c r="AB120" s="1100"/>
      <c r="AC120" s="1100">
        <f>'ANSP Capex'!AA116</f>
        <v>0</v>
      </c>
      <c r="AD120" s="1101">
        <f>IF($BJ120=0,0,IF(SUM($AA120:AC120)&lt;($L120-12),12,$L120-SUM($AA120:AC120)))</f>
        <v>0</v>
      </c>
      <c r="AE120" s="1101">
        <f>IF($BJ120=0,0,IF(SUM($AA120:AD120)&lt;($L120-12),12,$L120-SUM($AA120:AD120)))</f>
        <v>0</v>
      </c>
      <c r="AG120" s="1100"/>
      <c r="AH120" s="1100"/>
      <c r="AI120" s="1100"/>
      <c r="AJ120" s="1100">
        <f>'ANSP Capex'!AH116</f>
        <v>0</v>
      </c>
      <c r="AK120" s="1101">
        <f>IF($BK120=0,0,IF(SUM($AG120:AJ120)&lt;($L120-12),12,$L120-SUM($AG120:AJ120)))</f>
        <v>0</v>
      </c>
      <c r="AM120" s="1100"/>
      <c r="AN120" s="1100"/>
      <c r="AO120" s="1100"/>
      <c r="AP120" s="1100"/>
      <c r="AQ120" s="1100">
        <f>'ANSP Capex'!AO116</f>
        <v>0</v>
      </c>
      <c r="AS120" s="153">
        <f t="shared" si="11"/>
        <v>0.58342446043165463</v>
      </c>
      <c r="AT120" s="153">
        <f t="shared" si="12"/>
        <v>0</v>
      </c>
      <c r="AU120" s="153">
        <f t="shared" si="13"/>
        <v>0</v>
      </c>
      <c r="AV120" s="153">
        <f t="shared" si="14"/>
        <v>0</v>
      </c>
      <c r="AW120" s="153">
        <f t="shared" si="15"/>
        <v>0</v>
      </c>
      <c r="AX120" s="153"/>
      <c r="AY120" s="1543">
        <f>'ANSP Capex'!AW116</f>
        <v>0.73</v>
      </c>
      <c r="AZ120" s="1102"/>
      <c r="BA120" s="1543">
        <f>'ANSP Capex'!AY116</f>
        <v>0.15</v>
      </c>
      <c r="BC120" s="1126"/>
      <c r="BD120" s="1126"/>
      <c r="BE120" s="1126"/>
      <c r="BF120" s="1126"/>
      <c r="BG120" s="1126"/>
      <c r="BH120" s="1126">
        <f>'ANSP Capex'!BF116*IF($I120="",(1+INDEX($I$41:$I$42,MATCH($F120,$F$41:$F$42,0))),(1+$I120))</f>
        <v>0.69499999999999995</v>
      </c>
      <c r="BI120" s="1126">
        <f>'ANSP Capex'!BG116*IF($I120="",(1+INDEX($I$41:$I$42,MATCH($F120,$F$41:$F$42,0))),(1+$I120))</f>
        <v>0</v>
      </c>
      <c r="BJ120" s="1126">
        <f>'ANSP Capex'!BH116*IF($I120="",(1+INDEX($I$41:$I$42,MATCH($F120,$F$41:$F$42,0))),(1+$I120))</f>
        <v>0</v>
      </c>
      <c r="BK120" s="1126">
        <f>'ANSP Capex'!BI116*IF($I120="",(1+INDEX($I$41:$I$42,MATCH($F120,$F$41:$F$42,0))),(1+$I120))</f>
        <v>0</v>
      </c>
      <c r="BL120" s="1126">
        <f>'ANSP Capex'!BJ116*IF($I120="",(1+INDEX($I$41:$I$42,MATCH($F120,$F$41:$F$42,0))),(1+$I120))</f>
        <v>0</v>
      </c>
    </row>
    <row r="121" spans="1:64" outlineLevel="2">
      <c r="A121" s="1094"/>
      <c r="B121" s="1094"/>
      <c r="C121" s="1083" t="str">
        <f>'ANSP Capex'!C117</f>
        <v>T017 - OPTIPLEX5060 W20007909</v>
      </c>
      <c r="D121" s="1083" t="str">
        <f>'ANSP Capex'!D117</f>
        <v>IT Equipment</v>
      </c>
      <c r="E121" s="1083" t="str">
        <f>'ANSP Capex'!E117</f>
        <v>T0170290</v>
      </c>
      <c r="F121" s="1083">
        <f>'ANSP Capex'!F117</f>
        <v>2020</v>
      </c>
      <c r="G121" s="1101">
        <f t="shared" si="8"/>
        <v>0.6</v>
      </c>
      <c r="H121" s="1083" t="str">
        <f>'ANSP Capex'!H117</f>
        <v>€'000</v>
      </c>
      <c r="I121" s="829"/>
      <c r="J121" s="1097">
        <f>'ANSP Capex'!I117</f>
        <v>3</v>
      </c>
      <c r="K121" s="1124">
        <v>0</v>
      </c>
      <c r="L121" s="1098">
        <f t="shared" si="9"/>
        <v>36</v>
      </c>
      <c r="M121" s="153">
        <f t="shared" si="10"/>
        <v>0.33333333333333331</v>
      </c>
      <c r="N121" s="1099"/>
      <c r="O121" s="1100">
        <f>'ANSP Capex'!M117</f>
        <v>12.002399999999998</v>
      </c>
      <c r="P121" s="1101">
        <f>IF($BH121=0,0,IF(SUM($O121:O121)&lt;($L121-12),12,$L121-SUM($O121:O121)))</f>
        <v>12</v>
      </c>
      <c r="Q121" s="1101">
        <f>IF($BH121=0,0,IF(SUM($O121:P121)&lt;($L121-12),12,$L121-SUM($O121:P121)))</f>
        <v>11.997600000000002</v>
      </c>
      <c r="R121" s="1101">
        <f>IF($BH121=0,0,IF(SUM($O121:Q121)&lt;($L121-12),12,$L121-SUM($O121:Q121)))</f>
        <v>0</v>
      </c>
      <c r="S121" s="1101">
        <f>IF($BH121=0,0,IF(SUM($O121:R121)&lt;($L121-12),12,$L121-SUM($O121:R121)))</f>
        <v>0</v>
      </c>
      <c r="U121" s="1100"/>
      <c r="V121" s="1100">
        <f>'ANSP Capex'!T117</f>
        <v>0</v>
      </c>
      <c r="W121" s="1101">
        <f>IF($BI121=0,0,IF(SUM($U121:V121)&lt;($L121-12),12,$L121-SUM($U121:V121)))</f>
        <v>0</v>
      </c>
      <c r="X121" s="1101">
        <f>IF($BI121=0,0,IF(SUM($U121:W121)&lt;($L121-12),12,$L121-SUM($U121:W121)))</f>
        <v>0</v>
      </c>
      <c r="Y121" s="1101">
        <f>IF($BI121=0,0,IF(SUM($U121:X121)&lt;($L121-12),12,$L121-SUM($U121:X121)))</f>
        <v>0</v>
      </c>
      <c r="AA121" s="1100"/>
      <c r="AB121" s="1100"/>
      <c r="AC121" s="1100">
        <f>'ANSP Capex'!AA117</f>
        <v>0</v>
      </c>
      <c r="AD121" s="1101">
        <f>IF($BJ121=0,0,IF(SUM($AA121:AC121)&lt;($L121-12),12,$L121-SUM($AA121:AC121)))</f>
        <v>0</v>
      </c>
      <c r="AE121" s="1101">
        <f>IF($BJ121=0,0,IF(SUM($AA121:AD121)&lt;($L121-12),12,$L121-SUM($AA121:AD121)))</f>
        <v>0</v>
      </c>
      <c r="AG121" s="1100"/>
      <c r="AH121" s="1100"/>
      <c r="AI121" s="1100"/>
      <c r="AJ121" s="1100">
        <f>'ANSP Capex'!AH117</f>
        <v>0</v>
      </c>
      <c r="AK121" s="1101">
        <f>IF($BK121=0,0,IF(SUM($AG121:AJ121)&lt;($L121-12),12,$L121-SUM($AG121:AJ121)))</f>
        <v>0</v>
      </c>
      <c r="AM121" s="1100"/>
      <c r="AN121" s="1100"/>
      <c r="AO121" s="1100"/>
      <c r="AP121" s="1100"/>
      <c r="AQ121" s="1100">
        <f>'ANSP Capex'!AO117</f>
        <v>0</v>
      </c>
      <c r="AS121" s="153">
        <f t="shared" si="11"/>
        <v>1.0001999999999998</v>
      </c>
      <c r="AT121" s="153">
        <f t="shared" si="12"/>
        <v>0</v>
      </c>
      <c r="AU121" s="153">
        <f t="shared" si="13"/>
        <v>0</v>
      </c>
      <c r="AV121" s="153">
        <f t="shared" si="14"/>
        <v>0</v>
      </c>
      <c r="AW121" s="153">
        <f t="shared" si="15"/>
        <v>0</v>
      </c>
      <c r="AX121" s="153"/>
      <c r="AY121" s="1543">
        <f>'ANSP Capex'!AW117</f>
        <v>0.73</v>
      </c>
      <c r="AZ121" s="1102"/>
      <c r="BA121" s="1543">
        <f>'ANSP Capex'!AY117</f>
        <v>0.15</v>
      </c>
      <c r="BC121" s="1126"/>
      <c r="BD121" s="1126"/>
      <c r="BE121" s="1126"/>
      <c r="BF121" s="1126"/>
      <c r="BG121" s="1126"/>
      <c r="BH121" s="1126">
        <f>'ANSP Capex'!BF117*IF($I121="",(1+INDEX($I$41:$I$42,MATCH($F121,$F$41:$F$42,0))),(1+$I121))</f>
        <v>0.6</v>
      </c>
      <c r="BI121" s="1126">
        <f>'ANSP Capex'!BG117*IF($I121="",(1+INDEX($I$41:$I$42,MATCH($F121,$F$41:$F$42,0))),(1+$I121))</f>
        <v>0</v>
      </c>
      <c r="BJ121" s="1126">
        <f>'ANSP Capex'!BH117*IF($I121="",(1+INDEX($I$41:$I$42,MATCH($F121,$F$41:$F$42,0))),(1+$I121))</f>
        <v>0</v>
      </c>
      <c r="BK121" s="1126">
        <f>'ANSP Capex'!BI117*IF($I121="",(1+INDEX($I$41:$I$42,MATCH($F121,$F$41:$F$42,0))),(1+$I121))</f>
        <v>0</v>
      </c>
      <c r="BL121" s="1126">
        <f>'ANSP Capex'!BJ117*IF($I121="",(1+INDEX($I$41:$I$42,MATCH($F121,$F$41:$F$42,0))),(1+$I121))</f>
        <v>0</v>
      </c>
    </row>
    <row r="122" spans="1:64" outlineLevel="2">
      <c r="A122" s="1094"/>
      <c r="B122" s="1094"/>
      <c r="C122" s="1083" t="str">
        <f>'ANSP Capex'!C118</f>
        <v>T018 - MACBOOK PRO</v>
      </c>
      <c r="D122" s="1083" t="str">
        <f>'ANSP Capex'!D118</f>
        <v>IT Equipment</v>
      </c>
      <c r="E122" s="1083" t="str">
        <f>'ANSP Capex'!E118</f>
        <v>T0180061</v>
      </c>
      <c r="F122" s="1083">
        <f>'ANSP Capex'!F118</f>
        <v>2020</v>
      </c>
      <c r="G122" s="1101">
        <f t="shared" si="8"/>
        <v>1.3748399999999998</v>
      </c>
      <c r="H122" s="1083" t="str">
        <f>'ANSP Capex'!H118</f>
        <v>€'000</v>
      </c>
      <c r="I122" s="829"/>
      <c r="J122" s="1097">
        <f>'ANSP Capex'!I118</f>
        <v>3</v>
      </c>
      <c r="K122" s="1124">
        <v>0</v>
      </c>
      <c r="L122" s="1098">
        <f t="shared" si="9"/>
        <v>36</v>
      </c>
      <c r="M122" s="153">
        <f t="shared" si="10"/>
        <v>0.33333333333333331</v>
      </c>
      <c r="N122" s="1099"/>
      <c r="O122" s="1100">
        <f>'ANSP Capex'!M118</f>
        <v>9</v>
      </c>
      <c r="P122" s="1101">
        <f>IF($BH122=0,0,IF(SUM($O122:O122)&lt;($L122-12),12,$L122-SUM($O122:O122)))</f>
        <v>12</v>
      </c>
      <c r="Q122" s="1101">
        <f>IF($BH122=0,0,IF(SUM($O122:P122)&lt;($L122-12),12,$L122-SUM($O122:P122)))</f>
        <v>12</v>
      </c>
      <c r="R122" s="1101">
        <f>IF($BH122=0,0,IF(SUM($O122:Q122)&lt;($L122-12),12,$L122-SUM($O122:Q122)))</f>
        <v>3</v>
      </c>
      <c r="S122" s="1101">
        <f>IF($BH122=0,0,IF(SUM($O122:R122)&lt;($L122-12),12,$L122-SUM($O122:R122)))</f>
        <v>0</v>
      </c>
      <c r="U122" s="1100"/>
      <c r="V122" s="1100">
        <f>'ANSP Capex'!T118</f>
        <v>0</v>
      </c>
      <c r="W122" s="1101">
        <f>IF($BI122=0,0,IF(SUM($U122:V122)&lt;($L122-12),12,$L122-SUM($U122:V122)))</f>
        <v>0</v>
      </c>
      <c r="X122" s="1101">
        <f>IF($BI122=0,0,IF(SUM($U122:W122)&lt;($L122-12),12,$L122-SUM($U122:W122)))</f>
        <v>0</v>
      </c>
      <c r="Y122" s="1101">
        <f>IF($BI122=0,0,IF(SUM($U122:X122)&lt;($L122-12),12,$L122-SUM($U122:X122)))</f>
        <v>0</v>
      </c>
      <c r="AA122" s="1100"/>
      <c r="AB122" s="1100"/>
      <c r="AC122" s="1100">
        <f>'ANSP Capex'!AA118</f>
        <v>0</v>
      </c>
      <c r="AD122" s="1101">
        <f>IF($BJ122=0,0,IF(SUM($AA122:AC122)&lt;($L122-12),12,$L122-SUM($AA122:AC122)))</f>
        <v>0</v>
      </c>
      <c r="AE122" s="1101">
        <f>IF($BJ122=0,0,IF(SUM($AA122:AD122)&lt;($L122-12),12,$L122-SUM($AA122:AD122)))</f>
        <v>0</v>
      </c>
      <c r="AG122" s="1100"/>
      <c r="AH122" s="1100"/>
      <c r="AI122" s="1100"/>
      <c r="AJ122" s="1100">
        <f>'ANSP Capex'!AH118</f>
        <v>0</v>
      </c>
      <c r="AK122" s="1101">
        <f>IF($BK122=0,0,IF(SUM($AG122:AJ122)&lt;($L122-12),12,$L122-SUM($AG122:AJ122)))</f>
        <v>0</v>
      </c>
      <c r="AM122" s="1100"/>
      <c r="AN122" s="1100"/>
      <c r="AO122" s="1100"/>
      <c r="AP122" s="1100"/>
      <c r="AQ122" s="1100">
        <f>'ANSP Capex'!AO118</f>
        <v>0</v>
      </c>
      <c r="AS122" s="153">
        <f t="shared" si="11"/>
        <v>0.75</v>
      </c>
      <c r="AT122" s="153">
        <f t="shared" si="12"/>
        <v>0</v>
      </c>
      <c r="AU122" s="153">
        <f t="shared" si="13"/>
        <v>0</v>
      </c>
      <c r="AV122" s="153">
        <f t="shared" si="14"/>
        <v>0</v>
      </c>
      <c r="AW122" s="153">
        <f t="shared" si="15"/>
        <v>0</v>
      </c>
      <c r="AX122" s="153"/>
      <c r="AY122" s="1543">
        <f>'ANSP Capex'!AW118</f>
        <v>0.73</v>
      </c>
      <c r="AZ122" s="1102"/>
      <c r="BA122" s="1543">
        <f>'ANSP Capex'!AY118</f>
        <v>0.15</v>
      </c>
      <c r="BC122" s="1126"/>
      <c r="BD122" s="1126"/>
      <c r="BE122" s="1126"/>
      <c r="BF122" s="1126"/>
      <c r="BG122" s="1126"/>
      <c r="BH122" s="1126">
        <f>'ANSP Capex'!BF118*IF($I122="",(1+INDEX($I$41:$I$42,MATCH($F122,$F$41:$F$42,0))),(1+$I122))</f>
        <v>1.3748399999999998</v>
      </c>
      <c r="BI122" s="1126">
        <f>'ANSP Capex'!BG118*IF($I122="",(1+INDEX($I$41:$I$42,MATCH($F122,$F$41:$F$42,0))),(1+$I122))</f>
        <v>0</v>
      </c>
      <c r="BJ122" s="1126">
        <f>'ANSP Capex'!BH118*IF($I122="",(1+INDEX($I$41:$I$42,MATCH($F122,$F$41:$F$42,0))),(1+$I122))</f>
        <v>0</v>
      </c>
      <c r="BK122" s="1126">
        <f>'ANSP Capex'!BI118*IF($I122="",(1+INDEX($I$41:$I$42,MATCH($F122,$F$41:$F$42,0))),(1+$I122))</f>
        <v>0</v>
      </c>
      <c r="BL122" s="1126">
        <f>'ANSP Capex'!BJ118*IF($I122="",(1+INDEX($I$41:$I$42,MATCH($F122,$F$41:$F$42,0))),(1+$I122))</f>
        <v>0</v>
      </c>
    </row>
    <row r="123" spans="1:64" outlineLevel="2">
      <c r="A123" s="1094"/>
      <c r="B123" s="1094"/>
      <c r="C123" s="1083" t="str">
        <f>'ANSP Capex'!C119</f>
        <v>T018 - LOGITECH GROUP VIDEO HQ</v>
      </c>
      <c r="D123" s="1083" t="str">
        <f>'ANSP Capex'!D119</f>
        <v>IT Equipment</v>
      </c>
      <c r="E123" s="1083" t="str">
        <f>'ANSP Capex'!E119</f>
        <v>T0180064</v>
      </c>
      <c r="F123" s="1083">
        <f>'ANSP Capex'!F119</f>
        <v>2020</v>
      </c>
      <c r="G123" s="1101">
        <f t="shared" si="8"/>
        <v>2.6970000000000001</v>
      </c>
      <c r="H123" s="1083" t="str">
        <f>'ANSP Capex'!H119</f>
        <v>€'000</v>
      </c>
      <c r="I123" s="829"/>
      <c r="J123" s="1097">
        <f>'ANSP Capex'!I119</f>
        <v>3</v>
      </c>
      <c r="K123" s="1124">
        <v>0</v>
      </c>
      <c r="L123" s="1098">
        <f t="shared" si="9"/>
        <v>36</v>
      </c>
      <c r="M123" s="153">
        <f t="shared" si="10"/>
        <v>0.33333333333333331</v>
      </c>
      <c r="N123" s="1099"/>
      <c r="O123" s="1100">
        <f>'ANSP Capex'!M119</f>
        <v>3.0001334816462735</v>
      </c>
      <c r="P123" s="1101">
        <f>IF($BH123=0,0,IF(SUM($O123:O123)&lt;($L123-12),12,$L123-SUM($O123:O123)))</f>
        <v>12</v>
      </c>
      <c r="Q123" s="1101">
        <f>IF($BH123=0,0,IF(SUM($O123:P123)&lt;($L123-12),12,$L123-SUM($O123:P123)))</f>
        <v>12</v>
      </c>
      <c r="R123" s="1101">
        <f>IF($BH123=0,0,IF(SUM($O123:Q123)&lt;($L123-12),12,$L123-SUM($O123:Q123)))</f>
        <v>8.999866518353727</v>
      </c>
      <c r="S123" s="1101">
        <f>IF($BH123=0,0,IF(SUM($O123:R123)&lt;($L123-12),12,$L123-SUM($O123:R123)))</f>
        <v>0</v>
      </c>
      <c r="U123" s="1100"/>
      <c r="V123" s="1100">
        <f>'ANSP Capex'!T119</f>
        <v>0</v>
      </c>
      <c r="W123" s="1101">
        <f>IF($BI123=0,0,IF(SUM($U123:V123)&lt;($L123-12),12,$L123-SUM($U123:V123)))</f>
        <v>0</v>
      </c>
      <c r="X123" s="1101">
        <f>IF($BI123=0,0,IF(SUM($U123:W123)&lt;($L123-12),12,$L123-SUM($U123:W123)))</f>
        <v>0</v>
      </c>
      <c r="Y123" s="1101">
        <f>IF($BI123=0,0,IF(SUM($U123:X123)&lt;($L123-12),12,$L123-SUM($U123:X123)))</f>
        <v>0</v>
      </c>
      <c r="AA123" s="1100"/>
      <c r="AB123" s="1100"/>
      <c r="AC123" s="1100">
        <f>'ANSP Capex'!AA119</f>
        <v>0</v>
      </c>
      <c r="AD123" s="1101">
        <f>IF($BJ123=0,0,IF(SUM($AA123:AC123)&lt;($L123-12),12,$L123-SUM($AA123:AC123)))</f>
        <v>0</v>
      </c>
      <c r="AE123" s="1101">
        <f>IF($BJ123=0,0,IF(SUM($AA123:AD123)&lt;($L123-12),12,$L123-SUM($AA123:AD123)))</f>
        <v>0</v>
      </c>
      <c r="AG123" s="1100"/>
      <c r="AH123" s="1100"/>
      <c r="AI123" s="1100"/>
      <c r="AJ123" s="1100">
        <f>'ANSP Capex'!AH119</f>
        <v>0</v>
      </c>
      <c r="AK123" s="1101">
        <f>IF($BK123=0,0,IF(SUM($AG123:AJ123)&lt;($L123-12),12,$L123-SUM($AG123:AJ123)))</f>
        <v>0</v>
      </c>
      <c r="AM123" s="1100"/>
      <c r="AN123" s="1100"/>
      <c r="AO123" s="1100"/>
      <c r="AP123" s="1100"/>
      <c r="AQ123" s="1100">
        <f>'ANSP Capex'!AO119</f>
        <v>0</v>
      </c>
      <c r="AS123" s="153">
        <f t="shared" si="11"/>
        <v>0.25001112347052279</v>
      </c>
      <c r="AT123" s="153">
        <f t="shared" si="12"/>
        <v>0</v>
      </c>
      <c r="AU123" s="153">
        <f t="shared" si="13"/>
        <v>0</v>
      </c>
      <c r="AV123" s="153">
        <f t="shared" si="14"/>
        <v>0</v>
      </c>
      <c r="AW123" s="153">
        <f t="shared" si="15"/>
        <v>0</v>
      </c>
      <c r="AX123" s="153"/>
      <c r="AY123" s="1543">
        <f>'ANSP Capex'!AW119</f>
        <v>0.73</v>
      </c>
      <c r="AZ123" s="1102"/>
      <c r="BA123" s="1543">
        <f>'ANSP Capex'!AY119</f>
        <v>0.15</v>
      </c>
      <c r="BC123" s="1126"/>
      <c r="BD123" s="1126"/>
      <c r="BE123" s="1126"/>
      <c r="BF123" s="1126"/>
      <c r="BG123" s="1126"/>
      <c r="BH123" s="1126">
        <f>'ANSP Capex'!BF119*IF($I123="",(1+INDEX($I$41:$I$42,MATCH($F123,$F$41:$F$42,0))),(1+$I123))</f>
        <v>2.6970000000000001</v>
      </c>
      <c r="BI123" s="1126">
        <f>'ANSP Capex'!BG119*IF($I123="",(1+INDEX($I$41:$I$42,MATCH($F123,$F$41:$F$42,0))),(1+$I123))</f>
        <v>0</v>
      </c>
      <c r="BJ123" s="1126">
        <f>'ANSP Capex'!BH119*IF($I123="",(1+INDEX($I$41:$I$42,MATCH($F123,$F$41:$F$42,0))),(1+$I123))</f>
        <v>0</v>
      </c>
      <c r="BK123" s="1126">
        <f>'ANSP Capex'!BI119*IF($I123="",(1+INDEX($I$41:$I$42,MATCH($F123,$F$41:$F$42,0))),(1+$I123))</f>
        <v>0</v>
      </c>
      <c r="BL123" s="1126">
        <f>'ANSP Capex'!BJ119*IF($I123="",(1+INDEX($I$41:$I$42,MATCH($F123,$F$41:$F$42,0))),(1+$I123))</f>
        <v>0</v>
      </c>
    </row>
    <row r="124" spans="1:64" outlineLevel="2">
      <c r="A124" s="1094"/>
      <c r="B124" s="1094"/>
      <c r="C124" s="1083" t="str">
        <f>'ANSP Capex'!C120</f>
        <v>T017 - X20 LAPTOPS W20007838</v>
      </c>
      <c r="D124" s="1083" t="str">
        <f>'ANSP Capex'!D120</f>
        <v>IT Equipment</v>
      </c>
      <c r="E124" s="1083" t="str">
        <f>'ANSP Capex'!E120</f>
        <v>T0170204</v>
      </c>
      <c r="F124" s="1083">
        <f>'ANSP Capex'!F120</f>
        <v>2020</v>
      </c>
      <c r="G124" s="1101">
        <f t="shared" si="8"/>
        <v>1.50641</v>
      </c>
      <c r="H124" s="1083" t="str">
        <f>'ANSP Capex'!H120</f>
        <v>€'000</v>
      </c>
      <c r="I124" s="829"/>
      <c r="J124" s="1097">
        <f>'ANSP Capex'!I120</f>
        <v>3</v>
      </c>
      <c r="K124" s="1124">
        <v>0</v>
      </c>
      <c r="L124" s="1098">
        <f t="shared" si="9"/>
        <v>36</v>
      </c>
      <c r="M124" s="153">
        <f t="shared" si="10"/>
        <v>0.33333333333333331</v>
      </c>
      <c r="N124" s="1099"/>
      <c r="O124" s="1100">
        <f>'ANSP Capex'!M120</f>
        <v>6.9999269787109757</v>
      </c>
      <c r="P124" s="1101">
        <f>IF($BH124=0,0,IF(SUM($O124:O124)&lt;($L124-12),12,$L124-SUM($O124:O124)))</f>
        <v>12</v>
      </c>
      <c r="Q124" s="1101">
        <f>IF($BH124=0,0,IF(SUM($O124:P124)&lt;($L124-12),12,$L124-SUM($O124:P124)))</f>
        <v>12</v>
      </c>
      <c r="R124" s="1101">
        <f>IF($BH124=0,0,IF(SUM($O124:Q124)&lt;($L124-12),12,$L124-SUM($O124:Q124)))</f>
        <v>5.0000730212890261</v>
      </c>
      <c r="S124" s="1101">
        <f>IF($BH124=0,0,IF(SUM($O124:R124)&lt;($L124-12),12,$L124-SUM($O124:R124)))</f>
        <v>0</v>
      </c>
      <c r="U124" s="1100"/>
      <c r="V124" s="1100">
        <f>'ANSP Capex'!T120</f>
        <v>0</v>
      </c>
      <c r="W124" s="1101">
        <f>IF($BI124=0,0,IF(SUM($U124:V124)&lt;($L124-12),12,$L124-SUM($U124:V124)))</f>
        <v>0</v>
      </c>
      <c r="X124" s="1101">
        <f>IF($BI124=0,0,IF(SUM($U124:W124)&lt;($L124-12),12,$L124-SUM($U124:W124)))</f>
        <v>0</v>
      </c>
      <c r="Y124" s="1101">
        <f>IF($BI124=0,0,IF(SUM($U124:X124)&lt;($L124-12),12,$L124-SUM($U124:X124)))</f>
        <v>0</v>
      </c>
      <c r="AA124" s="1100"/>
      <c r="AB124" s="1100"/>
      <c r="AC124" s="1100">
        <f>'ANSP Capex'!AA120</f>
        <v>0</v>
      </c>
      <c r="AD124" s="1101">
        <f>IF($BJ124=0,0,IF(SUM($AA124:AC124)&lt;($L124-12),12,$L124-SUM($AA124:AC124)))</f>
        <v>0</v>
      </c>
      <c r="AE124" s="1101">
        <f>IF($BJ124=0,0,IF(SUM($AA124:AD124)&lt;($L124-12),12,$L124-SUM($AA124:AD124)))</f>
        <v>0</v>
      </c>
      <c r="AG124" s="1100"/>
      <c r="AH124" s="1100"/>
      <c r="AI124" s="1100"/>
      <c r="AJ124" s="1100">
        <f>'ANSP Capex'!AH120</f>
        <v>0</v>
      </c>
      <c r="AK124" s="1101">
        <f>IF($BK124=0,0,IF(SUM($AG124:AJ124)&lt;($L124-12),12,$L124-SUM($AG124:AJ124)))</f>
        <v>0</v>
      </c>
      <c r="AM124" s="1100"/>
      <c r="AN124" s="1100"/>
      <c r="AO124" s="1100"/>
      <c r="AP124" s="1100"/>
      <c r="AQ124" s="1100">
        <f>'ANSP Capex'!AO120</f>
        <v>0</v>
      </c>
      <c r="AS124" s="153">
        <f t="shared" si="11"/>
        <v>0.58332724822591464</v>
      </c>
      <c r="AT124" s="153">
        <f t="shared" si="12"/>
        <v>0</v>
      </c>
      <c r="AU124" s="153">
        <f t="shared" si="13"/>
        <v>0</v>
      </c>
      <c r="AV124" s="153">
        <f t="shared" si="14"/>
        <v>0</v>
      </c>
      <c r="AW124" s="153">
        <f t="shared" si="15"/>
        <v>0</v>
      </c>
      <c r="AX124" s="153"/>
      <c r="AY124" s="1543">
        <f>'ANSP Capex'!AW120</f>
        <v>0.75</v>
      </c>
      <c r="AZ124" s="1102"/>
      <c r="BA124" s="1543">
        <f>'ANSP Capex'!AY120</f>
        <v>0.25</v>
      </c>
      <c r="BC124" s="1126"/>
      <c r="BD124" s="1126"/>
      <c r="BE124" s="1126"/>
      <c r="BF124" s="1126"/>
      <c r="BG124" s="1126"/>
      <c r="BH124" s="1126">
        <f>'ANSP Capex'!BF120*IF($I124="",(1+INDEX($I$41:$I$42,MATCH($F124,$F$41:$F$42,0))),(1+$I124))</f>
        <v>1.50641</v>
      </c>
      <c r="BI124" s="1126">
        <f>'ANSP Capex'!BG120*IF($I124="",(1+INDEX($I$41:$I$42,MATCH($F124,$F$41:$F$42,0))),(1+$I124))</f>
        <v>0</v>
      </c>
      <c r="BJ124" s="1126">
        <f>'ANSP Capex'!BH120*IF($I124="",(1+INDEX($I$41:$I$42,MATCH($F124,$F$41:$F$42,0))),(1+$I124))</f>
        <v>0</v>
      </c>
      <c r="BK124" s="1126">
        <f>'ANSP Capex'!BI120*IF($I124="",(1+INDEX($I$41:$I$42,MATCH($F124,$F$41:$F$42,0))),(1+$I124))</f>
        <v>0</v>
      </c>
      <c r="BL124" s="1126">
        <f>'ANSP Capex'!BJ120*IF($I124="",(1+INDEX($I$41:$I$42,MATCH($F124,$F$41:$F$42,0))),(1+$I124))</f>
        <v>0</v>
      </c>
    </row>
    <row r="125" spans="1:64" outlineLevel="2">
      <c r="A125" s="1094"/>
      <c r="B125" s="1094"/>
      <c r="C125" s="1083" t="str">
        <f>'ANSP Capex'!C121</f>
        <v>T017 - TOSHIBA X20 W20008071</v>
      </c>
      <c r="D125" s="1083" t="str">
        <f>'ANSP Capex'!D121</f>
        <v>IT Equipment</v>
      </c>
      <c r="E125" s="1083" t="str">
        <f>'ANSP Capex'!E121</f>
        <v>T0170216</v>
      </c>
      <c r="F125" s="1083">
        <f>'ANSP Capex'!F121</f>
        <v>2020</v>
      </c>
      <c r="G125" s="1101">
        <f t="shared" si="8"/>
        <v>0.90061000000000002</v>
      </c>
      <c r="H125" s="1083" t="str">
        <f>'ANSP Capex'!H121</f>
        <v>€'000</v>
      </c>
      <c r="I125" s="829"/>
      <c r="J125" s="1097">
        <f>'ANSP Capex'!I121</f>
        <v>3.0833333333333335</v>
      </c>
      <c r="K125" s="1124">
        <v>0</v>
      </c>
      <c r="L125" s="1098">
        <f t="shared" si="9"/>
        <v>37</v>
      </c>
      <c r="M125" s="153">
        <f t="shared" si="10"/>
        <v>0.32432432432432429</v>
      </c>
      <c r="N125" s="1099"/>
      <c r="O125" s="1100">
        <f>'ANSP Capex'!M121</f>
        <v>7.1953231698515445</v>
      </c>
      <c r="P125" s="1101">
        <f>IF($BH125=0,0,IF(SUM($O125:O125)&lt;($L125-12),12,$L125-SUM($O125:O125)))</f>
        <v>12</v>
      </c>
      <c r="Q125" s="1101">
        <f>IF($BH125=0,0,IF(SUM($O125:P125)&lt;($L125-12),12,$L125-SUM($O125:P125)))</f>
        <v>12</v>
      </c>
      <c r="R125" s="1101">
        <f>IF($BH125=0,0,IF(SUM($O125:Q125)&lt;($L125-12),12,$L125-SUM($O125:Q125)))</f>
        <v>5.8046768301484555</v>
      </c>
      <c r="S125" s="1101">
        <f>IF($BH125=0,0,IF(SUM($O125:R125)&lt;($L125-12),12,$L125-SUM($O125:R125)))</f>
        <v>0</v>
      </c>
      <c r="U125" s="1100"/>
      <c r="V125" s="1100">
        <f>'ANSP Capex'!T121</f>
        <v>0</v>
      </c>
      <c r="W125" s="1101">
        <f>IF($BI125=0,0,IF(SUM($U125:V125)&lt;($L125-12),12,$L125-SUM($U125:V125)))</f>
        <v>0</v>
      </c>
      <c r="X125" s="1101">
        <f>IF($BI125=0,0,IF(SUM($U125:W125)&lt;($L125-12),12,$L125-SUM($U125:W125)))</f>
        <v>0</v>
      </c>
      <c r="Y125" s="1101">
        <f>IF($BI125=0,0,IF(SUM($U125:X125)&lt;($L125-12),12,$L125-SUM($U125:X125)))</f>
        <v>0</v>
      </c>
      <c r="AA125" s="1100"/>
      <c r="AB125" s="1100"/>
      <c r="AC125" s="1100">
        <f>'ANSP Capex'!AA121</f>
        <v>0</v>
      </c>
      <c r="AD125" s="1101">
        <f>IF($BJ125=0,0,IF(SUM($AA125:AC125)&lt;($L125-12),12,$L125-SUM($AA125:AC125)))</f>
        <v>0</v>
      </c>
      <c r="AE125" s="1101">
        <f>IF($BJ125=0,0,IF(SUM($AA125:AD125)&lt;($L125-12),12,$L125-SUM($AA125:AD125)))</f>
        <v>0</v>
      </c>
      <c r="AG125" s="1100"/>
      <c r="AH125" s="1100"/>
      <c r="AI125" s="1100"/>
      <c r="AJ125" s="1100">
        <f>'ANSP Capex'!AH121</f>
        <v>0</v>
      </c>
      <c r="AK125" s="1101">
        <f>IF($BK125=0,0,IF(SUM($AG125:AJ125)&lt;($L125-12),12,$L125-SUM($AG125:AJ125)))</f>
        <v>0</v>
      </c>
      <c r="AM125" s="1100"/>
      <c r="AN125" s="1100"/>
      <c r="AO125" s="1100"/>
      <c r="AP125" s="1100"/>
      <c r="AQ125" s="1100">
        <f>'ANSP Capex'!AO121</f>
        <v>0</v>
      </c>
      <c r="AS125" s="153">
        <f t="shared" si="11"/>
        <v>0.59961026415429541</v>
      </c>
      <c r="AT125" s="153">
        <f t="shared" si="12"/>
        <v>0</v>
      </c>
      <c r="AU125" s="153">
        <f t="shared" si="13"/>
        <v>0</v>
      </c>
      <c r="AV125" s="153">
        <f t="shared" si="14"/>
        <v>0</v>
      </c>
      <c r="AW125" s="153">
        <f t="shared" si="15"/>
        <v>0</v>
      </c>
      <c r="AX125" s="153"/>
      <c r="AY125" s="1543">
        <f>'ANSP Capex'!AW121</f>
        <v>0.75</v>
      </c>
      <c r="AZ125" s="1102"/>
      <c r="BA125" s="1543">
        <f>'ANSP Capex'!AY121</f>
        <v>0.25</v>
      </c>
      <c r="BC125" s="1126"/>
      <c r="BD125" s="1126"/>
      <c r="BE125" s="1126"/>
      <c r="BF125" s="1126"/>
      <c r="BG125" s="1126"/>
      <c r="BH125" s="1126">
        <f>'ANSP Capex'!BF121*IF($I125="",(1+INDEX($I$41:$I$42,MATCH($F125,$F$41:$F$42,0))),(1+$I125))</f>
        <v>0.90061000000000002</v>
      </c>
      <c r="BI125" s="1126">
        <f>'ANSP Capex'!BG121*IF($I125="",(1+INDEX($I$41:$I$42,MATCH($F125,$F$41:$F$42,0))),(1+$I125))</f>
        <v>0</v>
      </c>
      <c r="BJ125" s="1126">
        <f>'ANSP Capex'!BH121*IF($I125="",(1+INDEX($I$41:$I$42,MATCH($F125,$F$41:$F$42,0))),(1+$I125))</f>
        <v>0</v>
      </c>
      <c r="BK125" s="1126">
        <f>'ANSP Capex'!BI121*IF($I125="",(1+INDEX($I$41:$I$42,MATCH($F125,$F$41:$F$42,0))),(1+$I125))</f>
        <v>0</v>
      </c>
      <c r="BL125" s="1126">
        <f>'ANSP Capex'!BJ121*IF($I125="",(1+INDEX($I$41:$I$42,MATCH($F125,$F$41:$F$42,0))),(1+$I125))</f>
        <v>0</v>
      </c>
    </row>
    <row r="126" spans="1:64" outlineLevel="2">
      <c r="A126" s="1094"/>
      <c r="B126" s="1094"/>
      <c r="C126" s="1083" t="str">
        <f>'ANSP Capex'!C122</f>
        <v>T017 - TOSHIBA X20 W20008072</v>
      </c>
      <c r="D126" s="1083" t="str">
        <f>'ANSP Capex'!D122</f>
        <v>IT Equipment</v>
      </c>
      <c r="E126" s="1083" t="str">
        <f>'ANSP Capex'!E122</f>
        <v>T0170217</v>
      </c>
      <c r="F126" s="1083">
        <f>'ANSP Capex'!F122</f>
        <v>2020</v>
      </c>
      <c r="G126" s="1101">
        <f t="shared" si="8"/>
        <v>0.90061000000000002</v>
      </c>
      <c r="H126" s="1083" t="str">
        <f>'ANSP Capex'!H122</f>
        <v>€'000</v>
      </c>
      <c r="I126" s="829"/>
      <c r="J126" s="1097">
        <f>'ANSP Capex'!I122</f>
        <v>3.0833333333333335</v>
      </c>
      <c r="K126" s="1124">
        <v>0</v>
      </c>
      <c r="L126" s="1098">
        <f t="shared" si="9"/>
        <v>37</v>
      </c>
      <c r="M126" s="153">
        <f t="shared" si="10"/>
        <v>0.32432432432432429</v>
      </c>
      <c r="N126" s="1099"/>
      <c r="O126" s="1100">
        <f>'ANSP Capex'!M122</f>
        <v>7.1953231698515445</v>
      </c>
      <c r="P126" s="1101">
        <f>IF($BH126=0,0,IF(SUM($O126:O126)&lt;($L126-12),12,$L126-SUM($O126:O126)))</f>
        <v>12</v>
      </c>
      <c r="Q126" s="1101">
        <f>IF($BH126=0,0,IF(SUM($O126:P126)&lt;($L126-12),12,$L126-SUM($O126:P126)))</f>
        <v>12</v>
      </c>
      <c r="R126" s="1101">
        <f>IF($BH126=0,0,IF(SUM($O126:Q126)&lt;($L126-12),12,$L126-SUM($O126:Q126)))</f>
        <v>5.8046768301484555</v>
      </c>
      <c r="S126" s="1101">
        <f>IF($BH126=0,0,IF(SUM($O126:R126)&lt;($L126-12),12,$L126-SUM($O126:R126)))</f>
        <v>0</v>
      </c>
      <c r="U126" s="1100"/>
      <c r="V126" s="1100">
        <f>'ANSP Capex'!T122</f>
        <v>0</v>
      </c>
      <c r="W126" s="1101">
        <f>IF($BI126=0,0,IF(SUM($U126:V126)&lt;($L126-12),12,$L126-SUM($U126:V126)))</f>
        <v>0</v>
      </c>
      <c r="X126" s="1101">
        <f>IF($BI126=0,0,IF(SUM($U126:W126)&lt;($L126-12),12,$L126-SUM($U126:W126)))</f>
        <v>0</v>
      </c>
      <c r="Y126" s="1101">
        <f>IF($BI126=0,0,IF(SUM($U126:X126)&lt;($L126-12),12,$L126-SUM($U126:X126)))</f>
        <v>0</v>
      </c>
      <c r="AA126" s="1100"/>
      <c r="AB126" s="1100"/>
      <c r="AC126" s="1100">
        <f>'ANSP Capex'!AA122</f>
        <v>0</v>
      </c>
      <c r="AD126" s="1101">
        <f>IF($BJ126=0,0,IF(SUM($AA126:AC126)&lt;($L126-12),12,$L126-SUM($AA126:AC126)))</f>
        <v>0</v>
      </c>
      <c r="AE126" s="1101">
        <f>IF($BJ126=0,0,IF(SUM($AA126:AD126)&lt;($L126-12),12,$L126-SUM($AA126:AD126)))</f>
        <v>0</v>
      </c>
      <c r="AG126" s="1100"/>
      <c r="AH126" s="1100"/>
      <c r="AI126" s="1100"/>
      <c r="AJ126" s="1100">
        <f>'ANSP Capex'!AH122</f>
        <v>0</v>
      </c>
      <c r="AK126" s="1101">
        <f>IF($BK126=0,0,IF(SUM($AG126:AJ126)&lt;($L126-12),12,$L126-SUM($AG126:AJ126)))</f>
        <v>0</v>
      </c>
      <c r="AM126" s="1100"/>
      <c r="AN126" s="1100"/>
      <c r="AO126" s="1100"/>
      <c r="AP126" s="1100"/>
      <c r="AQ126" s="1100">
        <f>'ANSP Capex'!AO122</f>
        <v>0</v>
      </c>
      <c r="AS126" s="153">
        <f t="shared" si="11"/>
        <v>0.59961026415429541</v>
      </c>
      <c r="AT126" s="153">
        <f t="shared" si="12"/>
        <v>0</v>
      </c>
      <c r="AU126" s="153">
        <f t="shared" si="13"/>
        <v>0</v>
      </c>
      <c r="AV126" s="153">
        <f t="shared" si="14"/>
        <v>0</v>
      </c>
      <c r="AW126" s="153">
        <f t="shared" si="15"/>
        <v>0</v>
      </c>
      <c r="AX126" s="153"/>
      <c r="AY126" s="1543">
        <f>'ANSP Capex'!AW122</f>
        <v>0.75</v>
      </c>
      <c r="AZ126" s="1102"/>
      <c r="BA126" s="1543">
        <f>'ANSP Capex'!AY122</f>
        <v>0.25</v>
      </c>
      <c r="BC126" s="1126"/>
      <c r="BD126" s="1126"/>
      <c r="BE126" s="1126"/>
      <c r="BF126" s="1126"/>
      <c r="BG126" s="1126"/>
      <c r="BH126" s="1126">
        <f>'ANSP Capex'!BF122*IF($I126="",(1+INDEX($I$41:$I$42,MATCH($F126,$F$41:$F$42,0))),(1+$I126))</f>
        <v>0.90061000000000002</v>
      </c>
      <c r="BI126" s="1126">
        <f>'ANSP Capex'!BG122*IF($I126="",(1+INDEX($I$41:$I$42,MATCH($F126,$F$41:$F$42,0))),(1+$I126))</f>
        <v>0</v>
      </c>
      <c r="BJ126" s="1126">
        <f>'ANSP Capex'!BH122*IF($I126="",(1+INDEX($I$41:$I$42,MATCH($F126,$F$41:$F$42,0))),(1+$I126))</f>
        <v>0</v>
      </c>
      <c r="BK126" s="1126">
        <f>'ANSP Capex'!BI122*IF($I126="",(1+INDEX($I$41:$I$42,MATCH($F126,$F$41:$F$42,0))),(1+$I126))</f>
        <v>0</v>
      </c>
      <c r="BL126" s="1126">
        <f>'ANSP Capex'!BJ122*IF($I126="",(1+INDEX($I$41:$I$42,MATCH($F126,$F$41:$F$42,0))),(1+$I126))</f>
        <v>0</v>
      </c>
    </row>
    <row r="127" spans="1:64" outlineLevel="2">
      <c r="A127" s="1094"/>
      <c r="B127" s="1094"/>
      <c r="C127" s="1083" t="str">
        <f>'ANSP Capex'!C123</f>
        <v>T017 - TOSHIBA X20 W20008079</v>
      </c>
      <c r="D127" s="1083" t="str">
        <f>'ANSP Capex'!D123</f>
        <v>IT Equipment</v>
      </c>
      <c r="E127" s="1083" t="str">
        <f>'ANSP Capex'!E123</f>
        <v>T0170223</v>
      </c>
      <c r="F127" s="1083">
        <f>'ANSP Capex'!F123</f>
        <v>2020</v>
      </c>
      <c r="G127" s="1101">
        <f t="shared" si="8"/>
        <v>0.90061000000000002</v>
      </c>
      <c r="H127" s="1083" t="str">
        <f>'ANSP Capex'!H123</f>
        <v>€'000</v>
      </c>
      <c r="I127" s="829"/>
      <c r="J127" s="1097">
        <f>'ANSP Capex'!I123</f>
        <v>3.0833333333333335</v>
      </c>
      <c r="K127" s="1124">
        <v>0</v>
      </c>
      <c r="L127" s="1098">
        <f t="shared" si="9"/>
        <v>37</v>
      </c>
      <c r="M127" s="153">
        <f t="shared" si="10"/>
        <v>0.32432432432432429</v>
      </c>
      <c r="N127" s="1099"/>
      <c r="O127" s="1100">
        <f>'ANSP Capex'!M123</f>
        <v>7.1953231698515445</v>
      </c>
      <c r="P127" s="1101">
        <f>IF($BH127=0,0,IF(SUM($O127:O127)&lt;($L127-12),12,$L127-SUM($O127:O127)))</f>
        <v>12</v>
      </c>
      <c r="Q127" s="1101">
        <f>IF($BH127=0,0,IF(SUM($O127:P127)&lt;($L127-12),12,$L127-SUM($O127:P127)))</f>
        <v>12</v>
      </c>
      <c r="R127" s="1101">
        <f>IF($BH127=0,0,IF(SUM($O127:Q127)&lt;($L127-12),12,$L127-SUM($O127:Q127)))</f>
        <v>5.8046768301484555</v>
      </c>
      <c r="S127" s="1101">
        <f>IF($BH127=0,0,IF(SUM($O127:R127)&lt;($L127-12),12,$L127-SUM($O127:R127)))</f>
        <v>0</v>
      </c>
      <c r="U127" s="1100"/>
      <c r="V127" s="1100">
        <f>'ANSP Capex'!T123</f>
        <v>0</v>
      </c>
      <c r="W127" s="1101">
        <f>IF($BI127=0,0,IF(SUM($U127:V127)&lt;($L127-12),12,$L127-SUM($U127:V127)))</f>
        <v>0</v>
      </c>
      <c r="X127" s="1101">
        <f>IF($BI127=0,0,IF(SUM($U127:W127)&lt;($L127-12),12,$L127-SUM($U127:W127)))</f>
        <v>0</v>
      </c>
      <c r="Y127" s="1101">
        <f>IF($BI127=0,0,IF(SUM($U127:X127)&lt;($L127-12),12,$L127-SUM($U127:X127)))</f>
        <v>0</v>
      </c>
      <c r="AA127" s="1100"/>
      <c r="AB127" s="1100"/>
      <c r="AC127" s="1100">
        <f>'ANSP Capex'!AA123</f>
        <v>0</v>
      </c>
      <c r="AD127" s="1101">
        <f>IF($BJ127=0,0,IF(SUM($AA127:AC127)&lt;($L127-12),12,$L127-SUM($AA127:AC127)))</f>
        <v>0</v>
      </c>
      <c r="AE127" s="1101">
        <f>IF($BJ127=0,0,IF(SUM($AA127:AD127)&lt;($L127-12),12,$L127-SUM($AA127:AD127)))</f>
        <v>0</v>
      </c>
      <c r="AG127" s="1100"/>
      <c r="AH127" s="1100"/>
      <c r="AI127" s="1100"/>
      <c r="AJ127" s="1100">
        <f>'ANSP Capex'!AH123</f>
        <v>0</v>
      </c>
      <c r="AK127" s="1101">
        <f>IF($BK127=0,0,IF(SUM($AG127:AJ127)&lt;($L127-12),12,$L127-SUM($AG127:AJ127)))</f>
        <v>0</v>
      </c>
      <c r="AM127" s="1100"/>
      <c r="AN127" s="1100"/>
      <c r="AO127" s="1100"/>
      <c r="AP127" s="1100"/>
      <c r="AQ127" s="1100">
        <f>'ANSP Capex'!AO123</f>
        <v>0</v>
      </c>
      <c r="AS127" s="153">
        <f t="shared" si="11"/>
        <v>0.59961026415429541</v>
      </c>
      <c r="AT127" s="153">
        <f t="shared" si="12"/>
        <v>0</v>
      </c>
      <c r="AU127" s="153">
        <f t="shared" si="13"/>
        <v>0</v>
      </c>
      <c r="AV127" s="153">
        <f t="shared" si="14"/>
        <v>0</v>
      </c>
      <c r="AW127" s="153">
        <f t="shared" si="15"/>
        <v>0</v>
      </c>
      <c r="AX127" s="153"/>
      <c r="AY127" s="1543">
        <f>'ANSP Capex'!AW123</f>
        <v>0.75</v>
      </c>
      <c r="AZ127" s="1102"/>
      <c r="BA127" s="1543">
        <f>'ANSP Capex'!AY123</f>
        <v>0.25</v>
      </c>
      <c r="BC127" s="1126"/>
      <c r="BD127" s="1126"/>
      <c r="BE127" s="1126"/>
      <c r="BF127" s="1126"/>
      <c r="BG127" s="1126"/>
      <c r="BH127" s="1126">
        <f>'ANSP Capex'!BF123*IF($I127="",(1+INDEX($I$41:$I$42,MATCH($F127,$F$41:$F$42,0))),(1+$I127))</f>
        <v>0.90061000000000002</v>
      </c>
      <c r="BI127" s="1126">
        <f>'ANSP Capex'!BG123*IF($I127="",(1+INDEX($I$41:$I$42,MATCH($F127,$F$41:$F$42,0))),(1+$I127))</f>
        <v>0</v>
      </c>
      <c r="BJ127" s="1126">
        <f>'ANSP Capex'!BH123*IF($I127="",(1+INDEX($I$41:$I$42,MATCH($F127,$F$41:$F$42,0))),(1+$I127))</f>
        <v>0</v>
      </c>
      <c r="BK127" s="1126">
        <f>'ANSP Capex'!BI123*IF($I127="",(1+INDEX($I$41:$I$42,MATCH($F127,$F$41:$F$42,0))),(1+$I127))</f>
        <v>0</v>
      </c>
      <c r="BL127" s="1126">
        <f>'ANSP Capex'!BJ123*IF($I127="",(1+INDEX($I$41:$I$42,MATCH($F127,$F$41:$F$42,0))),(1+$I127))</f>
        <v>0</v>
      </c>
    </row>
    <row r="128" spans="1:64" outlineLevel="2">
      <c r="A128" s="1094"/>
      <c r="B128" s="1094"/>
      <c r="C128" s="1083" t="str">
        <f>'ANSP Capex'!C124</f>
        <v>T017 - TOSHIBA X20 W20008018</v>
      </c>
      <c r="D128" s="1083" t="str">
        <f>'ANSP Capex'!D124</f>
        <v>IT Equipment</v>
      </c>
      <c r="E128" s="1083" t="str">
        <f>'ANSP Capex'!E124</f>
        <v>T0170240</v>
      </c>
      <c r="F128" s="1083">
        <f>'ANSP Capex'!F124</f>
        <v>2020</v>
      </c>
      <c r="G128" s="1101">
        <f t="shared" si="8"/>
        <v>1.50641</v>
      </c>
      <c r="H128" s="1083" t="str">
        <f>'ANSP Capex'!H124</f>
        <v>€'000</v>
      </c>
      <c r="I128" s="829"/>
      <c r="J128" s="1097">
        <f>'ANSP Capex'!I124</f>
        <v>3</v>
      </c>
      <c r="K128" s="1124">
        <v>0</v>
      </c>
      <c r="L128" s="1098">
        <f t="shared" si="9"/>
        <v>36</v>
      </c>
      <c r="M128" s="153">
        <f t="shared" si="10"/>
        <v>0.33333333333333331</v>
      </c>
      <c r="N128" s="1099"/>
      <c r="O128" s="1100">
        <f>'ANSP Capex'!M124</f>
        <v>6.9999269787109757</v>
      </c>
      <c r="P128" s="1101">
        <f>IF($BH128=0,0,IF(SUM($O128:O128)&lt;($L128-12),12,$L128-SUM($O128:O128)))</f>
        <v>12</v>
      </c>
      <c r="Q128" s="1101">
        <f>IF($BH128=0,0,IF(SUM($O128:P128)&lt;($L128-12),12,$L128-SUM($O128:P128)))</f>
        <v>12</v>
      </c>
      <c r="R128" s="1101">
        <f>IF($BH128=0,0,IF(SUM($O128:Q128)&lt;($L128-12),12,$L128-SUM($O128:Q128)))</f>
        <v>5.0000730212890261</v>
      </c>
      <c r="S128" s="1101">
        <f>IF($BH128=0,0,IF(SUM($O128:R128)&lt;($L128-12),12,$L128-SUM($O128:R128)))</f>
        <v>0</v>
      </c>
      <c r="U128" s="1100"/>
      <c r="V128" s="1100">
        <f>'ANSP Capex'!T124</f>
        <v>0</v>
      </c>
      <c r="W128" s="1101">
        <f>IF($BI128=0,0,IF(SUM($U128:V128)&lt;($L128-12),12,$L128-SUM($U128:V128)))</f>
        <v>0</v>
      </c>
      <c r="X128" s="1101">
        <f>IF($BI128=0,0,IF(SUM($U128:W128)&lt;($L128-12),12,$L128-SUM($U128:W128)))</f>
        <v>0</v>
      </c>
      <c r="Y128" s="1101">
        <f>IF($BI128=0,0,IF(SUM($U128:X128)&lt;($L128-12),12,$L128-SUM($U128:X128)))</f>
        <v>0</v>
      </c>
      <c r="AA128" s="1100"/>
      <c r="AB128" s="1100"/>
      <c r="AC128" s="1100">
        <f>'ANSP Capex'!AA124</f>
        <v>0</v>
      </c>
      <c r="AD128" s="1101">
        <f>IF($BJ128=0,0,IF(SUM($AA128:AC128)&lt;($L128-12),12,$L128-SUM($AA128:AC128)))</f>
        <v>0</v>
      </c>
      <c r="AE128" s="1101">
        <f>IF($BJ128=0,0,IF(SUM($AA128:AD128)&lt;($L128-12),12,$L128-SUM($AA128:AD128)))</f>
        <v>0</v>
      </c>
      <c r="AG128" s="1100"/>
      <c r="AH128" s="1100"/>
      <c r="AI128" s="1100"/>
      <c r="AJ128" s="1100">
        <f>'ANSP Capex'!AH124</f>
        <v>0</v>
      </c>
      <c r="AK128" s="1101">
        <f>IF($BK128=0,0,IF(SUM($AG128:AJ128)&lt;($L128-12),12,$L128-SUM($AG128:AJ128)))</f>
        <v>0</v>
      </c>
      <c r="AM128" s="1100"/>
      <c r="AN128" s="1100"/>
      <c r="AO128" s="1100"/>
      <c r="AP128" s="1100"/>
      <c r="AQ128" s="1100">
        <f>'ANSP Capex'!AO124</f>
        <v>0</v>
      </c>
      <c r="AS128" s="153">
        <f t="shared" si="11"/>
        <v>0.58332724822591464</v>
      </c>
      <c r="AT128" s="153">
        <f t="shared" si="12"/>
        <v>0</v>
      </c>
      <c r="AU128" s="153">
        <f t="shared" si="13"/>
        <v>0</v>
      </c>
      <c r="AV128" s="153">
        <f t="shared" si="14"/>
        <v>0</v>
      </c>
      <c r="AW128" s="153">
        <f t="shared" si="15"/>
        <v>0</v>
      </c>
      <c r="AX128" s="153"/>
      <c r="AY128" s="1543">
        <f>'ANSP Capex'!AW124</f>
        <v>0.75</v>
      </c>
      <c r="AZ128" s="1102"/>
      <c r="BA128" s="1543">
        <f>'ANSP Capex'!AY124</f>
        <v>0.25</v>
      </c>
      <c r="BC128" s="1126"/>
      <c r="BD128" s="1126"/>
      <c r="BE128" s="1126"/>
      <c r="BF128" s="1126"/>
      <c r="BG128" s="1126"/>
      <c r="BH128" s="1126">
        <f>'ANSP Capex'!BF124*IF($I128="",(1+INDEX($I$41:$I$42,MATCH($F128,$F$41:$F$42,0))),(1+$I128))</f>
        <v>1.50641</v>
      </c>
      <c r="BI128" s="1126">
        <f>'ANSP Capex'!BG124*IF($I128="",(1+INDEX($I$41:$I$42,MATCH($F128,$F$41:$F$42,0))),(1+$I128))</f>
        <v>0</v>
      </c>
      <c r="BJ128" s="1126">
        <f>'ANSP Capex'!BH124*IF($I128="",(1+INDEX($I$41:$I$42,MATCH($F128,$F$41:$F$42,0))),(1+$I128))</f>
        <v>0</v>
      </c>
      <c r="BK128" s="1126">
        <f>'ANSP Capex'!BI124*IF($I128="",(1+INDEX($I$41:$I$42,MATCH($F128,$F$41:$F$42,0))),(1+$I128))</f>
        <v>0</v>
      </c>
      <c r="BL128" s="1126">
        <f>'ANSP Capex'!BJ124*IF($I128="",(1+INDEX($I$41:$I$42,MATCH($F128,$F$41:$F$42,0))),(1+$I128))</f>
        <v>0</v>
      </c>
    </row>
    <row r="129" spans="1:64" outlineLevel="2">
      <c r="A129" s="1094"/>
      <c r="B129" s="1094"/>
      <c r="C129" s="1083" t="str">
        <f>'ANSP Capex'!C125</f>
        <v>T017 - HP G7 CORE W20008101</v>
      </c>
      <c r="D129" s="1083" t="str">
        <f>'ANSP Capex'!D125</f>
        <v>IT Equipment</v>
      </c>
      <c r="E129" s="1083" t="str">
        <f>'ANSP Capex'!E125</f>
        <v>T0170251</v>
      </c>
      <c r="F129" s="1083">
        <f>'ANSP Capex'!F125</f>
        <v>2020</v>
      </c>
      <c r="G129" s="1101">
        <f t="shared" si="8"/>
        <v>0.69499999999999995</v>
      </c>
      <c r="H129" s="1083" t="str">
        <f>'ANSP Capex'!H125</f>
        <v>€'000</v>
      </c>
      <c r="I129" s="829"/>
      <c r="J129" s="1097">
        <f>'ANSP Capex'!I125</f>
        <v>3</v>
      </c>
      <c r="K129" s="1124">
        <v>0</v>
      </c>
      <c r="L129" s="1098">
        <f t="shared" si="9"/>
        <v>36</v>
      </c>
      <c r="M129" s="153">
        <f t="shared" si="10"/>
        <v>0.33333333333333331</v>
      </c>
      <c r="N129" s="1099"/>
      <c r="O129" s="1100">
        <f>'ANSP Capex'!M125</f>
        <v>7.0010935251798552</v>
      </c>
      <c r="P129" s="1101">
        <f>IF($BH129=0,0,IF(SUM($O129:O129)&lt;($L129-12),12,$L129-SUM($O129:O129)))</f>
        <v>12</v>
      </c>
      <c r="Q129" s="1101">
        <f>IF($BH129=0,0,IF(SUM($O129:P129)&lt;($L129-12),12,$L129-SUM($O129:P129)))</f>
        <v>12</v>
      </c>
      <c r="R129" s="1101">
        <f>IF($BH129=0,0,IF(SUM($O129:Q129)&lt;($L129-12),12,$L129-SUM($O129:Q129)))</f>
        <v>4.9989064748201457</v>
      </c>
      <c r="S129" s="1101">
        <f>IF($BH129=0,0,IF(SUM($O129:R129)&lt;($L129-12),12,$L129-SUM($O129:R129)))</f>
        <v>0</v>
      </c>
      <c r="U129" s="1100"/>
      <c r="V129" s="1100">
        <f>'ANSP Capex'!T125</f>
        <v>0</v>
      </c>
      <c r="W129" s="1101">
        <f>IF($BI129=0,0,IF(SUM($U129:V129)&lt;($L129-12),12,$L129-SUM($U129:V129)))</f>
        <v>0</v>
      </c>
      <c r="X129" s="1101">
        <f>IF($BI129=0,0,IF(SUM($U129:W129)&lt;($L129-12),12,$L129-SUM($U129:W129)))</f>
        <v>0</v>
      </c>
      <c r="Y129" s="1101">
        <f>IF($BI129=0,0,IF(SUM($U129:X129)&lt;($L129-12),12,$L129-SUM($U129:X129)))</f>
        <v>0</v>
      </c>
      <c r="AA129" s="1100"/>
      <c r="AB129" s="1100"/>
      <c r="AC129" s="1100">
        <f>'ANSP Capex'!AA125</f>
        <v>0</v>
      </c>
      <c r="AD129" s="1101">
        <f>IF($BJ129=0,0,IF(SUM($AA129:AC129)&lt;($L129-12),12,$L129-SUM($AA129:AC129)))</f>
        <v>0</v>
      </c>
      <c r="AE129" s="1101">
        <f>IF($BJ129=0,0,IF(SUM($AA129:AD129)&lt;($L129-12),12,$L129-SUM($AA129:AD129)))</f>
        <v>0</v>
      </c>
      <c r="AG129" s="1100"/>
      <c r="AH129" s="1100"/>
      <c r="AI129" s="1100"/>
      <c r="AJ129" s="1100">
        <f>'ANSP Capex'!AH125</f>
        <v>0</v>
      </c>
      <c r="AK129" s="1101">
        <f>IF($BK129=0,0,IF(SUM($AG129:AJ129)&lt;($L129-12),12,$L129-SUM($AG129:AJ129)))</f>
        <v>0</v>
      </c>
      <c r="AM129" s="1100"/>
      <c r="AN129" s="1100"/>
      <c r="AO129" s="1100"/>
      <c r="AP129" s="1100"/>
      <c r="AQ129" s="1100">
        <f>'ANSP Capex'!AO125</f>
        <v>0</v>
      </c>
      <c r="AS129" s="153">
        <f t="shared" si="11"/>
        <v>0.58342446043165463</v>
      </c>
      <c r="AT129" s="153">
        <f t="shared" si="12"/>
        <v>0</v>
      </c>
      <c r="AU129" s="153">
        <f t="shared" si="13"/>
        <v>0</v>
      </c>
      <c r="AV129" s="153">
        <f t="shared" si="14"/>
        <v>0</v>
      </c>
      <c r="AW129" s="153">
        <f t="shared" si="15"/>
        <v>0</v>
      </c>
      <c r="AX129" s="153"/>
      <c r="AY129" s="1543">
        <f>'ANSP Capex'!AW125</f>
        <v>0.75</v>
      </c>
      <c r="AZ129" s="1102"/>
      <c r="BA129" s="1543">
        <f>'ANSP Capex'!AY125</f>
        <v>0.25</v>
      </c>
      <c r="BC129" s="1126"/>
      <c r="BD129" s="1126"/>
      <c r="BE129" s="1126"/>
      <c r="BF129" s="1126"/>
      <c r="BG129" s="1126"/>
      <c r="BH129" s="1126">
        <f>'ANSP Capex'!BF125*IF($I129="",(1+INDEX($I$41:$I$42,MATCH($F129,$F$41:$F$42,0))),(1+$I129))</f>
        <v>0.69499999999999995</v>
      </c>
      <c r="BI129" s="1126">
        <f>'ANSP Capex'!BG125*IF($I129="",(1+INDEX($I$41:$I$42,MATCH($F129,$F$41:$F$42,0))),(1+$I129))</f>
        <v>0</v>
      </c>
      <c r="BJ129" s="1126">
        <f>'ANSP Capex'!BH125*IF($I129="",(1+INDEX($I$41:$I$42,MATCH($F129,$F$41:$F$42,0))),(1+$I129))</f>
        <v>0</v>
      </c>
      <c r="BK129" s="1126">
        <f>'ANSP Capex'!BI125*IF($I129="",(1+INDEX($I$41:$I$42,MATCH($F129,$F$41:$F$42,0))),(1+$I129))</f>
        <v>0</v>
      </c>
      <c r="BL129" s="1126">
        <f>'ANSP Capex'!BJ125*IF($I129="",(1+INDEX($I$41:$I$42,MATCH($F129,$F$41:$F$42,0))),(1+$I129))</f>
        <v>0</v>
      </c>
    </row>
    <row r="130" spans="1:64" outlineLevel="2">
      <c r="A130" s="1094"/>
      <c r="B130" s="1094"/>
      <c r="C130" s="1083" t="str">
        <f>'ANSP Capex'!C126</f>
        <v>T017 - OPTIPLEX5060 W20007744</v>
      </c>
      <c r="D130" s="1083" t="str">
        <f>'ANSP Capex'!D126</f>
        <v>IT Equipment</v>
      </c>
      <c r="E130" s="1083" t="str">
        <f>'ANSP Capex'!E126</f>
        <v>T0170252</v>
      </c>
      <c r="F130" s="1083">
        <f>'ANSP Capex'!F126</f>
        <v>2020</v>
      </c>
      <c r="G130" s="1101">
        <f t="shared" si="8"/>
        <v>0.6</v>
      </c>
      <c r="H130" s="1083" t="str">
        <f>'ANSP Capex'!H126</f>
        <v>€'000</v>
      </c>
      <c r="I130" s="829"/>
      <c r="J130" s="1097">
        <f>'ANSP Capex'!I126</f>
        <v>3</v>
      </c>
      <c r="K130" s="1124">
        <v>0</v>
      </c>
      <c r="L130" s="1098">
        <f t="shared" si="9"/>
        <v>36</v>
      </c>
      <c r="M130" s="153">
        <f t="shared" si="10"/>
        <v>0.33333333333333331</v>
      </c>
      <c r="N130" s="1099"/>
      <c r="O130" s="1100">
        <f>'ANSP Capex'!M126</f>
        <v>12.002399999999998</v>
      </c>
      <c r="P130" s="1101">
        <f>IF($BH130=0,0,IF(SUM($O130:O130)&lt;($L130-12),12,$L130-SUM($O130:O130)))</f>
        <v>12</v>
      </c>
      <c r="Q130" s="1101">
        <f>IF($BH130=0,0,IF(SUM($O130:P130)&lt;($L130-12),12,$L130-SUM($O130:P130)))</f>
        <v>11.997600000000002</v>
      </c>
      <c r="R130" s="1101">
        <f>IF($BH130=0,0,IF(SUM($O130:Q130)&lt;($L130-12),12,$L130-SUM($O130:Q130)))</f>
        <v>0</v>
      </c>
      <c r="S130" s="1101">
        <f>IF($BH130=0,0,IF(SUM($O130:R130)&lt;($L130-12),12,$L130-SUM($O130:R130)))</f>
        <v>0</v>
      </c>
      <c r="U130" s="1100"/>
      <c r="V130" s="1100">
        <f>'ANSP Capex'!T126</f>
        <v>0</v>
      </c>
      <c r="W130" s="1101">
        <f>IF($BI130=0,0,IF(SUM($U130:V130)&lt;($L130-12),12,$L130-SUM($U130:V130)))</f>
        <v>0</v>
      </c>
      <c r="X130" s="1101">
        <f>IF($BI130=0,0,IF(SUM($U130:W130)&lt;($L130-12),12,$L130-SUM($U130:W130)))</f>
        <v>0</v>
      </c>
      <c r="Y130" s="1101">
        <f>IF($BI130=0,0,IF(SUM($U130:X130)&lt;($L130-12),12,$L130-SUM($U130:X130)))</f>
        <v>0</v>
      </c>
      <c r="AA130" s="1100"/>
      <c r="AB130" s="1100"/>
      <c r="AC130" s="1100">
        <f>'ANSP Capex'!AA126</f>
        <v>0</v>
      </c>
      <c r="AD130" s="1101">
        <f>IF($BJ130=0,0,IF(SUM($AA130:AC130)&lt;($L130-12),12,$L130-SUM($AA130:AC130)))</f>
        <v>0</v>
      </c>
      <c r="AE130" s="1101">
        <f>IF($BJ130=0,0,IF(SUM($AA130:AD130)&lt;($L130-12),12,$L130-SUM($AA130:AD130)))</f>
        <v>0</v>
      </c>
      <c r="AG130" s="1100"/>
      <c r="AH130" s="1100"/>
      <c r="AI130" s="1100"/>
      <c r="AJ130" s="1100">
        <f>'ANSP Capex'!AH126</f>
        <v>0</v>
      </c>
      <c r="AK130" s="1101">
        <f>IF($BK130=0,0,IF(SUM($AG130:AJ130)&lt;($L130-12),12,$L130-SUM($AG130:AJ130)))</f>
        <v>0</v>
      </c>
      <c r="AM130" s="1100"/>
      <c r="AN130" s="1100"/>
      <c r="AO130" s="1100"/>
      <c r="AP130" s="1100"/>
      <c r="AQ130" s="1100">
        <f>'ANSP Capex'!AO126</f>
        <v>0</v>
      </c>
      <c r="AS130" s="153">
        <f t="shared" si="11"/>
        <v>1.0001999999999998</v>
      </c>
      <c r="AT130" s="153">
        <f t="shared" si="12"/>
        <v>0</v>
      </c>
      <c r="AU130" s="153">
        <f t="shared" si="13"/>
        <v>0</v>
      </c>
      <c r="AV130" s="153">
        <f t="shared" si="14"/>
        <v>0</v>
      </c>
      <c r="AW130" s="153">
        <f t="shared" si="15"/>
        <v>0</v>
      </c>
      <c r="AX130" s="153"/>
      <c r="AY130" s="1543">
        <f>'ANSP Capex'!AW126</f>
        <v>0.75</v>
      </c>
      <c r="AZ130" s="1102"/>
      <c r="BA130" s="1543">
        <f>'ANSP Capex'!AY126</f>
        <v>0.25</v>
      </c>
      <c r="BC130" s="1126"/>
      <c r="BD130" s="1126"/>
      <c r="BE130" s="1126"/>
      <c r="BF130" s="1126"/>
      <c r="BG130" s="1126"/>
      <c r="BH130" s="1126">
        <f>'ANSP Capex'!BF126*IF($I130="",(1+INDEX($I$41:$I$42,MATCH($F130,$F$41:$F$42,0))),(1+$I130))</f>
        <v>0.6</v>
      </c>
      <c r="BI130" s="1126">
        <f>'ANSP Capex'!BG126*IF($I130="",(1+INDEX($I$41:$I$42,MATCH($F130,$F$41:$F$42,0))),(1+$I130))</f>
        <v>0</v>
      </c>
      <c r="BJ130" s="1126">
        <f>'ANSP Capex'!BH126*IF($I130="",(1+INDEX($I$41:$I$42,MATCH($F130,$F$41:$F$42,0))),(1+$I130))</f>
        <v>0</v>
      </c>
      <c r="BK130" s="1126">
        <f>'ANSP Capex'!BI126*IF($I130="",(1+INDEX($I$41:$I$42,MATCH($F130,$F$41:$F$42,0))),(1+$I130))</f>
        <v>0</v>
      </c>
      <c r="BL130" s="1126">
        <f>'ANSP Capex'!BJ126*IF($I130="",(1+INDEX($I$41:$I$42,MATCH($F130,$F$41:$F$42,0))),(1+$I130))</f>
        <v>0</v>
      </c>
    </row>
    <row r="131" spans="1:64" outlineLevel="2">
      <c r="A131" s="1094"/>
      <c r="B131" s="1094"/>
      <c r="C131" s="1083" t="str">
        <f>'ANSP Capex'!C127</f>
        <v>T017 - TOSHIBA W20008071</v>
      </c>
      <c r="D131" s="1083" t="str">
        <f>'ANSP Capex'!D127</f>
        <v>IT Equipment</v>
      </c>
      <c r="E131" s="1083" t="str">
        <f>'ANSP Capex'!E127</f>
        <v>T0170264</v>
      </c>
      <c r="F131" s="1083">
        <f>'ANSP Capex'!F127</f>
        <v>2020</v>
      </c>
      <c r="G131" s="1101">
        <f t="shared" si="8"/>
        <v>0.60580000000000001</v>
      </c>
      <c r="H131" s="1083" t="str">
        <f>'ANSP Capex'!H127</f>
        <v>€'000</v>
      </c>
      <c r="I131" s="829"/>
      <c r="J131" s="1097">
        <f>'ANSP Capex'!I127</f>
        <v>3</v>
      </c>
      <c r="K131" s="1124">
        <v>0</v>
      </c>
      <c r="L131" s="1098">
        <f t="shared" si="9"/>
        <v>36</v>
      </c>
      <c r="M131" s="153">
        <f t="shared" si="10"/>
        <v>0.33333333333333331</v>
      </c>
      <c r="N131" s="1099"/>
      <c r="O131" s="1100">
        <f>'ANSP Capex'!M127</f>
        <v>7.0009243974909223</v>
      </c>
      <c r="P131" s="1101">
        <f>IF($BH131=0,0,IF(SUM($O131:O131)&lt;($L131-12),12,$L131-SUM($O131:O131)))</f>
        <v>12</v>
      </c>
      <c r="Q131" s="1101">
        <f>IF($BH131=0,0,IF(SUM($O131:P131)&lt;($L131-12),12,$L131-SUM($O131:P131)))</f>
        <v>12</v>
      </c>
      <c r="R131" s="1101">
        <f>IF($BH131=0,0,IF(SUM($O131:Q131)&lt;($L131-12),12,$L131-SUM($O131:Q131)))</f>
        <v>4.9990756025090768</v>
      </c>
      <c r="S131" s="1101">
        <f>IF($BH131=0,0,IF(SUM($O131:R131)&lt;($L131-12),12,$L131-SUM($O131:R131)))</f>
        <v>0</v>
      </c>
      <c r="U131" s="1100"/>
      <c r="V131" s="1100">
        <f>'ANSP Capex'!T127</f>
        <v>0</v>
      </c>
      <c r="W131" s="1101">
        <f>IF($BI131=0,0,IF(SUM($U131:V131)&lt;($L131-12),12,$L131-SUM($U131:V131)))</f>
        <v>0</v>
      </c>
      <c r="X131" s="1101">
        <f>IF($BI131=0,0,IF(SUM($U131:W131)&lt;($L131-12),12,$L131-SUM($U131:W131)))</f>
        <v>0</v>
      </c>
      <c r="Y131" s="1101">
        <f>IF($BI131=0,0,IF(SUM($U131:X131)&lt;($L131-12),12,$L131-SUM($U131:X131)))</f>
        <v>0</v>
      </c>
      <c r="AA131" s="1100"/>
      <c r="AB131" s="1100"/>
      <c r="AC131" s="1100">
        <f>'ANSP Capex'!AA127</f>
        <v>0</v>
      </c>
      <c r="AD131" s="1101">
        <f>IF($BJ131=0,0,IF(SUM($AA131:AC131)&lt;($L131-12),12,$L131-SUM($AA131:AC131)))</f>
        <v>0</v>
      </c>
      <c r="AE131" s="1101">
        <f>IF($BJ131=0,0,IF(SUM($AA131:AD131)&lt;($L131-12),12,$L131-SUM($AA131:AD131)))</f>
        <v>0</v>
      </c>
      <c r="AG131" s="1100"/>
      <c r="AH131" s="1100"/>
      <c r="AI131" s="1100"/>
      <c r="AJ131" s="1100">
        <f>'ANSP Capex'!AH127</f>
        <v>0</v>
      </c>
      <c r="AK131" s="1101">
        <f>IF($BK131=0,0,IF(SUM($AG131:AJ131)&lt;($L131-12),12,$L131-SUM($AG131:AJ131)))</f>
        <v>0</v>
      </c>
      <c r="AM131" s="1100"/>
      <c r="AN131" s="1100"/>
      <c r="AO131" s="1100"/>
      <c r="AP131" s="1100"/>
      <c r="AQ131" s="1100">
        <f>'ANSP Capex'!AO127</f>
        <v>0</v>
      </c>
      <c r="AS131" s="153">
        <f t="shared" si="11"/>
        <v>0.58341036645757682</v>
      </c>
      <c r="AT131" s="153">
        <f t="shared" si="12"/>
        <v>0</v>
      </c>
      <c r="AU131" s="153">
        <f t="shared" si="13"/>
        <v>0</v>
      </c>
      <c r="AV131" s="153">
        <f t="shared" si="14"/>
        <v>0</v>
      </c>
      <c r="AW131" s="153">
        <f t="shared" si="15"/>
        <v>0</v>
      </c>
      <c r="AX131" s="153"/>
      <c r="AY131" s="1543">
        <f>'ANSP Capex'!AW127</f>
        <v>0.75</v>
      </c>
      <c r="AZ131" s="1102"/>
      <c r="BA131" s="1543">
        <f>'ANSP Capex'!AY127</f>
        <v>0.25</v>
      </c>
      <c r="BC131" s="1126"/>
      <c r="BD131" s="1126"/>
      <c r="BE131" s="1126"/>
      <c r="BF131" s="1126"/>
      <c r="BG131" s="1126"/>
      <c r="BH131" s="1126">
        <f>'ANSP Capex'!BF127*IF($I131="",(1+INDEX($I$41:$I$42,MATCH($F131,$F$41:$F$42,0))),(1+$I131))</f>
        <v>0.60580000000000001</v>
      </c>
      <c r="BI131" s="1126">
        <f>'ANSP Capex'!BG127*IF($I131="",(1+INDEX($I$41:$I$42,MATCH($F131,$F$41:$F$42,0))),(1+$I131))</f>
        <v>0</v>
      </c>
      <c r="BJ131" s="1126">
        <f>'ANSP Capex'!BH127*IF($I131="",(1+INDEX($I$41:$I$42,MATCH($F131,$F$41:$F$42,0))),(1+$I131))</f>
        <v>0</v>
      </c>
      <c r="BK131" s="1126">
        <f>'ANSP Capex'!BI127*IF($I131="",(1+INDEX($I$41:$I$42,MATCH($F131,$F$41:$F$42,0))),(1+$I131))</f>
        <v>0</v>
      </c>
      <c r="BL131" s="1126">
        <f>'ANSP Capex'!BJ127*IF($I131="",(1+INDEX($I$41:$I$42,MATCH($F131,$F$41:$F$42,0))),(1+$I131))</f>
        <v>0</v>
      </c>
    </row>
    <row r="132" spans="1:64" outlineLevel="2">
      <c r="A132" s="1094"/>
      <c r="B132" s="1094"/>
      <c r="C132" s="1083" t="str">
        <f>'ANSP Capex'!C128</f>
        <v>T017 - TOSHIBA W20008072</v>
      </c>
      <c r="D132" s="1083" t="str">
        <f>'ANSP Capex'!D128</f>
        <v>IT Equipment</v>
      </c>
      <c r="E132" s="1083" t="str">
        <f>'ANSP Capex'!E128</f>
        <v>T0170265</v>
      </c>
      <c r="F132" s="1083">
        <f>'ANSP Capex'!F128</f>
        <v>2020</v>
      </c>
      <c r="G132" s="1101">
        <f t="shared" si="8"/>
        <v>0.60580000000000001</v>
      </c>
      <c r="H132" s="1083" t="str">
        <f>'ANSP Capex'!H128</f>
        <v>€'000</v>
      </c>
      <c r="I132" s="829"/>
      <c r="J132" s="1097">
        <f>'ANSP Capex'!I128</f>
        <v>3</v>
      </c>
      <c r="K132" s="1124">
        <v>0</v>
      </c>
      <c r="L132" s="1098">
        <f t="shared" si="9"/>
        <v>36</v>
      </c>
      <c r="M132" s="153">
        <f t="shared" si="10"/>
        <v>0.33333333333333331</v>
      </c>
      <c r="N132" s="1099"/>
      <c r="O132" s="1100">
        <f>'ANSP Capex'!M128</f>
        <v>7.0009243974909223</v>
      </c>
      <c r="P132" s="1101">
        <f>IF($BH132=0,0,IF(SUM($O132:O132)&lt;($L132-12),12,$L132-SUM($O132:O132)))</f>
        <v>12</v>
      </c>
      <c r="Q132" s="1101">
        <f>IF($BH132=0,0,IF(SUM($O132:P132)&lt;($L132-12),12,$L132-SUM($O132:P132)))</f>
        <v>12</v>
      </c>
      <c r="R132" s="1101">
        <f>IF($BH132=0,0,IF(SUM($O132:Q132)&lt;($L132-12),12,$L132-SUM($O132:Q132)))</f>
        <v>4.9990756025090768</v>
      </c>
      <c r="S132" s="1101">
        <f>IF($BH132=0,0,IF(SUM($O132:R132)&lt;($L132-12),12,$L132-SUM($O132:R132)))</f>
        <v>0</v>
      </c>
      <c r="U132" s="1100"/>
      <c r="V132" s="1100">
        <f>'ANSP Capex'!T128</f>
        <v>0</v>
      </c>
      <c r="W132" s="1101">
        <f>IF($BI132=0,0,IF(SUM($U132:V132)&lt;($L132-12),12,$L132-SUM($U132:V132)))</f>
        <v>0</v>
      </c>
      <c r="X132" s="1101">
        <f>IF($BI132=0,0,IF(SUM($U132:W132)&lt;($L132-12),12,$L132-SUM($U132:W132)))</f>
        <v>0</v>
      </c>
      <c r="Y132" s="1101">
        <f>IF($BI132=0,0,IF(SUM($U132:X132)&lt;($L132-12),12,$L132-SUM($U132:X132)))</f>
        <v>0</v>
      </c>
      <c r="AA132" s="1100"/>
      <c r="AB132" s="1100"/>
      <c r="AC132" s="1100">
        <f>'ANSP Capex'!AA128</f>
        <v>0</v>
      </c>
      <c r="AD132" s="1101">
        <f>IF($BJ132=0,0,IF(SUM($AA132:AC132)&lt;($L132-12),12,$L132-SUM($AA132:AC132)))</f>
        <v>0</v>
      </c>
      <c r="AE132" s="1101">
        <f>IF($BJ132=0,0,IF(SUM($AA132:AD132)&lt;($L132-12),12,$L132-SUM($AA132:AD132)))</f>
        <v>0</v>
      </c>
      <c r="AG132" s="1100"/>
      <c r="AH132" s="1100"/>
      <c r="AI132" s="1100"/>
      <c r="AJ132" s="1100">
        <f>'ANSP Capex'!AH128</f>
        <v>0</v>
      </c>
      <c r="AK132" s="1101">
        <f>IF($BK132=0,0,IF(SUM($AG132:AJ132)&lt;($L132-12),12,$L132-SUM($AG132:AJ132)))</f>
        <v>0</v>
      </c>
      <c r="AM132" s="1100"/>
      <c r="AN132" s="1100"/>
      <c r="AO132" s="1100"/>
      <c r="AP132" s="1100"/>
      <c r="AQ132" s="1100">
        <f>'ANSP Capex'!AO128</f>
        <v>0</v>
      </c>
      <c r="AS132" s="153">
        <f t="shared" si="11"/>
        <v>0.58341036645757682</v>
      </c>
      <c r="AT132" s="153">
        <f t="shared" si="12"/>
        <v>0</v>
      </c>
      <c r="AU132" s="153">
        <f t="shared" si="13"/>
        <v>0</v>
      </c>
      <c r="AV132" s="153">
        <f t="shared" si="14"/>
        <v>0</v>
      </c>
      <c r="AW132" s="153">
        <f t="shared" si="15"/>
        <v>0</v>
      </c>
      <c r="AX132" s="153"/>
      <c r="AY132" s="1543">
        <f>'ANSP Capex'!AW128</f>
        <v>0.75</v>
      </c>
      <c r="AZ132" s="1102"/>
      <c r="BA132" s="1543">
        <f>'ANSP Capex'!AY128</f>
        <v>0.25</v>
      </c>
      <c r="BC132" s="1126"/>
      <c r="BD132" s="1126"/>
      <c r="BE132" s="1126"/>
      <c r="BF132" s="1126"/>
      <c r="BG132" s="1126"/>
      <c r="BH132" s="1126">
        <f>'ANSP Capex'!BF128*IF($I132="",(1+INDEX($I$41:$I$42,MATCH($F132,$F$41:$F$42,0))),(1+$I132))</f>
        <v>0.60580000000000001</v>
      </c>
      <c r="BI132" s="1126">
        <f>'ANSP Capex'!BG128*IF($I132="",(1+INDEX($I$41:$I$42,MATCH($F132,$F$41:$F$42,0))),(1+$I132))</f>
        <v>0</v>
      </c>
      <c r="BJ132" s="1126">
        <f>'ANSP Capex'!BH128*IF($I132="",(1+INDEX($I$41:$I$42,MATCH($F132,$F$41:$F$42,0))),(1+$I132))</f>
        <v>0</v>
      </c>
      <c r="BK132" s="1126">
        <f>'ANSP Capex'!BI128*IF($I132="",(1+INDEX($I$41:$I$42,MATCH($F132,$F$41:$F$42,0))),(1+$I132))</f>
        <v>0</v>
      </c>
      <c r="BL132" s="1126">
        <f>'ANSP Capex'!BJ128*IF($I132="",(1+INDEX($I$41:$I$42,MATCH($F132,$F$41:$F$42,0))),(1+$I132))</f>
        <v>0</v>
      </c>
    </row>
    <row r="133" spans="1:64" outlineLevel="2">
      <c r="A133" s="1094"/>
      <c r="B133" s="1094"/>
      <c r="C133" s="1083" t="str">
        <f>'ANSP Capex'!C129</f>
        <v>T017 - TOSHIBA W20008079</v>
      </c>
      <c r="D133" s="1083" t="str">
        <f>'ANSP Capex'!D129</f>
        <v>IT Equipment</v>
      </c>
      <c r="E133" s="1083" t="str">
        <f>'ANSP Capex'!E129</f>
        <v>T0170271</v>
      </c>
      <c r="F133" s="1083">
        <f>'ANSP Capex'!F129</f>
        <v>2020</v>
      </c>
      <c r="G133" s="1101">
        <f t="shared" si="8"/>
        <v>0.60580000000000001</v>
      </c>
      <c r="H133" s="1083" t="str">
        <f>'ANSP Capex'!H129</f>
        <v>€'000</v>
      </c>
      <c r="I133" s="829"/>
      <c r="J133" s="1097">
        <f>'ANSP Capex'!I129</f>
        <v>3</v>
      </c>
      <c r="K133" s="1124">
        <v>0</v>
      </c>
      <c r="L133" s="1098">
        <f t="shared" si="9"/>
        <v>36</v>
      </c>
      <c r="M133" s="153">
        <f t="shared" si="10"/>
        <v>0.33333333333333331</v>
      </c>
      <c r="N133" s="1099"/>
      <c r="O133" s="1100">
        <f>'ANSP Capex'!M129</f>
        <v>7.0009243974909223</v>
      </c>
      <c r="P133" s="1101">
        <f>IF($BH133=0,0,IF(SUM($O133:O133)&lt;($L133-12),12,$L133-SUM($O133:O133)))</f>
        <v>12</v>
      </c>
      <c r="Q133" s="1101">
        <f>IF($BH133=0,0,IF(SUM($O133:P133)&lt;($L133-12),12,$L133-SUM($O133:P133)))</f>
        <v>12</v>
      </c>
      <c r="R133" s="1101">
        <f>IF($BH133=0,0,IF(SUM($O133:Q133)&lt;($L133-12),12,$L133-SUM($O133:Q133)))</f>
        <v>4.9990756025090768</v>
      </c>
      <c r="S133" s="1101">
        <f>IF($BH133=0,0,IF(SUM($O133:R133)&lt;($L133-12),12,$L133-SUM($O133:R133)))</f>
        <v>0</v>
      </c>
      <c r="U133" s="1100"/>
      <c r="V133" s="1100">
        <f>'ANSP Capex'!T129</f>
        <v>0</v>
      </c>
      <c r="W133" s="1101">
        <f>IF($BI133=0,0,IF(SUM($U133:V133)&lt;($L133-12),12,$L133-SUM($U133:V133)))</f>
        <v>0</v>
      </c>
      <c r="X133" s="1101">
        <f>IF($BI133=0,0,IF(SUM($U133:W133)&lt;($L133-12),12,$L133-SUM($U133:W133)))</f>
        <v>0</v>
      </c>
      <c r="Y133" s="1101">
        <f>IF($BI133=0,0,IF(SUM($U133:X133)&lt;($L133-12),12,$L133-SUM($U133:X133)))</f>
        <v>0</v>
      </c>
      <c r="AA133" s="1100"/>
      <c r="AB133" s="1100"/>
      <c r="AC133" s="1100">
        <f>'ANSP Capex'!AA129</f>
        <v>0</v>
      </c>
      <c r="AD133" s="1101">
        <f>IF($BJ133=0,0,IF(SUM($AA133:AC133)&lt;($L133-12),12,$L133-SUM($AA133:AC133)))</f>
        <v>0</v>
      </c>
      <c r="AE133" s="1101">
        <f>IF($BJ133=0,0,IF(SUM($AA133:AD133)&lt;($L133-12),12,$L133-SUM($AA133:AD133)))</f>
        <v>0</v>
      </c>
      <c r="AG133" s="1100"/>
      <c r="AH133" s="1100"/>
      <c r="AI133" s="1100"/>
      <c r="AJ133" s="1100">
        <f>'ANSP Capex'!AH129</f>
        <v>0</v>
      </c>
      <c r="AK133" s="1101">
        <f>IF($BK133=0,0,IF(SUM($AG133:AJ133)&lt;($L133-12),12,$L133-SUM($AG133:AJ133)))</f>
        <v>0</v>
      </c>
      <c r="AM133" s="1100"/>
      <c r="AN133" s="1100"/>
      <c r="AO133" s="1100"/>
      <c r="AP133" s="1100"/>
      <c r="AQ133" s="1100">
        <f>'ANSP Capex'!AO129</f>
        <v>0</v>
      </c>
      <c r="AS133" s="153">
        <f t="shared" si="11"/>
        <v>0.58341036645757682</v>
      </c>
      <c r="AT133" s="153">
        <f t="shared" si="12"/>
        <v>0</v>
      </c>
      <c r="AU133" s="153">
        <f t="shared" si="13"/>
        <v>0</v>
      </c>
      <c r="AV133" s="153">
        <f t="shared" si="14"/>
        <v>0</v>
      </c>
      <c r="AW133" s="153">
        <f t="shared" si="15"/>
        <v>0</v>
      </c>
      <c r="AX133" s="153"/>
      <c r="AY133" s="1543">
        <f>'ANSP Capex'!AW129</f>
        <v>0.75</v>
      </c>
      <c r="AZ133" s="1102"/>
      <c r="BA133" s="1543">
        <f>'ANSP Capex'!AY129</f>
        <v>0.25</v>
      </c>
      <c r="BC133" s="1126"/>
      <c r="BD133" s="1126"/>
      <c r="BE133" s="1126"/>
      <c r="BF133" s="1126"/>
      <c r="BG133" s="1126"/>
      <c r="BH133" s="1126">
        <f>'ANSP Capex'!BF129*IF($I133="",(1+INDEX($I$41:$I$42,MATCH($F133,$F$41:$F$42,0))),(1+$I133))</f>
        <v>0.60580000000000001</v>
      </c>
      <c r="BI133" s="1126">
        <f>'ANSP Capex'!BG129*IF($I133="",(1+INDEX($I$41:$I$42,MATCH($F133,$F$41:$F$42,0))),(1+$I133))</f>
        <v>0</v>
      </c>
      <c r="BJ133" s="1126">
        <f>'ANSP Capex'!BH129*IF($I133="",(1+INDEX($I$41:$I$42,MATCH($F133,$F$41:$F$42,0))),(1+$I133))</f>
        <v>0</v>
      </c>
      <c r="BK133" s="1126">
        <f>'ANSP Capex'!BI129*IF($I133="",(1+INDEX($I$41:$I$42,MATCH($F133,$F$41:$F$42,0))),(1+$I133))</f>
        <v>0</v>
      </c>
      <c r="BL133" s="1126">
        <f>'ANSP Capex'!BJ129*IF($I133="",(1+INDEX($I$41:$I$42,MATCH($F133,$F$41:$F$42,0))),(1+$I133))</f>
        <v>0</v>
      </c>
    </row>
    <row r="134" spans="1:64" outlineLevel="2">
      <c r="A134" s="1094"/>
      <c r="B134" s="1094"/>
      <c r="C134" s="1083" t="str">
        <f>'ANSP Capex'!C130</f>
        <v>T017 - HP250G7 CORE W20008101</v>
      </c>
      <c r="D134" s="1083" t="str">
        <f>'ANSP Capex'!D130</f>
        <v>IT Equipment</v>
      </c>
      <c r="E134" s="1083" t="str">
        <f>'ANSP Capex'!E130</f>
        <v>T0170286</v>
      </c>
      <c r="F134" s="1083">
        <f>'ANSP Capex'!F130</f>
        <v>2020</v>
      </c>
      <c r="G134" s="1101">
        <f t="shared" si="8"/>
        <v>0.69499999999999995</v>
      </c>
      <c r="H134" s="1083" t="str">
        <f>'ANSP Capex'!H130</f>
        <v>€'000</v>
      </c>
      <c r="I134" s="829"/>
      <c r="J134" s="1097">
        <f>'ANSP Capex'!I130</f>
        <v>3</v>
      </c>
      <c r="K134" s="1124">
        <v>0</v>
      </c>
      <c r="L134" s="1098">
        <f t="shared" si="9"/>
        <v>36</v>
      </c>
      <c r="M134" s="153">
        <f t="shared" si="10"/>
        <v>0.33333333333333331</v>
      </c>
      <c r="N134" s="1099"/>
      <c r="O134" s="1100">
        <f>'ANSP Capex'!M130</f>
        <v>7.0010935251798552</v>
      </c>
      <c r="P134" s="1101">
        <f>IF($BH134=0,0,IF(SUM($O134:O134)&lt;($L134-12),12,$L134-SUM($O134:O134)))</f>
        <v>12</v>
      </c>
      <c r="Q134" s="1101">
        <f>IF($BH134=0,0,IF(SUM($O134:P134)&lt;($L134-12),12,$L134-SUM($O134:P134)))</f>
        <v>12</v>
      </c>
      <c r="R134" s="1101">
        <f>IF($BH134=0,0,IF(SUM($O134:Q134)&lt;($L134-12),12,$L134-SUM($O134:Q134)))</f>
        <v>4.9989064748201457</v>
      </c>
      <c r="S134" s="1101">
        <f>IF($BH134=0,0,IF(SUM($O134:R134)&lt;($L134-12),12,$L134-SUM($O134:R134)))</f>
        <v>0</v>
      </c>
      <c r="U134" s="1100"/>
      <c r="V134" s="1100">
        <f>'ANSP Capex'!T130</f>
        <v>0</v>
      </c>
      <c r="W134" s="1101">
        <f>IF($BI134=0,0,IF(SUM($U134:V134)&lt;($L134-12),12,$L134-SUM($U134:V134)))</f>
        <v>0</v>
      </c>
      <c r="X134" s="1101">
        <f>IF($BI134=0,0,IF(SUM($U134:W134)&lt;($L134-12),12,$L134-SUM($U134:W134)))</f>
        <v>0</v>
      </c>
      <c r="Y134" s="1101">
        <f>IF($BI134=0,0,IF(SUM($U134:X134)&lt;($L134-12),12,$L134-SUM($U134:X134)))</f>
        <v>0</v>
      </c>
      <c r="AA134" s="1100"/>
      <c r="AB134" s="1100"/>
      <c r="AC134" s="1100">
        <f>'ANSP Capex'!AA130</f>
        <v>0</v>
      </c>
      <c r="AD134" s="1101">
        <f>IF($BJ134=0,0,IF(SUM($AA134:AC134)&lt;($L134-12),12,$L134-SUM($AA134:AC134)))</f>
        <v>0</v>
      </c>
      <c r="AE134" s="1101">
        <f>IF($BJ134=0,0,IF(SUM($AA134:AD134)&lt;($L134-12),12,$L134-SUM($AA134:AD134)))</f>
        <v>0</v>
      </c>
      <c r="AG134" s="1100"/>
      <c r="AH134" s="1100"/>
      <c r="AI134" s="1100"/>
      <c r="AJ134" s="1100">
        <f>'ANSP Capex'!AH130</f>
        <v>0</v>
      </c>
      <c r="AK134" s="1101">
        <f>IF($BK134=0,0,IF(SUM($AG134:AJ134)&lt;($L134-12),12,$L134-SUM($AG134:AJ134)))</f>
        <v>0</v>
      </c>
      <c r="AM134" s="1100"/>
      <c r="AN134" s="1100"/>
      <c r="AO134" s="1100"/>
      <c r="AP134" s="1100"/>
      <c r="AQ134" s="1100">
        <f>'ANSP Capex'!AO130</f>
        <v>0</v>
      </c>
      <c r="AS134" s="153">
        <f t="shared" si="11"/>
        <v>0.58342446043165463</v>
      </c>
      <c r="AT134" s="153">
        <f t="shared" si="12"/>
        <v>0</v>
      </c>
      <c r="AU134" s="153">
        <f t="shared" si="13"/>
        <v>0</v>
      </c>
      <c r="AV134" s="153">
        <f t="shared" si="14"/>
        <v>0</v>
      </c>
      <c r="AW134" s="153">
        <f t="shared" si="15"/>
        <v>0</v>
      </c>
      <c r="AX134" s="153"/>
      <c r="AY134" s="1543">
        <f>'ANSP Capex'!AW130</f>
        <v>0.75</v>
      </c>
      <c r="AZ134" s="1102"/>
      <c r="BA134" s="1543">
        <f>'ANSP Capex'!AY130</f>
        <v>0.25</v>
      </c>
      <c r="BC134" s="1126"/>
      <c r="BD134" s="1126"/>
      <c r="BE134" s="1126"/>
      <c r="BF134" s="1126"/>
      <c r="BG134" s="1126"/>
      <c r="BH134" s="1126">
        <f>'ANSP Capex'!BF130*IF($I134="",(1+INDEX($I$41:$I$42,MATCH($F134,$F$41:$F$42,0))),(1+$I134))</f>
        <v>0.69499999999999995</v>
      </c>
      <c r="BI134" s="1126">
        <f>'ANSP Capex'!BG130*IF($I134="",(1+INDEX($I$41:$I$42,MATCH($F134,$F$41:$F$42,0))),(1+$I134))</f>
        <v>0</v>
      </c>
      <c r="BJ134" s="1126">
        <f>'ANSP Capex'!BH130*IF($I134="",(1+INDEX($I$41:$I$42,MATCH($F134,$F$41:$F$42,0))),(1+$I134))</f>
        <v>0</v>
      </c>
      <c r="BK134" s="1126">
        <f>'ANSP Capex'!BI130*IF($I134="",(1+INDEX($I$41:$I$42,MATCH($F134,$F$41:$F$42,0))),(1+$I134))</f>
        <v>0</v>
      </c>
      <c r="BL134" s="1126">
        <f>'ANSP Capex'!BJ130*IF($I134="",(1+INDEX($I$41:$I$42,MATCH($F134,$F$41:$F$42,0))),(1+$I134))</f>
        <v>0</v>
      </c>
    </row>
    <row r="135" spans="1:64" outlineLevel="2">
      <c r="A135" s="1094"/>
      <c r="B135" s="1094"/>
      <c r="C135" s="1083" t="str">
        <f>'ANSP Capex'!C131</f>
        <v>T017 - HP250G7 CORE W20008103</v>
      </c>
      <c r="D135" s="1083" t="str">
        <f>'ANSP Capex'!D131</f>
        <v>IT Equipment</v>
      </c>
      <c r="E135" s="1083" t="str">
        <f>'ANSP Capex'!E131</f>
        <v>T0170288</v>
      </c>
      <c r="F135" s="1083">
        <f>'ANSP Capex'!F131</f>
        <v>2020</v>
      </c>
      <c r="G135" s="1101">
        <f t="shared" si="8"/>
        <v>0.69499999999999995</v>
      </c>
      <c r="H135" s="1083" t="str">
        <f>'ANSP Capex'!H131</f>
        <v>€'000</v>
      </c>
      <c r="I135" s="829"/>
      <c r="J135" s="1097">
        <f>'ANSP Capex'!I131</f>
        <v>3</v>
      </c>
      <c r="K135" s="1124">
        <v>0</v>
      </c>
      <c r="L135" s="1098">
        <f t="shared" si="9"/>
        <v>36</v>
      </c>
      <c r="M135" s="153">
        <f t="shared" si="10"/>
        <v>0.33333333333333331</v>
      </c>
      <c r="N135" s="1099"/>
      <c r="O135" s="1100">
        <f>'ANSP Capex'!M131</f>
        <v>7.0010935251798552</v>
      </c>
      <c r="P135" s="1101">
        <f>IF($BH135=0,0,IF(SUM($O135:O135)&lt;($L135-12),12,$L135-SUM($O135:O135)))</f>
        <v>12</v>
      </c>
      <c r="Q135" s="1101">
        <f>IF($BH135=0,0,IF(SUM($O135:P135)&lt;($L135-12),12,$L135-SUM($O135:P135)))</f>
        <v>12</v>
      </c>
      <c r="R135" s="1101">
        <f>IF($BH135=0,0,IF(SUM($O135:Q135)&lt;($L135-12),12,$L135-SUM($O135:Q135)))</f>
        <v>4.9989064748201457</v>
      </c>
      <c r="S135" s="1101">
        <f>IF($BH135=0,0,IF(SUM($O135:R135)&lt;($L135-12),12,$L135-SUM($O135:R135)))</f>
        <v>0</v>
      </c>
      <c r="U135" s="1100"/>
      <c r="V135" s="1100">
        <f>'ANSP Capex'!T131</f>
        <v>0</v>
      </c>
      <c r="W135" s="1101">
        <f>IF($BI135=0,0,IF(SUM($U135:V135)&lt;($L135-12),12,$L135-SUM($U135:V135)))</f>
        <v>0</v>
      </c>
      <c r="X135" s="1101">
        <f>IF($BI135=0,0,IF(SUM($U135:W135)&lt;($L135-12),12,$L135-SUM($U135:W135)))</f>
        <v>0</v>
      </c>
      <c r="Y135" s="1101">
        <f>IF($BI135=0,0,IF(SUM($U135:X135)&lt;($L135-12),12,$L135-SUM($U135:X135)))</f>
        <v>0</v>
      </c>
      <c r="AA135" s="1100"/>
      <c r="AB135" s="1100"/>
      <c r="AC135" s="1100">
        <f>'ANSP Capex'!AA131</f>
        <v>0</v>
      </c>
      <c r="AD135" s="1101">
        <f>IF($BJ135=0,0,IF(SUM($AA135:AC135)&lt;($L135-12),12,$L135-SUM($AA135:AC135)))</f>
        <v>0</v>
      </c>
      <c r="AE135" s="1101">
        <f>IF($BJ135=0,0,IF(SUM($AA135:AD135)&lt;($L135-12),12,$L135-SUM($AA135:AD135)))</f>
        <v>0</v>
      </c>
      <c r="AG135" s="1100"/>
      <c r="AH135" s="1100"/>
      <c r="AI135" s="1100"/>
      <c r="AJ135" s="1100">
        <f>'ANSP Capex'!AH131</f>
        <v>0</v>
      </c>
      <c r="AK135" s="1101">
        <f>IF($BK135=0,0,IF(SUM($AG135:AJ135)&lt;($L135-12),12,$L135-SUM($AG135:AJ135)))</f>
        <v>0</v>
      </c>
      <c r="AM135" s="1100"/>
      <c r="AN135" s="1100"/>
      <c r="AO135" s="1100"/>
      <c r="AP135" s="1100"/>
      <c r="AQ135" s="1100">
        <f>'ANSP Capex'!AO131</f>
        <v>0</v>
      </c>
      <c r="AS135" s="153">
        <f t="shared" si="11"/>
        <v>0.58342446043165463</v>
      </c>
      <c r="AT135" s="153">
        <f t="shared" si="12"/>
        <v>0</v>
      </c>
      <c r="AU135" s="153">
        <f t="shared" si="13"/>
        <v>0</v>
      </c>
      <c r="AV135" s="153">
        <f t="shared" si="14"/>
        <v>0</v>
      </c>
      <c r="AW135" s="153">
        <f t="shared" si="15"/>
        <v>0</v>
      </c>
      <c r="AX135" s="153"/>
      <c r="AY135" s="1543">
        <f>'ANSP Capex'!AW131</f>
        <v>0.75</v>
      </c>
      <c r="AZ135" s="1102"/>
      <c r="BA135" s="1543">
        <f>'ANSP Capex'!AY131</f>
        <v>0.25</v>
      </c>
      <c r="BC135" s="1126"/>
      <c r="BD135" s="1126"/>
      <c r="BE135" s="1126"/>
      <c r="BF135" s="1126"/>
      <c r="BG135" s="1126"/>
      <c r="BH135" s="1126">
        <f>'ANSP Capex'!BF131*IF($I135="",(1+INDEX($I$41:$I$42,MATCH($F135,$F$41:$F$42,0))),(1+$I135))</f>
        <v>0.69499999999999995</v>
      </c>
      <c r="BI135" s="1126">
        <f>'ANSP Capex'!BG131*IF($I135="",(1+INDEX($I$41:$I$42,MATCH($F135,$F$41:$F$42,0))),(1+$I135))</f>
        <v>0</v>
      </c>
      <c r="BJ135" s="1126">
        <f>'ANSP Capex'!BH131*IF($I135="",(1+INDEX($I$41:$I$42,MATCH($F135,$F$41:$F$42,0))),(1+$I135))</f>
        <v>0</v>
      </c>
      <c r="BK135" s="1126">
        <f>'ANSP Capex'!BI131*IF($I135="",(1+INDEX($I$41:$I$42,MATCH($F135,$F$41:$F$42,0))),(1+$I135))</f>
        <v>0</v>
      </c>
      <c r="BL135" s="1126">
        <f>'ANSP Capex'!BJ131*IF($I135="",(1+INDEX($I$41:$I$42,MATCH($F135,$F$41:$F$42,0))),(1+$I135))</f>
        <v>0</v>
      </c>
    </row>
    <row r="136" spans="1:64" outlineLevel="2">
      <c r="A136" s="1094"/>
      <c r="B136" s="1094"/>
      <c r="C136" s="1083" t="str">
        <f>'ANSP Capex'!C132</f>
        <v>T017 - OPTIPLEX5060 W20007789</v>
      </c>
      <c r="D136" s="1083" t="str">
        <f>'ANSP Capex'!D132</f>
        <v>IT Equipment</v>
      </c>
      <c r="E136" s="1083" t="str">
        <f>'ANSP Capex'!E132</f>
        <v>T0170289</v>
      </c>
      <c r="F136" s="1083">
        <f>'ANSP Capex'!F132</f>
        <v>2020</v>
      </c>
      <c r="G136" s="1101">
        <f t="shared" si="8"/>
        <v>0.6</v>
      </c>
      <c r="H136" s="1083" t="str">
        <f>'ANSP Capex'!H132</f>
        <v>€'000</v>
      </c>
      <c r="I136" s="829"/>
      <c r="J136" s="1097">
        <f>'ANSP Capex'!I132</f>
        <v>3</v>
      </c>
      <c r="K136" s="1124">
        <v>0</v>
      </c>
      <c r="L136" s="1098">
        <f t="shared" si="9"/>
        <v>36</v>
      </c>
      <c r="M136" s="153">
        <f t="shared" si="10"/>
        <v>0.33333333333333331</v>
      </c>
      <c r="N136" s="1099"/>
      <c r="O136" s="1100">
        <f>'ANSP Capex'!M132</f>
        <v>12.002399999999998</v>
      </c>
      <c r="P136" s="1101">
        <f>IF($BH136=0,0,IF(SUM($O136:O136)&lt;($L136-12),12,$L136-SUM($O136:O136)))</f>
        <v>12</v>
      </c>
      <c r="Q136" s="1101">
        <f>IF($BH136=0,0,IF(SUM($O136:P136)&lt;($L136-12),12,$L136-SUM($O136:P136)))</f>
        <v>11.997600000000002</v>
      </c>
      <c r="R136" s="1101">
        <f>IF($BH136=0,0,IF(SUM($O136:Q136)&lt;($L136-12),12,$L136-SUM($O136:Q136)))</f>
        <v>0</v>
      </c>
      <c r="S136" s="1101">
        <f>IF($BH136=0,0,IF(SUM($O136:R136)&lt;($L136-12),12,$L136-SUM($O136:R136)))</f>
        <v>0</v>
      </c>
      <c r="U136" s="1100"/>
      <c r="V136" s="1100">
        <f>'ANSP Capex'!T132</f>
        <v>0</v>
      </c>
      <c r="W136" s="1101">
        <f>IF($BI136=0,0,IF(SUM($U136:V136)&lt;($L136-12),12,$L136-SUM($U136:V136)))</f>
        <v>0</v>
      </c>
      <c r="X136" s="1101">
        <f>IF($BI136=0,0,IF(SUM($U136:W136)&lt;($L136-12),12,$L136-SUM($U136:W136)))</f>
        <v>0</v>
      </c>
      <c r="Y136" s="1101">
        <f>IF($BI136=0,0,IF(SUM($U136:X136)&lt;($L136-12),12,$L136-SUM($U136:X136)))</f>
        <v>0</v>
      </c>
      <c r="AA136" s="1100"/>
      <c r="AB136" s="1100"/>
      <c r="AC136" s="1100">
        <f>'ANSP Capex'!AA132</f>
        <v>0</v>
      </c>
      <c r="AD136" s="1101">
        <f>IF($BJ136=0,0,IF(SUM($AA136:AC136)&lt;($L136-12),12,$L136-SUM($AA136:AC136)))</f>
        <v>0</v>
      </c>
      <c r="AE136" s="1101">
        <f>IF($BJ136=0,0,IF(SUM($AA136:AD136)&lt;($L136-12),12,$L136-SUM($AA136:AD136)))</f>
        <v>0</v>
      </c>
      <c r="AG136" s="1100"/>
      <c r="AH136" s="1100"/>
      <c r="AI136" s="1100"/>
      <c r="AJ136" s="1100">
        <f>'ANSP Capex'!AH132</f>
        <v>0</v>
      </c>
      <c r="AK136" s="1101">
        <f>IF($BK136=0,0,IF(SUM($AG136:AJ136)&lt;($L136-12),12,$L136-SUM($AG136:AJ136)))</f>
        <v>0</v>
      </c>
      <c r="AM136" s="1100"/>
      <c r="AN136" s="1100"/>
      <c r="AO136" s="1100"/>
      <c r="AP136" s="1100"/>
      <c r="AQ136" s="1100">
        <f>'ANSP Capex'!AO132</f>
        <v>0</v>
      </c>
      <c r="AS136" s="153">
        <f t="shared" si="11"/>
        <v>1.0001999999999998</v>
      </c>
      <c r="AT136" s="153">
        <f t="shared" si="12"/>
        <v>0</v>
      </c>
      <c r="AU136" s="153">
        <f t="shared" si="13"/>
        <v>0</v>
      </c>
      <c r="AV136" s="153">
        <f t="shared" si="14"/>
        <v>0</v>
      </c>
      <c r="AW136" s="153">
        <f t="shared" si="15"/>
        <v>0</v>
      </c>
      <c r="AX136" s="153"/>
      <c r="AY136" s="1543">
        <f>'ANSP Capex'!AW132</f>
        <v>0.75</v>
      </c>
      <c r="AZ136" s="1102"/>
      <c r="BA136" s="1543">
        <f>'ANSP Capex'!AY132</f>
        <v>0.25</v>
      </c>
      <c r="BC136" s="1126"/>
      <c r="BD136" s="1126"/>
      <c r="BE136" s="1126"/>
      <c r="BF136" s="1126"/>
      <c r="BG136" s="1126"/>
      <c r="BH136" s="1126">
        <f>'ANSP Capex'!BF132*IF($I136="",(1+INDEX($I$41:$I$42,MATCH($F136,$F$41:$F$42,0))),(1+$I136))</f>
        <v>0.6</v>
      </c>
      <c r="BI136" s="1126">
        <f>'ANSP Capex'!BG132*IF($I136="",(1+INDEX($I$41:$I$42,MATCH($F136,$F$41:$F$42,0))),(1+$I136))</f>
        <v>0</v>
      </c>
      <c r="BJ136" s="1126">
        <f>'ANSP Capex'!BH132*IF($I136="",(1+INDEX($I$41:$I$42,MATCH($F136,$F$41:$F$42,0))),(1+$I136))</f>
        <v>0</v>
      </c>
      <c r="BK136" s="1126">
        <f>'ANSP Capex'!BI132*IF($I136="",(1+INDEX($I$41:$I$42,MATCH($F136,$F$41:$F$42,0))),(1+$I136))</f>
        <v>0</v>
      </c>
      <c r="BL136" s="1126">
        <f>'ANSP Capex'!BJ132*IF($I136="",(1+INDEX($I$41:$I$42,MATCH($F136,$F$41:$F$42,0))),(1+$I136))</f>
        <v>0</v>
      </c>
    </row>
    <row r="137" spans="1:64" outlineLevel="2">
      <c r="A137" s="1094"/>
      <c r="B137" s="1094"/>
      <c r="C137" s="1083" t="str">
        <f>'ANSP Capex'!C133</f>
        <v>T017 - QUEST W20007746</v>
      </c>
      <c r="D137" s="1083" t="str">
        <f>'ANSP Capex'!D133</f>
        <v>IT Equipment</v>
      </c>
      <c r="E137" s="1083" t="str">
        <f>'ANSP Capex'!E133</f>
        <v>T0170295</v>
      </c>
      <c r="F137" s="1083">
        <f>'ANSP Capex'!F133</f>
        <v>2020</v>
      </c>
      <c r="G137" s="1101">
        <f t="shared" si="8"/>
        <v>2.6737600000000001</v>
      </c>
      <c r="H137" s="1083" t="str">
        <f>'ANSP Capex'!H133</f>
        <v>€'000</v>
      </c>
      <c r="I137" s="829"/>
      <c r="J137" s="1097">
        <f>'ANSP Capex'!I133</f>
        <v>3</v>
      </c>
      <c r="K137" s="1124">
        <v>0</v>
      </c>
      <c r="L137" s="1098">
        <f t="shared" si="9"/>
        <v>36</v>
      </c>
      <c r="M137" s="153">
        <f t="shared" si="10"/>
        <v>0.33333333333333331</v>
      </c>
      <c r="N137" s="1099"/>
      <c r="O137" s="1100">
        <f>'ANSP Capex'!M133</f>
        <v>0.99998503979414755</v>
      </c>
      <c r="P137" s="1101">
        <f>IF($BH137=0,0,IF(SUM($O137:O137)&lt;($L137-12),12,$L137-SUM($O137:O137)))</f>
        <v>12</v>
      </c>
      <c r="Q137" s="1101">
        <f>IF($BH137=0,0,IF(SUM($O137:P137)&lt;($L137-12),12,$L137-SUM($O137:P137)))</f>
        <v>12</v>
      </c>
      <c r="R137" s="1101">
        <f>IF($BH137=0,0,IF(SUM($O137:Q137)&lt;($L137-12),12,$L137-SUM($O137:Q137)))</f>
        <v>11.000014960205853</v>
      </c>
      <c r="S137" s="1101">
        <f>IF($BH137=0,0,IF(SUM($O137:R137)&lt;($L137-12),12,$L137-SUM($O137:R137)))</f>
        <v>0</v>
      </c>
      <c r="U137" s="1100"/>
      <c r="V137" s="1100">
        <f>'ANSP Capex'!T133</f>
        <v>0</v>
      </c>
      <c r="W137" s="1101">
        <f>IF($BI137=0,0,IF(SUM($U137:V137)&lt;($L137-12),12,$L137-SUM($U137:V137)))</f>
        <v>0</v>
      </c>
      <c r="X137" s="1101">
        <f>IF($BI137=0,0,IF(SUM($U137:W137)&lt;($L137-12),12,$L137-SUM($U137:W137)))</f>
        <v>0</v>
      </c>
      <c r="Y137" s="1101">
        <f>IF($BI137=0,0,IF(SUM($U137:X137)&lt;($L137-12),12,$L137-SUM($U137:X137)))</f>
        <v>0</v>
      </c>
      <c r="AA137" s="1100"/>
      <c r="AB137" s="1100"/>
      <c r="AC137" s="1100">
        <f>'ANSP Capex'!AA133</f>
        <v>0</v>
      </c>
      <c r="AD137" s="1101">
        <f>IF($BJ137=0,0,IF(SUM($AA137:AC137)&lt;($L137-12),12,$L137-SUM($AA137:AC137)))</f>
        <v>0</v>
      </c>
      <c r="AE137" s="1101">
        <f>IF($BJ137=0,0,IF(SUM($AA137:AD137)&lt;($L137-12),12,$L137-SUM($AA137:AD137)))</f>
        <v>0</v>
      </c>
      <c r="AG137" s="1100"/>
      <c r="AH137" s="1100"/>
      <c r="AI137" s="1100"/>
      <c r="AJ137" s="1100">
        <f>'ANSP Capex'!AH133</f>
        <v>0</v>
      </c>
      <c r="AK137" s="1101">
        <f>IF($BK137=0,0,IF(SUM($AG137:AJ137)&lt;($L137-12),12,$L137-SUM($AG137:AJ137)))</f>
        <v>0</v>
      </c>
      <c r="AM137" s="1100"/>
      <c r="AN137" s="1100"/>
      <c r="AO137" s="1100"/>
      <c r="AP137" s="1100"/>
      <c r="AQ137" s="1100">
        <f>'ANSP Capex'!AO133</f>
        <v>0</v>
      </c>
      <c r="AS137" s="153">
        <f t="shared" si="11"/>
        <v>8.3332086649512291E-2</v>
      </c>
      <c r="AT137" s="153">
        <f t="shared" si="12"/>
        <v>0</v>
      </c>
      <c r="AU137" s="153">
        <f t="shared" si="13"/>
        <v>0</v>
      </c>
      <c r="AV137" s="153">
        <f t="shared" si="14"/>
        <v>0</v>
      </c>
      <c r="AW137" s="153">
        <f t="shared" si="15"/>
        <v>0</v>
      </c>
      <c r="AX137" s="153"/>
      <c r="AY137" s="1543">
        <f>'ANSP Capex'!AW133</f>
        <v>0.75</v>
      </c>
      <c r="AZ137" s="1102"/>
      <c r="BA137" s="1543">
        <f>'ANSP Capex'!AY133</f>
        <v>0.25</v>
      </c>
      <c r="BC137" s="1126"/>
      <c r="BD137" s="1126"/>
      <c r="BE137" s="1126"/>
      <c r="BF137" s="1126"/>
      <c r="BG137" s="1126"/>
      <c r="BH137" s="1126">
        <f>'ANSP Capex'!BF133*IF($I137="",(1+INDEX($I$41:$I$42,MATCH($F137,$F$41:$F$42,0))),(1+$I137))</f>
        <v>2.6737600000000001</v>
      </c>
      <c r="BI137" s="1126">
        <f>'ANSP Capex'!BG133*IF($I137="",(1+INDEX($I$41:$I$42,MATCH($F137,$F$41:$F$42,0))),(1+$I137))</f>
        <v>0</v>
      </c>
      <c r="BJ137" s="1126">
        <f>'ANSP Capex'!BH133*IF($I137="",(1+INDEX($I$41:$I$42,MATCH($F137,$F$41:$F$42,0))),(1+$I137))</f>
        <v>0</v>
      </c>
      <c r="BK137" s="1126">
        <f>'ANSP Capex'!BI133*IF($I137="",(1+INDEX($I$41:$I$42,MATCH($F137,$F$41:$F$42,0))),(1+$I137))</f>
        <v>0</v>
      </c>
      <c r="BL137" s="1126">
        <f>'ANSP Capex'!BJ133*IF($I137="",(1+INDEX($I$41:$I$42,MATCH($F137,$F$41:$F$42,0))),(1+$I137))</f>
        <v>0</v>
      </c>
    </row>
    <row r="138" spans="1:64" outlineLevel="2">
      <c r="A138" s="1094"/>
      <c r="B138" s="1094"/>
      <c r="C138" s="1083" t="str">
        <f>'ANSP Capex'!C134</f>
        <v>T018 - HP COLOR LASERJET BCY</v>
      </c>
      <c r="D138" s="1083" t="str">
        <f>'ANSP Capex'!D134</f>
        <v>IT Equipment</v>
      </c>
      <c r="E138" s="1083" t="str">
        <f>'ANSP Capex'!E134</f>
        <v>T0180063</v>
      </c>
      <c r="F138" s="1083">
        <f>'ANSP Capex'!F134</f>
        <v>2020</v>
      </c>
      <c r="G138" s="1101">
        <f t="shared" si="8"/>
        <v>4.6500000000000004</v>
      </c>
      <c r="H138" s="1083" t="str">
        <f>'ANSP Capex'!H134</f>
        <v>€'000</v>
      </c>
      <c r="I138" s="829"/>
      <c r="J138" s="1097">
        <f>'ANSP Capex'!I134</f>
        <v>3</v>
      </c>
      <c r="K138" s="1124">
        <v>0</v>
      </c>
      <c r="L138" s="1098">
        <f t="shared" si="9"/>
        <v>36</v>
      </c>
      <c r="M138" s="153">
        <f t="shared" si="10"/>
        <v>0.33333333333333331</v>
      </c>
      <c r="N138" s="1099"/>
      <c r="O138" s="1100">
        <f>'ANSP Capex'!M134</f>
        <v>3.000077419354839</v>
      </c>
      <c r="P138" s="1101">
        <f>IF($BH138=0,0,IF(SUM($O138:O138)&lt;($L138-12),12,$L138-SUM($O138:O138)))</f>
        <v>12</v>
      </c>
      <c r="Q138" s="1101">
        <f>IF($BH138=0,0,IF(SUM($O138:P138)&lt;($L138-12),12,$L138-SUM($O138:P138)))</f>
        <v>12</v>
      </c>
      <c r="R138" s="1101">
        <f>IF($BH138=0,0,IF(SUM($O138:Q138)&lt;($L138-12),12,$L138-SUM($O138:Q138)))</f>
        <v>8.9999225806451619</v>
      </c>
      <c r="S138" s="1101">
        <f>IF($BH138=0,0,IF(SUM($O138:R138)&lt;($L138-12),12,$L138-SUM($O138:R138)))</f>
        <v>0</v>
      </c>
      <c r="U138" s="1100"/>
      <c r="V138" s="1100">
        <f>'ANSP Capex'!T134</f>
        <v>0</v>
      </c>
      <c r="W138" s="1101">
        <f>IF($BI138=0,0,IF(SUM($U138:V138)&lt;($L138-12),12,$L138-SUM($U138:V138)))</f>
        <v>0</v>
      </c>
      <c r="X138" s="1101">
        <f>IF($BI138=0,0,IF(SUM($U138:W138)&lt;($L138-12),12,$L138-SUM($U138:W138)))</f>
        <v>0</v>
      </c>
      <c r="Y138" s="1101">
        <f>IF($BI138=0,0,IF(SUM($U138:X138)&lt;($L138-12),12,$L138-SUM($U138:X138)))</f>
        <v>0</v>
      </c>
      <c r="AA138" s="1100"/>
      <c r="AB138" s="1100"/>
      <c r="AC138" s="1100">
        <f>'ANSP Capex'!AA134</f>
        <v>0</v>
      </c>
      <c r="AD138" s="1101">
        <f>IF($BJ138=0,0,IF(SUM($AA138:AC138)&lt;($L138-12),12,$L138-SUM($AA138:AC138)))</f>
        <v>0</v>
      </c>
      <c r="AE138" s="1101">
        <f>IF($BJ138=0,0,IF(SUM($AA138:AD138)&lt;($L138-12),12,$L138-SUM($AA138:AD138)))</f>
        <v>0</v>
      </c>
      <c r="AG138" s="1100"/>
      <c r="AH138" s="1100"/>
      <c r="AI138" s="1100"/>
      <c r="AJ138" s="1100">
        <f>'ANSP Capex'!AH134</f>
        <v>0</v>
      </c>
      <c r="AK138" s="1101">
        <f>IF($BK138=0,0,IF(SUM($AG138:AJ138)&lt;($L138-12),12,$L138-SUM($AG138:AJ138)))</f>
        <v>0</v>
      </c>
      <c r="AM138" s="1100"/>
      <c r="AN138" s="1100"/>
      <c r="AO138" s="1100"/>
      <c r="AP138" s="1100"/>
      <c r="AQ138" s="1100">
        <f>'ANSP Capex'!AO134</f>
        <v>0</v>
      </c>
      <c r="AS138" s="153">
        <f t="shared" si="11"/>
        <v>0.25000645161290325</v>
      </c>
      <c r="AT138" s="153">
        <f t="shared" si="12"/>
        <v>0</v>
      </c>
      <c r="AU138" s="153">
        <f t="shared" si="13"/>
        <v>0</v>
      </c>
      <c r="AV138" s="153">
        <f t="shared" si="14"/>
        <v>0</v>
      </c>
      <c r="AW138" s="153">
        <f t="shared" si="15"/>
        <v>0</v>
      </c>
      <c r="AX138" s="153"/>
      <c r="AY138" s="1543">
        <f>'ANSP Capex'!AW134</f>
        <v>0.75</v>
      </c>
      <c r="AZ138" s="1102"/>
      <c r="BA138" s="1543">
        <f>'ANSP Capex'!AY134</f>
        <v>0.25</v>
      </c>
      <c r="BC138" s="1126"/>
      <c r="BD138" s="1126"/>
      <c r="BE138" s="1126"/>
      <c r="BF138" s="1126"/>
      <c r="BG138" s="1126"/>
      <c r="BH138" s="1126">
        <f>'ANSP Capex'!BF134*IF($I138="",(1+INDEX($I$41:$I$42,MATCH($F138,$F$41:$F$42,0))),(1+$I138))</f>
        <v>4.6500000000000004</v>
      </c>
      <c r="BI138" s="1126">
        <f>'ANSP Capex'!BG134*IF($I138="",(1+INDEX($I$41:$I$42,MATCH($F138,$F$41:$F$42,0))),(1+$I138))</f>
        <v>0</v>
      </c>
      <c r="BJ138" s="1126">
        <f>'ANSP Capex'!BH134*IF($I138="",(1+INDEX($I$41:$I$42,MATCH($F138,$F$41:$F$42,0))),(1+$I138))</f>
        <v>0</v>
      </c>
      <c r="BK138" s="1126">
        <f>'ANSP Capex'!BI134*IF($I138="",(1+INDEX($I$41:$I$42,MATCH($F138,$F$41:$F$42,0))),(1+$I138))</f>
        <v>0</v>
      </c>
      <c r="BL138" s="1126">
        <f>'ANSP Capex'!BJ134*IF($I138="",(1+INDEX($I$41:$I$42,MATCH($F138,$F$41:$F$42,0))),(1+$I138))</f>
        <v>0</v>
      </c>
    </row>
    <row r="139" spans="1:64" outlineLevel="2">
      <c r="A139" s="1094"/>
      <c r="B139" s="1094"/>
      <c r="C139" s="1083" t="str">
        <f>'ANSP Capex'!C135</f>
        <v>T017 - TOSHIBA X20 W20008075</v>
      </c>
      <c r="D139" s="1083" t="str">
        <f>'ANSP Capex'!D135</f>
        <v>IT Equipment</v>
      </c>
      <c r="E139" s="1083" t="str">
        <f>'ANSP Capex'!E135</f>
        <v>T0170220</v>
      </c>
      <c r="F139" s="1083">
        <f>'ANSP Capex'!F135</f>
        <v>2020</v>
      </c>
      <c r="G139" s="1101">
        <f t="shared" si="8"/>
        <v>0.90061000000000002</v>
      </c>
      <c r="H139" s="1083" t="str">
        <f>'ANSP Capex'!H135</f>
        <v>€'000</v>
      </c>
      <c r="I139" s="829"/>
      <c r="J139" s="1097">
        <f>'ANSP Capex'!I135</f>
        <v>3.0833333333333335</v>
      </c>
      <c r="K139" s="1124">
        <v>0</v>
      </c>
      <c r="L139" s="1098">
        <f t="shared" si="9"/>
        <v>37</v>
      </c>
      <c r="M139" s="153">
        <f t="shared" si="10"/>
        <v>0.32432432432432429</v>
      </c>
      <c r="N139" s="1099"/>
      <c r="O139" s="1100">
        <f>'ANSP Capex'!M135</f>
        <v>7.1953231698515445</v>
      </c>
      <c r="P139" s="1101">
        <f>IF($BH139=0,0,IF(SUM($O139:O139)&lt;($L139-12),12,$L139-SUM($O139:O139)))</f>
        <v>12</v>
      </c>
      <c r="Q139" s="1101">
        <f>IF($BH139=0,0,IF(SUM($O139:P139)&lt;($L139-12),12,$L139-SUM($O139:P139)))</f>
        <v>12</v>
      </c>
      <c r="R139" s="1101">
        <f>IF($BH139=0,0,IF(SUM($O139:Q139)&lt;($L139-12),12,$L139-SUM($O139:Q139)))</f>
        <v>5.8046768301484555</v>
      </c>
      <c r="S139" s="1101">
        <f>IF($BH139=0,0,IF(SUM($O139:R139)&lt;($L139-12),12,$L139-SUM($O139:R139)))</f>
        <v>0</v>
      </c>
      <c r="U139" s="1100"/>
      <c r="V139" s="1100">
        <f>'ANSP Capex'!T135</f>
        <v>0</v>
      </c>
      <c r="W139" s="1101">
        <f>IF($BI139=0,0,IF(SUM($U139:V139)&lt;($L139-12),12,$L139-SUM($U139:V139)))</f>
        <v>0</v>
      </c>
      <c r="X139" s="1101">
        <f>IF($BI139=0,0,IF(SUM($U139:W139)&lt;($L139-12),12,$L139-SUM($U139:W139)))</f>
        <v>0</v>
      </c>
      <c r="Y139" s="1101">
        <f>IF($BI139=0,0,IF(SUM($U139:X139)&lt;($L139-12),12,$L139-SUM($U139:X139)))</f>
        <v>0</v>
      </c>
      <c r="AA139" s="1100"/>
      <c r="AB139" s="1100"/>
      <c r="AC139" s="1100">
        <f>'ANSP Capex'!AA135</f>
        <v>0</v>
      </c>
      <c r="AD139" s="1101">
        <f>IF($BJ139=0,0,IF(SUM($AA139:AC139)&lt;($L139-12),12,$L139-SUM($AA139:AC139)))</f>
        <v>0</v>
      </c>
      <c r="AE139" s="1101">
        <f>IF($BJ139=0,0,IF(SUM($AA139:AD139)&lt;($L139-12),12,$L139-SUM($AA139:AD139)))</f>
        <v>0</v>
      </c>
      <c r="AG139" s="1100"/>
      <c r="AH139" s="1100"/>
      <c r="AI139" s="1100"/>
      <c r="AJ139" s="1100">
        <f>'ANSP Capex'!AH135</f>
        <v>0</v>
      </c>
      <c r="AK139" s="1101">
        <f>IF($BK139=0,0,IF(SUM($AG139:AJ139)&lt;($L139-12),12,$L139-SUM($AG139:AJ139)))</f>
        <v>0</v>
      </c>
      <c r="AM139" s="1100"/>
      <c r="AN139" s="1100"/>
      <c r="AO139" s="1100"/>
      <c r="AP139" s="1100"/>
      <c r="AQ139" s="1100">
        <f>'ANSP Capex'!AO135</f>
        <v>0</v>
      </c>
      <c r="AS139" s="153">
        <f t="shared" si="11"/>
        <v>0.59961026415429541</v>
      </c>
      <c r="AT139" s="153">
        <f t="shared" si="12"/>
        <v>0</v>
      </c>
      <c r="AU139" s="153">
        <f t="shared" si="13"/>
        <v>0</v>
      </c>
      <c r="AV139" s="153">
        <f t="shared" si="14"/>
        <v>0</v>
      </c>
      <c r="AW139" s="153">
        <f t="shared" si="15"/>
        <v>0</v>
      </c>
      <c r="AX139" s="153"/>
      <c r="AY139" s="1543">
        <f>'ANSP Capex'!AW135</f>
        <v>0.5</v>
      </c>
      <c r="AZ139" s="1102"/>
      <c r="BA139" s="1543">
        <f>'ANSP Capex'!AY135</f>
        <v>0.5</v>
      </c>
      <c r="BC139" s="1126"/>
      <c r="BD139" s="1126"/>
      <c r="BE139" s="1126"/>
      <c r="BF139" s="1126"/>
      <c r="BG139" s="1126"/>
      <c r="BH139" s="1126">
        <f>'ANSP Capex'!BF135*IF($I139="",(1+INDEX($I$41:$I$42,MATCH($F139,$F$41:$F$42,0))),(1+$I139))</f>
        <v>0.90061000000000002</v>
      </c>
      <c r="BI139" s="1126">
        <f>'ANSP Capex'!BG135*IF($I139="",(1+INDEX($I$41:$I$42,MATCH($F139,$F$41:$F$42,0))),(1+$I139))</f>
        <v>0</v>
      </c>
      <c r="BJ139" s="1126">
        <f>'ANSP Capex'!BH135*IF($I139="",(1+INDEX($I$41:$I$42,MATCH($F139,$F$41:$F$42,0))),(1+$I139))</f>
        <v>0</v>
      </c>
      <c r="BK139" s="1126">
        <f>'ANSP Capex'!BI135*IF($I139="",(1+INDEX($I$41:$I$42,MATCH($F139,$F$41:$F$42,0))),(1+$I139))</f>
        <v>0</v>
      </c>
      <c r="BL139" s="1126">
        <f>'ANSP Capex'!BJ135*IF($I139="",(1+INDEX($I$41:$I$42,MATCH($F139,$F$41:$F$42,0))),(1+$I139))</f>
        <v>0</v>
      </c>
    </row>
    <row r="140" spans="1:64" outlineLevel="2">
      <c r="A140" s="1094"/>
      <c r="B140" s="1094"/>
      <c r="C140" s="1083" t="str">
        <f>'ANSP Capex'!C136</f>
        <v>T017 - TOSHIBA X20 W20008017</v>
      </c>
      <c r="D140" s="1083" t="str">
        <f>'ANSP Capex'!D136</f>
        <v>IT Equipment</v>
      </c>
      <c r="E140" s="1083" t="str">
        <f>'ANSP Capex'!E136</f>
        <v>T0170239</v>
      </c>
      <c r="F140" s="1083">
        <f>'ANSP Capex'!F136</f>
        <v>2020</v>
      </c>
      <c r="G140" s="1101">
        <f t="shared" si="8"/>
        <v>1.50641</v>
      </c>
      <c r="H140" s="1083" t="str">
        <f>'ANSP Capex'!H136</f>
        <v>€'000</v>
      </c>
      <c r="I140" s="829"/>
      <c r="J140" s="1097">
        <f>'ANSP Capex'!I136</f>
        <v>3</v>
      </c>
      <c r="K140" s="1124">
        <v>0</v>
      </c>
      <c r="L140" s="1098">
        <f t="shared" si="9"/>
        <v>36</v>
      </c>
      <c r="M140" s="153">
        <f t="shared" si="10"/>
        <v>0.33333333333333331</v>
      </c>
      <c r="N140" s="1099"/>
      <c r="O140" s="1100">
        <f>'ANSP Capex'!M136</f>
        <v>6.9999269787109757</v>
      </c>
      <c r="P140" s="1101">
        <f>IF($BH140=0,0,IF(SUM($O140:O140)&lt;($L140-12),12,$L140-SUM($O140:O140)))</f>
        <v>12</v>
      </c>
      <c r="Q140" s="1101">
        <f>IF($BH140=0,0,IF(SUM($O140:P140)&lt;($L140-12),12,$L140-SUM($O140:P140)))</f>
        <v>12</v>
      </c>
      <c r="R140" s="1101">
        <f>IF($BH140=0,0,IF(SUM($O140:Q140)&lt;($L140-12),12,$L140-SUM($O140:Q140)))</f>
        <v>5.0000730212890261</v>
      </c>
      <c r="S140" s="1101">
        <f>IF($BH140=0,0,IF(SUM($O140:R140)&lt;($L140-12),12,$L140-SUM($O140:R140)))</f>
        <v>0</v>
      </c>
      <c r="U140" s="1100"/>
      <c r="V140" s="1100">
        <f>'ANSP Capex'!T136</f>
        <v>0</v>
      </c>
      <c r="W140" s="1101">
        <f>IF($BI140=0,0,IF(SUM($U140:V140)&lt;($L140-12),12,$L140-SUM($U140:V140)))</f>
        <v>0</v>
      </c>
      <c r="X140" s="1101">
        <f>IF($BI140=0,0,IF(SUM($U140:W140)&lt;($L140-12),12,$L140-SUM($U140:W140)))</f>
        <v>0</v>
      </c>
      <c r="Y140" s="1101">
        <f>IF($BI140=0,0,IF(SUM($U140:X140)&lt;($L140-12),12,$L140-SUM($U140:X140)))</f>
        <v>0</v>
      </c>
      <c r="AA140" s="1100"/>
      <c r="AB140" s="1100"/>
      <c r="AC140" s="1100">
        <f>'ANSP Capex'!AA136</f>
        <v>0</v>
      </c>
      <c r="AD140" s="1101">
        <f>IF($BJ140=0,0,IF(SUM($AA140:AC140)&lt;($L140-12),12,$L140-SUM($AA140:AC140)))</f>
        <v>0</v>
      </c>
      <c r="AE140" s="1101">
        <f>IF($BJ140=0,0,IF(SUM($AA140:AD140)&lt;($L140-12),12,$L140-SUM($AA140:AD140)))</f>
        <v>0</v>
      </c>
      <c r="AG140" s="1100"/>
      <c r="AH140" s="1100"/>
      <c r="AI140" s="1100"/>
      <c r="AJ140" s="1100">
        <f>'ANSP Capex'!AH136</f>
        <v>0</v>
      </c>
      <c r="AK140" s="1101">
        <f>IF($BK140=0,0,IF(SUM($AG140:AJ140)&lt;($L140-12),12,$L140-SUM($AG140:AJ140)))</f>
        <v>0</v>
      </c>
      <c r="AM140" s="1100"/>
      <c r="AN140" s="1100"/>
      <c r="AO140" s="1100"/>
      <c r="AP140" s="1100"/>
      <c r="AQ140" s="1100">
        <f>'ANSP Capex'!AO136</f>
        <v>0</v>
      </c>
      <c r="AS140" s="153">
        <f t="shared" si="11"/>
        <v>0.58332724822591464</v>
      </c>
      <c r="AT140" s="153">
        <f t="shared" si="12"/>
        <v>0</v>
      </c>
      <c r="AU140" s="153">
        <f t="shared" si="13"/>
        <v>0</v>
      </c>
      <c r="AV140" s="153">
        <f t="shared" si="14"/>
        <v>0</v>
      </c>
      <c r="AW140" s="153">
        <f t="shared" si="15"/>
        <v>0</v>
      </c>
      <c r="AX140" s="153"/>
      <c r="AY140" s="1543">
        <f>'ANSP Capex'!AW136</f>
        <v>0.5</v>
      </c>
      <c r="AZ140" s="1102"/>
      <c r="BA140" s="1543">
        <f>'ANSP Capex'!AY136</f>
        <v>0.5</v>
      </c>
      <c r="BC140" s="1126"/>
      <c r="BD140" s="1126"/>
      <c r="BE140" s="1126"/>
      <c r="BF140" s="1126"/>
      <c r="BG140" s="1126"/>
      <c r="BH140" s="1126">
        <f>'ANSP Capex'!BF136*IF($I140="",(1+INDEX($I$41:$I$42,MATCH($F140,$F$41:$F$42,0))),(1+$I140))</f>
        <v>1.50641</v>
      </c>
      <c r="BI140" s="1126">
        <f>'ANSP Capex'!BG136*IF($I140="",(1+INDEX($I$41:$I$42,MATCH($F140,$F$41:$F$42,0))),(1+$I140))</f>
        <v>0</v>
      </c>
      <c r="BJ140" s="1126">
        <f>'ANSP Capex'!BH136*IF($I140="",(1+INDEX($I$41:$I$42,MATCH($F140,$F$41:$F$42,0))),(1+$I140))</f>
        <v>0</v>
      </c>
      <c r="BK140" s="1126">
        <f>'ANSP Capex'!BI136*IF($I140="",(1+INDEX($I$41:$I$42,MATCH($F140,$F$41:$F$42,0))),(1+$I140))</f>
        <v>0</v>
      </c>
      <c r="BL140" s="1126">
        <f>'ANSP Capex'!BJ136*IF($I140="",(1+INDEX($I$41:$I$42,MATCH($F140,$F$41:$F$42,0))),(1+$I140))</f>
        <v>0</v>
      </c>
    </row>
    <row r="141" spans="1:64" outlineLevel="2">
      <c r="A141" s="1094"/>
      <c r="B141" s="1094"/>
      <c r="C141" s="1083" t="str">
        <f>'ANSP Capex'!C137</f>
        <v>T017 - TOSHIBA W20008075</v>
      </c>
      <c r="D141" s="1083" t="str">
        <f>'ANSP Capex'!D137</f>
        <v>IT Equipment</v>
      </c>
      <c r="E141" s="1083" t="str">
        <f>'ANSP Capex'!E137</f>
        <v>T0170268</v>
      </c>
      <c r="F141" s="1083">
        <f>'ANSP Capex'!F137</f>
        <v>2020</v>
      </c>
      <c r="G141" s="1101">
        <f t="shared" si="8"/>
        <v>0.60580000000000001</v>
      </c>
      <c r="H141" s="1083" t="str">
        <f>'ANSP Capex'!H137</f>
        <v>€'000</v>
      </c>
      <c r="I141" s="829"/>
      <c r="J141" s="1097">
        <f>'ANSP Capex'!I137</f>
        <v>3</v>
      </c>
      <c r="K141" s="1124">
        <v>0</v>
      </c>
      <c r="L141" s="1098">
        <f t="shared" si="9"/>
        <v>36</v>
      </c>
      <c r="M141" s="153">
        <f t="shared" si="10"/>
        <v>0.33333333333333331</v>
      </c>
      <c r="N141" s="1099"/>
      <c r="O141" s="1100">
        <f>'ANSP Capex'!M137</f>
        <v>7.0009243974909223</v>
      </c>
      <c r="P141" s="1101">
        <f>IF($BH141=0,0,IF(SUM($O141:O141)&lt;($L141-12),12,$L141-SUM($O141:O141)))</f>
        <v>12</v>
      </c>
      <c r="Q141" s="1101">
        <f>IF($BH141=0,0,IF(SUM($O141:P141)&lt;($L141-12),12,$L141-SUM($O141:P141)))</f>
        <v>12</v>
      </c>
      <c r="R141" s="1101">
        <f>IF($BH141=0,0,IF(SUM($O141:Q141)&lt;($L141-12),12,$L141-SUM($O141:Q141)))</f>
        <v>4.9990756025090768</v>
      </c>
      <c r="S141" s="1101">
        <f>IF($BH141=0,0,IF(SUM($O141:R141)&lt;($L141-12),12,$L141-SUM($O141:R141)))</f>
        <v>0</v>
      </c>
      <c r="U141" s="1100"/>
      <c r="V141" s="1100">
        <f>'ANSP Capex'!T137</f>
        <v>0</v>
      </c>
      <c r="W141" s="1101">
        <f>IF($BI141=0,0,IF(SUM($U141:V141)&lt;($L141-12),12,$L141-SUM($U141:V141)))</f>
        <v>0</v>
      </c>
      <c r="X141" s="1101">
        <f>IF($BI141=0,0,IF(SUM($U141:W141)&lt;($L141-12),12,$L141-SUM($U141:W141)))</f>
        <v>0</v>
      </c>
      <c r="Y141" s="1101">
        <f>IF($BI141=0,0,IF(SUM($U141:X141)&lt;($L141-12),12,$L141-SUM($U141:X141)))</f>
        <v>0</v>
      </c>
      <c r="AA141" s="1100"/>
      <c r="AB141" s="1100"/>
      <c r="AC141" s="1100">
        <f>'ANSP Capex'!AA137</f>
        <v>0</v>
      </c>
      <c r="AD141" s="1101">
        <f>IF($BJ141=0,0,IF(SUM($AA141:AC141)&lt;($L141-12),12,$L141-SUM($AA141:AC141)))</f>
        <v>0</v>
      </c>
      <c r="AE141" s="1101">
        <f>IF($BJ141=0,0,IF(SUM($AA141:AD141)&lt;($L141-12),12,$L141-SUM($AA141:AD141)))</f>
        <v>0</v>
      </c>
      <c r="AG141" s="1100"/>
      <c r="AH141" s="1100"/>
      <c r="AI141" s="1100"/>
      <c r="AJ141" s="1100">
        <f>'ANSP Capex'!AH137</f>
        <v>0</v>
      </c>
      <c r="AK141" s="1101">
        <f>IF($BK141=0,0,IF(SUM($AG141:AJ141)&lt;($L141-12),12,$L141-SUM($AG141:AJ141)))</f>
        <v>0</v>
      </c>
      <c r="AM141" s="1100"/>
      <c r="AN141" s="1100"/>
      <c r="AO141" s="1100"/>
      <c r="AP141" s="1100"/>
      <c r="AQ141" s="1100">
        <f>'ANSP Capex'!AO137</f>
        <v>0</v>
      </c>
      <c r="AS141" s="153">
        <f t="shared" si="11"/>
        <v>0.58341036645757682</v>
      </c>
      <c r="AT141" s="153">
        <f t="shared" si="12"/>
        <v>0</v>
      </c>
      <c r="AU141" s="153">
        <f t="shared" si="13"/>
        <v>0</v>
      </c>
      <c r="AV141" s="153">
        <f t="shared" si="14"/>
        <v>0</v>
      </c>
      <c r="AW141" s="153">
        <f t="shared" si="15"/>
        <v>0</v>
      </c>
      <c r="AX141" s="153"/>
      <c r="AY141" s="1543">
        <f>'ANSP Capex'!AW137</f>
        <v>0.5</v>
      </c>
      <c r="AZ141" s="1102"/>
      <c r="BA141" s="1543">
        <f>'ANSP Capex'!AY137</f>
        <v>0.5</v>
      </c>
      <c r="BC141" s="1126"/>
      <c r="BD141" s="1126"/>
      <c r="BE141" s="1126"/>
      <c r="BF141" s="1126"/>
      <c r="BG141" s="1126"/>
      <c r="BH141" s="1126">
        <f>'ANSP Capex'!BF137*IF($I141="",(1+INDEX($I$41:$I$42,MATCH($F141,$F$41:$F$42,0))),(1+$I141))</f>
        <v>0.60580000000000001</v>
      </c>
      <c r="BI141" s="1126">
        <f>'ANSP Capex'!BG137*IF($I141="",(1+INDEX($I$41:$I$42,MATCH($F141,$F$41:$F$42,0))),(1+$I141))</f>
        <v>0</v>
      </c>
      <c r="BJ141" s="1126">
        <f>'ANSP Capex'!BH137*IF($I141="",(1+INDEX($I$41:$I$42,MATCH($F141,$F$41:$F$42,0))),(1+$I141))</f>
        <v>0</v>
      </c>
      <c r="BK141" s="1126">
        <f>'ANSP Capex'!BI137*IF($I141="",(1+INDEX($I$41:$I$42,MATCH($F141,$F$41:$F$42,0))),(1+$I141))</f>
        <v>0</v>
      </c>
      <c r="BL141" s="1126">
        <f>'ANSP Capex'!BJ137*IF($I141="",(1+INDEX($I$41:$I$42,MATCH($F141,$F$41:$F$42,0))),(1+$I141))</f>
        <v>0</v>
      </c>
    </row>
    <row r="142" spans="1:64" outlineLevel="2">
      <c r="A142" s="1094"/>
      <c r="B142" s="1094"/>
      <c r="C142" s="1083" t="str">
        <f>'ANSP Capex'!C138</f>
        <v>T022 - DAAMS OMP PACKAGE</v>
      </c>
      <c r="D142" s="1083" t="str">
        <f>'ANSP Capex'!D138</f>
        <v>DAAMS OMP PACKAGE</v>
      </c>
      <c r="E142" s="1083" t="str">
        <f>'ANSP Capex'!E138</f>
        <v>T0220001</v>
      </c>
      <c r="F142" s="1083">
        <f>'ANSP Capex'!F138</f>
        <v>2020</v>
      </c>
      <c r="G142" s="1101">
        <f t="shared" si="8"/>
        <v>60</v>
      </c>
      <c r="H142" s="1083" t="str">
        <f>'ANSP Capex'!H138</f>
        <v>€'000</v>
      </c>
      <c r="I142" s="829"/>
      <c r="J142" s="1097">
        <f>'ANSP Capex'!I138</f>
        <v>3</v>
      </c>
      <c r="K142" s="1124">
        <v>0</v>
      </c>
      <c r="L142" s="1098">
        <f t="shared" si="9"/>
        <v>36</v>
      </c>
      <c r="M142" s="153">
        <f t="shared" si="10"/>
        <v>0.33333333333333331</v>
      </c>
      <c r="N142" s="1099"/>
      <c r="O142" s="1100">
        <f>'ANSP Capex'!M138</f>
        <v>4.0000080000000002</v>
      </c>
      <c r="P142" s="1101">
        <f>IF($BH142=0,0,IF(SUM($O142:O142)&lt;($L142-12),12,$L142-SUM($O142:O142)))</f>
        <v>12</v>
      </c>
      <c r="Q142" s="1101">
        <f>IF($BH142=0,0,IF(SUM($O142:P142)&lt;($L142-12),12,$L142-SUM($O142:P142)))</f>
        <v>12</v>
      </c>
      <c r="R142" s="1101">
        <f>IF($BH142=0,0,IF(SUM($O142:Q142)&lt;($L142-12),12,$L142-SUM($O142:Q142)))</f>
        <v>7.9999919999999989</v>
      </c>
      <c r="S142" s="1101">
        <f>IF($BH142=0,0,IF(SUM($O142:R142)&lt;($L142-12),12,$L142-SUM($O142:R142)))</f>
        <v>0</v>
      </c>
      <c r="U142" s="1100"/>
      <c r="V142" s="1100">
        <f>'ANSP Capex'!T138</f>
        <v>0</v>
      </c>
      <c r="W142" s="1101">
        <f>IF($BI142=0,0,IF(SUM($U142:V142)&lt;($L142-12),12,$L142-SUM($U142:V142)))</f>
        <v>0</v>
      </c>
      <c r="X142" s="1101">
        <f>IF($BI142=0,0,IF(SUM($U142:W142)&lt;($L142-12),12,$L142-SUM($U142:W142)))</f>
        <v>0</v>
      </c>
      <c r="Y142" s="1101">
        <f>IF($BI142=0,0,IF(SUM($U142:X142)&lt;($L142-12),12,$L142-SUM($U142:X142)))</f>
        <v>0</v>
      </c>
      <c r="AA142" s="1100"/>
      <c r="AB142" s="1100"/>
      <c r="AC142" s="1100">
        <f>'ANSP Capex'!AA138</f>
        <v>0</v>
      </c>
      <c r="AD142" s="1101">
        <f>IF($BJ142=0,0,IF(SUM($AA142:AC142)&lt;($L142-12),12,$L142-SUM($AA142:AC142)))</f>
        <v>0</v>
      </c>
      <c r="AE142" s="1101">
        <f>IF($BJ142=0,0,IF(SUM($AA142:AD142)&lt;($L142-12),12,$L142-SUM($AA142:AD142)))</f>
        <v>0</v>
      </c>
      <c r="AG142" s="1100"/>
      <c r="AH142" s="1100"/>
      <c r="AI142" s="1100"/>
      <c r="AJ142" s="1100">
        <f>'ANSP Capex'!AH138</f>
        <v>0</v>
      </c>
      <c r="AK142" s="1101">
        <f>IF($BK142=0,0,IF(SUM($AG142:AJ142)&lt;($L142-12),12,$L142-SUM($AG142:AJ142)))</f>
        <v>0</v>
      </c>
      <c r="AM142" s="1100"/>
      <c r="AN142" s="1100"/>
      <c r="AO142" s="1100"/>
      <c r="AP142" s="1100"/>
      <c r="AQ142" s="1100">
        <f>'ANSP Capex'!AO138</f>
        <v>0</v>
      </c>
      <c r="AS142" s="153">
        <f t="shared" si="11"/>
        <v>0.33333400000000002</v>
      </c>
      <c r="AT142" s="153">
        <f t="shared" si="12"/>
        <v>0</v>
      </c>
      <c r="AU142" s="153">
        <f t="shared" si="13"/>
        <v>0</v>
      </c>
      <c r="AV142" s="153">
        <f t="shared" si="14"/>
        <v>0</v>
      </c>
      <c r="AW142" s="153">
        <f t="shared" si="15"/>
        <v>0</v>
      </c>
      <c r="AX142" s="153"/>
      <c r="AY142" s="1543">
        <f>'ANSP Capex'!AW138</f>
        <v>0.73</v>
      </c>
      <c r="AZ142" s="1102"/>
      <c r="BA142" s="1543">
        <f>'ANSP Capex'!AY138</f>
        <v>0.15</v>
      </c>
      <c r="BC142" s="1126"/>
      <c r="BD142" s="1126"/>
      <c r="BE142" s="1126"/>
      <c r="BF142" s="1126"/>
      <c r="BG142" s="1126"/>
      <c r="BH142" s="1126">
        <f>'ANSP Capex'!BF138*IF($I142="",(1+INDEX($I$41:$I$42,MATCH($F142,$F$41:$F$42,0))),(1+$I142))</f>
        <v>60</v>
      </c>
      <c r="BI142" s="1126">
        <f>'ANSP Capex'!BG138*IF($I142="",(1+INDEX($I$41:$I$42,MATCH($F142,$F$41:$F$42,0))),(1+$I142))</f>
        <v>0</v>
      </c>
      <c r="BJ142" s="1126">
        <f>'ANSP Capex'!BH138*IF($I142="",(1+INDEX($I$41:$I$42,MATCH($F142,$F$41:$F$42,0))),(1+$I142))</f>
        <v>0</v>
      </c>
      <c r="BK142" s="1126">
        <f>'ANSP Capex'!BI138*IF($I142="",(1+INDEX($I$41:$I$42,MATCH($F142,$F$41:$F$42,0))),(1+$I142))</f>
        <v>0</v>
      </c>
      <c r="BL142" s="1126">
        <f>'ANSP Capex'!BJ138*IF($I142="",(1+INDEX($I$41:$I$42,MATCH($F142,$F$41:$F$42,0))),(1+$I142))</f>
        <v>0</v>
      </c>
    </row>
    <row r="143" spans="1:64" outlineLevel="2">
      <c r="A143" s="1094"/>
      <c r="B143" s="1094"/>
      <c r="C143" s="1083" t="str">
        <f>'ANSP Capex'!C139</f>
        <v>S024 - BCY ITRoom Upgrades</v>
      </c>
      <c r="D143" s="1083" t="str">
        <f>'ANSP Capex'!D139</f>
        <v>IT Room Upgrades</v>
      </c>
      <c r="E143" s="1083" t="str">
        <f>'ANSP Capex'!E139</f>
        <v>S0240011</v>
      </c>
      <c r="F143" s="1083">
        <f>'ANSP Capex'!F139</f>
        <v>2020</v>
      </c>
      <c r="G143" s="1101">
        <f t="shared" si="8"/>
        <v>54.847799999999999</v>
      </c>
      <c r="H143" s="1083" t="str">
        <f>'ANSP Capex'!H139</f>
        <v>€'000</v>
      </c>
      <c r="I143" s="829"/>
      <c r="J143" s="1097">
        <f>'ANSP Capex'!I139</f>
        <v>5</v>
      </c>
      <c r="K143" s="1124">
        <v>0</v>
      </c>
      <c r="L143" s="1098">
        <f t="shared" si="9"/>
        <v>60</v>
      </c>
      <c r="M143" s="153">
        <f t="shared" si="10"/>
        <v>0.2</v>
      </c>
      <c r="N143" s="1099"/>
      <c r="O143" s="1100">
        <f>'ANSP Capex'!M139</f>
        <v>1</v>
      </c>
      <c r="P143" s="1101">
        <f>IF($BH143=0,0,IF(SUM($O143:O143)&lt;($L143-12),12,$L143-SUM($O143:O143)))</f>
        <v>12</v>
      </c>
      <c r="Q143" s="1101">
        <f>IF($BH143=0,0,IF(SUM($O143:P143)&lt;($L143-12),12,$L143-SUM($O143:P143)))</f>
        <v>12</v>
      </c>
      <c r="R143" s="1101">
        <f>IF($BH143=0,0,IF(SUM($O143:Q143)&lt;($L143-12),12,$L143-SUM($O143:Q143)))</f>
        <v>12</v>
      </c>
      <c r="S143" s="1101">
        <f>IF($BH143=0,0,IF(SUM($O143:R143)&lt;($L143-12),12,$L143-SUM($O143:R143)))</f>
        <v>12</v>
      </c>
      <c r="U143" s="1100"/>
      <c r="V143" s="1100">
        <f>'ANSP Capex'!T139</f>
        <v>0</v>
      </c>
      <c r="W143" s="1101">
        <f>IF($BI143=0,0,IF(SUM($U143:V143)&lt;($L143-12),12,$L143-SUM($U143:V143)))</f>
        <v>0</v>
      </c>
      <c r="X143" s="1101">
        <f>IF($BI143=0,0,IF(SUM($U143:W143)&lt;($L143-12),12,$L143-SUM($U143:W143)))</f>
        <v>0</v>
      </c>
      <c r="Y143" s="1101">
        <f>IF($BI143=0,0,IF(SUM($U143:X143)&lt;($L143-12),12,$L143-SUM($U143:X143)))</f>
        <v>0</v>
      </c>
      <c r="AA143" s="1100"/>
      <c r="AB143" s="1100"/>
      <c r="AC143" s="1100">
        <f>'ANSP Capex'!AA139</f>
        <v>0</v>
      </c>
      <c r="AD143" s="1101">
        <f>IF($BJ143=0,0,IF(SUM($AA143:AC143)&lt;($L143-12),12,$L143-SUM($AA143:AC143)))</f>
        <v>0</v>
      </c>
      <c r="AE143" s="1101">
        <f>IF($BJ143=0,0,IF(SUM($AA143:AD143)&lt;($L143-12),12,$L143-SUM($AA143:AD143)))</f>
        <v>0</v>
      </c>
      <c r="AG143" s="1100"/>
      <c r="AH143" s="1100"/>
      <c r="AI143" s="1100"/>
      <c r="AJ143" s="1100">
        <f>'ANSP Capex'!AH139</f>
        <v>0</v>
      </c>
      <c r="AK143" s="1101">
        <f>IF($BK143=0,0,IF(SUM($AG143:AJ143)&lt;($L143-12),12,$L143-SUM($AG143:AJ143)))</f>
        <v>0</v>
      </c>
      <c r="AM143" s="1100"/>
      <c r="AN143" s="1100"/>
      <c r="AO143" s="1100"/>
      <c r="AP143" s="1100"/>
      <c r="AQ143" s="1100">
        <f>'ANSP Capex'!AO139</f>
        <v>0</v>
      </c>
      <c r="AS143" s="153">
        <f t="shared" si="11"/>
        <v>8.3333333333333329E-2</v>
      </c>
      <c r="AT143" s="153">
        <f t="shared" si="12"/>
        <v>0</v>
      </c>
      <c r="AU143" s="153">
        <f t="shared" si="13"/>
        <v>0</v>
      </c>
      <c r="AV143" s="153">
        <f t="shared" si="14"/>
        <v>0</v>
      </c>
      <c r="AW143" s="153">
        <f t="shared" si="15"/>
        <v>0</v>
      </c>
      <c r="AX143" s="153"/>
      <c r="AY143" s="1543">
        <f>'ANSP Capex'!AW139</f>
        <v>0.75</v>
      </c>
      <c r="AZ143" s="1102"/>
      <c r="BA143" s="1543">
        <f>'ANSP Capex'!AY139</f>
        <v>0.25</v>
      </c>
      <c r="BC143" s="1126"/>
      <c r="BD143" s="1126"/>
      <c r="BE143" s="1126"/>
      <c r="BF143" s="1126"/>
      <c r="BG143" s="1126"/>
      <c r="BH143" s="1126">
        <f>'ANSP Capex'!BF139*IF($I143="",(1+INDEX($I$41:$I$42,MATCH($F143,$F$41:$F$42,0))),(1+$I143))</f>
        <v>54.847799999999999</v>
      </c>
      <c r="BI143" s="1126">
        <f>'ANSP Capex'!BG139*IF($I143="",(1+INDEX($I$41:$I$42,MATCH($F143,$F$41:$F$42,0))),(1+$I143))</f>
        <v>0</v>
      </c>
      <c r="BJ143" s="1126">
        <f>'ANSP Capex'!BH139*IF($I143="",(1+INDEX($I$41:$I$42,MATCH($F143,$F$41:$F$42,0))),(1+$I143))</f>
        <v>0</v>
      </c>
      <c r="BK143" s="1126">
        <f>'ANSP Capex'!BI139*IF($I143="",(1+INDEX($I$41:$I$42,MATCH($F143,$F$41:$F$42,0))),(1+$I143))</f>
        <v>0</v>
      </c>
      <c r="BL143" s="1126">
        <f>'ANSP Capex'!BJ139*IF($I143="",(1+INDEX($I$41:$I$42,MATCH($F143,$F$41:$F$42,0))),(1+$I143))</f>
        <v>0</v>
      </c>
    </row>
    <row r="144" spans="1:64" outlineLevel="2">
      <c r="A144" s="1094"/>
      <c r="B144" s="1094"/>
      <c r="C144" s="1083" t="str">
        <f>'ANSP Capex'!C140</f>
        <v>T019 - 2 Servers BCY</v>
      </c>
      <c r="D144" s="1083" t="str">
        <f>'ANSP Capex'!D140</f>
        <v>IT Servers</v>
      </c>
      <c r="E144" s="1083" t="str">
        <f>'ANSP Capex'!E140</f>
        <v>T0190003</v>
      </c>
      <c r="F144" s="1083">
        <f>'ANSP Capex'!F140</f>
        <v>2020</v>
      </c>
      <c r="G144" s="1101">
        <f t="shared" si="8"/>
        <v>48.858779999999996</v>
      </c>
      <c r="H144" s="1083" t="str">
        <f>'ANSP Capex'!H140</f>
        <v>€'000</v>
      </c>
      <c r="I144" s="829"/>
      <c r="J144" s="1097">
        <f>'ANSP Capex'!I140</f>
        <v>3</v>
      </c>
      <c r="K144" s="1124">
        <v>0</v>
      </c>
      <c r="L144" s="1098">
        <f t="shared" si="9"/>
        <v>36</v>
      </c>
      <c r="M144" s="153">
        <f t="shared" si="10"/>
        <v>0.33333333333333331</v>
      </c>
      <c r="N144" s="1099"/>
      <c r="O144" s="1100">
        <f>'ANSP Capex'!M140</f>
        <v>12.000014736348309</v>
      </c>
      <c r="P144" s="1101">
        <f>IF($BH144=0,0,IF(SUM($O144:O144)&lt;($L144-12),12,$L144-SUM($O144:O144)))</f>
        <v>12</v>
      </c>
      <c r="Q144" s="1101">
        <f>IF($BH144=0,0,IF(SUM($O144:P144)&lt;($L144-12),12,$L144-SUM($O144:P144)))</f>
        <v>11.999985263651691</v>
      </c>
      <c r="R144" s="1101">
        <f>IF($BH144=0,0,IF(SUM($O144:Q144)&lt;($L144-12),12,$L144-SUM($O144:Q144)))</f>
        <v>0</v>
      </c>
      <c r="S144" s="1101">
        <f>IF($BH144=0,0,IF(SUM($O144:R144)&lt;($L144-12),12,$L144-SUM($O144:R144)))</f>
        <v>0</v>
      </c>
      <c r="U144" s="1100"/>
      <c r="V144" s="1100">
        <f>'ANSP Capex'!T140</f>
        <v>0</v>
      </c>
      <c r="W144" s="1101">
        <f>IF($BI144=0,0,IF(SUM($U144:V144)&lt;($L144-12),12,$L144-SUM($U144:V144)))</f>
        <v>0</v>
      </c>
      <c r="X144" s="1101">
        <f>IF($BI144=0,0,IF(SUM($U144:W144)&lt;($L144-12),12,$L144-SUM($U144:W144)))</f>
        <v>0</v>
      </c>
      <c r="Y144" s="1101">
        <f>IF($BI144=0,0,IF(SUM($U144:X144)&lt;($L144-12),12,$L144-SUM($U144:X144)))</f>
        <v>0</v>
      </c>
      <c r="AA144" s="1100"/>
      <c r="AB144" s="1100"/>
      <c r="AC144" s="1100">
        <f>'ANSP Capex'!AA140</f>
        <v>0</v>
      </c>
      <c r="AD144" s="1101">
        <f>IF($BJ144=0,0,IF(SUM($AA144:AC144)&lt;($L144-12),12,$L144-SUM($AA144:AC144)))</f>
        <v>0</v>
      </c>
      <c r="AE144" s="1101">
        <f>IF($BJ144=0,0,IF(SUM($AA144:AD144)&lt;($L144-12),12,$L144-SUM($AA144:AD144)))</f>
        <v>0</v>
      </c>
      <c r="AG144" s="1100"/>
      <c r="AH144" s="1100"/>
      <c r="AI144" s="1100"/>
      <c r="AJ144" s="1100">
        <f>'ANSP Capex'!AH140</f>
        <v>0</v>
      </c>
      <c r="AK144" s="1101">
        <f>IF($BK144=0,0,IF(SUM($AG144:AJ144)&lt;($L144-12),12,$L144-SUM($AG144:AJ144)))</f>
        <v>0</v>
      </c>
      <c r="AM144" s="1100"/>
      <c r="AN144" s="1100"/>
      <c r="AO144" s="1100"/>
      <c r="AP144" s="1100"/>
      <c r="AQ144" s="1100">
        <f>'ANSP Capex'!AO140</f>
        <v>0</v>
      </c>
      <c r="AS144" s="153">
        <f t="shared" si="11"/>
        <v>1.0000012280290258</v>
      </c>
      <c r="AT144" s="153">
        <f t="shared" si="12"/>
        <v>0</v>
      </c>
      <c r="AU144" s="153">
        <f t="shared" si="13"/>
        <v>0</v>
      </c>
      <c r="AV144" s="153">
        <f t="shared" si="14"/>
        <v>0</v>
      </c>
      <c r="AW144" s="153">
        <f t="shared" si="15"/>
        <v>0</v>
      </c>
      <c r="AX144" s="153"/>
      <c r="AY144" s="1543">
        <f>'ANSP Capex'!AW140</f>
        <v>0.75</v>
      </c>
      <c r="AZ144" s="1102"/>
      <c r="BA144" s="1543">
        <f>'ANSP Capex'!AY140</f>
        <v>0.25</v>
      </c>
      <c r="BC144" s="1126"/>
      <c r="BD144" s="1126"/>
      <c r="BE144" s="1126"/>
      <c r="BF144" s="1126"/>
      <c r="BG144" s="1126"/>
      <c r="BH144" s="1126">
        <f>'ANSP Capex'!BF140*IF($I144="",(1+INDEX($I$41:$I$42,MATCH($F144,$F$41:$F$42,0))),(1+$I144))</f>
        <v>48.858779999999996</v>
      </c>
      <c r="BI144" s="1126">
        <f>'ANSP Capex'!BG140*IF($I144="",(1+INDEX($I$41:$I$42,MATCH($F144,$F$41:$F$42,0))),(1+$I144))</f>
        <v>0</v>
      </c>
      <c r="BJ144" s="1126">
        <f>'ANSP Capex'!BH140*IF($I144="",(1+INDEX($I$41:$I$42,MATCH($F144,$F$41:$F$42,0))),(1+$I144))</f>
        <v>0</v>
      </c>
      <c r="BK144" s="1126">
        <f>'ANSP Capex'!BI140*IF($I144="",(1+INDEX($I$41:$I$42,MATCH($F144,$F$41:$F$42,0))),(1+$I144))</f>
        <v>0</v>
      </c>
      <c r="BL144" s="1126">
        <f>'ANSP Capex'!BJ140*IF($I144="",(1+INDEX($I$41:$I$42,MATCH($F144,$F$41:$F$42,0))),(1+$I144))</f>
        <v>0</v>
      </c>
    </row>
    <row r="145" spans="1:64" outlineLevel="2">
      <c r="A145" s="1094"/>
      <c r="B145" s="1094"/>
      <c r="C145" s="1083" t="str">
        <f>'ANSP Capex'!C141</f>
        <v>T019 - 1 Server SHN</v>
      </c>
      <c r="D145" s="1083" t="str">
        <f>'ANSP Capex'!D141</f>
        <v>IT Servers</v>
      </c>
      <c r="E145" s="1083" t="str">
        <f>'ANSP Capex'!E141</f>
        <v>T0190004</v>
      </c>
      <c r="F145" s="1083">
        <f>'ANSP Capex'!F141</f>
        <v>2020</v>
      </c>
      <c r="G145" s="1101">
        <f t="shared" si="8"/>
        <v>2.57328</v>
      </c>
      <c r="H145" s="1083" t="str">
        <f>'ANSP Capex'!H141</f>
        <v>€'000</v>
      </c>
      <c r="I145" s="829"/>
      <c r="J145" s="1097">
        <f>'ANSP Capex'!I141</f>
        <v>3</v>
      </c>
      <c r="K145" s="1124">
        <v>0</v>
      </c>
      <c r="L145" s="1098">
        <f t="shared" si="9"/>
        <v>36</v>
      </c>
      <c r="M145" s="153">
        <f t="shared" si="10"/>
        <v>0.33333333333333331</v>
      </c>
      <c r="N145" s="1099"/>
      <c r="O145" s="1100">
        <f>'ANSP Capex'!M141</f>
        <v>7</v>
      </c>
      <c r="P145" s="1101">
        <f>IF($BH145=0,0,IF(SUM($O145:O145)&lt;($L145-12),12,$L145-SUM($O145:O145)))</f>
        <v>12</v>
      </c>
      <c r="Q145" s="1101">
        <f>IF($BH145=0,0,IF(SUM($O145:P145)&lt;($L145-12),12,$L145-SUM($O145:P145)))</f>
        <v>12</v>
      </c>
      <c r="R145" s="1101">
        <f>IF($BH145=0,0,IF(SUM($O145:Q145)&lt;($L145-12),12,$L145-SUM($O145:Q145)))</f>
        <v>5</v>
      </c>
      <c r="S145" s="1101">
        <f>IF($BH145=0,0,IF(SUM($O145:R145)&lt;($L145-12),12,$L145-SUM($O145:R145)))</f>
        <v>0</v>
      </c>
      <c r="U145" s="1100"/>
      <c r="V145" s="1100">
        <f>'ANSP Capex'!T141</f>
        <v>0</v>
      </c>
      <c r="W145" s="1101">
        <f>IF($BI145=0,0,IF(SUM($U145:V145)&lt;($L145-12),12,$L145-SUM($U145:V145)))</f>
        <v>0</v>
      </c>
      <c r="X145" s="1101">
        <f>IF($BI145=0,0,IF(SUM($U145:W145)&lt;($L145-12),12,$L145-SUM($U145:W145)))</f>
        <v>0</v>
      </c>
      <c r="Y145" s="1101">
        <f>IF($BI145=0,0,IF(SUM($U145:X145)&lt;($L145-12),12,$L145-SUM($U145:X145)))</f>
        <v>0</v>
      </c>
      <c r="AA145" s="1100"/>
      <c r="AB145" s="1100"/>
      <c r="AC145" s="1100">
        <f>'ANSP Capex'!AA141</f>
        <v>0</v>
      </c>
      <c r="AD145" s="1101">
        <f>IF($BJ145=0,0,IF(SUM($AA145:AC145)&lt;($L145-12),12,$L145-SUM($AA145:AC145)))</f>
        <v>0</v>
      </c>
      <c r="AE145" s="1101">
        <f>IF($BJ145=0,0,IF(SUM($AA145:AD145)&lt;($L145-12),12,$L145-SUM($AA145:AD145)))</f>
        <v>0</v>
      </c>
      <c r="AG145" s="1100"/>
      <c r="AH145" s="1100"/>
      <c r="AI145" s="1100"/>
      <c r="AJ145" s="1100">
        <f>'ANSP Capex'!AH141</f>
        <v>0</v>
      </c>
      <c r="AK145" s="1101">
        <f>IF($BK145=0,0,IF(SUM($AG145:AJ145)&lt;($L145-12),12,$L145-SUM($AG145:AJ145)))</f>
        <v>0</v>
      </c>
      <c r="AM145" s="1100"/>
      <c r="AN145" s="1100"/>
      <c r="AO145" s="1100"/>
      <c r="AP145" s="1100"/>
      <c r="AQ145" s="1100">
        <f>'ANSP Capex'!AO141</f>
        <v>0</v>
      </c>
      <c r="AS145" s="153">
        <f t="shared" si="11"/>
        <v>0.58333333333333337</v>
      </c>
      <c r="AT145" s="153">
        <f t="shared" si="12"/>
        <v>0</v>
      </c>
      <c r="AU145" s="153">
        <f t="shared" si="13"/>
        <v>0</v>
      </c>
      <c r="AV145" s="153">
        <f t="shared" si="14"/>
        <v>0</v>
      </c>
      <c r="AW145" s="153">
        <f t="shared" si="15"/>
        <v>0</v>
      </c>
      <c r="AX145" s="153"/>
      <c r="AY145" s="1543">
        <f>'ANSP Capex'!AW141</f>
        <v>0.75</v>
      </c>
      <c r="AZ145" s="1102"/>
      <c r="BA145" s="1543">
        <f>'ANSP Capex'!AY141</f>
        <v>0.25</v>
      </c>
      <c r="BC145" s="1126"/>
      <c r="BD145" s="1126"/>
      <c r="BE145" s="1126"/>
      <c r="BF145" s="1126"/>
      <c r="BG145" s="1126"/>
      <c r="BH145" s="1126">
        <f>'ANSP Capex'!BF141*IF($I145="",(1+INDEX($I$41:$I$42,MATCH($F145,$F$41:$F$42,0))),(1+$I145))</f>
        <v>2.57328</v>
      </c>
      <c r="BI145" s="1126">
        <f>'ANSP Capex'!BG141*IF($I145="",(1+INDEX($I$41:$I$42,MATCH($F145,$F$41:$F$42,0))),(1+$I145))</f>
        <v>0</v>
      </c>
      <c r="BJ145" s="1126">
        <f>'ANSP Capex'!BH141*IF($I145="",(1+INDEX($I$41:$I$42,MATCH($F145,$F$41:$F$42,0))),(1+$I145))</f>
        <v>0</v>
      </c>
      <c r="BK145" s="1126">
        <f>'ANSP Capex'!BI141*IF($I145="",(1+INDEX($I$41:$I$42,MATCH($F145,$F$41:$F$42,0))),(1+$I145))</f>
        <v>0</v>
      </c>
      <c r="BL145" s="1126">
        <f>'ANSP Capex'!BJ141*IF($I145="",(1+INDEX($I$41:$I$42,MATCH($F145,$F$41:$F$42,0))),(1+$I145))</f>
        <v>0</v>
      </c>
    </row>
    <row r="146" spans="1:64" outlineLevel="2">
      <c r="A146" s="1094"/>
      <c r="B146" s="1094"/>
      <c r="C146" s="1083" t="str">
        <f>'ANSP Capex'!C142</f>
        <v>P003 - RBS Radios Rosslare</v>
      </c>
      <c r="D146" s="1083" t="str">
        <f>'ANSP Capex'!D142</f>
        <v>RBS Radios Rosslare</v>
      </c>
      <c r="E146" s="1083" t="str">
        <f>'ANSP Capex'!E142</f>
        <v>P0030002</v>
      </c>
      <c r="F146" s="1083">
        <f>'ANSP Capex'!F142</f>
        <v>2020</v>
      </c>
      <c r="G146" s="1101">
        <f t="shared" si="8"/>
        <v>33.083239999999996</v>
      </c>
      <c r="H146" s="1083" t="str">
        <f>'ANSP Capex'!H142</f>
        <v>€'000</v>
      </c>
      <c r="I146" s="829"/>
      <c r="J146" s="1097">
        <f>'ANSP Capex'!I142</f>
        <v>8</v>
      </c>
      <c r="K146" s="1124">
        <v>0</v>
      </c>
      <c r="L146" s="1098">
        <f t="shared" si="9"/>
        <v>96</v>
      </c>
      <c r="M146" s="153">
        <f t="shared" si="10"/>
        <v>0.125</v>
      </c>
      <c r="N146" s="1099"/>
      <c r="O146" s="1100">
        <f>'ANSP Capex'!M142</f>
        <v>4.0000338539997902</v>
      </c>
      <c r="P146" s="1101">
        <f>IF($BH146=0,0,IF(SUM($O146:O146)&lt;($L146-12),12,$L146-SUM($O146:O146)))</f>
        <v>12</v>
      </c>
      <c r="Q146" s="1101">
        <f>IF($BH146=0,0,IF(SUM($O146:P146)&lt;($L146-12),12,$L146-SUM($O146:P146)))</f>
        <v>12</v>
      </c>
      <c r="R146" s="1101">
        <f>IF($BH146=0,0,IF(SUM($O146:Q146)&lt;($L146-12),12,$L146-SUM($O146:Q146)))</f>
        <v>12</v>
      </c>
      <c r="S146" s="1101">
        <f>IF($BH146=0,0,IF(SUM($O146:R146)&lt;($L146-12),12,$L146-SUM($O146:R146)))</f>
        <v>12</v>
      </c>
      <c r="U146" s="1100"/>
      <c r="V146" s="1100">
        <f>'ANSP Capex'!T142</f>
        <v>0</v>
      </c>
      <c r="W146" s="1101">
        <f>IF($BI146=0,0,IF(SUM($U146:V146)&lt;($L146-12),12,$L146-SUM($U146:V146)))</f>
        <v>0</v>
      </c>
      <c r="X146" s="1101">
        <f>IF($BI146=0,0,IF(SUM($U146:W146)&lt;($L146-12),12,$L146-SUM($U146:W146)))</f>
        <v>0</v>
      </c>
      <c r="Y146" s="1101">
        <f>IF($BI146=0,0,IF(SUM($U146:X146)&lt;($L146-12),12,$L146-SUM($U146:X146)))</f>
        <v>0</v>
      </c>
      <c r="AA146" s="1100"/>
      <c r="AB146" s="1100"/>
      <c r="AC146" s="1100">
        <f>'ANSP Capex'!AA142</f>
        <v>0</v>
      </c>
      <c r="AD146" s="1101">
        <f>IF($BJ146=0,0,IF(SUM($AA146:AC146)&lt;($L146-12),12,$L146-SUM($AA146:AC146)))</f>
        <v>0</v>
      </c>
      <c r="AE146" s="1101">
        <f>IF($BJ146=0,0,IF(SUM($AA146:AD146)&lt;($L146-12),12,$L146-SUM($AA146:AD146)))</f>
        <v>0</v>
      </c>
      <c r="AG146" s="1100"/>
      <c r="AH146" s="1100"/>
      <c r="AI146" s="1100"/>
      <c r="AJ146" s="1100">
        <f>'ANSP Capex'!AH142</f>
        <v>0</v>
      </c>
      <c r="AK146" s="1101">
        <f>IF($BK146=0,0,IF(SUM($AG146:AJ146)&lt;($L146-12),12,$L146-SUM($AG146:AJ146)))</f>
        <v>0</v>
      </c>
      <c r="AM146" s="1100"/>
      <c r="AN146" s="1100"/>
      <c r="AO146" s="1100"/>
      <c r="AP146" s="1100"/>
      <c r="AQ146" s="1100">
        <f>'ANSP Capex'!AO142</f>
        <v>0</v>
      </c>
      <c r="AS146" s="153">
        <f t="shared" si="11"/>
        <v>0.3333361544999825</v>
      </c>
      <c r="AT146" s="153">
        <f t="shared" si="12"/>
        <v>0</v>
      </c>
      <c r="AU146" s="153">
        <f t="shared" si="13"/>
        <v>0</v>
      </c>
      <c r="AV146" s="153">
        <f t="shared" si="14"/>
        <v>0</v>
      </c>
      <c r="AW146" s="153">
        <f t="shared" si="15"/>
        <v>0</v>
      </c>
      <c r="AX146" s="153"/>
      <c r="AY146" s="1543">
        <f>'ANSP Capex'!AW142</f>
        <v>0.75</v>
      </c>
      <c r="AZ146" s="1102"/>
      <c r="BA146" s="1543">
        <f>'ANSP Capex'!AY142</f>
        <v>0.25</v>
      </c>
      <c r="BC146" s="1126"/>
      <c r="BD146" s="1126"/>
      <c r="BE146" s="1126"/>
      <c r="BF146" s="1126"/>
      <c r="BG146" s="1126"/>
      <c r="BH146" s="1126">
        <f>'ANSP Capex'!BF142*IF($I146="",(1+INDEX($I$41:$I$42,MATCH($F146,$F$41:$F$42,0))),(1+$I146))</f>
        <v>33.083239999999996</v>
      </c>
      <c r="BI146" s="1126">
        <f>'ANSP Capex'!BG142*IF($I146="",(1+INDEX($I$41:$I$42,MATCH($F146,$F$41:$F$42,0))),(1+$I146))</f>
        <v>0</v>
      </c>
      <c r="BJ146" s="1126">
        <f>'ANSP Capex'!BH142*IF($I146="",(1+INDEX($I$41:$I$42,MATCH($F146,$F$41:$F$42,0))),(1+$I146))</f>
        <v>0</v>
      </c>
      <c r="BK146" s="1126">
        <f>'ANSP Capex'!BI142*IF($I146="",(1+INDEX($I$41:$I$42,MATCH($F146,$F$41:$F$42,0))),(1+$I146))</f>
        <v>0</v>
      </c>
      <c r="BL146" s="1126">
        <f>'ANSP Capex'!BJ142*IF($I146="",(1+INDEX($I$41:$I$42,MATCH($F146,$F$41:$F$42,0))),(1+$I146))</f>
        <v>0</v>
      </c>
    </row>
    <row r="147" spans="1:64" outlineLevel="2">
      <c r="A147" s="1094"/>
      <c r="B147" s="1094"/>
      <c r="C147" s="1083" t="str">
        <f>'ANSP Capex'!C143</f>
        <v>Q027 HQ ICT Room Upgrades</v>
      </c>
      <c r="D147" s="1083" t="str">
        <f>'ANSP Capex'!D143</f>
        <v>ICT Room Upgrades</v>
      </c>
      <c r="E147" s="1083" t="str">
        <f>'ANSP Capex'!E143</f>
        <v>Q0270010</v>
      </c>
      <c r="F147" s="1083">
        <f>'ANSP Capex'!F143</f>
        <v>2020</v>
      </c>
      <c r="G147" s="1101">
        <f t="shared" si="8"/>
        <v>15.22298</v>
      </c>
      <c r="H147" s="1083" t="str">
        <f>'ANSP Capex'!H143</f>
        <v>€'000</v>
      </c>
      <c r="I147" s="829"/>
      <c r="J147" s="1097">
        <f>'ANSP Capex'!I143</f>
        <v>3</v>
      </c>
      <c r="K147" s="1124">
        <v>0</v>
      </c>
      <c r="L147" s="1098">
        <f t="shared" si="9"/>
        <v>36</v>
      </c>
      <c r="M147" s="153">
        <f t="shared" si="10"/>
        <v>0.33333333333333331</v>
      </c>
      <c r="N147" s="1099"/>
      <c r="O147" s="1100">
        <f>'ANSP Capex'!M143</f>
        <v>11.999984234361472</v>
      </c>
      <c r="P147" s="1101">
        <f>IF($BH147=0,0,IF(SUM($O147:O147)&lt;($L147-12),12,$L147-SUM($O147:O147)))</f>
        <v>12</v>
      </c>
      <c r="Q147" s="1101">
        <f>IF($BH147=0,0,IF(SUM($O147:P147)&lt;($L147-12),12,$L147-SUM($O147:P147)))</f>
        <v>12</v>
      </c>
      <c r="R147" s="1101">
        <f>IF($BH147=0,0,IF(SUM($O147:Q147)&lt;($L147-12),12,$L147-SUM($O147:Q147)))</f>
        <v>1.5765638529785519E-5</v>
      </c>
      <c r="S147" s="1101">
        <f>IF($BH147=0,0,IF(SUM($O147:R147)&lt;($L147-12),12,$L147-SUM($O147:R147)))</f>
        <v>0</v>
      </c>
      <c r="U147" s="1100"/>
      <c r="V147" s="1100">
        <f>'ANSP Capex'!T143</f>
        <v>0</v>
      </c>
      <c r="W147" s="1101">
        <f>IF($BI147=0,0,IF(SUM($U147:V147)&lt;($L147-12),12,$L147-SUM($U147:V147)))</f>
        <v>0</v>
      </c>
      <c r="X147" s="1101">
        <f>IF($BI147=0,0,IF(SUM($U147:W147)&lt;($L147-12),12,$L147-SUM($U147:W147)))</f>
        <v>0</v>
      </c>
      <c r="Y147" s="1101">
        <f>IF($BI147=0,0,IF(SUM($U147:X147)&lt;($L147-12),12,$L147-SUM($U147:X147)))</f>
        <v>0</v>
      </c>
      <c r="AA147" s="1100"/>
      <c r="AB147" s="1100"/>
      <c r="AC147" s="1100">
        <f>'ANSP Capex'!AA143</f>
        <v>0</v>
      </c>
      <c r="AD147" s="1101">
        <f>IF($BJ147=0,0,IF(SUM($AA147:AC147)&lt;($L147-12),12,$L147-SUM($AA147:AC147)))</f>
        <v>0</v>
      </c>
      <c r="AE147" s="1101">
        <f>IF($BJ147=0,0,IF(SUM($AA147:AD147)&lt;($L147-12),12,$L147-SUM($AA147:AD147)))</f>
        <v>0</v>
      </c>
      <c r="AG147" s="1100"/>
      <c r="AH147" s="1100"/>
      <c r="AI147" s="1100"/>
      <c r="AJ147" s="1100">
        <f>'ANSP Capex'!AH143</f>
        <v>0</v>
      </c>
      <c r="AK147" s="1101">
        <f>IF($BK147=0,0,IF(SUM($AG147:AJ147)&lt;($L147-12),12,$L147-SUM($AG147:AJ147)))</f>
        <v>0</v>
      </c>
      <c r="AM147" s="1100"/>
      <c r="AN147" s="1100"/>
      <c r="AO147" s="1100"/>
      <c r="AP147" s="1100"/>
      <c r="AQ147" s="1100">
        <f>'ANSP Capex'!AO143</f>
        <v>0</v>
      </c>
      <c r="AS147" s="153">
        <f t="shared" si="11"/>
        <v>0.99999868619678933</v>
      </c>
      <c r="AT147" s="153">
        <f t="shared" si="12"/>
        <v>0</v>
      </c>
      <c r="AU147" s="153">
        <f t="shared" si="13"/>
        <v>0</v>
      </c>
      <c r="AV147" s="153">
        <f t="shared" si="14"/>
        <v>0</v>
      </c>
      <c r="AW147" s="153">
        <f t="shared" si="15"/>
        <v>0</v>
      </c>
      <c r="AX147" s="153"/>
      <c r="AY147" s="1543">
        <f>'ANSP Capex'!AW143</f>
        <v>0.73</v>
      </c>
      <c r="AZ147" s="1102"/>
      <c r="BA147" s="1543">
        <f>'ANSP Capex'!AY143</f>
        <v>0.15</v>
      </c>
      <c r="BC147" s="1126"/>
      <c r="BD147" s="1126"/>
      <c r="BE147" s="1126"/>
      <c r="BF147" s="1126"/>
      <c r="BG147" s="1126"/>
      <c r="BH147" s="1126">
        <f>'ANSP Capex'!BF143*IF($I147="",(1+INDEX($I$41:$I$42,MATCH($F147,$F$41:$F$42,0))),(1+$I147))</f>
        <v>15.22298</v>
      </c>
      <c r="BI147" s="1126">
        <f>'ANSP Capex'!BG143*IF($I147="",(1+INDEX($I$41:$I$42,MATCH($F147,$F$41:$F$42,0))),(1+$I147))</f>
        <v>0</v>
      </c>
      <c r="BJ147" s="1126">
        <f>'ANSP Capex'!BH143*IF($I147="",(1+INDEX($I$41:$I$42,MATCH($F147,$F$41:$F$42,0))),(1+$I147))</f>
        <v>0</v>
      </c>
      <c r="BK147" s="1126">
        <f>'ANSP Capex'!BI143*IF($I147="",(1+INDEX($I$41:$I$42,MATCH($F147,$F$41:$F$42,0))),(1+$I147))</f>
        <v>0</v>
      </c>
      <c r="BL147" s="1126">
        <f>'ANSP Capex'!BJ143*IF($I147="",(1+INDEX($I$41:$I$42,MATCH($F147,$F$41:$F$42,0))),(1+$I147))</f>
        <v>0</v>
      </c>
    </row>
    <row r="148" spans="1:64" outlineLevel="2">
      <c r="A148" s="1094"/>
      <c r="B148" s="1094"/>
      <c r="C148" s="1083" t="str">
        <f>'ANSP Capex'!C144</f>
        <v>Q027 BCY ICT Room Upgrades</v>
      </c>
      <c r="D148" s="1083" t="str">
        <f>'ANSP Capex'!D144</f>
        <v>ICT Room Upgrades</v>
      </c>
      <c r="E148" s="1083" t="str">
        <f>'ANSP Capex'!E144</f>
        <v>Q0270009</v>
      </c>
      <c r="F148" s="1083">
        <f>'ANSP Capex'!F144</f>
        <v>2020</v>
      </c>
      <c r="G148" s="1101">
        <f t="shared" si="8"/>
        <v>16.74166</v>
      </c>
      <c r="H148" s="1083" t="str">
        <f>'ANSP Capex'!H144</f>
        <v>€'000</v>
      </c>
      <c r="I148" s="829"/>
      <c r="J148" s="1097">
        <f>'ANSP Capex'!I144</f>
        <v>3</v>
      </c>
      <c r="K148" s="1124">
        <v>0</v>
      </c>
      <c r="L148" s="1098">
        <f t="shared" si="9"/>
        <v>36</v>
      </c>
      <c r="M148" s="153">
        <f t="shared" si="10"/>
        <v>0.33333333333333331</v>
      </c>
      <c r="N148" s="1099"/>
      <c r="O148" s="1100">
        <f>'ANSP Capex'!M144</f>
        <v>11.000070482855344</v>
      </c>
      <c r="P148" s="1101">
        <f>IF($BH148=0,0,IF(SUM($O148:O148)&lt;($L148-12),12,$L148-SUM($O148:O148)))</f>
        <v>12</v>
      </c>
      <c r="Q148" s="1101">
        <f>IF($BH148=0,0,IF(SUM($O148:P148)&lt;($L148-12),12,$L148-SUM($O148:P148)))</f>
        <v>12</v>
      </c>
      <c r="R148" s="1101">
        <f>IF($BH148=0,0,IF(SUM($O148:Q148)&lt;($L148-12),12,$L148-SUM($O148:Q148)))</f>
        <v>0.99992951714465761</v>
      </c>
      <c r="S148" s="1101">
        <f>IF($BH148=0,0,IF(SUM($O148:R148)&lt;($L148-12),12,$L148-SUM($O148:R148)))</f>
        <v>0</v>
      </c>
      <c r="U148" s="1100"/>
      <c r="V148" s="1100">
        <f>'ANSP Capex'!T144</f>
        <v>0</v>
      </c>
      <c r="W148" s="1101">
        <f>IF($BI148=0,0,IF(SUM($U148:V148)&lt;($L148-12),12,$L148-SUM($U148:V148)))</f>
        <v>0</v>
      </c>
      <c r="X148" s="1101">
        <f>IF($BI148=0,0,IF(SUM($U148:W148)&lt;($L148-12),12,$L148-SUM($U148:W148)))</f>
        <v>0</v>
      </c>
      <c r="Y148" s="1101">
        <f>IF($BI148=0,0,IF(SUM($U148:X148)&lt;($L148-12),12,$L148-SUM($U148:X148)))</f>
        <v>0</v>
      </c>
      <c r="AA148" s="1100"/>
      <c r="AB148" s="1100"/>
      <c r="AC148" s="1100">
        <f>'ANSP Capex'!AA144</f>
        <v>0</v>
      </c>
      <c r="AD148" s="1101">
        <f>IF($BJ148=0,0,IF(SUM($AA148:AC148)&lt;($L148-12),12,$L148-SUM($AA148:AC148)))</f>
        <v>0</v>
      </c>
      <c r="AE148" s="1101">
        <f>IF($BJ148=0,0,IF(SUM($AA148:AD148)&lt;($L148-12),12,$L148-SUM($AA148:AD148)))</f>
        <v>0</v>
      </c>
      <c r="AG148" s="1100"/>
      <c r="AH148" s="1100"/>
      <c r="AI148" s="1100"/>
      <c r="AJ148" s="1100">
        <f>'ANSP Capex'!AH144</f>
        <v>0</v>
      </c>
      <c r="AK148" s="1101">
        <f>IF($BK148=0,0,IF(SUM($AG148:AJ148)&lt;($L148-12),12,$L148-SUM($AG148:AJ148)))</f>
        <v>0</v>
      </c>
      <c r="AM148" s="1100"/>
      <c r="AN148" s="1100"/>
      <c r="AO148" s="1100"/>
      <c r="AP148" s="1100"/>
      <c r="AQ148" s="1100">
        <f>'ANSP Capex'!AO144</f>
        <v>0</v>
      </c>
      <c r="AS148" s="153">
        <f t="shared" si="11"/>
        <v>0.91667254023794531</v>
      </c>
      <c r="AT148" s="153">
        <f t="shared" si="12"/>
        <v>0</v>
      </c>
      <c r="AU148" s="153">
        <f t="shared" si="13"/>
        <v>0</v>
      </c>
      <c r="AV148" s="153">
        <f t="shared" si="14"/>
        <v>0</v>
      </c>
      <c r="AW148" s="153">
        <f t="shared" si="15"/>
        <v>0</v>
      </c>
      <c r="AX148" s="153"/>
      <c r="AY148" s="1543">
        <f>'ANSP Capex'!AW144</f>
        <v>0.75</v>
      </c>
      <c r="AZ148" s="1102"/>
      <c r="BA148" s="1543">
        <f>'ANSP Capex'!AY144</f>
        <v>0.25</v>
      </c>
      <c r="BC148" s="1126"/>
      <c r="BD148" s="1126"/>
      <c r="BE148" s="1126"/>
      <c r="BF148" s="1126"/>
      <c r="BG148" s="1126"/>
      <c r="BH148" s="1126">
        <f>'ANSP Capex'!BF144*IF($I148="",(1+INDEX($I$41:$I$42,MATCH($F148,$F$41:$F$42,0))),(1+$I148))</f>
        <v>16.74166</v>
      </c>
      <c r="BI148" s="1126">
        <f>'ANSP Capex'!BG144*IF($I148="",(1+INDEX($I$41:$I$42,MATCH($F148,$F$41:$F$42,0))),(1+$I148))</f>
        <v>0</v>
      </c>
      <c r="BJ148" s="1126">
        <f>'ANSP Capex'!BH144*IF($I148="",(1+INDEX($I$41:$I$42,MATCH($F148,$F$41:$F$42,0))),(1+$I148))</f>
        <v>0</v>
      </c>
      <c r="BK148" s="1126">
        <f>'ANSP Capex'!BI144*IF($I148="",(1+INDEX($I$41:$I$42,MATCH($F148,$F$41:$F$42,0))),(1+$I148))</f>
        <v>0</v>
      </c>
      <c r="BL148" s="1126">
        <f>'ANSP Capex'!BJ144*IF($I148="",(1+INDEX($I$41:$I$42,MATCH($F148,$F$41:$F$42,0))),(1+$I148))</f>
        <v>0</v>
      </c>
    </row>
    <row r="149" spans="1:64" outlineLevel="2">
      <c r="A149" s="1094"/>
      <c r="B149" s="1094"/>
      <c r="C149" s="1083" t="str">
        <f>'ANSP Capex'!C145</f>
        <v>S004 - NRT2</v>
      </c>
      <c r="D149" s="1083" t="str">
        <f>'ANSP Capex'!D145</f>
        <v>NRT2</v>
      </c>
      <c r="E149" s="1083" t="str">
        <f>'ANSP Capex'!E145</f>
        <v>S0040015</v>
      </c>
      <c r="F149" s="1083">
        <f>'ANSP Capex'!F145</f>
        <v>2020</v>
      </c>
      <c r="G149" s="1101">
        <f t="shared" si="8"/>
        <v>5.6870000000000003</v>
      </c>
      <c r="H149" s="1083" t="str">
        <f>'ANSP Capex'!H145</f>
        <v>€'000</v>
      </c>
      <c r="I149" s="829"/>
      <c r="J149" s="1097">
        <f>'ANSP Capex'!I145</f>
        <v>5</v>
      </c>
      <c r="K149" s="1124">
        <v>0</v>
      </c>
      <c r="L149" s="1098">
        <f t="shared" si="9"/>
        <v>60</v>
      </c>
      <c r="M149" s="153">
        <f t="shared" si="10"/>
        <v>0.2</v>
      </c>
      <c r="N149" s="1099"/>
      <c r="O149" s="1100">
        <f>'ANSP Capex'!M145</f>
        <v>10.999613152804642</v>
      </c>
      <c r="P149" s="1101">
        <f>IF($BH149=0,0,IF(SUM($O149:O149)&lt;($L149-12),12,$L149-SUM($O149:O149)))</f>
        <v>12</v>
      </c>
      <c r="Q149" s="1101">
        <f>IF($BH149=0,0,IF(SUM($O149:P149)&lt;($L149-12),12,$L149-SUM($O149:P149)))</f>
        <v>12</v>
      </c>
      <c r="R149" s="1101">
        <f>IF($BH149=0,0,IF(SUM($O149:Q149)&lt;($L149-12),12,$L149-SUM($O149:Q149)))</f>
        <v>12</v>
      </c>
      <c r="S149" s="1101">
        <f>IF($BH149=0,0,IF(SUM($O149:R149)&lt;($L149-12),12,$L149-SUM($O149:R149)))</f>
        <v>12</v>
      </c>
      <c r="U149" s="1100"/>
      <c r="V149" s="1100">
        <f>'ANSP Capex'!T145</f>
        <v>0</v>
      </c>
      <c r="W149" s="1101">
        <f>IF($BI149=0,0,IF(SUM($U149:V149)&lt;($L149-12),12,$L149-SUM($U149:V149)))</f>
        <v>0</v>
      </c>
      <c r="X149" s="1101">
        <f>IF($BI149=0,0,IF(SUM($U149:W149)&lt;($L149-12),12,$L149-SUM($U149:W149)))</f>
        <v>0</v>
      </c>
      <c r="Y149" s="1101">
        <f>IF($BI149=0,0,IF(SUM($U149:X149)&lt;($L149-12),12,$L149-SUM($U149:X149)))</f>
        <v>0</v>
      </c>
      <c r="AA149" s="1100"/>
      <c r="AB149" s="1100"/>
      <c r="AC149" s="1100">
        <f>'ANSP Capex'!AA145</f>
        <v>0</v>
      </c>
      <c r="AD149" s="1101">
        <f>IF($BJ149=0,0,IF(SUM($AA149:AC149)&lt;($L149-12),12,$L149-SUM($AA149:AC149)))</f>
        <v>0</v>
      </c>
      <c r="AE149" s="1101">
        <f>IF($BJ149=0,0,IF(SUM($AA149:AD149)&lt;($L149-12),12,$L149-SUM($AA149:AD149)))</f>
        <v>0</v>
      </c>
      <c r="AG149" s="1100"/>
      <c r="AH149" s="1100"/>
      <c r="AI149" s="1100"/>
      <c r="AJ149" s="1100">
        <f>'ANSP Capex'!AH145</f>
        <v>0</v>
      </c>
      <c r="AK149" s="1101">
        <f>IF($BK149=0,0,IF(SUM($AG149:AJ149)&lt;($L149-12),12,$L149-SUM($AG149:AJ149)))</f>
        <v>0</v>
      </c>
      <c r="AM149" s="1100"/>
      <c r="AN149" s="1100"/>
      <c r="AO149" s="1100"/>
      <c r="AP149" s="1100"/>
      <c r="AQ149" s="1100">
        <f>'ANSP Capex'!AO145</f>
        <v>0</v>
      </c>
      <c r="AS149" s="153">
        <f t="shared" si="11"/>
        <v>0.91663442940038686</v>
      </c>
      <c r="AT149" s="153">
        <f t="shared" si="12"/>
        <v>0</v>
      </c>
      <c r="AU149" s="153">
        <f t="shared" si="13"/>
        <v>0</v>
      </c>
      <c r="AV149" s="153">
        <f t="shared" si="14"/>
        <v>0</v>
      </c>
      <c r="AW149" s="153">
        <f t="shared" si="15"/>
        <v>0</v>
      </c>
      <c r="AX149" s="153"/>
      <c r="AY149" s="1543">
        <f>'ANSP Capex'!AW145</f>
        <v>0.75</v>
      </c>
      <c r="AZ149" s="1102"/>
      <c r="BA149" s="1543">
        <f>'ANSP Capex'!AY145</f>
        <v>0.25</v>
      </c>
      <c r="BC149" s="1126"/>
      <c r="BD149" s="1126"/>
      <c r="BE149" s="1126"/>
      <c r="BF149" s="1126"/>
      <c r="BG149" s="1126"/>
      <c r="BH149" s="1126">
        <f>'ANSP Capex'!BF145*IF($I149="",(1+INDEX($I$41:$I$42,MATCH($F149,$F$41:$F$42,0))),(1+$I149))</f>
        <v>5.6870000000000003</v>
      </c>
      <c r="BI149" s="1126">
        <f>'ANSP Capex'!BG145*IF($I149="",(1+INDEX($I$41:$I$42,MATCH($F149,$F$41:$F$42,0))),(1+$I149))</f>
        <v>0</v>
      </c>
      <c r="BJ149" s="1126">
        <f>'ANSP Capex'!BH145*IF($I149="",(1+INDEX($I$41:$I$42,MATCH($F149,$F$41:$F$42,0))),(1+$I149))</f>
        <v>0</v>
      </c>
      <c r="BK149" s="1126">
        <f>'ANSP Capex'!BI145*IF($I149="",(1+INDEX($I$41:$I$42,MATCH($F149,$F$41:$F$42,0))),(1+$I149))</f>
        <v>0</v>
      </c>
      <c r="BL149" s="1126">
        <f>'ANSP Capex'!BJ145*IF($I149="",(1+INDEX($I$41:$I$42,MATCH($F149,$F$41:$F$42,0))),(1+$I149))</f>
        <v>0</v>
      </c>
    </row>
    <row r="150" spans="1:64" outlineLevel="2">
      <c r="A150" s="1094"/>
      <c r="B150" s="1094"/>
      <c r="C150" s="1083" t="str">
        <f>'ANSP Capex'!C146</f>
        <v>S004 - NRT2</v>
      </c>
      <c r="D150" s="1083" t="str">
        <f>'ANSP Capex'!D146</f>
        <v>NRT2</v>
      </c>
      <c r="E150" s="1083" t="str">
        <f>'ANSP Capex'!E146</f>
        <v>S0040014</v>
      </c>
      <c r="F150" s="1083">
        <f>'ANSP Capex'!F146</f>
        <v>2020</v>
      </c>
      <c r="G150" s="1101">
        <f t="shared" si="8"/>
        <v>11.374000000000001</v>
      </c>
      <c r="H150" s="1083" t="str">
        <f>'ANSP Capex'!H146</f>
        <v>€'000</v>
      </c>
      <c r="I150" s="829"/>
      <c r="J150" s="1097">
        <f>'ANSP Capex'!I146</f>
        <v>5</v>
      </c>
      <c r="K150" s="1124">
        <v>0</v>
      </c>
      <c r="L150" s="1098">
        <f t="shared" si="9"/>
        <v>60</v>
      </c>
      <c r="M150" s="153">
        <f t="shared" si="10"/>
        <v>0.2</v>
      </c>
      <c r="N150" s="1099"/>
      <c r="O150" s="1100">
        <f>'ANSP Capex'!M146</f>
        <v>11.000193423597679</v>
      </c>
      <c r="P150" s="1101">
        <f>IF($BH150=0,0,IF(SUM($O150:O150)&lt;($L150-12),12,$L150-SUM($O150:O150)))</f>
        <v>12</v>
      </c>
      <c r="Q150" s="1101">
        <f>IF($BH150=0,0,IF(SUM($O150:P150)&lt;($L150-12),12,$L150-SUM($O150:P150)))</f>
        <v>12</v>
      </c>
      <c r="R150" s="1101">
        <f>IF($BH150=0,0,IF(SUM($O150:Q150)&lt;($L150-12),12,$L150-SUM($O150:Q150)))</f>
        <v>12</v>
      </c>
      <c r="S150" s="1101">
        <f>IF($BH150=0,0,IF(SUM($O150:R150)&lt;($L150-12),12,$L150-SUM($O150:R150)))</f>
        <v>12</v>
      </c>
      <c r="U150" s="1100"/>
      <c r="V150" s="1100">
        <f>'ANSP Capex'!T146</f>
        <v>0</v>
      </c>
      <c r="W150" s="1101">
        <f>IF($BI150=0,0,IF(SUM($U150:V150)&lt;($L150-12),12,$L150-SUM($U150:V150)))</f>
        <v>0</v>
      </c>
      <c r="X150" s="1101">
        <f>IF($BI150=0,0,IF(SUM($U150:W150)&lt;($L150-12),12,$L150-SUM($U150:W150)))</f>
        <v>0</v>
      </c>
      <c r="Y150" s="1101">
        <f>IF($BI150=0,0,IF(SUM($U150:X150)&lt;($L150-12),12,$L150-SUM($U150:X150)))</f>
        <v>0</v>
      </c>
      <c r="AA150" s="1100"/>
      <c r="AB150" s="1100"/>
      <c r="AC150" s="1100">
        <f>'ANSP Capex'!AA146</f>
        <v>0</v>
      </c>
      <c r="AD150" s="1101">
        <f>IF($BJ150=0,0,IF(SUM($AA150:AC150)&lt;($L150-12),12,$L150-SUM($AA150:AC150)))</f>
        <v>0</v>
      </c>
      <c r="AE150" s="1101">
        <f>IF($BJ150=0,0,IF(SUM($AA150:AD150)&lt;($L150-12),12,$L150-SUM($AA150:AD150)))</f>
        <v>0</v>
      </c>
      <c r="AG150" s="1100"/>
      <c r="AH150" s="1100"/>
      <c r="AI150" s="1100"/>
      <c r="AJ150" s="1100">
        <f>'ANSP Capex'!AH146</f>
        <v>0</v>
      </c>
      <c r="AK150" s="1101">
        <f>IF($BK150=0,0,IF(SUM($AG150:AJ150)&lt;($L150-12),12,$L150-SUM($AG150:AJ150)))</f>
        <v>0</v>
      </c>
      <c r="AM150" s="1100"/>
      <c r="AN150" s="1100"/>
      <c r="AO150" s="1100"/>
      <c r="AP150" s="1100"/>
      <c r="AQ150" s="1100">
        <f>'ANSP Capex'!AO146</f>
        <v>0</v>
      </c>
      <c r="AS150" s="153">
        <f t="shared" si="11"/>
        <v>0.91668278529980662</v>
      </c>
      <c r="AT150" s="153">
        <f t="shared" si="12"/>
        <v>0</v>
      </c>
      <c r="AU150" s="153">
        <f t="shared" si="13"/>
        <v>0</v>
      </c>
      <c r="AV150" s="153">
        <f t="shared" si="14"/>
        <v>0</v>
      </c>
      <c r="AW150" s="153">
        <f t="shared" si="15"/>
        <v>0</v>
      </c>
      <c r="AX150" s="153"/>
      <c r="AY150" s="1543">
        <f>'ANSP Capex'!AW146</f>
        <v>0.75</v>
      </c>
      <c r="AZ150" s="1102"/>
      <c r="BA150" s="1543">
        <f>'ANSP Capex'!AY146</f>
        <v>0.25</v>
      </c>
      <c r="BC150" s="1126"/>
      <c r="BD150" s="1126"/>
      <c r="BE150" s="1126"/>
      <c r="BF150" s="1126"/>
      <c r="BG150" s="1126"/>
      <c r="BH150" s="1126">
        <f>'ANSP Capex'!BF146*IF($I150="",(1+INDEX($I$41:$I$42,MATCH($F150,$F$41:$F$42,0))),(1+$I150))</f>
        <v>11.374000000000001</v>
      </c>
      <c r="BI150" s="1126">
        <f>'ANSP Capex'!BG146*IF($I150="",(1+INDEX($I$41:$I$42,MATCH($F150,$F$41:$F$42,0))),(1+$I150))</f>
        <v>0</v>
      </c>
      <c r="BJ150" s="1126">
        <f>'ANSP Capex'!BH146*IF($I150="",(1+INDEX($I$41:$I$42,MATCH($F150,$F$41:$F$42,0))),(1+$I150))</f>
        <v>0</v>
      </c>
      <c r="BK150" s="1126">
        <f>'ANSP Capex'!BI146*IF($I150="",(1+INDEX($I$41:$I$42,MATCH($F150,$F$41:$F$42,0))),(1+$I150))</f>
        <v>0</v>
      </c>
      <c r="BL150" s="1126">
        <f>'ANSP Capex'!BJ146*IF($I150="",(1+INDEX($I$41:$I$42,MATCH($F150,$F$41:$F$42,0))),(1+$I150))</f>
        <v>0</v>
      </c>
    </row>
    <row r="151" spans="1:64" outlineLevel="2">
      <c r="A151" s="1094"/>
      <c r="B151" s="1094"/>
      <c r="C151" s="1083" t="str">
        <f>'ANSP Capex'!C147</f>
        <v>T013 - KF73875 FF AVIOR ELBRUS HBACK OPERATOR x2</v>
      </c>
      <c r="D151" s="1083" t="str">
        <f>'ANSP Capex'!D147</f>
        <v>Office Equipment</v>
      </c>
      <c r="E151" s="1083" t="str">
        <f>'ANSP Capex'!E147</f>
        <v>t0130005</v>
      </c>
      <c r="F151" s="1083">
        <f>'ANSP Capex'!F147</f>
        <v>2020</v>
      </c>
      <c r="G151" s="1101">
        <f t="shared" si="8"/>
        <v>0.84</v>
      </c>
      <c r="H151" s="1083" t="str">
        <f>'ANSP Capex'!H147</f>
        <v>€'000</v>
      </c>
      <c r="I151" s="829"/>
      <c r="J151" s="1097">
        <f>'ANSP Capex'!I147</f>
        <v>5</v>
      </c>
      <c r="K151" s="1124">
        <v>0</v>
      </c>
      <c r="L151" s="1098">
        <f t="shared" si="9"/>
        <v>60</v>
      </c>
      <c r="M151" s="153">
        <f t="shared" si="10"/>
        <v>0.2</v>
      </c>
      <c r="N151" s="1099"/>
      <c r="O151" s="1100">
        <f>'ANSP Capex'!M147</f>
        <v>9</v>
      </c>
      <c r="P151" s="1101">
        <f>IF($BH151=0,0,IF(SUM($O151:O151)&lt;($L151-12),12,$L151-SUM($O151:O151)))</f>
        <v>12</v>
      </c>
      <c r="Q151" s="1101">
        <f>IF($BH151=0,0,IF(SUM($O151:P151)&lt;($L151-12),12,$L151-SUM($O151:P151)))</f>
        <v>12</v>
      </c>
      <c r="R151" s="1101">
        <f>IF($BH151=0,0,IF(SUM($O151:Q151)&lt;($L151-12),12,$L151-SUM($O151:Q151)))</f>
        <v>12</v>
      </c>
      <c r="S151" s="1101">
        <f>IF($BH151=0,0,IF(SUM($O151:R151)&lt;($L151-12),12,$L151-SUM($O151:R151)))</f>
        <v>12</v>
      </c>
      <c r="U151" s="1100"/>
      <c r="V151" s="1100">
        <f>'ANSP Capex'!T147</f>
        <v>0</v>
      </c>
      <c r="W151" s="1101">
        <f>IF($BI151=0,0,IF(SUM($U151:V151)&lt;($L151-12),12,$L151-SUM($U151:V151)))</f>
        <v>0</v>
      </c>
      <c r="X151" s="1101">
        <f>IF($BI151=0,0,IF(SUM($U151:W151)&lt;($L151-12),12,$L151-SUM($U151:W151)))</f>
        <v>0</v>
      </c>
      <c r="Y151" s="1101">
        <f>IF($BI151=0,0,IF(SUM($U151:X151)&lt;($L151-12),12,$L151-SUM($U151:X151)))</f>
        <v>0</v>
      </c>
      <c r="AA151" s="1100"/>
      <c r="AB151" s="1100"/>
      <c r="AC151" s="1100">
        <f>'ANSP Capex'!AA147</f>
        <v>0</v>
      </c>
      <c r="AD151" s="1101">
        <f>IF($BJ151=0,0,IF(SUM($AA151:AC151)&lt;($L151-12),12,$L151-SUM($AA151:AC151)))</f>
        <v>0</v>
      </c>
      <c r="AE151" s="1101">
        <f>IF($BJ151=0,0,IF(SUM($AA151:AD151)&lt;($L151-12),12,$L151-SUM($AA151:AD151)))</f>
        <v>0</v>
      </c>
      <c r="AG151" s="1100"/>
      <c r="AH151" s="1100"/>
      <c r="AI151" s="1100"/>
      <c r="AJ151" s="1100">
        <f>'ANSP Capex'!AH147</f>
        <v>0</v>
      </c>
      <c r="AK151" s="1101">
        <f>IF($BK151=0,0,IF(SUM($AG151:AJ151)&lt;($L151-12),12,$L151-SUM($AG151:AJ151)))</f>
        <v>0</v>
      </c>
      <c r="AM151" s="1100"/>
      <c r="AN151" s="1100"/>
      <c r="AO151" s="1100"/>
      <c r="AP151" s="1100"/>
      <c r="AQ151" s="1100">
        <f>'ANSP Capex'!AO147</f>
        <v>0</v>
      </c>
      <c r="AS151" s="153">
        <f t="shared" si="11"/>
        <v>0.75</v>
      </c>
      <c r="AT151" s="153">
        <f t="shared" si="12"/>
        <v>0</v>
      </c>
      <c r="AU151" s="153">
        <f t="shared" si="13"/>
        <v>0</v>
      </c>
      <c r="AV151" s="153">
        <f t="shared" si="14"/>
        <v>0</v>
      </c>
      <c r="AW151" s="153">
        <f t="shared" si="15"/>
        <v>0</v>
      </c>
      <c r="AX151" s="153"/>
      <c r="AY151" s="1543">
        <f>'ANSP Capex'!AW147</f>
        <v>1</v>
      </c>
      <c r="AZ151" s="1102"/>
      <c r="BA151" s="1543">
        <f>'ANSP Capex'!AY147</f>
        <v>0</v>
      </c>
      <c r="BC151" s="1126"/>
      <c r="BD151" s="1126"/>
      <c r="BE151" s="1126"/>
      <c r="BF151" s="1126"/>
      <c r="BG151" s="1126"/>
      <c r="BH151" s="1126">
        <f>'ANSP Capex'!BF147*IF($I151="",(1+INDEX($I$41:$I$42,MATCH($F151,$F$41:$F$42,0))),(1+$I151))</f>
        <v>0.84</v>
      </c>
      <c r="BI151" s="1126">
        <f>'ANSP Capex'!BG147*IF($I151="",(1+INDEX($I$41:$I$42,MATCH($F151,$F$41:$F$42,0))),(1+$I151))</f>
        <v>0</v>
      </c>
      <c r="BJ151" s="1126">
        <f>'ANSP Capex'!BH147*IF($I151="",(1+INDEX($I$41:$I$42,MATCH($F151,$F$41:$F$42,0))),(1+$I151))</f>
        <v>0</v>
      </c>
      <c r="BK151" s="1126">
        <f>'ANSP Capex'!BI147*IF($I151="",(1+INDEX($I$41:$I$42,MATCH($F151,$F$41:$F$42,0))),(1+$I151))</f>
        <v>0</v>
      </c>
      <c r="BL151" s="1126">
        <f>'ANSP Capex'!BJ147*IF($I151="",(1+INDEX($I$41:$I$42,MATCH($F151,$F$41:$F$42,0))),(1+$I151))</f>
        <v>0</v>
      </c>
    </row>
    <row r="152" spans="1:64" outlineLevel="2">
      <c r="A152" s="1094"/>
      <c r="B152" s="1094"/>
      <c r="C152" s="1083" t="str">
        <f>'ANSP Capex'!C148</f>
        <v>T013 - OFFICE CHAIRS SHEFFIELD GREY x2</v>
      </c>
      <c r="D152" s="1083" t="str">
        <f>'ANSP Capex'!D148</f>
        <v>Office Equipment</v>
      </c>
      <c r="E152" s="1083" t="str">
        <f>'ANSP Capex'!E148</f>
        <v>T0130004</v>
      </c>
      <c r="F152" s="1083">
        <f>'ANSP Capex'!F148</f>
        <v>2020</v>
      </c>
      <c r="G152" s="1101">
        <f t="shared" si="8"/>
        <v>1.218</v>
      </c>
      <c r="H152" s="1083" t="str">
        <f>'ANSP Capex'!H148</f>
        <v>€'000</v>
      </c>
      <c r="I152" s="829"/>
      <c r="J152" s="1097">
        <f>'ANSP Capex'!I148</f>
        <v>5</v>
      </c>
      <c r="K152" s="1124">
        <v>0</v>
      </c>
      <c r="L152" s="1098">
        <f t="shared" si="9"/>
        <v>60</v>
      </c>
      <c r="M152" s="153">
        <f t="shared" si="10"/>
        <v>0.2</v>
      </c>
      <c r="N152" s="1099"/>
      <c r="O152" s="1100">
        <f>'ANSP Capex'!M148</f>
        <v>9</v>
      </c>
      <c r="P152" s="1101">
        <f>IF($BH152=0,0,IF(SUM($O152:O152)&lt;($L152-12),12,$L152-SUM($O152:O152)))</f>
        <v>12</v>
      </c>
      <c r="Q152" s="1101">
        <f>IF($BH152=0,0,IF(SUM($O152:P152)&lt;($L152-12),12,$L152-SUM($O152:P152)))</f>
        <v>12</v>
      </c>
      <c r="R152" s="1101">
        <f>IF($BH152=0,0,IF(SUM($O152:Q152)&lt;($L152-12),12,$L152-SUM($O152:Q152)))</f>
        <v>12</v>
      </c>
      <c r="S152" s="1101">
        <f>IF($BH152=0,0,IF(SUM($O152:R152)&lt;($L152-12),12,$L152-SUM($O152:R152)))</f>
        <v>12</v>
      </c>
      <c r="U152" s="1100"/>
      <c r="V152" s="1100">
        <f>'ANSP Capex'!T148</f>
        <v>0</v>
      </c>
      <c r="W152" s="1101">
        <f>IF($BI152=0,0,IF(SUM($U152:V152)&lt;($L152-12),12,$L152-SUM($U152:V152)))</f>
        <v>0</v>
      </c>
      <c r="X152" s="1101">
        <f>IF($BI152=0,0,IF(SUM($U152:W152)&lt;($L152-12),12,$L152-SUM($U152:W152)))</f>
        <v>0</v>
      </c>
      <c r="Y152" s="1101">
        <f>IF($BI152=0,0,IF(SUM($U152:X152)&lt;($L152-12),12,$L152-SUM($U152:X152)))</f>
        <v>0</v>
      </c>
      <c r="AA152" s="1100"/>
      <c r="AB152" s="1100"/>
      <c r="AC152" s="1100">
        <f>'ANSP Capex'!AA148</f>
        <v>0</v>
      </c>
      <c r="AD152" s="1101">
        <f>IF($BJ152=0,0,IF(SUM($AA152:AC152)&lt;($L152-12),12,$L152-SUM($AA152:AC152)))</f>
        <v>0</v>
      </c>
      <c r="AE152" s="1101">
        <f>IF($BJ152=0,0,IF(SUM($AA152:AD152)&lt;($L152-12),12,$L152-SUM($AA152:AD152)))</f>
        <v>0</v>
      </c>
      <c r="AG152" s="1100"/>
      <c r="AH152" s="1100"/>
      <c r="AI152" s="1100"/>
      <c r="AJ152" s="1100">
        <f>'ANSP Capex'!AH148</f>
        <v>0</v>
      </c>
      <c r="AK152" s="1101">
        <f>IF($BK152=0,0,IF(SUM($AG152:AJ152)&lt;($L152-12),12,$L152-SUM($AG152:AJ152)))</f>
        <v>0</v>
      </c>
      <c r="AM152" s="1100"/>
      <c r="AN152" s="1100"/>
      <c r="AO152" s="1100"/>
      <c r="AP152" s="1100"/>
      <c r="AQ152" s="1100">
        <f>'ANSP Capex'!AO148</f>
        <v>0</v>
      </c>
      <c r="AS152" s="153">
        <f t="shared" si="11"/>
        <v>0.75</v>
      </c>
      <c r="AT152" s="153">
        <f t="shared" si="12"/>
        <v>0</v>
      </c>
      <c r="AU152" s="153">
        <f t="shared" si="13"/>
        <v>0</v>
      </c>
      <c r="AV152" s="153">
        <f t="shared" si="14"/>
        <v>0</v>
      </c>
      <c r="AW152" s="153">
        <f t="shared" si="15"/>
        <v>0</v>
      </c>
      <c r="AX152" s="153"/>
      <c r="AY152" s="1543">
        <f>'ANSP Capex'!AW148</f>
        <v>0</v>
      </c>
      <c r="AZ152" s="1102"/>
      <c r="BA152" s="1543">
        <f>'ANSP Capex'!AY148</f>
        <v>1</v>
      </c>
      <c r="BC152" s="1126"/>
      <c r="BD152" s="1126"/>
      <c r="BE152" s="1126"/>
      <c r="BF152" s="1126"/>
      <c r="BG152" s="1126"/>
      <c r="BH152" s="1126">
        <f>'ANSP Capex'!BF148*IF($I152="",(1+INDEX($I$41:$I$42,MATCH($F152,$F$41:$F$42,0))),(1+$I152))</f>
        <v>1.218</v>
      </c>
      <c r="BI152" s="1126">
        <f>'ANSP Capex'!BG148*IF($I152="",(1+INDEX($I$41:$I$42,MATCH($F152,$F$41:$F$42,0))),(1+$I152))</f>
        <v>0</v>
      </c>
      <c r="BJ152" s="1126">
        <f>'ANSP Capex'!BH148*IF($I152="",(1+INDEX($I$41:$I$42,MATCH($F152,$F$41:$F$42,0))),(1+$I152))</f>
        <v>0</v>
      </c>
      <c r="BK152" s="1126">
        <f>'ANSP Capex'!BI148*IF($I152="",(1+INDEX($I$41:$I$42,MATCH($F152,$F$41:$F$42,0))),(1+$I152))</f>
        <v>0</v>
      </c>
      <c r="BL152" s="1126">
        <f>'ANSP Capex'!BJ148*IF($I152="",(1+INDEX($I$41:$I$42,MATCH($F152,$F$41:$F$42,0))),(1+$I152))</f>
        <v>0</v>
      </c>
    </row>
    <row r="153" spans="1:64" outlineLevel="2">
      <c r="A153" s="1094"/>
      <c r="B153" s="1094"/>
      <c r="C153" s="1083" t="str">
        <f>'ANSP Capex'!C149</f>
        <v>New Dublin Tower - Building</v>
      </c>
      <c r="D153" s="1083" t="str">
        <f>'ANSP Capex'!D149</f>
        <v>New Dublin Tower</v>
      </c>
      <c r="E153" s="1083" t="str">
        <f>'ANSP Capex'!E149</f>
        <v>R034</v>
      </c>
      <c r="F153" s="1083" t="str">
        <f>'ANSP Capex'!F149</f>
        <v>2021-2024</v>
      </c>
      <c r="G153" s="1101">
        <f t="shared" si="8"/>
        <v>36392.626499999998</v>
      </c>
      <c r="H153" s="1083" t="str">
        <f>'ANSP Capex'!H149</f>
        <v>€'000</v>
      </c>
      <c r="I153" s="829">
        <v>0</v>
      </c>
      <c r="J153" s="1097">
        <f>'ANSP Capex'!I149</f>
        <v>20</v>
      </c>
      <c r="K153" s="1124">
        <v>40</v>
      </c>
      <c r="L153" s="1098">
        <f t="shared" si="9"/>
        <v>480</v>
      </c>
      <c r="M153" s="153">
        <f t="shared" si="10"/>
        <v>2.5000000000000001E-2</v>
      </c>
      <c r="N153" s="1099"/>
      <c r="O153" s="1100">
        <f>'ANSP Capex'!M149</f>
        <v>0</v>
      </c>
      <c r="P153" s="1101">
        <f>IF($BH153=0,0,IF(SUM($O153:O153)&lt;($L153-12),12,$L153-SUM($O153:O153)))</f>
        <v>0</v>
      </c>
      <c r="Q153" s="1101">
        <f>IF($BH153=0,0,IF(SUM($O153:P153)&lt;($L153-12),12,$L153-SUM($O153:P153)))</f>
        <v>0</v>
      </c>
      <c r="R153" s="1101">
        <f>IF($BH153=0,0,IF(SUM($O153:Q153)&lt;($L153-12),12,$L153-SUM($O153:Q153)))</f>
        <v>0</v>
      </c>
      <c r="S153" s="1101">
        <f>IF($BH153=0,0,IF(SUM($O153:R153)&lt;($L153-12),12,$L153-SUM($O153:R153)))</f>
        <v>0</v>
      </c>
      <c r="U153" s="1100"/>
      <c r="V153" s="1100">
        <f>'ANSP Capex'!T149</f>
        <v>6</v>
      </c>
      <c r="W153" s="1101">
        <f>IF($BI153=0,0,IF(SUM($U153:V153)&lt;($L153-12),12,$L153-SUM($U153:V153)))</f>
        <v>12</v>
      </c>
      <c r="X153" s="1101">
        <f>IF($BI153=0,0,IF(SUM($U153:W153)&lt;($L153-12),12,$L153-SUM($U153:W153)))</f>
        <v>12</v>
      </c>
      <c r="Y153" s="1101">
        <f>IF($BI153=0,0,IF(SUM($U153:X153)&lt;($L153-12),12,$L153-SUM($U153:X153)))</f>
        <v>12</v>
      </c>
      <c r="AA153" s="1100"/>
      <c r="AB153" s="1100"/>
      <c r="AC153" s="1100">
        <f>'ANSP Capex'!AA149</f>
        <v>0</v>
      </c>
      <c r="AD153" s="1101">
        <f>IF($BJ153=0,0,IF(SUM($AA153:AC153)&lt;($L153-12),12,$L153-SUM($AA153:AC153)))</f>
        <v>0</v>
      </c>
      <c r="AE153" s="1101">
        <f>IF($BJ153=0,0,IF(SUM($AA153:AD153)&lt;($L153-12),12,$L153-SUM($AA153:AD153)))</f>
        <v>0</v>
      </c>
      <c r="AG153" s="1100"/>
      <c r="AH153" s="1100"/>
      <c r="AI153" s="1100"/>
      <c r="AJ153" s="1100">
        <f>'ANSP Capex'!AH149</f>
        <v>0</v>
      </c>
      <c r="AK153" s="1101">
        <f>IF($BK153=0,0,IF(SUM($AG153:AJ153)&lt;($L153-12),12,$L153-SUM($AG153:AJ153)))</f>
        <v>0</v>
      </c>
      <c r="AM153" s="1100"/>
      <c r="AN153" s="1100"/>
      <c r="AO153" s="1100"/>
      <c r="AP153" s="1100"/>
      <c r="AQ153" s="1100">
        <f>'ANSP Capex'!AO149</f>
        <v>0</v>
      </c>
      <c r="AS153" s="153">
        <f t="shared" si="11"/>
        <v>0</v>
      </c>
      <c r="AT153" s="153">
        <f t="shared" si="12"/>
        <v>0.5</v>
      </c>
      <c r="AU153" s="153">
        <f t="shared" si="13"/>
        <v>0</v>
      </c>
      <c r="AV153" s="153">
        <f t="shared" si="14"/>
        <v>0</v>
      </c>
      <c r="AW153" s="153">
        <f t="shared" si="15"/>
        <v>0</v>
      </c>
      <c r="AX153" s="153"/>
      <c r="AY153" s="1543">
        <f>'ANSP Capex'!AW149</f>
        <v>0</v>
      </c>
      <c r="AZ153" s="1102"/>
      <c r="BA153" s="1543">
        <f>'ANSP Capex'!AY149</f>
        <v>1</v>
      </c>
      <c r="BC153" s="1126"/>
      <c r="BD153" s="1126"/>
      <c r="BE153" s="1126"/>
      <c r="BF153" s="1126"/>
      <c r="BG153" s="1126"/>
      <c r="BH153" s="1126">
        <f>'ANSP Capex'!BF149*IF($I153="",(1+INDEX($I$41:$I$42,MATCH($F153,$F$41:$F$42,0))),(1+$I153))</f>
        <v>0</v>
      </c>
      <c r="BI153" s="1126">
        <f>'ANSP Capex'!BG149*IF($I153="",(1+INDEX($I$41:$I$42,MATCH($F153,$F$41:$F$42,0))),(1+$I153))</f>
        <v>36392.626499999998</v>
      </c>
      <c r="BJ153" s="1126">
        <f>'ANSP Capex'!BH149*IF($I153="",(1+INDEX($I$41:$I$42,MATCH($F153,$F$41:$F$42,0))),(1+$I153))</f>
        <v>0</v>
      </c>
      <c r="BK153" s="1126">
        <f>'ANSP Capex'!BI149*IF($I153="",(1+INDEX($I$41:$I$42,MATCH($F153,$F$41:$F$42,0))),(1+$I153))</f>
        <v>0</v>
      </c>
      <c r="BL153" s="1126">
        <f>'ANSP Capex'!BJ149*IF($I153="",(1+INDEX($I$41:$I$42,MATCH($F153,$F$41:$F$42,0))),(1+$I153))</f>
        <v>0</v>
      </c>
    </row>
    <row r="154" spans="1:64" outlineLevel="1">
      <c r="A154" s="1094"/>
      <c r="B154" s="1094"/>
      <c r="C154" s="1083" t="str">
        <f>'ANSP Capex'!C150</f>
        <v>New Dublin Tower Equipment</v>
      </c>
      <c r="D154" s="1083" t="str">
        <f>'ANSP Capex'!D150</f>
        <v>New Dublin Tower</v>
      </c>
      <c r="E154" s="1083" t="str">
        <f>'ANSP Capex'!E150</f>
        <v>R035</v>
      </c>
      <c r="F154" s="1083" t="str">
        <f>'ANSP Capex'!F150</f>
        <v>2021-2024</v>
      </c>
      <c r="G154" s="1101">
        <f t="shared" si="8"/>
        <v>0</v>
      </c>
      <c r="H154" s="1083" t="str">
        <f>'ANSP Capex'!H150</f>
        <v>€'000</v>
      </c>
      <c r="I154" s="829">
        <v>0</v>
      </c>
      <c r="J154" s="1097">
        <f>'ANSP Capex'!I150</f>
        <v>0</v>
      </c>
      <c r="K154" s="1124">
        <v>0</v>
      </c>
      <c r="L154" s="1098">
        <f t="shared" si="9"/>
        <v>0</v>
      </c>
      <c r="M154" s="153">
        <f t="shared" si="10"/>
        <v>0</v>
      </c>
      <c r="N154" s="1099"/>
      <c r="O154" s="1100">
        <f>'ANSP Capex'!M150</f>
        <v>0</v>
      </c>
      <c r="P154" s="1101">
        <f>IF($BH154=0,0,IF(SUM($O154:O154)&lt;($L154-12),12,$L154-SUM($O154:O154)))</f>
        <v>0</v>
      </c>
      <c r="Q154" s="1101">
        <f>IF($BH154=0,0,IF(SUM($O154:P154)&lt;($L154-12),12,$L154-SUM($O154:P154)))</f>
        <v>0</v>
      </c>
      <c r="R154" s="1101">
        <f>IF($BH154=0,0,IF(SUM($O154:Q154)&lt;($L154-12),12,$L154-SUM($O154:Q154)))</f>
        <v>0</v>
      </c>
      <c r="S154" s="1101">
        <f>IF($BH154=0,0,IF(SUM($O154:R154)&lt;($L154-12),12,$L154-SUM($O154:R154)))</f>
        <v>0</v>
      </c>
      <c r="U154" s="1100"/>
      <c r="V154" s="1100">
        <f>'ANSP Capex'!T150</f>
        <v>0</v>
      </c>
      <c r="W154" s="1101">
        <f>IF($BI154=0,0,IF(SUM($U154:V154)&lt;($L154-12),12,$L154-SUM($U154:V154)))</f>
        <v>0</v>
      </c>
      <c r="X154" s="1101">
        <f>IF($BI154=0,0,IF(SUM($U154:W154)&lt;($L154-12),12,$L154-SUM($U154:W154)))</f>
        <v>0</v>
      </c>
      <c r="Y154" s="1101">
        <f>IF($BI154=0,0,IF(SUM($U154:X154)&lt;($L154-12),12,$L154-SUM($U154:X154)))</f>
        <v>0</v>
      </c>
      <c r="AA154" s="1100"/>
      <c r="AB154" s="1100"/>
      <c r="AC154" s="1100">
        <f>'ANSP Capex'!AA150</f>
        <v>0</v>
      </c>
      <c r="AD154" s="1101">
        <f>IF($BJ154=0,0,IF(SUM($AA154:AC154)&lt;($L154-12),12,$L154-SUM($AA154:AC154)))</f>
        <v>0</v>
      </c>
      <c r="AE154" s="1101">
        <f>IF($BJ154=0,0,IF(SUM($AA154:AD154)&lt;($L154-12),12,$L154-SUM($AA154:AD154)))</f>
        <v>0</v>
      </c>
      <c r="AG154" s="1100"/>
      <c r="AH154" s="1100"/>
      <c r="AI154" s="1100"/>
      <c r="AJ154" s="1100">
        <f>'ANSP Capex'!AH150</f>
        <v>0</v>
      </c>
      <c r="AK154" s="1101">
        <f>IF($BK154=0,0,IF(SUM($AG154:AJ154)&lt;($L154-12),12,$L154-SUM($AG154:AJ154)))</f>
        <v>0</v>
      </c>
      <c r="AM154" s="1100"/>
      <c r="AN154" s="1100"/>
      <c r="AO154" s="1100"/>
      <c r="AP154" s="1100"/>
      <c r="AQ154" s="1100">
        <f>'ANSP Capex'!AO150</f>
        <v>0</v>
      </c>
      <c r="AS154" s="153">
        <f t="shared" si="11"/>
        <v>0</v>
      </c>
      <c r="AT154" s="153">
        <f t="shared" si="12"/>
        <v>0</v>
      </c>
      <c r="AU154" s="153">
        <f t="shared" si="13"/>
        <v>0</v>
      </c>
      <c r="AV154" s="153">
        <f t="shared" si="14"/>
        <v>0</v>
      </c>
      <c r="AW154" s="153">
        <f t="shared" si="15"/>
        <v>0</v>
      </c>
      <c r="AX154" s="153"/>
      <c r="AY154" s="1543">
        <f>'ANSP Capex'!AW150</f>
        <v>0</v>
      </c>
      <c r="AZ154" s="1102"/>
      <c r="BA154" s="1543">
        <f>'ANSP Capex'!AY150</f>
        <v>0</v>
      </c>
      <c r="BC154" s="1126"/>
      <c r="BD154" s="1126"/>
      <c r="BE154" s="1126"/>
      <c r="BF154" s="1126"/>
      <c r="BG154" s="1126"/>
      <c r="BH154" s="1126">
        <f>'ANSP Capex'!BF150*IF($I154="",(1+INDEX($I$41:$I$42,MATCH($F154,$F$41:$F$42,0))),(1+$I154))</f>
        <v>0</v>
      </c>
      <c r="BI154" s="1126">
        <f>'ANSP Capex'!BG150*IF($I154="",(1+INDEX($I$41:$I$42,MATCH($F154,$F$41:$F$42,0))),(1+$I154))</f>
        <v>0</v>
      </c>
      <c r="BJ154" s="1126">
        <f>'ANSP Capex'!BH150*IF($I154="",(1+INDEX($I$41:$I$42,MATCH($F154,$F$41:$F$42,0))),(1+$I154))</f>
        <v>0</v>
      </c>
      <c r="BK154" s="1126">
        <f>'ANSP Capex'!BI150*IF($I154="",(1+INDEX($I$41:$I$42,MATCH($F154,$F$41:$F$42,0))),(1+$I154))</f>
        <v>0</v>
      </c>
      <c r="BL154" s="1126">
        <f>'ANSP Capex'!BJ150*IF($I154="",(1+INDEX($I$41:$I$42,MATCH($F154,$F$41:$F$42,0))),(1+$I154))</f>
        <v>0</v>
      </c>
    </row>
    <row r="155" spans="1:64" outlineLevel="1">
      <c r="A155" s="1094"/>
      <c r="B155" s="1094"/>
      <c r="C155" s="1083" t="str">
        <f>'ANSP Capex'!C151</f>
        <v>New Dublin Tower Equipment - Contingency</v>
      </c>
      <c r="D155" s="1083" t="str">
        <f>'ANSP Capex'!D151</f>
        <v>New Dublin Tower</v>
      </c>
      <c r="E155" s="1083" t="str">
        <f>'ANSP Capex'!E151</f>
        <v>R035A</v>
      </c>
      <c r="F155" s="1083" t="str">
        <f>'ANSP Capex'!F151</f>
        <v>2021-2024</v>
      </c>
      <c r="G155" s="1101">
        <f t="shared" si="8"/>
        <v>17.475000000000001</v>
      </c>
      <c r="H155" s="1083" t="str">
        <f>'ANSP Capex'!H151</f>
        <v>€'000</v>
      </c>
      <c r="I155" s="829">
        <v>0</v>
      </c>
      <c r="J155" s="1097">
        <f>'ANSP Capex'!I151</f>
        <v>8</v>
      </c>
      <c r="K155" s="1124">
        <v>0</v>
      </c>
      <c r="L155" s="1098">
        <f t="shared" si="9"/>
        <v>96</v>
      </c>
      <c r="M155" s="153">
        <f t="shared" si="10"/>
        <v>0.125</v>
      </c>
      <c r="N155" s="1099"/>
      <c r="O155" s="1100">
        <f>'ANSP Capex'!M151</f>
        <v>0</v>
      </c>
      <c r="P155" s="1101">
        <f>IF($BH155=0,0,IF(SUM($O155:O155)&lt;($L155-12),12,$L155-SUM($O155:O155)))</f>
        <v>0</v>
      </c>
      <c r="Q155" s="1101">
        <f>IF($BH155=0,0,IF(SUM($O155:P155)&lt;($L155-12),12,$L155-SUM($O155:P155)))</f>
        <v>0</v>
      </c>
      <c r="R155" s="1101">
        <f>IF($BH155=0,0,IF(SUM($O155:Q155)&lt;($L155-12),12,$L155-SUM($O155:Q155)))</f>
        <v>0</v>
      </c>
      <c r="S155" s="1101">
        <f>IF($BH155=0,0,IF(SUM($O155:R155)&lt;($L155-12),12,$L155-SUM($O155:R155)))</f>
        <v>0</v>
      </c>
      <c r="U155" s="1100"/>
      <c r="V155" s="1100">
        <f>'ANSP Capex'!T151</f>
        <v>6</v>
      </c>
      <c r="W155" s="1101">
        <f>IF($BI155=0,0,IF(SUM($U155:V155)&lt;($L155-12),12,$L155-SUM($U155:V155)))</f>
        <v>12</v>
      </c>
      <c r="X155" s="1101">
        <f>IF($BI155=0,0,IF(SUM($U155:W155)&lt;($L155-12),12,$L155-SUM($U155:W155)))</f>
        <v>12</v>
      </c>
      <c r="Y155" s="1101">
        <f>IF($BI155=0,0,IF(SUM($U155:X155)&lt;($L155-12),12,$L155-SUM($U155:X155)))</f>
        <v>12</v>
      </c>
      <c r="AA155" s="1100"/>
      <c r="AB155" s="1100"/>
      <c r="AC155" s="1100">
        <f>'ANSP Capex'!AA151</f>
        <v>0</v>
      </c>
      <c r="AD155" s="1101">
        <f>IF($BJ155=0,0,IF(SUM($AA155:AC155)&lt;($L155-12),12,$L155-SUM($AA155:AC155)))</f>
        <v>0</v>
      </c>
      <c r="AE155" s="1101">
        <f>IF($BJ155=0,0,IF(SUM($AA155:AD155)&lt;($L155-12),12,$L155-SUM($AA155:AD155)))</f>
        <v>0</v>
      </c>
      <c r="AG155" s="1100"/>
      <c r="AH155" s="1100"/>
      <c r="AI155" s="1100"/>
      <c r="AJ155" s="1100">
        <f>'ANSP Capex'!AH151</f>
        <v>0</v>
      </c>
      <c r="AK155" s="1101">
        <f>IF($BK155=0,0,IF(SUM($AG155:AJ155)&lt;($L155-12),12,$L155-SUM($AG155:AJ155)))</f>
        <v>0</v>
      </c>
      <c r="AM155" s="1100"/>
      <c r="AN155" s="1100"/>
      <c r="AO155" s="1100"/>
      <c r="AP155" s="1100"/>
      <c r="AQ155" s="1100">
        <f>'ANSP Capex'!AO151</f>
        <v>0</v>
      </c>
      <c r="AS155" s="153">
        <f t="shared" si="11"/>
        <v>0</v>
      </c>
      <c r="AT155" s="153">
        <f t="shared" si="12"/>
        <v>0.5</v>
      </c>
      <c r="AU155" s="153">
        <f t="shared" si="13"/>
        <v>0</v>
      </c>
      <c r="AV155" s="153">
        <f t="shared" si="14"/>
        <v>0</v>
      </c>
      <c r="AW155" s="153">
        <f t="shared" si="15"/>
        <v>0</v>
      </c>
      <c r="AX155" s="153"/>
      <c r="AY155" s="1543">
        <f>'ANSP Capex'!AW151</f>
        <v>0</v>
      </c>
      <c r="AZ155" s="1102"/>
      <c r="BA155" s="1543">
        <f>'ANSP Capex'!AY151</f>
        <v>1</v>
      </c>
      <c r="BC155" s="1126"/>
      <c r="BD155" s="1126"/>
      <c r="BE155" s="1126"/>
      <c r="BF155" s="1126"/>
      <c r="BG155" s="1126"/>
      <c r="BH155" s="1126">
        <f>'ANSP Capex'!BF151*IF($I155="",(1+INDEX($I$41:$I$42,MATCH($F155,$F$41:$F$42,0))),(1+$I155))</f>
        <v>0</v>
      </c>
      <c r="BI155" s="1126">
        <f>'ANSP Capex'!BG151*IF($I155="",(1+INDEX($I$41:$I$42,MATCH($F155,$F$41:$F$42,0))),(1+$I155))</f>
        <v>17.475000000000001</v>
      </c>
      <c r="BJ155" s="1126">
        <f>'ANSP Capex'!BH151*IF($I155="",(1+INDEX($I$41:$I$42,MATCH($F155,$F$41:$F$42,0))),(1+$I155))</f>
        <v>0</v>
      </c>
      <c r="BK155" s="1126">
        <f>'ANSP Capex'!BI151*IF($I155="",(1+INDEX($I$41:$I$42,MATCH($F155,$F$41:$F$42,0))),(1+$I155))</f>
        <v>0</v>
      </c>
      <c r="BL155" s="1126">
        <f>'ANSP Capex'!BJ151*IF($I155="",(1+INDEX($I$41:$I$42,MATCH($F155,$F$41:$F$42,0))),(1+$I155))</f>
        <v>0</v>
      </c>
    </row>
    <row r="156" spans="1:64" outlineLevel="1">
      <c r="A156" s="1094"/>
      <c r="B156" s="1094"/>
      <c r="C156" s="1083" t="str">
        <f>'ANSP Capex'!C152</f>
        <v>New Dublin Tower Equipment - Airspace redesign etc.</v>
      </c>
      <c r="D156" s="1083" t="str">
        <f>'ANSP Capex'!D152</f>
        <v>New Dublin Tower</v>
      </c>
      <c r="E156" s="1083" t="str">
        <f>'ANSP Capex'!E152</f>
        <v>R035A</v>
      </c>
      <c r="F156" s="1083" t="str">
        <f>'ANSP Capex'!F152</f>
        <v>2021-2024</v>
      </c>
      <c r="G156" s="1101">
        <f t="shared" si="8"/>
        <v>1759.75125</v>
      </c>
      <c r="H156" s="1083" t="str">
        <f>'ANSP Capex'!H152</f>
        <v>€'000</v>
      </c>
      <c r="I156" s="829">
        <v>0</v>
      </c>
      <c r="J156" s="1097">
        <f>'ANSP Capex'!I152</f>
        <v>8</v>
      </c>
      <c r="K156" s="1124">
        <v>0</v>
      </c>
      <c r="L156" s="1098">
        <f t="shared" si="9"/>
        <v>96</v>
      </c>
      <c r="M156" s="153">
        <f t="shared" si="10"/>
        <v>0.125</v>
      </c>
      <c r="N156" s="1099"/>
      <c r="O156" s="1100">
        <f>'ANSP Capex'!M152</f>
        <v>0</v>
      </c>
      <c r="P156" s="1101">
        <f>IF($BH156=0,0,IF(SUM($O156:O156)&lt;($L156-12),12,$L156-SUM($O156:O156)))</f>
        <v>0</v>
      </c>
      <c r="Q156" s="1101">
        <f>IF($BH156=0,0,IF(SUM($O156:P156)&lt;($L156-12),12,$L156-SUM($O156:P156)))</f>
        <v>0</v>
      </c>
      <c r="R156" s="1101">
        <f>IF($BH156=0,0,IF(SUM($O156:Q156)&lt;($L156-12),12,$L156-SUM($O156:Q156)))</f>
        <v>0</v>
      </c>
      <c r="S156" s="1101">
        <f>IF($BH156=0,0,IF(SUM($O156:R156)&lt;($L156-12),12,$L156-SUM($O156:R156)))</f>
        <v>0</v>
      </c>
      <c r="U156" s="1100"/>
      <c r="V156" s="1100">
        <f>'ANSP Capex'!T152</f>
        <v>0</v>
      </c>
      <c r="W156" s="1101">
        <f>IF($BI156=0,0,IF(SUM($U156:V156)&lt;($L156-12),12,$L156-SUM($U156:V156)))</f>
        <v>0</v>
      </c>
      <c r="X156" s="1101">
        <f>IF($BI156=0,0,IF(SUM($U156:W156)&lt;($L156-12),12,$L156-SUM($U156:W156)))</f>
        <v>0</v>
      </c>
      <c r="Y156" s="1101">
        <f>IF($BI156=0,0,IF(SUM($U156:X156)&lt;($L156-12),12,$L156-SUM($U156:X156)))</f>
        <v>0</v>
      </c>
      <c r="AA156" s="1100"/>
      <c r="AB156" s="1100"/>
      <c r="AC156" s="1100">
        <f>'ANSP Capex'!AA152</f>
        <v>6</v>
      </c>
      <c r="AD156" s="1101">
        <f>IF($BJ156=0,0,IF(SUM($AA156:AC156)&lt;($L156-12),12,$L156-SUM($AA156:AC156)))</f>
        <v>12</v>
      </c>
      <c r="AE156" s="1101">
        <f>IF($BJ156=0,0,IF(SUM($AA156:AD156)&lt;($L156-12),12,$L156-SUM($AA156:AD156)))</f>
        <v>12</v>
      </c>
      <c r="AG156" s="1100"/>
      <c r="AH156" s="1100"/>
      <c r="AI156" s="1100"/>
      <c r="AJ156" s="1100">
        <f>'ANSP Capex'!AH152</f>
        <v>0</v>
      </c>
      <c r="AK156" s="1101">
        <f>IF($BK156=0,0,IF(SUM($AG156:AJ156)&lt;($L156-12),12,$L156-SUM($AG156:AJ156)))</f>
        <v>0</v>
      </c>
      <c r="AM156" s="1100"/>
      <c r="AN156" s="1100"/>
      <c r="AO156" s="1100"/>
      <c r="AP156" s="1100"/>
      <c r="AQ156" s="1100">
        <f>'ANSP Capex'!AO152</f>
        <v>0</v>
      </c>
      <c r="AS156" s="153">
        <f t="shared" si="11"/>
        <v>0</v>
      </c>
      <c r="AT156" s="153">
        <f t="shared" si="12"/>
        <v>0</v>
      </c>
      <c r="AU156" s="153">
        <f t="shared" si="13"/>
        <v>0.5</v>
      </c>
      <c r="AV156" s="153">
        <f t="shared" si="14"/>
        <v>0</v>
      </c>
      <c r="AW156" s="153">
        <f t="shared" si="15"/>
        <v>0</v>
      </c>
      <c r="AX156" s="153"/>
      <c r="AY156" s="1543">
        <f>'ANSP Capex'!AW152</f>
        <v>0</v>
      </c>
      <c r="AZ156" s="1102"/>
      <c r="BA156" s="1543">
        <f>'ANSP Capex'!AY152</f>
        <v>1</v>
      </c>
      <c r="BC156" s="1126"/>
      <c r="BD156" s="1126"/>
      <c r="BE156" s="1126"/>
      <c r="BF156" s="1126"/>
      <c r="BG156" s="1126"/>
      <c r="BH156" s="1126">
        <f>'ANSP Capex'!BF152*IF($I156="",(1+INDEX($I$41:$I$42,MATCH($F156,$F$41:$F$42,0))),(1+$I156))</f>
        <v>0</v>
      </c>
      <c r="BI156" s="1126">
        <f>'ANSP Capex'!BG152*IF($I156="",(1+INDEX($I$41:$I$42,MATCH($F156,$F$41:$F$42,0))),(1+$I156))</f>
        <v>0</v>
      </c>
      <c r="BJ156" s="1126">
        <f>'ANSP Capex'!BH152*IF($I156="",(1+INDEX($I$41:$I$42,MATCH($F156,$F$41:$F$42,0))),(1+$I156))</f>
        <v>1759.75125</v>
      </c>
      <c r="BK156" s="1126">
        <f>'ANSP Capex'!BI152*IF($I156="",(1+INDEX($I$41:$I$42,MATCH($F156,$F$41:$F$42,0))),(1+$I156))</f>
        <v>0</v>
      </c>
      <c r="BL156" s="1126">
        <f>'ANSP Capex'!BJ152*IF($I156="",(1+INDEX($I$41:$I$42,MATCH($F156,$F$41:$F$42,0))),(1+$I156))</f>
        <v>0</v>
      </c>
    </row>
    <row r="157" spans="1:64" outlineLevel="1">
      <c r="A157" s="1094"/>
      <c r="B157" s="1094"/>
      <c r="C157" s="1083" t="str">
        <f>'ANSP Capex'!C153</f>
        <v>New Dublin Tower Equipment - Communications Installations</v>
      </c>
      <c r="D157" s="1083" t="str">
        <f>'ANSP Capex'!D153</f>
        <v>New Dublin Tower</v>
      </c>
      <c r="E157" s="1083" t="str">
        <f>'ANSP Capex'!E153</f>
        <v>R035A</v>
      </c>
      <c r="F157" s="1083" t="str">
        <f>'ANSP Capex'!F153</f>
        <v>2021-2024</v>
      </c>
      <c r="G157" s="1101">
        <f t="shared" si="8"/>
        <v>2336.4503050000003</v>
      </c>
      <c r="H157" s="1083" t="str">
        <f>'ANSP Capex'!H153</f>
        <v>€'000</v>
      </c>
      <c r="I157" s="829">
        <v>0</v>
      </c>
      <c r="J157" s="1097">
        <f>'ANSP Capex'!I153</f>
        <v>8</v>
      </c>
      <c r="K157" s="1124">
        <v>0</v>
      </c>
      <c r="L157" s="1098">
        <f t="shared" si="9"/>
        <v>96</v>
      </c>
      <c r="M157" s="153">
        <f t="shared" si="10"/>
        <v>0.125</v>
      </c>
      <c r="N157" s="1099"/>
      <c r="O157" s="1100">
        <f>'ANSP Capex'!M153</f>
        <v>0</v>
      </c>
      <c r="P157" s="1101">
        <f>IF($BH157=0,0,IF(SUM($O157:O157)&lt;($L157-12),12,$L157-SUM($O157:O157)))</f>
        <v>0</v>
      </c>
      <c r="Q157" s="1101">
        <f>IF($BH157=0,0,IF(SUM($O157:P157)&lt;($L157-12),12,$L157-SUM($O157:P157)))</f>
        <v>0</v>
      </c>
      <c r="R157" s="1101">
        <f>IF($BH157=0,0,IF(SUM($O157:Q157)&lt;($L157-12),12,$L157-SUM($O157:Q157)))</f>
        <v>0</v>
      </c>
      <c r="S157" s="1101">
        <f>IF($BH157=0,0,IF(SUM($O157:R157)&lt;($L157-12),12,$L157-SUM($O157:R157)))</f>
        <v>0</v>
      </c>
      <c r="U157" s="1100"/>
      <c r="V157" s="1100">
        <f>'ANSP Capex'!T153</f>
        <v>6</v>
      </c>
      <c r="W157" s="1101">
        <f>IF($BI157=0,0,IF(SUM($U157:V157)&lt;($L157-12),12,$L157-SUM($U157:V157)))</f>
        <v>12</v>
      </c>
      <c r="X157" s="1101">
        <f>IF($BI157=0,0,IF(SUM($U157:W157)&lt;($L157-12),12,$L157-SUM($U157:W157)))</f>
        <v>12</v>
      </c>
      <c r="Y157" s="1101">
        <f>IF($BI157=0,0,IF(SUM($U157:X157)&lt;($L157-12),12,$L157-SUM($U157:X157)))</f>
        <v>12</v>
      </c>
      <c r="AA157" s="1100"/>
      <c r="AB157" s="1100"/>
      <c r="AC157" s="1100">
        <f>'ANSP Capex'!AA153</f>
        <v>0</v>
      </c>
      <c r="AD157" s="1101">
        <f>IF($BJ157=0,0,IF(SUM($AA157:AC157)&lt;($L157-12),12,$L157-SUM($AA157:AC157)))</f>
        <v>0</v>
      </c>
      <c r="AE157" s="1101">
        <f>IF($BJ157=0,0,IF(SUM($AA157:AD157)&lt;($L157-12),12,$L157-SUM($AA157:AD157)))</f>
        <v>0</v>
      </c>
      <c r="AG157" s="1100"/>
      <c r="AH157" s="1100"/>
      <c r="AI157" s="1100"/>
      <c r="AJ157" s="1100">
        <f>'ANSP Capex'!AH153</f>
        <v>0</v>
      </c>
      <c r="AK157" s="1101">
        <f>IF($BK157=0,0,IF(SUM($AG157:AJ157)&lt;($L157-12),12,$L157-SUM($AG157:AJ157)))</f>
        <v>0</v>
      </c>
      <c r="AM157" s="1100"/>
      <c r="AN157" s="1100"/>
      <c r="AO157" s="1100"/>
      <c r="AP157" s="1100"/>
      <c r="AQ157" s="1100">
        <f>'ANSP Capex'!AO153</f>
        <v>0</v>
      </c>
      <c r="AS157" s="153">
        <f t="shared" si="11"/>
        <v>0</v>
      </c>
      <c r="AT157" s="153">
        <f t="shared" si="12"/>
        <v>0.5</v>
      </c>
      <c r="AU157" s="153">
        <f t="shared" si="13"/>
        <v>0</v>
      </c>
      <c r="AV157" s="153">
        <f t="shared" si="14"/>
        <v>0</v>
      </c>
      <c r="AW157" s="153">
        <f t="shared" si="15"/>
        <v>0</v>
      </c>
      <c r="AX157" s="153"/>
      <c r="AY157" s="1543">
        <f>'ANSP Capex'!AW153</f>
        <v>0</v>
      </c>
      <c r="AZ157" s="1102"/>
      <c r="BA157" s="1543">
        <f>'ANSP Capex'!AY153</f>
        <v>1</v>
      </c>
      <c r="BC157" s="1126"/>
      <c r="BD157" s="1126"/>
      <c r="BE157" s="1126"/>
      <c r="BF157" s="1126"/>
      <c r="BG157" s="1126"/>
      <c r="BH157" s="1126">
        <f>'ANSP Capex'!BF153*IF($I157="",(1+INDEX($I$41:$I$42,MATCH($F157,$F$41:$F$42,0))),(1+$I157))</f>
        <v>0</v>
      </c>
      <c r="BI157" s="1126">
        <f>'ANSP Capex'!BG153*IF($I157="",(1+INDEX($I$41:$I$42,MATCH($F157,$F$41:$F$42,0))),(1+$I157))</f>
        <v>2336.4503050000003</v>
      </c>
      <c r="BJ157" s="1126">
        <f>'ANSP Capex'!BH153*IF($I157="",(1+INDEX($I$41:$I$42,MATCH($F157,$F$41:$F$42,0))),(1+$I157))</f>
        <v>0</v>
      </c>
      <c r="BK157" s="1126">
        <f>'ANSP Capex'!BI153*IF($I157="",(1+INDEX($I$41:$I$42,MATCH($F157,$F$41:$F$42,0))),(1+$I157))</f>
        <v>0</v>
      </c>
      <c r="BL157" s="1126">
        <f>'ANSP Capex'!BJ153*IF($I157="",(1+INDEX($I$41:$I$42,MATCH($F157,$F$41:$F$42,0))),(1+$I157))</f>
        <v>0</v>
      </c>
    </row>
    <row r="158" spans="1:64" outlineLevel="1">
      <c r="A158" s="1094"/>
      <c r="B158" s="1094"/>
      <c r="C158" s="1083" t="str">
        <f>'ANSP Capex'!C154</f>
        <v>New Dublin Tower Equipment - IATS</v>
      </c>
      <c r="D158" s="1083" t="str">
        <f>'ANSP Capex'!D154</f>
        <v>New Dublin Tower</v>
      </c>
      <c r="E158" s="1083" t="str">
        <f>'ANSP Capex'!E154</f>
        <v>R035A</v>
      </c>
      <c r="F158" s="1083" t="str">
        <f>'ANSP Capex'!F154</f>
        <v>2021-2024</v>
      </c>
      <c r="G158" s="1101">
        <f t="shared" si="8"/>
        <v>3267.49613</v>
      </c>
      <c r="H158" s="1083" t="str">
        <f>'ANSP Capex'!H154</f>
        <v>€'000</v>
      </c>
      <c r="I158" s="829">
        <v>0</v>
      </c>
      <c r="J158" s="1097">
        <f>'ANSP Capex'!I154</f>
        <v>8</v>
      </c>
      <c r="K158" s="1124">
        <v>0</v>
      </c>
      <c r="L158" s="1098">
        <f t="shared" si="9"/>
        <v>96</v>
      </c>
      <c r="M158" s="153">
        <f t="shared" si="10"/>
        <v>0.125</v>
      </c>
      <c r="N158" s="1099"/>
      <c r="O158" s="1100">
        <f>'ANSP Capex'!M154</f>
        <v>0</v>
      </c>
      <c r="P158" s="1101">
        <f>IF($BH158=0,0,IF(SUM($O158:O158)&lt;($L158-12),12,$L158-SUM($O158:O158)))</f>
        <v>0</v>
      </c>
      <c r="Q158" s="1101">
        <f>IF($BH158=0,0,IF(SUM($O158:P158)&lt;($L158-12),12,$L158-SUM($O158:P158)))</f>
        <v>0</v>
      </c>
      <c r="R158" s="1101">
        <f>IF($BH158=0,0,IF(SUM($O158:Q158)&lt;($L158-12),12,$L158-SUM($O158:Q158)))</f>
        <v>0</v>
      </c>
      <c r="S158" s="1101">
        <f>IF($BH158=0,0,IF(SUM($O158:R158)&lt;($L158-12),12,$L158-SUM($O158:R158)))</f>
        <v>0</v>
      </c>
      <c r="U158" s="1100"/>
      <c r="V158" s="1100">
        <f>'ANSP Capex'!T154</f>
        <v>6</v>
      </c>
      <c r="W158" s="1101">
        <f>IF($BI158=0,0,IF(SUM($U158:V158)&lt;($L158-12),12,$L158-SUM($U158:V158)))</f>
        <v>12</v>
      </c>
      <c r="X158" s="1101">
        <f>IF($BI158=0,0,IF(SUM($U158:W158)&lt;($L158-12),12,$L158-SUM($U158:W158)))</f>
        <v>12</v>
      </c>
      <c r="Y158" s="1101">
        <f>IF($BI158=0,0,IF(SUM($U158:X158)&lt;($L158-12),12,$L158-SUM($U158:X158)))</f>
        <v>12</v>
      </c>
      <c r="AA158" s="1100"/>
      <c r="AB158" s="1100"/>
      <c r="AC158" s="1100">
        <f>'ANSP Capex'!AA154</f>
        <v>5.9999999999999982</v>
      </c>
      <c r="AD158" s="1101">
        <f>IF($BJ158=0,0,IF(SUM($AA158:AC158)&lt;($L158-12),12,$L158-SUM($AA158:AC158)))</f>
        <v>12</v>
      </c>
      <c r="AE158" s="1101">
        <f>IF($BJ158=0,0,IF(SUM($AA158:AD158)&lt;($L158-12),12,$L158-SUM($AA158:AD158)))</f>
        <v>12</v>
      </c>
      <c r="AG158" s="1100"/>
      <c r="AH158" s="1100"/>
      <c r="AI158" s="1100"/>
      <c r="AJ158" s="1100">
        <f>'ANSP Capex'!AH154</f>
        <v>0</v>
      </c>
      <c r="AK158" s="1101">
        <f>IF($BK158=0,0,IF(SUM($AG158:AJ158)&lt;($L158-12),12,$L158-SUM($AG158:AJ158)))</f>
        <v>0</v>
      </c>
      <c r="AM158" s="1100"/>
      <c r="AN158" s="1100"/>
      <c r="AO158" s="1100"/>
      <c r="AP158" s="1100"/>
      <c r="AQ158" s="1100">
        <f>'ANSP Capex'!AO154</f>
        <v>0</v>
      </c>
      <c r="AS158" s="153">
        <f t="shared" si="11"/>
        <v>0</v>
      </c>
      <c r="AT158" s="153">
        <f t="shared" si="12"/>
        <v>0.5</v>
      </c>
      <c r="AU158" s="153">
        <f t="shared" si="13"/>
        <v>0.49999999999999983</v>
      </c>
      <c r="AV158" s="153">
        <f t="shared" si="14"/>
        <v>0</v>
      </c>
      <c r="AW158" s="153">
        <f t="shared" si="15"/>
        <v>0</v>
      </c>
      <c r="AX158" s="153"/>
      <c r="AY158" s="1543">
        <f>'ANSP Capex'!AW154</f>
        <v>0</v>
      </c>
      <c r="AZ158" s="1102"/>
      <c r="BA158" s="1543">
        <f>'ANSP Capex'!AY154</f>
        <v>1</v>
      </c>
      <c r="BC158" s="1126"/>
      <c r="BD158" s="1126"/>
      <c r="BE158" s="1126"/>
      <c r="BF158" s="1126"/>
      <c r="BG158" s="1126"/>
      <c r="BH158" s="1126">
        <f>'ANSP Capex'!BF154*IF($I158="",(1+INDEX($I$41:$I$42,MATCH($F158,$F$41:$F$42,0))),(1+$I158))</f>
        <v>0</v>
      </c>
      <c r="BI158" s="1126">
        <f>'ANSP Capex'!BG154*IF($I158="",(1+INDEX($I$41:$I$42,MATCH($F158,$F$41:$F$42,0))),(1+$I158))</f>
        <v>2637.5468350000001</v>
      </c>
      <c r="BJ158" s="1126">
        <f>'ANSP Capex'!BH154*IF($I158="",(1+INDEX($I$41:$I$42,MATCH($F158,$F$41:$F$42,0))),(1+$I158))</f>
        <v>629.94929500000001</v>
      </c>
      <c r="BK158" s="1126">
        <f>'ANSP Capex'!BI154*IF($I158="",(1+INDEX($I$41:$I$42,MATCH($F158,$F$41:$F$42,0))),(1+$I158))</f>
        <v>0</v>
      </c>
      <c r="BL158" s="1126">
        <f>'ANSP Capex'!BJ154*IF($I158="",(1+INDEX($I$41:$I$42,MATCH($F158,$F$41:$F$42,0))),(1+$I158))</f>
        <v>0</v>
      </c>
    </row>
    <row r="159" spans="1:64" outlineLevel="1">
      <c r="A159" s="1094"/>
      <c r="B159" s="1094"/>
      <c r="C159" s="1083" t="str">
        <f>'ANSP Capex'!C155</f>
        <v>New Dublin Tower Equipment - Safety Case</v>
      </c>
      <c r="D159" s="1083" t="str">
        <f>'ANSP Capex'!D155</f>
        <v>New Dublin Tower</v>
      </c>
      <c r="E159" s="1083" t="str">
        <f>'ANSP Capex'!E155</f>
        <v>R035A</v>
      </c>
      <c r="F159" s="1083" t="str">
        <f>'ANSP Capex'!F155</f>
        <v>2021-2024</v>
      </c>
      <c r="G159" s="1101">
        <f t="shared" si="8"/>
        <v>558.91999999999996</v>
      </c>
      <c r="H159" s="1083" t="str">
        <f>'ANSP Capex'!H155</f>
        <v>€'000</v>
      </c>
      <c r="I159" s="829">
        <v>0</v>
      </c>
      <c r="J159" s="1097">
        <f>'ANSP Capex'!I155</f>
        <v>8</v>
      </c>
      <c r="K159" s="1124">
        <v>0</v>
      </c>
      <c r="L159" s="1098">
        <f t="shared" si="9"/>
        <v>96</v>
      </c>
      <c r="M159" s="153">
        <f t="shared" si="10"/>
        <v>0.125</v>
      </c>
      <c r="N159" s="1099"/>
      <c r="O159" s="1100">
        <f>'ANSP Capex'!M155</f>
        <v>0</v>
      </c>
      <c r="P159" s="1101">
        <f>IF($BH159=0,0,IF(SUM($O159:O159)&lt;($L159-12),12,$L159-SUM($O159:O159)))</f>
        <v>0</v>
      </c>
      <c r="Q159" s="1101">
        <f>IF($BH159=0,0,IF(SUM($O159:P159)&lt;($L159-12),12,$L159-SUM($O159:P159)))</f>
        <v>0</v>
      </c>
      <c r="R159" s="1101">
        <f>IF($BH159=0,0,IF(SUM($O159:Q159)&lt;($L159-12),12,$L159-SUM($O159:Q159)))</f>
        <v>0</v>
      </c>
      <c r="S159" s="1101">
        <f>IF($BH159=0,0,IF(SUM($O159:R159)&lt;($L159-12),12,$L159-SUM($O159:R159)))</f>
        <v>0</v>
      </c>
      <c r="U159" s="1100"/>
      <c r="V159" s="1100">
        <f>'ANSP Capex'!T155</f>
        <v>6</v>
      </c>
      <c r="W159" s="1101">
        <f>IF($BI159=0,0,IF(SUM($U159:V159)&lt;($L159-12),12,$L159-SUM($U159:V159)))</f>
        <v>12</v>
      </c>
      <c r="X159" s="1101">
        <f>IF($BI159=0,0,IF(SUM($U159:W159)&lt;($L159-12),12,$L159-SUM($U159:W159)))</f>
        <v>12</v>
      </c>
      <c r="Y159" s="1101">
        <f>IF($BI159=0,0,IF(SUM($U159:X159)&lt;($L159-12),12,$L159-SUM($U159:X159)))</f>
        <v>12</v>
      </c>
      <c r="AA159" s="1100"/>
      <c r="AB159" s="1100"/>
      <c r="AC159" s="1100">
        <f>'ANSP Capex'!AA155</f>
        <v>0</v>
      </c>
      <c r="AD159" s="1101">
        <f>IF($BJ159=0,0,IF(SUM($AA159:AC159)&lt;($L159-12),12,$L159-SUM($AA159:AC159)))</f>
        <v>0</v>
      </c>
      <c r="AE159" s="1101">
        <f>IF($BJ159=0,0,IF(SUM($AA159:AD159)&lt;($L159-12),12,$L159-SUM($AA159:AD159)))</f>
        <v>0</v>
      </c>
      <c r="AG159" s="1100"/>
      <c r="AH159" s="1100"/>
      <c r="AI159" s="1100"/>
      <c r="AJ159" s="1100">
        <f>'ANSP Capex'!AH155</f>
        <v>0</v>
      </c>
      <c r="AK159" s="1101">
        <f>IF($BK159=0,0,IF(SUM($AG159:AJ159)&lt;($L159-12),12,$L159-SUM($AG159:AJ159)))</f>
        <v>0</v>
      </c>
      <c r="AM159" s="1100"/>
      <c r="AN159" s="1100"/>
      <c r="AO159" s="1100"/>
      <c r="AP159" s="1100"/>
      <c r="AQ159" s="1100">
        <f>'ANSP Capex'!AO155</f>
        <v>0</v>
      </c>
      <c r="AS159" s="153">
        <f t="shared" si="11"/>
        <v>0</v>
      </c>
      <c r="AT159" s="153">
        <f t="shared" si="12"/>
        <v>0.5</v>
      </c>
      <c r="AU159" s="153">
        <f t="shared" si="13"/>
        <v>0</v>
      </c>
      <c r="AV159" s="153">
        <f t="shared" si="14"/>
        <v>0</v>
      </c>
      <c r="AW159" s="153">
        <f t="shared" si="15"/>
        <v>0</v>
      </c>
      <c r="AX159" s="153"/>
      <c r="AY159" s="1543">
        <f>'ANSP Capex'!AW155</f>
        <v>0</v>
      </c>
      <c r="AZ159" s="1102"/>
      <c r="BA159" s="1543">
        <f>'ANSP Capex'!AY155</f>
        <v>1</v>
      </c>
      <c r="BC159" s="1126"/>
      <c r="BD159" s="1126"/>
      <c r="BE159" s="1126"/>
      <c r="BF159" s="1126"/>
      <c r="BG159" s="1126"/>
      <c r="BH159" s="1126">
        <f>'ANSP Capex'!BF155*IF($I159="",(1+INDEX($I$41:$I$42,MATCH($F159,$F$41:$F$42,0))),(1+$I159))</f>
        <v>0</v>
      </c>
      <c r="BI159" s="1126">
        <f>'ANSP Capex'!BG155*IF($I159="",(1+INDEX($I$41:$I$42,MATCH($F159,$F$41:$F$42,0))),(1+$I159))</f>
        <v>558.91999999999996</v>
      </c>
      <c r="BJ159" s="1126">
        <f>'ANSP Capex'!BH155*IF($I159="",(1+INDEX($I$41:$I$42,MATCH($F159,$F$41:$F$42,0))),(1+$I159))</f>
        <v>0</v>
      </c>
      <c r="BK159" s="1126">
        <f>'ANSP Capex'!BI155*IF($I159="",(1+INDEX($I$41:$I$42,MATCH($F159,$F$41:$F$42,0))),(1+$I159))</f>
        <v>0</v>
      </c>
      <c r="BL159" s="1126">
        <f>'ANSP Capex'!BJ155*IF($I159="",(1+INDEX($I$41:$I$42,MATCH($F159,$F$41:$F$42,0))),(1+$I159))</f>
        <v>0</v>
      </c>
    </row>
    <row r="160" spans="1:64" outlineLevel="1">
      <c r="A160" s="1094"/>
      <c r="B160" s="1094"/>
      <c r="C160" s="1083" t="str">
        <f>'ANSP Capex'!C156</f>
        <v>New Dublin Tower Equipment - ILS/IRVR Systems</v>
      </c>
      <c r="D160" s="1083" t="str">
        <f>'ANSP Capex'!D156</f>
        <v>New Dublin Tower</v>
      </c>
      <c r="E160" s="1083" t="str">
        <f>'ANSP Capex'!E156</f>
        <v>R035A</v>
      </c>
      <c r="F160" s="1083" t="str">
        <f>'ANSP Capex'!F156</f>
        <v>2021-2024</v>
      </c>
      <c r="G160" s="1101">
        <f t="shared" si="8"/>
        <v>2270.09202</v>
      </c>
      <c r="H160" s="1083" t="str">
        <f>'ANSP Capex'!H156</f>
        <v>€'000</v>
      </c>
      <c r="I160" s="829">
        <v>0</v>
      </c>
      <c r="J160" s="1097">
        <f>'ANSP Capex'!I156</f>
        <v>8</v>
      </c>
      <c r="K160" s="1124">
        <v>12</v>
      </c>
      <c r="L160" s="1098">
        <f t="shared" si="9"/>
        <v>144</v>
      </c>
      <c r="M160" s="153">
        <f t="shared" si="10"/>
        <v>8.3333333333333329E-2</v>
      </c>
      <c r="N160" s="1099"/>
      <c r="O160" s="1100">
        <f>'ANSP Capex'!M156</f>
        <v>0</v>
      </c>
      <c r="P160" s="1101">
        <f>IF($BH160=0,0,IF(SUM($O160:O160)&lt;($L160-12),12,$L160-SUM($O160:O160)))</f>
        <v>0</v>
      </c>
      <c r="Q160" s="1101">
        <f>IF($BH160=0,0,IF(SUM($O160:P160)&lt;($L160-12),12,$L160-SUM($O160:P160)))</f>
        <v>0</v>
      </c>
      <c r="R160" s="1101">
        <f>IF($BH160=0,0,IF(SUM($O160:Q160)&lt;($L160-12),12,$L160-SUM($O160:Q160)))</f>
        <v>0</v>
      </c>
      <c r="S160" s="1101">
        <f>IF($BH160=0,0,IF(SUM($O160:R160)&lt;($L160-12),12,$L160-SUM($O160:R160)))</f>
        <v>0</v>
      </c>
      <c r="U160" s="1100"/>
      <c r="V160" s="1100">
        <f>'ANSP Capex'!T156</f>
        <v>0</v>
      </c>
      <c r="W160" s="1101">
        <f>IF($BI160=0,0,IF(SUM($U160:V160)&lt;($L160-12),12,$L160-SUM($U160:V160)))</f>
        <v>0</v>
      </c>
      <c r="X160" s="1101">
        <f>IF($BI160=0,0,IF(SUM($U160:W160)&lt;($L160-12),12,$L160-SUM($U160:W160)))</f>
        <v>0</v>
      </c>
      <c r="Y160" s="1101">
        <f>IF($BI160=0,0,IF(SUM($U160:X160)&lt;($L160-12),12,$L160-SUM($U160:X160)))</f>
        <v>0</v>
      </c>
      <c r="AA160" s="1100"/>
      <c r="AB160" s="1100"/>
      <c r="AC160" s="1100">
        <f>'ANSP Capex'!AA156</f>
        <v>6</v>
      </c>
      <c r="AD160" s="1101">
        <f>IF($BJ160=0,0,IF(SUM($AA160:AC160)&lt;($L160-12),12,$L160-SUM($AA160:AC160)))</f>
        <v>12</v>
      </c>
      <c r="AE160" s="1101">
        <f>IF($BJ160=0,0,IF(SUM($AA160:AD160)&lt;($L160-12),12,$L160-SUM($AA160:AD160)))</f>
        <v>12</v>
      </c>
      <c r="AG160" s="1100"/>
      <c r="AH160" s="1100"/>
      <c r="AI160" s="1100"/>
      <c r="AJ160" s="1100">
        <f>'ANSP Capex'!AH156</f>
        <v>0</v>
      </c>
      <c r="AK160" s="1101">
        <f>IF($BK160=0,0,IF(SUM($AG160:AJ160)&lt;($L160-12),12,$L160-SUM($AG160:AJ160)))</f>
        <v>0</v>
      </c>
      <c r="AM160" s="1100"/>
      <c r="AN160" s="1100"/>
      <c r="AO160" s="1100"/>
      <c r="AP160" s="1100"/>
      <c r="AQ160" s="1100">
        <f>'ANSP Capex'!AO156</f>
        <v>0</v>
      </c>
      <c r="AS160" s="153">
        <f t="shared" si="11"/>
        <v>0</v>
      </c>
      <c r="AT160" s="153">
        <f t="shared" si="12"/>
        <v>0</v>
      </c>
      <c r="AU160" s="153">
        <f t="shared" si="13"/>
        <v>0.5</v>
      </c>
      <c r="AV160" s="153">
        <f t="shared" si="14"/>
        <v>0</v>
      </c>
      <c r="AW160" s="153">
        <f t="shared" si="15"/>
        <v>0</v>
      </c>
      <c r="AX160" s="153"/>
      <c r="AY160" s="1543">
        <f>'ANSP Capex'!AW156</f>
        <v>0</v>
      </c>
      <c r="AZ160" s="1102"/>
      <c r="BA160" s="1543">
        <f>'ANSP Capex'!AY156</f>
        <v>1</v>
      </c>
      <c r="BC160" s="1126"/>
      <c r="BD160" s="1126"/>
      <c r="BE160" s="1126"/>
      <c r="BF160" s="1126"/>
      <c r="BG160" s="1126"/>
      <c r="BH160" s="1126">
        <f>'ANSP Capex'!BF156*IF($I160="",(1+INDEX($I$41:$I$42,MATCH($F160,$F$41:$F$42,0))),(1+$I160))</f>
        <v>0</v>
      </c>
      <c r="BI160" s="1126">
        <f>'ANSP Capex'!BG156*IF($I160="",(1+INDEX($I$41:$I$42,MATCH($F160,$F$41:$F$42,0))),(1+$I160))</f>
        <v>0</v>
      </c>
      <c r="BJ160" s="1126">
        <f>'ANSP Capex'!BH156*IF($I160="",(1+INDEX($I$41:$I$42,MATCH($F160,$F$41:$F$42,0))),(1+$I160))</f>
        <v>2270.09202</v>
      </c>
      <c r="BK160" s="1126">
        <f>'ANSP Capex'!BI156*IF($I160="",(1+INDEX($I$41:$I$42,MATCH($F160,$F$41:$F$42,0))),(1+$I160))</f>
        <v>0</v>
      </c>
      <c r="BL160" s="1126">
        <f>'ANSP Capex'!BJ156*IF($I160="",(1+INDEX($I$41:$I$42,MATCH($F160,$F$41:$F$42,0))),(1+$I160))</f>
        <v>0</v>
      </c>
    </row>
    <row r="161" spans="1:64" outlineLevel="1">
      <c r="A161" s="1094"/>
      <c r="B161" s="1094"/>
      <c r="C161" s="1083" t="str">
        <f>'ANSP Capex'!C157</f>
        <v>New Dublin Tower Equipment - Replacement ASMGCS &amp; GMR Tower</v>
      </c>
      <c r="D161" s="1083" t="str">
        <f>'ANSP Capex'!D157</f>
        <v>New Dublin Tower</v>
      </c>
      <c r="E161" s="1083" t="str">
        <f>'ANSP Capex'!E157</f>
        <v>R035A</v>
      </c>
      <c r="F161" s="1083" t="str">
        <f>'ANSP Capex'!F157</f>
        <v>2021-2024</v>
      </c>
      <c r="G161" s="1101">
        <f t="shared" si="8"/>
        <v>916.71</v>
      </c>
      <c r="H161" s="1083" t="str">
        <f>'ANSP Capex'!H157</f>
        <v>€'000</v>
      </c>
      <c r="I161" s="829">
        <v>0</v>
      </c>
      <c r="J161" s="1097">
        <f>'ANSP Capex'!I157</f>
        <v>8</v>
      </c>
      <c r="K161" s="1124">
        <v>0</v>
      </c>
      <c r="L161" s="1098">
        <f t="shared" si="9"/>
        <v>96</v>
      </c>
      <c r="M161" s="153">
        <f t="shared" si="10"/>
        <v>0.125</v>
      </c>
      <c r="N161" s="1099"/>
      <c r="O161" s="1100">
        <f>'ANSP Capex'!M157</f>
        <v>0</v>
      </c>
      <c r="P161" s="1101">
        <f>IF($BH161=0,0,IF(SUM($O161:O161)&lt;($L161-12),12,$L161-SUM($O161:O161)))</f>
        <v>0</v>
      </c>
      <c r="Q161" s="1101">
        <f>IF($BH161=0,0,IF(SUM($O161:P161)&lt;($L161-12),12,$L161-SUM($O161:P161)))</f>
        <v>0</v>
      </c>
      <c r="R161" s="1101">
        <f>IF($BH161=0,0,IF(SUM($O161:Q161)&lt;($L161-12),12,$L161-SUM($O161:Q161)))</f>
        <v>0</v>
      </c>
      <c r="S161" s="1101">
        <f>IF($BH161=0,0,IF(SUM($O161:R161)&lt;($L161-12),12,$L161-SUM($O161:R161)))</f>
        <v>0</v>
      </c>
      <c r="U161" s="1100"/>
      <c r="V161" s="1100">
        <f>'ANSP Capex'!T157</f>
        <v>0</v>
      </c>
      <c r="W161" s="1101">
        <f>IF($BI161=0,0,IF(SUM($U161:V161)&lt;($L161-12),12,$L161-SUM($U161:V161)))</f>
        <v>0</v>
      </c>
      <c r="X161" s="1101">
        <f>IF($BI161=0,0,IF(SUM($U161:W161)&lt;($L161-12),12,$L161-SUM($U161:W161)))</f>
        <v>0</v>
      </c>
      <c r="Y161" s="1101">
        <f>IF($BI161=0,0,IF(SUM($U161:X161)&lt;($L161-12),12,$L161-SUM($U161:X161)))</f>
        <v>0</v>
      </c>
      <c r="AA161" s="1100"/>
      <c r="AB161" s="1100"/>
      <c r="AC161" s="1100">
        <f>'ANSP Capex'!AA157</f>
        <v>0</v>
      </c>
      <c r="AD161" s="1101">
        <f>IF($BJ161=0,0,IF(SUM($AA161:AC161)&lt;($L161-12),12,$L161-SUM($AA161:AC161)))</f>
        <v>0</v>
      </c>
      <c r="AE161" s="1101">
        <f>IF($BJ161=0,0,IF(SUM($AA161:AD161)&lt;($L161-12),12,$L161-SUM($AA161:AD161)))</f>
        <v>0</v>
      </c>
      <c r="AG161" s="1100"/>
      <c r="AH161" s="1100"/>
      <c r="AI161" s="1100"/>
      <c r="AJ161" s="1100">
        <f>'ANSP Capex'!AH157</f>
        <v>12</v>
      </c>
      <c r="AK161" s="1101">
        <f>IF($BK161=0,0,IF(SUM($AG161:AJ161)&lt;($L161-12),12,$L161-SUM($AG161:AJ161)))</f>
        <v>12</v>
      </c>
      <c r="AM161" s="1100"/>
      <c r="AN161" s="1100"/>
      <c r="AO161" s="1100"/>
      <c r="AP161" s="1100"/>
      <c r="AQ161" s="1100">
        <f>'ANSP Capex'!AO157</f>
        <v>0</v>
      </c>
      <c r="AS161" s="153">
        <f t="shared" si="11"/>
        <v>0</v>
      </c>
      <c r="AT161" s="153">
        <f t="shared" si="12"/>
        <v>0</v>
      </c>
      <c r="AU161" s="153">
        <f t="shared" si="13"/>
        <v>0</v>
      </c>
      <c r="AV161" s="153">
        <f t="shared" si="14"/>
        <v>1</v>
      </c>
      <c r="AW161" s="153">
        <f t="shared" si="15"/>
        <v>0</v>
      </c>
      <c r="AX161" s="153"/>
      <c r="AY161" s="1543">
        <f>'ANSP Capex'!AW157</f>
        <v>0</v>
      </c>
      <c r="AZ161" s="1102"/>
      <c r="BA161" s="1543">
        <f>'ANSP Capex'!AY157</f>
        <v>1</v>
      </c>
      <c r="BC161" s="1126"/>
      <c r="BD161" s="1126"/>
      <c r="BE161" s="1126"/>
      <c r="BF161" s="1126"/>
      <c r="BG161" s="1126"/>
      <c r="BH161" s="1126">
        <f>'ANSP Capex'!BF157*IF($I161="",(1+INDEX($I$41:$I$42,MATCH($F161,$F$41:$F$42,0))),(1+$I161))</f>
        <v>0</v>
      </c>
      <c r="BI161" s="1126">
        <f>'ANSP Capex'!BG157*IF($I161="",(1+INDEX($I$41:$I$42,MATCH($F161,$F$41:$F$42,0))),(1+$I161))</f>
        <v>0</v>
      </c>
      <c r="BJ161" s="1126">
        <f>'ANSP Capex'!BH157*IF($I161="",(1+INDEX($I$41:$I$42,MATCH($F161,$F$41:$F$42,0))),(1+$I161))</f>
        <v>0</v>
      </c>
      <c r="BK161" s="1126">
        <f>'ANSP Capex'!BI157*IF($I161="",(1+INDEX($I$41:$I$42,MATCH($F161,$F$41:$F$42,0))),(1+$I161))</f>
        <v>916.71</v>
      </c>
      <c r="BL161" s="1126">
        <f>'ANSP Capex'!BJ157*IF($I161="",(1+INDEX($I$41:$I$42,MATCH($F161,$F$41:$F$42,0))),(1+$I161))</f>
        <v>0</v>
      </c>
    </row>
    <row r="162" spans="1:64" outlineLevel="1">
      <c r="A162" s="1094"/>
      <c r="B162" s="1094"/>
      <c r="C162" s="1083" t="str">
        <f>'ANSP Capex'!C158</f>
        <v>New Dublin Tower Equipment - Infrastructure Changes (50% runway)</v>
      </c>
      <c r="D162" s="1083" t="str">
        <f>'ANSP Capex'!D158</f>
        <v>New Dublin Tower</v>
      </c>
      <c r="E162" s="1083" t="str">
        <f>'ANSP Capex'!E158</f>
        <v>R035A</v>
      </c>
      <c r="F162" s="1083" t="str">
        <f>'ANSP Capex'!F158</f>
        <v>2021-2024</v>
      </c>
      <c r="G162" s="1101">
        <f t="shared" si="8"/>
        <v>1205.4788112064318</v>
      </c>
      <c r="H162" s="1083" t="str">
        <f>'ANSP Capex'!H158</f>
        <v>€'000</v>
      </c>
      <c r="I162" s="829">
        <v>0</v>
      </c>
      <c r="J162" s="1097">
        <f>'ANSP Capex'!I158</f>
        <v>8</v>
      </c>
      <c r="K162" s="1124">
        <v>0</v>
      </c>
      <c r="L162" s="1098">
        <f t="shared" si="9"/>
        <v>96</v>
      </c>
      <c r="M162" s="153">
        <f t="shared" si="10"/>
        <v>0.125</v>
      </c>
      <c r="N162" s="1099"/>
      <c r="O162" s="1100">
        <f>'ANSP Capex'!M158</f>
        <v>0</v>
      </c>
      <c r="P162" s="1101">
        <f>IF($BH162=0,0,IF(SUM($O162:O162)&lt;($L162-12),12,$L162-SUM($O162:O162)))</f>
        <v>0</v>
      </c>
      <c r="Q162" s="1101">
        <f>IF($BH162=0,0,IF(SUM($O162:P162)&lt;($L162-12),12,$L162-SUM($O162:P162)))</f>
        <v>0</v>
      </c>
      <c r="R162" s="1101">
        <f>IF($BH162=0,0,IF(SUM($O162:Q162)&lt;($L162-12),12,$L162-SUM($O162:Q162)))</f>
        <v>0</v>
      </c>
      <c r="S162" s="1101">
        <f>IF($BH162=0,0,IF(SUM($O162:R162)&lt;($L162-12),12,$L162-SUM($O162:R162)))</f>
        <v>0</v>
      </c>
      <c r="U162" s="1100"/>
      <c r="V162" s="1100">
        <f>'ANSP Capex'!T158</f>
        <v>6</v>
      </c>
      <c r="W162" s="1101">
        <f>IF($BI162=0,0,IF(SUM($U162:V162)&lt;($L162-12),12,$L162-SUM($U162:V162)))</f>
        <v>12</v>
      </c>
      <c r="X162" s="1101">
        <f>IF($BI162=0,0,IF(SUM($U162:W162)&lt;($L162-12),12,$L162-SUM($U162:W162)))</f>
        <v>12</v>
      </c>
      <c r="Y162" s="1101">
        <f>IF($BI162=0,0,IF(SUM($U162:X162)&lt;($L162-12),12,$L162-SUM($U162:X162)))</f>
        <v>12</v>
      </c>
      <c r="AA162" s="1100"/>
      <c r="AB162" s="1100"/>
      <c r="AC162" s="1100">
        <f>'ANSP Capex'!AA158</f>
        <v>0</v>
      </c>
      <c r="AD162" s="1101">
        <f>IF($BJ162=0,0,IF(SUM($AA162:AC162)&lt;($L162-12),12,$L162-SUM($AA162:AC162)))</f>
        <v>0</v>
      </c>
      <c r="AE162" s="1101">
        <f>IF($BJ162=0,0,IF(SUM($AA162:AD162)&lt;($L162-12),12,$L162-SUM($AA162:AD162)))</f>
        <v>0</v>
      </c>
      <c r="AG162" s="1100"/>
      <c r="AH162" s="1100"/>
      <c r="AI162" s="1100"/>
      <c r="AJ162" s="1100">
        <f>'ANSP Capex'!AH158</f>
        <v>0</v>
      </c>
      <c r="AK162" s="1101">
        <f>IF($BK162=0,0,IF(SUM($AG162:AJ162)&lt;($L162-12),12,$L162-SUM($AG162:AJ162)))</f>
        <v>0</v>
      </c>
      <c r="AM162" s="1100"/>
      <c r="AN162" s="1100"/>
      <c r="AO162" s="1100"/>
      <c r="AP162" s="1100"/>
      <c r="AQ162" s="1100">
        <f>'ANSP Capex'!AO158</f>
        <v>0</v>
      </c>
      <c r="AS162" s="153">
        <f t="shared" si="11"/>
        <v>0</v>
      </c>
      <c r="AT162" s="153">
        <f t="shared" si="12"/>
        <v>0.5</v>
      </c>
      <c r="AU162" s="153">
        <f t="shared" si="13"/>
        <v>0</v>
      </c>
      <c r="AV162" s="153">
        <f t="shared" si="14"/>
        <v>0</v>
      </c>
      <c r="AW162" s="153">
        <f t="shared" si="15"/>
        <v>0</v>
      </c>
      <c r="AX162" s="153"/>
      <c r="AY162" s="1543">
        <f>'ANSP Capex'!AW158</f>
        <v>0</v>
      </c>
      <c r="AZ162" s="1102"/>
      <c r="BA162" s="1543">
        <f>'ANSP Capex'!AY158</f>
        <v>1</v>
      </c>
      <c r="BC162" s="1126"/>
      <c r="BD162" s="1126"/>
      <c r="BE162" s="1126"/>
      <c r="BF162" s="1126"/>
      <c r="BG162" s="1126"/>
      <c r="BH162" s="1126">
        <f>'ANSP Capex'!BF158*IF($I162="",(1+INDEX($I$41:$I$42,MATCH($F162,$F$41:$F$42,0))),(1+$I162))</f>
        <v>0</v>
      </c>
      <c r="BI162" s="1126">
        <f>'ANSP Capex'!BG158*IF($I162="",(1+INDEX($I$41:$I$42,MATCH($F162,$F$41:$F$42,0))),(1+$I162))</f>
        <v>1205.4788112064318</v>
      </c>
      <c r="BJ162" s="1126">
        <f>'ANSP Capex'!BH158*IF($I162="",(1+INDEX($I$41:$I$42,MATCH($F162,$F$41:$F$42,0))),(1+$I162))</f>
        <v>0</v>
      </c>
      <c r="BK162" s="1126">
        <f>'ANSP Capex'!BI158*IF($I162="",(1+INDEX($I$41:$I$42,MATCH($F162,$F$41:$F$42,0))),(1+$I162))</f>
        <v>0</v>
      </c>
      <c r="BL162" s="1126">
        <f>'ANSP Capex'!BJ158*IF($I162="",(1+INDEX($I$41:$I$42,MATCH($F162,$F$41:$F$42,0))),(1+$I162))</f>
        <v>0</v>
      </c>
    </row>
    <row r="163" spans="1:64" outlineLevel="1">
      <c r="A163" s="1094"/>
      <c r="B163" s="1094"/>
      <c r="C163" s="1083" t="str">
        <f>'ANSP Capex'!C159</f>
        <v>New Dublin Tower Equipment - IAA Networks</v>
      </c>
      <c r="D163" s="1083" t="str">
        <f>'ANSP Capex'!D159</f>
        <v>New Dublin Tower</v>
      </c>
      <c r="E163" s="1083" t="str">
        <f>'ANSP Capex'!E159</f>
        <v>R035A</v>
      </c>
      <c r="F163" s="1083" t="str">
        <f>'ANSP Capex'!F159</f>
        <v>2021-2024</v>
      </c>
      <c r="G163" s="1101">
        <f t="shared" si="8"/>
        <v>584.84590999999989</v>
      </c>
      <c r="H163" s="1083" t="str">
        <f>'ANSP Capex'!H159</f>
        <v>€'000</v>
      </c>
      <c r="I163" s="829">
        <v>0</v>
      </c>
      <c r="J163" s="1097">
        <f>'ANSP Capex'!I159</f>
        <v>8</v>
      </c>
      <c r="K163" s="1124">
        <v>0</v>
      </c>
      <c r="L163" s="1098">
        <f t="shared" si="9"/>
        <v>96</v>
      </c>
      <c r="M163" s="153">
        <f t="shared" si="10"/>
        <v>0.125</v>
      </c>
      <c r="N163" s="1099"/>
      <c r="O163" s="1100">
        <f>'ANSP Capex'!M159</f>
        <v>0</v>
      </c>
      <c r="P163" s="1101">
        <f>IF($BH163=0,0,IF(SUM($O163:O163)&lt;($L163-12),12,$L163-SUM($O163:O163)))</f>
        <v>0</v>
      </c>
      <c r="Q163" s="1101">
        <f>IF($BH163=0,0,IF(SUM($O163:P163)&lt;($L163-12),12,$L163-SUM($O163:P163)))</f>
        <v>0</v>
      </c>
      <c r="R163" s="1101">
        <f>IF($BH163=0,0,IF(SUM($O163:Q163)&lt;($L163-12),12,$L163-SUM($O163:Q163)))</f>
        <v>0</v>
      </c>
      <c r="S163" s="1101">
        <f>IF($BH163=0,0,IF(SUM($O163:R163)&lt;($L163-12),12,$L163-SUM($O163:R163)))</f>
        <v>0</v>
      </c>
      <c r="U163" s="1100"/>
      <c r="V163" s="1100">
        <f>'ANSP Capex'!T159</f>
        <v>6</v>
      </c>
      <c r="W163" s="1101">
        <f>IF($BI163=0,0,IF(SUM($U163:V163)&lt;($L163-12),12,$L163-SUM($U163:V163)))</f>
        <v>12</v>
      </c>
      <c r="X163" s="1101">
        <f>IF($BI163=0,0,IF(SUM($U163:W163)&lt;($L163-12),12,$L163-SUM($U163:W163)))</f>
        <v>12</v>
      </c>
      <c r="Y163" s="1101">
        <f>IF($BI163=0,0,IF(SUM($U163:X163)&lt;($L163-12),12,$L163-SUM($U163:X163)))</f>
        <v>12</v>
      </c>
      <c r="AA163" s="1100"/>
      <c r="AB163" s="1100"/>
      <c r="AC163" s="1100">
        <f>'ANSP Capex'!AA159</f>
        <v>0</v>
      </c>
      <c r="AD163" s="1101">
        <f>IF($BJ163=0,0,IF(SUM($AA163:AC163)&lt;($L163-12),12,$L163-SUM($AA163:AC163)))</f>
        <v>0</v>
      </c>
      <c r="AE163" s="1101">
        <f>IF($BJ163=0,0,IF(SUM($AA163:AD163)&lt;($L163-12),12,$L163-SUM($AA163:AD163)))</f>
        <v>0</v>
      </c>
      <c r="AG163" s="1100"/>
      <c r="AH163" s="1100"/>
      <c r="AI163" s="1100"/>
      <c r="AJ163" s="1100">
        <f>'ANSP Capex'!AH159</f>
        <v>0</v>
      </c>
      <c r="AK163" s="1101">
        <f>IF($BK163=0,0,IF(SUM($AG163:AJ163)&lt;($L163-12),12,$L163-SUM($AG163:AJ163)))</f>
        <v>0</v>
      </c>
      <c r="AM163" s="1100"/>
      <c r="AN163" s="1100"/>
      <c r="AO163" s="1100"/>
      <c r="AP163" s="1100"/>
      <c r="AQ163" s="1100">
        <f>'ANSP Capex'!AO159</f>
        <v>0</v>
      </c>
      <c r="AS163" s="153">
        <f t="shared" si="11"/>
        <v>0</v>
      </c>
      <c r="AT163" s="153">
        <f t="shared" si="12"/>
        <v>0.5</v>
      </c>
      <c r="AU163" s="153">
        <f t="shared" si="13"/>
        <v>0</v>
      </c>
      <c r="AV163" s="153">
        <f t="shared" si="14"/>
        <v>0</v>
      </c>
      <c r="AW163" s="153">
        <f t="shared" si="15"/>
        <v>0</v>
      </c>
      <c r="AX163" s="153"/>
      <c r="AY163" s="1543">
        <f>'ANSP Capex'!AW159</f>
        <v>0</v>
      </c>
      <c r="AZ163" s="1102"/>
      <c r="BA163" s="1543">
        <f>'ANSP Capex'!AY159</f>
        <v>1</v>
      </c>
      <c r="BC163" s="1126"/>
      <c r="BD163" s="1126"/>
      <c r="BE163" s="1126"/>
      <c r="BF163" s="1126"/>
      <c r="BG163" s="1126"/>
      <c r="BH163" s="1126">
        <f>'ANSP Capex'!BF159*IF($I163="",(1+INDEX($I$41:$I$42,MATCH($F163,$F$41:$F$42,0))),(1+$I163))</f>
        <v>0</v>
      </c>
      <c r="BI163" s="1126">
        <f>'ANSP Capex'!BG159*IF($I163="",(1+INDEX($I$41:$I$42,MATCH($F163,$F$41:$F$42,0))),(1+$I163))</f>
        <v>584.84590999999989</v>
      </c>
      <c r="BJ163" s="1126">
        <f>'ANSP Capex'!BH159*IF($I163="",(1+INDEX($I$41:$I$42,MATCH($F163,$F$41:$F$42,0))),(1+$I163))</f>
        <v>0</v>
      </c>
      <c r="BK163" s="1126">
        <f>'ANSP Capex'!BI159*IF($I163="",(1+INDEX($I$41:$I$42,MATCH($F163,$F$41:$F$42,0))),(1+$I163))</f>
        <v>0</v>
      </c>
      <c r="BL163" s="1126">
        <f>'ANSP Capex'!BJ159*IF($I163="",(1+INDEX($I$41:$I$42,MATCH($F163,$F$41:$F$42,0))),(1+$I163))</f>
        <v>0</v>
      </c>
    </row>
    <row r="164" spans="1:64" outlineLevel="1">
      <c r="A164" s="1094"/>
      <c r="B164" s="1094"/>
      <c r="C164" s="1083" t="str">
        <f>'ANSP Capex'!C160</f>
        <v>New Dublin Tower Equipment - ICT</v>
      </c>
      <c r="D164" s="1083" t="str">
        <f>'ANSP Capex'!D160</f>
        <v>New Dublin Tower</v>
      </c>
      <c r="E164" s="1083" t="str">
        <f>'ANSP Capex'!E160</f>
        <v>R035A</v>
      </c>
      <c r="F164" s="1083" t="str">
        <f>'ANSP Capex'!F160</f>
        <v>2021-2024</v>
      </c>
      <c r="G164" s="1101">
        <f t="shared" si="8"/>
        <v>0</v>
      </c>
      <c r="H164" s="1083" t="str">
        <f>'ANSP Capex'!H160</f>
        <v>€'000</v>
      </c>
      <c r="I164" s="829">
        <v>0</v>
      </c>
      <c r="J164" s="1097">
        <f>'ANSP Capex'!I160</f>
        <v>8</v>
      </c>
      <c r="K164" s="1124">
        <v>0</v>
      </c>
      <c r="L164" s="1098">
        <f t="shared" si="9"/>
        <v>96</v>
      </c>
      <c r="M164" s="153">
        <f t="shared" si="10"/>
        <v>0.125</v>
      </c>
      <c r="N164" s="1099"/>
      <c r="O164" s="1100">
        <f>'ANSP Capex'!M160</f>
        <v>0</v>
      </c>
      <c r="P164" s="1101">
        <f>IF($BH164=0,0,IF(SUM($O164:O164)&lt;($L164-12),12,$L164-SUM($O164:O164)))</f>
        <v>0</v>
      </c>
      <c r="Q164" s="1101">
        <f>IF($BH164=0,0,IF(SUM($O164:P164)&lt;($L164-12),12,$L164-SUM($O164:P164)))</f>
        <v>0</v>
      </c>
      <c r="R164" s="1101">
        <f>IF($BH164=0,0,IF(SUM($O164:Q164)&lt;($L164-12),12,$L164-SUM($O164:Q164)))</f>
        <v>0</v>
      </c>
      <c r="S164" s="1101">
        <f>IF($BH164=0,0,IF(SUM($O164:R164)&lt;($L164-12),12,$L164-SUM($O164:R164)))</f>
        <v>0</v>
      </c>
      <c r="U164" s="1100"/>
      <c r="V164" s="1100">
        <f>'ANSP Capex'!T160</f>
        <v>0</v>
      </c>
      <c r="W164" s="1101">
        <f>IF($BI164=0,0,IF(SUM($U164:V164)&lt;($L164-12),12,$L164-SUM($U164:V164)))</f>
        <v>0</v>
      </c>
      <c r="X164" s="1101">
        <f>IF($BI164=0,0,IF(SUM($U164:W164)&lt;($L164-12),12,$L164-SUM($U164:W164)))</f>
        <v>0</v>
      </c>
      <c r="Y164" s="1101">
        <f>IF($BI164=0,0,IF(SUM($U164:X164)&lt;($L164-12),12,$L164-SUM($U164:X164)))</f>
        <v>0</v>
      </c>
      <c r="AA164" s="1100"/>
      <c r="AB164" s="1100"/>
      <c r="AC164" s="1100">
        <f>'ANSP Capex'!AA160</f>
        <v>0</v>
      </c>
      <c r="AD164" s="1101">
        <f>IF($BJ164=0,0,IF(SUM($AA164:AC164)&lt;($L164-12),12,$L164-SUM($AA164:AC164)))</f>
        <v>0</v>
      </c>
      <c r="AE164" s="1101">
        <f>IF($BJ164=0,0,IF(SUM($AA164:AD164)&lt;($L164-12),12,$L164-SUM($AA164:AD164)))</f>
        <v>0</v>
      </c>
      <c r="AG164" s="1100"/>
      <c r="AH164" s="1100"/>
      <c r="AI164" s="1100"/>
      <c r="AJ164" s="1100">
        <f>'ANSP Capex'!AH160</f>
        <v>0</v>
      </c>
      <c r="AK164" s="1101">
        <f>IF($BK164=0,0,IF(SUM($AG164:AJ164)&lt;($L164-12),12,$L164-SUM($AG164:AJ164)))</f>
        <v>0</v>
      </c>
      <c r="AM164" s="1100"/>
      <c r="AN164" s="1100"/>
      <c r="AO164" s="1100"/>
      <c r="AP164" s="1100"/>
      <c r="AQ164" s="1100">
        <f>'ANSP Capex'!AO160</f>
        <v>0</v>
      </c>
      <c r="AS164" s="153">
        <f t="shared" si="11"/>
        <v>0</v>
      </c>
      <c r="AT164" s="153">
        <f t="shared" si="12"/>
        <v>0</v>
      </c>
      <c r="AU164" s="153">
        <f t="shared" si="13"/>
        <v>0</v>
      </c>
      <c r="AV164" s="153">
        <f t="shared" si="14"/>
        <v>0</v>
      </c>
      <c r="AW164" s="153">
        <f t="shared" si="15"/>
        <v>0</v>
      </c>
      <c r="AX164" s="153"/>
      <c r="AY164" s="1543">
        <f>'ANSP Capex'!AW160</f>
        <v>0</v>
      </c>
      <c r="AZ164" s="1102"/>
      <c r="BA164" s="1543">
        <f>'ANSP Capex'!AY160</f>
        <v>1</v>
      </c>
      <c r="BC164" s="1126"/>
      <c r="BD164" s="1126"/>
      <c r="BE164" s="1126"/>
      <c r="BF164" s="1126"/>
      <c r="BG164" s="1126"/>
      <c r="BH164" s="1126">
        <f>'ANSP Capex'!BF160*IF($I164="",(1+INDEX($I$41:$I$42,MATCH($F164,$F$41:$F$42,0))),(1+$I164))</f>
        <v>0</v>
      </c>
      <c r="BI164" s="1126">
        <f>'ANSP Capex'!BG160*IF($I164="",(1+INDEX($I$41:$I$42,MATCH($F164,$F$41:$F$42,0))),(1+$I164))</f>
        <v>0</v>
      </c>
      <c r="BJ164" s="1126">
        <f>'ANSP Capex'!BH160*IF($I164="",(1+INDEX($I$41:$I$42,MATCH($F164,$F$41:$F$42,0))),(1+$I164))</f>
        <v>0</v>
      </c>
      <c r="BK164" s="1126">
        <f>'ANSP Capex'!BI160*IF($I164="",(1+INDEX($I$41:$I$42,MATCH($F164,$F$41:$F$42,0))),(1+$I164))</f>
        <v>0</v>
      </c>
      <c r="BL164" s="1126">
        <f>'ANSP Capex'!BJ160*IF($I164="",(1+INDEX($I$41:$I$42,MATCH($F164,$F$41:$F$42,0))),(1+$I164))</f>
        <v>0</v>
      </c>
    </row>
    <row r="165" spans="1:64" outlineLevel="1">
      <c r="A165" s="1094"/>
      <c r="B165" s="1094"/>
      <c r="C165" s="1083" t="str">
        <f>'ANSP Capex'!C161</f>
        <v>New Dublin Tower Equipment - Changes to Centralised Monitoring</v>
      </c>
      <c r="D165" s="1083" t="str">
        <f>'ANSP Capex'!D161</f>
        <v>New Dublin Tower</v>
      </c>
      <c r="E165" s="1083" t="str">
        <f>'ANSP Capex'!E161</f>
        <v>R035A</v>
      </c>
      <c r="F165" s="1083" t="str">
        <f>'ANSP Capex'!F161</f>
        <v>2021-2024</v>
      </c>
      <c r="G165" s="1101">
        <f t="shared" si="8"/>
        <v>264.10131000000001</v>
      </c>
      <c r="H165" s="1083" t="str">
        <f>'ANSP Capex'!H161</f>
        <v>€'000</v>
      </c>
      <c r="I165" s="829">
        <v>0</v>
      </c>
      <c r="J165" s="1097">
        <f>'ANSP Capex'!I161</f>
        <v>8</v>
      </c>
      <c r="K165" s="1124">
        <v>0</v>
      </c>
      <c r="L165" s="1098">
        <f t="shared" si="9"/>
        <v>96</v>
      </c>
      <c r="M165" s="153">
        <f t="shared" si="10"/>
        <v>0.125</v>
      </c>
      <c r="N165" s="1099"/>
      <c r="O165" s="1100">
        <f>'ANSP Capex'!M161</f>
        <v>0</v>
      </c>
      <c r="P165" s="1101">
        <f>IF($BH165=0,0,IF(SUM($O165:O165)&lt;($L165-12),12,$L165-SUM($O165:O165)))</f>
        <v>0</v>
      </c>
      <c r="Q165" s="1101">
        <f>IF($BH165=0,0,IF(SUM($O165:P165)&lt;($L165-12),12,$L165-SUM($O165:P165)))</f>
        <v>0</v>
      </c>
      <c r="R165" s="1101">
        <f>IF($BH165=0,0,IF(SUM($O165:Q165)&lt;($L165-12),12,$L165-SUM($O165:Q165)))</f>
        <v>0</v>
      </c>
      <c r="S165" s="1101">
        <f>IF($BH165=0,0,IF(SUM($O165:R165)&lt;($L165-12),12,$L165-SUM($O165:R165)))</f>
        <v>0</v>
      </c>
      <c r="U165" s="1100"/>
      <c r="V165" s="1100">
        <f>'ANSP Capex'!T161</f>
        <v>6</v>
      </c>
      <c r="W165" s="1101">
        <f>IF($BI165=0,0,IF(SUM($U165:V165)&lt;($L165-12),12,$L165-SUM($U165:V165)))</f>
        <v>12</v>
      </c>
      <c r="X165" s="1101">
        <f>IF($BI165=0,0,IF(SUM($U165:W165)&lt;($L165-12),12,$L165-SUM($U165:W165)))</f>
        <v>12</v>
      </c>
      <c r="Y165" s="1101">
        <f>IF($BI165=0,0,IF(SUM($U165:X165)&lt;($L165-12),12,$L165-SUM($U165:X165)))</f>
        <v>12</v>
      </c>
      <c r="AA165" s="1100"/>
      <c r="AB165" s="1100"/>
      <c r="AC165" s="1100">
        <f>'ANSP Capex'!AA161</f>
        <v>6</v>
      </c>
      <c r="AD165" s="1101">
        <f>IF($BJ165=0,0,IF(SUM($AA165:AC165)&lt;($L165-12),12,$L165-SUM($AA165:AC165)))</f>
        <v>12</v>
      </c>
      <c r="AE165" s="1101">
        <f>IF($BJ165=0,0,IF(SUM($AA165:AD165)&lt;($L165-12),12,$L165-SUM($AA165:AD165)))</f>
        <v>12</v>
      </c>
      <c r="AG165" s="1100"/>
      <c r="AH165" s="1100"/>
      <c r="AI165" s="1100"/>
      <c r="AJ165" s="1100">
        <f>'ANSP Capex'!AH161</f>
        <v>0</v>
      </c>
      <c r="AK165" s="1101">
        <f>IF($BK165=0,0,IF(SUM($AG165:AJ165)&lt;($L165-12),12,$L165-SUM($AG165:AJ165)))</f>
        <v>0</v>
      </c>
      <c r="AM165" s="1100"/>
      <c r="AN165" s="1100"/>
      <c r="AO165" s="1100"/>
      <c r="AP165" s="1100"/>
      <c r="AQ165" s="1100">
        <f>'ANSP Capex'!AO161</f>
        <v>0</v>
      </c>
      <c r="AS165" s="153">
        <f t="shared" si="11"/>
        <v>0</v>
      </c>
      <c r="AT165" s="153">
        <f t="shared" si="12"/>
        <v>0.5</v>
      </c>
      <c r="AU165" s="153">
        <f t="shared" si="13"/>
        <v>0.5</v>
      </c>
      <c r="AV165" s="153">
        <f t="shared" si="14"/>
        <v>0</v>
      </c>
      <c r="AW165" s="153">
        <f t="shared" si="15"/>
        <v>0</v>
      </c>
      <c r="AX165" s="153"/>
      <c r="AY165" s="1543">
        <f>'ANSP Capex'!AW161</f>
        <v>0</v>
      </c>
      <c r="AZ165" s="1102"/>
      <c r="BA165" s="1543">
        <f>'ANSP Capex'!AY161</f>
        <v>1</v>
      </c>
      <c r="BC165" s="1126"/>
      <c r="BD165" s="1126"/>
      <c r="BE165" s="1126"/>
      <c r="BF165" s="1126"/>
      <c r="BG165" s="1126"/>
      <c r="BH165" s="1126">
        <f>'ANSP Capex'!BF161*IF($I165="",(1+INDEX($I$41:$I$42,MATCH($F165,$F$41:$F$42,0))),(1+$I165))</f>
        <v>0</v>
      </c>
      <c r="BI165" s="1126">
        <f>'ANSP Capex'!BG161*IF($I165="",(1+INDEX($I$41:$I$42,MATCH($F165,$F$41:$F$42,0))),(1+$I165))</f>
        <v>249.10130999999998</v>
      </c>
      <c r="BJ165" s="1126">
        <f>'ANSP Capex'!BH161*IF($I165="",(1+INDEX($I$41:$I$42,MATCH($F165,$F$41:$F$42,0))),(1+$I165))</f>
        <v>15</v>
      </c>
      <c r="BK165" s="1126">
        <f>'ANSP Capex'!BI161*IF($I165="",(1+INDEX($I$41:$I$42,MATCH($F165,$F$41:$F$42,0))),(1+$I165))</f>
        <v>0</v>
      </c>
      <c r="BL165" s="1126">
        <f>'ANSP Capex'!BJ161*IF($I165="",(1+INDEX($I$41:$I$42,MATCH($F165,$F$41:$F$42,0))),(1+$I165))</f>
        <v>0</v>
      </c>
    </row>
    <row r="166" spans="1:64" outlineLevel="1">
      <c r="A166" s="1094"/>
      <c r="B166" s="1094"/>
      <c r="C166" s="1083" t="str">
        <f>'ANSP Capex'!C162</f>
        <v>New Dublin Tower Equipment - M&amp;E/UPS/Cabling/Power</v>
      </c>
      <c r="D166" s="1083" t="str">
        <f>'ANSP Capex'!D162</f>
        <v>New Dublin Tower</v>
      </c>
      <c r="E166" s="1083" t="str">
        <f>'ANSP Capex'!E162</f>
        <v>R035A</v>
      </c>
      <c r="F166" s="1083" t="str">
        <f>'ANSP Capex'!F162</f>
        <v>2021-2024</v>
      </c>
      <c r="G166" s="1101">
        <f t="shared" si="8"/>
        <v>282.06971000000004</v>
      </c>
      <c r="H166" s="1083" t="str">
        <f>'ANSP Capex'!H162</f>
        <v>€'000</v>
      </c>
      <c r="I166" s="829">
        <v>0</v>
      </c>
      <c r="J166" s="1097">
        <f>'ANSP Capex'!I162</f>
        <v>8</v>
      </c>
      <c r="K166" s="1124">
        <v>0</v>
      </c>
      <c r="L166" s="1098">
        <f t="shared" si="9"/>
        <v>96</v>
      </c>
      <c r="M166" s="153">
        <f t="shared" si="10"/>
        <v>0.125</v>
      </c>
      <c r="N166" s="1099"/>
      <c r="O166" s="1100">
        <f>'ANSP Capex'!M162</f>
        <v>0</v>
      </c>
      <c r="P166" s="1101">
        <f>IF($BH166=0,0,IF(SUM($O166:O166)&lt;($L166-12),12,$L166-SUM($O166:O166)))</f>
        <v>0</v>
      </c>
      <c r="Q166" s="1101">
        <f>IF($BH166=0,0,IF(SUM($O166:P166)&lt;($L166-12),12,$L166-SUM($O166:P166)))</f>
        <v>0</v>
      </c>
      <c r="R166" s="1101">
        <f>IF($BH166=0,0,IF(SUM($O166:Q166)&lt;($L166-12),12,$L166-SUM($O166:Q166)))</f>
        <v>0</v>
      </c>
      <c r="S166" s="1101">
        <f>IF($BH166=0,0,IF(SUM($O166:R166)&lt;($L166-12),12,$L166-SUM($O166:R166)))</f>
        <v>0</v>
      </c>
      <c r="U166" s="1100"/>
      <c r="V166" s="1100">
        <f>'ANSP Capex'!T162</f>
        <v>6</v>
      </c>
      <c r="W166" s="1101">
        <f>IF($BI166=0,0,IF(SUM($U166:V166)&lt;($L166-12),12,$L166-SUM($U166:V166)))</f>
        <v>12</v>
      </c>
      <c r="X166" s="1101">
        <f>IF($BI166=0,0,IF(SUM($U166:W166)&lt;($L166-12),12,$L166-SUM($U166:W166)))</f>
        <v>12</v>
      </c>
      <c r="Y166" s="1101">
        <f>IF($BI166=0,0,IF(SUM($U166:X166)&lt;($L166-12),12,$L166-SUM($U166:X166)))</f>
        <v>12</v>
      </c>
      <c r="AA166" s="1100"/>
      <c r="AB166" s="1100"/>
      <c r="AC166" s="1100">
        <f>'ANSP Capex'!AA162</f>
        <v>0</v>
      </c>
      <c r="AD166" s="1101">
        <f>IF($BJ166=0,0,IF(SUM($AA166:AC166)&lt;($L166-12),12,$L166-SUM($AA166:AC166)))</f>
        <v>0</v>
      </c>
      <c r="AE166" s="1101">
        <f>IF($BJ166=0,0,IF(SUM($AA166:AD166)&lt;($L166-12),12,$L166-SUM($AA166:AD166)))</f>
        <v>0</v>
      </c>
      <c r="AG166" s="1100"/>
      <c r="AH166" s="1100"/>
      <c r="AI166" s="1100"/>
      <c r="AJ166" s="1100">
        <f>'ANSP Capex'!AH162</f>
        <v>0</v>
      </c>
      <c r="AK166" s="1101">
        <f>IF($BK166=0,0,IF(SUM($AG166:AJ166)&lt;($L166-12),12,$L166-SUM($AG166:AJ166)))</f>
        <v>0</v>
      </c>
      <c r="AM166" s="1100"/>
      <c r="AN166" s="1100"/>
      <c r="AO166" s="1100"/>
      <c r="AP166" s="1100"/>
      <c r="AQ166" s="1100">
        <f>'ANSP Capex'!AO162</f>
        <v>0</v>
      </c>
      <c r="AS166" s="153">
        <f t="shared" si="11"/>
        <v>0</v>
      </c>
      <c r="AT166" s="153">
        <f t="shared" si="12"/>
        <v>0.5</v>
      </c>
      <c r="AU166" s="153">
        <f t="shared" si="13"/>
        <v>0</v>
      </c>
      <c r="AV166" s="153">
        <f t="shared" si="14"/>
        <v>0</v>
      </c>
      <c r="AW166" s="153">
        <f t="shared" si="15"/>
        <v>0</v>
      </c>
      <c r="AX166" s="153"/>
      <c r="AY166" s="1543">
        <f>'ANSP Capex'!AW162</f>
        <v>0</v>
      </c>
      <c r="AZ166" s="1102"/>
      <c r="BA166" s="1543">
        <f>'ANSP Capex'!AY162</f>
        <v>1</v>
      </c>
      <c r="BC166" s="1126"/>
      <c r="BD166" s="1126"/>
      <c r="BE166" s="1126"/>
      <c r="BF166" s="1126"/>
      <c r="BG166" s="1126"/>
      <c r="BH166" s="1126">
        <f>'ANSP Capex'!BF162*IF($I166="",(1+INDEX($I$41:$I$42,MATCH($F166,$F$41:$F$42,0))),(1+$I166))</f>
        <v>0</v>
      </c>
      <c r="BI166" s="1126">
        <f>'ANSP Capex'!BG162*IF($I166="",(1+INDEX($I$41:$I$42,MATCH($F166,$F$41:$F$42,0))),(1+$I166))</f>
        <v>282.06971000000004</v>
      </c>
      <c r="BJ166" s="1126">
        <f>'ANSP Capex'!BH162*IF($I166="",(1+INDEX($I$41:$I$42,MATCH($F166,$F$41:$F$42,0))),(1+$I166))</f>
        <v>0</v>
      </c>
      <c r="BK166" s="1126">
        <f>'ANSP Capex'!BI162*IF($I166="",(1+INDEX($I$41:$I$42,MATCH($F166,$F$41:$F$42,0))),(1+$I166))</f>
        <v>0</v>
      </c>
      <c r="BL166" s="1126">
        <f>'ANSP Capex'!BJ162*IF($I166="",(1+INDEX($I$41:$I$42,MATCH($F166,$F$41:$F$42,0))),(1+$I166))</f>
        <v>0</v>
      </c>
    </row>
    <row r="167" spans="1:64" outlineLevel="1">
      <c r="A167" s="1094"/>
      <c r="B167" s="1094"/>
      <c r="C167" s="1083" t="str">
        <f>'ANSP Capex'!C163</f>
        <v>COOPANS Build 3 Dublin</v>
      </c>
      <c r="D167" s="1083" t="str">
        <f>'ANSP Capex'!D163</f>
        <v>COOPANS</v>
      </c>
      <c r="E167" s="1083" t="str">
        <f>'ANSP Capex'!E163</f>
        <v>L001A</v>
      </c>
      <c r="F167" s="1083" t="str">
        <f>'ANSP Capex'!F163</f>
        <v>2021-2024</v>
      </c>
      <c r="G167" s="1101">
        <f t="shared" si="8"/>
        <v>313.29875673029863</v>
      </c>
      <c r="H167" s="1083" t="str">
        <f>'ANSP Capex'!H163</f>
        <v>€'000</v>
      </c>
      <c r="I167" s="829"/>
      <c r="J167" s="1097">
        <f>'ANSP Capex'!I163</f>
        <v>8</v>
      </c>
      <c r="K167" s="1124">
        <v>0</v>
      </c>
      <c r="L167" s="1098">
        <f t="shared" si="9"/>
        <v>96</v>
      </c>
      <c r="M167" s="153">
        <f t="shared" si="10"/>
        <v>0.125</v>
      </c>
      <c r="N167" s="1099"/>
      <c r="O167" s="1100">
        <f>'ANSP Capex'!M163</f>
        <v>0</v>
      </c>
      <c r="P167" s="1101">
        <f>IF($BH167=0,0,IF(SUM($O167:O167)&lt;($L167-12),12,$L167-SUM($O167:O167)))</f>
        <v>0</v>
      </c>
      <c r="Q167" s="1101">
        <f>IF($BH167=0,0,IF(SUM($O167:P167)&lt;($L167-12),12,$L167-SUM($O167:P167)))</f>
        <v>0</v>
      </c>
      <c r="R167" s="1101">
        <f>IF($BH167=0,0,IF(SUM($O167:Q167)&lt;($L167-12),12,$L167-SUM($O167:Q167)))</f>
        <v>0</v>
      </c>
      <c r="S167" s="1101">
        <f>IF($BH167=0,0,IF(SUM($O167:R167)&lt;($L167-12),12,$L167-SUM($O167:R167)))</f>
        <v>0</v>
      </c>
      <c r="U167" s="1100"/>
      <c r="V167" s="1100">
        <f>'ANSP Capex'!T163</f>
        <v>5.9999999999999956</v>
      </c>
      <c r="W167" s="1101">
        <f>IF($BI167=0,0,IF(SUM($U167:V167)&lt;($L167-12),12,$L167-SUM($U167:V167)))</f>
        <v>12</v>
      </c>
      <c r="X167" s="1101">
        <f>IF($BI167=0,0,IF(SUM($U167:W167)&lt;($L167-12),12,$L167-SUM($U167:W167)))</f>
        <v>12</v>
      </c>
      <c r="Y167" s="1101">
        <f>IF($BI167=0,0,IF(SUM($U167:X167)&lt;($L167-12),12,$L167-SUM($U167:X167)))</f>
        <v>12</v>
      </c>
      <c r="AA167" s="1100"/>
      <c r="AB167" s="1100"/>
      <c r="AC167" s="1100">
        <f>'ANSP Capex'!AA163</f>
        <v>0</v>
      </c>
      <c r="AD167" s="1101">
        <f>IF($BJ167=0,0,IF(SUM($AA167:AC167)&lt;($L167-12),12,$L167-SUM($AA167:AC167)))</f>
        <v>0</v>
      </c>
      <c r="AE167" s="1101">
        <f>IF($BJ167=0,0,IF(SUM($AA167:AD167)&lt;($L167-12),12,$L167-SUM($AA167:AD167)))</f>
        <v>0</v>
      </c>
      <c r="AG167" s="1100"/>
      <c r="AH167" s="1100"/>
      <c r="AI167" s="1100"/>
      <c r="AJ167" s="1100">
        <f>'ANSP Capex'!AH163</f>
        <v>0</v>
      </c>
      <c r="AK167" s="1101">
        <f>IF($BK167=0,0,IF(SUM($AG167:AJ167)&lt;($L167-12),12,$L167-SUM($AG167:AJ167)))</f>
        <v>0</v>
      </c>
      <c r="AM167" s="1100"/>
      <c r="AN167" s="1100"/>
      <c r="AO167" s="1100"/>
      <c r="AP167" s="1100"/>
      <c r="AQ167" s="1100">
        <f>'ANSP Capex'!AO163</f>
        <v>0</v>
      </c>
      <c r="AS167" s="153">
        <f t="shared" si="11"/>
        <v>0</v>
      </c>
      <c r="AT167" s="153">
        <f t="shared" si="12"/>
        <v>0.49999999999999961</v>
      </c>
      <c r="AU167" s="153">
        <f t="shared" si="13"/>
        <v>0</v>
      </c>
      <c r="AV167" s="153">
        <f t="shared" si="14"/>
        <v>0</v>
      </c>
      <c r="AW167" s="153">
        <f t="shared" si="15"/>
        <v>0</v>
      </c>
      <c r="AX167" s="153"/>
      <c r="AY167" s="1543">
        <f>'ANSP Capex'!AW163</f>
        <v>0.75</v>
      </c>
      <c r="AZ167" s="1102"/>
      <c r="BA167" s="1543">
        <f>'ANSP Capex'!AY163</f>
        <v>0.25</v>
      </c>
      <c r="BC167" s="1126"/>
      <c r="BD167" s="1126"/>
      <c r="BE167" s="1126"/>
      <c r="BF167" s="1126"/>
      <c r="BG167" s="1126"/>
      <c r="BH167" s="1126">
        <f>'ANSP Capex'!BF163*IF($I167="",(1+INDEX($I$41:$I$42,MATCH($F167,$F$41:$F$42,0))),(1+$I167))</f>
        <v>0</v>
      </c>
      <c r="BI167" s="1126">
        <f>'ANSP Capex'!BG163*IF($I167="",(1+INDEX($I$41:$I$42,MATCH($F167,$F$41:$F$42,0))),(1+$I167))</f>
        <v>313.29875673029863</v>
      </c>
      <c r="BJ167" s="1126">
        <f>'ANSP Capex'!BH163*IF($I167="",(1+INDEX($I$41:$I$42,MATCH($F167,$F$41:$F$42,0))),(1+$I167))</f>
        <v>0</v>
      </c>
      <c r="BK167" s="1126">
        <f>'ANSP Capex'!BI163*IF($I167="",(1+INDEX($I$41:$I$42,MATCH($F167,$F$41:$F$42,0))),(1+$I167))</f>
        <v>0</v>
      </c>
      <c r="BL167" s="1126">
        <f>'ANSP Capex'!BJ163*IF($I167="",(1+INDEX($I$41:$I$42,MATCH($F167,$F$41:$F$42,0))),(1+$I167))</f>
        <v>0</v>
      </c>
    </row>
    <row r="168" spans="1:64" outlineLevel="1">
      <c r="A168" s="1094"/>
      <c r="B168" s="1094"/>
      <c r="C168" s="1083" t="str">
        <f>'ANSP Capex'!C164</f>
        <v>COOPANS Build 3 Shannon</v>
      </c>
      <c r="D168" s="1083" t="str">
        <f>'ANSP Capex'!D164</f>
        <v>COOPANS</v>
      </c>
      <c r="E168" s="1083" t="str">
        <f>'ANSP Capex'!E164</f>
        <v>L001A</v>
      </c>
      <c r="F168" s="1083" t="str">
        <f>'ANSP Capex'!F164</f>
        <v>2021-2024</v>
      </c>
      <c r="G168" s="1101">
        <f t="shared" si="8"/>
        <v>581.84054821341101</v>
      </c>
      <c r="H168" s="1083" t="str">
        <f>'ANSP Capex'!H164</f>
        <v>€'000</v>
      </c>
      <c r="I168" s="829"/>
      <c r="J168" s="1097">
        <f>'ANSP Capex'!I164</f>
        <v>8</v>
      </c>
      <c r="K168" s="1124">
        <v>0</v>
      </c>
      <c r="L168" s="1098">
        <f t="shared" si="9"/>
        <v>96</v>
      </c>
      <c r="M168" s="153">
        <f t="shared" si="10"/>
        <v>0.125</v>
      </c>
      <c r="N168" s="1099"/>
      <c r="O168" s="1100">
        <f>'ANSP Capex'!M164</f>
        <v>0</v>
      </c>
      <c r="P168" s="1101">
        <f>IF($BH168=0,0,IF(SUM($O168:O168)&lt;($L168-12),12,$L168-SUM($O168:O168)))</f>
        <v>0</v>
      </c>
      <c r="Q168" s="1101">
        <f>IF($BH168=0,0,IF(SUM($O168:P168)&lt;($L168-12),12,$L168-SUM($O168:P168)))</f>
        <v>0</v>
      </c>
      <c r="R168" s="1101">
        <f>IF($BH168=0,0,IF(SUM($O168:Q168)&lt;($L168-12),12,$L168-SUM($O168:Q168)))</f>
        <v>0</v>
      </c>
      <c r="S168" s="1101">
        <f>IF($BH168=0,0,IF(SUM($O168:R168)&lt;($L168-12),12,$L168-SUM($O168:R168)))</f>
        <v>0</v>
      </c>
      <c r="U168" s="1100"/>
      <c r="V168" s="1100">
        <f>'ANSP Capex'!T164</f>
        <v>6.0000000000000018</v>
      </c>
      <c r="W168" s="1101">
        <f>IF($BI168=0,0,IF(SUM($U168:V168)&lt;($L168-12),12,$L168-SUM($U168:V168)))</f>
        <v>12</v>
      </c>
      <c r="X168" s="1101">
        <f>IF($BI168=0,0,IF(SUM($U168:W168)&lt;($L168-12),12,$L168-SUM($U168:W168)))</f>
        <v>12</v>
      </c>
      <c r="Y168" s="1101">
        <f>IF($BI168=0,0,IF(SUM($U168:X168)&lt;($L168-12),12,$L168-SUM($U168:X168)))</f>
        <v>12</v>
      </c>
      <c r="AA168" s="1100"/>
      <c r="AB168" s="1100"/>
      <c r="AC168" s="1100">
        <f>'ANSP Capex'!AA164</f>
        <v>0</v>
      </c>
      <c r="AD168" s="1101">
        <f>IF($BJ168=0,0,IF(SUM($AA168:AC168)&lt;($L168-12),12,$L168-SUM($AA168:AC168)))</f>
        <v>0</v>
      </c>
      <c r="AE168" s="1101">
        <f>IF($BJ168=0,0,IF(SUM($AA168:AD168)&lt;($L168-12),12,$L168-SUM($AA168:AD168)))</f>
        <v>0</v>
      </c>
      <c r="AG168" s="1100"/>
      <c r="AH168" s="1100"/>
      <c r="AI168" s="1100"/>
      <c r="AJ168" s="1100">
        <f>'ANSP Capex'!AH164</f>
        <v>0</v>
      </c>
      <c r="AK168" s="1101">
        <f>IF($BK168=0,0,IF(SUM($AG168:AJ168)&lt;($L168-12),12,$L168-SUM($AG168:AJ168)))</f>
        <v>0</v>
      </c>
      <c r="AM168" s="1100"/>
      <c r="AN168" s="1100"/>
      <c r="AO168" s="1100"/>
      <c r="AP168" s="1100"/>
      <c r="AQ168" s="1100">
        <f>'ANSP Capex'!AO164</f>
        <v>0</v>
      </c>
      <c r="AS168" s="153">
        <f t="shared" si="11"/>
        <v>0</v>
      </c>
      <c r="AT168" s="153">
        <f t="shared" si="12"/>
        <v>0.50000000000000011</v>
      </c>
      <c r="AU168" s="153">
        <f t="shared" si="13"/>
        <v>0</v>
      </c>
      <c r="AV168" s="153">
        <f t="shared" si="14"/>
        <v>0</v>
      </c>
      <c r="AW168" s="153">
        <f t="shared" si="15"/>
        <v>0</v>
      </c>
      <c r="AX168" s="153"/>
      <c r="AY168" s="1543">
        <f>'ANSP Capex'!AW164</f>
        <v>0.75</v>
      </c>
      <c r="AZ168" s="1102"/>
      <c r="BA168" s="1543">
        <f>'ANSP Capex'!AY164</f>
        <v>0.25</v>
      </c>
      <c r="BC168" s="1126"/>
      <c r="BD168" s="1126"/>
      <c r="BE168" s="1126"/>
      <c r="BF168" s="1126"/>
      <c r="BG168" s="1126"/>
      <c r="BH168" s="1126">
        <f>'ANSP Capex'!BF164*IF($I168="",(1+INDEX($I$41:$I$42,MATCH($F168,$F$41:$F$42,0))),(1+$I168))</f>
        <v>0</v>
      </c>
      <c r="BI168" s="1126">
        <f>'ANSP Capex'!BG164*IF($I168="",(1+INDEX($I$41:$I$42,MATCH($F168,$F$41:$F$42,0))),(1+$I168))</f>
        <v>581.84054821341101</v>
      </c>
      <c r="BJ168" s="1126">
        <f>'ANSP Capex'!BH164*IF($I168="",(1+INDEX($I$41:$I$42,MATCH($F168,$F$41:$F$42,0))),(1+$I168))</f>
        <v>0</v>
      </c>
      <c r="BK168" s="1126">
        <f>'ANSP Capex'!BI164*IF($I168="",(1+INDEX($I$41:$I$42,MATCH($F168,$F$41:$F$42,0))),(1+$I168))</f>
        <v>0</v>
      </c>
      <c r="BL168" s="1126">
        <f>'ANSP Capex'!BJ164*IF($I168="",(1+INDEX($I$41:$I$42,MATCH($F168,$F$41:$F$42,0))),(1+$I168))</f>
        <v>0</v>
      </c>
    </row>
    <row r="169" spans="1:64" outlineLevel="1">
      <c r="A169" s="1094"/>
      <c r="B169" s="1094"/>
      <c r="C169" s="1083" t="str">
        <f>'ANSP Capex'!C165</f>
        <v>COOPANS Build 3.6 Onwards Dublin</v>
      </c>
      <c r="D169" s="1083" t="str">
        <f>'ANSP Capex'!D165</f>
        <v>COOPANS</v>
      </c>
      <c r="E169" s="1083" t="str">
        <f>'ANSP Capex'!E165</f>
        <v>R001</v>
      </c>
      <c r="F169" s="1083" t="str">
        <f>'ANSP Capex'!F165</f>
        <v>2021-2024</v>
      </c>
      <c r="G169" s="1101">
        <f t="shared" si="8"/>
        <v>1729.4168792951546</v>
      </c>
      <c r="H169" s="1083" t="str">
        <f>'ANSP Capex'!H165</f>
        <v>€'000</v>
      </c>
      <c r="I169" s="829"/>
      <c r="J169" s="1097">
        <f>'ANSP Capex'!I165</f>
        <v>8</v>
      </c>
      <c r="K169" s="1124">
        <v>0</v>
      </c>
      <c r="L169" s="1098">
        <f t="shared" si="9"/>
        <v>96</v>
      </c>
      <c r="M169" s="153">
        <f t="shared" si="10"/>
        <v>0.125</v>
      </c>
      <c r="N169" s="1099"/>
      <c r="O169" s="1100">
        <f>'ANSP Capex'!M165</f>
        <v>0</v>
      </c>
      <c r="P169" s="1101">
        <f>IF($BH169=0,0,IF(SUM($O169:O169)&lt;($L169-12),12,$L169-SUM($O169:O169)))</f>
        <v>0</v>
      </c>
      <c r="Q169" s="1101">
        <f>IF($BH169=0,0,IF(SUM($O169:P169)&lt;($L169-12),12,$L169-SUM($O169:P169)))</f>
        <v>0</v>
      </c>
      <c r="R169" s="1101">
        <f>IF($BH169=0,0,IF(SUM($O169:Q169)&lt;($L169-12),12,$L169-SUM($O169:Q169)))</f>
        <v>0</v>
      </c>
      <c r="S169" s="1101">
        <f>IF($BH169=0,0,IF(SUM($O169:R169)&lt;($L169-12),12,$L169-SUM($O169:R169)))</f>
        <v>0</v>
      </c>
      <c r="U169" s="1100"/>
      <c r="V169" s="1100">
        <f>'ANSP Capex'!T165</f>
        <v>4.5094214889077717</v>
      </c>
      <c r="W169" s="1101">
        <f>IF($BI169=0,0,IF(SUM($U169:V169)&lt;($L169-12),12,$L169-SUM($U169:V169)))</f>
        <v>12</v>
      </c>
      <c r="X169" s="1101">
        <f>IF($BI169=0,0,IF(SUM($U169:W169)&lt;($L169-12),12,$L169-SUM($U169:W169)))</f>
        <v>12</v>
      </c>
      <c r="Y169" s="1101">
        <f>IF($BI169=0,0,IF(SUM($U169:X169)&lt;($L169-12),12,$L169-SUM($U169:X169)))</f>
        <v>12</v>
      </c>
      <c r="AA169" s="1100"/>
      <c r="AB169" s="1100"/>
      <c r="AC169" s="1100">
        <f>'ANSP Capex'!AA165</f>
        <v>8.9999999999999982</v>
      </c>
      <c r="AD169" s="1101">
        <f>IF($BJ169=0,0,IF(SUM($AA169:AC169)&lt;($L169-12),12,$L169-SUM($AA169:AC169)))</f>
        <v>12</v>
      </c>
      <c r="AE169" s="1101">
        <f>IF($BJ169=0,0,IF(SUM($AA169:AD169)&lt;($L169-12),12,$L169-SUM($AA169:AD169)))</f>
        <v>12</v>
      </c>
      <c r="AG169" s="1100"/>
      <c r="AH169" s="1100"/>
      <c r="AI169" s="1100"/>
      <c r="AJ169" s="1100">
        <f>'ANSP Capex'!AH165</f>
        <v>12.000000000000002</v>
      </c>
      <c r="AK169" s="1101">
        <f>IF($BK169=0,0,IF(SUM($AG169:AJ169)&lt;($L169-12),12,$L169-SUM($AG169:AJ169)))</f>
        <v>12</v>
      </c>
      <c r="AM169" s="1100"/>
      <c r="AN169" s="1100"/>
      <c r="AO169" s="1100"/>
      <c r="AP169" s="1100"/>
      <c r="AQ169" s="1100">
        <f>'ANSP Capex'!AO165</f>
        <v>0</v>
      </c>
      <c r="AS169" s="153">
        <f t="shared" si="11"/>
        <v>0</v>
      </c>
      <c r="AT169" s="153">
        <f t="shared" si="12"/>
        <v>0.37578512407564763</v>
      </c>
      <c r="AU169" s="153">
        <f t="shared" si="13"/>
        <v>0.74999999999999989</v>
      </c>
      <c r="AV169" s="153">
        <f t="shared" si="14"/>
        <v>1.0000000000000002</v>
      </c>
      <c r="AW169" s="153">
        <f t="shared" si="15"/>
        <v>0</v>
      </c>
      <c r="AX169" s="153"/>
      <c r="AY169" s="1543">
        <f>'ANSP Capex'!AW165</f>
        <v>0.75</v>
      </c>
      <c r="AZ169" s="1102"/>
      <c r="BA169" s="1543">
        <f>'ANSP Capex'!AY165</f>
        <v>0.25</v>
      </c>
      <c r="BC169" s="1126"/>
      <c r="BD169" s="1126"/>
      <c r="BE169" s="1126"/>
      <c r="BF169" s="1126"/>
      <c r="BG169" s="1126"/>
      <c r="BH169" s="1126">
        <f>'ANSP Capex'!BF165*IF($I169="",(1+INDEX($I$41:$I$42,MATCH($F169,$F$41:$F$42,0))),(1+$I169))</f>
        <v>0</v>
      </c>
      <c r="BI169" s="1126">
        <f>'ANSP Capex'!BG165*IF($I169="",(1+INDEX($I$41:$I$42,MATCH($F169,$F$41:$F$42,0))),(1+$I169))</f>
        <v>981.00963504650031</v>
      </c>
      <c r="BJ169" s="1126">
        <f>'ANSP Capex'!BH165*IF($I169="",(1+INDEX($I$41:$I$42,MATCH($F169,$F$41:$F$42,0))),(1+$I169))</f>
        <v>438.72148800783174</v>
      </c>
      <c r="BK169" s="1126">
        <f>'ANSP Capex'!BI165*IF($I169="",(1+INDEX($I$41:$I$42,MATCH($F169,$F$41:$F$42,0))),(1+$I169))</f>
        <v>309.68575624082234</v>
      </c>
      <c r="BL169" s="1126">
        <f>'ANSP Capex'!BJ165*IF($I169="",(1+INDEX($I$41:$I$42,MATCH($F169,$F$41:$F$42,0))),(1+$I169))</f>
        <v>0</v>
      </c>
    </row>
    <row r="170" spans="1:64" outlineLevel="1">
      <c r="A170" s="1094"/>
      <c r="B170" s="1094"/>
      <c r="C170" s="1083" t="str">
        <f>'ANSP Capex'!C166</f>
        <v>COOPANS Build 3.6 Onwards Shannon</v>
      </c>
      <c r="D170" s="1083" t="str">
        <f>'ANSP Capex'!D166</f>
        <v>COOPANS</v>
      </c>
      <c r="E170" s="1083" t="str">
        <f>'ANSP Capex'!E166</f>
        <v>R001A</v>
      </c>
      <c r="F170" s="1083" t="str">
        <f>'ANSP Capex'!F166</f>
        <v>2021-2024</v>
      </c>
      <c r="G170" s="1101">
        <f t="shared" si="8"/>
        <v>3211.7742044052866</v>
      </c>
      <c r="H170" s="1083" t="str">
        <f>'ANSP Capex'!H166</f>
        <v>€'000</v>
      </c>
      <c r="I170" s="829"/>
      <c r="J170" s="1097">
        <f>'ANSP Capex'!I166</f>
        <v>8</v>
      </c>
      <c r="K170" s="1124">
        <v>0</v>
      </c>
      <c r="L170" s="1098">
        <f t="shared" si="9"/>
        <v>96</v>
      </c>
      <c r="M170" s="153">
        <f t="shared" si="10"/>
        <v>0.125</v>
      </c>
      <c r="N170" s="1099"/>
      <c r="O170" s="1100">
        <f>'ANSP Capex'!M166</f>
        <v>0</v>
      </c>
      <c r="P170" s="1101">
        <f>IF($BH170=0,0,IF(SUM($O170:O170)&lt;($L170-12),12,$L170-SUM($O170:O170)))</f>
        <v>0</v>
      </c>
      <c r="Q170" s="1101">
        <f>IF($BH170=0,0,IF(SUM($O170:P170)&lt;($L170-12),12,$L170-SUM($O170:P170)))</f>
        <v>0</v>
      </c>
      <c r="R170" s="1101">
        <f>IF($BH170=0,0,IF(SUM($O170:Q170)&lt;($L170-12),12,$L170-SUM($O170:Q170)))</f>
        <v>0</v>
      </c>
      <c r="S170" s="1101">
        <f>IF($BH170=0,0,IF(SUM($O170:R170)&lt;($L170-12),12,$L170-SUM($O170:R170)))</f>
        <v>0</v>
      </c>
      <c r="U170" s="1100"/>
      <c r="V170" s="1100">
        <f>'ANSP Capex'!T166</f>
        <v>4.5094214889077717</v>
      </c>
      <c r="W170" s="1101">
        <f>IF($BI170=0,0,IF(SUM($U170:V170)&lt;($L170-12),12,$L170-SUM($U170:V170)))</f>
        <v>12</v>
      </c>
      <c r="X170" s="1101">
        <f>IF($BI170=0,0,IF(SUM($U170:W170)&lt;($L170-12),12,$L170-SUM($U170:W170)))</f>
        <v>12</v>
      </c>
      <c r="Y170" s="1101">
        <f>IF($BI170=0,0,IF(SUM($U170:X170)&lt;($L170-12),12,$L170-SUM($U170:X170)))</f>
        <v>12</v>
      </c>
      <c r="AA170" s="1100"/>
      <c r="AB170" s="1100"/>
      <c r="AC170" s="1100">
        <f>'ANSP Capex'!AA166</f>
        <v>9</v>
      </c>
      <c r="AD170" s="1101">
        <f>IF($BJ170=0,0,IF(SUM($AA170:AC170)&lt;($L170-12),12,$L170-SUM($AA170:AC170)))</f>
        <v>12</v>
      </c>
      <c r="AE170" s="1101">
        <f>IF($BJ170=0,0,IF(SUM($AA170:AD170)&lt;($L170-12),12,$L170-SUM($AA170:AD170)))</f>
        <v>12</v>
      </c>
      <c r="AG170" s="1100"/>
      <c r="AH170" s="1100"/>
      <c r="AI170" s="1100"/>
      <c r="AJ170" s="1100">
        <f>'ANSP Capex'!AH166</f>
        <v>12.000000000000004</v>
      </c>
      <c r="AK170" s="1101">
        <f>IF($BK170=0,0,IF(SUM($AG170:AJ170)&lt;($L170-12),12,$L170-SUM($AG170:AJ170)))</f>
        <v>12</v>
      </c>
      <c r="AM170" s="1100"/>
      <c r="AN170" s="1100"/>
      <c r="AO170" s="1100"/>
      <c r="AP170" s="1100"/>
      <c r="AQ170" s="1100">
        <f>'ANSP Capex'!AO166</f>
        <v>0</v>
      </c>
      <c r="AS170" s="153">
        <f t="shared" si="11"/>
        <v>0</v>
      </c>
      <c r="AT170" s="153">
        <f t="shared" si="12"/>
        <v>0.37578512407564763</v>
      </c>
      <c r="AU170" s="153">
        <f t="shared" si="13"/>
        <v>0.75</v>
      </c>
      <c r="AV170" s="153">
        <f t="shared" si="14"/>
        <v>1.0000000000000002</v>
      </c>
      <c r="AW170" s="153">
        <f t="shared" si="15"/>
        <v>0</v>
      </c>
      <c r="AX170" s="153"/>
      <c r="AY170" s="1543">
        <f>'ANSP Capex'!AW166</f>
        <v>0.75</v>
      </c>
      <c r="AZ170" s="1102"/>
      <c r="BA170" s="1543">
        <f>'ANSP Capex'!AY166</f>
        <v>0.25</v>
      </c>
      <c r="BC170" s="1126"/>
      <c r="BD170" s="1126"/>
      <c r="BE170" s="1126"/>
      <c r="BF170" s="1126"/>
      <c r="BG170" s="1126"/>
      <c r="BH170" s="1126">
        <f>'ANSP Capex'!BF166*IF($I170="",(1+INDEX($I$41:$I$42,MATCH($F170,$F$41:$F$42,0))),(1+$I170))</f>
        <v>0</v>
      </c>
      <c r="BI170" s="1126">
        <f>'ANSP Capex'!BG166*IF($I170="",(1+INDEX($I$41:$I$42,MATCH($F170,$F$41:$F$42,0))),(1+$I170))</f>
        <v>1821.875036514929</v>
      </c>
      <c r="BJ170" s="1126">
        <f>'ANSP Capex'!BH166*IF($I170="",(1+INDEX($I$41:$I$42,MATCH($F170,$F$41:$F$42,0))),(1+$I170))</f>
        <v>814.76847772883025</v>
      </c>
      <c r="BK170" s="1126">
        <f>'ANSP Capex'!BI166*IF($I170="",(1+INDEX($I$41:$I$42,MATCH($F170,$F$41:$F$42,0))),(1+$I170))</f>
        <v>575.13069016152713</v>
      </c>
      <c r="BL170" s="1126">
        <f>'ANSP Capex'!BJ166*IF($I170="",(1+INDEX($I$41:$I$42,MATCH($F170,$F$41:$F$42,0))),(1+$I170))</f>
        <v>0</v>
      </c>
    </row>
    <row r="171" spans="1:64" outlineLevel="1">
      <c r="A171" s="1094"/>
      <c r="B171" s="1094"/>
      <c r="C171" s="1083" t="str">
        <f>'ANSP Capex'!C167</f>
        <v>COOPANS 2019 Roadmap Builds</v>
      </c>
      <c r="D171" s="1083" t="str">
        <f>'ANSP Capex'!D167</f>
        <v>COOPANS</v>
      </c>
      <c r="E171" s="1083" t="str">
        <f>'ANSP Capex'!E167</f>
        <v>U002</v>
      </c>
      <c r="F171" s="1083" t="str">
        <f>'ANSP Capex'!F167</f>
        <v>2021-2024</v>
      </c>
      <c r="G171" s="1101">
        <f t="shared" si="8"/>
        <v>0</v>
      </c>
      <c r="H171" s="1083" t="str">
        <f>'ANSP Capex'!H167</f>
        <v>€'000</v>
      </c>
      <c r="I171" s="829"/>
      <c r="J171" s="1097">
        <f>'ANSP Capex'!I167</f>
        <v>0</v>
      </c>
      <c r="K171" s="1124">
        <v>0</v>
      </c>
      <c r="L171" s="1098">
        <f t="shared" si="9"/>
        <v>0</v>
      </c>
      <c r="M171" s="153">
        <f t="shared" si="10"/>
        <v>0</v>
      </c>
      <c r="N171" s="1099"/>
      <c r="O171" s="1100">
        <f>'ANSP Capex'!M167</f>
        <v>0</v>
      </c>
      <c r="P171" s="1101">
        <f>IF($BH171=0,0,IF(SUM($O171:O171)&lt;($L171-12),12,$L171-SUM($O171:O171)))</f>
        <v>0</v>
      </c>
      <c r="Q171" s="1101">
        <f>IF($BH171=0,0,IF(SUM($O171:P171)&lt;($L171-12),12,$L171-SUM($O171:P171)))</f>
        <v>0</v>
      </c>
      <c r="R171" s="1101">
        <f>IF($BH171=0,0,IF(SUM($O171:Q171)&lt;($L171-12),12,$L171-SUM($O171:Q171)))</f>
        <v>0</v>
      </c>
      <c r="S171" s="1101">
        <f>IF($BH171=0,0,IF(SUM($O171:R171)&lt;($L171-12),12,$L171-SUM($O171:R171)))</f>
        <v>0</v>
      </c>
      <c r="U171" s="1100"/>
      <c r="V171" s="1100">
        <f>'ANSP Capex'!T167</f>
        <v>0</v>
      </c>
      <c r="W171" s="1101">
        <f>IF($BI171=0,0,IF(SUM($U171:V171)&lt;($L171-12),12,$L171-SUM($U171:V171)))</f>
        <v>0</v>
      </c>
      <c r="X171" s="1101">
        <f>IF($BI171=0,0,IF(SUM($U171:W171)&lt;($L171-12),12,$L171-SUM($U171:W171)))</f>
        <v>0</v>
      </c>
      <c r="Y171" s="1101">
        <f>IF($BI171=0,0,IF(SUM($U171:X171)&lt;($L171-12),12,$L171-SUM($U171:X171)))</f>
        <v>0</v>
      </c>
      <c r="AA171" s="1100"/>
      <c r="AB171" s="1100"/>
      <c r="AC171" s="1100">
        <f>'ANSP Capex'!AA167</f>
        <v>0</v>
      </c>
      <c r="AD171" s="1101">
        <f>IF($BJ171=0,0,IF(SUM($AA171:AC171)&lt;($L171-12),12,$L171-SUM($AA171:AC171)))</f>
        <v>0</v>
      </c>
      <c r="AE171" s="1101">
        <f>IF($BJ171=0,0,IF(SUM($AA171:AD171)&lt;($L171-12),12,$L171-SUM($AA171:AD171)))</f>
        <v>0</v>
      </c>
      <c r="AG171" s="1100"/>
      <c r="AH171" s="1100"/>
      <c r="AI171" s="1100"/>
      <c r="AJ171" s="1100">
        <f>'ANSP Capex'!AH167</f>
        <v>0</v>
      </c>
      <c r="AK171" s="1101">
        <f>IF($BK171=0,0,IF(SUM($AG171:AJ171)&lt;($L171-12),12,$L171-SUM($AG171:AJ171)))</f>
        <v>0</v>
      </c>
      <c r="AM171" s="1100"/>
      <c r="AN171" s="1100"/>
      <c r="AO171" s="1100"/>
      <c r="AP171" s="1100"/>
      <c r="AQ171" s="1100">
        <f>'ANSP Capex'!AO167</f>
        <v>0</v>
      </c>
      <c r="AS171" s="153">
        <f t="shared" si="11"/>
        <v>0</v>
      </c>
      <c r="AT171" s="153">
        <f t="shared" si="12"/>
        <v>0</v>
      </c>
      <c r="AU171" s="153">
        <f t="shared" si="13"/>
        <v>0</v>
      </c>
      <c r="AV171" s="153">
        <f t="shared" si="14"/>
        <v>0</v>
      </c>
      <c r="AW171" s="153">
        <f t="shared" si="15"/>
        <v>0</v>
      </c>
      <c r="AX171" s="153"/>
      <c r="AY171" s="1543">
        <f>'ANSP Capex'!AW167</f>
        <v>0</v>
      </c>
      <c r="AZ171" s="1102"/>
      <c r="BA171" s="1543">
        <f>'ANSP Capex'!AY167</f>
        <v>0</v>
      </c>
      <c r="BC171" s="1126"/>
      <c r="BD171" s="1126"/>
      <c r="BE171" s="1126"/>
      <c r="BF171" s="1126"/>
      <c r="BG171" s="1126"/>
      <c r="BH171" s="1126">
        <f>'ANSP Capex'!BF167*IF($I171="",(1+INDEX($I$41:$I$42,MATCH($F171,$F$41:$F$42,0))),(1+$I171))</f>
        <v>0</v>
      </c>
      <c r="BI171" s="1126">
        <f>'ANSP Capex'!BG167*IF($I171="",(1+INDEX($I$41:$I$42,MATCH($F171,$F$41:$F$42,0))),(1+$I171))</f>
        <v>0</v>
      </c>
      <c r="BJ171" s="1126">
        <f>'ANSP Capex'!BH167*IF($I171="",(1+INDEX($I$41:$I$42,MATCH($F171,$F$41:$F$42,0))),(1+$I171))</f>
        <v>0</v>
      </c>
      <c r="BK171" s="1126">
        <f>'ANSP Capex'!BI167*IF($I171="",(1+INDEX($I$41:$I$42,MATCH($F171,$F$41:$F$42,0))),(1+$I171))</f>
        <v>0</v>
      </c>
      <c r="BL171" s="1126">
        <f>'ANSP Capex'!BJ167*IF($I171="",(1+INDEX($I$41:$I$42,MATCH($F171,$F$41:$F$42,0))),(1+$I171))</f>
        <v>0</v>
      </c>
    </row>
    <row r="172" spans="1:64" outlineLevel="1">
      <c r="A172" s="1094"/>
      <c r="B172" s="1094"/>
      <c r="C172" s="1083" t="str">
        <f>'ANSP Capex'!C168</f>
        <v>COOPANS 2019 Roadmap Builds Dub</v>
      </c>
      <c r="D172" s="1083" t="str">
        <f>'ANSP Capex'!D168</f>
        <v>COOPANS</v>
      </c>
      <c r="E172" s="1083" t="str">
        <f>'ANSP Capex'!E168</f>
        <v>U002A</v>
      </c>
      <c r="F172" s="1083" t="str">
        <f>'ANSP Capex'!F168</f>
        <v>2021-2024</v>
      </c>
      <c r="G172" s="1101">
        <f t="shared" si="8"/>
        <v>516.14292706803724</v>
      </c>
      <c r="H172" s="1083" t="str">
        <f>'ANSP Capex'!H168</f>
        <v>€'000</v>
      </c>
      <c r="I172" s="829"/>
      <c r="J172" s="1097">
        <f>'ANSP Capex'!I168</f>
        <v>8</v>
      </c>
      <c r="K172" s="1124">
        <v>0</v>
      </c>
      <c r="L172" s="1098">
        <f t="shared" si="9"/>
        <v>96</v>
      </c>
      <c r="M172" s="153">
        <f t="shared" si="10"/>
        <v>0.125</v>
      </c>
      <c r="N172" s="1099"/>
      <c r="O172" s="1100">
        <f>'ANSP Capex'!M168</f>
        <v>0</v>
      </c>
      <c r="P172" s="1101">
        <f>IF($BH172=0,0,IF(SUM($O172:O172)&lt;($L172-12),12,$L172-SUM($O172:O172)))</f>
        <v>0</v>
      </c>
      <c r="Q172" s="1101">
        <f>IF($BH172=0,0,IF(SUM($O172:P172)&lt;($L172-12),12,$L172-SUM($O172:P172)))</f>
        <v>0</v>
      </c>
      <c r="R172" s="1101">
        <f>IF($BH172=0,0,IF(SUM($O172:Q172)&lt;($L172-12),12,$L172-SUM($O172:Q172)))</f>
        <v>0</v>
      </c>
      <c r="S172" s="1101">
        <f>IF($BH172=0,0,IF(SUM($O172:R172)&lt;($L172-12),12,$L172-SUM($O172:R172)))</f>
        <v>0</v>
      </c>
      <c r="U172" s="1100"/>
      <c r="V172" s="1100">
        <f>'ANSP Capex'!T168</f>
        <v>0</v>
      </c>
      <c r="W172" s="1101">
        <f>IF($BI172=0,0,IF(SUM($U172:V172)&lt;($L172-12),12,$L172-SUM($U172:V172)))</f>
        <v>0</v>
      </c>
      <c r="X172" s="1101">
        <f>IF($BI172=0,0,IF(SUM($U172:W172)&lt;($L172-12),12,$L172-SUM($U172:W172)))</f>
        <v>0</v>
      </c>
      <c r="Y172" s="1101">
        <f>IF($BI172=0,0,IF(SUM($U172:X172)&lt;($L172-12),12,$L172-SUM($U172:X172)))</f>
        <v>0</v>
      </c>
      <c r="AA172" s="1100"/>
      <c r="AB172" s="1100"/>
      <c r="AC172" s="1100">
        <f>'ANSP Capex'!AA168</f>
        <v>0</v>
      </c>
      <c r="AD172" s="1101">
        <f>IF($BJ172=0,0,IF(SUM($AA172:AC172)&lt;($L172-12),12,$L172-SUM($AA172:AC172)))</f>
        <v>0</v>
      </c>
      <c r="AE172" s="1101">
        <f>IF($BJ172=0,0,IF(SUM($AA172:AD172)&lt;($L172-12),12,$L172-SUM($AA172:AD172)))</f>
        <v>0</v>
      </c>
      <c r="AG172" s="1100"/>
      <c r="AH172" s="1100"/>
      <c r="AI172" s="1100"/>
      <c r="AJ172" s="1100">
        <f>'ANSP Capex'!AH168</f>
        <v>3</v>
      </c>
      <c r="AK172" s="1101">
        <f>IF($BK172=0,0,IF(SUM($AG172:AJ172)&lt;($L172-12),12,$L172-SUM($AG172:AJ172)))</f>
        <v>12</v>
      </c>
      <c r="AM172" s="1100"/>
      <c r="AN172" s="1100"/>
      <c r="AO172" s="1100"/>
      <c r="AP172" s="1100"/>
      <c r="AQ172" s="1100">
        <f>'ANSP Capex'!AO168</f>
        <v>0</v>
      </c>
      <c r="AS172" s="153">
        <f t="shared" si="11"/>
        <v>0</v>
      </c>
      <c r="AT172" s="153">
        <f t="shared" si="12"/>
        <v>0</v>
      </c>
      <c r="AU172" s="153">
        <f t="shared" si="13"/>
        <v>0</v>
      </c>
      <c r="AV172" s="153">
        <f t="shared" si="14"/>
        <v>0.25</v>
      </c>
      <c r="AW172" s="153">
        <f t="shared" si="15"/>
        <v>0</v>
      </c>
      <c r="AX172" s="153"/>
      <c r="AY172" s="1543">
        <f>'ANSP Capex'!AW168</f>
        <v>0.75</v>
      </c>
      <c r="AZ172" s="1102"/>
      <c r="BA172" s="1543">
        <f>'ANSP Capex'!AY168</f>
        <v>0.25</v>
      </c>
      <c r="BC172" s="1126"/>
      <c r="BD172" s="1126"/>
      <c r="BE172" s="1126"/>
      <c r="BF172" s="1126"/>
      <c r="BG172" s="1126"/>
      <c r="BH172" s="1126">
        <f>'ANSP Capex'!BF168*IF($I172="",(1+INDEX($I$41:$I$42,MATCH($F172,$F$41:$F$42,0))),(1+$I172))</f>
        <v>0</v>
      </c>
      <c r="BI172" s="1126">
        <f>'ANSP Capex'!BG168*IF($I172="",(1+INDEX($I$41:$I$42,MATCH($F172,$F$41:$F$42,0))),(1+$I172))</f>
        <v>0</v>
      </c>
      <c r="BJ172" s="1126">
        <f>'ANSP Capex'!BH168*IF($I172="",(1+INDEX($I$41:$I$42,MATCH($F172,$F$41:$F$42,0))),(1+$I172))</f>
        <v>0</v>
      </c>
      <c r="BK172" s="1126">
        <f>'ANSP Capex'!BI168*IF($I172="",(1+INDEX($I$41:$I$42,MATCH($F172,$F$41:$F$42,0))),(1+$I172))</f>
        <v>516.14292706803724</v>
      </c>
      <c r="BL172" s="1126">
        <f>'ANSP Capex'!BJ168*IF($I172="",(1+INDEX($I$41:$I$42,MATCH($F172,$F$41:$F$42,0))),(1+$I172))</f>
        <v>0</v>
      </c>
    </row>
    <row r="173" spans="1:64" outlineLevel="1">
      <c r="A173" s="1094"/>
      <c r="B173" s="1094"/>
      <c r="C173" s="1083" t="str">
        <f>'ANSP Capex'!C169</f>
        <v>COOPANS 2019 Roadmap Builds Shn</v>
      </c>
      <c r="D173" s="1083" t="str">
        <f>'ANSP Capex'!D169</f>
        <v>COOPANS</v>
      </c>
      <c r="E173" s="1083" t="str">
        <f>'ANSP Capex'!E169</f>
        <v>U002A</v>
      </c>
      <c r="F173" s="1083" t="str">
        <f>'ANSP Capex'!F169</f>
        <v>2021-2024</v>
      </c>
      <c r="G173" s="1101">
        <f t="shared" si="8"/>
        <v>958.55115026921203</v>
      </c>
      <c r="H173" s="1083" t="str">
        <f>'ANSP Capex'!H169</f>
        <v>€'000</v>
      </c>
      <c r="I173" s="829"/>
      <c r="J173" s="1097">
        <f>'ANSP Capex'!I169</f>
        <v>8</v>
      </c>
      <c r="K173" s="1124">
        <v>0</v>
      </c>
      <c r="L173" s="1098">
        <f t="shared" si="9"/>
        <v>96</v>
      </c>
      <c r="M173" s="153">
        <f t="shared" si="10"/>
        <v>0.125</v>
      </c>
      <c r="N173" s="1099"/>
      <c r="O173" s="1100">
        <f>'ANSP Capex'!M169</f>
        <v>0</v>
      </c>
      <c r="P173" s="1101">
        <f>IF($BH173=0,0,IF(SUM($O173:O173)&lt;($L173-12),12,$L173-SUM($O173:O173)))</f>
        <v>0</v>
      </c>
      <c r="Q173" s="1101">
        <f>IF($BH173=0,0,IF(SUM($O173:P173)&lt;($L173-12),12,$L173-SUM($O173:P173)))</f>
        <v>0</v>
      </c>
      <c r="R173" s="1101">
        <f>IF($BH173=0,0,IF(SUM($O173:Q173)&lt;($L173-12),12,$L173-SUM($O173:Q173)))</f>
        <v>0</v>
      </c>
      <c r="S173" s="1101">
        <f>IF($BH173=0,0,IF(SUM($O173:R173)&lt;($L173-12),12,$L173-SUM($O173:R173)))</f>
        <v>0</v>
      </c>
      <c r="U173" s="1100"/>
      <c r="V173" s="1100">
        <f>'ANSP Capex'!T169</f>
        <v>0</v>
      </c>
      <c r="W173" s="1101">
        <f>IF($BI173=0,0,IF(SUM($U173:V173)&lt;($L173-12),12,$L173-SUM($U173:V173)))</f>
        <v>0</v>
      </c>
      <c r="X173" s="1101">
        <f>IF($BI173=0,0,IF(SUM($U173:W173)&lt;($L173-12),12,$L173-SUM($U173:W173)))</f>
        <v>0</v>
      </c>
      <c r="Y173" s="1101">
        <f>IF($BI173=0,0,IF(SUM($U173:X173)&lt;($L173-12),12,$L173-SUM($U173:X173)))</f>
        <v>0</v>
      </c>
      <c r="AA173" s="1100"/>
      <c r="AB173" s="1100"/>
      <c r="AC173" s="1100">
        <f>'ANSP Capex'!AA169</f>
        <v>0</v>
      </c>
      <c r="AD173" s="1101">
        <f>IF($BJ173=0,0,IF(SUM($AA173:AC173)&lt;($L173-12),12,$L173-SUM($AA173:AC173)))</f>
        <v>0</v>
      </c>
      <c r="AE173" s="1101">
        <f>IF($BJ173=0,0,IF(SUM($AA173:AD173)&lt;($L173-12),12,$L173-SUM($AA173:AD173)))</f>
        <v>0</v>
      </c>
      <c r="AG173" s="1100"/>
      <c r="AH173" s="1100"/>
      <c r="AI173" s="1100"/>
      <c r="AJ173" s="1100">
        <f>'ANSP Capex'!AH169</f>
        <v>0</v>
      </c>
      <c r="AK173" s="1101">
        <f>IF($BK173=0,0,IF(SUM($AG173:AJ173)&lt;($L173-12),12,$L173-SUM($AG173:AJ173)))</f>
        <v>12</v>
      </c>
      <c r="AM173" s="1100"/>
      <c r="AN173" s="1100"/>
      <c r="AO173" s="1100"/>
      <c r="AP173" s="1100"/>
      <c r="AQ173" s="1100">
        <f>'ANSP Capex'!AO169</f>
        <v>0</v>
      </c>
      <c r="AS173" s="153">
        <f t="shared" si="11"/>
        <v>0</v>
      </c>
      <c r="AT173" s="153">
        <f t="shared" si="12"/>
        <v>0</v>
      </c>
      <c r="AU173" s="153">
        <f t="shared" si="13"/>
        <v>0</v>
      </c>
      <c r="AV173" s="153">
        <f t="shared" si="14"/>
        <v>0</v>
      </c>
      <c r="AW173" s="153">
        <f t="shared" si="15"/>
        <v>0</v>
      </c>
      <c r="AX173" s="153"/>
      <c r="AY173" s="1543">
        <f>'ANSP Capex'!AW169</f>
        <v>0.75</v>
      </c>
      <c r="AZ173" s="1102"/>
      <c r="BA173" s="1543">
        <f>'ANSP Capex'!AY169</f>
        <v>0.25</v>
      </c>
      <c r="BC173" s="1126"/>
      <c r="BD173" s="1126"/>
      <c r="BE173" s="1126"/>
      <c r="BF173" s="1126"/>
      <c r="BG173" s="1126"/>
      <c r="BH173" s="1126">
        <f>'ANSP Capex'!BF169*IF($I173="",(1+INDEX($I$41:$I$42,MATCH($F173,$F$41:$F$42,0))),(1+$I173))</f>
        <v>0</v>
      </c>
      <c r="BI173" s="1126">
        <f>'ANSP Capex'!BG169*IF($I173="",(1+INDEX($I$41:$I$42,MATCH($F173,$F$41:$F$42,0))),(1+$I173))</f>
        <v>0</v>
      </c>
      <c r="BJ173" s="1126">
        <f>'ANSP Capex'!BH169*IF($I173="",(1+INDEX($I$41:$I$42,MATCH($F173,$F$41:$F$42,0))),(1+$I173))</f>
        <v>0</v>
      </c>
      <c r="BK173" s="1126">
        <f>'ANSP Capex'!BI169*IF($I173="",(1+INDEX($I$41:$I$42,MATCH($F173,$F$41:$F$42,0))),(1+$I173))</f>
        <v>958.55115026921203</v>
      </c>
      <c r="BL173" s="1126">
        <f>'ANSP Capex'!BJ169*IF($I173="",(1+INDEX($I$41:$I$42,MATCH($F173,$F$41:$F$42,0))),(1+$I173))</f>
        <v>0</v>
      </c>
    </row>
    <row r="174" spans="1:64" outlineLevel="1">
      <c r="A174" s="1094"/>
      <c r="B174" s="1094"/>
      <c r="C174" s="1083" t="str">
        <f>'ANSP Capex'!C170</f>
        <v>SWIM Enabling project</v>
      </c>
      <c r="D174" s="1083" t="str">
        <f>'ANSP Capex'!D170</f>
        <v>COOPANS</v>
      </c>
      <c r="E174" s="1083" t="str">
        <f>'ANSP Capex'!E170</f>
        <v>S001</v>
      </c>
      <c r="F174" s="1083" t="str">
        <f>'ANSP Capex'!F170</f>
        <v>2021-2024</v>
      </c>
      <c r="G174" s="1101">
        <f t="shared" si="8"/>
        <v>221.2041116005874</v>
      </c>
      <c r="H174" s="1083" t="str">
        <f>'ANSP Capex'!H170</f>
        <v>€'000</v>
      </c>
      <c r="I174" s="829"/>
      <c r="J174" s="1097">
        <f>'ANSP Capex'!I170</f>
        <v>8</v>
      </c>
      <c r="K174" s="1124">
        <v>0</v>
      </c>
      <c r="L174" s="1098">
        <f t="shared" si="9"/>
        <v>96</v>
      </c>
      <c r="M174" s="153">
        <f t="shared" si="10"/>
        <v>0.125</v>
      </c>
      <c r="N174" s="1099"/>
      <c r="O174" s="1100">
        <f>'ANSP Capex'!M170</f>
        <v>0</v>
      </c>
      <c r="P174" s="1101">
        <f>IF($BH174=0,0,IF(SUM($O174:O174)&lt;($L174-12),12,$L174-SUM($O174:O174)))</f>
        <v>0</v>
      </c>
      <c r="Q174" s="1101">
        <f>IF($BH174=0,0,IF(SUM($O174:P174)&lt;($L174-12),12,$L174-SUM($O174:P174)))</f>
        <v>0</v>
      </c>
      <c r="R174" s="1101">
        <f>IF($BH174=0,0,IF(SUM($O174:Q174)&lt;($L174-12),12,$L174-SUM($O174:Q174)))</f>
        <v>0</v>
      </c>
      <c r="S174" s="1101">
        <f>IF($BH174=0,0,IF(SUM($O174:R174)&lt;($L174-12),12,$L174-SUM($O174:R174)))</f>
        <v>0</v>
      </c>
      <c r="U174" s="1100"/>
      <c r="V174" s="1100">
        <f>'ANSP Capex'!T170</f>
        <v>0</v>
      </c>
      <c r="W174" s="1101">
        <f>IF($BI174=0,0,IF(SUM($U174:V174)&lt;($L174-12),12,$L174-SUM($U174:V174)))</f>
        <v>0</v>
      </c>
      <c r="X174" s="1101">
        <f>IF($BI174=0,0,IF(SUM($U174:W174)&lt;($L174-12),12,$L174-SUM($U174:W174)))</f>
        <v>0</v>
      </c>
      <c r="Y174" s="1101">
        <f>IF($BI174=0,0,IF(SUM($U174:X174)&lt;($L174-12),12,$L174-SUM($U174:X174)))</f>
        <v>0</v>
      </c>
      <c r="AA174" s="1100"/>
      <c r="AB174" s="1100"/>
      <c r="AC174" s="1100">
        <f>'ANSP Capex'!AA170</f>
        <v>0</v>
      </c>
      <c r="AD174" s="1101">
        <f>IF($BJ174=0,0,IF(SUM($AA174:AC174)&lt;($L174-12),12,$L174-SUM($AA174:AC174)))</f>
        <v>0</v>
      </c>
      <c r="AE174" s="1101">
        <f>IF($BJ174=0,0,IF(SUM($AA174:AD174)&lt;($L174-12),12,$L174-SUM($AA174:AD174)))</f>
        <v>0</v>
      </c>
      <c r="AG174" s="1100"/>
      <c r="AH174" s="1100"/>
      <c r="AI174" s="1100"/>
      <c r="AJ174" s="1100">
        <f>'ANSP Capex'!AH170</f>
        <v>0</v>
      </c>
      <c r="AK174" s="1101">
        <f>IF($BK174=0,0,IF(SUM($AG174:AJ174)&lt;($L174-12),12,$L174-SUM($AG174:AJ174)))</f>
        <v>0</v>
      </c>
      <c r="AM174" s="1100"/>
      <c r="AN174" s="1100"/>
      <c r="AO174" s="1100"/>
      <c r="AP174" s="1100"/>
      <c r="AQ174" s="1100">
        <f>'ANSP Capex'!AO170</f>
        <v>12</v>
      </c>
      <c r="AS174" s="153">
        <f t="shared" si="11"/>
        <v>0</v>
      </c>
      <c r="AT174" s="153">
        <f t="shared" si="12"/>
        <v>0</v>
      </c>
      <c r="AU174" s="153">
        <f t="shared" si="13"/>
        <v>0</v>
      </c>
      <c r="AV174" s="153">
        <f t="shared" si="14"/>
        <v>0</v>
      </c>
      <c r="AW174" s="153">
        <f t="shared" si="15"/>
        <v>1</v>
      </c>
      <c r="AX174" s="153"/>
      <c r="AY174" s="1543">
        <f>'ANSP Capex'!AW170</f>
        <v>0.75</v>
      </c>
      <c r="AZ174" s="1102"/>
      <c r="BA174" s="1543">
        <f>'ANSP Capex'!AY170</f>
        <v>0.25</v>
      </c>
      <c r="BC174" s="1126"/>
      <c r="BD174" s="1126"/>
      <c r="BE174" s="1126"/>
      <c r="BF174" s="1126"/>
      <c r="BG174" s="1126"/>
      <c r="BH174" s="1126">
        <f>'ANSP Capex'!BF170*IF($I174="",(1+INDEX($I$41:$I$42,MATCH($F174,$F$41:$F$42,0))),(1+$I174))</f>
        <v>0</v>
      </c>
      <c r="BI174" s="1126">
        <f>'ANSP Capex'!BG170*IF($I174="",(1+INDEX($I$41:$I$42,MATCH($F174,$F$41:$F$42,0))),(1+$I174))</f>
        <v>0</v>
      </c>
      <c r="BJ174" s="1126">
        <f>'ANSP Capex'!BH170*IF($I174="",(1+INDEX($I$41:$I$42,MATCH($F174,$F$41:$F$42,0))),(1+$I174))</f>
        <v>0</v>
      </c>
      <c r="BK174" s="1126">
        <f>'ANSP Capex'!BI170*IF($I174="",(1+INDEX($I$41:$I$42,MATCH($F174,$F$41:$F$42,0))),(1+$I174))</f>
        <v>0</v>
      </c>
      <c r="BL174" s="1126">
        <f>'ANSP Capex'!BJ170*IF($I174="",(1+INDEX($I$41:$I$42,MATCH($F174,$F$41:$F$42,0))),(1+$I174))</f>
        <v>221.2041116005874</v>
      </c>
    </row>
    <row r="175" spans="1:64" outlineLevel="1">
      <c r="A175" s="1094"/>
      <c r="B175" s="1094"/>
      <c r="C175" s="1083" t="str">
        <f>'ANSP Capex'!C171</f>
        <v>Emergency Air Situation Display System (DUB)</v>
      </c>
      <c r="D175" s="1083" t="str">
        <f>'ANSP Capex'!D171</f>
        <v>Emergency Air Situation Display System</v>
      </c>
      <c r="E175" s="1083" t="str">
        <f>'ANSP Capex'!E171</f>
        <v>U003</v>
      </c>
      <c r="F175" s="1083" t="str">
        <f>'ANSP Capex'!F171</f>
        <v>2021-2024</v>
      </c>
      <c r="G175" s="1101">
        <f t="shared" si="8"/>
        <v>1680</v>
      </c>
      <c r="H175" s="1083" t="str">
        <f>'ANSP Capex'!H171</f>
        <v>€'000</v>
      </c>
      <c r="I175" s="829"/>
      <c r="J175" s="1097">
        <f>'ANSP Capex'!I171</f>
        <v>8</v>
      </c>
      <c r="K175" s="1124">
        <v>0</v>
      </c>
      <c r="L175" s="1098">
        <f t="shared" si="9"/>
        <v>96</v>
      </c>
      <c r="M175" s="153">
        <f t="shared" si="10"/>
        <v>0.125</v>
      </c>
      <c r="N175" s="1099"/>
      <c r="O175" s="1100">
        <f>'ANSP Capex'!M171</f>
        <v>0</v>
      </c>
      <c r="P175" s="1101">
        <f>IF($BH175=0,0,IF(SUM($O175:O175)&lt;($L175-12),12,$L175-SUM($O175:O175)))</f>
        <v>0</v>
      </c>
      <c r="Q175" s="1101">
        <f>IF($BH175=0,0,IF(SUM($O175:P175)&lt;($L175-12),12,$L175-SUM($O175:P175)))</f>
        <v>0</v>
      </c>
      <c r="R175" s="1101">
        <f>IF($BH175=0,0,IF(SUM($O175:Q175)&lt;($L175-12),12,$L175-SUM($O175:Q175)))</f>
        <v>0</v>
      </c>
      <c r="S175" s="1101">
        <f>IF($BH175=0,0,IF(SUM($O175:R175)&lt;($L175-12),12,$L175-SUM($O175:R175)))</f>
        <v>0</v>
      </c>
      <c r="U175" s="1100"/>
      <c r="V175" s="1100">
        <f>'ANSP Capex'!T171</f>
        <v>0</v>
      </c>
      <c r="W175" s="1101">
        <f>IF($BI175=0,0,IF(SUM($U175:V175)&lt;($L175-12),12,$L175-SUM($U175:V175)))</f>
        <v>0</v>
      </c>
      <c r="X175" s="1101">
        <f>IF($BI175=0,0,IF(SUM($U175:W175)&lt;($L175-12),12,$L175-SUM($U175:W175)))</f>
        <v>0</v>
      </c>
      <c r="Y175" s="1101">
        <f>IF($BI175=0,0,IF(SUM($U175:X175)&lt;($L175-12),12,$L175-SUM($U175:X175)))</f>
        <v>0</v>
      </c>
      <c r="AA175" s="1100"/>
      <c r="AB175" s="1100"/>
      <c r="AC175" s="1100">
        <f>'ANSP Capex'!AA171</f>
        <v>0</v>
      </c>
      <c r="AD175" s="1101">
        <f>IF($BJ175=0,0,IF(SUM($AA175:AC175)&lt;($L175-12),12,$L175-SUM($AA175:AC175)))</f>
        <v>0</v>
      </c>
      <c r="AE175" s="1101">
        <f>IF($BJ175=0,0,IF(SUM($AA175:AD175)&lt;($L175-12),12,$L175-SUM($AA175:AD175)))</f>
        <v>0</v>
      </c>
      <c r="AG175" s="1100"/>
      <c r="AH175" s="1100"/>
      <c r="AI175" s="1100"/>
      <c r="AJ175" s="1100">
        <f>'ANSP Capex'!AH171</f>
        <v>9</v>
      </c>
      <c r="AK175" s="1101">
        <f>IF($BK175=0,0,IF(SUM($AG175:AJ175)&lt;($L175-12),12,$L175-SUM($AG175:AJ175)))</f>
        <v>12</v>
      </c>
      <c r="AM175" s="1100"/>
      <c r="AN175" s="1100"/>
      <c r="AO175" s="1100"/>
      <c r="AP175" s="1100"/>
      <c r="AQ175" s="1100">
        <f>'ANSP Capex'!AO171</f>
        <v>0</v>
      </c>
      <c r="AS175" s="153">
        <f t="shared" si="11"/>
        <v>0</v>
      </c>
      <c r="AT175" s="153">
        <f t="shared" si="12"/>
        <v>0</v>
      </c>
      <c r="AU175" s="153">
        <f t="shared" si="13"/>
        <v>0</v>
      </c>
      <c r="AV175" s="153">
        <f t="shared" si="14"/>
        <v>0.75</v>
      </c>
      <c r="AW175" s="153">
        <f t="shared" si="15"/>
        <v>0</v>
      </c>
      <c r="AX175" s="153"/>
      <c r="AY175" s="1543">
        <f>'ANSP Capex'!AW171</f>
        <v>0.75</v>
      </c>
      <c r="AZ175" s="1102"/>
      <c r="BA175" s="1543">
        <f>'ANSP Capex'!AY171</f>
        <v>0.25</v>
      </c>
      <c r="BC175" s="1126"/>
      <c r="BD175" s="1126"/>
      <c r="BE175" s="1126"/>
      <c r="BF175" s="1126"/>
      <c r="BG175" s="1126"/>
      <c r="BH175" s="1126">
        <f>'ANSP Capex'!BF171*IF($I175="",(1+INDEX($I$41:$I$42,MATCH($F175,$F$41:$F$42,0))),(1+$I175))</f>
        <v>0</v>
      </c>
      <c r="BI175" s="1126">
        <f>'ANSP Capex'!BG171*IF($I175="",(1+INDEX($I$41:$I$42,MATCH($F175,$F$41:$F$42,0))),(1+$I175))</f>
        <v>0</v>
      </c>
      <c r="BJ175" s="1126">
        <f>'ANSP Capex'!BH171*IF($I175="",(1+INDEX($I$41:$I$42,MATCH($F175,$F$41:$F$42,0))),(1+$I175))</f>
        <v>0</v>
      </c>
      <c r="BK175" s="1126">
        <f>'ANSP Capex'!BI171*IF($I175="",(1+INDEX($I$41:$I$42,MATCH($F175,$F$41:$F$42,0))),(1+$I175))</f>
        <v>1680</v>
      </c>
      <c r="BL175" s="1126">
        <f>'ANSP Capex'!BJ171*IF($I175="",(1+INDEX($I$41:$I$42,MATCH($F175,$F$41:$F$42,0))),(1+$I175))</f>
        <v>0</v>
      </c>
    </row>
    <row r="176" spans="1:64" outlineLevel="1">
      <c r="A176" s="1094"/>
      <c r="B176" s="1094"/>
      <c r="C176" s="1083" t="str">
        <f>'ANSP Capex'!C172</f>
        <v>Emergency Air Situation Display System (SHN)</v>
      </c>
      <c r="D176" s="1083" t="str">
        <f>'ANSP Capex'!D172</f>
        <v>Emergency Air Situation Display System</v>
      </c>
      <c r="E176" s="1083" t="str">
        <f>'ANSP Capex'!E172</f>
        <v>U003A</v>
      </c>
      <c r="F176" s="1083" t="str">
        <f>'ANSP Capex'!F172</f>
        <v>2021-2024</v>
      </c>
      <c r="G176" s="1101">
        <f t="shared" si="8"/>
        <v>3120</v>
      </c>
      <c r="H176" s="1083" t="str">
        <f>'ANSP Capex'!H172</f>
        <v>€'000</v>
      </c>
      <c r="I176" s="829"/>
      <c r="J176" s="1097">
        <f>'ANSP Capex'!I172</f>
        <v>8</v>
      </c>
      <c r="K176" s="1124">
        <v>0</v>
      </c>
      <c r="L176" s="1098">
        <f t="shared" si="9"/>
        <v>96</v>
      </c>
      <c r="M176" s="153">
        <f t="shared" si="10"/>
        <v>0.125</v>
      </c>
      <c r="N176" s="1099"/>
      <c r="O176" s="1100">
        <f>'ANSP Capex'!M172</f>
        <v>0</v>
      </c>
      <c r="P176" s="1101">
        <f>IF($BH176=0,0,IF(SUM($O176:O176)&lt;($L176-12),12,$L176-SUM($O176:O176)))</f>
        <v>0</v>
      </c>
      <c r="Q176" s="1101">
        <f>IF($BH176=0,0,IF(SUM($O176:P176)&lt;($L176-12),12,$L176-SUM($O176:P176)))</f>
        <v>0</v>
      </c>
      <c r="R176" s="1101">
        <f>IF($BH176=0,0,IF(SUM($O176:Q176)&lt;($L176-12),12,$L176-SUM($O176:Q176)))</f>
        <v>0</v>
      </c>
      <c r="S176" s="1101">
        <f>IF($BH176=0,0,IF(SUM($O176:R176)&lt;($L176-12),12,$L176-SUM($O176:R176)))</f>
        <v>0</v>
      </c>
      <c r="U176" s="1100"/>
      <c r="V176" s="1100">
        <f>'ANSP Capex'!T172</f>
        <v>0</v>
      </c>
      <c r="W176" s="1101">
        <f>IF($BI176=0,0,IF(SUM($U176:V176)&lt;($L176-12),12,$L176-SUM($U176:V176)))</f>
        <v>0</v>
      </c>
      <c r="X176" s="1101">
        <f>IF($BI176=0,0,IF(SUM($U176:W176)&lt;($L176-12),12,$L176-SUM($U176:W176)))</f>
        <v>0</v>
      </c>
      <c r="Y176" s="1101">
        <f>IF($BI176=0,0,IF(SUM($U176:X176)&lt;($L176-12),12,$L176-SUM($U176:X176)))</f>
        <v>0</v>
      </c>
      <c r="AA176" s="1100"/>
      <c r="AB176" s="1100"/>
      <c r="AC176" s="1100">
        <f>'ANSP Capex'!AA172</f>
        <v>3</v>
      </c>
      <c r="AD176" s="1101">
        <f>IF($BJ176=0,0,IF(SUM($AA176:AC176)&lt;($L176-12),12,$L176-SUM($AA176:AC176)))</f>
        <v>12</v>
      </c>
      <c r="AE176" s="1101">
        <f>IF($BJ176=0,0,IF(SUM($AA176:AD176)&lt;($L176-12),12,$L176-SUM($AA176:AD176)))</f>
        <v>12</v>
      </c>
      <c r="AG176" s="1100"/>
      <c r="AH176" s="1100"/>
      <c r="AI176" s="1100"/>
      <c r="AJ176" s="1100">
        <f>'ANSP Capex'!AH172</f>
        <v>0</v>
      </c>
      <c r="AK176" s="1101">
        <f>IF($BK176=0,0,IF(SUM($AG176:AJ176)&lt;($L176-12),12,$L176-SUM($AG176:AJ176)))</f>
        <v>0</v>
      </c>
      <c r="AM176" s="1100"/>
      <c r="AN176" s="1100"/>
      <c r="AO176" s="1100"/>
      <c r="AP176" s="1100"/>
      <c r="AQ176" s="1100">
        <f>'ANSP Capex'!AO172</f>
        <v>0</v>
      </c>
      <c r="AS176" s="153">
        <f t="shared" si="11"/>
        <v>0</v>
      </c>
      <c r="AT176" s="153">
        <f t="shared" si="12"/>
        <v>0</v>
      </c>
      <c r="AU176" s="153">
        <f t="shared" si="13"/>
        <v>0.25</v>
      </c>
      <c r="AV176" s="153">
        <f t="shared" si="14"/>
        <v>0</v>
      </c>
      <c r="AW176" s="153">
        <f t="shared" si="15"/>
        <v>0</v>
      </c>
      <c r="AX176" s="153"/>
      <c r="AY176" s="1543">
        <f>'ANSP Capex'!AW172</f>
        <v>0.75</v>
      </c>
      <c r="AZ176" s="1102"/>
      <c r="BA176" s="1543">
        <f>'ANSP Capex'!AY172</f>
        <v>0.25</v>
      </c>
      <c r="BC176" s="1126"/>
      <c r="BD176" s="1126"/>
      <c r="BE176" s="1126"/>
      <c r="BF176" s="1126"/>
      <c r="BG176" s="1126"/>
      <c r="BH176" s="1126">
        <f>'ANSP Capex'!BF172*IF($I176="",(1+INDEX($I$41:$I$42,MATCH($F176,$F$41:$F$42,0))),(1+$I176))</f>
        <v>0</v>
      </c>
      <c r="BI176" s="1126">
        <f>'ANSP Capex'!BG172*IF($I176="",(1+INDEX($I$41:$I$42,MATCH($F176,$F$41:$F$42,0))),(1+$I176))</f>
        <v>0</v>
      </c>
      <c r="BJ176" s="1126">
        <f>'ANSP Capex'!BH172*IF($I176="",(1+INDEX($I$41:$I$42,MATCH($F176,$F$41:$F$42,0))),(1+$I176))</f>
        <v>3120</v>
      </c>
      <c r="BK176" s="1126">
        <f>'ANSP Capex'!BI172*IF($I176="",(1+INDEX($I$41:$I$42,MATCH($F176,$F$41:$F$42,0))),(1+$I176))</f>
        <v>0</v>
      </c>
      <c r="BL176" s="1126">
        <f>'ANSP Capex'!BJ172*IF($I176="",(1+INDEX($I$41:$I$42,MATCH($F176,$F$41:$F$42,0))),(1+$I176))</f>
        <v>0</v>
      </c>
    </row>
    <row r="177" spans="1:64" outlineLevel="1">
      <c r="A177" s="1094"/>
      <c r="B177" s="1094"/>
      <c r="C177" s="1083" t="str">
        <f>'ANSP Capex'!C173</f>
        <v>Emergency Air Situation Display System Simulator (SHN)</v>
      </c>
      <c r="D177" s="1083" t="str">
        <f>'ANSP Capex'!D173</f>
        <v>Emergency Air Situation Display System</v>
      </c>
      <c r="E177" s="1083" t="str">
        <f>'ANSP Capex'!E173</f>
        <v>U003A</v>
      </c>
      <c r="F177" s="1083" t="str">
        <f>'ANSP Capex'!F173</f>
        <v>2021-2024</v>
      </c>
      <c r="G177" s="1101">
        <f t="shared" si="8"/>
        <v>600</v>
      </c>
      <c r="H177" s="1083" t="str">
        <f>'ANSP Capex'!H173</f>
        <v>€'000</v>
      </c>
      <c r="I177" s="829"/>
      <c r="J177" s="1097">
        <f>'ANSP Capex'!I173</f>
        <v>8</v>
      </c>
      <c r="K177" s="1124">
        <v>0</v>
      </c>
      <c r="L177" s="1098">
        <f t="shared" si="9"/>
        <v>96</v>
      </c>
      <c r="M177" s="153">
        <f t="shared" si="10"/>
        <v>0.125</v>
      </c>
      <c r="N177" s="1099"/>
      <c r="O177" s="1100">
        <f>'ANSP Capex'!M173</f>
        <v>0</v>
      </c>
      <c r="P177" s="1101">
        <f>IF($BH177=0,0,IF(SUM($O177:O177)&lt;($L177-12),12,$L177-SUM($O177:O177)))</f>
        <v>0</v>
      </c>
      <c r="Q177" s="1101">
        <f>IF($BH177=0,0,IF(SUM($O177:P177)&lt;($L177-12),12,$L177-SUM($O177:P177)))</f>
        <v>0</v>
      </c>
      <c r="R177" s="1101">
        <f>IF($BH177=0,0,IF(SUM($O177:Q177)&lt;($L177-12),12,$L177-SUM($O177:Q177)))</f>
        <v>0</v>
      </c>
      <c r="S177" s="1101">
        <f>IF($BH177=0,0,IF(SUM($O177:R177)&lt;($L177-12),12,$L177-SUM($O177:R177)))</f>
        <v>0</v>
      </c>
      <c r="U177" s="1100"/>
      <c r="V177" s="1100">
        <f>'ANSP Capex'!T173</f>
        <v>0</v>
      </c>
      <c r="W177" s="1101">
        <f>IF($BI177=0,0,IF(SUM($U177:V177)&lt;($L177-12),12,$L177-SUM($U177:V177)))</f>
        <v>0</v>
      </c>
      <c r="X177" s="1101">
        <f>IF($BI177=0,0,IF(SUM($U177:W177)&lt;($L177-12),12,$L177-SUM($U177:W177)))</f>
        <v>0</v>
      </c>
      <c r="Y177" s="1101">
        <f>IF($BI177=0,0,IF(SUM($U177:X177)&lt;($L177-12),12,$L177-SUM($U177:X177)))</f>
        <v>0</v>
      </c>
      <c r="AA177" s="1100"/>
      <c r="AB177" s="1100"/>
      <c r="AC177" s="1100">
        <f>'ANSP Capex'!AA173</f>
        <v>3</v>
      </c>
      <c r="AD177" s="1101">
        <f>IF($BJ177=0,0,IF(SUM($AA177:AC177)&lt;($L177-12),12,$L177-SUM($AA177:AC177)))</f>
        <v>12</v>
      </c>
      <c r="AE177" s="1101">
        <f>IF($BJ177=0,0,IF(SUM($AA177:AD177)&lt;($L177-12),12,$L177-SUM($AA177:AD177)))</f>
        <v>12</v>
      </c>
      <c r="AG177" s="1100"/>
      <c r="AH177" s="1100"/>
      <c r="AI177" s="1100"/>
      <c r="AJ177" s="1100">
        <f>'ANSP Capex'!AH173</f>
        <v>0</v>
      </c>
      <c r="AK177" s="1101">
        <f>IF($BK177=0,0,IF(SUM($AG177:AJ177)&lt;($L177-12),12,$L177-SUM($AG177:AJ177)))</f>
        <v>0</v>
      </c>
      <c r="AM177" s="1100"/>
      <c r="AN177" s="1100"/>
      <c r="AO177" s="1100"/>
      <c r="AP177" s="1100"/>
      <c r="AQ177" s="1100">
        <f>'ANSP Capex'!AO173</f>
        <v>0</v>
      </c>
      <c r="AS177" s="153">
        <f t="shared" si="11"/>
        <v>0</v>
      </c>
      <c r="AT177" s="153">
        <f t="shared" si="12"/>
        <v>0</v>
      </c>
      <c r="AU177" s="153">
        <f t="shared" si="13"/>
        <v>0.25</v>
      </c>
      <c r="AV177" s="153">
        <f t="shared" si="14"/>
        <v>0</v>
      </c>
      <c r="AW177" s="153">
        <f t="shared" si="15"/>
        <v>0</v>
      </c>
      <c r="AX177" s="153"/>
      <c r="AY177" s="1543">
        <f>'ANSP Capex'!AW173</f>
        <v>0.75</v>
      </c>
      <c r="AZ177" s="1102"/>
      <c r="BA177" s="1543">
        <f>'ANSP Capex'!AY173</f>
        <v>0.25</v>
      </c>
      <c r="BC177" s="1126"/>
      <c r="BD177" s="1126"/>
      <c r="BE177" s="1126"/>
      <c r="BF177" s="1126"/>
      <c r="BG177" s="1126"/>
      <c r="BH177" s="1126">
        <f>'ANSP Capex'!BF173*IF($I177="",(1+INDEX($I$41:$I$42,MATCH($F177,$F$41:$F$42,0))),(1+$I177))</f>
        <v>0</v>
      </c>
      <c r="BI177" s="1126">
        <f>'ANSP Capex'!BG173*IF($I177="",(1+INDEX($I$41:$I$42,MATCH($F177,$F$41:$F$42,0))),(1+$I177))</f>
        <v>0</v>
      </c>
      <c r="BJ177" s="1126">
        <f>'ANSP Capex'!BH173*IF($I177="",(1+INDEX($I$41:$I$42,MATCH($F177,$F$41:$F$42,0))),(1+$I177))</f>
        <v>600</v>
      </c>
      <c r="BK177" s="1126">
        <f>'ANSP Capex'!BI173*IF($I177="",(1+INDEX($I$41:$I$42,MATCH($F177,$F$41:$F$42,0))),(1+$I177))</f>
        <v>0</v>
      </c>
      <c r="BL177" s="1126">
        <f>'ANSP Capex'!BJ173*IF($I177="",(1+INDEX($I$41:$I$42,MATCH($F177,$F$41:$F$42,0))),(1+$I177))</f>
        <v>0</v>
      </c>
    </row>
    <row r="178" spans="1:64" outlineLevel="1">
      <c r="A178" s="1094"/>
      <c r="B178" s="1094"/>
      <c r="C178" s="1083" t="str">
        <f>'ANSP Capex'!C174</f>
        <v>Emergency Air Situation Display System Simulator (DUB)</v>
      </c>
      <c r="D178" s="1083" t="str">
        <f>'ANSP Capex'!D174</f>
        <v>Emergency Air Situation Display System</v>
      </c>
      <c r="E178" s="1083" t="str">
        <f>'ANSP Capex'!E174</f>
        <v>U003A</v>
      </c>
      <c r="F178" s="1083" t="str">
        <f>'ANSP Capex'!F174</f>
        <v>2021-2024</v>
      </c>
      <c r="G178" s="1101">
        <f t="shared" ref="G178:G241" si="16">SUM(BH178:BL178)</f>
        <v>600</v>
      </c>
      <c r="H178" s="1083" t="str">
        <f>'ANSP Capex'!H174</f>
        <v>€'000</v>
      </c>
      <c r="I178" s="829"/>
      <c r="J178" s="1097">
        <f>'ANSP Capex'!I174</f>
        <v>8</v>
      </c>
      <c r="K178" s="1124">
        <v>0</v>
      </c>
      <c r="L178" s="1098">
        <f t="shared" ref="L178:L241" si="17">IF(K178&lt;=0,J178*12,K178*12)</f>
        <v>96</v>
      </c>
      <c r="M178" s="153">
        <f t="shared" si="10"/>
        <v>0.125</v>
      </c>
      <c r="N178" s="1099"/>
      <c r="O178" s="1100">
        <f>'ANSP Capex'!M174</f>
        <v>0</v>
      </c>
      <c r="P178" s="1101">
        <f>IF($BH178=0,0,IF(SUM($O178:O178)&lt;($L178-12),12,$L178-SUM($O178:O178)))</f>
        <v>0</v>
      </c>
      <c r="Q178" s="1101">
        <f>IF($BH178=0,0,IF(SUM($O178:P178)&lt;($L178-12),12,$L178-SUM($O178:P178)))</f>
        <v>0</v>
      </c>
      <c r="R178" s="1101">
        <f>IF($BH178=0,0,IF(SUM($O178:Q178)&lt;($L178-12),12,$L178-SUM($O178:Q178)))</f>
        <v>0</v>
      </c>
      <c r="S178" s="1101">
        <f>IF($BH178=0,0,IF(SUM($O178:R178)&lt;($L178-12),12,$L178-SUM($O178:R178)))</f>
        <v>0</v>
      </c>
      <c r="U178" s="1100"/>
      <c r="V178" s="1100">
        <f>'ANSP Capex'!T174</f>
        <v>0</v>
      </c>
      <c r="W178" s="1101">
        <f>IF($BI178=0,0,IF(SUM($U178:V178)&lt;($L178-12),12,$L178-SUM($U178:V178)))</f>
        <v>0</v>
      </c>
      <c r="X178" s="1101">
        <f>IF($BI178=0,0,IF(SUM($U178:W178)&lt;($L178-12),12,$L178-SUM($U178:W178)))</f>
        <v>0</v>
      </c>
      <c r="Y178" s="1101">
        <f>IF($BI178=0,0,IF(SUM($U178:X178)&lt;($L178-12),12,$L178-SUM($U178:X178)))</f>
        <v>0</v>
      </c>
      <c r="AA178" s="1100"/>
      <c r="AB178" s="1100"/>
      <c r="AC178" s="1100">
        <f>'ANSP Capex'!AA174</f>
        <v>0</v>
      </c>
      <c r="AD178" s="1101">
        <f>IF($BJ178=0,0,IF(SUM($AA178:AC178)&lt;($L178-12),12,$L178-SUM($AA178:AC178)))</f>
        <v>0</v>
      </c>
      <c r="AE178" s="1101">
        <f>IF($BJ178=0,0,IF(SUM($AA178:AD178)&lt;($L178-12),12,$L178-SUM($AA178:AD178)))</f>
        <v>0</v>
      </c>
      <c r="AG178" s="1100"/>
      <c r="AH178" s="1100"/>
      <c r="AI178" s="1100"/>
      <c r="AJ178" s="1100">
        <f>'ANSP Capex'!AH174</f>
        <v>9</v>
      </c>
      <c r="AK178" s="1101">
        <f>IF($BK178=0,0,IF(SUM($AG178:AJ178)&lt;($L178-12),12,$L178-SUM($AG178:AJ178)))</f>
        <v>12</v>
      </c>
      <c r="AM178" s="1100"/>
      <c r="AN178" s="1100"/>
      <c r="AO178" s="1100"/>
      <c r="AP178" s="1100"/>
      <c r="AQ178" s="1100">
        <f>'ANSP Capex'!AO174</f>
        <v>0</v>
      </c>
      <c r="AS178" s="153">
        <f t="shared" si="11"/>
        <v>0</v>
      </c>
      <c r="AT178" s="153">
        <f t="shared" si="12"/>
        <v>0</v>
      </c>
      <c r="AU178" s="153">
        <f t="shared" si="13"/>
        <v>0</v>
      </c>
      <c r="AV178" s="153">
        <f t="shared" si="14"/>
        <v>0.75</v>
      </c>
      <c r="AW178" s="153">
        <f t="shared" si="15"/>
        <v>0</v>
      </c>
      <c r="AX178" s="153"/>
      <c r="AY178" s="1543">
        <f>'ANSP Capex'!AW174</f>
        <v>0.75</v>
      </c>
      <c r="AZ178" s="1102"/>
      <c r="BA178" s="1543">
        <f>'ANSP Capex'!AY174</f>
        <v>0.25</v>
      </c>
      <c r="BC178" s="1126"/>
      <c r="BD178" s="1126"/>
      <c r="BE178" s="1126"/>
      <c r="BF178" s="1126"/>
      <c r="BG178" s="1126"/>
      <c r="BH178" s="1126">
        <f>'ANSP Capex'!BF174*IF($I178="",(1+INDEX($I$41:$I$42,MATCH($F178,$F$41:$F$42,0))),(1+$I178))</f>
        <v>0</v>
      </c>
      <c r="BI178" s="1126">
        <f>'ANSP Capex'!BG174*IF($I178="",(1+INDEX($I$41:$I$42,MATCH($F178,$F$41:$F$42,0))),(1+$I178))</f>
        <v>0</v>
      </c>
      <c r="BJ178" s="1126">
        <f>'ANSP Capex'!BH174*IF($I178="",(1+INDEX($I$41:$I$42,MATCH($F178,$F$41:$F$42,0))),(1+$I178))</f>
        <v>0</v>
      </c>
      <c r="BK178" s="1126">
        <f>'ANSP Capex'!BI174*IF($I178="",(1+INDEX($I$41:$I$42,MATCH($F178,$F$41:$F$42,0))),(1+$I178))</f>
        <v>600</v>
      </c>
      <c r="BL178" s="1126">
        <f>'ANSP Capex'!BJ174*IF($I178="",(1+INDEX($I$41:$I$42,MATCH($F178,$F$41:$F$42,0))),(1+$I178))</f>
        <v>0</v>
      </c>
    </row>
    <row r="179" spans="1:64" outlineLevel="1">
      <c r="A179" s="1094"/>
      <c r="B179" s="1094"/>
      <c r="C179" s="1083" t="str">
        <f>'ANSP Capex'!C175</f>
        <v>NAV Aids Replacement Programme</v>
      </c>
      <c r="D179" s="1083" t="str">
        <f>'ANSP Capex'!D175</f>
        <v>NAV Aids Replacement Programme</v>
      </c>
      <c r="E179" s="1083" t="str">
        <f>'ANSP Capex'!E175</f>
        <v>R005</v>
      </c>
      <c r="F179" s="1083" t="str">
        <f>'ANSP Capex'!F175</f>
        <v>2021-2024</v>
      </c>
      <c r="G179" s="1101">
        <f t="shared" si="16"/>
        <v>0</v>
      </c>
      <c r="H179" s="1083" t="str">
        <f>'ANSP Capex'!H175</f>
        <v>€'000</v>
      </c>
      <c r="I179" s="829"/>
      <c r="J179" s="1097">
        <f>'ANSP Capex'!I175</f>
        <v>0</v>
      </c>
      <c r="K179" s="1124">
        <v>12</v>
      </c>
      <c r="L179" s="1098">
        <f t="shared" si="17"/>
        <v>144</v>
      </c>
      <c r="M179" s="153">
        <f t="shared" ref="M179:M242" si="18">IFERROR(1/(L179/12),0)</f>
        <v>8.3333333333333329E-2</v>
      </c>
      <c r="N179" s="1099"/>
      <c r="O179" s="1100">
        <f>'ANSP Capex'!M175</f>
        <v>0</v>
      </c>
      <c r="P179" s="1101">
        <f>IF($BH179=0,0,IF(SUM($O179:O179)&lt;($L179-12),12,$L179-SUM($O179:O179)))</f>
        <v>0</v>
      </c>
      <c r="Q179" s="1101">
        <f>IF($BH179=0,0,IF(SUM($O179:P179)&lt;($L179-12),12,$L179-SUM($O179:P179)))</f>
        <v>0</v>
      </c>
      <c r="R179" s="1101">
        <f>IF($BH179=0,0,IF(SUM($O179:Q179)&lt;($L179-12),12,$L179-SUM($O179:Q179)))</f>
        <v>0</v>
      </c>
      <c r="S179" s="1101">
        <f>IF($BH179=0,0,IF(SUM($O179:R179)&lt;($L179-12),12,$L179-SUM($O179:R179)))</f>
        <v>0</v>
      </c>
      <c r="U179" s="1100"/>
      <c r="V179" s="1100">
        <f>'ANSP Capex'!T175</f>
        <v>0</v>
      </c>
      <c r="W179" s="1101">
        <f>IF($BI179=0,0,IF(SUM($U179:V179)&lt;($L179-12),12,$L179-SUM($U179:V179)))</f>
        <v>0</v>
      </c>
      <c r="X179" s="1101">
        <f>IF($BI179=0,0,IF(SUM($U179:W179)&lt;($L179-12),12,$L179-SUM($U179:W179)))</f>
        <v>0</v>
      </c>
      <c r="Y179" s="1101">
        <f>IF($BI179=0,0,IF(SUM($U179:X179)&lt;($L179-12),12,$L179-SUM($U179:X179)))</f>
        <v>0</v>
      </c>
      <c r="AA179" s="1100"/>
      <c r="AB179" s="1100"/>
      <c r="AC179" s="1100">
        <f>'ANSP Capex'!AA175</f>
        <v>0</v>
      </c>
      <c r="AD179" s="1101">
        <f>IF($BJ179=0,0,IF(SUM($AA179:AC179)&lt;($L179-12),12,$L179-SUM($AA179:AC179)))</f>
        <v>0</v>
      </c>
      <c r="AE179" s="1101">
        <f>IF($BJ179=0,0,IF(SUM($AA179:AD179)&lt;($L179-12),12,$L179-SUM($AA179:AD179)))</f>
        <v>0</v>
      </c>
      <c r="AG179" s="1100"/>
      <c r="AH179" s="1100"/>
      <c r="AI179" s="1100"/>
      <c r="AJ179" s="1100">
        <f>'ANSP Capex'!AH175</f>
        <v>0</v>
      </c>
      <c r="AK179" s="1101">
        <f>IF($BK179=0,0,IF(SUM($AG179:AJ179)&lt;($L179-12),12,$L179-SUM($AG179:AJ179)))</f>
        <v>0</v>
      </c>
      <c r="AM179" s="1100"/>
      <c r="AN179" s="1100"/>
      <c r="AO179" s="1100"/>
      <c r="AP179" s="1100"/>
      <c r="AQ179" s="1100">
        <f>'ANSP Capex'!AO175</f>
        <v>0</v>
      </c>
      <c r="AS179" s="153">
        <f t="shared" ref="AS179:AS242" si="19">O179/12</f>
        <v>0</v>
      </c>
      <c r="AT179" s="153">
        <f t="shared" ref="AT179:AT242" si="20">V179/12</f>
        <v>0</v>
      </c>
      <c r="AU179" s="153">
        <f t="shared" ref="AU179:AU242" si="21">AC179/12</f>
        <v>0</v>
      </c>
      <c r="AV179" s="153">
        <f t="shared" ref="AV179:AV242" si="22">AJ179/12</f>
        <v>0</v>
      </c>
      <c r="AW179" s="153">
        <f t="shared" ref="AW179:AW242" si="23">AQ179/12</f>
        <v>0</v>
      </c>
      <c r="AX179" s="153"/>
      <c r="AY179" s="1543">
        <f>'ANSP Capex'!AW175</f>
        <v>0</v>
      </c>
      <c r="AZ179" s="1102"/>
      <c r="BA179" s="1543">
        <f>'ANSP Capex'!AY175</f>
        <v>0</v>
      </c>
      <c r="BC179" s="1126"/>
      <c r="BD179" s="1126"/>
      <c r="BE179" s="1126"/>
      <c r="BF179" s="1126"/>
      <c r="BG179" s="1126"/>
      <c r="BH179" s="1126">
        <f>'ANSP Capex'!BF175*IF($I179="",(1+INDEX($I$41:$I$42,MATCH($F179,$F$41:$F$42,0))),(1+$I179))</f>
        <v>0</v>
      </c>
      <c r="BI179" s="1126">
        <f>'ANSP Capex'!BG175*IF($I179="",(1+INDEX($I$41:$I$42,MATCH($F179,$F$41:$F$42,0))),(1+$I179))</f>
        <v>0</v>
      </c>
      <c r="BJ179" s="1126">
        <f>'ANSP Capex'!BH175*IF($I179="",(1+INDEX($I$41:$I$42,MATCH($F179,$F$41:$F$42,0))),(1+$I179))</f>
        <v>0</v>
      </c>
      <c r="BK179" s="1126">
        <f>'ANSP Capex'!BI175*IF($I179="",(1+INDEX($I$41:$I$42,MATCH($F179,$F$41:$F$42,0))),(1+$I179))</f>
        <v>0</v>
      </c>
      <c r="BL179" s="1126">
        <f>'ANSP Capex'!BJ175*IF($I179="",(1+INDEX($I$41:$I$42,MATCH($F179,$F$41:$F$42,0))),(1+$I179))</f>
        <v>0</v>
      </c>
    </row>
    <row r="180" spans="1:64" outlineLevel="1">
      <c r="A180" s="1094"/>
      <c r="B180" s="1094"/>
      <c r="C180" s="1083" t="str">
        <f>'ANSP Capex'!C176</f>
        <v>NAV Aids Replacement Programme Dublin ILS (3rd)</v>
      </c>
      <c r="D180" s="1083" t="str">
        <f>'ANSP Capex'!D176</f>
        <v>NAV Aids Replacement Programme</v>
      </c>
      <c r="E180" s="1083" t="str">
        <f>'ANSP Capex'!E176</f>
        <v>R005A</v>
      </c>
      <c r="F180" s="1083" t="str">
        <f>'ANSP Capex'!F176</f>
        <v>2021-2024</v>
      </c>
      <c r="G180" s="1101">
        <f t="shared" si="16"/>
        <v>2231.2449120000001</v>
      </c>
      <c r="H180" s="1083" t="str">
        <f>'ANSP Capex'!H176</f>
        <v>€'000</v>
      </c>
      <c r="I180" s="829"/>
      <c r="J180" s="1097">
        <f>'ANSP Capex'!I176</f>
        <v>8</v>
      </c>
      <c r="K180" s="1124">
        <v>12</v>
      </c>
      <c r="L180" s="1098">
        <f t="shared" si="17"/>
        <v>144</v>
      </c>
      <c r="M180" s="153">
        <f t="shared" si="18"/>
        <v>8.3333333333333329E-2</v>
      </c>
      <c r="N180" s="1099"/>
      <c r="O180" s="1100">
        <f>'ANSP Capex'!M176</f>
        <v>0</v>
      </c>
      <c r="P180" s="1101">
        <f>IF($BH180=0,0,IF(SUM($O180:O180)&lt;($L180-12),12,$L180-SUM($O180:O180)))</f>
        <v>0</v>
      </c>
      <c r="Q180" s="1101">
        <f>IF($BH180=0,0,IF(SUM($O180:P180)&lt;($L180-12),12,$L180-SUM($O180:P180)))</f>
        <v>0</v>
      </c>
      <c r="R180" s="1101">
        <f>IF($BH180=0,0,IF(SUM($O180:Q180)&lt;($L180-12),12,$L180-SUM($O180:Q180)))</f>
        <v>0</v>
      </c>
      <c r="S180" s="1101">
        <f>IF($BH180=0,0,IF(SUM($O180:R180)&lt;($L180-12),12,$L180-SUM($O180:R180)))</f>
        <v>0</v>
      </c>
      <c r="U180" s="1100"/>
      <c r="V180" s="1100">
        <f>'ANSP Capex'!T176</f>
        <v>0</v>
      </c>
      <c r="W180" s="1101">
        <f>IF($BI180=0,0,IF(SUM($U180:V180)&lt;($L180-12),12,$L180-SUM($U180:V180)))</f>
        <v>0</v>
      </c>
      <c r="X180" s="1101">
        <f>IF($BI180=0,0,IF(SUM($U180:W180)&lt;($L180-12),12,$L180-SUM($U180:W180)))</f>
        <v>0</v>
      </c>
      <c r="Y180" s="1101">
        <f>IF($BI180=0,0,IF(SUM($U180:X180)&lt;($L180-12),12,$L180-SUM($U180:X180)))</f>
        <v>0</v>
      </c>
      <c r="AA180" s="1100"/>
      <c r="AB180" s="1100"/>
      <c r="AC180" s="1100">
        <f>'ANSP Capex'!AA176</f>
        <v>0</v>
      </c>
      <c r="AD180" s="1101">
        <f>IF($BJ180=0,0,IF(SUM($AA180:AC180)&lt;($L180-12),12,$L180-SUM($AA180:AC180)))</f>
        <v>0</v>
      </c>
      <c r="AE180" s="1101">
        <f>IF($BJ180=0,0,IF(SUM($AA180:AD180)&lt;($L180-12),12,$L180-SUM($AA180:AD180)))</f>
        <v>0</v>
      </c>
      <c r="AG180" s="1100"/>
      <c r="AH180" s="1100"/>
      <c r="AI180" s="1100"/>
      <c r="AJ180" s="1100">
        <f>'ANSP Capex'!AH176</f>
        <v>0</v>
      </c>
      <c r="AK180" s="1101">
        <f>IF($BK180=0,0,IF(SUM($AG180:AJ180)&lt;($L180-12),12,$L180-SUM($AG180:AJ180)))</f>
        <v>0</v>
      </c>
      <c r="AM180" s="1100"/>
      <c r="AN180" s="1100"/>
      <c r="AO180" s="1100"/>
      <c r="AP180" s="1100"/>
      <c r="AQ180" s="1100">
        <f>'ANSP Capex'!AO176</f>
        <v>3</v>
      </c>
      <c r="AS180" s="153">
        <f t="shared" si="19"/>
        <v>0</v>
      </c>
      <c r="AT180" s="153">
        <f t="shared" si="20"/>
        <v>0</v>
      </c>
      <c r="AU180" s="153">
        <f t="shared" si="21"/>
        <v>0</v>
      </c>
      <c r="AV180" s="153">
        <f t="shared" si="22"/>
        <v>0</v>
      </c>
      <c r="AW180" s="153">
        <f t="shared" si="23"/>
        <v>0.25</v>
      </c>
      <c r="AX180" s="153"/>
      <c r="AY180" s="1543">
        <f>'ANSP Capex'!AW176</f>
        <v>0</v>
      </c>
      <c r="AZ180" s="1102"/>
      <c r="BA180" s="1543">
        <f>'ANSP Capex'!AY176</f>
        <v>1</v>
      </c>
      <c r="BC180" s="1126"/>
      <c r="BD180" s="1126"/>
      <c r="BE180" s="1126"/>
      <c r="BF180" s="1126"/>
      <c r="BG180" s="1126"/>
      <c r="BH180" s="1126">
        <f>'ANSP Capex'!BF176*IF($I180="",(1+INDEX($I$41:$I$42,MATCH($F180,$F$41:$F$42,0))),(1+$I180))</f>
        <v>0</v>
      </c>
      <c r="BI180" s="1126">
        <f>'ANSP Capex'!BG176*IF($I180="",(1+INDEX($I$41:$I$42,MATCH($F180,$F$41:$F$42,0))),(1+$I180))</f>
        <v>0</v>
      </c>
      <c r="BJ180" s="1126">
        <f>'ANSP Capex'!BH176*IF($I180="",(1+INDEX($I$41:$I$42,MATCH($F180,$F$41:$F$42,0))),(1+$I180))</f>
        <v>0</v>
      </c>
      <c r="BK180" s="1126">
        <f>'ANSP Capex'!BI176*IF($I180="",(1+INDEX($I$41:$I$42,MATCH($F180,$F$41:$F$42,0))),(1+$I180))</f>
        <v>0</v>
      </c>
      <c r="BL180" s="1126">
        <f>'ANSP Capex'!BJ176*IF($I180="",(1+INDEX($I$41:$I$42,MATCH($F180,$F$41:$F$42,0))),(1+$I180))</f>
        <v>2231.2449120000001</v>
      </c>
    </row>
    <row r="181" spans="1:64" outlineLevel="1">
      <c r="A181" s="1094"/>
      <c r="B181" s="1094"/>
      <c r="C181" s="1083" t="str">
        <f>'ANSP Capex'!C177</f>
        <v>NAV Aids Replacement Programme Shannon ILS (1st)</v>
      </c>
      <c r="D181" s="1083" t="str">
        <f>'ANSP Capex'!D177</f>
        <v>NAV Aids Replacement Programme</v>
      </c>
      <c r="E181" s="1083" t="str">
        <f>'ANSP Capex'!E177</f>
        <v>R005A</v>
      </c>
      <c r="F181" s="1083" t="str">
        <f>'ANSP Capex'!F177</f>
        <v>2021-2024</v>
      </c>
      <c r="G181" s="1101">
        <f t="shared" si="16"/>
        <v>1096</v>
      </c>
      <c r="H181" s="1083" t="str">
        <f>'ANSP Capex'!H177</f>
        <v>€'000</v>
      </c>
      <c r="I181" s="829"/>
      <c r="J181" s="1097">
        <f>'ANSP Capex'!I177</f>
        <v>8</v>
      </c>
      <c r="K181" s="1124">
        <v>12</v>
      </c>
      <c r="L181" s="1098">
        <f t="shared" si="17"/>
        <v>144</v>
      </c>
      <c r="M181" s="153">
        <f t="shared" si="18"/>
        <v>8.3333333333333329E-2</v>
      </c>
      <c r="N181" s="1099"/>
      <c r="O181" s="1100">
        <f>'ANSP Capex'!M177</f>
        <v>0</v>
      </c>
      <c r="P181" s="1101">
        <f>IF($BH181=0,0,IF(SUM($O181:O181)&lt;($L181-12),12,$L181-SUM($O181:O181)))</f>
        <v>0</v>
      </c>
      <c r="Q181" s="1101">
        <f>IF($BH181=0,0,IF(SUM($O181:P181)&lt;($L181-12),12,$L181-SUM($O181:P181)))</f>
        <v>0</v>
      </c>
      <c r="R181" s="1101">
        <f>IF($BH181=0,0,IF(SUM($O181:Q181)&lt;($L181-12),12,$L181-SUM($O181:Q181)))</f>
        <v>0</v>
      </c>
      <c r="S181" s="1101">
        <f>IF($BH181=0,0,IF(SUM($O181:R181)&lt;($L181-12),12,$L181-SUM($O181:R181)))</f>
        <v>0</v>
      </c>
      <c r="U181" s="1100"/>
      <c r="V181" s="1100">
        <f>'ANSP Capex'!T177</f>
        <v>0</v>
      </c>
      <c r="W181" s="1101">
        <f>IF($BI181=0,0,IF(SUM($U181:V181)&lt;($L181-12),12,$L181-SUM($U181:V181)))</f>
        <v>0</v>
      </c>
      <c r="X181" s="1101">
        <f>IF($BI181=0,0,IF(SUM($U181:W181)&lt;($L181-12),12,$L181-SUM($U181:W181)))</f>
        <v>0</v>
      </c>
      <c r="Y181" s="1101">
        <f>IF($BI181=0,0,IF(SUM($U181:X181)&lt;($L181-12),12,$L181-SUM($U181:X181)))</f>
        <v>0</v>
      </c>
      <c r="AA181" s="1100"/>
      <c r="AB181" s="1100"/>
      <c r="AC181" s="1100">
        <f>'ANSP Capex'!AA177</f>
        <v>3</v>
      </c>
      <c r="AD181" s="1101">
        <f>IF($BJ181=0,0,IF(SUM($AA181:AC181)&lt;($L181-12),12,$L181-SUM($AA181:AC181)))</f>
        <v>12</v>
      </c>
      <c r="AE181" s="1101">
        <f>IF($BJ181=0,0,IF(SUM($AA181:AD181)&lt;($L181-12),12,$L181-SUM($AA181:AD181)))</f>
        <v>12</v>
      </c>
      <c r="AG181" s="1100"/>
      <c r="AH181" s="1100"/>
      <c r="AI181" s="1100"/>
      <c r="AJ181" s="1100">
        <f>'ANSP Capex'!AH177</f>
        <v>0</v>
      </c>
      <c r="AK181" s="1101">
        <f>IF($BK181=0,0,IF(SUM($AG181:AJ181)&lt;($L181-12),12,$L181-SUM($AG181:AJ181)))</f>
        <v>0</v>
      </c>
      <c r="AM181" s="1100"/>
      <c r="AN181" s="1100"/>
      <c r="AO181" s="1100"/>
      <c r="AP181" s="1100"/>
      <c r="AQ181" s="1100">
        <f>'ANSP Capex'!AO177</f>
        <v>0</v>
      </c>
      <c r="AS181" s="153">
        <f t="shared" si="19"/>
        <v>0</v>
      </c>
      <c r="AT181" s="153">
        <f t="shared" si="20"/>
        <v>0</v>
      </c>
      <c r="AU181" s="153">
        <f t="shared" si="21"/>
        <v>0.25</v>
      </c>
      <c r="AV181" s="153">
        <f t="shared" si="22"/>
        <v>0</v>
      </c>
      <c r="AW181" s="153">
        <f t="shared" si="23"/>
        <v>0</v>
      </c>
      <c r="AX181" s="153"/>
      <c r="AY181" s="1543">
        <f>'ANSP Capex'!AW177</f>
        <v>0</v>
      </c>
      <c r="AZ181" s="1102"/>
      <c r="BA181" s="1543">
        <f>'ANSP Capex'!AY177</f>
        <v>1</v>
      </c>
      <c r="BC181" s="1126"/>
      <c r="BD181" s="1126"/>
      <c r="BE181" s="1126"/>
      <c r="BF181" s="1126"/>
      <c r="BG181" s="1126"/>
      <c r="BH181" s="1126">
        <f>'ANSP Capex'!BF177*IF($I181="",(1+INDEX($I$41:$I$42,MATCH($F181,$F$41:$F$42,0))),(1+$I181))</f>
        <v>0</v>
      </c>
      <c r="BI181" s="1126">
        <f>'ANSP Capex'!BG177*IF($I181="",(1+INDEX($I$41:$I$42,MATCH($F181,$F$41:$F$42,0))),(1+$I181))</f>
        <v>0</v>
      </c>
      <c r="BJ181" s="1126">
        <f>'ANSP Capex'!BH177*IF($I181="",(1+INDEX($I$41:$I$42,MATCH($F181,$F$41:$F$42,0))),(1+$I181))</f>
        <v>1096</v>
      </c>
      <c r="BK181" s="1126">
        <f>'ANSP Capex'!BI177*IF($I181="",(1+INDEX($I$41:$I$42,MATCH($F181,$F$41:$F$42,0))),(1+$I181))</f>
        <v>0</v>
      </c>
      <c r="BL181" s="1126">
        <f>'ANSP Capex'!BJ177*IF($I181="",(1+INDEX($I$41:$I$42,MATCH($F181,$F$41:$F$42,0))),(1+$I181))</f>
        <v>0</v>
      </c>
    </row>
    <row r="182" spans="1:64" outlineLevel="1">
      <c r="A182" s="1094"/>
      <c r="B182" s="1094"/>
      <c r="C182" s="1083" t="str">
        <f>'ANSP Capex'!C178</f>
        <v>NAV Aids Replacement Programme Cork ILS (2nd)</v>
      </c>
      <c r="D182" s="1083" t="str">
        <f>'ANSP Capex'!D178</f>
        <v>NAV Aids Replacement Programme</v>
      </c>
      <c r="E182" s="1083" t="str">
        <f>'ANSP Capex'!E178</f>
        <v>R005A</v>
      </c>
      <c r="F182" s="1083" t="str">
        <f>'ANSP Capex'!F178</f>
        <v>2021-2024</v>
      </c>
      <c r="G182" s="1101">
        <f t="shared" si="16"/>
        <v>1640</v>
      </c>
      <c r="H182" s="1083" t="str">
        <f>'ANSP Capex'!H178</f>
        <v>€'000</v>
      </c>
      <c r="I182" s="829"/>
      <c r="J182" s="1097">
        <f>'ANSP Capex'!I178</f>
        <v>8</v>
      </c>
      <c r="K182" s="1124">
        <v>12</v>
      </c>
      <c r="L182" s="1098">
        <f t="shared" si="17"/>
        <v>144</v>
      </c>
      <c r="M182" s="153">
        <f t="shared" si="18"/>
        <v>8.3333333333333329E-2</v>
      </c>
      <c r="N182" s="1099"/>
      <c r="O182" s="1100">
        <f>'ANSP Capex'!M178</f>
        <v>0</v>
      </c>
      <c r="P182" s="1101">
        <f>IF($BH182=0,0,IF(SUM($O182:O182)&lt;($L182-12),12,$L182-SUM($O182:O182)))</f>
        <v>0</v>
      </c>
      <c r="Q182" s="1101">
        <f>IF($BH182=0,0,IF(SUM($O182:P182)&lt;($L182-12),12,$L182-SUM($O182:P182)))</f>
        <v>0</v>
      </c>
      <c r="R182" s="1101">
        <f>IF($BH182=0,0,IF(SUM($O182:Q182)&lt;($L182-12),12,$L182-SUM($O182:Q182)))</f>
        <v>0</v>
      </c>
      <c r="S182" s="1101">
        <f>IF($BH182=0,0,IF(SUM($O182:R182)&lt;($L182-12),12,$L182-SUM($O182:R182)))</f>
        <v>0</v>
      </c>
      <c r="U182" s="1100"/>
      <c r="V182" s="1100">
        <f>'ANSP Capex'!T178</f>
        <v>0</v>
      </c>
      <c r="W182" s="1101">
        <f>IF($BI182=0,0,IF(SUM($U182:V182)&lt;($L182-12),12,$L182-SUM($U182:V182)))</f>
        <v>0</v>
      </c>
      <c r="X182" s="1101">
        <f>IF($BI182=0,0,IF(SUM($U182:W182)&lt;($L182-12),12,$L182-SUM($U182:W182)))</f>
        <v>0</v>
      </c>
      <c r="Y182" s="1101">
        <f>IF($BI182=0,0,IF(SUM($U182:X182)&lt;($L182-12),12,$L182-SUM($U182:X182)))</f>
        <v>0</v>
      </c>
      <c r="AA182" s="1100"/>
      <c r="AB182" s="1100"/>
      <c r="AC182" s="1100">
        <f>'ANSP Capex'!AA178</f>
        <v>0</v>
      </c>
      <c r="AD182" s="1101">
        <f>IF($BJ182=0,0,IF(SUM($AA182:AC182)&lt;($L182-12),12,$L182-SUM($AA182:AC182)))</f>
        <v>0</v>
      </c>
      <c r="AE182" s="1101">
        <f>IF($BJ182=0,0,IF(SUM($AA182:AD182)&lt;($L182-12),12,$L182-SUM($AA182:AD182)))</f>
        <v>0</v>
      </c>
      <c r="AG182" s="1100"/>
      <c r="AH182" s="1100"/>
      <c r="AI182" s="1100"/>
      <c r="AJ182" s="1100">
        <f>'ANSP Capex'!AH178</f>
        <v>3</v>
      </c>
      <c r="AK182" s="1101">
        <f>IF($BK182=0,0,IF(SUM($AG182:AJ182)&lt;($L182-12),12,$L182-SUM($AG182:AJ182)))</f>
        <v>12</v>
      </c>
      <c r="AM182" s="1100"/>
      <c r="AN182" s="1100"/>
      <c r="AO182" s="1100"/>
      <c r="AP182" s="1100"/>
      <c r="AQ182" s="1100">
        <f>'ANSP Capex'!AO178</f>
        <v>0</v>
      </c>
      <c r="AS182" s="153">
        <f t="shared" si="19"/>
        <v>0</v>
      </c>
      <c r="AT182" s="153">
        <f t="shared" si="20"/>
        <v>0</v>
      </c>
      <c r="AU182" s="153">
        <f t="shared" si="21"/>
        <v>0</v>
      </c>
      <c r="AV182" s="153">
        <f t="shared" si="22"/>
        <v>0.25</v>
      </c>
      <c r="AW182" s="153">
        <f t="shared" si="23"/>
        <v>0</v>
      </c>
      <c r="AX182" s="153"/>
      <c r="AY182" s="1543">
        <f>'ANSP Capex'!AW178</f>
        <v>0</v>
      </c>
      <c r="AZ182" s="1102"/>
      <c r="BA182" s="1543">
        <f>'ANSP Capex'!AY178</f>
        <v>1</v>
      </c>
      <c r="BC182" s="1126"/>
      <c r="BD182" s="1126"/>
      <c r="BE182" s="1126"/>
      <c r="BF182" s="1126"/>
      <c r="BG182" s="1126"/>
      <c r="BH182" s="1126">
        <f>'ANSP Capex'!BF178*IF($I182="",(1+INDEX($I$41:$I$42,MATCH($F182,$F$41:$F$42,0))),(1+$I182))</f>
        <v>0</v>
      </c>
      <c r="BI182" s="1126">
        <f>'ANSP Capex'!BG178*IF($I182="",(1+INDEX($I$41:$I$42,MATCH($F182,$F$41:$F$42,0))),(1+$I182))</f>
        <v>0</v>
      </c>
      <c r="BJ182" s="1126">
        <f>'ANSP Capex'!BH178*IF($I182="",(1+INDEX($I$41:$I$42,MATCH($F182,$F$41:$F$42,0))),(1+$I182))</f>
        <v>0</v>
      </c>
      <c r="BK182" s="1126">
        <f>'ANSP Capex'!BI178*IF($I182="",(1+INDEX($I$41:$I$42,MATCH($F182,$F$41:$F$42,0))),(1+$I182))</f>
        <v>1640</v>
      </c>
      <c r="BL182" s="1126">
        <f>'ANSP Capex'!BJ178*IF($I182="",(1+INDEX($I$41:$I$42,MATCH($F182,$F$41:$F$42,0))),(1+$I182))</f>
        <v>0</v>
      </c>
    </row>
    <row r="183" spans="1:64" outlineLevel="1">
      <c r="A183" s="1094"/>
      <c r="B183" s="1094"/>
      <c r="C183" s="1083" t="str">
        <f>'ANSP Capex'!C179</f>
        <v>NAV Aids Replacement Programme Dublin IRVR</v>
      </c>
      <c r="D183" s="1083" t="str">
        <f>'ANSP Capex'!D179</f>
        <v>NAV Aids Replacement Programme</v>
      </c>
      <c r="E183" s="1083" t="str">
        <f>'ANSP Capex'!E179</f>
        <v>R005A</v>
      </c>
      <c r="F183" s="1083" t="str">
        <f>'ANSP Capex'!F179</f>
        <v>2021-2024</v>
      </c>
      <c r="G183" s="1101">
        <f t="shared" si="16"/>
        <v>403.13256000000001</v>
      </c>
      <c r="H183" s="1083" t="str">
        <f>'ANSP Capex'!H179</f>
        <v>€'000</v>
      </c>
      <c r="I183" s="829"/>
      <c r="J183" s="1097">
        <f>'ANSP Capex'!I179</f>
        <v>8</v>
      </c>
      <c r="K183" s="1124">
        <v>12</v>
      </c>
      <c r="L183" s="1098">
        <f t="shared" si="17"/>
        <v>144</v>
      </c>
      <c r="M183" s="153">
        <f t="shared" si="18"/>
        <v>8.3333333333333329E-2</v>
      </c>
      <c r="N183" s="1099"/>
      <c r="O183" s="1100">
        <f>'ANSP Capex'!M179</f>
        <v>0</v>
      </c>
      <c r="P183" s="1101">
        <f>IF($BH183=0,0,IF(SUM($O183:O183)&lt;($L183-12),12,$L183-SUM($O183:O183)))</f>
        <v>0</v>
      </c>
      <c r="Q183" s="1101">
        <f>IF($BH183=0,0,IF(SUM($O183:P183)&lt;($L183-12),12,$L183-SUM($O183:P183)))</f>
        <v>0</v>
      </c>
      <c r="R183" s="1101">
        <f>IF($BH183=0,0,IF(SUM($O183:Q183)&lt;($L183-12),12,$L183-SUM($O183:Q183)))</f>
        <v>0</v>
      </c>
      <c r="S183" s="1101">
        <f>IF($BH183=0,0,IF(SUM($O183:R183)&lt;($L183-12),12,$L183-SUM($O183:R183)))</f>
        <v>0</v>
      </c>
      <c r="U183" s="1100"/>
      <c r="V183" s="1100">
        <f>'ANSP Capex'!T179</f>
        <v>3</v>
      </c>
      <c r="W183" s="1101">
        <f>IF($BI183=0,0,IF(SUM($U183:V183)&lt;($L183-12),12,$L183-SUM($U183:V183)))</f>
        <v>12</v>
      </c>
      <c r="X183" s="1101">
        <f>IF($BI183=0,0,IF(SUM($U183:W183)&lt;($L183-12),12,$L183-SUM($U183:W183)))</f>
        <v>12</v>
      </c>
      <c r="Y183" s="1101">
        <f>IF($BI183=0,0,IF(SUM($U183:X183)&lt;($L183-12),12,$L183-SUM($U183:X183)))</f>
        <v>12</v>
      </c>
      <c r="AA183" s="1100"/>
      <c r="AB183" s="1100"/>
      <c r="AC183" s="1100">
        <f>'ANSP Capex'!AA179</f>
        <v>0</v>
      </c>
      <c r="AD183" s="1101">
        <f>IF($BJ183=0,0,IF(SUM($AA183:AC183)&lt;($L183-12),12,$L183-SUM($AA183:AC183)))</f>
        <v>0</v>
      </c>
      <c r="AE183" s="1101">
        <f>IF($BJ183=0,0,IF(SUM($AA183:AD183)&lt;($L183-12),12,$L183-SUM($AA183:AD183)))</f>
        <v>0</v>
      </c>
      <c r="AG183" s="1100"/>
      <c r="AH183" s="1100"/>
      <c r="AI183" s="1100"/>
      <c r="AJ183" s="1100">
        <f>'ANSP Capex'!AH179</f>
        <v>0</v>
      </c>
      <c r="AK183" s="1101">
        <f>IF($BK183=0,0,IF(SUM($AG183:AJ183)&lt;($L183-12),12,$L183-SUM($AG183:AJ183)))</f>
        <v>0</v>
      </c>
      <c r="AM183" s="1100"/>
      <c r="AN183" s="1100"/>
      <c r="AO183" s="1100"/>
      <c r="AP183" s="1100"/>
      <c r="AQ183" s="1100">
        <f>'ANSP Capex'!AO179</f>
        <v>0</v>
      </c>
      <c r="AS183" s="153">
        <f t="shared" si="19"/>
        <v>0</v>
      </c>
      <c r="AT183" s="153">
        <f t="shared" si="20"/>
        <v>0.25</v>
      </c>
      <c r="AU183" s="153">
        <f t="shared" si="21"/>
        <v>0</v>
      </c>
      <c r="AV183" s="153">
        <f t="shared" si="22"/>
        <v>0</v>
      </c>
      <c r="AW183" s="153">
        <f t="shared" si="23"/>
        <v>0</v>
      </c>
      <c r="AX183" s="153"/>
      <c r="AY183" s="1543">
        <f>'ANSP Capex'!AW179</f>
        <v>0</v>
      </c>
      <c r="AZ183" s="1102"/>
      <c r="BA183" s="1543">
        <f>'ANSP Capex'!AY179</f>
        <v>1</v>
      </c>
      <c r="BC183" s="1126"/>
      <c r="BD183" s="1126"/>
      <c r="BE183" s="1126"/>
      <c r="BF183" s="1126"/>
      <c r="BG183" s="1126"/>
      <c r="BH183" s="1126">
        <f>'ANSP Capex'!BF179*IF($I183="",(1+INDEX($I$41:$I$42,MATCH($F183,$F$41:$F$42,0))),(1+$I183))</f>
        <v>0</v>
      </c>
      <c r="BI183" s="1126">
        <f>'ANSP Capex'!BG179*IF($I183="",(1+INDEX($I$41:$I$42,MATCH($F183,$F$41:$F$42,0))),(1+$I183))</f>
        <v>403.13256000000001</v>
      </c>
      <c r="BJ183" s="1126">
        <f>'ANSP Capex'!BH179*IF($I183="",(1+INDEX($I$41:$I$42,MATCH($F183,$F$41:$F$42,0))),(1+$I183))</f>
        <v>0</v>
      </c>
      <c r="BK183" s="1126">
        <f>'ANSP Capex'!BI179*IF($I183="",(1+INDEX($I$41:$I$42,MATCH($F183,$F$41:$F$42,0))),(1+$I183))</f>
        <v>0</v>
      </c>
      <c r="BL183" s="1126">
        <f>'ANSP Capex'!BJ179*IF($I183="",(1+INDEX($I$41:$I$42,MATCH($F183,$F$41:$F$42,0))),(1+$I183))</f>
        <v>0</v>
      </c>
    </row>
    <row r="184" spans="1:64" outlineLevel="1">
      <c r="A184" s="1094"/>
      <c r="B184" s="1094"/>
      <c r="C184" s="1083" t="str">
        <f>'ANSP Capex'!C180</f>
        <v>NAV Aids Replacement Programme Shannon IRVR</v>
      </c>
      <c r="D184" s="1083" t="str">
        <f>'ANSP Capex'!D180</f>
        <v>NAV Aids Replacement Programme</v>
      </c>
      <c r="E184" s="1083" t="str">
        <f>'ANSP Capex'!E180</f>
        <v>R005A</v>
      </c>
      <c r="F184" s="1083" t="str">
        <f>'ANSP Capex'!F180</f>
        <v>2021-2024</v>
      </c>
      <c r="G184" s="1101">
        <f t="shared" si="16"/>
        <v>207.81851200000003</v>
      </c>
      <c r="H184" s="1083" t="str">
        <f>'ANSP Capex'!H180</f>
        <v>€'000</v>
      </c>
      <c r="I184" s="829"/>
      <c r="J184" s="1097">
        <f>'ANSP Capex'!I180</f>
        <v>8</v>
      </c>
      <c r="K184" s="1124">
        <v>12</v>
      </c>
      <c r="L184" s="1098">
        <f t="shared" si="17"/>
        <v>144</v>
      </c>
      <c r="M184" s="153">
        <f t="shared" si="18"/>
        <v>8.3333333333333329E-2</v>
      </c>
      <c r="N184" s="1099"/>
      <c r="O184" s="1100">
        <f>'ANSP Capex'!M180</f>
        <v>0</v>
      </c>
      <c r="P184" s="1101">
        <f>IF($BH184=0,0,IF(SUM($O184:O184)&lt;($L184-12),12,$L184-SUM($O184:O184)))</f>
        <v>0</v>
      </c>
      <c r="Q184" s="1101">
        <f>IF($BH184=0,0,IF(SUM($O184:P184)&lt;($L184-12),12,$L184-SUM($O184:P184)))</f>
        <v>0</v>
      </c>
      <c r="R184" s="1101">
        <f>IF($BH184=0,0,IF(SUM($O184:Q184)&lt;($L184-12),12,$L184-SUM($O184:Q184)))</f>
        <v>0</v>
      </c>
      <c r="S184" s="1101">
        <f>IF($BH184=0,0,IF(SUM($O184:R184)&lt;($L184-12),12,$L184-SUM($O184:R184)))</f>
        <v>0</v>
      </c>
      <c r="U184" s="1100"/>
      <c r="V184" s="1100">
        <f>'ANSP Capex'!T180</f>
        <v>0</v>
      </c>
      <c r="W184" s="1101">
        <f>IF($BI184=0,0,IF(SUM($U184:V184)&lt;($L184-12),12,$L184-SUM($U184:V184)))</f>
        <v>0</v>
      </c>
      <c r="X184" s="1101">
        <f>IF($BI184=0,0,IF(SUM($U184:W184)&lt;($L184-12),12,$L184-SUM($U184:W184)))</f>
        <v>0</v>
      </c>
      <c r="Y184" s="1101">
        <f>IF($BI184=0,0,IF(SUM($U184:X184)&lt;($L184-12),12,$L184-SUM($U184:X184)))</f>
        <v>0</v>
      </c>
      <c r="AA184" s="1100"/>
      <c r="AB184" s="1100"/>
      <c r="AC184" s="1100">
        <f>'ANSP Capex'!AA180</f>
        <v>12</v>
      </c>
      <c r="AD184" s="1101">
        <f>IF($BJ184=0,0,IF(SUM($AA184:AC184)&lt;($L184-12),12,$L184-SUM($AA184:AC184)))</f>
        <v>12</v>
      </c>
      <c r="AE184" s="1101">
        <f>IF($BJ184=0,0,IF(SUM($AA184:AD184)&lt;($L184-12),12,$L184-SUM($AA184:AD184)))</f>
        <v>12</v>
      </c>
      <c r="AG184" s="1100"/>
      <c r="AH184" s="1100"/>
      <c r="AI184" s="1100"/>
      <c r="AJ184" s="1100">
        <f>'ANSP Capex'!AH180</f>
        <v>0</v>
      </c>
      <c r="AK184" s="1101">
        <f>IF($BK184=0,0,IF(SUM($AG184:AJ184)&lt;($L184-12),12,$L184-SUM($AG184:AJ184)))</f>
        <v>0</v>
      </c>
      <c r="AM184" s="1100"/>
      <c r="AN184" s="1100"/>
      <c r="AO184" s="1100"/>
      <c r="AP184" s="1100"/>
      <c r="AQ184" s="1100">
        <f>'ANSP Capex'!AO180</f>
        <v>0</v>
      </c>
      <c r="AS184" s="153">
        <f t="shared" si="19"/>
        <v>0</v>
      </c>
      <c r="AT184" s="153">
        <f t="shared" si="20"/>
        <v>0</v>
      </c>
      <c r="AU184" s="153">
        <f t="shared" si="21"/>
        <v>1</v>
      </c>
      <c r="AV184" s="153">
        <f t="shared" si="22"/>
        <v>0</v>
      </c>
      <c r="AW184" s="153">
        <f t="shared" si="23"/>
        <v>0</v>
      </c>
      <c r="AX184" s="153"/>
      <c r="AY184" s="1543">
        <f>'ANSP Capex'!AW180</f>
        <v>0</v>
      </c>
      <c r="AZ184" s="1102"/>
      <c r="BA184" s="1543">
        <f>'ANSP Capex'!AY180</f>
        <v>1</v>
      </c>
      <c r="BC184" s="1126"/>
      <c r="BD184" s="1126"/>
      <c r="BE184" s="1126"/>
      <c r="BF184" s="1126"/>
      <c r="BG184" s="1126"/>
      <c r="BH184" s="1126">
        <f>'ANSP Capex'!BF180*IF($I184="",(1+INDEX($I$41:$I$42,MATCH($F184,$F$41:$F$42,0))),(1+$I184))</f>
        <v>0</v>
      </c>
      <c r="BI184" s="1126">
        <f>'ANSP Capex'!BG180*IF($I184="",(1+INDEX($I$41:$I$42,MATCH($F184,$F$41:$F$42,0))),(1+$I184))</f>
        <v>0</v>
      </c>
      <c r="BJ184" s="1126">
        <f>'ANSP Capex'!BH180*IF($I184="",(1+INDEX($I$41:$I$42,MATCH($F184,$F$41:$F$42,0))),(1+$I184))</f>
        <v>207.81851200000003</v>
      </c>
      <c r="BK184" s="1126">
        <f>'ANSP Capex'!BI180*IF($I184="",(1+INDEX($I$41:$I$42,MATCH($F184,$F$41:$F$42,0))),(1+$I184))</f>
        <v>0</v>
      </c>
      <c r="BL184" s="1126">
        <f>'ANSP Capex'!BJ180*IF($I184="",(1+INDEX($I$41:$I$42,MATCH($F184,$F$41:$F$42,0))),(1+$I184))</f>
        <v>0</v>
      </c>
    </row>
    <row r="185" spans="1:64" outlineLevel="1">
      <c r="A185" s="1094"/>
      <c r="B185" s="1094"/>
      <c r="C185" s="1083" t="str">
        <f>'ANSP Capex'!C181</f>
        <v>NAV Aids Replacement Programme Cork IRVR</v>
      </c>
      <c r="D185" s="1083" t="str">
        <f>'ANSP Capex'!D181</f>
        <v>NAV Aids Replacement Programme</v>
      </c>
      <c r="E185" s="1083" t="str">
        <f>'ANSP Capex'!E181</f>
        <v>R005A</v>
      </c>
      <c r="F185" s="1083" t="str">
        <f>'ANSP Capex'!F181</f>
        <v>2021-2024</v>
      </c>
      <c r="G185" s="1101">
        <f t="shared" si="16"/>
        <v>228.84512000000001</v>
      </c>
      <c r="H185" s="1083" t="str">
        <f>'ANSP Capex'!H181</f>
        <v>€'000</v>
      </c>
      <c r="I185" s="829"/>
      <c r="J185" s="1097">
        <f>'ANSP Capex'!I181</f>
        <v>8</v>
      </c>
      <c r="K185" s="1124">
        <v>12</v>
      </c>
      <c r="L185" s="1098">
        <f t="shared" si="17"/>
        <v>144</v>
      </c>
      <c r="M185" s="153">
        <f t="shared" si="18"/>
        <v>8.3333333333333329E-2</v>
      </c>
      <c r="N185" s="1099"/>
      <c r="O185" s="1100">
        <f>'ANSP Capex'!M181</f>
        <v>0</v>
      </c>
      <c r="P185" s="1101">
        <f>IF($BH185=0,0,IF(SUM($O185:O185)&lt;($L185-12),12,$L185-SUM($O185:O185)))</f>
        <v>0</v>
      </c>
      <c r="Q185" s="1101">
        <f>IF($BH185=0,0,IF(SUM($O185:P185)&lt;($L185-12),12,$L185-SUM($O185:P185)))</f>
        <v>0</v>
      </c>
      <c r="R185" s="1101">
        <f>IF($BH185=0,0,IF(SUM($O185:Q185)&lt;($L185-12),12,$L185-SUM($O185:Q185)))</f>
        <v>0</v>
      </c>
      <c r="S185" s="1101">
        <f>IF($BH185=0,0,IF(SUM($O185:R185)&lt;($L185-12),12,$L185-SUM($O185:R185)))</f>
        <v>0</v>
      </c>
      <c r="U185" s="1100"/>
      <c r="V185" s="1100">
        <f>'ANSP Capex'!T181</f>
        <v>0</v>
      </c>
      <c r="W185" s="1101">
        <f>IF($BI185=0,0,IF(SUM($U185:V185)&lt;($L185-12),12,$L185-SUM($U185:V185)))</f>
        <v>0</v>
      </c>
      <c r="X185" s="1101">
        <f>IF($BI185=0,0,IF(SUM($U185:W185)&lt;($L185-12),12,$L185-SUM($U185:W185)))</f>
        <v>0</v>
      </c>
      <c r="Y185" s="1101">
        <f>IF($BI185=0,0,IF(SUM($U185:X185)&lt;($L185-12),12,$L185-SUM($U185:X185)))</f>
        <v>0</v>
      </c>
      <c r="AA185" s="1100"/>
      <c r="AB185" s="1100"/>
      <c r="AC185" s="1100">
        <f>'ANSP Capex'!AA181</f>
        <v>9</v>
      </c>
      <c r="AD185" s="1101">
        <f>IF($BJ185=0,0,IF(SUM($AA185:AC185)&lt;($L185-12),12,$L185-SUM($AA185:AC185)))</f>
        <v>12</v>
      </c>
      <c r="AE185" s="1101">
        <f>IF($BJ185=0,0,IF(SUM($AA185:AD185)&lt;($L185-12),12,$L185-SUM($AA185:AD185)))</f>
        <v>12</v>
      </c>
      <c r="AG185" s="1100"/>
      <c r="AH185" s="1100"/>
      <c r="AI185" s="1100"/>
      <c r="AJ185" s="1100">
        <f>'ANSP Capex'!AH181</f>
        <v>0</v>
      </c>
      <c r="AK185" s="1101">
        <f>IF($BK185=0,0,IF(SUM($AG185:AJ185)&lt;($L185-12),12,$L185-SUM($AG185:AJ185)))</f>
        <v>0</v>
      </c>
      <c r="AM185" s="1100"/>
      <c r="AN185" s="1100"/>
      <c r="AO185" s="1100"/>
      <c r="AP185" s="1100"/>
      <c r="AQ185" s="1100">
        <f>'ANSP Capex'!AO181</f>
        <v>0</v>
      </c>
      <c r="AS185" s="153">
        <f t="shared" si="19"/>
        <v>0</v>
      </c>
      <c r="AT185" s="153">
        <f t="shared" si="20"/>
        <v>0</v>
      </c>
      <c r="AU185" s="153">
        <f t="shared" si="21"/>
        <v>0.75</v>
      </c>
      <c r="AV185" s="153">
        <f t="shared" si="22"/>
        <v>0</v>
      </c>
      <c r="AW185" s="153">
        <f t="shared" si="23"/>
        <v>0</v>
      </c>
      <c r="AX185" s="153"/>
      <c r="AY185" s="1543">
        <f>'ANSP Capex'!AW181</f>
        <v>0</v>
      </c>
      <c r="AZ185" s="1102"/>
      <c r="BA185" s="1543">
        <f>'ANSP Capex'!AY181</f>
        <v>1</v>
      </c>
      <c r="BC185" s="1126"/>
      <c r="BD185" s="1126"/>
      <c r="BE185" s="1126"/>
      <c r="BF185" s="1126"/>
      <c r="BG185" s="1126"/>
      <c r="BH185" s="1126">
        <f>'ANSP Capex'!BF181*IF($I185="",(1+INDEX($I$41:$I$42,MATCH($F185,$F$41:$F$42,0))),(1+$I185))</f>
        <v>0</v>
      </c>
      <c r="BI185" s="1126">
        <f>'ANSP Capex'!BG181*IF($I185="",(1+INDEX($I$41:$I$42,MATCH($F185,$F$41:$F$42,0))),(1+$I185))</f>
        <v>0</v>
      </c>
      <c r="BJ185" s="1126">
        <f>'ANSP Capex'!BH181*IF($I185="",(1+INDEX($I$41:$I$42,MATCH($F185,$F$41:$F$42,0))),(1+$I185))</f>
        <v>228.84512000000001</v>
      </c>
      <c r="BK185" s="1126">
        <f>'ANSP Capex'!BI181*IF($I185="",(1+INDEX($I$41:$I$42,MATCH($F185,$F$41:$F$42,0))),(1+$I185))</f>
        <v>0</v>
      </c>
      <c r="BL185" s="1126">
        <f>'ANSP Capex'!BJ181*IF($I185="",(1+INDEX($I$41:$I$42,MATCH($F185,$F$41:$F$42,0))),(1+$I185))</f>
        <v>0</v>
      </c>
    </row>
    <row r="186" spans="1:64" outlineLevel="1">
      <c r="A186" s="1094"/>
      <c r="B186" s="1094"/>
      <c r="C186" s="1083" t="str">
        <f>'ANSP Capex'!C182</f>
        <v>Plant &amp; Equipment upgrades (Chillers, AC etc.)</v>
      </c>
      <c r="D186" s="1083" t="str">
        <f>'ANSP Capex'!D182</f>
        <v>Plant &amp; Equipment upgrades</v>
      </c>
      <c r="E186" s="1083" t="str">
        <f>'ANSP Capex'!E182</f>
        <v>RP3-PROP-3</v>
      </c>
      <c r="F186" s="1083" t="str">
        <f>'ANSP Capex'!F182</f>
        <v>2021-2024</v>
      </c>
      <c r="G186" s="1101">
        <f t="shared" si="16"/>
        <v>0</v>
      </c>
      <c r="H186" s="1083" t="str">
        <f>'ANSP Capex'!H182</f>
        <v>€'000</v>
      </c>
      <c r="I186" s="829"/>
      <c r="J186" s="1097">
        <f>'ANSP Capex'!I182</f>
        <v>1</v>
      </c>
      <c r="K186" s="1124">
        <v>15</v>
      </c>
      <c r="L186" s="1098">
        <f t="shared" si="17"/>
        <v>180</v>
      </c>
      <c r="M186" s="153">
        <f t="shared" si="18"/>
        <v>6.6666666666666666E-2</v>
      </c>
      <c r="N186" s="1099"/>
      <c r="O186" s="1100">
        <f>'ANSP Capex'!M182</f>
        <v>0</v>
      </c>
      <c r="P186" s="1101">
        <f>IF($BH186=0,0,IF(SUM($O186:O186)&lt;($L186-12),12,$L186-SUM($O186:O186)))</f>
        <v>0</v>
      </c>
      <c r="Q186" s="1101">
        <f>IF($BH186=0,0,IF(SUM($O186:P186)&lt;($L186-12),12,$L186-SUM($O186:P186)))</f>
        <v>0</v>
      </c>
      <c r="R186" s="1101">
        <f>IF($BH186=0,0,IF(SUM($O186:Q186)&lt;($L186-12),12,$L186-SUM($O186:Q186)))</f>
        <v>0</v>
      </c>
      <c r="S186" s="1101">
        <f>IF($BH186=0,0,IF(SUM($O186:R186)&lt;($L186-12),12,$L186-SUM($O186:R186)))</f>
        <v>0</v>
      </c>
      <c r="U186" s="1100"/>
      <c r="V186" s="1100">
        <f>'ANSP Capex'!T182</f>
        <v>0</v>
      </c>
      <c r="W186" s="1101">
        <f>IF($BI186=0,0,IF(SUM($U186:V186)&lt;($L186-12),12,$L186-SUM($U186:V186)))</f>
        <v>0</v>
      </c>
      <c r="X186" s="1101">
        <f>IF($BI186=0,0,IF(SUM($U186:W186)&lt;($L186-12),12,$L186-SUM($U186:W186)))</f>
        <v>0</v>
      </c>
      <c r="Y186" s="1101">
        <f>IF($BI186=0,0,IF(SUM($U186:X186)&lt;($L186-12),12,$L186-SUM($U186:X186)))</f>
        <v>0</v>
      </c>
      <c r="AA186" s="1100"/>
      <c r="AB186" s="1100"/>
      <c r="AC186" s="1100">
        <f>'ANSP Capex'!AA182</f>
        <v>0</v>
      </c>
      <c r="AD186" s="1101">
        <f>IF($BJ186=0,0,IF(SUM($AA186:AC186)&lt;($L186-12),12,$L186-SUM($AA186:AC186)))</f>
        <v>0</v>
      </c>
      <c r="AE186" s="1101">
        <f>IF($BJ186=0,0,IF(SUM($AA186:AD186)&lt;($L186-12),12,$L186-SUM($AA186:AD186)))</f>
        <v>0</v>
      </c>
      <c r="AG186" s="1100"/>
      <c r="AH186" s="1100"/>
      <c r="AI186" s="1100"/>
      <c r="AJ186" s="1100">
        <f>'ANSP Capex'!AH182</f>
        <v>0</v>
      </c>
      <c r="AK186" s="1101">
        <f>IF($BK186=0,0,IF(SUM($AG186:AJ186)&lt;($L186-12),12,$L186-SUM($AG186:AJ186)))</f>
        <v>0</v>
      </c>
      <c r="AM186" s="1100"/>
      <c r="AN186" s="1100"/>
      <c r="AO186" s="1100"/>
      <c r="AP186" s="1100"/>
      <c r="AQ186" s="1100">
        <f>'ANSP Capex'!AO182</f>
        <v>0</v>
      </c>
      <c r="AS186" s="153">
        <f t="shared" si="19"/>
        <v>0</v>
      </c>
      <c r="AT186" s="153">
        <f t="shared" si="20"/>
        <v>0</v>
      </c>
      <c r="AU186" s="153">
        <f t="shared" si="21"/>
        <v>0</v>
      </c>
      <c r="AV186" s="153">
        <f t="shared" si="22"/>
        <v>0</v>
      </c>
      <c r="AW186" s="153">
        <f t="shared" si="23"/>
        <v>0</v>
      </c>
      <c r="AX186" s="153"/>
      <c r="AY186" s="1543">
        <f>'ANSP Capex'!AW182</f>
        <v>0</v>
      </c>
      <c r="AZ186" s="1102"/>
      <c r="BA186" s="1543">
        <f>'ANSP Capex'!AY182</f>
        <v>0</v>
      </c>
      <c r="BC186" s="1126"/>
      <c r="BD186" s="1126"/>
      <c r="BE186" s="1126"/>
      <c r="BF186" s="1126"/>
      <c r="BG186" s="1126"/>
      <c r="BH186" s="1126">
        <f>'ANSP Capex'!BF182*IF($I186="",(1+INDEX($I$41:$I$42,MATCH($F186,$F$41:$F$42,0))),(1+$I186))</f>
        <v>0</v>
      </c>
      <c r="BI186" s="1126">
        <f>'ANSP Capex'!BG182*IF($I186="",(1+INDEX($I$41:$I$42,MATCH($F186,$F$41:$F$42,0))),(1+$I186))</f>
        <v>0</v>
      </c>
      <c r="BJ186" s="1126">
        <f>'ANSP Capex'!BH182*IF($I186="",(1+INDEX($I$41:$I$42,MATCH($F186,$F$41:$F$42,0))),(1+$I186))</f>
        <v>0</v>
      </c>
      <c r="BK186" s="1126">
        <f>'ANSP Capex'!BI182*IF($I186="",(1+INDEX($I$41:$I$42,MATCH($F186,$F$41:$F$42,0))),(1+$I186))</f>
        <v>0</v>
      </c>
      <c r="BL186" s="1126">
        <f>'ANSP Capex'!BJ182*IF($I186="",(1+INDEX($I$41:$I$42,MATCH($F186,$F$41:$F$42,0))),(1+$I186))</f>
        <v>0</v>
      </c>
    </row>
    <row r="187" spans="1:64" outlineLevel="1">
      <c r="A187" s="1094"/>
      <c r="B187" s="1094"/>
      <c r="C187" s="1083" t="str">
        <f>'ANSP Capex'!C183</f>
        <v>Plant &amp; Equipment upgrades Shannon En Route</v>
      </c>
      <c r="D187" s="1083" t="str">
        <f>'ANSP Capex'!D183</f>
        <v>Plant &amp; Equipment upgrades</v>
      </c>
      <c r="E187" s="1083" t="str">
        <f>'ANSP Capex'!E183</f>
        <v>RP3-PROP-3</v>
      </c>
      <c r="F187" s="1083" t="str">
        <f>'ANSP Capex'!F183</f>
        <v>2021-2024</v>
      </c>
      <c r="G187" s="1101">
        <f t="shared" si="16"/>
        <v>1486</v>
      </c>
      <c r="H187" s="1083" t="str">
        <f>'ANSP Capex'!H183</f>
        <v>€'000</v>
      </c>
      <c r="I187" s="829"/>
      <c r="J187" s="1097">
        <f>'ANSP Capex'!I183</f>
        <v>8</v>
      </c>
      <c r="K187" s="1124">
        <v>15</v>
      </c>
      <c r="L187" s="1098">
        <f t="shared" si="17"/>
        <v>180</v>
      </c>
      <c r="M187" s="153">
        <f t="shared" si="18"/>
        <v>6.6666666666666666E-2</v>
      </c>
      <c r="N187" s="1099"/>
      <c r="O187" s="1100">
        <f>'ANSP Capex'!M183</f>
        <v>0</v>
      </c>
      <c r="P187" s="1101">
        <f>IF($BH187=0,0,IF(SUM($O187:O187)&lt;($L187-12),12,$L187-SUM($O187:O187)))</f>
        <v>0</v>
      </c>
      <c r="Q187" s="1101">
        <f>IF($BH187=0,0,IF(SUM($O187:P187)&lt;($L187-12),12,$L187-SUM($O187:P187)))</f>
        <v>0</v>
      </c>
      <c r="R187" s="1101">
        <f>IF($BH187=0,0,IF(SUM($O187:Q187)&lt;($L187-12),12,$L187-SUM($O187:Q187)))</f>
        <v>0</v>
      </c>
      <c r="S187" s="1101">
        <f>IF($BH187=0,0,IF(SUM($O187:R187)&lt;($L187-12),12,$L187-SUM($O187:R187)))</f>
        <v>0</v>
      </c>
      <c r="U187" s="1100"/>
      <c r="V187" s="1100">
        <f>'ANSP Capex'!T183</f>
        <v>0</v>
      </c>
      <c r="W187" s="1101">
        <f>IF($BI187=0,0,IF(SUM($U187:V187)&lt;($L187-12),12,$L187-SUM($U187:V187)))</f>
        <v>0</v>
      </c>
      <c r="X187" s="1101">
        <f>IF($BI187=0,0,IF(SUM($U187:W187)&lt;($L187-12),12,$L187-SUM($U187:W187)))</f>
        <v>0</v>
      </c>
      <c r="Y187" s="1101">
        <f>IF($BI187=0,0,IF(SUM($U187:X187)&lt;($L187-12),12,$L187-SUM($U187:X187)))</f>
        <v>0</v>
      </c>
      <c r="AA187" s="1100"/>
      <c r="AB187" s="1100"/>
      <c r="AC187" s="1100">
        <f>'ANSP Capex'!AA183</f>
        <v>0</v>
      </c>
      <c r="AD187" s="1101">
        <f>IF($BJ187=0,0,IF(SUM($AA187:AC187)&lt;($L187-12),12,$L187-SUM($AA187:AC187)))</f>
        <v>0</v>
      </c>
      <c r="AE187" s="1101">
        <f>IF($BJ187=0,0,IF(SUM($AA187:AD187)&lt;($L187-12),12,$L187-SUM($AA187:AD187)))</f>
        <v>0</v>
      </c>
      <c r="AG187" s="1100"/>
      <c r="AH187" s="1100"/>
      <c r="AI187" s="1100"/>
      <c r="AJ187" s="1100">
        <f>'ANSP Capex'!AH183</f>
        <v>12</v>
      </c>
      <c r="AK187" s="1101">
        <f>IF($BK187=0,0,IF(SUM($AG187:AJ187)&lt;($L187-12),12,$L187-SUM($AG187:AJ187)))</f>
        <v>12</v>
      </c>
      <c r="AM187" s="1100"/>
      <c r="AN187" s="1100"/>
      <c r="AO187" s="1100"/>
      <c r="AP187" s="1100"/>
      <c r="AQ187" s="1100">
        <f>'ANSP Capex'!AO183</f>
        <v>0</v>
      </c>
      <c r="AS187" s="153">
        <f t="shared" si="19"/>
        <v>0</v>
      </c>
      <c r="AT187" s="153">
        <f t="shared" si="20"/>
        <v>0</v>
      </c>
      <c r="AU187" s="153">
        <f t="shared" si="21"/>
        <v>0</v>
      </c>
      <c r="AV187" s="153">
        <f t="shared" si="22"/>
        <v>1</v>
      </c>
      <c r="AW187" s="153">
        <f t="shared" si="23"/>
        <v>0</v>
      </c>
      <c r="AX187" s="153"/>
      <c r="AY187" s="1543">
        <f>'ANSP Capex'!AW183</f>
        <v>1</v>
      </c>
      <c r="AZ187" s="1102"/>
      <c r="BA187" s="1543">
        <f>'ANSP Capex'!AY183</f>
        <v>0</v>
      </c>
      <c r="BC187" s="1126"/>
      <c r="BD187" s="1126"/>
      <c r="BE187" s="1126"/>
      <c r="BF187" s="1126"/>
      <c r="BG187" s="1126"/>
      <c r="BH187" s="1126">
        <f>'ANSP Capex'!BF183*IF($I187="",(1+INDEX($I$41:$I$42,MATCH($F187,$F$41:$F$42,0))),(1+$I187))</f>
        <v>0</v>
      </c>
      <c r="BI187" s="1126">
        <f>'ANSP Capex'!BG183*IF($I187="",(1+INDEX($I$41:$I$42,MATCH($F187,$F$41:$F$42,0))),(1+$I187))</f>
        <v>0</v>
      </c>
      <c r="BJ187" s="1126">
        <f>'ANSP Capex'!BH183*IF($I187="",(1+INDEX($I$41:$I$42,MATCH($F187,$F$41:$F$42,0))),(1+$I187))</f>
        <v>0</v>
      </c>
      <c r="BK187" s="1126">
        <f>'ANSP Capex'!BI183*IF($I187="",(1+INDEX($I$41:$I$42,MATCH($F187,$F$41:$F$42,0))),(1+$I187))</f>
        <v>1486</v>
      </c>
      <c r="BL187" s="1126">
        <f>'ANSP Capex'!BJ183*IF($I187="",(1+INDEX($I$41:$I$42,MATCH($F187,$F$41:$F$42,0))),(1+$I187))</f>
        <v>0</v>
      </c>
    </row>
    <row r="188" spans="1:64" outlineLevel="1">
      <c r="A188" s="1094"/>
      <c r="B188" s="1094"/>
      <c r="C188" s="1083" t="str">
        <f>'ANSP Capex'!C184</f>
        <v>Plant &amp; Equipment upgrades Shannon Joint</v>
      </c>
      <c r="D188" s="1083" t="str">
        <f>'ANSP Capex'!D184</f>
        <v>Plant &amp; Equipment upgrades</v>
      </c>
      <c r="E188" s="1083" t="str">
        <f>'ANSP Capex'!E184</f>
        <v>RP3-PROP-3</v>
      </c>
      <c r="F188" s="1083" t="str">
        <f>'ANSP Capex'!F184</f>
        <v>2021-2024</v>
      </c>
      <c r="G188" s="1101">
        <f t="shared" si="16"/>
        <v>246</v>
      </c>
      <c r="H188" s="1083" t="str">
        <f>'ANSP Capex'!H184</f>
        <v>€'000</v>
      </c>
      <c r="I188" s="829"/>
      <c r="J188" s="1097">
        <f>'ANSP Capex'!I184</f>
        <v>8</v>
      </c>
      <c r="K188" s="1124">
        <v>15</v>
      </c>
      <c r="L188" s="1098">
        <f t="shared" si="17"/>
        <v>180</v>
      </c>
      <c r="M188" s="153">
        <f t="shared" si="18"/>
        <v>6.6666666666666666E-2</v>
      </c>
      <c r="N188" s="1099"/>
      <c r="O188" s="1100">
        <f>'ANSP Capex'!M184</f>
        <v>0</v>
      </c>
      <c r="P188" s="1101">
        <f>IF($BH188=0,0,IF(SUM($O188:O188)&lt;($L188-12),12,$L188-SUM($O188:O188)))</f>
        <v>0</v>
      </c>
      <c r="Q188" s="1101">
        <f>IF($BH188=0,0,IF(SUM($O188:P188)&lt;($L188-12),12,$L188-SUM($O188:P188)))</f>
        <v>0</v>
      </c>
      <c r="R188" s="1101">
        <f>IF($BH188=0,0,IF(SUM($O188:Q188)&lt;($L188-12),12,$L188-SUM($O188:Q188)))</f>
        <v>0</v>
      </c>
      <c r="S188" s="1101">
        <f>IF($BH188=0,0,IF(SUM($O188:R188)&lt;($L188-12),12,$L188-SUM($O188:R188)))</f>
        <v>0</v>
      </c>
      <c r="U188" s="1100"/>
      <c r="V188" s="1100">
        <f>'ANSP Capex'!T184</f>
        <v>0</v>
      </c>
      <c r="W188" s="1101">
        <f>IF($BI188=0,0,IF(SUM($U188:V188)&lt;($L188-12),12,$L188-SUM($U188:V188)))</f>
        <v>0</v>
      </c>
      <c r="X188" s="1101">
        <f>IF($BI188=0,0,IF(SUM($U188:W188)&lt;($L188-12),12,$L188-SUM($U188:W188)))</f>
        <v>0</v>
      </c>
      <c r="Y188" s="1101">
        <f>IF($BI188=0,0,IF(SUM($U188:X188)&lt;($L188-12),12,$L188-SUM($U188:X188)))</f>
        <v>0</v>
      </c>
      <c r="AA188" s="1100"/>
      <c r="AB188" s="1100"/>
      <c r="AC188" s="1100">
        <f>'ANSP Capex'!AA184</f>
        <v>3</v>
      </c>
      <c r="AD188" s="1101">
        <f>IF($BJ188=0,0,IF(SUM($AA188:AC188)&lt;($L188-12),12,$L188-SUM($AA188:AC188)))</f>
        <v>12</v>
      </c>
      <c r="AE188" s="1101">
        <f>IF($BJ188=0,0,IF(SUM($AA188:AD188)&lt;($L188-12),12,$L188-SUM($AA188:AD188)))</f>
        <v>12</v>
      </c>
      <c r="AG188" s="1100"/>
      <c r="AH188" s="1100"/>
      <c r="AI188" s="1100"/>
      <c r="AJ188" s="1100">
        <f>'ANSP Capex'!AH184</f>
        <v>0</v>
      </c>
      <c r="AK188" s="1101">
        <f>IF($BK188=0,0,IF(SUM($AG188:AJ188)&lt;($L188-12),12,$L188-SUM($AG188:AJ188)))</f>
        <v>0</v>
      </c>
      <c r="AM188" s="1100"/>
      <c r="AN188" s="1100"/>
      <c r="AO188" s="1100"/>
      <c r="AP188" s="1100"/>
      <c r="AQ188" s="1100">
        <f>'ANSP Capex'!AO184</f>
        <v>12</v>
      </c>
      <c r="AS188" s="153">
        <f t="shared" si="19"/>
        <v>0</v>
      </c>
      <c r="AT188" s="153">
        <f t="shared" si="20"/>
        <v>0</v>
      </c>
      <c r="AU188" s="153">
        <f t="shared" si="21"/>
        <v>0.25</v>
      </c>
      <c r="AV188" s="153">
        <f t="shared" si="22"/>
        <v>0</v>
      </c>
      <c r="AW188" s="153">
        <f t="shared" si="23"/>
        <v>1</v>
      </c>
      <c r="AX188" s="153"/>
      <c r="AY188" s="1543">
        <f>'ANSP Capex'!AW184</f>
        <v>0.75</v>
      </c>
      <c r="AZ188" s="1102"/>
      <c r="BA188" s="1543">
        <f>'ANSP Capex'!AY184</f>
        <v>0.25</v>
      </c>
      <c r="BC188" s="1126"/>
      <c r="BD188" s="1126"/>
      <c r="BE188" s="1126"/>
      <c r="BF188" s="1126"/>
      <c r="BG188" s="1126"/>
      <c r="BH188" s="1126">
        <f>'ANSP Capex'!BF184*IF($I188="",(1+INDEX($I$41:$I$42,MATCH($F188,$F$41:$F$42,0))),(1+$I188))</f>
        <v>0</v>
      </c>
      <c r="BI188" s="1126">
        <f>'ANSP Capex'!BG184*IF($I188="",(1+INDEX($I$41:$I$42,MATCH($F188,$F$41:$F$42,0))),(1+$I188))</f>
        <v>0</v>
      </c>
      <c r="BJ188" s="1126">
        <f>'ANSP Capex'!BH184*IF($I188="",(1+INDEX($I$41:$I$42,MATCH($F188,$F$41:$F$42,0))),(1+$I188))</f>
        <v>60</v>
      </c>
      <c r="BK188" s="1126">
        <f>'ANSP Capex'!BI184*IF($I188="",(1+INDEX($I$41:$I$42,MATCH($F188,$F$41:$F$42,0))),(1+$I188))</f>
        <v>0</v>
      </c>
      <c r="BL188" s="1126">
        <f>'ANSP Capex'!BJ184*IF($I188="",(1+INDEX($I$41:$I$42,MATCH($F188,$F$41:$F$42,0))),(1+$I188))</f>
        <v>186</v>
      </c>
    </row>
    <row r="189" spans="1:64" outlineLevel="1">
      <c r="A189" s="1094"/>
      <c r="B189" s="1094"/>
      <c r="C189" s="1083" t="str">
        <f>'ANSP Capex'!C185</f>
        <v>Plant &amp; Equipment upgrades Shannon Terminal</v>
      </c>
      <c r="D189" s="1083" t="str">
        <f>'ANSP Capex'!D185</f>
        <v>Plant &amp; Equipment upgrades</v>
      </c>
      <c r="E189" s="1083" t="str">
        <f>'ANSP Capex'!E185</f>
        <v>RP3-PROP-3</v>
      </c>
      <c r="F189" s="1083" t="str">
        <f>'ANSP Capex'!F185</f>
        <v>2021-2024</v>
      </c>
      <c r="G189" s="1101">
        <f t="shared" si="16"/>
        <v>620</v>
      </c>
      <c r="H189" s="1083" t="str">
        <f>'ANSP Capex'!H185</f>
        <v>€'000</v>
      </c>
      <c r="I189" s="829"/>
      <c r="J189" s="1097">
        <f>'ANSP Capex'!I185</f>
        <v>8</v>
      </c>
      <c r="K189" s="1124">
        <v>15</v>
      </c>
      <c r="L189" s="1098">
        <f t="shared" si="17"/>
        <v>180</v>
      </c>
      <c r="M189" s="153">
        <f t="shared" si="18"/>
        <v>6.6666666666666666E-2</v>
      </c>
      <c r="N189" s="1099"/>
      <c r="O189" s="1100">
        <f>'ANSP Capex'!M185</f>
        <v>0</v>
      </c>
      <c r="P189" s="1101">
        <f>IF($BH189=0,0,IF(SUM($O189:O189)&lt;($L189-12),12,$L189-SUM($O189:O189)))</f>
        <v>0</v>
      </c>
      <c r="Q189" s="1101">
        <f>IF($BH189=0,0,IF(SUM($O189:P189)&lt;($L189-12),12,$L189-SUM($O189:P189)))</f>
        <v>0</v>
      </c>
      <c r="R189" s="1101">
        <f>IF($BH189=0,0,IF(SUM($O189:Q189)&lt;($L189-12),12,$L189-SUM($O189:Q189)))</f>
        <v>0</v>
      </c>
      <c r="S189" s="1101">
        <f>IF($BH189=0,0,IF(SUM($O189:R189)&lt;($L189-12),12,$L189-SUM($O189:R189)))</f>
        <v>0</v>
      </c>
      <c r="U189" s="1100"/>
      <c r="V189" s="1100">
        <f>'ANSP Capex'!T185</f>
        <v>0</v>
      </c>
      <c r="W189" s="1101">
        <f>IF($BI189=0,0,IF(SUM($U189:V189)&lt;($L189-12),12,$L189-SUM($U189:V189)))</f>
        <v>0</v>
      </c>
      <c r="X189" s="1101">
        <f>IF($BI189=0,0,IF(SUM($U189:W189)&lt;($L189-12),12,$L189-SUM($U189:W189)))</f>
        <v>0</v>
      </c>
      <c r="Y189" s="1101">
        <f>IF($BI189=0,0,IF(SUM($U189:X189)&lt;($L189-12),12,$L189-SUM($U189:X189)))</f>
        <v>0</v>
      </c>
      <c r="AA189" s="1100"/>
      <c r="AB189" s="1100"/>
      <c r="AC189" s="1100">
        <f>'ANSP Capex'!AA185</f>
        <v>0</v>
      </c>
      <c r="AD189" s="1101">
        <f>IF($BJ189=0,0,IF(SUM($AA189:AC189)&lt;($L189-12),12,$L189-SUM($AA189:AC189)))</f>
        <v>0</v>
      </c>
      <c r="AE189" s="1101">
        <f>IF($BJ189=0,0,IF(SUM($AA189:AD189)&lt;($L189-12),12,$L189-SUM($AA189:AD189)))</f>
        <v>0</v>
      </c>
      <c r="AG189" s="1100"/>
      <c r="AH189" s="1100"/>
      <c r="AI189" s="1100"/>
      <c r="AJ189" s="1100">
        <f>'ANSP Capex'!AH185</f>
        <v>12</v>
      </c>
      <c r="AK189" s="1101">
        <f>IF($BK189=0,0,IF(SUM($AG189:AJ189)&lt;($L189-12),12,$L189-SUM($AG189:AJ189)))</f>
        <v>12</v>
      </c>
      <c r="AM189" s="1100"/>
      <c r="AN189" s="1100"/>
      <c r="AO189" s="1100"/>
      <c r="AP189" s="1100"/>
      <c r="AQ189" s="1100">
        <f>'ANSP Capex'!AO185</f>
        <v>0</v>
      </c>
      <c r="AS189" s="153">
        <f t="shared" si="19"/>
        <v>0</v>
      </c>
      <c r="AT189" s="153">
        <f t="shared" si="20"/>
        <v>0</v>
      </c>
      <c r="AU189" s="153">
        <f t="shared" si="21"/>
        <v>0</v>
      </c>
      <c r="AV189" s="153">
        <f t="shared" si="22"/>
        <v>1</v>
      </c>
      <c r="AW189" s="153">
        <f t="shared" si="23"/>
        <v>0</v>
      </c>
      <c r="AX189" s="153"/>
      <c r="AY189" s="1543">
        <f>'ANSP Capex'!AW185</f>
        <v>0</v>
      </c>
      <c r="AZ189" s="1102"/>
      <c r="BA189" s="1543">
        <f>'ANSP Capex'!AY185</f>
        <v>1</v>
      </c>
      <c r="BC189" s="1126"/>
      <c r="BD189" s="1126"/>
      <c r="BE189" s="1126"/>
      <c r="BF189" s="1126"/>
      <c r="BG189" s="1126"/>
      <c r="BH189" s="1126">
        <f>'ANSP Capex'!BF185*IF($I189="",(1+INDEX($I$41:$I$42,MATCH($F189,$F$41:$F$42,0))),(1+$I189))</f>
        <v>0</v>
      </c>
      <c r="BI189" s="1126">
        <f>'ANSP Capex'!BG185*IF($I189="",(1+INDEX($I$41:$I$42,MATCH($F189,$F$41:$F$42,0))),(1+$I189))</f>
        <v>0</v>
      </c>
      <c r="BJ189" s="1126">
        <f>'ANSP Capex'!BH185*IF($I189="",(1+INDEX($I$41:$I$42,MATCH($F189,$F$41:$F$42,0))),(1+$I189))</f>
        <v>0</v>
      </c>
      <c r="BK189" s="1126">
        <f>'ANSP Capex'!BI185*IF($I189="",(1+INDEX($I$41:$I$42,MATCH($F189,$F$41:$F$42,0))),(1+$I189))</f>
        <v>620</v>
      </c>
      <c r="BL189" s="1126">
        <f>'ANSP Capex'!BJ185*IF($I189="",(1+INDEX($I$41:$I$42,MATCH($F189,$F$41:$F$42,0))),(1+$I189))</f>
        <v>0</v>
      </c>
    </row>
    <row r="190" spans="1:64" outlineLevel="1">
      <c r="A190" s="1094"/>
      <c r="B190" s="1094"/>
      <c r="C190" s="1083" t="str">
        <f>'ANSP Capex'!C186</f>
        <v>Plant &amp; Equipment upgrades Dublin Joint</v>
      </c>
      <c r="D190" s="1083" t="str">
        <f>'ANSP Capex'!D186</f>
        <v>Plant &amp; Equipment upgrades</v>
      </c>
      <c r="E190" s="1083" t="str">
        <f>'ANSP Capex'!E186</f>
        <v>RP3-PROP-3</v>
      </c>
      <c r="F190" s="1083" t="str">
        <f>'ANSP Capex'!F186</f>
        <v>2021-2024</v>
      </c>
      <c r="G190" s="1101">
        <f t="shared" si="16"/>
        <v>1302</v>
      </c>
      <c r="H190" s="1083" t="str">
        <f>'ANSP Capex'!H186</f>
        <v>€'000</v>
      </c>
      <c r="I190" s="829"/>
      <c r="J190" s="1097">
        <f>'ANSP Capex'!I186</f>
        <v>8</v>
      </c>
      <c r="K190" s="1124">
        <v>15</v>
      </c>
      <c r="L190" s="1098">
        <f t="shared" si="17"/>
        <v>180</v>
      </c>
      <c r="M190" s="153">
        <f t="shared" si="18"/>
        <v>6.6666666666666666E-2</v>
      </c>
      <c r="N190" s="1099"/>
      <c r="O190" s="1100">
        <f>'ANSP Capex'!M186</f>
        <v>0</v>
      </c>
      <c r="P190" s="1101">
        <f>IF($BH190=0,0,IF(SUM($O190:O190)&lt;($L190-12),12,$L190-SUM($O190:O190)))</f>
        <v>0</v>
      </c>
      <c r="Q190" s="1101">
        <f>IF($BH190=0,0,IF(SUM($O190:P190)&lt;($L190-12),12,$L190-SUM($O190:P190)))</f>
        <v>0</v>
      </c>
      <c r="R190" s="1101">
        <f>IF($BH190=0,0,IF(SUM($O190:Q190)&lt;($L190-12),12,$L190-SUM($O190:Q190)))</f>
        <v>0</v>
      </c>
      <c r="S190" s="1101">
        <f>IF($BH190=0,0,IF(SUM($O190:R190)&lt;($L190-12),12,$L190-SUM($O190:R190)))</f>
        <v>0</v>
      </c>
      <c r="U190" s="1100"/>
      <c r="V190" s="1100">
        <f>'ANSP Capex'!T186</f>
        <v>0</v>
      </c>
      <c r="W190" s="1101">
        <f>IF($BI190=0,0,IF(SUM($U190:V190)&lt;($L190-12),12,$L190-SUM($U190:V190)))</f>
        <v>0</v>
      </c>
      <c r="X190" s="1101">
        <f>IF($BI190=0,0,IF(SUM($U190:W190)&lt;($L190-12),12,$L190-SUM($U190:W190)))</f>
        <v>0</v>
      </c>
      <c r="Y190" s="1101">
        <f>IF($BI190=0,0,IF(SUM($U190:X190)&lt;($L190-12),12,$L190-SUM($U190:X190)))</f>
        <v>0</v>
      </c>
      <c r="AA190" s="1100"/>
      <c r="AB190" s="1100"/>
      <c r="AC190" s="1100">
        <f>'ANSP Capex'!AA186</f>
        <v>0</v>
      </c>
      <c r="AD190" s="1101">
        <f>IF($BJ190=0,0,IF(SUM($AA190:AC190)&lt;($L190-12),12,$L190-SUM($AA190:AC190)))</f>
        <v>0</v>
      </c>
      <c r="AE190" s="1101">
        <f>IF($BJ190=0,0,IF(SUM($AA190:AD190)&lt;($L190-12),12,$L190-SUM($AA190:AD190)))</f>
        <v>0</v>
      </c>
      <c r="AG190" s="1100"/>
      <c r="AH190" s="1100"/>
      <c r="AI190" s="1100"/>
      <c r="AJ190" s="1100">
        <f>'ANSP Capex'!AH186</f>
        <v>12</v>
      </c>
      <c r="AK190" s="1101">
        <f>IF($BK190=0,0,IF(SUM($AG190:AJ190)&lt;($L190-12),12,$L190-SUM($AG190:AJ190)))</f>
        <v>12</v>
      </c>
      <c r="AM190" s="1100"/>
      <c r="AN190" s="1100"/>
      <c r="AO190" s="1100"/>
      <c r="AP190" s="1100"/>
      <c r="AQ190" s="1100">
        <f>'ANSP Capex'!AO186</f>
        <v>0</v>
      </c>
      <c r="AS190" s="153">
        <f t="shared" si="19"/>
        <v>0</v>
      </c>
      <c r="AT190" s="153">
        <f t="shared" si="20"/>
        <v>0</v>
      </c>
      <c r="AU190" s="153">
        <f t="shared" si="21"/>
        <v>0</v>
      </c>
      <c r="AV190" s="153">
        <f t="shared" si="22"/>
        <v>1</v>
      </c>
      <c r="AW190" s="153">
        <f t="shared" si="23"/>
        <v>0</v>
      </c>
      <c r="AX190" s="153"/>
      <c r="AY190" s="1543">
        <f>'ANSP Capex'!AW186</f>
        <v>0.75</v>
      </c>
      <c r="AZ190" s="1102"/>
      <c r="BA190" s="1543">
        <f>'ANSP Capex'!AY186</f>
        <v>0.25</v>
      </c>
      <c r="BC190" s="1126"/>
      <c r="BD190" s="1126"/>
      <c r="BE190" s="1126"/>
      <c r="BF190" s="1126"/>
      <c r="BG190" s="1126"/>
      <c r="BH190" s="1126">
        <f>'ANSP Capex'!BF186*IF($I190="",(1+INDEX($I$41:$I$42,MATCH($F190,$F$41:$F$42,0))),(1+$I190))</f>
        <v>0</v>
      </c>
      <c r="BI190" s="1126">
        <f>'ANSP Capex'!BG186*IF($I190="",(1+INDEX($I$41:$I$42,MATCH($F190,$F$41:$F$42,0))),(1+$I190))</f>
        <v>0</v>
      </c>
      <c r="BJ190" s="1126">
        <f>'ANSP Capex'!BH186*IF($I190="",(1+INDEX($I$41:$I$42,MATCH($F190,$F$41:$F$42,0))),(1+$I190))</f>
        <v>0</v>
      </c>
      <c r="BK190" s="1126">
        <f>'ANSP Capex'!BI186*IF($I190="",(1+INDEX($I$41:$I$42,MATCH($F190,$F$41:$F$42,0))),(1+$I190))</f>
        <v>1302</v>
      </c>
      <c r="BL190" s="1126">
        <f>'ANSP Capex'!BJ186*IF($I190="",(1+INDEX($I$41:$I$42,MATCH($F190,$F$41:$F$42,0))),(1+$I190))</f>
        <v>0</v>
      </c>
    </row>
    <row r="191" spans="1:64" outlineLevel="1">
      <c r="A191" s="1094"/>
      <c r="B191" s="1094"/>
      <c r="C191" s="1083" t="str">
        <f>'ANSP Capex'!C187</f>
        <v>Plant &amp; Equipment upgrades Cork Terminal</v>
      </c>
      <c r="D191" s="1083" t="str">
        <f>'ANSP Capex'!D187</f>
        <v>Plant &amp; Equipment upgrades</v>
      </c>
      <c r="E191" s="1083" t="str">
        <f>'ANSP Capex'!E187</f>
        <v>RP3-PROP-3</v>
      </c>
      <c r="F191" s="1083" t="str">
        <f>'ANSP Capex'!F187</f>
        <v>2021-2024</v>
      </c>
      <c r="G191" s="1101">
        <f t="shared" si="16"/>
        <v>93</v>
      </c>
      <c r="H191" s="1083" t="str">
        <f>'ANSP Capex'!H187</f>
        <v>€'000</v>
      </c>
      <c r="I191" s="829"/>
      <c r="J191" s="1097">
        <f>'ANSP Capex'!I187</f>
        <v>8</v>
      </c>
      <c r="K191" s="1124">
        <v>15</v>
      </c>
      <c r="L191" s="1098">
        <f t="shared" si="17"/>
        <v>180</v>
      </c>
      <c r="M191" s="153">
        <f t="shared" si="18"/>
        <v>6.6666666666666666E-2</v>
      </c>
      <c r="N191" s="1099"/>
      <c r="O191" s="1100">
        <f>'ANSP Capex'!M187</f>
        <v>0</v>
      </c>
      <c r="P191" s="1101">
        <f>IF($BH191=0,0,IF(SUM($O191:O191)&lt;($L191-12),12,$L191-SUM($O191:O191)))</f>
        <v>0</v>
      </c>
      <c r="Q191" s="1101">
        <f>IF($BH191=0,0,IF(SUM($O191:P191)&lt;($L191-12),12,$L191-SUM($O191:P191)))</f>
        <v>0</v>
      </c>
      <c r="R191" s="1101">
        <f>IF($BH191=0,0,IF(SUM($O191:Q191)&lt;($L191-12),12,$L191-SUM($O191:Q191)))</f>
        <v>0</v>
      </c>
      <c r="S191" s="1101">
        <f>IF($BH191=0,0,IF(SUM($O191:R191)&lt;($L191-12),12,$L191-SUM($O191:R191)))</f>
        <v>0</v>
      </c>
      <c r="U191" s="1100"/>
      <c r="V191" s="1100">
        <f>'ANSP Capex'!T187</f>
        <v>0</v>
      </c>
      <c r="W191" s="1101">
        <f>IF($BI191=0,0,IF(SUM($U191:V191)&lt;($L191-12),12,$L191-SUM($U191:V191)))</f>
        <v>0</v>
      </c>
      <c r="X191" s="1101">
        <f>IF($BI191=0,0,IF(SUM($U191:W191)&lt;($L191-12),12,$L191-SUM($U191:W191)))</f>
        <v>0</v>
      </c>
      <c r="Y191" s="1101">
        <f>IF($BI191=0,0,IF(SUM($U191:X191)&lt;($L191-12),12,$L191-SUM($U191:X191)))</f>
        <v>0</v>
      </c>
      <c r="AA191" s="1100"/>
      <c r="AB191" s="1100"/>
      <c r="AC191" s="1100">
        <f>'ANSP Capex'!AA187</f>
        <v>0</v>
      </c>
      <c r="AD191" s="1101">
        <f>IF($BJ191=0,0,IF(SUM($AA191:AC191)&lt;($L191-12),12,$L191-SUM($AA191:AC191)))</f>
        <v>0</v>
      </c>
      <c r="AE191" s="1101">
        <f>IF($BJ191=0,0,IF(SUM($AA191:AD191)&lt;($L191-12),12,$L191-SUM($AA191:AD191)))</f>
        <v>0</v>
      </c>
      <c r="AG191" s="1100"/>
      <c r="AH191" s="1100"/>
      <c r="AI191" s="1100"/>
      <c r="AJ191" s="1100">
        <f>'ANSP Capex'!AH187</f>
        <v>0</v>
      </c>
      <c r="AK191" s="1101">
        <f>IF($BK191=0,0,IF(SUM($AG191:AJ191)&lt;($L191-12),12,$L191-SUM($AG191:AJ191)))</f>
        <v>0</v>
      </c>
      <c r="AM191" s="1100"/>
      <c r="AN191" s="1100"/>
      <c r="AO191" s="1100"/>
      <c r="AP191" s="1100"/>
      <c r="AQ191" s="1100">
        <f>'ANSP Capex'!AO187</f>
        <v>12</v>
      </c>
      <c r="AS191" s="153">
        <f t="shared" si="19"/>
        <v>0</v>
      </c>
      <c r="AT191" s="153">
        <f t="shared" si="20"/>
        <v>0</v>
      </c>
      <c r="AU191" s="153">
        <f t="shared" si="21"/>
        <v>0</v>
      </c>
      <c r="AV191" s="153">
        <f t="shared" si="22"/>
        <v>0</v>
      </c>
      <c r="AW191" s="153">
        <f t="shared" si="23"/>
        <v>1</v>
      </c>
      <c r="AX191" s="153"/>
      <c r="AY191" s="1543">
        <f>'ANSP Capex'!AW187</f>
        <v>0</v>
      </c>
      <c r="AZ191" s="1102"/>
      <c r="BA191" s="1543">
        <f>'ANSP Capex'!AY187</f>
        <v>1</v>
      </c>
      <c r="BC191" s="1126"/>
      <c r="BD191" s="1126"/>
      <c r="BE191" s="1126"/>
      <c r="BF191" s="1126"/>
      <c r="BG191" s="1126"/>
      <c r="BH191" s="1126">
        <f>'ANSP Capex'!BF187*IF($I191="",(1+INDEX($I$41:$I$42,MATCH($F191,$F$41:$F$42,0))),(1+$I191))</f>
        <v>0</v>
      </c>
      <c r="BI191" s="1126">
        <f>'ANSP Capex'!BG187*IF($I191="",(1+INDEX($I$41:$I$42,MATCH($F191,$F$41:$F$42,0))),(1+$I191))</f>
        <v>0</v>
      </c>
      <c r="BJ191" s="1126">
        <f>'ANSP Capex'!BH187*IF($I191="",(1+INDEX($I$41:$I$42,MATCH($F191,$F$41:$F$42,0))),(1+$I191))</f>
        <v>0</v>
      </c>
      <c r="BK191" s="1126">
        <f>'ANSP Capex'!BI187*IF($I191="",(1+INDEX($I$41:$I$42,MATCH($F191,$F$41:$F$42,0))),(1+$I191))</f>
        <v>0</v>
      </c>
      <c r="BL191" s="1126">
        <f>'ANSP Capex'!BJ187*IF($I191="",(1+INDEX($I$41:$I$42,MATCH($F191,$F$41:$F$42,0))),(1+$I191))</f>
        <v>93</v>
      </c>
    </row>
    <row r="192" spans="1:64" outlineLevel="1">
      <c r="A192" s="1094"/>
      <c r="B192" s="1094"/>
      <c r="C192" s="1083" t="str">
        <f>'ANSP Capex'!C188</f>
        <v>Plant &amp; Equipment upgrades HQ Joint</v>
      </c>
      <c r="D192" s="1083" t="str">
        <f>'ANSP Capex'!D188</f>
        <v>Plant &amp; Equipment upgrades</v>
      </c>
      <c r="E192" s="1083" t="str">
        <f>'ANSP Capex'!E188</f>
        <v>RP3-PROP-3</v>
      </c>
      <c r="F192" s="1083" t="str">
        <f>'ANSP Capex'!F188</f>
        <v>2021-2024</v>
      </c>
      <c r="G192" s="1101">
        <f t="shared" si="16"/>
        <v>1860</v>
      </c>
      <c r="H192" s="1083" t="str">
        <f>'ANSP Capex'!H188</f>
        <v>€'000</v>
      </c>
      <c r="I192" s="829"/>
      <c r="J192" s="1097">
        <f>'ANSP Capex'!I188</f>
        <v>8</v>
      </c>
      <c r="K192" s="1124">
        <v>15</v>
      </c>
      <c r="L192" s="1098">
        <f t="shared" si="17"/>
        <v>180</v>
      </c>
      <c r="M192" s="153">
        <f t="shared" si="18"/>
        <v>6.6666666666666666E-2</v>
      </c>
      <c r="N192" s="1099"/>
      <c r="O192" s="1100">
        <f>'ANSP Capex'!M188</f>
        <v>0</v>
      </c>
      <c r="P192" s="1101">
        <f>IF($BH192=0,0,IF(SUM($O192:O192)&lt;($L192-12),12,$L192-SUM($O192:O192)))</f>
        <v>0</v>
      </c>
      <c r="Q192" s="1101">
        <f>IF($BH192=0,0,IF(SUM($O192:P192)&lt;($L192-12),12,$L192-SUM($O192:P192)))</f>
        <v>0</v>
      </c>
      <c r="R192" s="1101">
        <f>IF($BH192=0,0,IF(SUM($O192:Q192)&lt;($L192-12),12,$L192-SUM($O192:Q192)))</f>
        <v>0</v>
      </c>
      <c r="S192" s="1101">
        <f>IF($BH192=0,0,IF(SUM($O192:R192)&lt;($L192-12),12,$L192-SUM($O192:R192)))</f>
        <v>0</v>
      </c>
      <c r="U192" s="1100"/>
      <c r="V192" s="1100">
        <f>'ANSP Capex'!T188</f>
        <v>0</v>
      </c>
      <c r="W192" s="1101">
        <f>IF($BI192=0,0,IF(SUM($U192:V192)&lt;($L192-12),12,$L192-SUM($U192:V192)))</f>
        <v>0</v>
      </c>
      <c r="X192" s="1101">
        <f>IF($BI192=0,0,IF(SUM($U192:W192)&lt;($L192-12),12,$L192-SUM($U192:W192)))</f>
        <v>0</v>
      </c>
      <c r="Y192" s="1101">
        <f>IF($BI192=0,0,IF(SUM($U192:X192)&lt;($L192-12),12,$L192-SUM($U192:X192)))</f>
        <v>0</v>
      </c>
      <c r="AA192" s="1100"/>
      <c r="AB192" s="1100"/>
      <c r="AC192" s="1100">
        <f>'ANSP Capex'!AA188</f>
        <v>0</v>
      </c>
      <c r="AD192" s="1101">
        <f>IF($BJ192=0,0,IF(SUM($AA192:AC192)&lt;($L192-12),12,$L192-SUM($AA192:AC192)))</f>
        <v>0</v>
      </c>
      <c r="AE192" s="1101">
        <f>IF($BJ192=0,0,IF(SUM($AA192:AD192)&lt;($L192-12),12,$L192-SUM($AA192:AD192)))</f>
        <v>0</v>
      </c>
      <c r="AG192" s="1100"/>
      <c r="AH192" s="1100"/>
      <c r="AI192" s="1100"/>
      <c r="AJ192" s="1100">
        <f>'ANSP Capex'!AH188</f>
        <v>3</v>
      </c>
      <c r="AK192" s="1101">
        <f>IF($BK192=0,0,IF(SUM($AG192:AJ192)&lt;($L192-12),12,$L192-SUM($AG192:AJ192)))</f>
        <v>12</v>
      </c>
      <c r="AM192" s="1100"/>
      <c r="AN192" s="1100"/>
      <c r="AO192" s="1100"/>
      <c r="AP192" s="1100"/>
      <c r="AQ192" s="1100">
        <f>'ANSP Capex'!AO188</f>
        <v>0</v>
      </c>
      <c r="AS192" s="153">
        <f t="shared" si="19"/>
        <v>0</v>
      </c>
      <c r="AT192" s="153">
        <f t="shared" si="20"/>
        <v>0</v>
      </c>
      <c r="AU192" s="153">
        <f t="shared" si="21"/>
        <v>0</v>
      </c>
      <c r="AV192" s="153">
        <f t="shared" si="22"/>
        <v>0.25</v>
      </c>
      <c r="AW192" s="153">
        <f t="shared" si="23"/>
        <v>0</v>
      </c>
      <c r="AX192" s="153"/>
      <c r="AY192" s="1543">
        <f>'ANSP Capex'!AW188</f>
        <v>0.73</v>
      </c>
      <c r="AZ192" s="1102"/>
      <c r="BA192" s="1543">
        <f>'ANSP Capex'!AY188</f>
        <v>0.15</v>
      </c>
      <c r="BC192" s="1126"/>
      <c r="BD192" s="1126"/>
      <c r="BE192" s="1126"/>
      <c r="BF192" s="1126"/>
      <c r="BG192" s="1126"/>
      <c r="BH192" s="1126">
        <f>'ANSP Capex'!BF188*IF($I192="",(1+INDEX($I$41:$I$42,MATCH($F192,$F$41:$F$42,0))),(1+$I192))</f>
        <v>0</v>
      </c>
      <c r="BI192" s="1126">
        <f>'ANSP Capex'!BG188*IF($I192="",(1+INDEX($I$41:$I$42,MATCH($F192,$F$41:$F$42,0))),(1+$I192))</f>
        <v>0</v>
      </c>
      <c r="BJ192" s="1126">
        <f>'ANSP Capex'!BH188*IF($I192="",(1+INDEX($I$41:$I$42,MATCH($F192,$F$41:$F$42,0))),(1+$I192))</f>
        <v>0</v>
      </c>
      <c r="BK192" s="1126">
        <f>'ANSP Capex'!BI188*IF($I192="",(1+INDEX($I$41:$I$42,MATCH($F192,$F$41:$F$42,0))),(1+$I192))</f>
        <v>1860</v>
      </c>
      <c r="BL192" s="1126">
        <f>'ANSP Capex'!BJ188*IF($I192="",(1+INDEX($I$41:$I$42,MATCH($F192,$F$41:$F$42,0))),(1+$I192))</f>
        <v>0</v>
      </c>
    </row>
    <row r="193" spans="1:64" outlineLevel="1">
      <c r="A193" s="1094"/>
      <c r="B193" s="1094"/>
      <c r="C193" s="1083" t="str">
        <f>'ANSP Capex'!C189</f>
        <v>Climate action plan</v>
      </c>
      <c r="D193" s="1083" t="str">
        <f>'ANSP Capex'!D189</f>
        <v>Climate action plan</v>
      </c>
      <c r="E193" s="1083" t="str">
        <f>'ANSP Capex'!E189</f>
        <v>U011</v>
      </c>
      <c r="F193" s="1083" t="str">
        <f>'ANSP Capex'!F189</f>
        <v>2021-2024</v>
      </c>
      <c r="G193" s="1101">
        <f t="shared" si="16"/>
        <v>4240</v>
      </c>
      <c r="H193" s="1083" t="str">
        <f>'ANSP Capex'!H189</f>
        <v>€'000</v>
      </c>
      <c r="I193" s="829"/>
      <c r="J193" s="1097">
        <f>'ANSP Capex'!I189</f>
        <v>5</v>
      </c>
      <c r="K193" s="1124">
        <v>15</v>
      </c>
      <c r="L193" s="1098">
        <f t="shared" si="17"/>
        <v>180</v>
      </c>
      <c r="M193" s="153">
        <f t="shared" si="18"/>
        <v>6.6666666666666666E-2</v>
      </c>
      <c r="N193" s="1099"/>
      <c r="O193" s="1100">
        <f>'ANSP Capex'!M189</f>
        <v>0</v>
      </c>
      <c r="P193" s="1101">
        <f>IF($BH193=0,0,IF(SUM($O193:O193)&lt;($L193-12),12,$L193-SUM($O193:O193)))</f>
        <v>0</v>
      </c>
      <c r="Q193" s="1101">
        <f>IF($BH193=0,0,IF(SUM($O193:P193)&lt;($L193-12),12,$L193-SUM($O193:P193)))</f>
        <v>0</v>
      </c>
      <c r="R193" s="1101">
        <f>IF($BH193=0,0,IF(SUM($O193:Q193)&lt;($L193-12),12,$L193-SUM($O193:Q193)))</f>
        <v>0</v>
      </c>
      <c r="S193" s="1101">
        <f>IF($BH193=0,0,IF(SUM($O193:R193)&lt;($L193-12),12,$L193-SUM($O193:R193)))</f>
        <v>0</v>
      </c>
      <c r="U193" s="1100"/>
      <c r="V193" s="1100">
        <f>'ANSP Capex'!T189</f>
        <v>4.2</v>
      </c>
      <c r="W193" s="1101">
        <f>IF($BI193=0,0,IF(SUM($U193:V193)&lt;($L193-12),12,$L193-SUM($U193:V193)))</f>
        <v>12</v>
      </c>
      <c r="X193" s="1101">
        <f>IF($BI193=0,0,IF(SUM($U193:W193)&lt;($L193-12),12,$L193-SUM($U193:W193)))</f>
        <v>12</v>
      </c>
      <c r="Y193" s="1101">
        <f>IF($BI193=0,0,IF(SUM($U193:X193)&lt;($L193-12),12,$L193-SUM($U193:X193)))</f>
        <v>12</v>
      </c>
      <c r="AA193" s="1100"/>
      <c r="AB193" s="1100"/>
      <c r="AC193" s="1100">
        <f>'ANSP Capex'!AA189</f>
        <v>5.1428571428571432</v>
      </c>
      <c r="AD193" s="1101">
        <f>IF($BJ193=0,0,IF(SUM($AA193:AC193)&lt;($L193-12),12,$L193-SUM($AA193:AC193)))</f>
        <v>12</v>
      </c>
      <c r="AE193" s="1101">
        <f>IF($BJ193=0,0,IF(SUM($AA193:AD193)&lt;($L193-12),12,$L193-SUM($AA193:AD193)))</f>
        <v>12</v>
      </c>
      <c r="AG193" s="1100"/>
      <c r="AH193" s="1100"/>
      <c r="AI193" s="1100"/>
      <c r="AJ193" s="1100">
        <f>'ANSP Capex'!AH189</f>
        <v>6.3870967741935489</v>
      </c>
      <c r="AK193" s="1101">
        <f>IF($BK193=0,0,IF(SUM($AG193:AJ193)&lt;($L193-12),12,$L193-SUM($AG193:AJ193)))</f>
        <v>12</v>
      </c>
      <c r="AM193" s="1100"/>
      <c r="AN193" s="1100"/>
      <c r="AO193" s="1100"/>
      <c r="AP193" s="1100"/>
      <c r="AQ193" s="1100">
        <f>'ANSP Capex'!AO189</f>
        <v>12</v>
      </c>
      <c r="AS193" s="153">
        <f t="shared" si="19"/>
        <v>0</v>
      </c>
      <c r="AT193" s="153">
        <f t="shared" si="20"/>
        <v>0.35000000000000003</v>
      </c>
      <c r="AU193" s="153">
        <f t="shared" si="21"/>
        <v>0.4285714285714286</v>
      </c>
      <c r="AV193" s="153">
        <f t="shared" si="22"/>
        <v>0.53225806451612911</v>
      </c>
      <c r="AW193" s="153">
        <f t="shared" si="23"/>
        <v>1</v>
      </c>
      <c r="AX193" s="153"/>
      <c r="AY193" s="1543">
        <f>'ANSP Capex'!AW189</f>
        <v>0.75</v>
      </c>
      <c r="AZ193" s="1102"/>
      <c r="BA193" s="1543">
        <f>'ANSP Capex'!AY189</f>
        <v>0.25</v>
      </c>
      <c r="BC193" s="1126"/>
      <c r="BD193" s="1126"/>
      <c r="BE193" s="1126"/>
      <c r="BF193" s="1126"/>
      <c r="BG193" s="1126"/>
      <c r="BH193" s="1126">
        <f>'ANSP Capex'!BF189*IF($I193="",(1+INDEX($I$41:$I$42,MATCH($F193,$F$41:$F$42,0))),(1+$I193))</f>
        <v>0</v>
      </c>
      <c r="BI193" s="1126">
        <f>'ANSP Capex'!BG189*IF($I193="",(1+INDEX($I$41:$I$42,MATCH($F193,$F$41:$F$42,0))),(1+$I193))</f>
        <v>400</v>
      </c>
      <c r="BJ193" s="1126">
        <f>'ANSP Capex'!BH189*IF($I193="",(1+INDEX($I$41:$I$42,MATCH($F193,$F$41:$F$42,0))),(1+$I193))</f>
        <v>560</v>
      </c>
      <c r="BK193" s="1126">
        <f>'ANSP Capex'!BI189*IF($I193="",(1+INDEX($I$41:$I$42,MATCH($F193,$F$41:$F$42,0))),(1+$I193))</f>
        <v>2480</v>
      </c>
      <c r="BL193" s="1126">
        <f>'ANSP Capex'!BJ189*IF($I193="",(1+INDEX($I$41:$I$42,MATCH($F193,$F$41:$F$42,0))),(1+$I193))</f>
        <v>800</v>
      </c>
    </row>
    <row r="194" spans="1:64" outlineLevel="1">
      <c r="A194" s="1094"/>
      <c r="B194" s="1094"/>
      <c r="C194" s="1083" t="str">
        <f>'ANSP Capex'!C190</f>
        <v>RADAR Overhaul - Woodcock Hill</v>
      </c>
      <c r="D194" s="1083" t="str">
        <f>'ANSP Capex'!D190</f>
        <v>RADAR Overhaul</v>
      </c>
      <c r="E194" s="1083" t="str">
        <f>'ANSP Capex'!E190</f>
        <v>RP3-SURV-1</v>
      </c>
      <c r="F194" s="1083" t="str">
        <f>'ANSP Capex'!F190</f>
        <v>2021-2024</v>
      </c>
      <c r="G194" s="1101">
        <f t="shared" si="16"/>
        <v>1600</v>
      </c>
      <c r="H194" s="1083" t="str">
        <f>'ANSP Capex'!H190</f>
        <v>€'000</v>
      </c>
      <c r="I194" s="829"/>
      <c r="J194" s="1097">
        <f>'ANSP Capex'!I190</f>
        <v>12</v>
      </c>
      <c r="K194" s="1124">
        <v>0</v>
      </c>
      <c r="L194" s="1098">
        <f t="shared" si="17"/>
        <v>144</v>
      </c>
      <c r="M194" s="153">
        <f t="shared" si="18"/>
        <v>8.3333333333333329E-2</v>
      </c>
      <c r="N194" s="1099"/>
      <c r="O194" s="1100">
        <f>'ANSP Capex'!M190</f>
        <v>0</v>
      </c>
      <c r="P194" s="1101">
        <f>IF($BH194=0,0,IF(SUM($O194:O194)&lt;($L194-12),12,$L194-SUM($O194:O194)))</f>
        <v>0</v>
      </c>
      <c r="Q194" s="1101">
        <f>IF($BH194=0,0,IF(SUM($O194:P194)&lt;($L194-12),12,$L194-SUM($O194:P194)))</f>
        <v>0</v>
      </c>
      <c r="R194" s="1101">
        <f>IF($BH194=0,0,IF(SUM($O194:Q194)&lt;($L194-12),12,$L194-SUM($O194:Q194)))</f>
        <v>0</v>
      </c>
      <c r="S194" s="1101">
        <f>IF($BH194=0,0,IF(SUM($O194:R194)&lt;($L194-12),12,$L194-SUM($O194:R194)))</f>
        <v>0</v>
      </c>
      <c r="U194" s="1100"/>
      <c r="V194" s="1100">
        <f>'ANSP Capex'!T190</f>
        <v>0</v>
      </c>
      <c r="W194" s="1101">
        <f>IF($BI194=0,0,IF(SUM($U194:V194)&lt;($L194-12),12,$L194-SUM($U194:V194)))</f>
        <v>0</v>
      </c>
      <c r="X194" s="1101">
        <f>IF($BI194=0,0,IF(SUM($U194:W194)&lt;($L194-12),12,$L194-SUM($U194:W194)))</f>
        <v>0</v>
      </c>
      <c r="Y194" s="1101">
        <f>IF($BI194=0,0,IF(SUM($U194:X194)&lt;($L194-12),12,$L194-SUM($U194:X194)))</f>
        <v>0</v>
      </c>
      <c r="AA194" s="1100"/>
      <c r="AB194" s="1100"/>
      <c r="AC194" s="1100">
        <f>'ANSP Capex'!AA190</f>
        <v>0</v>
      </c>
      <c r="AD194" s="1101">
        <f>IF($BJ194=0,0,IF(SUM($AA194:AC194)&lt;($L194-12),12,$L194-SUM($AA194:AC194)))</f>
        <v>0</v>
      </c>
      <c r="AE194" s="1101">
        <f>IF($BJ194=0,0,IF(SUM($AA194:AD194)&lt;($L194-12),12,$L194-SUM($AA194:AD194)))</f>
        <v>0</v>
      </c>
      <c r="AG194" s="1100"/>
      <c r="AH194" s="1100"/>
      <c r="AI194" s="1100"/>
      <c r="AJ194" s="1100">
        <f>'ANSP Capex'!AH190</f>
        <v>3</v>
      </c>
      <c r="AK194" s="1101">
        <f>IF($BK194=0,0,IF(SUM($AG194:AJ194)&lt;($L194-12),12,$L194-SUM($AG194:AJ194)))</f>
        <v>12</v>
      </c>
      <c r="AM194" s="1100"/>
      <c r="AN194" s="1100"/>
      <c r="AO194" s="1100"/>
      <c r="AP194" s="1100"/>
      <c r="AQ194" s="1100">
        <f>'ANSP Capex'!AO190</f>
        <v>0</v>
      </c>
      <c r="AS194" s="153">
        <f t="shared" si="19"/>
        <v>0</v>
      </c>
      <c r="AT194" s="153">
        <f t="shared" si="20"/>
        <v>0</v>
      </c>
      <c r="AU194" s="153">
        <f t="shared" si="21"/>
        <v>0</v>
      </c>
      <c r="AV194" s="153">
        <f t="shared" si="22"/>
        <v>0.25</v>
      </c>
      <c r="AW194" s="153">
        <f t="shared" si="23"/>
        <v>0</v>
      </c>
      <c r="AX194" s="153"/>
      <c r="AY194" s="1543">
        <f>'ANSP Capex'!AW190</f>
        <v>1</v>
      </c>
      <c r="AZ194" s="1102"/>
      <c r="BA194" s="1543">
        <f>'ANSP Capex'!AY190</f>
        <v>0</v>
      </c>
      <c r="BC194" s="1126"/>
      <c r="BD194" s="1126"/>
      <c r="BE194" s="1126"/>
      <c r="BF194" s="1126"/>
      <c r="BG194" s="1126"/>
      <c r="BH194" s="1126">
        <f>'ANSP Capex'!BF190*IF($I194="",(1+INDEX($I$41:$I$42,MATCH($F194,$F$41:$F$42,0))),(1+$I194))</f>
        <v>0</v>
      </c>
      <c r="BI194" s="1126">
        <f>'ANSP Capex'!BG190*IF($I194="",(1+INDEX($I$41:$I$42,MATCH($F194,$F$41:$F$42,0))),(1+$I194))</f>
        <v>0</v>
      </c>
      <c r="BJ194" s="1126">
        <f>'ANSP Capex'!BH190*IF($I194="",(1+INDEX($I$41:$I$42,MATCH($F194,$F$41:$F$42,0))),(1+$I194))</f>
        <v>0</v>
      </c>
      <c r="BK194" s="1126">
        <f>'ANSP Capex'!BI190*IF($I194="",(1+INDEX($I$41:$I$42,MATCH($F194,$F$41:$F$42,0))),(1+$I194))</f>
        <v>1600</v>
      </c>
      <c r="BL194" s="1126">
        <f>'ANSP Capex'!BJ190*IF($I194="",(1+INDEX($I$41:$I$42,MATCH($F194,$F$41:$F$42,0))),(1+$I194))</f>
        <v>0</v>
      </c>
    </row>
    <row r="195" spans="1:64" outlineLevel="1">
      <c r="A195" s="1094"/>
      <c r="B195" s="1094"/>
      <c r="C195" s="1083" t="str">
        <f>'ANSP Capex'!C191</f>
        <v>RADAR Overhaul - MT Gabriel 1 &amp; 2</v>
      </c>
      <c r="D195" s="1083" t="str">
        <f>'ANSP Capex'!D191</f>
        <v>RADAR Overhaul</v>
      </c>
      <c r="E195" s="1083" t="str">
        <f>'ANSP Capex'!E191</f>
        <v>RP3-SURV-1</v>
      </c>
      <c r="F195" s="1083" t="str">
        <f>'ANSP Capex'!F191</f>
        <v>2021-2024</v>
      </c>
      <c r="G195" s="1101">
        <f t="shared" si="16"/>
        <v>1600</v>
      </c>
      <c r="H195" s="1083" t="str">
        <f>'ANSP Capex'!H191</f>
        <v>€'000</v>
      </c>
      <c r="I195" s="829"/>
      <c r="J195" s="1097">
        <f>'ANSP Capex'!I191</f>
        <v>12</v>
      </c>
      <c r="K195" s="1124">
        <v>0</v>
      </c>
      <c r="L195" s="1098">
        <f t="shared" si="17"/>
        <v>144</v>
      </c>
      <c r="M195" s="153">
        <f t="shared" si="18"/>
        <v>8.3333333333333329E-2</v>
      </c>
      <c r="N195" s="1099"/>
      <c r="O195" s="1100">
        <f>'ANSP Capex'!M191</f>
        <v>0</v>
      </c>
      <c r="P195" s="1101">
        <f>IF($BH195=0,0,IF(SUM($O195:O195)&lt;($L195-12),12,$L195-SUM($O195:O195)))</f>
        <v>0</v>
      </c>
      <c r="Q195" s="1101">
        <f>IF($BH195=0,0,IF(SUM($O195:P195)&lt;($L195-12),12,$L195-SUM($O195:P195)))</f>
        <v>0</v>
      </c>
      <c r="R195" s="1101">
        <f>IF($BH195=0,0,IF(SUM($O195:Q195)&lt;($L195-12),12,$L195-SUM($O195:Q195)))</f>
        <v>0</v>
      </c>
      <c r="S195" s="1101">
        <f>IF($BH195=0,0,IF(SUM($O195:R195)&lt;($L195-12),12,$L195-SUM($O195:R195)))</f>
        <v>0</v>
      </c>
      <c r="U195" s="1100"/>
      <c r="V195" s="1100">
        <f>'ANSP Capex'!T191</f>
        <v>0</v>
      </c>
      <c r="W195" s="1101">
        <f>IF($BI195=0,0,IF(SUM($U195:V195)&lt;($L195-12),12,$L195-SUM($U195:V195)))</f>
        <v>0</v>
      </c>
      <c r="X195" s="1101">
        <f>IF($BI195=0,0,IF(SUM($U195:W195)&lt;($L195-12),12,$L195-SUM($U195:W195)))</f>
        <v>0</v>
      </c>
      <c r="Y195" s="1101">
        <f>IF($BI195=0,0,IF(SUM($U195:X195)&lt;($L195-12),12,$L195-SUM($U195:X195)))</f>
        <v>0</v>
      </c>
      <c r="AA195" s="1100"/>
      <c r="AB195" s="1100"/>
      <c r="AC195" s="1100">
        <f>'ANSP Capex'!AA191</f>
        <v>0</v>
      </c>
      <c r="AD195" s="1101">
        <f>IF($BJ195=0,0,IF(SUM($AA195:AC195)&lt;($L195-12),12,$L195-SUM($AA195:AC195)))</f>
        <v>0</v>
      </c>
      <c r="AE195" s="1101">
        <f>IF($BJ195=0,0,IF(SUM($AA195:AD195)&lt;($L195-12),12,$L195-SUM($AA195:AD195)))</f>
        <v>0</v>
      </c>
      <c r="AG195" s="1100"/>
      <c r="AH195" s="1100"/>
      <c r="AI195" s="1100"/>
      <c r="AJ195" s="1100">
        <f>'ANSP Capex'!AH191</f>
        <v>0</v>
      </c>
      <c r="AK195" s="1101">
        <f>IF($BK195=0,0,IF(SUM($AG195:AJ195)&lt;($L195-12),12,$L195-SUM($AG195:AJ195)))</f>
        <v>0</v>
      </c>
      <c r="AM195" s="1100"/>
      <c r="AN195" s="1100"/>
      <c r="AO195" s="1100"/>
      <c r="AP195" s="1100"/>
      <c r="AQ195" s="1100">
        <f>'ANSP Capex'!AO191</f>
        <v>3</v>
      </c>
      <c r="AS195" s="153">
        <f t="shared" si="19"/>
        <v>0</v>
      </c>
      <c r="AT195" s="153">
        <f t="shared" si="20"/>
        <v>0</v>
      </c>
      <c r="AU195" s="153">
        <f t="shared" si="21"/>
        <v>0</v>
      </c>
      <c r="AV195" s="153">
        <f t="shared" si="22"/>
        <v>0</v>
      </c>
      <c r="AW195" s="153">
        <f t="shared" si="23"/>
        <v>0.25</v>
      </c>
      <c r="AX195" s="153"/>
      <c r="AY195" s="1543">
        <f>'ANSP Capex'!AW191</f>
        <v>1</v>
      </c>
      <c r="AZ195" s="1102"/>
      <c r="BA195" s="1543">
        <f>'ANSP Capex'!AY191</f>
        <v>0</v>
      </c>
      <c r="BC195" s="1126"/>
      <c r="BD195" s="1126"/>
      <c r="BE195" s="1126"/>
      <c r="BF195" s="1126"/>
      <c r="BG195" s="1126"/>
      <c r="BH195" s="1126">
        <f>'ANSP Capex'!BF191*IF($I195="",(1+INDEX($I$41:$I$42,MATCH($F195,$F$41:$F$42,0))),(1+$I195))</f>
        <v>0</v>
      </c>
      <c r="BI195" s="1126">
        <f>'ANSP Capex'!BG191*IF($I195="",(1+INDEX($I$41:$I$42,MATCH($F195,$F$41:$F$42,0))),(1+$I195))</f>
        <v>0</v>
      </c>
      <c r="BJ195" s="1126">
        <f>'ANSP Capex'!BH191*IF($I195="",(1+INDEX($I$41:$I$42,MATCH($F195,$F$41:$F$42,0))),(1+$I195))</f>
        <v>0</v>
      </c>
      <c r="BK195" s="1126">
        <f>'ANSP Capex'!BI191*IF($I195="",(1+INDEX($I$41:$I$42,MATCH($F195,$F$41:$F$42,0))),(1+$I195))</f>
        <v>0</v>
      </c>
      <c r="BL195" s="1126">
        <f>'ANSP Capex'!BJ191*IF($I195="",(1+INDEX($I$41:$I$42,MATCH($F195,$F$41:$F$42,0))),(1+$I195))</f>
        <v>1600</v>
      </c>
    </row>
    <row r="196" spans="1:64" outlineLevel="1">
      <c r="A196" s="1094"/>
      <c r="B196" s="1094"/>
      <c r="C196" s="1083" t="str">
        <f>'ANSP Capex'!C192</f>
        <v>Voice Communication Switch</v>
      </c>
      <c r="D196" s="1083" t="str">
        <f>'ANSP Capex'!D192</f>
        <v>VOIP Switch</v>
      </c>
      <c r="E196" s="1083" t="str">
        <f>'ANSP Capex'!E192</f>
        <v>S005</v>
      </c>
      <c r="F196" s="1083" t="str">
        <f>'ANSP Capex'!F192</f>
        <v>2021-2024</v>
      </c>
      <c r="G196" s="1101">
        <f t="shared" si="16"/>
        <v>0</v>
      </c>
      <c r="H196" s="1083" t="str">
        <f>'ANSP Capex'!H192</f>
        <v>€'000</v>
      </c>
      <c r="I196" s="829"/>
      <c r="J196" s="1097">
        <f>'ANSP Capex'!I192</f>
        <v>0</v>
      </c>
      <c r="K196" s="1124">
        <v>0</v>
      </c>
      <c r="L196" s="1098">
        <f t="shared" si="17"/>
        <v>0</v>
      </c>
      <c r="M196" s="153">
        <f t="shared" si="18"/>
        <v>0</v>
      </c>
      <c r="N196" s="1099"/>
      <c r="O196" s="1100">
        <f>'ANSP Capex'!M192</f>
        <v>0</v>
      </c>
      <c r="P196" s="1101">
        <f>IF($BH196=0,0,IF(SUM($O196:O196)&lt;($L196-12),12,$L196-SUM($O196:O196)))</f>
        <v>0</v>
      </c>
      <c r="Q196" s="1101">
        <f>IF($BH196=0,0,IF(SUM($O196:P196)&lt;($L196-12),12,$L196-SUM($O196:P196)))</f>
        <v>0</v>
      </c>
      <c r="R196" s="1101">
        <f>IF($BH196=0,0,IF(SUM($O196:Q196)&lt;($L196-12),12,$L196-SUM($O196:Q196)))</f>
        <v>0</v>
      </c>
      <c r="S196" s="1101">
        <f>IF($BH196=0,0,IF(SUM($O196:R196)&lt;($L196-12),12,$L196-SUM($O196:R196)))</f>
        <v>0</v>
      </c>
      <c r="U196" s="1100"/>
      <c r="V196" s="1100">
        <f>'ANSP Capex'!T192</f>
        <v>0</v>
      </c>
      <c r="W196" s="1101">
        <f>IF($BI196=0,0,IF(SUM($U196:V196)&lt;($L196-12),12,$L196-SUM($U196:V196)))</f>
        <v>0</v>
      </c>
      <c r="X196" s="1101">
        <f>IF($BI196=0,0,IF(SUM($U196:W196)&lt;($L196-12),12,$L196-SUM($U196:W196)))</f>
        <v>0</v>
      </c>
      <c r="Y196" s="1101">
        <f>IF($BI196=0,0,IF(SUM($U196:X196)&lt;($L196-12),12,$L196-SUM($U196:X196)))</f>
        <v>0</v>
      </c>
      <c r="AA196" s="1100"/>
      <c r="AB196" s="1100"/>
      <c r="AC196" s="1100">
        <f>'ANSP Capex'!AA192</f>
        <v>0</v>
      </c>
      <c r="AD196" s="1101">
        <f>IF($BJ196=0,0,IF(SUM($AA196:AC196)&lt;($L196-12),12,$L196-SUM($AA196:AC196)))</f>
        <v>0</v>
      </c>
      <c r="AE196" s="1101">
        <f>IF($BJ196=0,0,IF(SUM($AA196:AD196)&lt;($L196-12),12,$L196-SUM($AA196:AD196)))</f>
        <v>0</v>
      </c>
      <c r="AG196" s="1100"/>
      <c r="AH196" s="1100"/>
      <c r="AI196" s="1100"/>
      <c r="AJ196" s="1100">
        <f>'ANSP Capex'!AH192</f>
        <v>0</v>
      </c>
      <c r="AK196" s="1101">
        <f>IF($BK196=0,0,IF(SUM($AG196:AJ196)&lt;($L196-12),12,$L196-SUM($AG196:AJ196)))</f>
        <v>0</v>
      </c>
      <c r="AM196" s="1100"/>
      <c r="AN196" s="1100"/>
      <c r="AO196" s="1100"/>
      <c r="AP196" s="1100"/>
      <c r="AQ196" s="1100">
        <f>'ANSP Capex'!AO192</f>
        <v>0</v>
      </c>
      <c r="AS196" s="153">
        <f t="shared" si="19"/>
        <v>0</v>
      </c>
      <c r="AT196" s="153">
        <f t="shared" si="20"/>
        <v>0</v>
      </c>
      <c r="AU196" s="153">
        <f t="shared" si="21"/>
        <v>0</v>
      </c>
      <c r="AV196" s="153">
        <f t="shared" si="22"/>
        <v>0</v>
      </c>
      <c r="AW196" s="153">
        <f t="shared" si="23"/>
        <v>0</v>
      </c>
      <c r="AX196" s="153"/>
      <c r="AY196" s="1543">
        <f>'ANSP Capex'!AW192</f>
        <v>0</v>
      </c>
      <c r="AZ196" s="1102"/>
      <c r="BA196" s="1543">
        <f>'ANSP Capex'!AY192</f>
        <v>0</v>
      </c>
      <c r="BC196" s="1126"/>
      <c r="BD196" s="1126"/>
      <c r="BE196" s="1126"/>
      <c r="BF196" s="1126"/>
      <c r="BG196" s="1126"/>
      <c r="BH196" s="1126">
        <f>'ANSP Capex'!BF192*IF($I196="",(1+INDEX($I$41:$I$42,MATCH($F196,$F$41:$F$42,0))),(1+$I196))</f>
        <v>0</v>
      </c>
      <c r="BI196" s="1126">
        <f>'ANSP Capex'!BG192*IF($I196="",(1+INDEX($I$41:$I$42,MATCH($F196,$F$41:$F$42,0))),(1+$I196))</f>
        <v>0</v>
      </c>
      <c r="BJ196" s="1126">
        <f>'ANSP Capex'!BH192*IF($I196="",(1+INDEX($I$41:$I$42,MATCH($F196,$F$41:$F$42,0))),(1+$I196))</f>
        <v>0</v>
      </c>
      <c r="BK196" s="1126">
        <f>'ANSP Capex'!BI192*IF($I196="",(1+INDEX($I$41:$I$42,MATCH($F196,$F$41:$F$42,0))),(1+$I196))</f>
        <v>0</v>
      </c>
      <c r="BL196" s="1126">
        <f>'ANSP Capex'!BJ192*IF($I196="",(1+INDEX($I$41:$I$42,MATCH($F196,$F$41:$F$42,0))),(1+$I196))</f>
        <v>0</v>
      </c>
    </row>
    <row r="197" spans="1:64" outlineLevel="1">
      <c r="A197" s="1094"/>
      <c r="B197" s="1094"/>
      <c r="C197" s="1083" t="str">
        <f>'ANSP Capex'!C193</f>
        <v>VOIP Switch CRK</v>
      </c>
      <c r="D197" s="1083" t="str">
        <f>'ANSP Capex'!D193</f>
        <v>VOIP Switch</v>
      </c>
      <c r="E197" s="1083" t="str">
        <f>'ANSP Capex'!E193</f>
        <v>S005A</v>
      </c>
      <c r="F197" s="1083" t="str">
        <f>'ANSP Capex'!F193</f>
        <v>2021-2024</v>
      </c>
      <c r="G197" s="1101">
        <f t="shared" si="16"/>
        <v>317.8483794</v>
      </c>
      <c r="H197" s="1083" t="str">
        <f>'ANSP Capex'!H193</f>
        <v>€'000</v>
      </c>
      <c r="I197" s="829"/>
      <c r="J197" s="1097">
        <f>'ANSP Capex'!I193</f>
        <v>8</v>
      </c>
      <c r="K197" s="1124">
        <v>0</v>
      </c>
      <c r="L197" s="1098">
        <f t="shared" si="17"/>
        <v>96</v>
      </c>
      <c r="M197" s="153">
        <f t="shared" si="18"/>
        <v>0.125</v>
      </c>
      <c r="N197" s="1099"/>
      <c r="O197" s="1100">
        <f>'ANSP Capex'!M193</f>
        <v>0</v>
      </c>
      <c r="P197" s="1101">
        <f>IF($BH197=0,0,IF(SUM($O197:O197)&lt;($L197-12),12,$L197-SUM($O197:O197)))</f>
        <v>0</v>
      </c>
      <c r="Q197" s="1101">
        <f>IF($BH197=0,0,IF(SUM($O197:P197)&lt;($L197-12),12,$L197-SUM($O197:P197)))</f>
        <v>0</v>
      </c>
      <c r="R197" s="1101">
        <f>IF($BH197=0,0,IF(SUM($O197:Q197)&lt;($L197-12),12,$L197-SUM($O197:Q197)))</f>
        <v>0</v>
      </c>
      <c r="S197" s="1101">
        <f>IF($BH197=0,0,IF(SUM($O197:R197)&lt;($L197-12),12,$L197-SUM($O197:R197)))</f>
        <v>0</v>
      </c>
      <c r="U197" s="1100"/>
      <c r="V197" s="1100">
        <f>'ANSP Capex'!T193</f>
        <v>0</v>
      </c>
      <c r="W197" s="1101">
        <f>IF($BI197=0,0,IF(SUM($U197:V197)&lt;($L197-12),12,$L197-SUM($U197:V197)))</f>
        <v>0</v>
      </c>
      <c r="X197" s="1101">
        <f>IF($BI197=0,0,IF(SUM($U197:W197)&lt;($L197-12),12,$L197-SUM($U197:W197)))</f>
        <v>0</v>
      </c>
      <c r="Y197" s="1101">
        <f>IF($BI197=0,0,IF(SUM($U197:X197)&lt;($L197-12),12,$L197-SUM($U197:X197)))</f>
        <v>0</v>
      </c>
      <c r="AA197" s="1100"/>
      <c r="AB197" s="1100"/>
      <c r="AC197" s="1100">
        <f>'ANSP Capex'!AA193</f>
        <v>3</v>
      </c>
      <c r="AD197" s="1101">
        <f>IF($BJ197=0,0,IF(SUM($AA197:AC197)&lt;($L197-12),12,$L197-SUM($AA197:AC197)))</f>
        <v>12</v>
      </c>
      <c r="AE197" s="1101">
        <f>IF($BJ197=0,0,IF(SUM($AA197:AD197)&lt;($L197-12),12,$L197-SUM($AA197:AD197)))</f>
        <v>12</v>
      </c>
      <c r="AG197" s="1100"/>
      <c r="AH197" s="1100"/>
      <c r="AI197" s="1100"/>
      <c r="AJ197" s="1100">
        <f>'ANSP Capex'!AH193</f>
        <v>0</v>
      </c>
      <c r="AK197" s="1101">
        <f>IF($BK197=0,0,IF(SUM($AG197:AJ197)&lt;($L197-12),12,$L197-SUM($AG197:AJ197)))</f>
        <v>0</v>
      </c>
      <c r="AM197" s="1100"/>
      <c r="AN197" s="1100"/>
      <c r="AO197" s="1100"/>
      <c r="AP197" s="1100"/>
      <c r="AQ197" s="1100">
        <f>'ANSP Capex'!AO193</f>
        <v>0</v>
      </c>
      <c r="AS197" s="153">
        <f t="shared" si="19"/>
        <v>0</v>
      </c>
      <c r="AT197" s="153">
        <f t="shared" si="20"/>
        <v>0</v>
      </c>
      <c r="AU197" s="153">
        <f t="shared" si="21"/>
        <v>0.25</v>
      </c>
      <c r="AV197" s="153">
        <f t="shared" si="22"/>
        <v>0</v>
      </c>
      <c r="AW197" s="153">
        <f t="shared" si="23"/>
        <v>0</v>
      </c>
      <c r="AX197" s="153"/>
      <c r="AY197" s="1543">
        <f>'ANSP Capex'!AW193</f>
        <v>0</v>
      </c>
      <c r="AZ197" s="1102"/>
      <c r="BA197" s="1543">
        <f>'ANSP Capex'!AY193</f>
        <v>1</v>
      </c>
      <c r="BC197" s="1126"/>
      <c r="BD197" s="1126"/>
      <c r="BE197" s="1126"/>
      <c r="BF197" s="1126"/>
      <c r="BG197" s="1126"/>
      <c r="BH197" s="1126">
        <f>'ANSP Capex'!BF193*IF($I197="",(1+INDEX($I$41:$I$42,MATCH($F197,$F$41:$F$42,0))),(1+$I197))</f>
        <v>0</v>
      </c>
      <c r="BI197" s="1126">
        <f>'ANSP Capex'!BG193*IF($I197="",(1+INDEX($I$41:$I$42,MATCH($F197,$F$41:$F$42,0))),(1+$I197))</f>
        <v>0</v>
      </c>
      <c r="BJ197" s="1126">
        <f>'ANSP Capex'!BH193*IF($I197="",(1+INDEX($I$41:$I$42,MATCH($F197,$F$41:$F$42,0))),(1+$I197))</f>
        <v>317.8483794</v>
      </c>
      <c r="BK197" s="1126">
        <f>'ANSP Capex'!BI193*IF($I197="",(1+INDEX($I$41:$I$42,MATCH($F197,$F$41:$F$42,0))),(1+$I197))</f>
        <v>0</v>
      </c>
      <c r="BL197" s="1126">
        <f>'ANSP Capex'!BJ193*IF($I197="",(1+INDEX($I$41:$I$42,MATCH($F197,$F$41:$F$42,0))),(1+$I197))</f>
        <v>0</v>
      </c>
    </row>
    <row r="198" spans="1:64" outlineLevel="1">
      <c r="A198" s="1094"/>
      <c r="B198" s="1094"/>
      <c r="C198" s="1083" t="str">
        <f>'ANSP Capex'!C194</f>
        <v>VOIP Switch DUB</v>
      </c>
      <c r="D198" s="1083" t="str">
        <f>'ANSP Capex'!D194</f>
        <v>VOIP Switch</v>
      </c>
      <c r="E198" s="1083" t="str">
        <f>'ANSP Capex'!E194</f>
        <v>S005A</v>
      </c>
      <c r="F198" s="1083" t="str">
        <f>'ANSP Capex'!F194</f>
        <v>2021-2024</v>
      </c>
      <c r="G198" s="1101">
        <f t="shared" si="16"/>
        <v>1081.4963486000001</v>
      </c>
      <c r="H198" s="1083" t="str">
        <f>'ANSP Capex'!H194</f>
        <v>€'000</v>
      </c>
      <c r="I198" s="829"/>
      <c r="J198" s="1097">
        <f>'ANSP Capex'!I194</f>
        <v>8</v>
      </c>
      <c r="K198" s="1124">
        <v>0</v>
      </c>
      <c r="L198" s="1098">
        <f t="shared" si="17"/>
        <v>96</v>
      </c>
      <c r="M198" s="153">
        <f t="shared" si="18"/>
        <v>0.125</v>
      </c>
      <c r="N198" s="1099"/>
      <c r="O198" s="1100">
        <f>'ANSP Capex'!M194</f>
        <v>0</v>
      </c>
      <c r="P198" s="1101">
        <f>IF($BH198=0,0,IF(SUM($O198:O198)&lt;($L198-12),12,$L198-SUM($O198:O198)))</f>
        <v>0</v>
      </c>
      <c r="Q198" s="1101">
        <f>IF($BH198=0,0,IF(SUM($O198:P198)&lt;($L198-12),12,$L198-SUM($O198:P198)))</f>
        <v>0</v>
      </c>
      <c r="R198" s="1101">
        <f>IF($BH198=0,0,IF(SUM($O198:Q198)&lt;($L198-12),12,$L198-SUM($O198:Q198)))</f>
        <v>0</v>
      </c>
      <c r="S198" s="1101">
        <f>IF($BH198=0,0,IF(SUM($O198:R198)&lt;($L198-12),12,$L198-SUM($O198:R198)))</f>
        <v>0</v>
      </c>
      <c r="U198" s="1100"/>
      <c r="V198" s="1100">
        <f>'ANSP Capex'!T194</f>
        <v>3</v>
      </c>
      <c r="W198" s="1101">
        <f>IF($BI198=0,0,IF(SUM($U198:V198)&lt;($L198-12),12,$L198-SUM($U198:V198)))</f>
        <v>12</v>
      </c>
      <c r="X198" s="1101">
        <f>IF($BI198=0,0,IF(SUM($U198:W198)&lt;($L198-12),12,$L198-SUM($U198:W198)))</f>
        <v>12</v>
      </c>
      <c r="Y198" s="1101">
        <f>IF($BI198=0,0,IF(SUM($U198:X198)&lt;($L198-12),12,$L198-SUM($U198:X198)))</f>
        <v>12</v>
      </c>
      <c r="AA198" s="1100"/>
      <c r="AB198" s="1100"/>
      <c r="AC198" s="1100">
        <f>'ANSP Capex'!AA194</f>
        <v>0</v>
      </c>
      <c r="AD198" s="1101">
        <f>IF($BJ198=0,0,IF(SUM($AA198:AC198)&lt;($L198-12),12,$L198-SUM($AA198:AC198)))</f>
        <v>0</v>
      </c>
      <c r="AE198" s="1101">
        <f>IF($BJ198=0,0,IF(SUM($AA198:AD198)&lt;($L198-12),12,$L198-SUM($AA198:AD198)))</f>
        <v>0</v>
      </c>
      <c r="AG198" s="1100"/>
      <c r="AH198" s="1100"/>
      <c r="AI198" s="1100"/>
      <c r="AJ198" s="1100">
        <f>'ANSP Capex'!AH194</f>
        <v>0</v>
      </c>
      <c r="AK198" s="1101">
        <f>IF($BK198=0,0,IF(SUM($AG198:AJ198)&lt;($L198-12),12,$L198-SUM($AG198:AJ198)))</f>
        <v>0</v>
      </c>
      <c r="AM198" s="1100"/>
      <c r="AN198" s="1100"/>
      <c r="AO198" s="1100"/>
      <c r="AP198" s="1100"/>
      <c r="AQ198" s="1100">
        <f>'ANSP Capex'!AO194</f>
        <v>0</v>
      </c>
      <c r="AS198" s="153">
        <f t="shared" si="19"/>
        <v>0</v>
      </c>
      <c r="AT198" s="153">
        <f t="shared" si="20"/>
        <v>0.25</v>
      </c>
      <c r="AU198" s="153">
        <f t="shared" si="21"/>
        <v>0</v>
      </c>
      <c r="AV198" s="153">
        <f t="shared" si="22"/>
        <v>0</v>
      </c>
      <c r="AW198" s="153">
        <f t="shared" si="23"/>
        <v>0</v>
      </c>
      <c r="AX198" s="153"/>
      <c r="AY198" s="1543">
        <f>'ANSP Capex'!AW194</f>
        <v>0.75</v>
      </c>
      <c r="AZ198" s="1102"/>
      <c r="BA198" s="1543">
        <f>'ANSP Capex'!AY194</f>
        <v>0.25</v>
      </c>
      <c r="BC198" s="1126"/>
      <c r="BD198" s="1126"/>
      <c r="BE198" s="1126"/>
      <c r="BF198" s="1126"/>
      <c r="BG198" s="1126"/>
      <c r="BH198" s="1126">
        <f>'ANSP Capex'!BF194*IF($I198="",(1+INDEX($I$41:$I$42,MATCH($F198,$F$41:$F$42,0))),(1+$I198))</f>
        <v>0</v>
      </c>
      <c r="BI198" s="1126">
        <f>'ANSP Capex'!BG194*IF($I198="",(1+INDEX($I$41:$I$42,MATCH($F198,$F$41:$F$42,0))),(1+$I198))</f>
        <v>1081.4963486000001</v>
      </c>
      <c r="BJ198" s="1126">
        <f>'ANSP Capex'!BH194*IF($I198="",(1+INDEX($I$41:$I$42,MATCH($F198,$F$41:$F$42,0))),(1+$I198))</f>
        <v>0</v>
      </c>
      <c r="BK198" s="1126">
        <f>'ANSP Capex'!BI194*IF($I198="",(1+INDEX($I$41:$I$42,MATCH($F198,$F$41:$F$42,0))),(1+$I198))</f>
        <v>0</v>
      </c>
      <c r="BL198" s="1126">
        <f>'ANSP Capex'!BJ194*IF($I198="",(1+INDEX($I$41:$I$42,MATCH($F198,$F$41:$F$42,0))),(1+$I198))</f>
        <v>0</v>
      </c>
    </row>
    <row r="199" spans="1:64" outlineLevel="1">
      <c r="A199" s="1094"/>
      <c r="B199" s="1094"/>
      <c r="C199" s="1083" t="str">
        <f>'ANSP Capex'!C195</f>
        <v>VOIP Switch Ballycasey Main</v>
      </c>
      <c r="D199" s="1083" t="str">
        <f>'ANSP Capex'!D195</f>
        <v>VOIP Switch</v>
      </c>
      <c r="E199" s="1083" t="str">
        <f>'ANSP Capex'!E195</f>
        <v>S005A</v>
      </c>
      <c r="F199" s="1083" t="str">
        <f>'ANSP Capex'!F195</f>
        <v>2021-2024</v>
      </c>
      <c r="G199" s="1101">
        <f t="shared" si="16"/>
        <v>1079.5672000000002</v>
      </c>
      <c r="H199" s="1083" t="str">
        <f>'ANSP Capex'!H195</f>
        <v>€'000</v>
      </c>
      <c r="I199" s="829"/>
      <c r="J199" s="1097">
        <f>'ANSP Capex'!I195</f>
        <v>8</v>
      </c>
      <c r="K199" s="1124">
        <v>0</v>
      </c>
      <c r="L199" s="1098">
        <f t="shared" si="17"/>
        <v>96</v>
      </c>
      <c r="M199" s="153">
        <f t="shared" si="18"/>
        <v>0.125</v>
      </c>
      <c r="N199" s="1099"/>
      <c r="O199" s="1100">
        <f>'ANSP Capex'!M195</f>
        <v>0</v>
      </c>
      <c r="P199" s="1101">
        <f>IF($BH199=0,0,IF(SUM($O199:O199)&lt;($L199-12),12,$L199-SUM($O199:O199)))</f>
        <v>0</v>
      </c>
      <c r="Q199" s="1101">
        <f>IF($BH199=0,0,IF(SUM($O199:P199)&lt;($L199-12),12,$L199-SUM($O199:P199)))</f>
        <v>0</v>
      </c>
      <c r="R199" s="1101">
        <f>IF($BH199=0,0,IF(SUM($O199:Q199)&lt;($L199-12),12,$L199-SUM($O199:Q199)))</f>
        <v>0</v>
      </c>
      <c r="S199" s="1101">
        <f>IF($BH199=0,0,IF(SUM($O199:R199)&lt;($L199-12),12,$L199-SUM($O199:R199)))</f>
        <v>0</v>
      </c>
      <c r="U199" s="1100"/>
      <c r="V199" s="1100">
        <f>'ANSP Capex'!T195</f>
        <v>0</v>
      </c>
      <c r="W199" s="1101">
        <f>IF($BI199=0,0,IF(SUM($U199:V199)&lt;($L199-12),12,$L199-SUM($U199:V199)))</f>
        <v>0</v>
      </c>
      <c r="X199" s="1101">
        <f>IF($BI199=0,0,IF(SUM($U199:W199)&lt;($L199-12),12,$L199-SUM($U199:W199)))</f>
        <v>0</v>
      </c>
      <c r="Y199" s="1101">
        <f>IF($BI199=0,0,IF(SUM($U199:X199)&lt;($L199-12),12,$L199-SUM($U199:X199)))</f>
        <v>0</v>
      </c>
      <c r="AA199" s="1100"/>
      <c r="AB199" s="1100"/>
      <c r="AC199" s="1100">
        <f>'ANSP Capex'!AA195</f>
        <v>0</v>
      </c>
      <c r="AD199" s="1101">
        <f>IF($BJ199=0,0,IF(SUM($AA199:AC199)&lt;($L199-12),12,$L199-SUM($AA199:AC199)))</f>
        <v>0</v>
      </c>
      <c r="AE199" s="1101">
        <f>IF($BJ199=0,0,IF(SUM($AA199:AD199)&lt;($L199-12),12,$L199-SUM($AA199:AD199)))</f>
        <v>0</v>
      </c>
      <c r="AG199" s="1100"/>
      <c r="AH199" s="1100"/>
      <c r="AI199" s="1100"/>
      <c r="AJ199" s="1100">
        <f>'ANSP Capex'!AH195</f>
        <v>0</v>
      </c>
      <c r="AK199" s="1101">
        <f>IF($BK199=0,0,IF(SUM($AG199:AJ199)&lt;($L199-12),12,$L199-SUM($AG199:AJ199)))</f>
        <v>0</v>
      </c>
      <c r="AM199" s="1100"/>
      <c r="AN199" s="1100"/>
      <c r="AO199" s="1100"/>
      <c r="AP199" s="1100"/>
      <c r="AQ199" s="1100">
        <f>'ANSP Capex'!AO195</f>
        <v>3</v>
      </c>
      <c r="AS199" s="153">
        <f t="shared" si="19"/>
        <v>0</v>
      </c>
      <c r="AT199" s="153">
        <f t="shared" si="20"/>
        <v>0</v>
      </c>
      <c r="AU199" s="153">
        <f t="shared" si="21"/>
        <v>0</v>
      </c>
      <c r="AV199" s="153">
        <f t="shared" si="22"/>
        <v>0</v>
      </c>
      <c r="AW199" s="153">
        <f t="shared" si="23"/>
        <v>0.25</v>
      </c>
      <c r="AX199" s="153"/>
      <c r="AY199" s="1543">
        <f>'ANSP Capex'!AW195</f>
        <v>1</v>
      </c>
      <c r="AZ199" s="1102"/>
      <c r="BA199" s="1543">
        <f>'ANSP Capex'!AY195</f>
        <v>0</v>
      </c>
      <c r="BC199" s="1126"/>
      <c r="BD199" s="1126"/>
      <c r="BE199" s="1126"/>
      <c r="BF199" s="1126"/>
      <c r="BG199" s="1126"/>
      <c r="BH199" s="1126">
        <f>'ANSP Capex'!BF195*IF($I199="",(1+INDEX($I$41:$I$42,MATCH($F199,$F$41:$F$42,0))),(1+$I199))</f>
        <v>0</v>
      </c>
      <c r="BI199" s="1126">
        <f>'ANSP Capex'!BG195*IF($I199="",(1+INDEX($I$41:$I$42,MATCH($F199,$F$41:$F$42,0))),(1+$I199))</f>
        <v>0</v>
      </c>
      <c r="BJ199" s="1126">
        <f>'ANSP Capex'!BH195*IF($I199="",(1+INDEX($I$41:$I$42,MATCH($F199,$F$41:$F$42,0))),(1+$I199))</f>
        <v>0</v>
      </c>
      <c r="BK199" s="1126">
        <f>'ANSP Capex'!BI195*IF($I199="",(1+INDEX($I$41:$I$42,MATCH($F199,$F$41:$F$42,0))),(1+$I199))</f>
        <v>0</v>
      </c>
      <c r="BL199" s="1126">
        <f>'ANSP Capex'!BJ195*IF($I199="",(1+INDEX($I$41:$I$42,MATCH($F199,$F$41:$F$42,0))),(1+$I199))</f>
        <v>1079.5672000000002</v>
      </c>
    </row>
    <row r="200" spans="1:64" outlineLevel="1">
      <c r="A200" s="1094"/>
      <c r="B200" s="1094"/>
      <c r="C200" s="1083" t="str">
        <f>'ANSP Capex'!C196</f>
        <v>VOIP Switch STBU</v>
      </c>
      <c r="D200" s="1083" t="str">
        <f>'ANSP Capex'!D196</f>
        <v>VOIP Switch</v>
      </c>
      <c r="E200" s="1083" t="str">
        <f>'ANSP Capex'!E196</f>
        <v>S005A</v>
      </c>
      <c r="F200" s="1083" t="str">
        <f>'ANSP Capex'!F196</f>
        <v>2021-2024</v>
      </c>
      <c r="G200" s="1101">
        <f t="shared" si="16"/>
        <v>240</v>
      </c>
      <c r="H200" s="1083" t="str">
        <f>'ANSP Capex'!H196</f>
        <v>€'000</v>
      </c>
      <c r="I200" s="829"/>
      <c r="J200" s="1097">
        <f>'ANSP Capex'!I196</f>
        <v>8</v>
      </c>
      <c r="K200" s="1124">
        <v>0</v>
      </c>
      <c r="L200" s="1098">
        <f t="shared" si="17"/>
        <v>96</v>
      </c>
      <c r="M200" s="153">
        <f t="shared" si="18"/>
        <v>0.125</v>
      </c>
      <c r="N200" s="1099"/>
      <c r="O200" s="1100">
        <f>'ANSP Capex'!M196</f>
        <v>0</v>
      </c>
      <c r="P200" s="1101">
        <f>IF($BH200=0,0,IF(SUM($O200:O200)&lt;($L200-12),12,$L200-SUM($O200:O200)))</f>
        <v>0</v>
      </c>
      <c r="Q200" s="1101">
        <f>IF($BH200=0,0,IF(SUM($O200:P200)&lt;($L200-12),12,$L200-SUM($O200:P200)))</f>
        <v>0</v>
      </c>
      <c r="R200" s="1101">
        <f>IF($BH200=0,0,IF(SUM($O200:Q200)&lt;($L200-12),12,$L200-SUM($O200:Q200)))</f>
        <v>0</v>
      </c>
      <c r="S200" s="1101">
        <f>IF($BH200=0,0,IF(SUM($O200:R200)&lt;($L200-12),12,$L200-SUM($O200:R200)))</f>
        <v>0</v>
      </c>
      <c r="U200" s="1100"/>
      <c r="V200" s="1100">
        <f>'ANSP Capex'!T196</f>
        <v>0</v>
      </c>
      <c r="W200" s="1101">
        <f>IF($BI200=0,0,IF(SUM($U200:V200)&lt;($L200-12),12,$L200-SUM($U200:V200)))</f>
        <v>0</v>
      </c>
      <c r="X200" s="1101">
        <f>IF($BI200=0,0,IF(SUM($U200:W200)&lt;($L200-12),12,$L200-SUM($U200:W200)))</f>
        <v>0</v>
      </c>
      <c r="Y200" s="1101">
        <f>IF($BI200=0,0,IF(SUM($U200:X200)&lt;($L200-12),12,$L200-SUM($U200:X200)))</f>
        <v>0</v>
      </c>
      <c r="AA200" s="1100"/>
      <c r="AB200" s="1100"/>
      <c r="AC200" s="1100">
        <f>'ANSP Capex'!AA196</f>
        <v>0</v>
      </c>
      <c r="AD200" s="1101">
        <f>IF($BJ200=0,0,IF(SUM($AA200:AC200)&lt;($L200-12),12,$L200-SUM($AA200:AC200)))</f>
        <v>0</v>
      </c>
      <c r="AE200" s="1101">
        <f>IF($BJ200=0,0,IF(SUM($AA200:AD200)&lt;($L200-12),12,$L200-SUM($AA200:AD200)))</f>
        <v>0</v>
      </c>
      <c r="AG200" s="1100"/>
      <c r="AH200" s="1100"/>
      <c r="AI200" s="1100"/>
      <c r="AJ200" s="1100">
        <f>'ANSP Capex'!AH196</f>
        <v>3</v>
      </c>
      <c r="AK200" s="1101">
        <f>IF($BK200=0,0,IF(SUM($AG200:AJ200)&lt;($L200-12),12,$L200-SUM($AG200:AJ200)))</f>
        <v>12</v>
      </c>
      <c r="AM200" s="1100"/>
      <c r="AN200" s="1100"/>
      <c r="AO200" s="1100"/>
      <c r="AP200" s="1100"/>
      <c r="AQ200" s="1100">
        <f>'ANSP Capex'!AO196</f>
        <v>0</v>
      </c>
      <c r="AS200" s="153">
        <f t="shared" si="19"/>
        <v>0</v>
      </c>
      <c r="AT200" s="153">
        <f t="shared" si="20"/>
        <v>0</v>
      </c>
      <c r="AU200" s="153">
        <f t="shared" si="21"/>
        <v>0</v>
      </c>
      <c r="AV200" s="153">
        <f t="shared" si="22"/>
        <v>0.25</v>
      </c>
      <c r="AW200" s="153">
        <f t="shared" si="23"/>
        <v>0</v>
      </c>
      <c r="AX200" s="153"/>
      <c r="AY200" s="1543">
        <f>'ANSP Capex'!AW196</f>
        <v>0</v>
      </c>
      <c r="AZ200" s="1102"/>
      <c r="BA200" s="1543">
        <f>'ANSP Capex'!AY196</f>
        <v>1</v>
      </c>
      <c r="BC200" s="1126"/>
      <c r="BD200" s="1126"/>
      <c r="BE200" s="1126"/>
      <c r="BF200" s="1126"/>
      <c r="BG200" s="1126"/>
      <c r="BH200" s="1126">
        <f>'ANSP Capex'!BF196*IF($I200="",(1+INDEX($I$41:$I$42,MATCH($F200,$F$41:$F$42,0))),(1+$I200))</f>
        <v>0</v>
      </c>
      <c r="BI200" s="1126">
        <f>'ANSP Capex'!BG196*IF($I200="",(1+INDEX($I$41:$I$42,MATCH($F200,$F$41:$F$42,0))),(1+$I200))</f>
        <v>0</v>
      </c>
      <c r="BJ200" s="1126">
        <f>'ANSP Capex'!BH196*IF($I200="",(1+INDEX($I$41:$I$42,MATCH($F200,$F$41:$F$42,0))),(1+$I200))</f>
        <v>0</v>
      </c>
      <c r="BK200" s="1126">
        <f>'ANSP Capex'!BI196*IF($I200="",(1+INDEX($I$41:$I$42,MATCH($F200,$F$41:$F$42,0))),(1+$I200))</f>
        <v>240</v>
      </c>
      <c r="BL200" s="1126">
        <f>'ANSP Capex'!BJ196*IF($I200="",(1+INDEX($I$41:$I$42,MATCH($F200,$F$41:$F$42,0))),(1+$I200))</f>
        <v>0</v>
      </c>
    </row>
    <row r="201" spans="1:64" outlineLevel="1">
      <c r="A201" s="1094"/>
      <c r="B201" s="1094"/>
      <c r="C201" s="1083" t="str">
        <f>'ANSP Capex'!C197</f>
        <v>VOIP Test &amp; backup Ballycasey</v>
      </c>
      <c r="D201" s="1083" t="str">
        <f>'ANSP Capex'!D197</f>
        <v>VOIP Switch</v>
      </c>
      <c r="E201" s="1083" t="str">
        <f>'ANSP Capex'!E197</f>
        <v>S005A</v>
      </c>
      <c r="F201" s="1083" t="str">
        <f>'ANSP Capex'!F197</f>
        <v>2021-2024</v>
      </c>
      <c r="G201" s="1101">
        <f t="shared" si="16"/>
        <v>427.44</v>
      </c>
      <c r="H201" s="1083" t="str">
        <f>'ANSP Capex'!H197</f>
        <v>€'000</v>
      </c>
      <c r="I201" s="829"/>
      <c r="J201" s="1097">
        <f>'ANSP Capex'!I197</f>
        <v>8</v>
      </c>
      <c r="K201" s="1124">
        <v>0</v>
      </c>
      <c r="L201" s="1098">
        <f t="shared" si="17"/>
        <v>96</v>
      </c>
      <c r="M201" s="153">
        <f t="shared" si="18"/>
        <v>0.125</v>
      </c>
      <c r="N201" s="1099"/>
      <c r="O201" s="1100">
        <f>'ANSP Capex'!M197</f>
        <v>0</v>
      </c>
      <c r="P201" s="1101">
        <f>IF($BH201=0,0,IF(SUM($O201:O201)&lt;($L201-12),12,$L201-SUM($O201:O201)))</f>
        <v>0</v>
      </c>
      <c r="Q201" s="1101">
        <f>IF($BH201=0,0,IF(SUM($O201:P201)&lt;($L201-12),12,$L201-SUM($O201:P201)))</f>
        <v>0</v>
      </c>
      <c r="R201" s="1101">
        <f>IF($BH201=0,0,IF(SUM($O201:Q201)&lt;($L201-12),12,$L201-SUM($O201:Q201)))</f>
        <v>0</v>
      </c>
      <c r="S201" s="1101">
        <f>IF($BH201=0,0,IF(SUM($O201:R201)&lt;($L201-12),12,$L201-SUM($O201:R201)))</f>
        <v>0</v>
      </c>
      <c r="U201" s="1100"/>
      <c r="V201" s="1100">
        <f>'ANSP Capex'!T197</f>
        <v>0</v>
      </c>
      <c r="W201" s="1101">
        <f>IF($BI201=0,0,IF(SUM($U201:V201)&lt;($L201-12),12,$L201-SUM($U201:V201)))</f>
        <v>0</v>
      </c>
      <c r="X201" s="1101">
        <f>IF($BI201=0,0,IF(SUM($U201:W201)&lt;($L201-12),12,$L201-SUM($U201:W201)))</f>
        <v>0</v>
      </c>
      <c r="Y201" s="1101">
        <f>IF($BI201=0,0,IF(SUM($U201:X201)&lt;($L201-12),12,$L201-SUM($U201:X201)))</f>
        <v>0</v>
      </c>
      <c r="AA201" s="1100"/>
      <c r="AB201" s="1100"/>
      <c r="AC201" s="1100">
        <f>'ANSP Capex'!AA197</f>
        <v>0</v>
      </c>
      <c r="AD201" s="1101">
        <f>IF($BJ201=0,0,IF(SUM($AA201:AC201)&lt;($L201-12),12,$L201-SUM($AA201:AC201)))</f>
        <v>0</v>
      </c>
      <c r="AE201" s="1101">
        <f>IF($BJ201=0,0,IF(SUM($AA201:AD201)&lt;($L201-12),12,$L201-SUM($AA201:AD201)))</f>
        <v>0</v>
      </c>
      <c r="AG201" s="1100"/>
      <c r="AH201" s="1100"/>
      <c r="AI201" s="1100"/>
      <c r="AJ201" s="1100">
        <f>'ANSP Capex'!AH197</f>
        <v>3</v>
      </c>
      <c r="AK201" s="1101">
        <f>IF($BK201=0,0,IF(SUM($AG201:AJ201)&lt;($L201-12),12,$L201-SUM($AG201:AJ201)))</f>
        <v>12</v>
      </c>
      <c r="AM201" s="1100"/>
      <c r="AN201" s="1100"/>
      <c r="AO201" s="1100"/>
      <c r="AP201" s="1100"/>
      <c r="AQ201" s="1100">
        <f>'ANSP Capex'!AO197</f>
        <v>0</v>
      </c>
      <c r="AS201" s="153">
        <f t="shared" si="19"/>
        <v>0</v>
      </c>
      <c r="AT201" s="153">
        <f t="shared" si="20"/>
        <v>0</v>
      </c>
      <c r="AU201" s="153">
        <f t="shared" si="21"/>
        <v>0</v>
      </c>
      <c r="AV201" s="153">
        <f t="shared" si="22"/>
        <v>0.25</v>
      </c>
      <c r="AW201" s="153">
        <f t="shared" si="23"/>
        <v>0</v>
      </c>
      <c r="AX201" s="153"/>
      <c r="AY201" s="1543">
        <f>'ANSP Capex'!AW197</f>
        <v>0.75</v>
      </c>
      <c r="AZ201" s="1102"/>
      <c r="BA201" s="1543">
        <f>'ANSP Capex'!AY197</f>
        <v>0.25</v>
      </c>
      <c r="BC201" s="1126"/>
      <c r="BD201" s="1126"/>
      <c r="BE201" s="1126"/>
      <c r="BF201" s="1126"/>
      <c r="BG201" s="1126"/>
      <c r="BH201" s="1126">
        <f>'ANSP Capex'!BF197*IF($I201="",(1+INDEX($I$41:$I$42,MATCH($F201,$F$41:$F$42,0))),(1+$I201))</f>
        <v>0</v>
      </c>
      <c r="BI201" s="1126">
        <f>'ANSP Capex'!BG197*IF($I201="",(1+INDEX($I$41:$I$42,MATCH($F201,$F$41:$F$42,0))),(1+$I201))</f>
        <v>0</v>
      </c>
      <c r="BJ201" s="1126">
        <f>'ANSP Capex'!BH197*IF($I201="",(1+INDEX($I$41:$I$42,MATCH($F201,$F$41:$F$42,0))),(1+$I201))</f>
        <v>0</v>
      </c>
      <c r="BK201" s="1126">
        <f>'ANSP Capex'!BI197*IF($I201="",(1+INDEX($I$41:$I$42,MATCH($F201,$F$41:$F$42,0))),(1+$I201))</f>
        <v>427.44</v>
      </c>
      <c r="BL201" s="1126">
        <f>'ANSP Capex'!BJ197*IF($I201="",(1+INDEX($I$41:$I$42,MATCH($F201,$F$41:$F$42,0))),(1+$I201))</f>
        <v>0</v>
      </c>
    </row>
    <row r="202" spans="1:64" outlineLevel="1">
      <c r="A202" s="1094"/>
      <c r="B202" s="1094"/>
      <c r="C202" s="1083" t="str">
        <f>'ANSP Capex'!C198</f>
        <v>North Dublin Radar Building</v>
      </c>
      <c r="D202" s="1083" t="str">
        <f>'ANSP Capex'!D198</f>
        <v>North Dublin Radar Building</v>
      </c>
      <c r="E202" s="1083" t="str">
        <f>'ANSP Capex'!E198</f>
        <v>T006</v>
      </c>
      <c r="F202" s="1083" t="str">
        <f>'ANSP Capex'!F198</f>
        <v>2021-2024</v>
      </c>
      <c r="G202" s="1101">
        <f t="shared" si="16"/>
        <v>2784</v>
      </c>
      <c r="H202" s="1083" t="str">
        <f>'ANSP Capex'!H198</f>
        <v>€'000</v>
      </c>
      <c r="I202" s="829"/>
      <c r="J202" s="1097">
        <f>'ANSP Capex'!I198</f>
        <v>12</v>
      </c>
      <c r="K202" s="1124">
        <v>40</v>
      </c>
      <c r="L202" s="1098">
        <f t="shared" si="17"/>
        <v>480</v>
      </c>
      <c r="M202" s="153">
        <f t="shared" si="18"/>
        <v>2.5000000000000001E-2</v>
      </c>
      <c r="N202" s="1099"/>
      <c r="O202" s="1100">
        <f>'ANSP Capex'!M198</f>
        <v>0</v>
      </c>
      <c r="P202" s="1101">
        <f>IF($BH202=0,0,IF(SUM($O202:O202)&lt;($L202-12),12,$L202-SUM($O202:O202)))</f>
        <v>0</v>
      </c>
      <c r="Q202" s="1101">
        <f>IF($BH202=0,0,IF(SUM($O202:P202)&lt;($L202-12),12,$L202-SUM($O202:P202)))</f>
        <v>0</v>
      </c>
      <c r="R202" s="1101">
        <f>IF($BH202=0,0,IF(SUM($O202:Q202)&lt;($L202-12),12,$L202-SUM($O202:Q202)))</f>
        <v>0</v>
      </c>
      <c r="S202" s="1101">
        <f>IF($BH202=0,0,IF(SUM($O202:R202)&lt;($L202-12),12,$L202-SUM($O202:R202)))</f>
        <v>0</v>
      </c>
      <c r="U202" s="1100"/>
      <c r="V202" s="1100">
        <f>'ANSP Capex'!T198</f>
        <v>0</v>
      </c>
      <c r="W202" s="1101">
        <f>IF($BI202=0,0,IF(SUM($U202:V202)&lt;($L202-12),12,$L202-SUM($U202:V202)))</f>
        <v>0</v>
      </c>
      <c r="X202" s="1101">
        <f>IF($BI202=0,0,IF(SUM($U202:W202)&lt;($L202-12),12,$L202-SUM($U202:W202)))</f>
        <v>0</v>
      </c>
      <c r="Y202" s="1101">
        <f>IF($BI202=0,0,IF(SUM($U202:X202)&lt;($L202-12),12,$L202-SUM($U202:X202)))</f>
        <v>0</v>
      </c>
      <c r="AA202" s="1100"/>
      <c r="AB202" s="1100"/>
      <c r="AC202" s="1100">
        <f>'ANSP Capex'!AA198</f>
        <v>9</v>
      </c>
      <c r="AD202" s="1101">
        <f>IF($BJ202=0,0,IF(SUM($AA202:AC202)&lt;($L202-12),12,$L202-SUM($AA202:AC202)))</f>
        <v>12</v>
      </c>
      <c r="AE202" s="1101">
        <f>IF($BJ202=0,0,IF(SUM($AA202:AD202)&lt;($L202-12),12,$L202-SUM($AA202:AD202)))</f>
        <v>12</v>
      </c>
      <c r="AG202" s="1100"/>
      <c r="AH202" s="1100"/>
      <c r="AI202" s="1100"/>
      <c r="AJ202" s="1100">
        <f>'ANSP Capex'!AH198</f>
        <v>0</v>
      </c>
      <c r="AK202" s="1101">
        <f>IF($BK202=0,0,IF(SUM($AG202:AJ202)&lt;($L202-12),12,$L202-SUM($AG202:AJ202)))</f>
        <v>0</v>
      </c>
      <c r="AM202" s="1100"/>
      <c r="AN202" s="1100"/>
      <c r="AO202" s="1100"/>
      <c r="AP202" s="1100"/>
      <c r="AQ202" s="1100">
        <f>'ANSP Capex'!AO198</f>
        <v>0</v>
      </c>
      <c r="AS202" s="153">
        <f t="shared" si="19"/>
        <v>0</v>
      </c>
      <c r="AT202" s="153">
        <f t="shared" si="20"/>
        <v>0</v>
      </c>
      <c r="AU202" s="153">
        <f t="shared" si="21"/>
        <v>0.75</v>
      </c>
      <c r="AV202" s="153">
        <f t="shared" si="22"/>
        <v>0</v>
      </c>
      <c r="AW202" s="153">
        <f t="shared" si="23"/>
        <v>0</v>
      </c>
      <c r="AX202" s="153"/>
      <c r="AY202" s="1543">
        <f>'ANSP Capex'!AW198</f>
        <v>0.75</v>
      </c>
      <c r="AZ202" s="1102"/>
      <c r="BA202" s="1543">
        <f>'ANSP Capex'!AY198</f>
        <v>0.25</v>
      </c>
      <c r="BC202" s="1126"/>
      <c r="BD202" s="1126"/>
      <c r="BE202" s="1126"/>
      <c r="BF202" s="1126"/>
      <c r="BG202" s="1126"/>
      <c r="BH202" s="1126">
        <f>'ANSP Capex'!BF198*IF($I202="",(1+INDEX($I$41:$I$42,MATCH($F202,$F$41:$F$42,0))),(1+$I202))</f>
        <v>0</v>
      </c>
      <c r="BI202" s="1126">
        <f>'ANSP Capex'!BG198*IF($I202="",(1+INDEX($I$41:$I$42,MATCH($F202,$F$41:$F$42,0))),(1+$I202))</f>
        <v>0</v>
      </c>
      <c r="BJ202" s="1126">
        <f>'ANSP Capex'!BH198*IF($I202="",(1+INDEX($I$41:$I$42,MATCH($F202,$F$41:$F$42,0))),(1+$I202))</f>
        <v>2784</v>
      </c>
      <c r="BK202" s="1126">
        <f>'ANSP Capex'!BI198*IF($I202="",(1+INDEX($I$41:$I$42,MATCH($F202,$F$41:$F$42,0))),(1+$I202))</f>
        <v>0</v>
      </c>
      <c r="BL202" s="1126">
        <f>'ANSP Capex'!BJ198*IF($I202="",(1+INDEX($I$41:$I$42,MATCH($F202,$F$41:$F$42,0))),(1+$I202))</f>
        <v>0</v>
      </c>
    </row>
    <row r="203" spans="1:64" outlineLevel="1">
      <c r="A203" s="1094"/>
      <c r="B203" s="1094"/>
      <c r="C203" s="1083" t="str">
        <f>'ANSP Capex'!C199</f>
        <v>Structural Upgrades Dublin ACC</v>
      </c>
      <c r="D203" s="1083" t="str">
        <f>'ANSP Capex'!D199</f>
        <v>Structural Upgrades</v>
      </c>
      <c r="E203" s="1083" t="str">
        <f>'ANSP Capex'!E199</f>
        <v>RP3-PROP-4</v>
      </c>
      <c r="F203" s="1083" t="str">
        <f>'ANSP Capex'!F199</f>
        <v>2021-2024</v>
      </c>
      <c r="G203" s="1101">
        <f t="shared" si="16"/>
        <v>1550</v>
      </c>
      <c r="H203" s="1083" t="str">
        <f>'ANSP Capex'!H199</f>
        <v>€'000</v>
      </c>
      <c r="I203" s="829"/>
      <c r="J203" s="1097">
        <f>'ANSP Capex'!I199</f>
        <v>20</v>
      </c>
      <c r="K203" s="1124">
        <v>0</v>
      </c>
      <c r="L203" s="1098">
        <f t="shared" si="17"/>
        <v>240</v>
      </c>
      <c r="M203" s="153">
        <f t="shared" si="18"/>
        <v>0.05</v>
      </c>
      <c r="N203" s="1099"/>
      <c r="O203" s="1100">
        <f>'ANSP Capex'!M199</f>
        <v>0</v>
      </c>
      <c r="P203" s="1101">
        <f>IF($BH203=0,0,IF(SUM($O203:O203)&lt;($L203-12),12,$L203-SUM($O203:O203)))</f>
        <v>0</v>
      </c>
      <c r="Q203" s="1101">
        <f>IF($BH203=0,0,IF(SUM($O203:P203)&lt;($L203-12),12,$L203-SUM($O203:P203)))</f>
        <v>0</v>
      </c>
      <c r="R203" s="1101">
        <f>IF($BH203=0,0,IF(SUM($O203:Q203)&lt;($L203-12),12,$L203-SUM($O203:Q203)))</f>
        <v>0</v>
      </c>
      <c r="S203" s="1101">
        <f>IF($BH203=0,0,IF(SUM($O203:R203)&lt;($L203-12),12,$L203-SUM($O203:R203)))</f>
        <v>0</v>
      </c>
      <c r="U203" s="1100"/>
      <c r="V203" s="1100">
        <f>'ANSP Capex'!T199</f>
        <v>0</v>
      </c>
      <c r="W203" s="1101">
        <f>IF($BI203=0,0,IF(SUM($U203:V203)&lt;($L203-12),12,$L203-SUM($U203:V203)))</f>
        <v>0</v>
      </c>
      <c r="X203" s="1101">
        <f>IF($BI203=0,0,IF(SUM($U203:W203)&lt;($L203-12),12,$L203-SUM($U203:W203)))</f>
        <v>0</v>
      </c>
      <c r="Y203" s="1101">
        <f>IF($BI203=0,0,IF(SUM($U203:X203)&lt;($L203-12),12,$L203-SUM($U203:X203)))</f>
        <v>0</v>
      </c>
      <c r="AA203" s="1100"/>
      <c r="AB203" s="1100"/>
      <c r="AC203" s="1100">
        <f>'ANSP Capex'!AA199</f>
        <v>0</v>
      </c>
      <c r="AD203" s="1101">
        <f>IF($BJ203=0,0,IF(SUM($AA203:AC203)&lt;($L203-12),12,$L203-SUM($AA203:AC203)))</f>
        <v>0</v>
      </c>
      <c r="AE203" s="1101">
        <f>IF($BJ203=0,0,IF(SUM($AA203:AD203)&lt;($L203-12),12,$L203-SUM($AA203:AD203)))</f>
        <v>0</v>
      </c>
      <c r="AG203" s="1100"/>
      <c r="AH203" s="1100"/>
      <c r="AI203" s="1100"/>
      <c r="AJ203" s="1100">
        <f>'ANSP Capex'!AH199</f>
        <v>0</v>
      </c>
      <c r="AK203" s="1101">
        <f>IF($BK203=0,0,IF(SUM($AG203:AJ203)&lt;($L203-12),12,$L203-SUM($AG203:AJ203)))</f>
        <v>0</v>
      </c>
      <c r="AM203" s="1100"/>
      <c r="AN203" s="1100"/>
      <c r="AO203" s="1100"/>
      <c r="AP203" s="1100"/>
      <c r="AQ203" s="1100">
        <f>'ANSP Capex'!AO199</f>
        <v>12</v>
      </c>
      <c r="AS203" s="153">
        <f t="shared" si="19"/>
        <v>0</v>
      </c>
      <c r="AT203" s="153">
        <f t="shared" si="20"/>
        <v>0</v>
      </c>
      <c r="AU203" s="153">
        <f t="shared" si="21"/>
        <v>0</v>
      </c>
      <c r="AV203" s="153">
        <f t="shared" si="22"/>
        <v>0</v>
      </c>
      <c r="AW203" s="153">
        <f t="shared" si="23"/>
        <v>1</v>
      </c>
      <c r="AX203" s="153"/>
      <c r="AY203" s="1543">
        <f>'ANSP Capex'!AW199</f>
        <v>0.75</v>
      </c>
      <c r="AZ203" s="1102"/>
      <c r="BA203" s="1543">
        <f>'ANSP Capex'!AY199</f>
        <v>0.25</v>
      </c>
      <c r="BC203" s="1126"/>
      <c r="BD203" s="1126"/>
      <c r="BE203" s="1126"/>
      <c r="BF203" s="1126"/>
      <c r="BG203" s="1126"/>
      <c r="BH203" s="1126">
        <f>'ANSP Capex'!BF199*IF($I203="",(1+INDEX($I$41:$I$42,MATCH($F203,$F$41:$F$42,0))),(1+$I203))</f>
        <v>0</v>
      </c>
      <c r="BI203" s="1126">
        <f>'ANSP Capex'!BG199*IF($I203="",(1+INDEX($I$41:$I$42,MATCH($F203,$F$41:$F$42,0))),(1+$I203))</f>
        <v>0</v>
      </c>
      <c r="BJ203" s="1126">
        <f>'ANSP Capex'!BH199*IF($I203="",(1+INDEX($I$41:$I$42,MATCH($F203,$F$41:$F$42,0))),(1+$I203))</f>
        <v>0</v>
      </c>
      <c r="BK203" s="1126">
        <f>'ANSP Capex'!BI199*IF($I203="",(1+INDEX($I$41:$I$42,MATCH($F203,$F$41:$F$42,0))),(1+$I203))</f>
        <v>0</v>
      </c>
      <c r="BL203" s="1126">
        <f>'ANSP Capex'!BJ199*IF($I203="",(1+INDEX($I$41:$I$42,MATCH($F203,$F$41:$F$42,0))),(1+$I203))</f>
        <v>1550</v>
      </c>
    </row>
    <row r="204" spans="1:64" outlineLevel="1">
      <c r="A204" s="1094"/>
      <c r="B204" s="1094"/>
      <c r="C204" s="1083" t="str">
        <f>'ANSP Capex'!C200</f>
        <v>Structural Upgrades Ballycasey ACC</v>
      </c>
      <c r="D204" s="1083" t="str">
        <f>'ANSP Capex'!D200</f>
        <v>Structural Upgrades</v>
      </c>
      <c r="E204" s="1083" t="str">
        <f>'ANSP Capex'!E200</f>
        <v>RP3-PROP-4</v>
      </c>
      <c r="F204" s="1083" t="str">
        <f>'ANSP Capex'!F200</f>
        <v>2021-2024</v>
      </c>
      <c r="G204" s="1101">
        <f t="shared" si="16"/>
        <v>744</v>
      </c>
      <c r="H204" s="1083" t="str">
        <f>'ANSP Capex'!H200</f>
        <v>€'000</v>
      </c>
      <c r="I204" s="829"/>
      <c r="J204" s="1097">
        <f>'ANSP Capex'!I200</f>
        <v>20</v>
      </c>
      <c r="K204" s="1124">
        <v>0</v>
      </c>
      <c r="L204" s="1098">
        <f t="shared" si="17"/>
        <v>240</v>
      </c>
      <c r="M204" s="153">
        <f t="shared" si="18"/>
        <v>0.05</v>
      </c>
      <c r="N204" s="1099"/>
      <c r="O204" s="1100">
        <f>'ANSP Capex'!M200</f>
        <v>0</v>
      </c>
      <c r="P204" s="1101">
        <f>IF($BH204=0,0,IF(SUM($O204:O204)&lt;($L204-12),12,$L204-SUM($O204:O204)))</f>
        <v>0</v>
      </c>
      <c r="Q204" s="1101">
        <f>IF($BH204=0,0,IF(SUM($O204:P204)&lt;($L204-12),12,$L204-SUM($O204:P204)))</f>
        <v>0</v>
      </c>
      <c r="R204" s="1101">
        <f>IF($BH204=0,0,IF(SUM($O204:Q204)&lt;($L204-12),12,$L204-SUM($O204:Q204)))</f>
        <v>0</v>
      </c>
      <c r="S204" s="1101">
        <f>IF($BH204=0,0,IF(SUM($O204:R204)&lt;($L204-12),12,$L204-SUM($O204:R204)))</f>
        <v>0</v>
      </c>
      <c r="U204" s="1100"/>
      <c r="V204" s="1100">
        <f>'ANSP Capex'!T200</f>
        <v>0</v>
      </c>
      <c r="W204" s="1101">
        <f>IF($BI204=0,0,IF(SUM($U204:V204)&lt;($L204-12),12,$L204-SUM($U204:V204)))</f>
        <v>0</v>
      </c>
      <c r="X204" s="1101">
        <f>IF($BI204=0,0,IF(SUM($U204:W204)&lt;($L204-12),12,$L204-SUM($U204:W204)))</f>
        <v>0</v>
      </c>
      <c r="Y204" s="1101">
        <f>IF($BI204=0,0,IF(SUM($U204:X204)&lt;($L204-12),12,$L204-SUM($U204:X204)))</f>
        <v>0</v>
      </c>
      <c r="AA204" s="1100"/>
      <c r="AB204" s="1100"/>
      <c r="AC204" s="1100">
        <f>'ANSP Capex'!AA200</f>
        <v>3</v>
      </c>
      <c r="AD204" s="1101">
        <f>IF($BJ204=0,0,IF(SUM($AA204:AC204)&lt;($L204-12),12,$L204-SUM($AA204:AC204)))</f>
        <v>12</v>
      </c>
      <c r="AE204" s="1101">
        <f>IF($BJ204=0,0,IF(SUM($AA204:AD204)&lt;($L204-12),12,$L204-SUM($AA204:AD204)))</f>
        <v>12</v>
      </c>
      <c r="AG204" s="1100"/>
      <c r="AH204" s="1100"/>
      <c r="AI204" s="1100"/>
      <c r="AJ204" s="1100">
        <f>'ANSP Capex'!AH200</f>
        <v>0</v>
      </c>
      <c r="AK204" s="1101">
        <f>IF($BK204=0,0,IF(SUM($AG204:AJ204)&lt;($L204-12),12,$L204-SUM($AG204:AJ204)))</f>
        <v>0</v>
      </c>
      <c r="AM204" s="1100"/>
      <c r="AN204" s="1100"/>
      <c r="AO204" s="1100"/>
      <c r="AP204" s="1100"/>
      <c r="AQ204" s="1100">
        <f>'ANSP Capex'!AO200</f>
        <v>0</v>
      </c>
      <c r="AS204" s="153">
        <f t="shared" si="19"/>
        <v>0</v>
      </c>
      <c r="AT204" s="153">
        <f t="shared" si="20"/>
        <v>0</v>
      </c>
      <c r="AU204" s="153">
        <f t="shared" si="21"/>
        <v>0.25</v>
      </c>
      <c r="AV204" s="153">
        <f t="shared" si="22"/>
        <v>0</v>
      </c>
      <c r="AW204" s="153">
        <f t="shared" si="23"/>
        <v>0</v>
      </c>
      <c r="AX204" s="153"/>
      <c r="AY204" s="1543">
        <f>'ANSP Capex'!AW200</f>
        <v>1</v>
      </c>
      <c r="AZ204" s="1102"/>
      <c r="BA204" s="1543">
        <f>'ANSP Capex'!AY200</f>
        <v>0</v>
      </c>
      <c r="BC204" s="1126"/>
      <c r="BD204" s="1126"/>
      <c r="BE204" s="1126"/>
      <c r="BF204" s="1126"/>
      <c r="BG204" s="1126"/>
      <c r="BH204" s="1126">
        <f>'ANSP Capex'!BF200*IF($I204="",(1+INDEX($I$41:$I$42,MATCH($F204,$F$41:$F$42,0))),(1+$I204))</f>
        <v>0</v>
      </c>
      <c r="BI204" s="1126">
        <f>'ANSP Capex'!BG200*IF($I204="",(1+INDEX($I$41:$I$42,MATCH($F204,$F$41:$F$42,0))),(1+$I204))</f>
        <v>0</v>
      </c>
      <c r="BJ204" s="1126">
        <f>'ANSP Capex'!BH200*IF($I204="",(1+INDEX($I$41:$I$42,MATCH($F204,$F$41:$F$42,0))),(1+$I204))</f>
        <v>744</v>
      </c>
      <c r="BK204" s="1126">
        <f>'ANSP Capex'!BI200*IF($I204="",(1+INDEX($I$41:$I$42,MATCH($F204,$F$41:$F$42,0))),(1+$I204))</f>
        <v>0</v>
      </c>
      <c r="BL204" s="1126">
        <f>'ANSP Capex'!BJ200*IF($I204="",(1+INDEX($I$41:$I$42,MATCH($F204,$F$41:$F$42,0))),(1+$I204))</f>
        <v>0</v>
      </c>
    </row>
    <row r="205" spans="1:64" outlineLevel="1">
      <c r="A205" s="1094"/>
      <c r="B205" s="1094"/>
      <c r="C205" s="1083" t="str">
        <f>'ANSP Capex'!C201</f>
        <v>Structural Upgrades Shannon Air Traffic Control Tower</v>
      </c>
      <c r="D205" s="1083" t="str">
        <f>'ANSP Capex'!D201</f>
        <v>Structural Upgrades</v>
      </c>
      <c r="E205" s="1083" t="str">
        <f>'ANSP Capex'!E201</f>
        <v>RP3-PROP-4</v>
      </c>
      <c r="F205" s="1083" t="str">
        <f>'ANSP Capex'!F201</f>
        <v>2021-2024</v>
      </c>
      <c r="G205" s="1101">
        <f t="shared" si="16"/>
        <v>310</v>
      </c>
      <c r="H205" s="1083" t="str">
        <f>'ANSP Capex'!H201</f>
        <v>€'000</v>
      </c>
      <c r="I205" s="829"/>
      <c r="J205" s="1097">
        <f>'ANSP Capex'!I201</f>
        <v>5</v>
      </c>
      <c r="K205" s="1124">
        <v>20</v>
      </c>
      <c r="L205" s="1098">
        <f t="shared" si="17"/>
        <v>240</v>
      </c>
      <c r="M205" s="153">
        <f t="shared" si="18"/>
        <v>0.05</v>
      </c>
      <c r="N205" s="1099"/>
      <c r="O205" s="1100">
        <f>'ANSP Capex'!M201</f>
        <v>0</v>
      </c>
      <c r="P205" s="1101">
        <f>IF($BH205=0,0,IF(SUM($O205:O205)&lt;($L205-12),12,$L205-SUM($O205:O205)))</f>
        <v>0</v>
      </c>
      <c r="Q205" s="1101">
        <f>IF($BH205=0,0,IF(SUM($O205:P205)&lt;($L205-12),12,$L205-SUM($O205:P205)))</f>
        <v>0</v>
      </c>
      <c r="R205" s="1101">
        <f>IF($BH205=0,0,IF(SUM($O205:Q205)&lt;($L205-12),12,$L205-SUM($O205:Q205)))</f>
        <v>0</v>
      </c>
      <c r="S205" s="1101">
        <f>IF($BH205=0,0,IF(SUM($O205:R205)&lt;($L205-12),12,$L205-SUM($O205:R205)))</f>
        <v>0</v>
      </c>
      <c r="U205" s="1100"/>
      <c r="V205" s="1100">
        <f>'ANSP Capex'!T201</f>
        <v>0</v>
      </c>
      <c r="W205" s="1101">
        <f>IF($BI205=0,0,IF(SUM($U205:V205)&lt;($L205-12),12,$L205-SUM($U205:V205)))</f>
        <v>0</v>
      </c>
      <c r="X205" s="1101">
        <f>IF($BI205=0,0,IF(SUM($U205:W205)&lt;($L205-12),12,$L205-SUM($U205:W205)))</f>
        <v>0</v>
      </c>
      <c r="Y205" s="1101">
        <f>IF($BI205=0,0,IF(SUM($U205:X205)&lt;($L205-12),12,$L205-SUM($U205:X205)))</f>
        <v>0</v>
      </c>
      <c r="AA205" s="1100"/>
      <c r="AB205" s="1100"/>
      <c r="AC205" s="1100">
        <f>'ANSP Capex'!AA201</f>
        <v>0</v>
      </c>
      <c r="AD205" s="1101">
        <f>IF($BJ205=0,0,IF(SUM($AA205:AC205)&lt;($L205-12),12,$L205-SUM($AA205:AC205)))</f>
        <v>0</v>
      </c>
      <c r="AE205" s="1101">
        <f>IF($BJ205=0,0,IF(SUM($AA205:AD205)&lt;($L205-12),12,$L205-SUM($AA205:AD205)))</f>
        <v>0</v>
      </c>
      <c r="AG205" s="1100"/>
      <c r="AH205" s="1100"/>
      <c r="AI205" s="1100"/>
      <c r="AJ205" s="1100">
        <f>'ANSP Capex'!AH201</f>
        <v>12</v>
      </c>
      <c r="AK205" s="1101">
        <f>IF($BK205=0,0,IF(SUM($AG205:AJ205)&lt;($L205-12),12,$L205-SUM($AG205:AJ205)))</f>
        <v>12</v>
      </c>
      <c r="AM205" s="1100"/>
      <c r="AN205" s="1100"/>
      <c r="AO205" s="1100"/>
      <c r="AP205" s="1100"/>
      <c r="AQ205" s="1100">
        <f>'ANSP Capex'!AO201</f>
        <v>0</v>
      </c>
      <c r="AS205" s="153">
        <f t="shared" si="19"/>
        <v>0</v>
      </c>
      <c r="AT205" s="153">
        <f t="shared" si="20"/>
        <v>0</v>
      </c>
      <c r="AU205" s="153">
        <f t="shared" si="21"/>
        <v>0</v>
      </c>
      <c r="AV205" s="153">
        <f t="shared" si="22"/>
        <v>1</v>
      </c>
      <c r="AW205" s="153">
        <f t="shared" si="23"/>
        <v>0</v>
      </c>
      <c r="AX205" s="153"/>
      <c r="AY205" s="1543">
        <f>'ANSP Capex'!AW201</f>
        <v>0</v>
      </c>
      <c r="AZ205" s="1102"/>
      <c r="BA205" s="1543">
        <f>'ANSP Capex'!AY201</f>
        <v>1</v>
      </c>
      <c r="BC205" s="1126"/>
      <c r="BD205" s="1126"/>
      <c r="BE205" s="1126"/>
      <c r="BF205" s="1126"/>
      <c r="BG205" s="1126"/>
      <c r="BH205" s="1126">
        <f>'ANSP Capex'!BF201*IF($I205="",(1+INDEX($I$41:$I$42,MATCH($F205,$F$41:$F$42,0))),(1+$I205))</f>
        <v>0</v>
      </c>
      <c r="BI205" s="1126">
        <f>'ANSP Capex'!BG201*IF($I205="",(1+INDEX($I$41:$I$42,MATCH($F205,$F$41:$F$42,0))),(1+$I205))</f>
        <v>0</v>
      </c>
      <c r="BJ205" s="1126">
        <f>'ANSP Capex'!BH201*IF($I205="",(1+INDEX($I$41:$I$42,MATCH($F205,$F$41:$F$42,0))),(1+$I205))</f>
        <v>0</v>
      </c>
      <c r="BK205" s="1126">
        <f>'ANSP Capex'!BI201*IF($I205="",(1+INDEX($I$41:$I$42,MATCH($F205,$F$41:$F$42,0))),(1+$I205))</f>
        <v>310</v>
      </c>
      <c r="BL205" s="1126">
        <f>'ANSP Capex'!BJ201*IF($I205="",(1+INDEX($I$41:$I$42,MATCH($F205,$F$41:$F$42,0))),(1+$I205))</f>
        <v>0</v>
      </c>
    </row>
    <row r="206" spans="1:64" outlineLevel="1">
      <c r="A206" s="1094"/>
      <c r="B206" s="1094"/>
      <c r="C206" s="1083" t="str">
        <f>'ANSP Capex'!C202</f>
        <v>Restrucuring IT Costs ANSP</v>
      </c>
      <c r="D206" s="1083" t="str">
        <f>'ANSP Capex'!D202</f>
        <v>Restrucuring IT Costs ANSP</v>
      </c>
      <c r="E206" s="1083" t="str">
        <f>'ANSP Capex'!E202</f>
        <v>U022</v>
      </c>
      <c r="F206" s="1083" t="str">
        <f>'ANSP Capex'!F202</f>
        <v>2021-2024</v>
      </c>
      <c r="G206" s="1101">
        <f t="shared" si="16"/>
        <v>2464</v>
      </c>
      <c r="H206" s="1083" t="str">
        <f>'ANSP Capex'!H202</f>
        <v>€'000</v>
      </c>
      <c r="I206" s="829"/>
      <c r="J206" s="1097">
        <f>'ANSP Capex'!I202</f>
        <v>5</v>
      </c>
      <c r="K206" s="1124">
        <v>0</v>
      </c>
      <c r="L206" s="1098">
        <f t="shared" si="17"/>
        <v>60</v>
      </c>
      <c r="M206" s="153">
        <f t="shared" si="18"/>
        <v>0.2</v>
      </c>
      <c r="N206" s="1099"/>
      <c r="O206" s="1100">
        <f>'ANSP Capex'!M202</f>
        <v>0</v>
      </c>
      <c r="P206" s="1101">
        <f>IF($BH206=0,0,IF(SUM($O206:O206)&lt;($L206-12),12,$L206-SUM($O206:O206)))</f>
        <v>0</v>
      </c>
      <c r="Q206" s="1101">
        <f>IF($BH206=0,0,IF(SUM($O206:P206)&lt;($L206-12),12,$L206-SUM($O206:P206)))</f>
        <v>0</v>
      </c>
      <c r="R206" s="1101">
        <f>IF($BH206=0,0,IF(SUM($O206:Q206)&lt;($L206-12),12,$L206-SUM($O206:Q206)))</f>
        <v>0</v>
      </c>
      <c r="S206" s="1101">
        <f>IF($BH206=0,0,IF(SUM($O206:R206)&lt;($L206-12),12,$L206-SUM($O206:R206)))</f>
        <v>0</v>
      </c>
      <c r="U206" s="1100"/>
      <c r="V206" s="1100">
        <f>'ANSP Capex'!T202</f>
        <v>0</v>
      </c>
      <c r="W206" s="1101">
        <f>IF($BI206=0,0,IF(SUM($U206:V206)&lt;($L206-12),12,$L206-SUM($U206:V206)))</f>
        <v>0</v>
      </c>
      <c r="X206" s="1101">
        <f>IF($BI206=0,0,IF(SUM($U206:W206)&lt;($L206-12),12,$L206-SUM($U206:W206)))</f>
        <v>0</v>
      </c>
      <c r="Y206" s="1101">
        <f>IF($BI206=0,0,IF(SUM($U206:X206)&lt;($L206-12),12,$L206-SUM($U206:X206)))</f>
        <v>0</v>
      </c>
      <c r="AA206" s="1100"/>
      <c r="AB206" s="1100"/>
      <c r="AC206" s="1100">
        <f>'ANSP Capex'!AA202</f>
        <v>12</v>
      </c>
      <c r="AD206" s="1101">
        <f>IF($BJ206=0,0,IF(SUM($AA206:AC206)&lt;($L206-12),12,$L206-SUM($AA206:AC206)))</f>
        <v>12</v>
      </c>
      <c r="AE206" s="1101">
        <f>IF($BJ206=0,0,IF(SUM($AA206:AD206)&lt;($L206-12),12,$L206-SUM($AA206:AD206)))</f>
        <v>12</v>
      </c>
      <c r="AG206" s="1100"/>
      <c r="AH206" s="1100"/>
      <c r="AI206" s="1100"/>
      <c r="AJ206" s="1100">
        <f>'ANSP Capex'!AH202</f>
        <v>0</v>
      </c>
      <c r="AK206" s="1101">
        <f>IF($BK206=0,0,IF(SUM($AG206:AJ206)&lt;($L206-12),12,$L206-SUM($AG206:AJ206)))</f>
        <v>0</v>
      </c>
      <c r="AM206" s="1100"/>
      <c r="AN206" s="1100"/>
      <c r="AO206" s="1100"/>
      <c r="AP206" s="1100"/>
      <c r="AQ206" s="1100">
        <f>'ANSP Capex'!AO202</f>
        <v>0</v>
      </c>
      <c r="AS206" s="153">
        <f t="shared" si="19"/>
        <v>0</v>
      </c>
      <c r="AT206" s="153">
        <f t="shared" si="20"/>
        <v>0</v>
      </c>
      <c r="AU206" s="153">
        <f t="shared" si="21"/>
        <v>1</v>
      </c>
      <c r="AV206" s="153">
        <f t="shared" si="22"/>
        <v>0</v>
      </c>
      <c r="AW206" s="153">
        <f t="shared" si="23"/>
        <v>0</v>
      </c>
      <c r="AX206" s="153"/>
      <c r="AY206" s="1543">
        <f>'ANSP Capex'!AW202</f>
        <v>0.73</v>
      </c>
      <c r="AZ206" s="1102"/>
      <c r="BA206" s="1543">
        <f>'ANSP Capex'!AY202</f>
        <v>0.15</v>
      </c>
      <c r="BC206" s="1126"/>
      <c r="BD206" s="1126"/>
      <c r="BE206" s="1126"/>
      <c r="BF206" s="1126"/>
      <c r="BG206" s="1126"/>
      <c r="BH206" s="1126">
        <f>'ANSP Capex'!BF202*IF($I206="",(1+INDEX($I$41:$I$42,MATCH($F206,$F$41:$F$42,0))),(1+$I206))</f>
        <v>0</v>
      </c>
      <c r="BI206" s="1126">
        <f>'ANSP Capex'!BG202*IF($I206="",(1+INDEX($I$41:$I$42,MATCH($F206,$F$41:$F$42,0))),(1+$I206))</f>
        <v>0</v>
      </c>
      <c r="BJ206" s="1126">
        <f>'ANSP Capex'!BH202*IF($I206="",(1+INDEX($I$41:$I$42,MATCH($F206,$F$41:$F$42,0))),(1+$I206))</f>
        <v>2464</v>
      </c>
      <c r="BK206" s="1126">
        <f>'ANSP Capex'!BI202*IF($I206="",(1+INDEX($I$41:$I$42,MATCH($F206,$F$41:$F$42,0))),(1+$I206))</f>
        <v>0</v>
      </c>
      <c r="BL206" s="1126">
        <f>'ANSP Capex'!BJ202*IF($I206="",(1+INDEX($I$41:$I$42,MATCH($F206,$F$41:$F$42,0))),(1+$I206))</f>
        <v>0</v>
      </c>
    </row>
    <row r="207" spans="1:64" outlineLevel="1">
      <c r="A207" s="1094"/>
      <c r="B207" s="1094"/>
      <c r="C207" s="1083" t="str">
        <f>'ANSP Capex'!C203</f>
        <v>Conditional Surveys</v>
      </c>
      <c r="D207" s="1083" t="str">
        <f>'ANSP Capex'!D203</f>
        <v>Conditional Surveys</v>
      </c>
      <c r="E207" s="1083" t="str">
        <f>'ANSP Capex'!E203</f>
        <v>RP3-PROP-1</v>
      </c>
      <c r="F207" s="1083" t="str">
        <f>'ANSP Capex'!F203</f>
        <v>2021-2024</v>
      </c>
      <c r="G207" s="1101">
        <f t="shared" si="16"/>
        <v>0</v>
      </c>
      <c r="H207" s="1083" t="str">
        <f>'ANSP Capex'!H203</f>
        <v>€'000</v>
      </c>
      <c r="I207" s="829"/>
      <c r="J207" s="1097">
        <f>'ANSP Capex'!I203</f>
        <v>0</v>
      </c>
      <c r="K207" s="1124">
        <v>0</v>
      </c>
      <c r="L207" s="1098">
        <f t="shared" si="17"/>
        <v>0</v>
      </c>
      <c r="M207" s="153">
        <f t="shared" si="18"/>
        <v>0</v>
      </c>
      <c r="N207" s="1099"/>
      <c r="O207" s="1100">
        <f>'ANSP Capex'!M203</f>
        <v>0</v>
      </c>
      <c r="P207" s="1101">
        <f>IF($BH207=0,0,IF(SUM($O207:O207)&lt;($L207-12),12,$L207-SUM($O207:O207)))</f>
        <v>0</v>
      </c>
      <c r="Q207" s="1101">
        <f>IF($BH207=0,0,IF(SUM($O207:P207)&lt;($L207-12),12,$L207-SUM($O207:P207)))</f>
        <v>0</v>
      </c>
      <c r="R207" s="1101">
        <f>IF($BH207=0,0,IF(SUM($O207:Q207)&lt;($L207-12),12,$L207-SUM($O207:Q207)))</f>
        <v>0</v>
      </c>
      <c r="S207" s="1101">
        <f>IF($BH207=0,0,IF(SUM($O207:R207)&lt;($L207-12),12,$L207-SUM($O207:R207)))</f>
        <v>0</v>
      </c>
      <c r="U207" s="1100"/>
      <c r="V207" s="1100">
        <f>'ANSP Capex'!T203</f>
        <v>0</v>
      </c>
      <c r="W207" s="1101">
        <f>IF($BI207=0,0,IF(SUM($U207:V207)&lt;($L207-12),12,$L207-SUM($U207:V207)))</f>
        <v>0</v>
      </c>
      <c r="X207" s="1101">
        <f>IF($BI207=0,0,IF(SUM($U207:W207)&lt;($L207-12),12,$L207-SUM($U207:W207)))</f>
        <v>0</v>
      </c>
      <c r="Y207" s="1101">
        <f>IF($BI207=0,0,IF(SUM($U207:X207)&lt;($L207-12),12,$L207-SUM($U207:X207)))</f>
        <v>0</v>
      </c>
      <c r="AA207" s="1100"/>
      <c r="AB207" s="1100"/>
      <c r="AC207" s="1100">
        <f>'ANSP Capex'!AA203</f>
        <v>0</v>
      </c>
      <c r="AD207" s="1101">
        <f>IF($BJ207=0,0,IF(SUM($AA207:AC207)&lt;($L207-12),12,$L207-SUM($AA207:AC207)))</f>
        <v>0</v>
      </c>
      <c r="AE207" s="1101">
        <f>IF($BJ207=0,0,IF(SUM($AA207:AD207)&lt;($L207-12),12,$L207-SUM($AA207:AD207)))</f>
        <v>0</v>
      </c>
      <c r="AG207" s="1100"/>
      <c r="AH207" s="1100"/>
      <c r="AI207" s="1100"/>
      <c r="AJ207" s="1100">
        <f>'ANSP Capex'!AH203</f>
        <v>0</v>
      </c>
      <c r="AK207" s="1101">
        <f>IF($BK207=0,0,IF(SUM($AG207:AJ207)&lt;($L207-12),12,$L207-SUM($AG207:AJ207)))</f>
        <v>0</v>
      </c>
      <c r="AM207" s="1100"/>
      <c r="AN207" s="1100"/>
      <c r="AO207" s="1100"/>
      <c r="AP207" s="1100"/>
      <c r="AQ207" s="1100">
        <f>'ANSP Capex'!AO203</f>
        <v>0</v>
      </c>
      <c r="AS207" s="153">
        <f t="shared" si="19"/>
        <v>0</v>
      </c>
      <c r="AT207" s="153">
        <f t="shared" si="20"/>
        <v>0</v>
      </c>
      <c r="AU207" s="153">
        <f t="shared" si="21"/>
        <v>0</v>
      </c>
      <c r="AV207" s="153">
        <f t="shared" si="22"/>
        <v>0</v>
      </c>
      <c r="AW207" s="153">
        <f t="shared" si="23"/>
        <v>0</v>
      </c>
      <c r="AX207" s="153"/>
      <c r="AY207" s="1543">
        <f>'ANSP Capex'!AW203</f>
        <v>0</v>
      </c>
      <c r="AZ207" s="1102"/>
      <c r="BA207" s="1543">
        <f>'ANSP Capex'!AY203</f>
        <v>0</v>
      </c>
      <c r="BC207" s="1126"/>
      <c r="BD207" s="1126"/>
      <c r="BE207" s="1126"/>
      <c r="BF207" s="1126"/>
      <c r="BG207" s="1126"/>
      <c r="BH207" s="1126">
        <f>'ANSP Capex'!BF203*IF($I207="",(1+INDEX($I$41:$I$42,MATCH($F207,$F$41:$F$42,0))),(1+$I207))</f>
        <v>0</v>
      </c>
      <c r="BI207" s="1126">
        <f>'ANSP Capex'!BG203*IF($I207="",(1+INDEX($I$41:$I$42,MATCH($F207,$F$41:$F$42,0))),(1+$I207))</f>
        <v>0</v>
      </c>
      <c r="BJ207" s="1126">
        <f>'ANSP Capex'!BH203*IF($I207="",(1+INDEX($I$41:$I$42,MATCH($F207,$F$41:$F$42,0))),(1+$I207))</f>
        <v>0</v>
      </c>
      <c r="BK207" s="1126">
        <f>'ANSP Capex'!BI203*IF($I207="",(1+INDEX($I$41:$I$42,MATCH($F207,$F$41:$F$42,0))),(1+$I207))</f>
        <v>0</v>
      </c>
      <c r="BL207" s="1126">
        <f>'ANSP Capex'!BJ203*IF($I207="",(1+INDEX($I$41:$I$42,MATCH($F207,$F$41:$F$42,0))),(1+$I207))</f>
        <v>0</v>
      </c>
    </row>
    <row r="208" spans="1:64" outlineLevel="1">
      <c r="A208" s="1094"/>
      <c r="B208" s="1094"/>
      <c r="C208" s="1083" t="str">
        <f>'ANSP Capex'!C204</f>
        <v>Conditional Surveys Shannon En Route</v>
      </c>
      <c r="D208" s="1083" t="str">
        <f>'ANSP Capex'!D204</f>
        <v>Conditional Surveys</v>
      </c>
      <c r="E208" s="1083" t="str">
        <f>'ANSP Capex'!E204</f>
        <v>RP3-PROP-1</v>
      </c>
      <c r="F208" s="1083" t="str">
        <f>'ANSP Capex'!F204</f>
        <v>2021-2024</v>
      </c>
      <c r="G208" s="1101">
        <f t="shared" si="16"/>
        <v>1292.52</v>
      </c>
      <c r="H208" s="1083" t="str">
        <f>'ANSP Capex'!H204</f>
        <v>€'000</v>
      </c>
      <c r="I208" s="829"/>
      <c r="J208" s="1097">
        <f>'ANSP Capex'!I204</f>
        <v>8</v>
      </c>
      <c r="K208" s="1124">
        <v>20</v>
      </c>
      <c r="L208" s="1098">
        <f t="shared" si="17"/>
        <v>240</v>
      </c>
      <c r="M208" s="153">
        <f t="shared" si="18"/>
        <v>0.05</v>
      </c>
      <c r="N208" s="1099"/>
      <c r="O208" s="1100">
        <f>'ANSP Capex'!M204</f>
        <v>0</v>
      </c>
      <c r="P208" s="1101">
        <f>IF($BH208=0,0,IF(SUM($O208:O208)&lt;($L208-12),12,$L208-SUM($O208:O208)))</f>
        <v>0</v>
      </c>
      <c r="Q208" s="1101">
        <f>IF($BH208=0,0,IF(SUM($O208:P208)&lt;($L208-12),12,$L208-SUM($O208:P208)))</f>
        <v>0</v>
      </c>
      <c r="R208" s="1101">
        <f>IF($BH208=0,0,IF(SUM($O208:Q208)&lt;($L208-12),12,$L208-SUM($O208:Q208)))</f>
        <v>0</v>
      </c>
      <c r="S208" s="1101">
        <f>IF($BH208=0,0,IF(SUM($O208:R208)&lt;($L208-12),12,$L208-SUM($O208:R208)))</f>
        <v>0</v>
      </c>
      <c r="U208" s="1100"/>
      <c r="V208" s="1100">
        <f>'ANSP Capex'!T204</f>
        <v>4.2007436864122303</v>
      </c>
      <c r="W208" s="1101">
        <f>IF($BI208=0,0,IF(SUM($U208:V208)&lt;($L208-12),12,$L208-SUM($U208:V208)))</f>
        <v>12</v>
      </c>
      <c r="X208" s="1101">
        <f>IF($BI208=0,0,IF(SUM($U208:W208)&lt;($L208-12),12,$L208-SUM($U208:W208)))</f>
        <v>12</v>
      </c>
      <c r="Y208" s="1101">
        <f>IF($BI208=0,0,IF(SUM($U208:X208)&lt;($L208-12),12,$L208-SUM($U208:X208)))</f>
        <v>12</v>
      </c>
      <c r="AA208" s="1100"/>
      <c r="AB208" s="1100"/>
      <c r="AC208" s="1100">
        <f>'ANSP Capex'!AA204</f>
        <v>6.2271137915659542</v>
      </c>
      <c r="AD208" s="1101">
        <f>IF($BJ208=0,0,IF(SUM($AA208:AC208)&lt;($L208-12),12,$L208-SUM($AA208:AC208)))</f>
        <v>12</v>
      </c>
      <c r="AE208" s="1101">
        <f>IF($BJ208=0,0,IF(SUM($AA208:AD208)&lt;($L208-12),12,$L208-SUM($AA208:AD208)))</f>
        <v>12</v>
      </c>
      <c r="AG208" s="1100"/>
      <c r="AH208" s="1100"/>
      <c r="AI208" s="1100"/>
      <c r="AJ208" s="1100">
        <f>'ANSP Capex'!AH204</f>
        <v>0</v>
      </c>
      <c r="AK208" s="1101">
        <f>IF($BK208=0,0,IF(SUM($AG208:AJ208)&lt;($L208-12),12,$L208-SUM($AG208:AJ208)))</f>
        <v>0</v>
      </c>
      <c r="AM208" s="1100"/>
      <c r="AN208" s="1100"/>
      <c r="AO208" s="1100"/>
      <c r="AP208" s="1100"/>
      <c r="AQ208" s="1100">
        <f>'ANSP Capex'!AO204</f>
        <v>3</v>
      </c>
      <c r="AS208" s="153">
        <f t="shared" si="19"/>
        <v>0</v>
      </c>
      <c r="AT208" s="153">
        <f t="shared" si="20"/>
        <v>0.35006197386768584</v>
      </c>
      <c r="AU208" s="153">
        <f t="shared" si="21"/>
        <v>0.51892614929716285</v>
      </c>
      <c r="AV208" s="153">
        <f t="shared" si="22"/>
        <v>0</v>
      </c>
      <c r="AW208" s="153">
        <f t="shared" si="23"/>
        <v>0.25</v>
      </c>
      <c r="AX208" s="153"/>
      <c r="AY208" s="1543">
        <f>'ANSP Capex'!AW204</f>
        <v>1</v>
      </c>
      <c r="AZ208" s="1102"/>
      <c r="BA208" s="1543">
        <f>'ANSP Capex'!AY204</f>
        <v>0</v>
      </c>
      <c r="BC208" s="1126"/>
      <c r="BD208" s="1126"/>
      <c r="BE208" s="1126"/>
      <c r="BF208" s="1126"/>
      <c r="BG208" s="1126"/>
      <c r="BH208" s="1126">
        <f>'ANSP Capex'!BF204*IF($I208="",(1+INDEX($I$41:$I$42,MATCH($F208,$F$41:$F$42,0))),(1+$I208))</f>
        <v>0</v>
      </c>
      <c r="BI208" s="1126">
        <f>'ANSP Capex'!BG204*IF($I208="",(1+INDEX($I$41:$I$42,MATCH($F208,$F$41:$F$42,0))),(1+$I208))</f>
        <v>387.26</v>
      </c>
      <c r="BJ208" s="1126">
        <f>'ANSP Capex'!BH204*IF($I208="",(1+INDEX($I$41:$I$42,MATCH($F208,$F$41:$F$42,0))),(1+$I208))</f>
        <v>852.2600000000001</v>
      </c>
      <c r="BK208" s="1126">
        <f>'ANSP Capex'!BI204*IF($I208="",(1+INDEX($I$41:$I$42,MATCH($F208,$F$41:$F$42,0))),(1+$I208))</f>
        <v>0</v>
      </c>
      <c r="BL208" s="1126">
        <f>'ANSP Capex'!BJ204*IF($I208="",(1+INDEX($I$41:$I$42,MATCH($F208,$F$41:$F$42,0))),(1+$I208))</f>
        <v>53</v>
      </c>
    </row>
    <row r="209" spans="1:64" outlineLevel="1">
      <c r="A209" s="1094"/>
      <c r="B209" s="1094"/>
      <c r="C209" s="1083" t="str">
        <f>'ANSP Capex'!C205</f>
        <v>Conditional Surveys Shannon Joint</v>
      </c>
      <c r="D209" s="1083" t="str">
        <f>'ANSP Capex'!D205</f>
        <v>Conditional Surveys</v>
      </c>
      <c r="E209" s="1083" t="str">
        <f>'ANSP Capex'!E205</f>
        <v>RP3-PROP-1</v>
      </c>
      <c r="F209" s="1083" t="str">
        <f>'ANSP Capex'!F205</f>
        <v>2021-2024</v>
      </c>
      <c r="G209" s="1101">
        <f t="shared" si="16"/>
        <v>62</v>
      </c>
      <c r="H209" s="1083" t="str">
        <f>'ANSP Capex'!H205</f>
        <v>€'000</v>
      </c>
      <c r="I209" s="829"/>
      <c r="J209" s="1097">
        <f>'ANSP Capex'!I205</f>
        <v>8</v>
      </c>
      <c r="K209" s="1124">
        <v>20</v>
      </c>
      <c r="L209" s="1098">
        <f t="shared" si="17"/>
        <v>240</v>
      </c>
      <c r="M209" s="153">
        <f t="shared" si="18"/>
        <v>0.05</v>
      </c>
      <c r="N209" s="1099"/>
      <c r="O209" s="1100">
        <f>'ANSP Capex'!M205</f>
        <v>0</v>
      </c>
      <c r="P209" s="1101">
        <f>IF($BH209=0,0,IF(SUM($O209:O209)&lt;($L209-12),12,$L209-SUM($O209:O209)))</f>
        <v>0</v>
      </c>
      <c r="Q209" s="1101">
        <f>IF($BH209=0,0,IF(SUM($O209:P209)&lt;($L209-12),12,$L209-SUM($O209:P209)))</f>
        <v>0</v>
      </c>
      <c r="R209" s="1101">
        <f>IF($BH209=0,0,IF(SUM($O209:Q209)&lt;($L209-12),12,$L209-SUM($O209:Q209)))</f>
        <v>0</v>
      </c>
      <c r="S209" s="1101">
        <f>IF($BH209=0,0,IF(SUM($O209:R209)&lt;($L209-12),12,$L209-SUM($O209:R209)))</f>
        <v>0</v>
      </c>
      <c r="U209" s="1100"/>
      <c r="V209" s="1100">
        <f>'ANSP Capex'!T205</f>
        <v>0</v>
      </c>
      <c r="W209" s="1101">
        <f>IF($BI209=0,0,IF(SUM($U209:V209)&lt;($L209-12),12,$L209-SUM($U209:V209)))</f>
        <v>0</v>
      </c>
      <c r="X209" s="1101">
        <f>IF($BI209=0,0,IF(SUM($U209:W209)&lt;($L209-12),12,$L209-SUM($U209:W209)))</f>
        <v>0</v>
      </c>
      <c r="Y209" s="1101">
        <f>IF($BI209=0,0,IF(SUM($U209:X209)&lt;($L209-12),12,$L209-SUM($U209:X209)))</f>
        <v>0</v>
      </c>
      <c r="AA209" s="1100"/>
      <c r="AB209" s="1100"/>
      <c r="AC209" s="1100">
        <f>'ANSP Capex'!AA205</f>
        <v>0</v>
      </c>
      <c r="AD209" s="1101">
        <f>IF($BJ209=0,0,IF(SUM($AA209:AC209)&lt;($L209-12),12,$L209-SUM($AA209:AC209)))</f>
        <v>0</v>
      </c>
      <c r="AE209" s="1101">
        <f>IF($BJ209=0,0,IF(SUM($AA209:AD209)&lt;($L209-12),12,$L209-SUM($AA209:AD209)))</f>
        <v>0</v>
      </c>
      <c r="AG209" s="1100"/>
      <c r="AH209" s="1100"/>
      <c r="AI209" s="1100"/>
      <c r="AJ209" s="1100">
        <f>'ANSP Capex'!AH205</f>
        <v>3</v>
      </c>
      <c r="AK209" s="1101">
        <f>IF($BK209=0,0,IF(SUM($AG209:AJ209)&lt;($L209-12),12,$L209-SUM($AG209:AJ209)))</f>
        <v>12</v>
      </c>
      <c r="AM209" s="1100"/>
      <c r="AN209" s="1100"/>
      <c r="AO209" s="1100"/>
      <c r="AP209" s="1100"/>
      <c r="AQ209" s="1100">
        <f>'ANSP Capex'!AO205</f>
        <v>12</v>
      </c>
      <c r="AS209" s="153">
        <f t="shared" si="19"/>
        <v>0</v>
      </c>
      <c r="AT209" s="153">
        <f t="shared" si="20"/>
        <v>0</v>
      </c>
      <c r="AU209" s="153">
        <f t="shared" si="21"/>
        <v>0</v>
      </c>
      <c r="AV209" s="153">
        <f t="shared" si="22"/>
        <v>0.25</v>
      </c>
      <c r="AW209" s="153">
        <f t="shared" si="23"/>
        <v>1</v>
      </c>
      <c r="AX209" s="153"/>
      <c r="AY209" s="1543">
        <f>'ANSP Capex'!AW205</f>
        <v>0.75</v>
      </c>
      <c r="AZ209" s="1102"/>
      <c r="BA209" s="1543">
        <f>'ANSP Capex'!AY205</f>
        <v>0.25</v>
      </c>
      <c r="BC209" s="1126"/>
      <c r="BD209" s="1126"/>
      <c r="BE209" s="1126"/>
      <c r="BF209" s="1126"/>
      <c r="BG209" s="1126"/>
      <c r="BH209" s="1126">
        <f>'ANSP Capex'!BF205*IF($I209="",(1+INDEX($I$41:$I$42,MATCH($F209,$F$41:$F$42,0))),(1+$I209))</f>
        <v>0</v>
      </c>
      <c r="BI209" s="1126">
        <f>'ANSP Capex'!BG205*IF($I209="",(1+INDEX($I$41:$I$42,MATCH($F209,$F$41:$F$42,0))),(1+$I209))</f>
        <v>0</v>
      </c>
      <c r="BJ209" s="1126">
        <f>'ANSP Capex'!BH205*IF($I209="",(1+INDEX($I$41:$I$42,MATCH($F209,$F$41:$F$42,0))),(1+$I209))</f>
        <v>0</v>
      </c>
      <c r="BK209" s="1126">
        <f>'ANSP Capex'!BI205*IF($I209="",(1+INDEX($I$41:$I$42,MATCH($F209,$F$41:$F$42,0))),(1+$I209))</f>
        <v>22</v>
      </c>
      <c r="BL209" s="1126">
        <f>'ANSP Capex'!BJ205*IF($I209="",(1+INDEX($I$41:$I$42,MATCH($F209,$F$41:$F$42,0))),(1+$I209))</f>
        <v>40</v>
      </c>
    </row>
    <row r="210" spans="1:64" outlineLevel="1">
      <c r="A210" s="1094"/>
      <c r="B210" s="1094"/>
      <c r="C210" s="1083" t="str">
        <f>'ANSP Capex'!C206</f>
        <v>Conditional Surveys Shannon Terminal</v>
      </c>
      <c r="D210" s="1083" t="str">
        <f>'ANSP Capex'!D206</f>
        <v>Conditional Surveys</v>
      </c>
      <c r="E210" s="1083" t="str">
        <f>'ANSP Capex'!E206</f>
        <v>RP3-PROP-1</v>
      </c>
      <c r="F210" s="1083" t="str">
        <f>'ANSP Capex'!F206</f>
        <v>2021-2024</v>
      </c>
      <c r="G210" s="1101">
        <f t="shared" si="16"/>
        <v>587.7600000000001</v>
      </c>
      <c r="H210" s="1083" t="str">
        <f>'ANSP Capex'!H206</f>
        <v>€'000</v>
      </c>
      <c r="I210" s="829"/>
      <c r="J210" s="1097">
        <f>'ANSP Capex'!I206</f>
        <v>8</v>
      </c>
      <c r="K210" s="1124">
        <v>20</v>
      </c>
      <c r="L210" s="1098">
        <f t="shared" si="17"/>
        <v>240</v>
      </c>
      <c r="M210" s="153">
        <f t="shared" si="18"/>
        <v>0.05</v>
      </c>
      <c r="N210" s="1099"/>
      <c r="O210" s="1100">
        <f>'ANSP Capex'!M206</f>
        <v>0</v>
      </c>
      <c r="P210" s="1101">
        <f>IF($BH210=0,0,IF(SUM($O210:O210)&lt;($L210-12),12,$L210-SUM($O210:O210)))</f>
        <v>0</v>
      </c>
      <c r="Q210" s="1101">
        <f>IF($BH210=0,0,IF(SUM($O210:P210)&lt;($L210-12),12,$L210-SUM($O210:P210)))</f>
        <v>0</v>
      </c>
      <c r="R210" s="1101">
        <f>IF($BH210=0,0,IF(SUM($O210:Q210)&lt;($L210-12),12,$L210-SUM($O210:Q210)))</f>
        <v>0</v>
      </c>
      <c r="S210" s="1101">
        <f>IF($BH210=0,0,IF(SUM($O210:R210)&lt;($L210-12),12,$L210-SUM($O210:R210)))</f>
        <v>0</v>
      </c>
      <c r="U210" s="1100"/>
      <c r="V210" s="1100">
        <f>'ANSP Capex'!T206</f>
        <v>0</v>
      </c>
      <c r="W210" s="1101">
        <f>IF($BI210=0,0,IF(SUM($U210:V210)&lt;($L210-12),12,$L210-SUM($U210:V210)))</f>
        <v>0</v>
      </c>
      <c r="X210" s="1101">
        <f>IF($BI210=0,0,IF(SUM($U210:W210)&lt;($L210-12),12,$L210-SUM($U210:W210)))</f>
        <v>0</v>
      </c>
      <c r="Y210" s="1101">
        <f>IF($BI210=0,0,IF(SUM($U210:X210)&lt;($L210-12),12,$L210-SUM($U210:X210)))</f>
        <v>0</v>
      </c>
      <c r="AA210" s="1100"/>
      <c r="AB210" s="1100"/>
      <c r="AC210" s="1100">
        <f>'ANSP Capex'!AA206</f>
        <v>5.056667153497882</v>
      </c>
      <c r="AD210" s="1101">
        <f>IF($BJ210=0,0,IF(SUM($AA210:AC210)&lt;($L210-12),12,$L210-SUM($AA210:AC210)))</f>
        <v>12</v>
      </c>
      <c r="AE210" s="1101">
        <f>IF($BJ210=0,0,IF(SUM($AA210:AD210)&lt;($L210-12),12,$L210-SUM($AA210:AD210)))</f>
        <v>12</v>
      </c>
      <c r="AG210" s="1100"/>
      <c r="AH210" s="1100"/>
      <c r="AI210" s="1100"/>
      <c r="AJ210" s="1100">
        <f>'ANSP Capex'!AH206</f>
        <v>12</v>
      </c>
      <c r="AK210" s="1101">
        <f>IF($BK210=0,0,IF(SUM($AG210:AJ210)&lt;($L210-12),12,$L210-SUM($AG210:AJ210)))</f>
        <v>12</v>
      </c>
      <c r="AM210" s="1100"/>
      <c r="AN210" s="1100"/>
      <c r="AO210" s="1100"/>
      <c r="AP210" s="1100"/>
      <c r="AQ210" s="1100">
        <f>'ANSP Capex'!AO206</f>
        <v>0</v>
      </c>
      <c r="AS210" s="153">
        <f t="shared" si="19"/>
        <v>0</v>
      </c>
      <c r="AT210" s="153">
        <f t="shared" si="20"/>
        <v>0</v>
      </c>
      <c r="AU210" s="153">
        <f t="shared" si="21"/>
        <v>0.42138892945815681</v>
      </c>
      <c r="AV210" s="153">
        <f t="shared" si="22"/>
        <v>1</v>
      </c>
      <c r="AW210" s="153">
        <f t="shared" si="23"/>
        <v>0</v>
      </c>
      <c r="AX210" s="153"/>
      <c r="AY210" s="1543">
        <f>'ANSP Capex'!AW206</f>
        <v>0</v>
      </c>
      <c r="AZ210" s="1102"/>
      <c r="BA210" s="1543">
        <f>'ANSP Capex'!AY206</f>
        <v>1</v>
      </c>
      <c r="BC210" s="1126"/>
      <c r="BD210" s="1126"/>
      <c r="BE210" s="1126"/>
      <c r="BF210" s="1126"/>
      <c r="BG210" s="1126"/>
      <c r="BH210" s="1126">
        <f>'ANSP Capex'!BF206*IF($I210="",(1+INDEX($I$41:$I$42,MATCH($F210,$F$41:$F$42,0))),(1+$I210))</f>
        <v>0</v>
      </c>
      <c r="BI210" s="1126">
        <f>'ANSP Capex'!BG206*IF($I210="",(1+INDEX($I$41:$I$42,MATCH($F210,$F$41:$F$42,0))),(1+$I210))</f>
        <v>0</v>
      </c>
      <c r="BJ210" s="1126">
        <f>'ANSP Capex'!BH206*IF($I210="",(1+INDEX($I$41:$I$42,MATCH($F210,$F$41:$F$42,0))),(1+$I210))</f>
        <v>547.7600000000001</v>
      </c>
      <c r="BK210" s="1126">
        <f>'ANSP Capex'!BI206*IF($I210="",(1+INDEX($I$41:$I$42,MATCH($F210,$F$41:$F$42,0))),(1+$I210))</f>
        <v>40</v>
      </c>
      <c r="BL210" s="1126">
        <f>'ANSP Capex'!BJ206*IF($I210="",(1+INDEX($I$41:$I$42,MATCH($F210,$F$41:$F$42,0))),(1+$I210))</f>
        <v>0</v>
      </c>
    </row>
    <row r="211" spans="1:64" outlineLevel="1">
      <c r="A211" s="1094"/>
      <c r="B211" s="1094"/>
      <c r="C211" s="1083" t="str">
        <f>'ANSP Capex'!C207</f>
        <v>Conditional Surveys Dublin Joint</v>
      </c>
      <c r="D211" s="1083" t="str">
        <f>'ANSP Capex'!D207</f>
        <v>Conditional Surveys</v>
      </c>
      <c r="E211" s="1083" t="str">
        <f>'ANSP Capex'!E207</f>
        <v>RP3-PROP-1</v>
      </c>
      <c r="F211" s="1083" t="str">
        <f>'ANSP Capex'!F207</f>
        <v>2021-2024</v>
      </c>
      <c r="G211" s="1101">
        <f t="shared" si="16"/>
        <v>124</v>
      </c>
      <c r="H211" s="1083" t="str">
        <f>'ANSP Capex'!H207</f>
        <v>€'000</v>
      </c>
      <c r="I211" s="829"/>
      <c r="J211" s="1097">
        <f>'ANSP Capex'!I207</f>
        <v>8</v>
      </c>
      <c r="K211" s="1124">
        <v>20</v>
      </c>
      <c r="L211" s="1098">
        <f t="shared" si="17"/>
        <v>240</v>
      </c>
      <c r="M211" s="153">
        <f t="shared" si="18"/>
        <v>0.05</v>
      </c>
      <c r="N211" s="1099"/>
      <c r="O211" s="1100">
        <f>'ANSP Capex'!M207</f>
        <v>0</v>
      </c>
      <c r="P211" s="1101">
        <f>IF($BH211=0,0,IF(SUM($O211:O211)&lt;($L211-12),12,$L211-SUM($O211:O211)))</f>
        <v>0</v>
      </c>
      <c r="Q211" s="1101">
        <f>IF($BH211=0,0,IF(SUM($O211:P211)&lt;($L211-12),12,$L211-SUM($O211:P211)))</f>
        <v>0</v>
      </c>
      <c r="R211" s="1101">
        <f>IF($BH211=0,0,IF(SUM($O211:Q211)&lt;($L211-12),12,$L211-SUM($O211:Q211)))</f>
        <v>0</v>
      </c>
      <c r="S211" s="1101">
        <f>IF($BH211=0,0,IF(SUM($O211:R211)&lt;($L211-12),12,$L211-SUM($O211:R211)))</f>
        <v>0</v>
      </c>
      <c r="U211" s="1100"/>
      <c r="V211" s="1100">
        <f>'ANSP Capex'!T207</f>
        <v>0</v>
      </c>
      <c r="W211" s="1101">
        <f>IF($BI211=0,0,IF(SUM($U211:V211)&lt;($L211-12),12,$L211-SUM($U211:V211)))</f>
        <v>0</v>
      </c>
      <c r="X211" s="1101">
        <f>IF($BI211=0,0,IF(SUM($U211:W211)&lt;($L211-12),12,$L211-SUM($U211:W211)))</f>
        <v>0</v>
      </c>
      <c r="Y211" s="1101">
        <f>IF($BI211=0,0,IF(SUM($U211:X211)&lt;($L211-12),12,$L211-SUM($U211:X211)))</f>
        <v>0</v>
      </c>
      <c r="AA211" s="1100"/>
      <c r="AB211" s="1100"/>
      <c r="AC211" s="1100">
        <f>'ANSP Capex'!AA207</f>
        <v>6</v>
      </c>
      <c r="AD211" s="1101">
        <f>IF($BJ211=0,0,IF(SUM($AA211:AC211)&lt;($L211-12),12,$L211-SUM($AA211:AC211)))</f>
        <v>12</v>
      </c>
      <c r="AE211" s="1101">
        <f>IF($BJ211=0,0,IF(SUM($AA211:AD211)&lt;($L211-12),12,$L211-SUM($AA211:AD211)))</f>
        <v>12</v>
      </c>
      <c r="AG211" s="1100"/>
      <c r="AH211" s="1100"/>
      <c r="AI211" s="1100"/>
      <c r="AJ211" s="1100">
        <f>'ANSP Capex'!AH207</f>
        <v>0</v>
      </c>
      <c r="AK211" s="1101">
        <f>IF($BK211=0,0,IF(SUM($AG211:AJ211)&lt;($L211-12),12,$L211-SUM($AG211:AJ211)))</f>
        <v>0</v>
      </c>
      <c r="AM211" s="1100"/>
      <c r="AN211" s="1100"/>
      <c r="AO211" s="1100"/>
      <c r="AP211" s="1100"/>
      <c r="AQ211" s="1100">
        <f>'ANSP Capex'!AO207</f>
        <v>4.064516129032258</v>
      </c>
      <c r="AS211" s="153">
        <f t="shared" si="19"/>
        <v>0</v>
      </c>
      <c r="AT211" s="153">
        <f t="shared" si="20"/>
        <v>0</v>
      </c>
      <c r="AU211" s="153">
        <f t="shared" si="21"/>
        <v>0.5</v>
      </c>
      <c r="AV211" s="153">
        <f t="shared" si="22"/>
        <v>0</v>
      </c>
      <c r="AW211" s="153">
        <f t="shared" si="23"/>
        <v>0.33870967741935482</v>
      </c>
      <c r="AX211" s="153"/>
      <c r="AY211" s="1543">
        <f>'ANSP Capex'!AW207</f>
        <v>0.75</v>
      </c>
      <c r="AZ211" s="1102"/>
      <c r="BA211" s="1543">
        <f>'ANSP Capex'!AY207</f>
        <v>0.25</v>
      </c>
      <c r="BC211" s="1126"/>
      <c r="BD211" s="1126"/>
      <c r="BE211" s="1126"/>
      <c r="BF211" s="1126"/>
      <c r="BG211" s="1126"/>
      <c r="BH211" s="1126">
        <f>'ANSP Capex'!BF207*IF($I211="",(1+INDEX($I$41:$I$42,MATCH($F211,$F$41:$F$42,0))),(1+$I211))</f>
        <v>0</v>
      </c>
      <c r="BI211" s="1126">
        <f>'ANSP Capex'!BG207*IF($I211="",(1+INDEX($I$41:$I$42,MATCH($F211,$F$41:$F$42,0))),(1+$I211))</f>
        <v>0</v>
      </c>
      <c r="BJ211" s="1126">
        <f>'ANSP Capex'!BH207*IF($I211="",(1+INDEX($I$41:$I$42,MATCH($F211,$F$41:$F$42,0))),(1+$I211))</f>
        <v>62</v>
      </c>
      <c r="BK211" s="1126">
        <f>'ANSP Capex'!BI207*IF($I211="",(1+INDEX($I$41:$I$42,MATCH($F211,$F$41:$F$42,0))),(1+$I211))</f>
        <v>0</v>
      </c>
      <c r="BL211" s="1126">
        <f>'ANSP Capex'!BJ207*IF($I211="",(1+INDEX($I$41:$I$42,MATCH($F211,$F$41:$F$42,0))),(1+$I211))</f>
        <v>62</v>
      </c>
    </row>
    <row r="212" spans="1:64" outlineLevel="1">
      <c r="A212" s="1094"/>
      <c r="B212" s="1094"/>
      <c r="C212" s="1083" t="str">
        <f>'ANSP Capex'!C208</f>
        <v>Conditional Surveys Cork Terminal</v>
      </c>
      <c r="D212" s="1083" t="str">
        <f>'ANSP Capex'!D208</f>
        <v>Conditional Surveys</v>
      </c>
      <c r="E212" s="1083" t="str">
        <f>'ANSP Capex'!E208</f>
        <v>RP3-PROP-1</v>
      </c>
      <c r="F212" s="1083" t="str">
        <f>'ANSP Capex'!F208</f>
        <v>2021-2024</v>
      </c>
      <c r="G212" s="1101">
        <f t="shared" si="16"/>
        <v>93</v>
      </c>
      <c r="H212" s="1083" t="str">
        <f>'ANSP Capex'!H208</f>
        <v>€'000</v>
      </c>
      <c r="I212" s="829"/>
      <c r="J212" s="1097">
        <f>'ANSP Capex'!I208</f>
        <v>8</v>
      </c>
      <c r="K212" s="1124">
        <v>20</v>
      </c>
      <c r="L212" s="1098">
        <f t="shared" si="17"/>
        <v>240</v>
      </c>
      <c r="M212" s="153">
        <f t="shared" si="18"/>
        <v>0.05</v>
      </c>
      <c r="N212" s="1099"/>
      <c r="O212" s="1100">
        <f>'ANSP Capex'!M208</f>
        <v>0</v>
      </c>
      <c r="P212" s="1101">
        <f>IF($BH212=0,0,IF(SUM($O212:O212)&lt;($L212-12),12,$L212-SUM($O212:O212)))</f>
        <v>0</v>
      </c>
      <c r="Q212" s="1101">
        <f>IF($BH212=0,0,IF(SUM($O212:P212)&lt;($L212-12),12,$L212-SUM($O212:P212)))</f>
        <v>0</v>
      </c>
      <c r="R212" s="1101">
        <f>IF($BH212=0,0,IF(SUM($O212:Q212)&lt;($L212-12),12,$L212-SUM($O212:Q212)))</f>
        <v>0</v>
      </c>
      <c r="S212" s="1101">
        <f>IF($BH212=0,0,IF(SUM($O212:R212)&lt;($L212-12),12,$L212-SUM($O212:R212)))</f>
        <v>0</v>
      </c>
      <c r="U212" s="1100"/>
      <c r="V212" s="1100">
        <f>'ANSP Capex'!T208</f>
        <v>0</v>
      </c>
      <c r="W212" s="1101">
        <f>IF($BI212=0,0,IF(SUM($U212:V212)&lt;($L212-12),12,$L212-SUM($U212:V212)))</f>
        <v>0</v>
      </c>
      <c r="X212" s="1101">
        <f>IF($BI212=0,0,IF(SUM($U212:W212)&lt;($L212-12),12,$L212-SUM($U212:W212)))</f>
        <v>0</v>
      </c>
      <c r="Y212" s="1101">
        <f>IF($BI212=0,0,IF(SUM($U212:X212)&lt;($L212-12),12,$L212-SUM($U212:X212)))</f>
        <v>0</v>
      </c>
      <c r="AA212" s="1100"/>
      <c r="AB212" s="1100"/>
      <c r="AC212" s="1100">
        <f>'ANSP Capex'!AA208</f>
        <v>0</v>
      </c>
      <c r="AD212" s="1101">
        <f>IF($BJ212=0,0,IF(SUM($AA212:AC212)&lt;($L212-12),12,$L212-SUM($AA212:AC212)))</f>
        <v>0</v>
      </c>
      <c r="AE212" s="1101">
        <f>IF($BJ212=0,0,IF(SUM($AA212:AD212)&lt;($L212-12),12,$L212-SUM($AA212:AD212)))</f>
        <v>0</v>
      </c>
      <c r="AG212" s="1100"/>
      <c r="AH212" s="1100"/>
      <c r="AI212" s="1100"/>
      <c r="AJ212" s="1100">
        <f>'ANSP Capex'!AH208</f>
        <v>4.5</v>
      </c>
      <c r="AK212" s="1101">
        <f>IF($BK212=0,0,IF(SUM($AG212:AJ212)&lt;($L212-12),12,$L212-SUM($AG212:AJ212)))</f>
        <v>12</v>
      </c>
      <c r="AM212" s="1100"/>
      <c r="AN212" s="1100"/>
      <c r="AO212" s="1100"/>
      <c r="AP212" s="1100"/>
      <c r="AQ212" s="1100">
        <f>'ANSP Capex'!AO208</f>
        <v>0</v>
      </c>
      <c r="AS212" s="153">
        <f t="shared" si="19"/>
        <v>0</v>
      </c>
      <c r="AT212" s="153">
        <f t="shared" si="20"/>
        <v>0</v>
      </c>
      <c r="AU212" s="153">
        <f t="shared" si="21"/>
        <v>0</v>
      </c>
      <c r="AV212" s="153">
        <f t="shared" si="22"/>
        <v>0.375</v>
      </c>
      <c r="AW212" s="153">
        <f t="shared" si="23"/>
        <v>0</v>
      </c>
      <c r="AX212" s="153"/>
      <c r="AY212" s="1543">
        <f>'ANSP Capex'!AW208</f>
        <v>0</v>
      </c>
      <c r="AZ212" s="1102"/>
      <c r="BA212" s="1543">
        <f>'ANSP Capex'!AY208</f>
        <v>1</v>
      </c>
      <c r="BC212" s="1126"/>
      <c r="BD212" s="1126"/>
      <c r="BE212" s="1126"/>
      <c r="BF212" s="1126"/>
      <c r="BG212" s="1126"/>
      <c r="BH212" s="1126">
        <f>'ANSP Capex'!BF208*IF($I212="",(1+INDEX($I$41:$I$42,MATCH($F212,$F$41:$F$42,0))),(1+$I212))</f>
        <v>0</v>
      </c>
      <c r="BI212" s="1126">
        <f>'ANSP Capex'!BG208*IF($I212="",(1+INDEX($I$41:$I$42,MATCH($F212,$F$41:$F$42,0))),(1+$I212))</f>
        <v>0</v>
      </c>
      <c r="BJ212" s="1126">
        <f>'ANSP Capex'!BH208*IF($I212="",(1+INDEX($I$41:$I$42,MATCH($F212,$F$41:$F$42,0))),(1+$I212))</f>
        <v>0</v>
      </c>
      <c r="BK212" s="1126">
        <f>'ANSP Capex'!BI208*IF($I212="",(1+INDEX($I$41:$I$42,MATCH($F212,$F$41:$F$42,0))),(1+$I212))</f>
        <v>93</v>
      </c>
      <c r="BL212" s="1126">
        <f>'ANSP Capex'!BJ208*IF($I212="",(1+INDEX($I$41:$I$42,MATCH($F212,$F$41:$F$42,0))),(1+$I212))</f>
        <v>0</v>
      </c>
    </row>
    <row r="213" spans="1:64" outlineLevel="1">
      <c r="A213" s="1094"/>
      <c r="B213" s="1094"/>
      <c r="C213" s="1083" t="str">
        <f>'ANSP Capex'!C209</f>
        <v>Replacement Dublin 2 RADAR Existing</v>
      </c>
      <c r="D213" s="1083" t="str">
        <f>'ANSP Capex'!D209</f>
        <v>Replacement Dublin 2 RADAR</v>
      </c>
      <c r="E213" s="1083" t="str">
        <f>'ANSP Capex'!E209</f>
        <v>Q012</v>
      </c>
      <c r="F213" s="1083" t="str">
        <f>'ANSP Capex'!F209</f>
        <v>2021-2024</v>
      </c>
      <c r="G213" s="1101">
        <f t="shared" si="16"/>
        <v>0</v>
      </c>
      <c r="H213" s="1083" t="str">
        <f>'ANSP Capex'!H209</f>
        <v>€'000</v>
      </c>
      <c r="I213" s="829"/>
      <c r="J213" s="1097">
        <f>'ANSP Capex'!I209</f>
        <v>8</v>
      </c>
      <c r="K213" s="1124">
        <v>15</v>
      </c>
      <c r="L213" s="1098">
        <f t="shared" si="17"/>
        <v>180</v>
      </c>
      <c r="M213" s="153">
        <f t="shared" si="18"/>
        <v>6.6666666666666666E-2</v>
      </c>
      <c r="N213" s="1099"/>
      <c r="O213" s="1100">
        <f>'ANSP Capex'!M209</f>
        <v>0</v>
      </c>
      <c r="P213" s="1101">
        <f>IF($BH213=0,0,IF(SUM($O213:O213)&lt;($L213-12),12,$L213-SUM($O213:O213)))</f>
        <v>0</v>
      </c>
      <c r="Q213" s="1101">
        <f>IF($BH213=0,0,IF(SUM($O213:P213)&lt;($L213-12),12,$L213-SUM($O213:P213)))</f>
        <v>0</v>
      </c>
      <c r="R213" s="1101">
        <f>IF($BH213=0,0,IF(SUM($O213:Q213)&lt;($L213-12),12,$L213-SUM($O213:Q213)))</f>
        <v>0</v>
      </c>
      <c r="S213" s="1101">
        <f>IF($BH213=0,0,IF(SUM($O213:R213)&lt;($L213-12),12,$L213-SUM($O213:R213)))</f>
        <v>0</v>
      </c>
      <c r="U213" s="1100"/>
      <c r="V213" s="1100">
        <f>'ANSP Capex'!T209</f>
        <v>0</v>
      </c>
      <c r="W213" s="1101">
        <f>IF($BI213=0,0,IF(SUM($U213:V213)&lt;($L213-12),12,$L213-SUM($U213:V213)))</f>
        <v>0</v>
      </c>
      <c r="X213" s="1101">
        <f>IF($BI213=0,0,IF(SUM($U213:W213)&lt;($L213-12),12,$L213-SUM($U213:W213)))</f>
        <v>0</v>
      </c>
      <c r="Y213" s="1101">
        <f>IF($BI213=0,0,IF(SUM($U213:X213)&lt;($L213-12),12,$L213-SUM($U213:X213)))</f>
        <v>0</v>
      </c>
      <c r="AA213" s="1100"/>
      <c r="AB213" s="1100"/>
      <c r="AC213" s="1100">
        <f>'ANSP Capex'!AA209</f>
        <v>0</v>
      </c>
      <c r="AD213" s="1101">
        <f>IF($BJ213=0,0,IF(SUM($AA213:AC213)&lt;($L213-12),12,$L213-SUM($AA213:AC213)))</f>
        <v>0</v>
      </c>
      <c r="AE213" s="1101">
        <f>IF($BJ213=0,0,IF(SUM($AA213:AD213)&lt;($L213-12),12,$L213-SUM($AA213:AD213)))</f>
        <v>0</v>
      </c>
      <c r="AG213" s="1100"/>
      <c r="AH213" s="1100"/>
      <c r="AI213" s="1100"/>
      <c r="AJ213" s="1100">
        <f>'ANSP Capex'!AH209</f>
        <v>0</v>
      </c>
      <c r="AK213" s="1101">
        <f>IF($BK213=0,0,IF(SUM($AG213:AJ213)&lt;($L213-12),12,$L213-SUM($AG213:AJ213)))</f>
        <v>0</v>
      </c>
      <c r="AM213" s="1100"/>
      <c r="AN213" s="1100"/>
      <c r="AO213" s="1100"/>
      <c r="AP213" s="1100"/>
      <c r="AQ213" s="1100">
        <f>'ANSP Capex'!AO209</f>
        <v>0</v>
      </c>
      <c r="AS213" s="153">
        <f t="shared" si="19"/>
        <v>0</v>
      </c>
      <c r="AT213" s="153">
        <f t="shared" si="20"/>
        <v>0</v>
      </c>
      <c r="AU213" s="153">
        <f t="shared" si="21"/>
        <v>0</v>
      </c>
      <c r="AV213" s="153">
        <f t="shared" si="22"/>
        <v>0</v>
      </c>
      <c r="AW213" s="153">
        <f t="shared" si="23"/>
        <v>0</v>
      </c>
      <c r="AX213" s="153"/>
      <c r="AY213" s="1543">
        <f>'ANSP Capex'!AW209</f>
        <v>0.75</v>
      </c>
      <c r="AZ213" s="1102"/>
      <c r="BA213" s="1543">
        <f>'ANSP Capex'!AY209</f>
        <v>0.25</v>
      </c>
      <c r="BC213" s="1126"/>
      <c r="BD213" s="1126"/>
      <c r="BE213" s="1126"/>
      <c r="BF213" s="1126"/>
      <c r="BG213" s="1126"/>
      <c r="BH213" s="1126">
        <f>'ANSP Capex'!BF209*IF($I213="",(1+INDEX($I$41:$I$42,MATCH($F213,$F$41:$F$42,0))),(1+$I213))</f>
        <v>0</v>
      </c>
      <c r="BI213" s="1126">
        <f>'ANSP Capex'!BG209*IF($I213="",(1+INDEX($I$41:$I$42,MATCH($F213,$F$41:$F$42,0))),(1+$I213))</f>
        <v>0</v>
      </c>
      <c r="BJ213" s="1126">
        <f>'ANSP Capex'!BH209*IF($I213="",(1+INDEX($I$41:$I$42,MATCH($F213,$F$41:$F$42,0))),(1+$I213))</f>
        <v>0</v>
      </c>
      <c r="BK213" s="1126">
        <f>'ANSP Capex'!BI209*IF($I213="",(1+INDEX($I$41:$I$42,MATCH($F213,$F$41:$F$42,0))),(1+$I213))</f>
        <v>0</v>
      </c>
      <c r="BL213" s="1126">
        <f>'ANSP Capex'!BJ209*IF($I213="",(1+INDEX($I$41:$I$42,MATCH($F213,$F$41:$F$42,0))),(1+$I213))</f>
        <v>0</v>
      </c>
    </row>
    <row r="214" spans="1:64" outlineLevel="1">
      <c r="A214" s="1094"/>
      <c r="B214" s="1094"/>
      <c r="C214" s="1083" t="str">
        <f>'ANSP Capex'!C210</f>
        <v>Replacement Dublin 2 RADAR New (Phase 2)</v>
      </c>
      <c r="D214" s="1083" t="str">
        <f>'ANSP Capex'!D210</f>
        <v>Replacement Dublin 2 RADAR</v>
      </c>
      <c r="E214" s="1083" t="str">
        <f>'ANSP Capex'!E210</f>
        <v>Q012A</v>
      </c>
      <c r="F214" s="1083" t="str">
        <f>'ANSP Capex'!F210</f>
        <v>2021-2024</v>
      </c>
      <c r="G214" s="1101">
        <f t="shared" si="16"/>
        <v>1979.0680000000002</v>
      </c>
      <c r="H214" s="1083" t="str">
        <f>'ANSP Capex'!H210</f>
        <v>€'000</v>
      </c>
      <c r="I214" s="829"/>
      <c r="J214" s="1097">
        <f>'ANSP Capex'!I210</f>
        <v>8</v>
      </c>
      <c r="K214" s="1124">
        <v>15</v>
      </c>
      <c r="L214" s="1098">
        <f t="shared" si="17"/>
        <v>180</v>
      </c>
      <c r="M214" s="153">
        <f t="shared" si="18"/>
        <v>6.6666666666666666E-2</v>
      </c>
      <c r="N214" s="1099"/>
      <c r="O214" s="1100">
        <f>'ANSP Capex'!M210</f>
        <v>0</v>
      </c>
      <c r="P214" s="1101">
        <f>IF($BH214=0,0,IF(SUM($O214:O214)&lt;($L214-12),12,$L214-SUM($O214:O214)))</f>
        <v>0</v>
      </c>
      <c r="Q214" s="1101">
        <f>IF($BH214=0,0,IF(SUM($O214:P214)&lt;($L214-12),12,$L214-SUM($O214:P214)))</f>
        <v>0</v>
      </c>
      <c r="R214" s="1101">
        <f>IF($BH214=0,0,IF(SUM($O214:Q214)&lt;($L214-12),12,$L214-SUM($O214:Q214)))</f>
        <v>0</v>
      </c>
      <c r="S214" s="1101">
        <f>IF($BH214=0,0,IF(SUM($O214:R214)&lt;($L214-12),12,$L214-SUM($O214:R214)))</f>
        <v>0</v>
      </c>
      <c r="U214" s="1100"/>
      <c r="V214" s="1100">
        <f>'ANSP Capex'!T210</f>
        <v>0</v>
      </c>
      <c r="W214" s="1101">
        <f>IF($BI214=0,0,IF(SUM($U214:V214)&lt;($L214-12),12,$L214-SUM($U214:V214)))</f>
        <v>0</v>
      </c>
      <c r="X214" s="1101">
        <f>IF($BI214=0,0,IF(SUM($U214:W214)&lt;($L214-12),12,$L214-SUM($U214:W214)))</f>
        <v>0</v>
      </c>
      <c r="Y214" s="1101">
        <f>IF($BI214=0,0,IF(SUM($U214:X214)&lt;($L214-12),12,$L214-SUM($U214:X214)))</f>
        <v>0</v>
      </c>
      <c r="AA214" s="1100"/>
      <c r="AB214" s="1100"/>
      <c r="AC214" s="1100">
        <f>'ANSP Capex'!AA210</f>
        <v>3</v>
      </c>
      <c r="AD214" s="1101">
        <f>IF($BJ214=0,0,IF(SUM($AA214:AC214)&lt;($L214-12),12,$L214-SUM($AA214:AC214)))</f>
        <v>12</v>
      </c>
      <c r="AE214" s="1101">
        <f>IF($BJ214=0,0,IF(SUM($AA214:AD214)&lt;($L214-12),12,$L214-SUM($AA214:AD214)))</f>
        <v>12</v>
      </c>
      <c r="AG214" s="1100"/>
      <c r="AH214" s="1100"/>
      <c r="AI214" s="1100"/>
      <c r="AJ214" s="1100">
        <f>'ANSP Capex'!AH210</f>
        <v>0</v>
      </c>
      <c r="AK214" s="1101">
        <f>IF($BK214=0,0,IF(SUM($AG214:AJ214)&lt;($L214-12),12,$L214-SUM($AG214:AJ214)))</f>
        <v>0</v>
      </c>
      <c r="AM214" s="1100"/>
      <c r="AN214" s="1100"/>
      <c r="AO214" s="1100"/>
      <c r="AP214" s="1100"/>
      <c r="AQ214" s="1100">
        <f>'ANSP Capex'!AO210</f>
        <v>0</v>
      </c>
      <c r="AS214" s="153">
        <f t="shared" si="19"/>
        <v>0</v>
      </c>
      <c r="AT214" s="153">
        <f t="shared" si="20"/>
        <v>0</v>
      </c>
      <c r="AU214" s="153">
        <f t="shared" si="21"/>
        <v>0.25</v>
      </c>
      <c r="AV214" s="153">
        <f t="shared" si="22"/>
        <v>0</v>
      </c>
      <c r="AW214" s="153">
        <f t="shared" si="23"/>
        <v>0</v>
      </c>
      <c r="AX214" s="153"/>
      <c r="AY214" s="1543">
        <f>'ANSP Capex'!AW210</f>
        <v>0.75</v>
      </c>
      <c r="AZ214" s="1102"/>
      <c r="BA214" s="1543">
        <f>'ANSP Capex'!AY210</f>
        <v>0.25</v>
      </c>
      <c r="BC214" s="1126"/>
      <c r="BD214" s="1126"/>
      <c r="BE214" s="1126"/>
      <c r="BF214" s="1126"/>
      <c r="BG214" s="1126"/>
      <c r="BH214" s="1126">
        <f>'ANSP Capex'!BF210*IF($I214="",(1+INDEX($I$41:$I$42,MATCH($F214,$F$41:$F$42,0))),(1+$I214))</f>
        <v>0</v>
      </c>
      <c r="BI214" s="1126">
        <f>'ANSP Capex'!BG210*IF($I214="",(1+INDEX($I$41:$I$42,MATCH($F214,$F$41:$F$42,0))),(1+$I214))</f>
        <v>0</v>
      </c>
      <c r="BJ214" s="1126">
        <f>'ANSP Capex'!BH210*IF($I214="",(1+INDEX($I$41:$I$42,MATCH($F214,$F$41:$F$42,0))),(1+$I214))</f>
        <v>1979.0680000000002</v>
      </c>
      <c r="BK214" s="1126">
        <f>'ANSP Capex'!BI210*IF($I214="",(1+INDEX($I$41:$I$42,MATCH($F214,$F$41:$F$42,0))),(1+$I214))</f>
        <v>0</v>
      </c>
      <c r="BL214" s="1126">
        <f>'ANSP Capex'!BJ210*IF($I214="",(1+INDEX($I$41:$I$42,MATCH($F214,$F$41:$F$42,0))),(1+$I214))</f>
        <v>0</v>
      </c>
    </row>
    <row r="215" spans="1:64" outlineLevel="1">
      <c r="A215" s="1094"/>
      <c r="B215" s="1094"/>
      <c r="C215" s="1083" t="str">
        <f>'ANSP Capex'!C211</f>
        <v>Cork ATC Building Upgrade</v>
      </c>
      <c r="D215" s="1083" t="str">
        <f>'ANSP Capex'!D211</f>
        <v>Cork ATC Building Upgrade</v>
      </c>
      <c r="E215" s="1083" t="str">
        <f>'ANSP Capex'!E211</f>
        <v>U016</v>
      </c>
      <c r="F215" s="1083" t="str">
        <f>'ANSP Capex'!F211</f>
        <v>2021-2024</v>
      </c>
      <c r="G215" s="1101">
        <f t="shared" si="16"/>
        <v>1860</v>
      </c>
      <c r="H215" s="1083" t="str">
        <f>'ANSP Capex'!H211</f>
        <v>€'000</v>
      </c>
      <c r="I215" s="829"/>
      <c r="J215" s="1097">
        <f>'ANSP Capex'!I211</f>
        <v>20</v>
      </c>
      <c r="K215" s="1124">
        <v>25</v>
      </c>
      <c r="L215" s="1098">
        <f t="shared" si="17"/>
        <v>300</v>
      </c>
      <c r="M215" s="153">
        <f t="shared" si="18"/>
        <v>0.04</v>
      </c>
      <c r="N215" s="1099"/>
      <c r="O215" s="1100">
        <f>'ANSP Capex'!M211</f>
        <v>0</v>
      </c>
      <c r="P215" s="1101">
        <f>IF($BH215=0,0,IF(SUM($O215:O215)&lt;($L215-12),12,$L215-SUM($O215:O215)))</f>
        <v>0</v>
      </c>
      <c r="Q215" s="1101">
        <f>IF($BH215=0,0,IF(SUM($O215:P215)&lt;($L215-12),12,$L215-SUM($O215:P215)))</f>
        <v>0</v>
      </c>
      <c r="R215" s="1101">
        <f>IF($BH215=0,0,IF(SUM($O215:Q215)&lt;($L215-12),12,$L215-SUM($O215:Q215)))</f>
        <v>0</v>
      </c>
      <c r="S215" s="1101">
        <f>IF($BH215=0,0,IF(SUM($O215:R215)&lt;($L215-12),12,$L215-SUM($O215:R215)))</f>
        <v>0</v>
      </c>
      <c r="U215" s="1100"/>
      <c r="V215" s="1100">
        <f>'ANSP Capex'!T211</f>
        <v>0</v>
      </c>
      <c r="W215" s="1101">
        <f>IF($BI215=0,0,IF(SUM($U215:V215)&lt;($L215-12),12,$L215-SUM($U215:V215)))</f>
        <v>0</v>
      </c>
      <c r="X215" s="1101">
        <f>IF($BI215=0,0,IF(SUM($U215:W215)&lt;($L215-12),12,$L215-SUM($U215:W215)))</f>
        <v>0</v>
      </c>
      <c r="Y215" s="1101">
        <f>IF($BI215=0,0,IF(SUM($U215:X215)&lt;($L215-12),12,$L215-SUM($U215:X215)))</f>
        <v>0</v>
      </c>
      <c r="AA215" s="1100"/>
      <c r="AB215" s="1100"/>
      <c r="AC215" s="1100">
        <f>'ANSP Capex'!AA211</f>
        <v>0</v>
      </c>
      <c r="AD215" s="1101">
        <f>IF($BJ215=0,0,IF(SUM($AA215:AC215)&lt;($L215-12),12,$L215-SUM($AA215:AC215)))</f>
        <v>0</v>
      </c>
      <c r="AE215" s="1101">
        <f>IF($BJ215=0,0,IF(SUM($AA215:AD215)&lt;($L215-12),12,$L215-SUM($AA215:AD215)))</f>
        <v>0</v>
      </c>
      <c r="AG215" s="1100"/>
      <c r="AH215" s="1100"/>
      <c r="AI215" s="1100"/>
      <c r="AJ215" s="1100">
        <f>'ANSP Capex'!AH211</f>
        <v>0</v>
      </c>
      <c r="AK215" s="1101">
        <f>IF($BK215=0,0,IF(SUM($AG215:AJ215)&lt;($L215-12),12,$L215-SUM($AG215:AJ215)))</f>
        <v>0</v>
      </c>
      <c r="AM215" s="1100"/>
      <c r="AN215" s="1100"/>
      <c r="AO215" s="1100"/>
      <c r="AP215" s="1100"/>
      <c r="AQ215" s="1100">
        <f>'ANSP Capex'!AO211</f>
        <v>9</v>
      </c>
      <c r="AS215" s="153">
        <f t="shared" si="19"/>
        <v>0</v>
      </c>
      <c r="AT215" s="153">
        <f t="shared" si="20"/>
        <v>0</v>
      </c>
      <c r="AU215" s="153">
        <f t="shared" si="21"/>
        <v>0</v>
      </c>
      <c r="AV215" s="153">
        <f t="shared" si="22"/>
        <v>0</v>
      </c>
      <c r="AW215" s="153">
        <f t="shared" si="23"/>
        <v>0.75</v>
      </c>
      <c r="AX215" s="153"/>
      <c r="AY215" s="1543">
        <f>'ANSP Capex'!AW211</f>
        <v>0</v>
      </c>
      <c r="AZ215" s="1102"/>
      <c r="BA215" s="1543">
        <f>'ANSP Capex'!AY211</f>
        <v>1</v>
      </c>
      <c r="BC215" s="1126"/>
      <c r="BD215" s="1126"/>
      <c r="BE215" s="1126"/>
      <c r="BF215" s="1126"/>
      <c r="BG215" s="1126"/>
      <c r="BH215" s="1126">
        <f>'ANSP Capex'!BF211*IF($I215="",(1+INDEX($I$41:$I$42,MATCH($F215,$F$41:$F$42,0))),(1+$I215))</f>
        <v>0</v>
      </c>
      <c r="BI215" s="1126">
        <f>'ANSP Capex'!BG211*IF($I215="",(1+INDEX($I$41:$I$42,MATCH($F215,$F$41:$F$42,0))),(1+$I215))</f>
        <v>0</v>
      </c>
      <c r="BJ215" s="1126">
        <f>'ANSP Capex'!BH211*IF($I215="",(1+INDEX($I$41:$I$42,MATCH($F215,$F$41:$F$42,0))),(1+$I215))</f>
        <v>0</v>
      </c>
      <c r="BK215" s="1126">
        <f>'ANSP Capex'!BI211*IF($I215="",(1+INDEX($I$41:$I$42,MATCH($F215,$F$41:$F$42,0))),(1+$I215))</f>
        <v>0</v>
      </c>
      <c r="BL215" s="1126">
        <f>'ANSP Capex'!BJ211*IF($I215="",(1+INDEX($I$41:$I$42,MATCH($F215,$F$41:$F$42,0))),(1+$I215))</f>
        <v>1860</v>
      </c>
    </row>
    <row r="216" spans="1:64" outlineLevel="1">
      <c r="A216" s="1094"/>
      <c r="B216" s="1094"/>
      <c r="C216" s="1083" t="str">
        <f>'ANSP Capex'!C212</f>
        <v>Energy Management Upgrades</v>
      </c>
      <c r="D216" s="1083" t="str">
        <f>'ANSP Capex'!D212</f>
        <v>Energy Management Upgrades</v>
      </c>
      <c r="E216" s="1083" t="str">
        <f>'ANSP Capex'!E212</f>
        <v>T007</v>
      </c>
      <c r="F216" s="1083" t="str">
        <f>'ANSP Capex'!F212</f>
        <v>2021-2024</v>
      </c>
      <c r="G216" s="1101">
        <f t="shared" si="16"/>
        <v>0</v>
      </c>
      <c r="H216" s="1083" t="str">
        <f>'ANSP Capex'!H212</f>
        <v>€'000</v>
      </c>
      <c r="I216" s="829"/>
      <c r="J216" s="1097">
        <f>'ANSP Capex'!I212</f>
        <v>0</v>
      </c>
      <c r="K216" s="1124">
        <v>15</v>
      </c>
      <c r="L216" s="1098">
        <f t="shared" si="17"/>
        <v>180</v>
      </c>
      <c r="M216" s="153">
        <f t="shared" si="18"/>
        <v>6.6666666666666666E-2</v>
      </c>
      <c r="N216" s="1099"/>
      <c r="O216" s="1100">
        <f>'ANSP Capex'!M212</f>
        <v>0</v>
      </c>
      <c r="P216" s="1101">
        <f>IF($BH216=0,0,IF(SUM($O216:O216)&lt;($L216-12),12,$L216-SUM($O216:O216)))</f>
        <v>0</v>
      </c>
      <c r="Q216" s="1101">
        <f>IF($BH216=0,0,IF(SUM($O216:P216)&lt;($L216-12),12,$L216-SUM($O216:P216)))</f>
        <v>0</v>
      </c>
      <c r="R216" s="1101">
        <f>IF($BH216=0,0,IF(SUM($O216:Q216)&lt;($L216-12),12,$L216-SUM($O216:Q216)))</f>
        <v>0</v>
      </c>
      <c r="S216" s="1101">
        <f>IF($BH216=0,0,IF(SUM($O216:R216)&lt;($L216-12),12,$L216-SUM($O216:R216)))</f>
        <v>0</v>
      </c>
      <c r="U216" s="1100"/>
      <c r="V216" s="1100">
        <f>'ANSP Capex'!T212</f>
        <v>0</v>
      </c>
      <c r="W216" s="1101">
        <f>IF($BI216=0,0,IF(SUM($U216:V216)&lt;($L216-12),12,$L216-SUM($U216:V216)))</f>
        <v>0</v>
      </c>
      <c r="X216" s="1101">
        <f>IF($BI216=0,0,IF(SUM($U216:W216)&lt;($L216-12),12,$L216-SUM($U216:W216)))</f>
        <v>0</v>
      </c>
      <c r="Y216" s="1101">
        <f>IF($BI216=0,0,IF(SUM($U216:X216)&lt;($L216-12),12,$L216-SUM($U216:X216)))</f>
        <v>0</v>
      </c>
      <c r="AA216" s="1100"/>
      <c r="AB216" s="1100"/>
      <c r="AC216" s="1100">
        <f>'ANSP Capex'!AA212</f>
        <v>0</v>
      </c>
      <c r="AD216" s="1101">
        <f>IF($BJ216=0,0,IF(SUM($AA216:AC216)&lt;($L216-12),12,$L216-SUM($AA216:AC216)))</f>
        <v>0</v>
      </c>
      <c r="AE216" s="1101">
        <f>IF($BJ216=0,0,IF(SUM($AA216:AD216)&lt;($L216-12),12,$L216-SUM($AA216:AD216)))</f>
        <v>0</v>
      </c>
      <c r="AG216" s="1100"/>
      <c r="AH216" s="1100"/>
      <c r="AI216" s="1100"/>
      <c r="AJ216" s="1100">
        <f>'ANSP Capex'!AH212</f>
        <v>0</v>
      </c>
      <c r="AK216" s="1101">
        <f>IF($BK216=0,0,IF(SUM($AG216:AJ216)&lt;($L216-12),12,$L216-SUM($AG216:AJ216)))</f>
        <v>0</v>
      </c>
      <c r="AM216" s="1100"/>
      <c r="AN216" s="1100"/>
      <c r="AO216" s="1100"/>
      <c r="AP216" s="1100"/>
      <c r="AQ216" s="1100">
        <f>'ANSP Capex'!AO212</f>
        <v>0</v>
      </c>
      <c r="AS216" s="153">
        <f t="shared" si="19"/>
        <v>0</v>
      </c>
      <c r="AT216" s="153">
        <f t="shared" si="20"/>
        <v>0</v>
      </c>
      <c r="AU216" s="153">
        <f t="shared" si="21"/>
        <v>0</v>
      </c>
      <c r="AV216" s="153">
        <f t="shared" si="22"/>
        <v>0</v>
      </c>
      <c r="AW216" s="153">
        <f t="shared" si="23"/>
        <v>0</v>
      </c>
      <c r="AX216" s="153"/>
      <c r="AY216" s="1543">
        <f>'ANSP Capex'!AW212</f>
        <v>0</v>
      </c>
      <c r="AZ216" s="1102"/>
      <c r="BA216" s="1543">
        <f>'ANSP Capex'!AY212</f>
        <v>0</v>
      </c>
      <c r="BC216" s="1126"/>
      <c r="BD216" s="1126"/>
      <c r="BE216" s="1126"/>
      <c r="BF216" s="1126"/>
      <c r="BG216" s="1126"/>
      <c r="BH216" s="1126">
        <f>'ANSP Capex'!BF212*IF($I216="",(1+INDEX($I$41:$I$42,MATCH($F216,$F$41:$F$42,0))),(1+$I216))</f>
        <v>0</v>
      </c>
      <c r="BI216" s="1126">
        <f>'ANSP Capex'!BG212*IF($I216="",(1+INDEX($I$41:$I$42,MATCH($F216,$F$41:$F$42,0))),(1+$I216))</f>
        <v>0</v>
      </c>
      <c r="BJ216" s="1126">
        <f>'ANSP Capex'!BH212*IF($I216="",(1+INDEX($I$41:$I$42,MATCH($F216,$F$41:$F$42,0))),(1+$I216))</f>
        <v>0</v>
      </c>
      <c r="BK216" s="1126">
        <f>'ANSP Capex'!BI212*IF($I216="",(1+INDEX($I$41:$I$42,MATCH($F216,$F$41:$F$42,0))),(1+$I216))</f>
        <v>0</v>
      </c>
      <c r="BL216" s="1126">
        <f>'ANSP Capex'!BJ212*IF($I216="",(1+INDEX($I$41:$I$42,MATCH($F216,$F$41:$F$42,0))),(1+$I216))</f>
        <v>0</v>
      </c>
    </row>
    <row r="217" spans="1:64" outlineLevel="1">
      <c r="A217" s="1094"/>
      <c r="B217" s="1094"/>
      <c r="C217" s="1083" t="str">
        <f>'ANSP Capex'!C213</f>
        <v>Energy Management Upgrades Dublin</v>
      </c>
      <c r="D217" s="1083" t="str">
        <f>'ANSP Capex'!D213</f>
        <v>Energy Management Upgrades</v>
      </c>
      <c r="E217" s="1083" t="str">
        <f>'ANSP Capex'!E213</f>
        <v>T007A</v>
      </c>
      <c r="F217" s="1083" t="str">
        <f>'ANSP Capex'!F213</f>
        <v>2021-2024</v>
      </c>
      <c r="G217" s="1101">
        <f t="shared" si="16"/>
        <v>1006.7840000000006</v>
      </c>
      <c r="H217" s="1083" t="str">
        <f>'ANSP Capex'!H213</f>
        <v>€'000</v>
      </c>
      <c r="I217" s="829"/>
      <c r="J217" s="1097">
        <f>'ANSP Capex'!I213</f>
        <v>5</v>
      </c>
      <c r="K217" s="1124">
        <v>15</v>
      </c>
      <c r="L217" s="1098">
        <f t="shared" si="17"/>
        <v>180</v>
      </c>
      <c r="M217" s="153">
        <f t="shared" si="18"/>
        <v>6.6666666666666666E-2</v>
      </c>
      <c r="N217" s="1099"/>
      <c r="O217" s="1100">
        <f>'ANSP Capex'!M213</f>
        <v>0</v>
      </c>
      <c r="P217" s="1101">
        <f>IF($BH217=0,0,IF(SUM($O217:O217)&lt;($L217-12),12,$L217-SUM($O217:O217)))</f>
        <v>0</v>
      </c>
      <c r="Q217" s="1101">
        <f>IF($BH217=0,0,IF(SUM($O217:P217)&lt;($L217-12),12,$L217-SUM($O217:P217)))</f>
        <v>0</v>
      </c>
      <c r="R217" s="1101">
        <f>IF($BH217=0,0,IF(SUM($O217:Q217)&lt;($L217-12),12,$L217-SUM($O217:Q217)))</f>
        <v>0</v>
      </c>
      <c r="S217" s="1101">
        <f>IF($BH217=0,0,IF(SUM($O217:R217)&lt;($L217-12),12,$L217-SUM($O217:R217)))</f>
        <v>0</v>
      </c>
      <c r="U217" s="1100"/>
      <c r="V217" s="1100">
        <f>'ANSP Capex'!T213</f>
        <v>5.2328928312816787</v>
      </c>
      <c r="W217" s="1101">
        <f>IF($BI217=0,0,IF(SUM($U217:V217)&lt;($L217-12),12,$L217-SUM($U217:V217)))</f>
        <v>12</v>
      </c>
      <c r="X217" s="1101">
        <f>IF($BI217=0,0,IF(SUM($U217:W217)&lt;($L217-12),12,$L217-SUM($U217:W217)))</f>
        <v>12</v>
      </c>
      <c r="Y217" s="1101">
        <f>IF($BI217=0,0,IF(SUM($U217:X217)&lt;($L217-12),12,$L217-SUM($U217:X217)))</f>
        <v>12</v>
      </c>
      <c r="AA217" s="1100"/>
      <c r="AB217" s="1100"/>
      <c r="AC217" s="1100">
        <f>'ANSP Capex'!AA213</f>
        <v>10.499999999999995</v>
      </c>
      <c r="AD217" s="1101">
        <f>IF($BJ217=0,0,IF(SUM($AA217:AC217)&lt;($L217-12),12,$L217-SUM($AA217:AC217)))</f>
        <v>12</v>
      </c>
      <c r="AE217" s="1101">
        <f>IF($BJ217=0,0,IF(SUM($AA217:AD217)&lt;($L217-12),12,$L217-SUM($AA217:AD217)))</f>
        <v>12</v>
      </c>
      <c r="AG217" s="1100"/>
      <c r="AH217" s="1100"/>
      <c r="AI217" s="1100"/>
      <c r="AJ217" s="1100">
        <f>'ANSP Capex'!AH213</f>
        <v>0</v>
      </c>
      <c r="AK217" s="1101">
        <f>IF($BK217=0,0,IF(SUM($AG217:AJ217)&lt;($L217-12),12,$L217-SUM($AG217:AJ217)))</f>
        <v>0</v>
      </c>
      <c r="AM217" s="1100"/>
      <c r="AN217" s="1100"/>
      <c r="AO217" s="1100"/>
      <c r="AP217" s="1100"/>
      <c r="AQ217" s="1100">
        <f>'ANSP Capex'!AO213</f>
        <v>0</v>
      </c>
      <c r="AS217" s="153">
        <f t="shared" si="19"/>
        <v>0</v>
      </c>
      <c r="AT217" s="153">
        <f t="shared" si="20"/>
        <v>0.43607440260680658</v>
      </c>
      <c r="AU217" s="153">
        <f t="shared" si="21"/>
        <v>0.87499999999999956</v>
      </c>
      <c r="AV217" s="153">
        <f t="shared" si="22"/>
        <v>0</v>
      </c>
      <c r="AW217" s="153">
        <f t="shared" si="23"/>
        <v>0</v>
      </c>
      <c r="AX217" s="153"/>
      <c r="AY217" s="1543">
        <f>'ANSP Capex'!AW213</f>
        <v>0.75</v>
      </c>
      <c r="AZ217" s="1102"/>
      <c r="BA217" s="1543">
        <f>'ANSP Capex'!AY213</f>
        <v>0.25</v>
      </c>
      <c r="BC217" s="1126"/>
      <c r="BD217" s="1126"/>
      <c r="BE217" s="1126"/>
      <c r="BF217" s="1126"/>
      <c r="BG217" s="1126"/>
      <c r="BH217" s="1126">
        <f>'ANSP Capex'!BF213*IF($I217="",(1+INDEX($I$41:$I$42,MATCH($F217,$F$41:$F$42,0))),(1+$I217))</f>
        <v>0</v>
      </c>
      <c r="BI217" s="1126">
        <f>'ANSP Capex'!BG213*IF($I217="",(1+INDEX($I$41:$I$42,MATCH($F217,$F$41:$F$42,0))),(1+$I217))</f>
        <v>824.91733333333366</v>
      </c>
      <c r="BJ217" s="1126">
        <f>'ANSP Capex'!BH213*IF($I217="",(1+INDEX($I$41:$I$42,MATCH($F217,$F$41:$F$42,0))),(1+$I217))</f>
        <v>181.86666666666693</v>
      </c>
      <c r="BK217" s="1126">
        <f>'ANSP Capex'!BI213*IF($I217="",(1+INDEX($I$41:$I$42,MATCH($F217,$F$41:$F$42,0))),(1+$I217))</f>
        <v>0</v>
      </c>
      <c r="BL217" s="1126">
        <f>'ANSP Capex'!BJ213*IF($I217="",(1+INDEX($I$41:$I$42,MATCH($F217,$F$41:$F$42,0))),(1+$I217))</f>
        <v>0</v>
      </c>
    </row>
    <row r="218" spans="1:64" outlineLevel="1">
      <c r="A218" s="1094"/>
      <c r="B218" s="1094"/>
      <c r="C218" s="1083" t="str">
        <f>'ANSP Capex'!C214</f>
        <v>Energy Management Upgrades Shannon</v>
      </c>
      <c r="D218" s="1083" t="str">
        <f>'ANSP Capex'!D214</f>
        <v>Energy Management Upgrades</v>
      </c>
      <c r="E218" s="1083" t="str">
        <f>'ANSP Capex'!E214</f>
        <v>T007A</v>
      </c>
      <c r="F218" s="1083" t="str">
        <f>'ANSP Capex'!F214</f>
        <v>2021-2024</v>
      </c>
      <c r="G218" s="1101">
        <f t="shared" si="16"/>
        <v>497.6</v>
      </c>
      <c r="H218" s="1083" t="str">
        <f>'ANSP Capex'!H214</f>
        <v>€'000</v>
      </c>
      <c r="I218" s="829"/>
      <c r="J218" s="1097">
        <f>'ANSP Capex'!I214</f>
        <v>5</v>
      </c>
      <c r="K218" s="1124">
        <v>15</v>
      </c>
      <c r="L218" s="1098">
        <f t="shared" si="17"/>
        <v>180</v>
      </c>
      <c r="M218" s="153">
        <f t="shared" si="18"/>
        <v>6.6666666666666666E-2</v>
      </c>
      <c r="N218" s="1099"/>
      <c r="O218" s="1100">
        <f>'ANSP Capex'!M214</f>
        <v>0</v>
      </c>
      <c r="P218" s="1101">
        <f>IF($BH218=0,0,IF(SUM($O218:O218)&lt;($L218-12),12,$L218-SUM($O218:O218)))</f>
        <v>0</v>
      </c>
      <c r="Q218" s="1101">
        <f>IF($BH218=0,0,IF(SUM($O218:P218)&lt;($L218-12),12,$L218-SUM($O218:P218)))</f>
        <v>0</v>
      </c>
      <c r="R218" s="1101">
        <f>IF($BH218=0,0,IF(SUM($O218:Q218)&lt;($L218-12),12,$L218-SUM($O218:Q218)))</f>
        <v>0</v>
      </c>
      <c r="S218" s="1101">
        <f>IF($BH218=0,0,IF(SUM($O218:R218)&lt;($L218-12),12,$L218-SUM($O218:R218)))</f>
        <v>0</v>
      </c>
      <c r="U218" s="1100"/>
      <c r="V218" s="1100">
        <f>'ANSP Capex'!T214</f>
        <v>6</v>
      </c>
      <c r="W218" s="1101">
        <f>IF($BI218=0,0,IF(SUM($U218:V218)&lt;($L218-12),12,$L218-SUM($U218:V218)))</f>
        <v>12</v>
      </c>
      <c r="X218" s="1101">
        <f>IF($BI218=0,0,IF(SUM($U218:W218)&lt;($L218-12),12,$L218-SUM($U218:W218)))</f>
        <v>12</v>
      </c>
      <c r="Y218" s="1101">
        <f>IF($BI218=0,0,IF(SUM($U218:X218)&lt;($L218-12),12,$L218-SUM($U218:X218)))</f>
        <v>12</v>
      </c>
      <c r="AA218" s="1100"/>
      <c r="AB218" s="1100"/>
      <c r="AC218" s="1100">
        <f>'ANSP Capex'!AA214</f>
        <v>12</v>
      </c>
      <c r="AD218" s="1101">
        <f>IF($BJ218=0,0,IF(SUM($AA218:AC218)&lt;($L218-12),12,$L218-SUM($AA218:AC218)))</f>
        <v>12</v>
      </c>
      <c r="AE218" s="1101">
        <f>IF($BJ218=0,0,IF(SUM($AA218:AD218)&lt;($L218-12),12,$L218-SUM($AA218:AD218)))</f>
        <v>12</v>
      </c>
      <c r="AG218" s="1100"/>
      <c r="AH218" s="1100"/>
      <c r="AI218" s="1100"/>
      <c r="AJ218" s="1100">
        <f>'ANSP Capex'!AH214</f>
        <v>0</v>
      </c>
      <c r="AK218" s="1101">
        <f>IF($BK218=0,0,IF(SUM($AG218:AJ218)&lt;($L218-12),12,$L218-SUM($AG218:AJ218)))</f>
        <v>0</v>
      </c>
      <c r="AM218" s="1100"/>
      <c r="AN218" s="1100"/>
      <c r="AO218" s="1100"/>
      <c r="AP218" s="1100"/>
      <c r="AQ218" s="1100">
        <f>'ANSP Capex'!AO214</f>
        <v>0</v>
      </c>
      <c r="AS218" s="153">
        <f t="shared" si="19"/>
        <v>0</v>
      </c>
      <c r="AT218" s="153">
        <f t="shared" si="20"/>
        <v>0.5</v>
      </c>
      <c r="AU218" s="153">
        <f t="shared" si="21"/>
        <v>1</v>
      </c>
      <c r="AV218" s="153">
        <f t="shared" si="22"/>
        <v>0</v>
      </c>
      <c r="AW218" s="153">
        <f t="shared" si="23"/>
        <v>0</v>
      </c>
      <c r="AX218" s="153"/>
      <c r="AY218" s="1543">
        <f>'ANSP Capex'!AW214</f>
        <v>0.75</v>
      </c>
      <c r="AZ218" s="1102"/>
      <c r="BA218" s="1543">
        <f>'ANSP Capex'!AY214</f>
        <v>0.25</v>
      </c>
      <c r="BC218" s="1126"/>
      <c r="BD218" s="1126"/>
      <c r="BE218" s="1126"/>
      <c r="BF218" s="1126"/>
      <c r="BG218" s="1126"/>
      <c r="BH218" s="1126">
        <f>'ANSP Capex'!BF214*IF($I218="",(1+INDEX($I$41:$I$42,MATCH($F218,$F$41:$F$42,0))),(1+$I218))</f>
        <v>0</v>
      </c>
      <c r="BI218" s="1126">
        <f>'ANSP Capex'!BG214*IF($I218="",(1+INDEX($I$41:$I$42,MATCH($F218,$F$41:$F$42,0))),(1+$I218))</f>
        <v>457.6</v>
      </c>
      <c r="BJ218" s="1126">
        <f>'ANSP Capex'!BH214*IF($I218="",(1+INDEX($I$41:$I$42,MATCH($F218,$F$41:$F$42,0))),(1+$I218))</f>
        <v>40</v>
      </c>
      <c r="BK218" s="1126">
        <f>'ANSP Capex'!BI214*IF($I218="",(1+INDEX($I$41:$I$42,MATCH($F218,$F$41:$F$42,0))),(1+$I218))</f>
        <v>0</v>
      </c>
      <c r="BL218" s="1126">
        <f>'ANSP Capex'!BJ214*IF($I218="",(1+INDEX($I$41:$I$42,MATCH($F218,$F$41:$F$42,0))),(1+$I218))</f>
        <v>0</v>
      </c>
    </row>
    <row r="219" spans="1:64" outlineLevel="1">
      <c r="A219" s="1094"/>
      <c r="B219" s="1094"/>
      <c r="C219" s="1083" t="str">
        <f>'ANSP Capex'!C215</f>
        <v>Energy Management Upgrades Cork</v>
      </c>
      <c r="D219" s="1083" t="str">
        <f>'ANSP Capex'!D215</f>
        <v>Energy Management Upgrades</v>
      </c>
      <c r="E219" s="1083" t="str">
        <f>'ANSP Capex'!E215</f>
        <v>T007A</v>
      </c>
      <c r="F219" s="1083" t="str">
        <f>'ANSP Capex'!F215</f>
        <v>2021-2024</v>
      </c>
      <c r="G219" s="1101">
        <f t="shared" si="16"/>
        <v>72</v>
      </c>
      <c r="H219" s="1083" t="str">
        <f>'ANSP Capex'!H215</f>
        <v>€'000</v>
      </c>
      <c r="I219" s="829"/>
      <c r="J219" s="1097">
        <f>'ANSP Capex'!I215</f>
        <v>5</v>
      </c>
      <c r="K219" s="1124">
        <v>15</v>
      </c>
      <c r="L219" s="1098">
        <f t="shared" si="17"/>
        <v>180</v>
      </c>
      <c r="M219" s="153">
        <f t="shared" si="18"/>
        <v>6.6666666666666666E-2</v>
      </c>
      <c r="N219" s="1099"/>
      <c r="O219" s="1100">
        <f>'ANSP Capex'!M215</f>
        <v>0</v>
      </c>
      <c r="P219" s="1101">
        <f>IF($BH219=0,0,IF(SUM($O219:O219)&lt;($L219-12),12,$L219-SUM($O219:O219)))</f>
        <v>0</v>
      </c>
      <c r="Q219" s="1101">
        <f>IF($BH219=0,0,IF(SUM($O219:P219)&lt;($L219-12),12,$L219-SUM($O219:P219)))</f>
        <v>0</v>
      </c>
      <c r="R219" s="1101">
        <f>IF($BH219=0,0,IF(SUM($O219:Q219)&lt;($L219-12),12,$L219-SUM($O219:Q219)))</f>
        <v>0</v>
      </c>
      <c r="S219" s="1101">
        <f>IF($BH219=0,0,IF(SUM($O219:R219)&lt;($L219-12),12,$L219-SUM($O219:R219)))</f>
        <v>0</v>
      </c>
      <c r="U219" s="1100"/>
      <c r="V219" s="1100">
        <f>'ANSP Capex'!T215</f>
        <v>3</v>
      </c>
      <c r="W219" s="1101">
        <f>IF($BI219=0,0,IF(SUM($U219:V219)&lt;($L219-12),12,$L219-SUM($U219:V219)))</f>
        <v>12</v>
      </c>
      <c r="X219" s="1101">
        <f>IF($BI219=0,0,IF(SUM($U219:W219)&lt;($L219-12),12,$L219-SUM($U219:W219)))</f>
        <v>12</v>
      </c>
      <c r="Y219" s="1101">
        <f>IF($BI219=0,0,IF(SUM($U219:X219)&lt;($L219-12),12,$L219-SUM($U219:X219)))</f>
        <v>12</v>
      </c>
      <c r="AA219" s="1100"/>
      <c r="AB219" s="1100"/>
      <c r="AC219" s="1100">
        <f>'ANSP Capex'!AA215</f>
        <v>12</v>
      </c>
      <c r="AD219" s="1101">
        <f>IF($BJ219=0,0,IF(SUM($AA219:AC219)&lt;($L219-12),12,$L219-SUM($AA219:AC219)))</f>
        <v>12</v>
      </c>
      <c r="AE219" s="1101">
        <f>IF($BJ219=0,0,IF(SUM($AA219:AD219)&lt;($L219-12),12,$L219-SUM($AA219:AD219)))</f>
        <v>12</v>
      </c>
      <c r="AG219" s="1100"/>
      <c r="AH219" s="1100"/>
      <c r="AI219" s="1100"/>
      <c r="AJ219" s="1100">
        <f>'ANSP Capex'!AH215</f>
        <v>0</v>
      </c>
      <c r="AK219" s="1101">
        <f>IF($BK219=0,0,IF(SUM($AG219:AJ219)&lt;($L219-12),12,$L219-SUM($AG219:AJ219)))</f>
        <v>0</v>
      </c>
      <c r="AM219" s="1100"/>
      <c r="AN219" s="1100"/>
      <c r="AO219" s="1100"/>
      <c r="AP219" s="1100"/>
      <c r="AQ219" s="1100">
        <f>'ANSP Capex'!AO215</f>
        <v>0</v>
      </c>
      <c r="AS219" s="153">
        <f t="shared" si="19"/>
        <v>0</v>
      </c>
      <c r="AT219" s="153">
        <f t="shared" si="20"/>
        <v>0.25</v>
      </c>
      <c r="AU219" s="153">
        <f t="shared" si="21"/>
        <v>1</v>
      </c>
      <c r="AV219" s="153">
        <f t="shared" si="22"/>
        <v>0</v>
      </c>
      <c r="AW219" s="153">
        <f t="shared" si="23"/>
        <v>0</v>
      </c>
      <c r="AX219" s="153"/>
      <c r="AY219" s="1543">
        <f>'ANSP Capex'!AW215</f>
        <v>0.5</v>
      </c>
      <c r="AZ219" s="1102"/>
      <c r="BA219" s="1543">
        <f>'ANSP Capex'!AY215</f>
        <v>0.5</v>
      </c>
      <c r="BC219" s="1126"/>
      <c r="BD219" s="1126"/>
      <c r="BE219" s="1126"/>
      <c r="BF219" s="1126"/>
      <c r="BG219" s="1126"/>
      <c r="BH219" s="1126">
        <f>'ANSP Capex'!BF215*IF($I219="",(1+INDEX($I$41:$I$42,MATCH($F219,$F$41:$F$42,0))),(1+$I219))</f>
        <v>0</v>
      </c>
      <c r="BI219" s="1126">
        <f>'ANSP Capex'!BG215*IF($I219="",(1+INDEX($I$41:$I$42,MATCH($F219,$F$41:$F$42,0))),(1+$I219))</f>
        <v>55.2</v>
      </c>
      <c r="BJ219" s="1126">
        <f>'ANSP Capex'!BH215*IF($I219="",(1+INDEX($I$41:$I$42,MATCH($F219,$F$41:$F$42,0))),(1+$I219))</f>
        <v>16.8</v>
      </c>
      <c r="BK219" s="1126">
        <f>'ANSP Capex'!BI215*IF($I219="",(1+INDEX($I$41:$I$42,MATCH($F219,$F$41:$F$42,0))),(1+$I219))</f>
        <v>0</v>
      </c>
      <c r="BL219" s="1126">
        <f>'ANSP Capex'!BJ215*IF($I219="",(1+INDEX($I$41:$I$42,MATCH($F219,$F$41:$F$42,0))),(1+$I219))</f>
        <v>0</v>
      </c>
    </row>
    <row r="220" spans="1:64" outlineLevel="1">
      <c r="A220" s="1094"/>
      <c r="B220" s="1094"/>
      <c r="C220" s="1083" t="str">
        <f>'ANSP Capex'!C216</f>
        <v>National Security System Network</v>
      </c>
      <c r="D220" s="1083" t="str">
        <f>'ANSP Capex'!D216</f>
        <v>National Security System Network</v>
      </c>
      <c r="E220" s="1083" t="str">
        <f>'ANSP Capex'!E216</f>
        <v>U013</v>
      </c>
      <c r="F220" s="1083" t="str">
        <f>'ANSP Capex'!F216</f>
        <v>2021-2024</v>
      </c>
      <c r="G220" s="1101">
        <f t="shared" si="16"/>
        <v>1550</v>
      </c>
      <c r="H220" s="1083" t="str">
        <f>'ANSP Capex'!H216</f>
        <v>€'000</v>
      </c>
      <c r="I220" s="829"/>
      <c r="J220" s="1097">
        <f>'ANSP Capex'!I216</f>
        <v>8</v>
      </c>
      <c r="K220" s="1124">
        <v>10</v>
      </c>
      <c r="L220" s="1098">
        <f t="shared" si="17"/>
        <v>120</v>
      </c>
      <c r="M220" s="153">
        <f t="shared" si="18"/>
        <v>0.1</v>
      </c>
      <c r="N220" s="1099"/>
      <c r="O220" s="1100">
        <f>'ANSP Capex'!M216</f>
        <v>0</v>
      </c>
      <c r="P220" s="1101">
        <f>IF($BH220=0,0,IF(SUM($O220:O220)&lt;($L220-12),12,$L220-SUM($O220:O220)))</f>
        <v>0</v>
      </c>
      <c r="Q220" s="1101">
        <f>IF($BH220=0,0,IF(SUM($O220:P220)&lt;($L220-12),12,$L220-SUM($O220:P220)))</f>
        <v>0</v>
      </c>
      <c r="R220" s="1101">
        <f>IF($BH220=0,0,IF(SUM($O220:Q220)&lt;($L220-12),12,$L220-SUM($O220:Q220)))</f>
        <v>0</v>
      </c>
      <c r="S220" s="1101">
        <f>IF($BH220=0,0,IF(SUM($O220:R220)&lt;($L220-12),12,$L220-SUM($O220:R220)))</f>
        <v>0</v>
      </c>
      <c r="U220" s="1100"/>
      <c r="V220" s="1100">
        <f>'ANSP Capex'!T216</f>
        <v>0</v>
      </c>
      <c r="W220" s="1101">
        <f>IF($BI220=0,0,IF(SUM($U220:V220)&lt;($L220-12),12,$L220-SUM($U220:V220)))</f>
        <v>0</v>
      </c>
      <c r="X220" s="1101">
        <f>IF($BI220=0,0,IF(SUM($U220:W220)&lt;($L220-12),12,$L220-SUM($U220:W220)))</f>
        <v>0</v>
      </c>
      <c r="Y220" s="1101">
        <f>IF($BI220=0,0,IF(SUM($U220:X220)&lt;($L220-12),12,$L220-SUM($U220:X220)))</f>
        <v>0</v>
      </c>
      <c r="AA220" s="1100"/>
      <c r="AB220" s="1100"/>
      <c r="AC220" s="1100">
        <f>'ANSP Capex'!AA216</f>
        <v>6</v>
      </c>
      <c r="AD220" s="1101">
        <f>IF($BJ220=0,0,IF(SUM($AA220:AC220)&lt;($L220-12),12,$L220-SUM($AA220:AC220)))</f>
        <v>12</v>
      </c>
      <c r="AE220" s="1101">
        <f>IF($BJ220=0,0,IF(SUM($AA220:AD220)&lt;($L220-12),12,$L220-SUM($AA220:AD220)))</f>
        <v>12</v>
      </c>
      <c r="AG220" s="1100"/>
      <c r="AH220" s="1100"/>
      <c r="AI220" s="1100"/>
      <c r="AJ220" s="1100">
        <f>'ANSP Capex'!AH216</f>
        <v>7.4999999999999991</v>
      </c>
      <c r="AK220" s="1101">
        <f>IF($BK220=0,0,IF(SUM($AG220:AJ220)&lt;($L220-12),12,$L220-SUM($AG220:AJ220)))</f>
        <v>12</v>
      </c>
      <c r="AM220" s="1100"/>
      <c r="AN220" s="1100"/>
      <c r="AO220" s="1100"/>
      <c r="AP220" s="1100"/>
      <c r="AQ220" s="1100">
        <f>'ANSP Capex'!AO216</f>
        <v>12</v>
      </c>
      <c r="AS220" s="153">
        <f t="shared" si="19"/>
        <v>0</v>
      </c>
      <c r="AT220" s="153">
        <f t="shared" si="20"/>
        <v>0</v>
      </c>
      <c r="AU220" s="153">
        <f t="shared" si="21"/>
        <v>0.5</v>
      </c>
      <c r="AV220" s="153">
        <f t="shared" si="22"/>
        <v>0.62499999999999989</v>
      </c>
      <c r="AW220" s="153">
        <f t="shared" si="23"/>
        <v>1</v>
      </c>
      <c r="AX220" s="153"/>
      <c r="AY220" s="1543">
        <f>'ANSP Capex'!AW216</f>
        <v>0.75</v>
      </c>
      <c r="AZ220" s="1102"/>
      <c r="BA220" s="1543">
        <f>'ANSP Capex'!AY216</f>
        <v>0.25</v>
      </c>
      <c r="BC220" s="1126"/>
      <c r="BD220" s="1126"/>
      <c r="BE220" s="1126"/>
      <c r="BF220" s="1126"/>
      <c r="BG220" s="1126"/>
      <c r="BH220" s="1126">
        <f>'ANSP Capex'!BF216*IF($I220="",(1+INDEX($I$41:$I$42,MATCH($F220,$F$41:$F$42,0))),(1+$I220))</f>
        <v>0</v>
      </c>
      <c r="BI220" s="1126">
        <f>'ANSP Capex'!BG216*IF($I220="",(1+INDEX($I$41:$I$42,MATCH($F220,$F$41:$F$42,0))),(1+$I220))</f>
        <v>0</v>
      </c>
      <c r="BJ220" s="1126">
        <f>'ANSP Capex'!BH216*IF($I220="",(1+INDEX($I$41:$I$42,MATCH($F220,$F$41:$F$42,0))),(1+$I220))</f>
        <v>581.25</v>
      </c>
      <c r="BK220" s="1126">
        <f>'ANSP Capex'!BI216*IF($I220="",(1+INDEX($I$41:$I$42,MATCH($F220,$F$41:$F$42,0))),(1+$I220))</f>
        <v>775</v>
      </c>
      <c r="BL220" s="1126">
        <f>'ANSP Capex'!BJ216*IF($I220="",(1+INDEX($I$41:$I$42,MATCH($F220,$F$41:$F$42,0))),(1+$I220))</f>
        <v>193.75</v>
      </c>
    </row>
    <row r="221" spans="1:64" outlineLevel="1">
      <c r="A221" s="1094"/>
      <c r="B221" s="1094"/>
      <c r="C221" s="1083" t="str">
        <f>'ANSP Capex'!C217</f>
        <v>Replacement Airfield Cabling</v>
      </c>
      <c r="D221" s="1083" t="str">
        <f>'ANSP Capex'!D217</f>
        <v>Replacement Airfield Cabling</v>
      </c>
      <c r="E221" s="1083" t="str">
        <f>'ANSP Capex'!E217</f>
        <v>R006</v>
      </c>
      <c r="F221" s="1083" t="str">
        <f>'ANSP Capex'!F217</f>
        <v>2021-2024</v>
      </c>
      <c r="G221" s="1101">
        <f t="shared" si="16"/>
        <v>0</v>
      </c>
      <c r="H221" s="1083" t="str">
        <f>'ANSP Capex'!H217</f>
        <v>€'000</v>
      </c>
      <c r="I221" s="829"/>
      <c r="J221" s="1097">
        <f>'ANSP Capex'!I217</f>
        <v>0</v>
      </c>
      <c r="K221" s="1124">
        <v>20</v>
      </c>
      <c r="L221" s="1098">
        <f t="shared" si="17"/>
        <v>240</v>
      </c>
      <c r="M221" s="153">
        <f t="shared" si="18"/>
        <v>0.05</v>
      </c>
      <c r="N221" s="1099"/>
      <c r="O221" s="1100">
        <f>'ANSP Capex'!M217</f>
        <v>0</v>
      </c>
      <c r="P221" s="1101">
        <f>IF($BH221=0,0,IF(SUM($O221:O221)&lt;($L221-12),12,$L221-SUM($O221:O221)))</f>
        <v>0</v>
      </c>
      <c r="Q221" s="1101">
        <f>IF($BH221=0,0,IF(SUM($O221:P221)&lt;($L221-12),12,$L221-SUM($O221:P221)))</f>
        <v>0</v>
      </c>
      <c r="R221" s="1101">
        <f>IF($BH221=0,0,IF(SUM($O221:Q221)&lt;($L221-12),12,$L221-SUM($O221:Q221)))</f>
        <v>0</v>
      </c>
      <c r="S221" s="1101">
        <f>IF($BH221=0,0,IF(SUM($O221:R221)&lt;($L221-12),12,$L221-SUM($O221:R221)))</f>
        <v>0</v>
      </c>
      <c r="U221" s="1100"/>
      <c r="V221" s="1100">
        <f>'ANSP Capex'!T217</f>
        <v>0</v>
      </c>
      <c r="W221" s="1101">
        <f>IF($BI221=0,0,IF(SUM($U221:V221)&lt;($L221-12),12,$L221-SUM($U221:V221)))</f>
        <v>0</v>
      </c>
      <c r="X221" s="1101">
        <f>IF($BI221=0,0,IF(SUM($U221:W221)&lt;($L221-12),12,$L221-SUM($U221:W221)))</f>
        <v>0</v>
      </c>
      <c r="Y221" s="1101">
        <f>IF($BI221=0,0,IF(SUM($U221:X221)&lt;($L221-12),12,$L221-SUM($U221:X221)))</f>
        <v>0</v>
      </c>
      <c r="AA221" s="1100"/>
      <c r="AB221" s="1100"/>
      <c r="AC221" s="1100">
        <f>'ANSP Capex'!AA217</f>
        <v>0</v>
      </c>
      <c r="AD221" s="1101">
        <f>IF($BJ221=0,0,IF(SUM($AA221:AC221)&lt;($L221-12),12,$L221-SUM($AA221:AC221)))</f>
        <v>0</v>
      </c>
      <c r="AE221" s="1101">
        <f>IF($BJ221=0,0,IF(SUM($AA221:AD221)&lt;($L221-12),12,$L221-SUM($AA221:AD221)))</f>
        <v>0</v>
      </c>
      <c r="AG221" s="1100"/>
      <c r="AH221" s="1100"/>
      <c r="AI221" s="1100"/>
      <c r="AJ221" s="1100">
        <f>'ANSP Capex'!AH217</f>
        <v>0</v>
      </c>
      <c r="AK221" s="1101">
        <f>IF($BK221=0,0,IF(SUM($AG221:AJ221)&lt;($L221-12),12,$L221-SUM($AG221:AJ221)))</f>
        <v>0</v>
      </c>
      <c r="AM221" s="1100"/>
      <c r="AN221" s="1100"/>
      <c r="AO221" s="1100"/>
      <c r="AP221" s="1100"/>
      <c r="AQ221" s="1100">
        <f>'ANSP Capex'!AO217</f>
        <v>0</v>
      </c>
      <c r="AS221" s="153">
        <f t="shared" si="19"/>
        <v>0</v>
      </c>
      <c r="AT221" s="153">
        <f t="shared" si="20"/>
        <v>0</v>
      </c>
      <c r="AU221" s="153">
        <f t="shared" si="21"/>
        <v>0</v>
      </c>
      <c r="AV221" s="153">
        <f t="shared" si="22"/>
        <v>0</v>
      </c>
      <c r="AW221" s="153">
        <f t="shared" si="23"/>
        <v>0</v>
      </c>
      <c r="AX221" s="153"/>
      <c r="AY221" s="1543">
        <f>'ANSP Capex'!AW217</f>
        <v>0</v>
      </c>
      <c r="AZ221" s="1102"/>
      <c r="BA221" s="1543">
        <f>'ANSP Capex'!AY217</f>
        <v>0</v>
      </c>
      <c r="BC221" s="1126"/>
      <c r="BD221" s="1126"/>
      <c r="BE221" s="1126"/>
      <c r="BF221" s="1126"/>
      <c r="BG221" s="1126"/>
      <c r="BH221" s="1126">
        <f>'ANSP Capex'!BF217*IF($I221="",(1+INDEX($I$41:$I$42,MATCH($F221,$F$41:$F$42,0))),(1+$I221))</f>
        <v>0</v>
      </c>
      <c r="BI221" s="1126">
        <f>'ANSP Capex'!BG217*IF($I221="",(1+INDEX($I$41:$I$42,MATCH($F221,$F$41:$F$42,0))),(1+$I221))</f>
        <v>0</v>
      </c>
      <c r="BJ221" s="1126">
        <f>'ANSP Capex'!BH217*IF($I221="",(1+INDEX($I$41:$I$42,MATCH($F221,$F$41:$F$42,0))),(1+$I221))</f>
        <v>0</v>
      </c>
      <c r="BK221" s="1126">
        <f>'ANSP Capex'!BI217*IF($I221="",(1+INDEX($I$41:$I$42,MATCH($F221,$F$41:$F$42,0))),(1+$I221))</f>
        <v>0</v>
      </c>
      <c r="BL221" s="1126">
        <f>'ANSP Capex'!BJ217*IF($I221="",(1+INDEX($I$41:$I$42,MATCH($F221,$F$41:$F$42,0))),(1+$I221))</f>
        <v>0</v>
      </c>
    </row>
    <row r="222" spans="1:64" outlineLevel="1">
      <c r="A222" s="1094"/>
      <c r="B222" s="1094"/>
      <c r="C222" s="1083" t="str">
        <f>'ANSP Capex'!C218</f>
        <v>Replacement Airfield Cabling Dublin</v>
      </c>
      <c r="D222" s="1083" t="str">
        <f>'ANSP Capex'!D218</f>
        <v>Replacement Airfield Cabling</v>
      </c>
      <c r="E222" s="1083" t="str">
        <f>'ANSP Capex'!E218</f>
        <v>R006A</v>
      </c>
      <c r="F222" s="1083" t="str">
        <f>'ANSP Capex'!F218</f>
        <v>2021-2024</v>
      </c>
      <c r="G222" s="1101">
        <f t="shared" si="16"/>
        <v>408</v>
      </c>
      <c r="H222" s="1083" t="str">
        <f>'ANSP Capex'!H218</f>
        <v>€'000</v>
      </c>
      <c r="I222" s="829"/>
      <c r="J222" s="1097">
        <f>'ANSP Capex'!I218</f>
        <v>8</v>
      </c>
      <c r="K222" s="1124">
        <v>20</v>
      </c>
      <c r="L222" s="1098">
        <f t="shared" si="17"/>
        <v>240</v>
      </c>
      <c r="M222" s="153">
        <f t="shared" si="18"/>
        <v>0.05</v>
      </c>
      <c r="N222" s="1099"/>
      <c r="O222" s="1100">
        <f>'ANSP Capex'!M218</f>
        <v>0</v>
      </c>
      <c r="P222" s="1101">
        <f>IF($BH222=0,0,IF(SUM($O222:O222)&lt;($L222-12),12,$L222-SUM($O222:O222)))</f>
        <v>0</v>
      </c>
      <c r="Q222" s="1101">
        <f>IF($BH222=0,0,IF(SUM($O222:P222)&lt;($L222-12),12,$L222-SUM($O222:P222)))</f>
        <v>0</v>
      </c>
      <c r="R222" s="1101">
        <f>IF($BH222=0,0,IF(SUM($O222:Q222)&lt;($L222-12),12,$L222-SUM($O222:Q222)))</f>
        <v>0</v>
      </c>
      <c r="S222" s="1101">
        <f>IF($BH222=0,0,IF(SUM($O222:R222)&lt;($L222-12),12,$L222-SUM($O222:R222)))</f>
        <v>0</v>
      </c>
      <c r="U222" s="1100"/>
      <c r="V222" s="1100">
        <f>'ANSP Capex'!T218</f>
        <v>0</v>
      </c>
      <c r="W222" s="1101">
        <f>IF($BI222=0,0,IF(SUM($U222:V222)&lt;($L222-12),12,$L222-SUM($U222:V222)))</f>
        <v>0</v>
      </c>
      <c r="X222" s="1101">
        <f>IF($BI222=0,0,IF(SUM($U222:W222)&lt;($L222-12),12,$L222-SUM($U222:W222)))</f>
        <v>0</v>
      </c>
      <c r="Y222" s="1101">
        <f>IF($BI222=0,0,IF(SUM($U222:X222)&lt;($L222-12),12,$L222-SUM($U222:X222)))</f>
        <v>0</v>
      </c>
      <c r="AA222" s="1100"/>
      <c r="AB222" s="1100"/>
      <c r="AC222" s="1100">
        <f>'ANSP Capex'!AA218</f>
        <v>0</v>
      </c>
      <c r="AD222" s="1101">
        <f>IF($BJ222=0,0,IF(SUM($AA222:AC222)&lt;($L222-12),12,$L222-SUM($AA222:AC222)))</f>
        <v>0</v>
      </c>
      <c r="AE222" s="1101">
        <f>IF($BJ222=0,0,IF(SUM($AA222:AD222)&lt;($L222-12),12,$L222-SUM($AA222:AD222)))</f>
        <v>0</v>
      </c>
      <c r="AG222" s="1100"/>
      <c r="AH222" s="1100"/>
      <c r="AI222" s="1100"/>
      <c r="AJ222" s="1100">
        <f>'ANSP Capex'!AH218</f>
        <v>3</v>
      </c>
      <c r="AK222" s="1101">
        <f>IF($BK222=0,0,IF(SUM($AG222:AJ222)&lt;($L222-12),12,$L222-SUM($AG222:AJ222)))</f>
        <v>12</v>
      </c>
      <c r="AM222" s="1100"/>
      <c r="AN222" s="1100"/>
      <c r="AO222" s="1100"/>
      <c r="AP222" s="1100"/>
      <c r="AQ222" s="1100">
        <f>'ANSP Capex'!AO218</f>
        <v>0</v>
      </c>
      <c r="AS222" s="153">
        <f t="shared" si="19"/>
        <v>0</v>
      </c>
      <c r="AT222" s="153">
        <f t="shared" si="20"/>
        <v>0</v>
      </c>
      <c r="AU222" s="153">
        <f t="shared" si="21"/>
        <v>0</v>
      </c>
      <c r="AV222" s="153">
        <f t="shared" si="22"/>
        <v>0.25</v>
      </c>
      <c r="AW222" s="153">
        <f t="shared" si="23"/>
        <v>0</v>
      </c>
      <c r="AX222" s="153"/>
      <c r="AY222" s="1543">
        <f>'ANSP Capex'!AW218</f>
        <v>0</v>
      </c>
      <c r="AZ222" s="1102"/>
      <c r="BA222" s="1543">
        <f>'ANSP Capex'!AY218</f>
        <v>1</v>
      </c>
      <c r="BC222" s="1126"/>
      <c r="BD222" s="1126"/>
      <c r="BE222" s="1126"/>
      <c r="BF222" s="1126"/>
      <c r="BG222" s="1126"/>
      <c r="BH222" s="1126">
        <f>'ANSP Capex'!BF218*IF($I222="",(1+INDEX($I$41:$I$42,MATCH($F222,$F$41:$F$42,0))),(1+$I222))</f>
        <v>0</v>
      </c>
      <c r="BI222" s="1126">
        <f>'ANSP Capex'!BG218*IF($I222="",(1+INDEX($I$41:$I$42,MATCH($F222,$F$41:$F$42,0))),(1+$I222))</f>
        <v>0</v>
      </c>
      <c r="BJ222" s="1126">
        <f>'ANSP Capex'!BH218*IF($I222="",(1+INDEX($I$41:$I$42,MATCH($F222,$F$41:$F$42,0))),(1+$I222))</f>
        <v>0</v>
      </c>
      <c r="BK222" s="1126">
        <f>'ANSP Capex'!BI218*IF($I222="",(1+INDEX($I$41:$I$42,MATCH($F222,$F$41:$F$42,0))),(1+$I222))</f>
        <v>408</v>
      </c>
      <c r="BL222" s="1126">
        <f>'ANSP Capex'!BJ218*IF($I222="",(1+INDEX($I$41:$I$42,MATCH($F222,$F$41:$F$42,0))),(1+$I222))</f>
        <v>0</v>
      </c>
    </row>
    <row r="223" spans="1:64" outlineLevel="1">
      <c r="A223" s="1094"/>
      <c r="B223" s="1094"/>
      <c r="C223" s="1083" t="str">
        <f>'ANSP Capex'!C219</f>
        <v>Replacement Airfield Cabling Shannon</v>
      </c>
      <c r="D223" s="1083" t="str">
        <f>'ANSP Capex'!D219</f>
        <v>Replacement Airfield Cabling</v>
      </c>
      <c r="E223" s="1083" t="str">
        <f>'ANSP Capex'!E219</f>
        <v>R006A</v>
      </c>
      <c r="F223" s="1083" t="str">
        <f>'ANSP Capex'!F219</f>
        <v>2021-2024</v>
      </c>
      <c r="G223" s="1101">
        <f t="shared" si="16"/>
        <v>734.05744000000004</v>
      </c>
      <c r="H223" s="1083" t="str">
        <f>'ANSP Capex'!H219</f>
        <v>€'000</v>
      </c>
      <c r="I223" s="829"/>
      <c r="J223" s="1097">
        <f>'ANSP Capex'!I219</f>
        <v>8</v>
      </c>
      <c r="K223" s="1124">
        <v>20</v>
      </c>
      <c r="L223" s="1098">
        <f t="shared" si="17"/>
        <v>240</v>
      </c>
      <c r="M223" s="153">
        <f t="shared" si="18"/>
        <v>0.05</v>
      </c>
      <c r="N223" s="1099"/>
      <c r="O223" s="1100">
        <f>'ANSP Capex'!M219</f>
        <v>0</v>
      </c>
      <c r="P223" s="1101">
        <f>IF($BH223=0,0,IF(SUM($O223:O223)&lt;($L223-12),12,$L223-SUM($O223:O223)))</f>
        <v>0</v>
      </c>
      <c r="Q223" s="1101">
        <f>IF($BH223=0,0,IF(SUM($O223:P223)&lt;($L223-12),12,$L223-SUM($O223:P223)))</f>
        <v>0</v>
      </c>
      <c r="R223" s="1101">
        <f>IF($BH223=0,0,IF(SUM($O223:Q223)&lt;($L223-12),12,$L223-SUM($O223:Q223)))</f>
        <v>0</v>
      </c>
      <c r="S223" s="1101">
        <f>IF($BH223=0,0,IF(SUM($O223:R223)&lt;($L223-12),12,$L223-SUM($O223:R223)))</f>
        <v>0</v>
      </c>
      <c r="U223" s="1100"/>
      <c r="V223" s="1100">
        <f>'ANSP Capex'!T219</f>
        <v>0</v>
      </c>
      <c r="W223" s="1101">
        <f>IF($BI223=0,0,IF(SUM($U223:V223)&lt;($L223-12),12,$L223-SUM($U223:V223)))</f>
        <v>0</v>
      </c>
      <c r="X223" s="1101">
        <f>IF($BI223=0,0,IF(SUM($U223:W223)&lt;($L223-12),12,$L223-SUM($U223:W223)))</f>
        <v>0</v>
      </c>
      <c r="Y223" s="1101">
        <f>IF($BI223=0,0,IF(SUM($U223:X223)&lt;($L223-12),12,$L223-SUM($U223:X223)))</f>
        <v>0</v>
      </c>
      <c r="AA223" s="1100"/>
      <c r="AB223" s="1100"/>
      <c r="AC223" s="1100">
        <f>'ANSP Capex'!AA219</f>
        <v>9.0574509809477579</v>
      </c>
      <c r="AD223" s="1101">
        <f>IF($BJ223=0,0,IF(SUM($AA223:AC223)&lt;($L223-12),12,$L223-SUM($AA223:AC223)))</f>
        <v>12</v>
      </c>
      <c r="AE223" s="1101">
        <f>IF($BJ223=0,0,IF(SUM($AA223:AD223)&lt;($L223-12),12,$L223-SUM($AA223:AD223)))</f>
        <v>12</v>
      </c>
      <c r="AG223" s="1100"/>
      <c r="AH223" s="1100"/>
      <c r="AI223" s="1100"/>
      <c r="AJ223" s="1100">
        <f>'ANSP Capex'!AH219</f>
        <v>0</v>
      </c>
      <c r="AK223" s="1101">
        <f>IF($BK223=0,0,IF(SUM($AG223:AJ223)&lt;($L223-12),12,$L223-SUM($AG223:AJ223)))</f>
        <v>0</v>
      </c>
      <c r="AM223" s="1100"/>
      <c r="AN223" s="1100"/>
      <c r="AO223" s="1100"/>
      <c r="AP223" s="1100"/>
      <c r="AQ223" s="1100">
        <f>'ANSP Capex'!AO219</f>
        <v>0</v>
      </c>
      <c r="AS223" s="153">
        <f t="shared" si="19"/>
        <v>0</v>
      </c>
      <c r="AT223" s="153">
        <f t="shared" si="20"/>
        <v>0</v>
      </c>
      <c r="AU223" s="153">
        <f t="shared" si="21"/>
        <v>0.75478758174564653</v>
      </c>
      <c r="AV223" s="153">
        <f t="shared" si="22"/>
        <v>0</v>
      </c>
      <c r="AW223" s="153">
        <f t="shared" si="23"/>
        <v>0</v>
      </c>
      <c r="AX223" s="153"/>
      <c r="AY223" s="1543">
        <f>'ANSP Capex'!AW219</f>
        <v>0</v>
      </c>
      <c r="AZ223" s="1102"/>
      <c r="BA223" s="1543">
        <f>'ANSP Capex'!AY219</f>
        <v>1</v>
      </c>
      <c r="BC223" s="1126"/>
      <c r="BD223" s="1126"/>
      <c r="BE223" s="1126"/>
      <c r="BF223" s="1126"/>
      <c r="BG223" s="1126"/>
      <c r="BH223" s="1126">
        <f>'ANSP Capex'!BF219*IF($I223="",(1+INDEX($I$41:$I$42,MATCH($F223,$F$41:$F$42,0))),(1+$I223))</f>
        <v>0</v>
      </c>
      <c r="BI223" s="1126">
        <f>'ANSP Capex'!BG219*IF($I223="",(1+INDEX($I$41:$I$42,MATCH($F223,$F$41:$F$42,0))),(1+$I223))</f>
        <v>0</v>
      </c>
      <c r="BJ223" s="1126">
        <f>'ANSP Capex'!BH219*IF($I223="",(1+INDEX($I$41:$I$42,MATCH($F223,$F$41:$F$42,0))),(1+$I223))</f>
        <v>734.05744000000004</v>
      </c>
      <c r="BK223" s="1126">
        <f>'ANSP Capex'!BI219*IF($I223="",(1+INDEX($I$41:$I$42,MATCH($F223,$F$41:$F$42,0))),(1+$I223))</f>
        <v>0</v>
      </c>
      <c r="BL223" s="1126">
        <f>'ANSP Capex'!BJ219*IF($I223="",(1+INDEX($I$41:$I$42,MATCH($F223,$F$41:$F$42,0))),(1+$I223))</f>
        <v>0</v>
      </c>
    </row>
    <row r="224" spans="1:64" outlineLevel="1">
      <c r="A224" s="1094"/>
      <c r="B224" s="1094"/>
      <c r="C224" s="1083" t="str">
        <f>'ANSP Capex'!C220</f>
        <v>Replacement Airfield Cabling Cork</v>
      </c>
      <c r="D224" s="1083" t="str">
        <f>'ANSP Capex'!D220</f>
        <v>Replacement Airfield Cabling</v>
      </c>
      <c r="E224" s="1083" t="str">
        <f>'ANSP Capex'!E220</f>
        <v>R006A</v>
      </c>
      <c r="F224" s="1083" t="str">
        <f>'ANSP Capex'!F220</f>
        <v>2021-2024</v>
      </c>
      <c r="G224" s="1101">
        <f t="shared" si="16"/>
        <v>400</v>
      </c>
      <c r="H224" s="1083" t="str">
        <f>'ANSP Capex'!H220</f>
        <v>€'000</v>
      </c>
      <c r="I224" s="829"/>
      <c r="J224" s="1097">
        <f>'ANSP Capex'!I220</f>
        <v>8</v>
      </c>
      <c r="K224" s="1124">
        <v>20</v>
      </c>
      <c r="L224" s="1098">
        <f t="shared" si="17"/>
        <v>240</v>
      </c>
      <c r="M224" s="153">
        <f t="shared" si="18"/>
        <v>0.05</v>
      </c>
      <c r="N224" s="1099"/>
      <c r="O224" s="1100">
        <f>'ANSP Capex'!M220</f>
        <v>0</v>
      </c>
      <c r="P224" s="1101">
        <f>IF($BH224=0,0,IF(SUM($O224:O224)&lt;($L224-12),12,$L224-SUM($O224:O224)))</f>
        <v>0</v>
      </c>
      <c r="Q224" s="1101">
        <f>IF($BH224=0,0,IF(SUM($O224:P224)&lt;($L224-12),12,$L224-SUM($O224:P224)))</f>
        <v>0</v>
      </c>
      <c r="R224" s="1101">
        <f>IF($BH224=0,0,IF(SUM($O224:Q224)&lt;($L224-12),12,$L224-SUM($O224:Q224)))</f>
        <v>0</v>
      </c>
      <c r="S224" s="1101">
        <f>IF($BH224=0,0,IF(SUM($O224:R224)&lt;($L224-12),12,$L224-SUM($O224:R224)))</f>
        <v>0</v>
      </c>
      <c r="U224" s="1100"/>
      <c r="V224" s="1100">
        <f>'ANSP Capex'!T220</f>
        <v>0</v>
      </c>
      <c r="W224" s="1101">
        <f>IF($BI224=0,0,IF(SUM($U224:V224)&lt;($L224-12),12,$L224-SUM($U224:V224)))</f>
        <v>0</v>
      </c>
      <c r="X224" s="1101">
        <f>IF($BI224=0,0,IF(SUM($U224:W224)&lt;($L224-12),12,$L224-SUM($U224:W224)))</f>
        <v>0</v>
      </c>
      <c r="Y224" s="1101">
        <f>IF($BI224=0,0,IF(SUM($U224:X224)&lt;($L224-12),12,$L224-SUM($U224:X224)))</f>
        <v>0</v>
      </c>
      <c r="AA224" s="1100"/>
      <c r="AB224" s="1100"/>
      <c r="AC224" s="1100">
        <f>'ANSP Capex'!AA220</f>
        <v>3</v>
      </c>
      <c r="AD224" s="1101">
        <f>IF($BJ224=0,0,IF(SUM($AA224:AC224)&lt;($L224-12),12,$L224-SUM($AA224:AC224)))</f>
        <v>12</v>
      </c>
      <c r="AE224" s="1101">
        <f>IF($BJ224=0,0,IF(SUM($AA224:AD224)&lt;($L224-12),12,$L224-SUM($AA224:AD224)))</f>
        <v>12</v>
      </c>
      <c r="AG224" s="1100"/>
      <c r="AH224" s="1100"/>
      <c r="AI224" s="1100"/>
      <c r="AJ224" s="1100">
        <f>'ANSP Capex'!AH220</f>
        <v>0</v>
      </c>
      <c r="AK224" s="1101">
        <f>IF($BK224=0,0,IF(SUM($AG224:AJ224)&lt;($L224-12),12,$L224-SUM($AG224:AJ224)))</f>
        <v>0</v>
      </c>
      <c r="AM224" s="1100"/>
      <c r="AN224" s="1100"/>
      <c r="AO224" s="1100"/>
      <c r="AP224" s="1100"/>
      <c r="AQ224" s="1100">
        <f>'ANSP Capex'!AO220</f>
        <v>0</v>
      </c>
      <c r="AS224" s="153">
        <f t="shared" si="19"/>
        <v>0</v>
      </c>
      <c r="AT224" s="153">
        <f t="shared" si="20"/>
        <v>0</v>
      </c>
      <c r="AU224" s="153">
        <f t="shared" si="21"/>
        <v>0.25</v>
      </c>
      <c r="AV224" s="153">
        <f t="shared" si="22"/>
        <v>0</v>
      </c>
      <c r="AW224" s="153">
        <f t="shared" si="23"/>
        <v>0</v>
      </c>
      <c r="AX224" s="153"/>
      <c r="AY224" s="1543">
        <f>'ANSP Capex'!AW220</f>
        <v>0</v>
      </c>
      <c r="AZ224" s="1102"/>
      <c r="BA224" s="1543">
        <f>'ANSP Capex'!AY220</f>
        <v>1</v>
      </c>
      <c r="BC224" s="1126"/>
      <c r="BD224" s="1126"/>
      <c r="BE224" s="1126"/>
      <c r="BF224" s="1126"/>
      <c r="BG224" s="1126"/>
      <c r="BH224" s="1126">
        <f>'ANSP Capex'!BF220*IF($I224="",(1+INDEX($I$41:$I$42,MATCH($F224,$F$41:$F$42,0))),(1+$I224))</f>
        <v>0</v>
      </c>
      <c r="BI224" s="1126">
        <f>'ANSP Capex'!BG220*IF($I224="",(1+INDEX($I$41:$I$42,MATCH($F224,$F$41:$F$42,0))),(1+$I224))</f>
        <v>0</v>
      </c>
      <c r="BJ224" s="1126">
        <f>'ANSP Capex'!BH220*IF($I224="",(1+INDEX($I$41:$I$42,MATCH($F224,$F$41:$F$42,0))),(1+$I224))</f>
        <v>400</v>
      </c>
      <c r="BK224" s="1126">
        <f>'ANSP Capex'!BI220*IF($I224="",(1+INDEX($I$41:$I$42,MATCH($F224,$F$41:$F$42,0))),(1+$I224))</f>
        <v>0</v>
      </c>
      <c r="BL224" s="1126">
        <f>'ANSP Capex'!BJ220*IF($I224="",(1+INDEX($I$41:$I$42,MATCH($F224,$F$41:$F$42,0))),(1+$I224))</f>
        <v>0</v>
      </c>
    </row>
    <row r="225" spans="1:64" outlineLevel="1">
      <c r="A225" s="1094"/>
      <c r="B225" s="1094"/>
      <c r="C225" s="1083" t="str">
        <f>'ANSP Capex'!C221</f>
        <v>VHF Replacement Programme</v>
      </c>
      <c r="D225" s="1083" t="str">
        <f>'ANSP Capex'!D221</f>
        <v>VHF Replacement Programme</v>
      </c>
      <c r="E225" s="1083" t="str">
        <f>'ANSP Capex'!E221</f>
        <v>Q006</v>
      </c>
      <c r="F225" s="1083" t="str">
        <f>'ANSP Capex'!F221</f>
        <v>2021-2024</v>
      </c>
      <c r="G225" s="1101">
        <f t="shared" si="16"/>
        <v>0</v>
      </c>
      <c r="H225" s="1083" t="str">
        <f>'ANSP Capex'!H221</f>
        <v>€'000</v>
      </c>
      <c r="I225" s="829"/>
      <c r="J225" s="1097">
        <f>'ANSP Capex'!I221</f>
        <v>0</v>
      </c>
      <c r="K225" s="1124">
        <v>0</v>
      </c>
      <c r="L225" s="1098">
        <f t="shared" si="17"/>
        <v>0</v>
      </c>
      <c r="M225" s="153">
        <f t="shared" si="18"/>
        <v>0</v>
      </c>
      <c r="N225" s="1099"/>
      <c r="O225" s="1100">
        <f>'ANSP Capex'!M221</f>
        <v>0</v>
      </c>
      <c r="P225" s="1101">
        <f>IF($BH225=0,0,IF(SUM($O225:O225)&lt;($L225-12),12,$L225-SUM($O225:O225)))</f>
        <v>0</v>
      </c>
      <c r="Q225" s="1101">
        <f>IF($BH225=0,0,IF(SUM($O225:P225)&lt;($L225-12),12,$L225-SUM($O225:P225)))</f>
        <v>0</v>
      </c>
      <c r="R225" s="1101">
        <f>IF($BH225=0,0,IF(SUM($O225:Q225)&lt;($L225-12),12,$L225-SUM($O225:Q225)))</f>
        <v>0</v>
      </c>
      <c r="S225" s="1101">
        <f>IF($BH225=0,0,IF(SUM($O225:R225)&lt;($L225-12),12,$L225-SUM($O225:R225)))</f>
        <v>0</v>
      </c>
      <c r="U225" s="1100"/>
      <c r="V225" s="1100">
        <f>'ANSP Capex'!T221</f>
        <v>0</v>
      </c>
      <c r="W225" s="1101">
        <f>IF($BI225=0,0,IF(SUM($U225:V225)&lt;($L225-12),12,$L225-SUM($U225:V225)))</f>
        <v>0</v>
      </c>
      <c r="X225" s="1101">
        <f>IF($BI225=0,0,IF(SUM($U225:W225)&lt;($L225-12),12,$L225-SUM($U225:W225)))</f>
        <v>0</v>
      </c>
      <c r="Y225" s="1101">
        <f>IF($BI225=0,0,IF(SUM($U225:X225)&lt;($L225-12),12,$L225-SUM($U225:X225)))</f>
        <v>0</v>
      </c>
      <c r="AA225" s="1100"/>
      <c r="AB225" s="1100"/>
      <c r="AC225" s="1100">
        <f>'ANSP Capex'!AA221</f>
        <v>0</v>
      </c>
      <c r="AD225" s="1101">
        <f>IF($BJ225=0,0,IF(SUM($AA225:AC225)&lt;($L225-12),12,$L225-SUM($AA225:AC225)))</f>
        <v>0</v>
      </c>
      <c r="AE225" s="1101">
        <f>IF($BJ225=0,0,IF(SUM($AA225:AD225)&lt;($L225-12),12,$L225-SUM($AA225:AD225)))</f>
        <v>0</v>
      </c>
      <c r="AG225" s="1100"/>
      <c r="AH225" s="1100"/>
      <c r="AI225" s="1100"/>
      <c r="AJ225" s="1100">
        <f>'ANSP Capex'!AH221</f>
        <v>0</v>
      </c>
      <c r="AK225" s="1101">
        <f>IF($BK225=0,0,IF(SUM($AG225:AJ225)&lt;($L225-12),12,$L225-SUM($AG225:AJ225)))</f>
        <v>0</v>
      </c>
      <c r="AM225" s="1100"/>
      <c r="AN225" s="1100"/>
      <c r="AO225" s="1100"/>
      <c r="AP225" s="1100"/>
      <c r="AQ225" s="1100">
        <f>'ANSP Capex'!AO221</f>
        <v>0</v>
      </c>
      <c r="AS225" s="153">
        <f t="shared" si="19"/>
        <v>0</v>
      </c>
      <c r="AT225" s="153">
        <f t="shared" si="20"/>
        <v>0</v>
      </c>
      <c r="AU225" s="153">
        <f t="shared" si="21"/>
        <v>0</v>
      </c>
      <c r="AV225" s="153">
        <f t="shared" si="22"/>
        <v>0</v>
      </c>
      <c r="AW225" s="153">
        <f t="shared" si="23"/>
        <v>0</v>
      </c>
      <c r="AX225" s="153"/>
      <c r="AY225" s="1543">
        <f>'ANSP Capex'!AW221</f>
        <v>0</v>
      </c>
      <c r="AZ225" s="1102"/>
      <c r="BA225" s="1543">
        <f>'ANSP Capex'!AY221</f>
        <v>0</v>
      </c>
      <c r="BC225" s="1126"/>
      <c r="BD225" s="1126"/>
      <c r="BE225" s="1126"/>
      <c r="BF225" s="1126"/>
      <c r="BG225" s="1126"/>
      <c r="BH225" s="1126">
        <f>'ANSP Capex'!BF221*IF($I225="",(1+INDEX($I$41:$I$42,MATCH($F225,$F$41:$F$42,0))),(1+$I225))</f>
        <v>0</v>
      </c>
      <c r="BI225" s="1126">
        <f>'ANSP Capex'!BG221*IF($I225="",(1+INDEX($I$41:$I$42,MATCH($F225,$F$41:$F$42,0))),(1+$I225))</f>
        <v>0</v>
      </c>
      <c r="BJ225" s="1126">
        <f>'ANSP Capex'!BH221*IF($I225="",(1+INDEX($I$41:$I$42,MATCH($F225,$F$41:$F$42,0))),(1+$I225))</f>
        <v>0</v>
      </c>
      <c r="BK225" s="1126">
        <f>'ANSP Capex'!BI221*IF($I225="",(1+INDEX($I$41:$I$42,MATCH($F225,$F$41:$F$42,0))),(1+$I225))</f>
        <v>0</v>
      </c>
      <c r="BL225" s="1126">
        <f>'ANSP Capex'!BJ221*IF($I225="",(1+INDEX($I$41:$I$42,MATCH($F225,$F$41:$F$42,0))),(1+$I225))</f>
        <v>0</v>
      </c>
    </row>
    <row r="226" spans="1:64" outlineLevel="1">
      <c r="A226" s="1094"/>
      <c r="B226" s="1094"/>
      <c r="C226" s="1083" t="str">
        <f>'ANSP Capex'!C222</f>
        <v>VHF Replacement Dublin</v>
      </c>
      <c r="D226" s="1083" t="str">
        <f>'ANSP Capex'!D222</f>
        <v>VHF Replacement Programme</v>
      </c>
      <c r="E226" s="1083" t="str">
        <f>'ANSP Capex'!E222</f>
        <v>Q006A</v>
      </c>
      <c r="F226" s="1083" t="str">
        <f>'ANSP Capex'!F222</f>
        <v>2021-2024</v>
      </c>
      <c r="G226" s="1101">
        <f t="shared" si="16"/>
        <v>166.85825600000001</v>
      </c>
      <c r="H226" s="1083" t="str">
        <f>'ANSP Capex'!H222</f>
        <v>€'000</v>
      </c>
      <c r="I226" s="829"/>
      <c r="J226" s="1097">
        <f>'ANSP Capex'!I222</f>
        <v>8</v>
      </c>
      <c r="K226" s="1124">
        <v>0</v>
      </c>
      <c r="L226" s="1098">
        <f t="shared" si="17"/>
        <v>96</v>
      </c>
      <c r="M226" s="153">
        <f t="shared" si="18"/>
        <v>0.125</v>
      </c>
      <c r="N226" s="1099"/>
      <c r="O226" s="1100">
        <f>'ANSP Capex'!M222</f>
        <v>0</v>
      </c>
      <c r="P226" s="1101">
        <f>IF($BH226=0,0,IF(SUM($O226:O226)&lt;($L226-12),12,$L226-SUM($O226:O226)))</f>
        <v>0</v>
      </c>
      <c r="Q226" s="1101">
        <f>IF($BH226=0,0,IF(SUM($O226:P226)&lt;($L226-12),12,$L226-SUM($O226:P226)))</f>
        <v>0</v>
      </c>
      <c r="R226" s="1101">
        <f>IF($BH226=0,0,IF(SUM($O226:Q226)&lt;($L226-12),12,$L226-SUM($O226:Q226)))</f>
        <v>0</v>
      </c>
      <c r="S226" s="1101">
        <f>IF($BH226=0,0,IF(SUM($O226:R226)&lt;($L226-12),12,$L226-SUM($O226:R226)))</f>
        <v>0</v>
      </c>
      <c r="U226" s="1100"/>
      <c r="V226" s="1100">
        <f>'ANSP Capex'!T222</f>
        <v>6</v>
      </c>
      <c r="W226" s="1101">
        <f>IF($BI226=0,0,IF(SUM($U226:V226)&lt;($L226-12),12,$L226-SUM($U226:V226)))</f>
        <v>12</v>
      </c>
      <c r="X226" s="1101">
        <f>IF($BI226=0,0,IF(SUM($U226:W226)&lt;($L226-12),12,$L226-SUM($U226:W226)))</f>
        <v>12</v>
      </c>
      <c r="Y226" s="1101">
        <f>IF($BI226=0,0,IF(SUM($U226:X226)&lt;($L226-12),12,$L226-SUM($U226:X226)))</f>
        <v>12</v>
      </c>
      <c r="AA226" s="1100"/>
      <c r="AB226" s="1100"/>
      <c r="AC226" s="1100">
        <f>'ANSP Capex'!AA222</f>
        <v>0</v>
      </c>
      <c r="AD226" s="1101">
        <f>IF($BJ226=0,0,IF(SUM($AA226:AC226)&lt;($L226-12),12,$L226-SUM($AA226:AC226)))</f>
        <v>0</v>
      </c>
      <c r="AE226" s="1101">
        <f>IF($BJ226=0,0,IF(SUM($AA226:AD226)&lt;($L226-12),12,$L226-SUM($AA226:AD226)))</f>
        <v>0</v>
      </c>
      <c r="AG226" s="1100"/>
      <c r="AH226" s="1100"/>
      <c r="AI226" s="1100"/>
      <c r="AJ226" s="1100">
        <f>'ANSP Capex'!AH222</f>
        <v>0</v>
      </c>
      <c r="AK226" s="1101">
        <f>IF($BK226=0,0,IF(SUM($AG226:AJ226)&lt;($L226-12),12,$L226-SUM($AG226:AJ226)))</f>
        <v>0</v>
      </c>
      <c r="AM226" s="1100"/>
      <c r="AN226" s="1100"/>
      <c r="AO226" s="1100"/>
      <c r="AP226" s="1100"/>
      <c r="AQ226" s="1100">
        <f>'ANSP Capex'!AO222</f>
        <v>0</v>
      </c>
      <c r="AS226" s="153">
        <f t="shared" si="19"/>
        <v>0</v>
      </c>
      <c r="AT226" s="153">
        <f t="shared" si="20"/>
        <v>0.5</v>
      </c>
      <c r="AU226" s="153">
        <f t="shared" si="21"/>
        <v>0</v>
      </c>
      <c r="AV226" s="153">
        <f t="shared" si="22"/>
        <v>0</v>
      </c>
      <c r="AW226" s="153">
        <f t="shared" si="23"/>
        <v>0</v>
      </c>
      <c r="AX226" s="153"/>
      <c r="AY226" s="1543">
        <f>'ANSP Capex'!AW222</f>
        <v>0</v>
      </c>
      <c r="AZ226" s="1102"/>
      <c r="BA226" s="1543">
        <f>'ANSP Capex'!AY222</f>
        <v>1</v>
      </c>
      <c r="BC226" s="1126"/>
      <c r="BD226" s="1126"/>
      <c r="BE226" s="1126"/>
      <c r="BF226" s="1126"/>
      <c r="BG226" s="1126"/>
      <c r="BH226" s="1126">
        <f>'ANSP Capex'!BF222*IF($I226="",(1+INDEX($I$41:$I$42,MATCH($F226,$F$41:$F$42,0))),(1+$I226))</f>
        <v>0</v>
      </c>
      <c r="BI226" s="1126">
        <f>'ANSP Capex'!BG222*IF($I226="",(1+INDEX($I$41:$I$42,MATCH($F226,$F$41:$F$42,0))),(1+$I226))</f>
        <v>166.85825600000001</v>
      </c>
      <c r="BJ226" s="1126">
        <f>'ANSP Capex'!BH222*IF($I226="",(1+INDEX($I$41:$I$42,MATCH($F226,$F$41:$F$42,0))),(1+$I226))</f>
        <v>0</v>
      </c>
      <c r="BK226" s="1126">
        <f>'ANSP Capex'!BI222*IF($I226="",(1+INDEX($I$41:$I$42,MATCH($F226,$F$41:$F$42,0))),(1+$I226))</f>
        <v>0</v>
      </c>
      <c r="BL226" s="1126">
        <f>'ANSP Capex'!BJ222*IF($I226="",(1+INDEX($I$41:$I$42,MATCH($F226,$F$41:$F$42,0))),(1+$I226))</f>
        <v>0</v>
      </c>
    </row>
    <row r="227" spans="1:64" outlineLevel="1">
      <c r="A227" s="1094"/>
      <c r="B227" s="1094"/>
      <c r="C227" s="1083" t="str">
        <f>'ANSP Capex'!C223</f>
        <v>VHF Replacement Shannon</v>
      </c>
      <c r="D227" s="1083" t="str">
        <f>'ANSP Capex'!D223</f>
        <v>VHF Replacement Programme</v>
      </c>
      <c r="E227" s="1083" t="str">
        <f>'ANSP Capex'!E223</f>
        <v>Q006A</v>
      </c>
      <c r="F227" s="1083" t="str">
        <f>'ANSP Capex'!F223</f>
        <v>2021-2024</v>
      </c>
      <c r="G227" s="1101">
        <f t="shared" si="16"/>
        <v>424</v>
      </c>
      <c r="H227" s="1083" t="str">
        <f>'ANSP Capex'!H223</f>
        <v>€'000</v>
      </c>
      <c r="I227" s="829"/>
      <c r="J227" s="1097">
        <f>'ANSP Capex'!I223</f>
        <v>8</v>
      </c>
      <c r="K227" s="1124">
        <v>0</v>
      </c>
      <c r="L227" s="1098">
        <f t="shared" si="17"/>
        <v>96</v>
      </c>
      <c r="M227" s="153">
        <f t="shared" si="18"/>
        <v>0.125</v>
      </c>
      <c r="N227" s="1099"/>
      <c r="O227" s="1100">
        <f>'ANSP Capex'!M223</f>
        <v>0</v>
      </c>
      <c r="P227" s="1101">
        <f>IF($BH227=0,0,IF(SUM($O227:O227)&lt;($L227-12),12,$L227-SUM($O227:O227)))</f>
        <v>0</v>
      </c>
      <c r="Q227" s="1101">
        <f>IF($BH227=0,0,IF(SUM($O227:P227)&lt;($L227-12),12,$L227-SUM($O227:P227)))</f>
        <v>0</v>
      </c>
      <c r="R227" s="1101">
        <f>IF($BH227=0,0,IF(SUM($O227:Q227)&lt;($L227-12),12,$L227-SUM($O227:Q227)))</f>
        <v>0</v>
      </c>
      <c r="S227" s="1101">
        <f>IF($BH227=0,0,IF(SUM($O227:R227)&lt;($L227-12),12,$L227-SUM($O227:R227)))</f>
        <v>0</v>
      </c>
      <c r="U227" s="1100"/>
      <c r="V227" s="1100">
        <f>'ANSP Capex'!T223</f>
        <v>0</v>
      </c>
      <c r="W227" s="1101">
        <f>IF($BI227=0,0,IF(SUM($U227:V227)&lt;($L227-12),12,$L227-SUM($U227:V227)))</f>
        <v>0</v>
      </c>
      <c r="X227" s="1101">
        <f>IF($BI227=0,0,IF(SUM($U227:W227)&lt;($L227-12),12,$L227-SUM($U227:W227)))</f>
        <v>0</v>
      </c>
      <c r="Y227" s="1101">
        <f>IF($BI227=0,0,IF(SUM($U227:X227)&lt;($L227-12),12,$L227-SUM($U227:X227)))</f>
        <v>0</v>
      </c>
      <c r="AA227" s="1100"/>
      <c r="AB227" s="1100"/>
      <c r="AC227" s="1100">
        <f>'ANSP Capex'!AA223</f>
        <v>0</v>
      </c>
      <c r="AD227" s="1101">
        <f>IF($BJ227=0,0,IF(SUM($AA227:AC227)&lt;($L227-12),12,$L227-SUM($AA227:AC227)))</f>
        <v>0</v>
      </c>
      <c r="AE227" s="1101">
        <f>IF($BJ227=0,0,IF(SUM($AA227:AD227)&lt;($L227-12),12,$L227-SUM($AA227:AD227)))</f>
        <v>0</v>
      </c>
      <c r="AG227" s="1100"/>
      <c r="AH227" s="1100"/>
      <c r="AI227" s="1100"/>
      <c r="AJ227" s="1100">
        <f>'ANSP Capex'!AH223</f>
        <v>6</v>
      </c>
      <c r="AK227" s="1101">
        <f>IF($BK227=0,0,IF(SUM($AG227:AJ227)&lt;($L227-12),12,$L227-SUM($AG227:AJ227)))</f>
        <v>12</v>
      </c>
      <c r="AM227" s="1100"/>
      <c r="AN227" s="1100"/>
      <c r="AO227" s="1100"/>
      <c r="AP227" s="1100"/>
      <c r="AQ227" s="1100">
        <f>'ANSP Capex'!AO223</f>
        <v>0</v>
      </c>
      <c r="AS227" s="153">
        <f t="shared" si="19"/>
        <v>0</v>
      </c>
      <c r="AT227" s="153">
        <f t="shared" si="20"/>
        <v>0</v>
      </c>
      <c r="AU227" s="153">
        <f t="shared" si="21"/>
        <v>0</v>
      </c>
      <c r="AV227" s="153">
        <f t="shared" si="22"/>
        <v>0.5</v>
      </c>
      <c r="AW227" s="153">
        <f t="shared" si="23"/>
        <v>0</v>
      </c>
      <c r="AX227" s="153"/>
      <c r="AY227" s="1543">
        <f>'ANSP Capex'!AW223</f>
        <v>0.75</v>
      </c>
      <c r="AZ227" s="1102"/>
      <c r="BA227" s="1543">
        <f>'ANSP Capex'!AY223</f>
        <v>0.25</v>
      </c>
      <c r="BC227" s="1126"/>
      <c r="BD227" s="1126"/>
      <c r="BE227" s="1126"/>
      <c r="BF227" s="1126"/>
      <c r="BG227" s="1126"/>
      <c r="BH227" s="1126">
        <f>'ANSP Capex'!BF223*IF($I227="",(1+INDEX($I$41:$I$42,MATCH($F227,$F$41:$F$42,0))),(1+$I227))</f>
        <v>0</v>
      </c>
      <c r="BI227" s="1126">
        <f>'ANSP Capex'!BG223*IF($I227="",(1+INDEX($I$41:$I$42,MATCH($F227,$F$41:$F$42,0))),(1+$I227))</f>
        <v>0</v>
      </c>
      <c r="BJ227" s="1126">
        <f>'ANSP Capex'!BH223*IF($I227="",(1+INDEX($I$41:$I$42,MATCH($F227,$F$41:$F$42,0))),(1+$I227))</f>
        <v>0</v>
      </c>
      <c r="BK227" s="1126">
        <f>'ANSP Capex'!BI223*IF($I227="",(1+INDEX($I$41:$I$42,MATCH($F227,$F$41:$F$42,0))),(1+$I227))</f>
        <v>424</v>
      </c>
      <c r="BL227" s="1126">
        <f>'ANSP Capex'!BJ223*IF($I227="",(1+INDEX($I$41:$I$42,MATCH($F227,$F$41:$F$42,0))),(1+$I227))</f>
        <v>0</v>
      </c>
    </row>
    <row r="228" spans="1:64" outlineLevel="1">
      <c r="A228" s="1094"/>
      <c r="B228" s="1094"/>
      <c r="C228" s="1083" t="str">
        <f>'ANSP Capex'!C224</f>
        <v>VHF Replacement Cork</v>
      </c>
      <c r="D228" s="1083" t="str">
        <f>'ANSP Capex'!D224</f>
        <v>VHF Replacement Programme</v>
      </c>
      <c r="E228" s="1083" t="str">
        <f>'ANSP Capex'!E224</f>
        <v>Q006A</v>
      </c>
      <c r="F228" s="1083" t="str">
        <f>'ANSP Capex'!F224</f>
        <v>2021-2024</v>
      </c>
      <c r="G228" s="1101">
        <f t="shared" si="16"/>
        <v>240</v>
      </c>
      <c r="H228" s="1083" t="str">
        <f>'ANSP Capex'!H224</f>
        <v>€'000</v>
      </c>
      <c r="I228" s="829"/>
      <c r="J228" s="1097">
        <f>'ANSP Capex'!I224</f>
        <v>8</v>
      </c>
      <c r="K228" s="1124">
        <v>0</v>
      </c>
      <c r="L228" s="1098">
        <f t="shared" si="17"/>
        <v>96</v>
      </c>
      <c r="M228" s="153">
        <f t="shared" si="18"/>
        <v>0.125</v>
      </c>
      <c r="N228" s="1099"/>
      <c r="O228" s="1100">
        <f>'ANSP Capex'!M224</f>
        <v>0</v>
      </c>
      <c r="P228" s="1101">
        <f>IF($BH228=0,0,IF(SUM($O228:O228)&lt;($L228-12),12,$L228-SUM($O228:O228)))</f>
        <v>0</v>
      </c>
      <c r="Q228" s="1101">
        <f>IF($BH228=0,0,IF(SUM($O228:P228)&lt;($L228-12),12,$L228-SUM($O228:P228)))</f>
        <v>0</v>
      </c>
      <c r="R228" s="1101">
        <f>IF($BH228=0,0,IF(SUM($O228:Q228)&lt;($L228-12),12,$L228-SUM($O228:Q228)))</f>
        <v>0</v>
      </c>
      <c r="S228" s="1101">
        <f>IF($BH228=0,0,IF(SUM($O228:R228)&lt;($L228-12),12,$L228-SUM($O228:R228)))</f>
        <v>0</v>
      </c>
      <c r="U228" s="1100"/>
      <c r="V228" s="1100">
        <f>'ANSP Capex'!T224</f>
        <v>0</v>
      </c>
      <c r="W228" s="1101">
        <f>IF($BI228=0,0,IF(SUM($U228:V228)&lt;($L228-12),12,$L228-SUM($U228:V228)))</f>
        <v>0</v>
      </c>
      <c r="X228" s="1101">
        <f>IF($BI228=0,0,IF(SUM($U228:W228)&lt;($L228-12),12,$L228-SUM($U228:W228)))</f>
        <v>0</v>
      </c>
      <c r="Y228" s="1101">
        <f>IF($BI228=0,0,IF(SUM($U228:X228)&lt;($L228-12),12,$L228-SUM($U228:X228)))</f>
        <v>0</v>
      </c>
      <c r="AA228" s="1100"/>
      <c r="AB228" s="1100"/>
      <c r="AC228" s="1100">
        <f>'ANSP Capex'!AA224</f>
        <v>12</v>
      </c>
      <c r="AD228" s="1101">
        <f>IF($BJ228=0,0,IF(SUM($AA228:AC228)&lt;($L228-12),12,$L228-SUM($AA228:AC228)))</f>
        <v>12</v>
      </c>
      <c r="AE228" s="1101">
        <f>IF($BJ228=0,0,IF(SUM($AA228:AD228)&lt;($L228-12),12,$L228-SUM($AA228:AD228)))</f>
        <v>12</v>
      </c>
      <c r="AG228" s="1100"/>
      <c r="AH228" s="1100"/>
      <c r="AI228" s="1100"/>
      <c r="AJ228" s="1100">
        <f>'ANSP Capex'!AH224</f>
        <v>0</v>
      </c>
      <c r="AK228" s="1101">
        <f>IF($BK228=0,0,IF(SUM($AG228:AJ228)&lt;($L228-12),12,$L228-SUM($AG228:AJ228)))</f>
        <v>0</v>
      </c>
      <c r="AM228" s="1100"/>
      <c r="AN228" s="1100"/>
      <c r="AO228" s="1100"/>
      <c r="AP228" s="1100"/>
      <c r="AQ228" s="1100">
        <f>'ANSP Capex'!AO224</f>
        <v>0</v>
      </c>
      <c r="AS228" s="153">
        <f t="shared" si="19"/>
        <v>0</v>
      </c>
      <c r="AT228" s="153">
        <f t="shared" si="20"/>
        <v>0</v>
      </c>
      <c r="AU228" s="153">
        <f t="shared" si="21"/>
        <v>1</v>
      </c>
      <c r="AV228" s="153">
        <f t="shared" si="22"/>
        <v>0</v>
      </c>
      <c r="AW228" s="153">
        <f t="shared" si="23"/>
        <v>0</v>
      </c>
      <c r="AX228" s="153"/>
      <c r="AY228" s="1543">
        <f>'ANSP Capex'!AW224</f>
        <v>0</v>
      </c>
      <c r="AZ228" s="1102"/>
      <c r="BA228" s="1543">
        <f>'ANSP Capex'!AY224</f>
        <v>1</v>
      </c>
      <c r="BC228" s="1126"/>
      <c r="BD228" s="1126"/>
      <c r="BE228" s="1126"/>
      <c r="BF228" s="1126"/>
      <c r="BG228" s="1126"/>
      <c r="BH228" s="1126">
        <f>'ANSP Capex'!BF224*IF($I228="",(1+INDEX($I$41:$I$42,MATCH($F228,$F$41:$F$42,0))),(1+$I228))</f>
        <v>0</v>
      </c>
      <c r="BI228" s="1126">
        <f>'ANSP Capex'!BG224*IF($I228="",(1+INDEX($I$41:$I$42,MATCH($F228,$F$41:$F$42,0))),(1+$I228))</f>
        <v>0</v>
      </c>
      <c r="BJ228" s="1126">
        <f>'ANSP Capex'!BH224*IF($I228="",(1+INDEX($I$41:$I$42,MATCH($F228,$F$41:$F$42,0))),(1+$I228))</f>
        <v>240</v>
      </c>
      <c r="BK228" s="1126">
        <f>'ANSP Capex'!BI224*IF($I228="",(1+INDEX($I$41:$I$42,MATCH($F228,$F$41:$F$42,0))),(1+$I228))</f>
        <v>0</v>
      </c>
      <c r="BL228" s="1126">
        <f>'ANSP Capex'!BJ224*IF($I228="",(1+INDEX($I$41:$I$42,MATCH($F228,$F$41:$F$42,0))),(1+$I228))</f>
        <v>0</v>
      </c>
    </row>
    <row r="229" spans="1:64" outlineLevel="1">
      <c r="A229" s="1094"/>
      <c r="B229" s="1094"/>
      <c r="C229" s="1083" t="str">
        <f>'ANSP Capex'!C225</f>
        <v>VHF Replacement Remote Sites</v>
      </c>
      <c r="D229" s="1083" t="str">
        <f>'ANSP Capex'!D225</f>
        <v>VHF Replacement Programme</v>
      </c>
      <c r="E229" s="1083" t="str">
        <f>'ANSP Capex'!E225</f>
        <v>Q006A</v>
      </c>
      <c r="F229" s="1083" t="str">
        <f>'ANSP Capex'!F225</f>
        <v>2021-2024</v>
      </c>
      <c r="G229" s="1101">
        <f t="shared" si="16"/>
        <v>624</v>
      </c>
      <c r="H229" s="1083" t="str">
        <f>'ANSP Capex'!H225</f>
        <v>€'000</v>
      </c>
      <c r="I229" s="829"/>
      <c r="J229" s="1097">
        <f>'ANSP Capex'!I225</f>
        <v>8</v>
      </c>
      <c r="K229" s="1124">
        <v>0</v>
      </c>
      <c r="L229" s="1098">
        <f t="shared" si="17"/>
        <v>96</v>
      </c>
      <c r="M229" s="153">
        <f t="shared" si="18"/>
        <v>0.125</v>
      </c>
      <c r="N229" s="1099"/>
      <c r="O229" s="1100">
        <f>'ANSP Capex'!M225</f>
        <v>0</v>
      </c>
      <c r="P229" s="1101">
        <f>IF($BH229=0,0,IF(SUM($O229:O229)&lt;($L229-12),12,$L229-SUM($O229:O229)))</f>
        <v>0</v>
      </c>
      <c r="Q229" s="1101">
        <f>IF($BH229=0,0,IF(SUM($O229:P229)&lt;($L229-12),12,$L229-SUM($O229:P229)))</f>
        <v>0</v>
      </c>
      <c r="R229" s="1101">
        <f>IF($BH229=0,0,IF(SUM($O229:Q229)&lt;($L229-12),12,$L229-SUM($O229:Q229)))</f>
        <v>0</v>
      </c>
      <c r="S229" s="1101">
        <f>IF($BH229=0,0,IF(SUM($O229:R229)&lt;($L229-12),12,$L229-SUM($O229:R229)))</f>
        <v>0</v>
      </c>
      <c r="U229" s="1100"/>
      <c r="V229" s="1100">
        <f>'ANSP Capex'!T225</f>
        <v>0</v>
      </c>
      <c r="W229" s="1101">
        <f>IF($BI229=0,0,IF(SUM($U229:V229)&lt;($L229-12),12,$L229-SUM($U229:V229)))</f>
        <v>0</v>
      </c>
      <c r="X229" s="1101">
        <f>IF($BI229=0,0,IF(SUM($U229:W229)&lt;($L229-12),12,$L229-SUM($U229:W229)))</f>
        <v>0</v>
      </c>
      <c r="Y229" s="1101">
        <f>IF($BI229=0,0,IF(SUM($U229:X229)&lt;($L229-12),12,$L229-SUM($U229:X229)))</f>
        <v>0</v>
      </c>
      <c r="AA229" s="1100"/>
      <c r="AB229" s="1100"/>
      <c r="AC229" s="1100">
        <f>'ANSP Capex'!AA225</f>
        <v>6</v>
      </c>
      <c r="AD229" s="1101">
        <f>IF($BJ229=0,0,IF(SUM($AA229:AC229)&lt;($L229-12),12,$L229-SUM($AA229:AC229)))</f>
        <v>12</v>
      </c>
      <c r="AE229" s="1101">
        <f>IF($BJ229=0,0,IF(SUM($AA229:AD229)&lt;($L229-12),12,$L229-SUM($AA229:AD229)))</f>
        <v>12</v>
      </c>
      <c r="AG229" s="1100"/>
      <c r="AH229" s="1100"/>
      <c r="AI229" s="1100"/>
      <c r="AJ229" s="1100">
        <f>'ANSP Capex'!AH225</f>
        <v>3</v>
      </c>
      <c r="AK229" s="1101">
        <f>IF($BK229=0,0,IF(SUM($AG229:AJ229)&lt;($L229-12),12,$L229-SUM($AG229:AJ229)))</f>
        <v>12</v>
      </c>
      <c r="AM229" s="1100"/>
      <c r="AN229" s="1100"/>
      <c r="AO229" s="1100"/>
      <c r="AP229" s="1100"/>
      <c r="AQ229" s="1100">
        <f>'ANSP Capex'!AO225</f>
        <v>0</v>
      </c>
      <c r="AS229" s="153">
        <f t="shared" si="19"/>
        <v>0</v>
      </c>
      <c r="AT229" s="153">
        <f t="shared" si="20"/>
        <v>0</v>
      </c>
      <c r="AU229" s="153">
        <f t="shared" si="21"/>
        <v>0.5</v>
      </c>
      <c r="AV229" s="153">
        <f t="shared" si="22"/>
        <v>0.25</v>
      </c>
      <c r="AW229" s="153">
        <f t="shared" si="23"/>
        <v>0</v>
      </c>
      <c r="AX229" s="153"/>
      <c r="AY229" s="1543">
        <f>'ANSP Capex'!AW225</f>
        <v>1</v>
      </c>
      <c r="AZ229" s="1102"/>
      <c r="BA229" s="1543">
        <f>'ANSP Capex'!AY225</f>
        <v>0</v>
      </c>
      <c r="BC229" s="1126"/>
      <c r="BD229" s="1126"/>
      <c r="BE229" s="1126"/>
      <c r="BF229" s="1126"/>
      <c r="BG229" s="1126"/>
      <c r="BH229" s="1126">
        <f>'ANSP Capex'!BF225*IF($I229="",(1+INDEX($I$41:$I$42,MATCH($F229,$F$41:$F$42,0))),(1+$I229))</f>
        <v>0</v>
      </c>
      <c r="BI229" s="1126">
        <f>'ANSP Capex'!BG225*IF($I229="",(1+INDEX($I$41:$I$42,MATCH($F229,$F$41:$F$42,0))),(1+$I229))</f>
        <v>0</v>
      </c>
      <c r="BJ229" s="1126">
        <f>'ANSP Capex'!BH225*IF($I229="",(1+INDEX($I$41:$I$42,MATCH($F229,$F$41:$F$42,0))),(1+$I229))</f>
        <v>336</v>
      </c>
      <c r="BK229" s="1126">
        <f>'ANSP Capex'!BI225*IF($I229="",(1+INDEX($I$41:$I$42,MATCH($F229,$F$41:$F$42,0))),(1+$I229))</f>
        <v>288</v>
      </c>
      <c r="BL229" s="1126">
        <f>'ANSP Capex'!BJ225*IF($I229="",(1+INDEX($I$41:$I$42,MATCH($F229,$F$41:$F$42,0))),(1+$I229))</f>
        <v>0</v>
      </c>
    </row>
    <row r="230" spans="1:64" outlineLevel="1">
      <c r="A230" s="1094"/>
      <c r="B230" s="1094"/>
      <c r="C230" s="1083" t="str">
        <f>'ANSP Capex'!C226</f>
        <v>Met Server  SHN</v>
      </c>
      <c r="D230" s="1083" t="str">
        <f>'ANSP Capex'!D226</f>
        <v>Met Server</v>
      </c>
      <c r="E230" s="1083" t="str">
        <f>'ANSP Capex'!E226</f>
        <v>R016A</v>
      </c>
      <c r="F230" s="1083" t="str">
        <f>'ANSP Capex'!F226</f>
        <v>2021-2024</v>
      </c>
      <c r="G230" s="1101">
        <f t="shared" si="16"/>
        <v>710.84112000000005</v>
      </c>
      <c r="H230" s="1083" t="str">
        <f>'ANSP Capex'!H226</f>
        <v>€'000</v>
      </c>
      <c r="I230" s="829"/>
      <c r="J230" s="1097">
        <f>'ANSP Capex'!I226</f>
        <v>8</v>
      </c>
      <c r="K230" s="1124">
        <v>0</v>
      </c>
      <c r="L230" s="1098">
        <f t="shared" si="17"/>
        <v>96</v>
      </c>
      <c r="M230" s="153">
        <f t="shared" si="18"/>
        <v>0.125</v>
      </c>
      <c r="N230" s="1099"/>
      <c r="O230" s="1100">
        <f>'ANSP Capex'!M226</f>
        <v>0</v>
      </c>
      <c r="P230" s="1101">
        <f>IF($BH230=0,0,IF(SUM($O230:O230)&lt;($L230-12),12,$L230-SUM($O230:O230)))</f>
        <v>0</v>
      </c>
      <c r="Q230" s="1101">
        <f>IF($BH230=0,0,IF(SUM($O230:P230)&lt;($L230-12),12,$L230-SUM($O230:P230)))</f>
        <v>0</v>
      </c>
      <c r="R230" s="1101">
        <f>IF($BH230=0,0,IF(SUM($O230:Q230)&lt;($L230-12),12,$L230-SUM($O230:Q230)))</f>
        <v>0</v>
      </c>
      <c r="S230" s="1101">
        <f>IF($BH230=0,0,IF(SUM($O230:R230)&lt;($L230-12),12,$L230-SUM($O230:R230)))</f>
        <v>0</v>
      </c>
      <c r="U230" s="1100"/>
      <c r="V230" s="1100">
        <f>'ANSP Capex'!T226</f>
        <v>0</v>
      </c>
      <c r="W230" s="1101">
        <f>IF($BI230=0,0,IF(SUM($U230:V230)&lt;($L230-12),12,$L230-SUM($U230:V230)))</f>
        <v>0</v>
      </c>
      <c r="X230" s="1101">
        <f>IF($BI230=0,0,IF(SUM($U230:W230)&lt;($L230-12),12,$L230-SUM($U230:W230)))</f>
        <v>0</v>
      </c>
      <c r="Y230" s="1101">
        <f>IF($BI230=0,0,IF(SUM($U230:X230)&lt;($L230-12),12,$L230-SUM($U230:X230)))</f>
        <v>0</v>
      </c>
      <c r="AA230" s="1100"/>
      <c r="AB230" s="1100"/>
      <c r="AC230" s="1100">
        <f>'ANSP Capex'!AA226</f>
        <v>3</v>
      </c>
      <c r="AD230" s="1101">
        <f>IF($BJ230=0,0,IF(SUM($AA230:AC230)&lt;($L230-12),12,$L230-SUM($AA230:AC230)))</f>
        <v>12</v>
      </c>
      <c r="AE230" s="1101">
        <f>IF($BJ230=0,0,IF(SUM($AA230:AD230)&lt;($L230-12),12,$L230-SUM($AA230:AD230)))</f>
        <v>12</v>
      </c>
      <c r="AG230" s="1100"/>
      <c r="AH230" s="1100"/>
      <c r="AI230" s="1100"/>
      <c r="AJ230" s="1100">
        <f>'ANSP Capex'!AH226</f>
        <v>0</v>
      </c>
      <c r="AK230" s="1101">
        <f>IF($BK230=0,0,IF(SUM($AG230:AJ230)&lt;($L230-12),12,$L230-SUM($AG230:AJ230)))</f>
        <v>0</v>
      </c>
      <c r="AM230" s="1100"/>
      <c r="AN230" s="1100"/>
      <c r="AO230" s="1100"/>
      <c r="AP230" s="1100"/>
      <c r="AQ230" s="1100">
        <f>'ANSP Capex'!AO226</f>
        <v>0</v>
      </c>
      <c r="AS230" s="153">
        <f t="shared" si="19"/>
        <v>0</v>
      </c>
      <c r="AT230" s="153">
        <f t="shared" si="20"/>
        <v>0</v>
      </c>
      <c r="AU230" s="153">
        <f t="shared" si="21"/>
        <v>0.25</v>
      </c>
      <c r="AV230" s="153">
        <f t="shared" si="22"/>
        <v>0</v>
      </c>
      <c r="AW230" s="153">
        <f t="shared" si="23"/>
        <v>0</v>
      </c>
      <c r="AX230" s="153"/>
      <c r="AY230" s="1543">
        <f>'ANSP Capex'!AW226</f>
        <v>0.75</v>
      </c>
      <c r="AZ230" s="1102"/>
      <c r="BA230" s="1543">
        <f>'ANSP Capex'!AY226</f>
        <v>0.25</v>
      </c>
      <c r="BC230" s="1126"/>
      <c r="BD230" s="1126"/>
      <c r="BE230" s="1126"/>
      <c r="BF230" s="1126"/>
      <c r="BG230" s="1126"/>
      <c r="BH230" s="1126">
        <f>'ANSP Capex'!BF226*IF($I230="",(1+INDEX($I$41:$I$42,MATCH($F230,$F$41:$F$42,0))),(1+$I230))</f>
        <v>0</v>
      </c>
      <c r="BI230" s="1126">
        <f>'ANSP Capex'!BG226*IF($I230="",(1+INDEX($I$41:$I$42,MATCH($F230,$F$41:$F$42,0))),(1+$I230))</f>
        <v>0</v>
      </c>
      <c r="BJ230" s="1126">
        <f>'ANSP Capex'!BH226*IF($I230="",(1+INDEX($I$41:$I$42,MATCH($F230,$F$41:$F$42,0))),(1+$I230))</f>
        <v>710.84112000000005</v>
      </c>
      <c r="BK230" s="1126">
        <f>'ANSP Capex'!BI226*IF($I230="",(1+INDEX($I$41:$I$42,MATCH($F230,$F$41:$F$42,0))),(1+$I230))</f>
        <v>0</v>
      </c>
      <c r="BL230" s="1126">
        <f>'ANSP Capex'!BJ226*IF($I230="",(1+INDEX($I$41:$I$42,MATCH($F230,$F$41:$F$42,0))),(1+$I230))</f>
        <v>0</v>
      </c>
    </row>
    <row r="231" spans="1:64" outlineLevel="1">
      <c r="A231" s="1094"/>
      <c r="B231" s="1094"/>
      <c r="C231" s="1083" t="str">
        <f>'ANSP Capex'!C227</f>
        <v>Met Server  DUB</v>
      </c>
      <c r="D231" s="1083" t="str">
        <f>'ANSP Capex'!D227</f>
        <v>Met Server</v>
      </c>
      <c r="E231" s="1083" t="str">
        <f>'ANSP Capex'!E227</f>
        <v>R016A</v>
      </c>
      <c r="F231" s="1083" t="str">
        <f>'ANSP Capex'!F227</f>
        <v>2021-2024</v>
      </c>
      <c r="G231" s="1101">
        <f t="shared" si="16"/>
        <v>710.84112000000005</v>
      </c>
      <c r="H231" s="1083" t="str">
        <f>'ANSP Capex'!H227</f>
        <v>€'000</v>
      </c>
      <c r="I231" s="829"/>
      <c r="J231" s="1097">
        <f>'ANSP Capex'!I227</f>
        <v>8</v>
      </c>
      <c r="K231" s="1124">
        <v>0</v>
      </c>
      <c r="L231" s="1098">
        <f t="shared" si="17"/>
        <v>96</v>
      </c>
      <c r="M231" s="153">
        <f t="shared" si="18"/>
        <v>0.125</v>
      </c>
      <c r="N231" s="1099"/>
      <c r="O231" s="1100">
        <f>'ANSP Capex'!M227</f>
        <v>0</v>
      </c>
      <c r="P231" s="1101">
        <f>IF($BH231=0,0,IF(SUM($O231:O231)&lt;($L231-12),12,$L231-SUM($O231:O231)))</f>
        <v>0</v>
      </c>
      <c r="Q231" s="1101">
        <f>IF($BH231=0,0,IF(SUM($O231:P231)&lt;($L231-12),12,$L231-SUM($O231:P231)))</f>
        <v>0</v>
      </c>
      <c r="R231" s="1101">
        <f>IF($BH231=0,0,IF(SUM($O231:Q231)&lt;($L231-12),12,$L231-SUM($O231:Q231)))</f>
        <v>0</v>
      </c>
      <c r="S231" s="1101">
        <f>IF($BH231=0,0,IF(SUM($O231:R231)&lt;($L231-12),12,$L231-SUM($O231:R231)))</f>
        <v>0</v>
      </c>
      <c r="U231" s="1100"/>
      <c r="V231" s="1100">
        <f>'ANSP Capex'!T227</f>
        <v>3</v>
      </c>
      <c r="W231" s="1101">
        <f>IF($BI231=0,0,IF(SUM($U231:V231)&lt;($L231-12),12,$L231-SUM($U231:V231)))</f>
        <v>12</v>
      </c>
      <c r="X231" s="1101">
        <f>IF($BI231=0,0,IF(SUM($U231:W231)&lt;($L231-12),12,$L231-SUM($U231:W231)))</f>
        <v>12</v>
      </c>
      <c r="Y231" s="1101">
        <f>IF($BI231=0,0,IF(SUM($U231:X231)&lt;($L231-12),12,$L231-SUM($U231:X231)))</f>
        <v>12</v>
      </c>
      <c r="AA231" s="1100"/>
      <c r="AB231" s="1100"/>
      <c r="AC231" s="1100">
        <f>'ANSP Capex'!AA227</f>
        <v>0</v>
      </c>
      <c r="AD231" s="1101">
        <f>IF($BJ231=0,0,IF(SUM($AA231:AC231)&lt;($L231-12),12,$L231-SUM($AA231:AC231)))</f>
        <v>0</v>
      </c>
      <c r="AE231" s="1101">
        <f>IF($BJ231=0,0,IF(SUM($AA231:AD231)&lt;($L231-12),12,$L231-SUM($AA231:AD231)))</f>
        <v>0</v>
      </c>
      <c r="AG231" s="1100"/>
      <c r="AH231" s="1100"/>
      <c r="AI231" s="1100"/>
      <c r="AJ231" s="1100">
        <f>'ANSP Capex'!AH227</f>
        <v>0</v>
      </c>
      <c r="AK231" s="1101">
        <f>IF($BK231=0,0,IF(SUM($AG231:AJ231)&lt;($L231-12),12,$L231-SUM($AG231:AJ231)))</f>
        <v>0</v>
      </c>
      <c r="AM231" s="1100"/>
      <c r="AN231" s="1100"/>
      <c r="AO231" s="1100"/>
      <c r="AP231" s="1100"/>
      <c r="AQ231" s="1100">
        <f>'ANSP Capex'!AO227</f>
        <v>0</v>
      </c>
      <c r="AS231" s="153">
        <f t="shared" si="19"/>
        <v>0</v>
      </c>
      <c r="AT231" s="153">
        <f t="shared" si="20"/>
        <v>0.25</v>
      </c>
      <c r="AU231" s="153">
        <f t="shared" si="21"/>
        <v>0</v>
      </c>
      <c r="AV231" s="153">
        <f t="shared" si="22"/>
        <v>0</v>
      </c>
      <c r="AW231" s="153">
        <f t="shared" si="23"/>
        <v>0</v>
      </c>
      <c r="AX231" s="153"/>
      <c r="AY231" s="1543">
        <f>'ANSP Capex'!AW227</f>
        <v>0.75</v>
      </c>
      <c r="AZ231" s="1102"/>
      <c r="BA231" s="1543">
        <f>'ANSP Capex'!AY227</f>
        <v>0.25</v>
      </c>
      <c r="BC231" s="1126"/>
      <c r="BD231" s="1126"/>
      <c r="BE231" s="1126"/>
      <c r="BF231" s="1126"/>
      <c r="BG231" s="1126"/>
      <c r="BH231" s="1126">
        <f>'ANSP Capex'!BF227*IF($I231="",(1+INDEX($I$41:$I$42,MATCH($F231,$F$41:$F$42,0))),(1+$I231))</f>
        <v>0</v>
      </c>
      <c r="BI231" s="1126">
        <f>'ANSP Capex'!BG227*IF($I231="",(1+INDEX($I$41:$I$42,MATCH($F231,$F$41:$F$42,0))),(1+$I231))</f>
        <v>710.84112000000005</v>
      </c>
      <c r="BJ231" s="1126">
        <f>'ANSP Capex'!BH227*IF($I231="",(1+INDEX($I$41:$I$42,MATCH($F231,$F$41:$F$42,0))),(1+$I231))</f>
        <v>0</v>
      </c>
      <c r="BK231" s="1126">
        <f>'ANSP Capex'!BI227*IF($I231="",(1+INDEX($I$41:$I$42,MATCH($F231,$F$41:$F$42,0))),(1+$I231))</f>
        <v>0</v>
      </c>
      <c r="BL231" s="1126">
        <f>'ANSP Capex'!BJ227*IF($I231="",(1+INDEX($I$41:$I$42,MATCH($F231,$F$41:$F$42,0))),(1+$I231))</f>
        <v>0</v>
      </c>
    </row>
    <row r="232" spans="1:64" outlineLevel="1">
      <c r="A232" s="1094"/>
      <c r="B232" s="1094"/>
      <c r="C232" s="1083" t="str">
        <f>'ANSP Capex'!C228</f>
        <v>Fire Safey Upgrade Works</v>
      </c>
      <c r="D232" s="1083" t="str">
        <f>'ANSP Capex'!D228</f>
        <v>Fire Safey Upgrade Works</v>
      </c>
      <c r="E232" s="1083" t="str">
        <f>'ANSP Capex'!E228</f>
        <v>T008</v>
      </c>
      <c r="F232" s="1083" t="str">
        <f>'ANSP Capex'!F228</f>
        <v>2021-2024</v>
      </c>
      <c r="G232" s="1101">
        <f t="shared" si="16"/>
        <v>0</v>
      </c>
      <c r="H232" s="1083" t="str">
        <f>'ANSP Capex'!H228</f>
        <v>€'000</v>
      </c>
      <c r="I232" s="829"/>
      <c r="J232" s="1097">
        <f>'ANSP Capex'!I228</f>
        <v>0</v>
      </c>
      <c r="K232" s="1124">
        <v>0</v>
      </c>
      <c r="L232" s="1098">
        <f t="shared" si="17"/>
        <v>0</v>
      </c>
      <c r="M232" s="153">
        <f t="shared" si="18"/>
        <v>0</v>
      </c>
      <c r="N232" s="1099"/>
      <c r="O232" s="1100">
        <f>'ANSP Capex'!M228</f>
        <v>0</v>
      </c>
      <c r="P232" s="1101">
        <f>IF($BH232=0,0,IF(SUM($O232:O232)&lt;($L232-12),12,$L232-SUM($O232:O232)))</f>
        <v>0</v>
      </c>
      <c r="Q232" s="1101">
        <f>IF($BH232=0,0,IF(SUM($O232:P232)&lt;($L232-12),12,$L232-SUM($O232:P232)))</f>
        <v>0</v>
      </c>
      <c r="R232" s="1101">
        <f>IF($BH232=0,0,IF(SUM($O232:Q232)&lt;($L232-12),12,$L232-SUM($O232:Q232)))</f>
        <v>0</v>
      </c>
      <c r="S232" s="1101">
        <f>IF($BH232=0,0,IF(SUM($O232:R232)&lt;($L232-12),12,$L232-SUM($O232:R232)))</f>
        <v>0</v>
      </c>
      <c r="U232" s="1100"/>
      <c r="V232" s="1100">
        <f>'ANSP Capex'!T228</f>
        <v>0</v>
      </c>
      <c r="W232" s="1101">
        <f>IF($BI232=0,0,IF(SUM($U232:V232)&lt;($L232-12),12,$L232-SUM($U232:V232)))</f>
        <v>0</v>
      </c>
      <c r="X232" s="1101">
        <f>IF($BI232=0,0,IF(SUM($U232:W232)&lt;($L232-12),12,$L232-SUM($U232:W232)))</f>
        <v>0</v>
      </c>
      <c r="Y232" s="1101">
        <f>IF($BI232=0,0,IF(SUM($U232:X232)&lt;($L232-12),12,$L232-SUM($U232:X232)))</f>
        <v>0</v>
      </c>
      <c r="AA232" s="1100"/>
      <c r="AB232" s="1100"/>
      <c r="AC232" s="1100">
        <f>'ANSP Capex'!AA228</f>
        <v>0</v>
      </c>
      <c r="AD232" s="1101">
        <f>IF($BJ232=0,0,IF(SUM($AA232:AC232)&lt;($L232-12),12,$L232-SUM($AA232:AC232)))</f>
        <v>0</v>
      </c>
      <c r="AE232" s="1101">
        <f>IF($BJ232=0,0,IF(SUM($AA232:AD232)&lt;($L232-12),12,$L232-SUM($AA232:AD232)))</f>
        <v>0</v>
      </c>
      <c r="AG232" s="1100"/>
      <c r="AH232" s="1100"/>
      <c r="AI232" s="1100"/>
      <c r="AJ232" s="1100">
        <f>'ANSP Capex'!AH228</f>
        <v>0</v>
      </c>
      <c r="AK232" s="1101">
        <f>IF($BK232=0,0,IF(SUM($AG232:AJ232)&lt;($L232-12),12,$L232-SUM($AG232:AJ232)))</f>
        <v>0</v>
      </c>
      <c r="AM232" s="1100"/>
      <c r="AN232" s="1100"/>
      <c r="AO232" s="1100"/>
      <c r="AP232" s="1100"/>
      <c r="AQ232" s="1100">
        <f>'ANSP Capex'!AO228</f>
        <v>0</v>
      </c>
      <c r="AS232" s="153">
        <f t="shared" si="19"/>
        <v>0</v>
      </c>
      <c r="AT232" s="153">
        <f t="shared" si="20"/>
        <v>0</v>
      </c>
      <c r="AU232" s="153">
        <f t="shared" si="21"/>
        <v>0</v>
      </c>
      <c r="AV232" s="153">
        <f t="shared" si="22"/>
        <v>0</v>
      </c>
      <c r="AW232" s="153">
        <f t="shared" si="23"/>
        <v>0</v>
      </c>
      <c r="AX232" s="153"/>
      <c r="AY232" s="1543">
        <f>'ANSP Capex'!AW228</f>
        <v>0</v>
      </c>
      <c r="AZ232" s="1102"/>
      <c r="BA232" s="1543">
        <f>'ANSP Capex'!AY228</f>
        <v>0</v>
      </c>
      <c r="BC232" s="1126"/>
      <c r="BD232" s="1126"/>
      <c r="BE232" s="1126"/>
      <c r="BF232" s="1126"/>
      <c r="BG232" s="1126"/>
      <c r="BH232" s="1126">
        <f>'ANSP Capex'!BF228*IF($I232="",(1+INDEX($I$41:$I$42,MATCH($F232,$F$41:$F$42,0))),(1+$I232))</f>
        <v>0</v>
      </c>
      <c r="BI232" s="1126">
        <f>'ANSP Capex'!BG228*IF($I232="",(1+INDEX($I$41:$I$42,MATCH($F232,$F$41:$F$42,0))),(1+$I232))</f>
        <v>0</v>
      </c>
      <c r="BJ232" s="1126">
        <f>'ANSP Capex'!BH228*IF($I232="",(1+INDEX($I$41:$I$42,MATCH($F232,$F$41:$F$42,0))),(1+$I232))</f>
        <v>0</v>
      </c>
      <c r="BK232" s="1126">
        <f>'ANSP Capex'!BI228*IF($I232="",(1+INDEX($I$41:$I$42,MATCH($F232,$F$41:$F$42,0))),(1+$I232))</f>
        <v>0</v>
      </c>
      <c r="BL232" s="1126">
        <f>'ANSP Capex'!BJ228*IF($I232="",(1+INDEX($I$41:$I$42,MATCH($F232,$F$41:$F$42,0))),(1+$I232))</f>
        <v>0</v>
      </c>
    </row>
    <row r="233" spans="1:64" outlineLevel="1">
      <c r="A233" s="1094"/>
      <c r="B233" s="1094"/>
      <c r="C233" s="1083" t="str">
        <f>'ANSP Capex'!C229</f>
        <v>Fire Safey Upgrade Works Dublin</v>
      </c>
      <c r="D233" s="1083" t="str">
        <f>'ANSP Capex'!D229</f>
        <v>Fire Safey Upgrade Works</v>
      </c>
      <c r="E233" s="1083" t="str">
        <f>'ANSP Capex'!E229</f>
        <v>T008A</v>
      </c>
      <c r="F233" s="1083" t="str">
        <f>'ANSP Capex'!F229</f>
        <v>2021-2024</v>
      </c>
      <c r="G233" s="1101">
        <f t="shared" si="16"/>
        <v>900.07558159771611</v>
      </c>
      <c r="H233" s="1083" t="str">
        <f>'ANSP Capex'!H229</f>
        <v>€'000</v>
      </c>
      <c r="I233" s="829"/>
      <c r="J233" s="1097">
        <f>'ANSP Capex'!I229</f>
        <v>5</v>
      </c>
      <c r="K233" s="1124">
        <v>0</v>
      </c>
      <c r="L233" s="1098">
        <f t="shared" si="17"/>
        <v>60</v>
      </c>
      <c r="M233" s="153">
        <f t="shared" si="18"/>
        <v>0.2</v>
      </c>
      <c r="N233" s="1099"/>
      <c r="O233" s="1100">
        <f>'ANSP Capex'!M229</f>
        <v>0</v>
      </c>
      <c r="P233" s="1101">
        <f>IF($BH233=0,0,IF(SUM($O233:O233)&lt;($L233-12),12,$L233-SUM($O233:O233)))</f>
        <v>0</v>
      </c>
      <c r="Q233" s="1101">
        <f>IF($BH233=0,0,IF(SUM($O233:P233)&lt;($L233-12),12,$L233-SUM($O233:P233)))</f>
        <v>0</v>
      </c>
      <c r="R233" s="1101">
        <f>IF($BH233=0,0,IF(SUM($O233:Q233)&lt;($L233-12),12,$L233-SUM($O233:Q233)))</f>
        <v>0</v>
      </c>
      <c r="S233" s="1101">
        <f>IF($BH233=0,0,IF(SUM($O233:R233)&lt;($L233-12),12,$L233-SUM($O233:R233)))</f>
        <v>0</v>
      </c>
      <c r="U233" s="1100"/>
      <c r="V233" s="1100">
        <f>'ANSP Capex'!T229</f>
        <v>4.5380831047971855</v>
      </c>
      <c r="W233" s="1101">
        <f>IF($BI233=0,0,IF(SUM($U233:V233)&lt;($L233-12),12,$L233-SUM($U233:V233)))</f>
        <v>12</v>
      </c>
      <c r="X233" s="1101">
        <f>IF($BI233=0,0,IF(SUM($U233:W233)&lt;($L233-12),12,$L233-SUM($U233:W233)))</f>
        <v>12</v>
      </c>
      <c r="Y233" s="1101">
        <f>IF($BI233=0,0,IF(SUM($U233:X233)&lt;($L233-12),12,$L233-SUM($U233:X233)))</f>
        <v>12</v>
      </c>
      <c r="AA233" s="1100"/>
      <c r="AB233" s="1100"/>
      <c r="AC233" s="1100">
        <f>'ANSP Capex'!AA229</f>
        <v>10.864979445015416</v>
      </c>
      <c r="AD233" s="1101">
        <f>IF($BJ233=0,0,IF(SUM($AA233:AC233)&lt;($L233-12),12,$L233-SUM($AA233:AC233)))</f>
        <v>12</v>
      </c>
      <c r="AE233" s="1101">
        <f>IF($BJ233=0,0,IF(SUM($AA233:AD233)&lt;($L233-12),12,$L233-SUM($AA233:AD233)))</f>
        <v>12</v>
      </c>
      <c r="AG233" s="1100"/>
      <c r="AH233" s="1100"/>
      <c r="AI233" s="1100"/>
      <c r="AJ233" s="1100">
        <f>'ANSP Capex'!AH229</f>
        <v>0</v>
      </c>
      <c r="AK233" s="1101">
        <f>IF($BK233=0,0,IF(SUM($AG233:AJ233)&lt;($L233-12),12,$L233-SUM($AG233:AJ233)))</f>
        <v>0</v>
      </c>
      <c r="AM233" s="1100"/>
      <c r="AN233" s="1100"/>
      <c r="AO233" s="1100"/>
      <c r="AP233" s="1100"/>
      <c r="AQ233" s="1100">
        <f>'ANSP Capex'!AO229</f>
        <v>0</v>
      </c>
      <c r="AS233" s="153">
        <f t="shared" si="19"/>
        <v>0</v>
      </c>
      <c r="AT233" s="153">
        <f t="shared" si="20"/>
        <v>0.37817359206643214</v>
      </c>
      <c r="AU233" s="153">
        <f t="shared" si="21"/>
        <v>0.90541495375128467</v>
      </c>
      <c r="AV233" s="153">
        <f t="shared" si="22"/>
        <v>0</v>
      </c>
      <c r="AW233" s="153">
        <f t="shared" si="23"/>
        <v>0</v>
      </c>
      <c r="AX233" s="153"/>
      <c r="AY233" s="1543">
        <f>'ANSP Capex'!AW229</f>
        <v>0.75</v>
      </c>
      <c r="AZ233" s="1102"/>
      <c r="BA233" s="1543">
        <f>'ANSP Capex'!AY229</f>
        <v>0.25</v>
      </c>
      <c r="BC233" s="1126"/>
      <c r="BD233" s="1126"/>
      <c r="BE233" s="1126"/>
      <c r="BF233" s="1126"/>
      <c r="BG233" s="1126"/>
      <c r="BH233" s="1126">
        <f>'ANSP Capex'!BF229*IF($I233="",(1+INDEX($I$41:$I$42,MATCH($F233,$F$41:$F$42,0))),(1+$I233))</f>
        <v>0</v>
      </c>
      <c r="BI233" s="1126">
        <f>'ANSP Capex'!BG229*IF($I233="",(1+INDEX($I$41:$I$42,MATCH($F233,$F$41:$F$42,0))),(1+$I233))</f>
        <v>588.7155815977161</v>
      </c>
      <c r="BJ233" s="1126">
        <f>'ANSP Capex'!BH229*IF($I233="",(1+INDEX($I$41:$I$42,MATCH($F233,$F$41:$F$42,0))),(1+$I233))</f>
        <v>311.36</v>
      </c>
      <c r="BK233" s="1126">
        <f>'ANSP Capex'!BI229*IF($I233="",(1+INDEX($I$41:$I$42,MATCH($F233,$F$41:$F$42,0))),(1+$I233))</f>
        <v>0</v>
      </c>
      <c r="BL233" s="1126">
        <f>'ANSP Capex'!BJ229*IF($I233="",(1+INDEX($I$41:$I$42,MATCH($F233,$F$41:$F$42,0))),(1+$I233))</f>
        <v>0</v>
      </c>
    </row>
    <row r="234" spans="1:64" outlineLevel="1">
      <c r="A234" s="1094"/>
      <c r="B234" s="1094"/>
      <c r="C234" s="1083" t="str">
        <f>'ANSP Capex'!C230</f>
        <v>Fire Safey Upgrade Works Shannon</v>
      </c>
      <c r="D234" s="1083" t="str">
        <f>'ANSP Capex'!D230</f>
        <v>Fire Safey Upgrade Works</v>
      </c>
      <c r="E234" s="1083" t="str">
        <f>'ANSP Capex'!E230</f>
        <v>T008A</v>
      </c>
      <c r="F234" s="1083" t="str">
        <f>'ANSP Capex'!F230</f>
        <v>2021-2024</v>
      </c>
      <c r="G234" s="1101">
        <f t="shared" si="16"/>
        <v>248.99610050016884</v>
      </c>
      <c r="H234" s="1083" t="str">
        <f>'ANSP Capex'!H230</f>
        <v>€'000</v>
      </c>
      <c r="I234" s="829"/>
      <c r="J234" s="1097">
        <f>'ANSP Capex'!I230</f>
        <v>5</v>
      </c>
      <c r="K234" s="1124">
        <v>0</v>
      </c>
      <c r="L234" s="1098">
        <f t="shared" si="17"/>
        <v>60</v>
      </c>
      <c r="M234" s="153">
        <f t="shared" si="18"/>
        <v>0.2</v>
      </c>
      <c r="N234" s="1099"/>
      <c r="O234" s="1100">
        <f>'ANSP Capex'!M230</f>
        <v>0</v>
      </c>
      <c r="P234" s="1101">
        <f>IF($BH234=0,0,IF(SUM($O234:O234)&lt;($L234-12),12,$L234-SUM($O234:O234)))</f>
        <v>0</v>
      </c>
      <c r="Q234" s="1101">
        <f>IF($BH234=0,0,IF(SUM($O234:P234)&lt;($L234-12),12,$L234-SUM($O234:P234)))</f>
        <v>0</v>
      </c>
      <c r="R234" s="1101">
        <f>IF($BH234=0,0,IF(SUM($O234:Q234)&lt;($L234-12),12,$L234-SUM($O234:Q234)))</f>
        <v>0</v>
      </c>
      <c r="S234" s="1101">
        <f>IF($BH234=0,0,IF(SUM($O234:R234)&lt;($L234-12),12,$L234-SUM($O234:R234)))</f>
        <v>0</v>
      </c>
      <c r="U234" s="1100"/>
      <c r="V234" s="1100">
        <f>'ANSP Capex'!T230</f>
        <v>9</v>
      </c>
      <c r="W234" s="1101">
        <f>IF($BI234=0,0,IF(SUM($U234:V234)&lt;($L234-12),12,$L234-SUM($U234:V234)))</f>
        <v>12</v>
      </c>
      <c r="X234" s="1101">
        <f>IF($BI234=0,0,IF(SUM($U234:W234)&lt;($L234-12),12,$L234-SUM($U234:W234)))</f>
        <v>12</v>
      </c>
      <c r="Y234" s="1101">
        <f>IF($BI234=0,0,IF(SUM($U234:X234)&lt;($L234-12),12,$L234-SUM($U234:X234)))</f>
        <v>12</v>
      </c>
      <c r="AA234" s="1100"/>
      <c r="AB234" s="1100"/>
      <c r="AC234" s="1100">
        <f>'ANSP Capex'!AA230</f>
        <v>0</v>
      </c>
      <c r="AD234" s="1101">
        <f>IF($BJ234=0,0,IF(SUM($AA234:AC234)&lt;($L234-12),12,$L234-SUM($AA234:AC234)))</f>
        <v>0</v>
      </c>
      <c r="AE234" s="1101">
        <f>IF($BJ234=0,0,IF(SUM($AA234:AD234)&lt;($L234-12),12,$L234-SUM($AA234:AD234)))</f>
        <v>0</v>
      </c>
      <c r="AG234" s="1100"/>
      <c r="AH234" s="1100"/>
      <c r="AI234" s="1100"/>
      <c r="AJ234" s="1100">
        <f>'ANSP Capex'!AH230</f>
        <v>0</v>
      </c>
      <c r="AK234" s="1101">
        <f>IF($BK234=0,0,IF(SUM($AG234:AJ234)&lt;($L234-12),12,$L234-SUM($AG234:AJ234)))</f>
        <v>0</v>
      </c>
      <c r="AM234" s="1100"/>
      <c r="AN234" s="1100"/>
      <c r="AO234" s="1100"/>
      <c r="AP234" s="1100"/>
      <c r="AQ234" s="1100">
        <f>'ANSP Capex'!AO230</f>
        <v>0</v>
      </c>
      <c r="AS234" s="153">
        <f t="shared" si="19"/>
        <v>0</v>
      </c>
      <c r="AT234" s="153">
        <f t="shared" si="20"/>
        <v>0.75</v>
      </c>
      <c r="AU234" s="153">
        <f t="shared" si="21"/>
        <v>0</v>
      </c>
      <c r="AV234" s="153">
        <f t="shared" si="22"/>
        <v>0</v>
      </c>
      <c r="AW234" s="153">
        <f t="shared" si="23"/>
        <v>0</v>
      </c>
      <c r="AX234" s="153"/>
      <c r="AY234" s="1543">
        <f>'ANSP Capex'!AW230</f>
        <v>0.75</v>
      </c>
      <c r="AZ234" s="1102"/>
      <c r="BA234" s="1543">
        <f>'ANSP Capex'!AY230</f>
        <v>0.25</v>
      </c>
      <c r="BC234" s="1126"/>
      <c r="BD234" s="1126"/>
      <c r="BE234" s="1126"/>
      <c r="BF234" s="1126"/>
      <c r="BG234" s="1126"/>
      <c r="BH234" s="1126">
        <f>'ANSP Capex'!BF230*IF($I234="",(1+INDEX($I$41:$I$42,MATCH($F234,$F$41:$F$42,0))),(1+$I234))</f>
        <v>0</v>
      </c>
      <c r="BI234" s="1126">
        <f>'ANSP Capex'!BG230*IF($I234="",(1+INDEX($I$41:$I$42,MATCH($F234,$F$41:$F$42,0))),(1+$I234))</f>
        <v>248.99610050016884</v>
      </c>
      <c r="BJ234" s="1126">
        <f>'ANSP Capex'!BH230*IF($I234="",(1+INDEX($I$41:$I$42,MATCH($F234,$F$41:$F$42,0))),(1+$I234))</f>
        <v>0</v>
      </c>
      <c r="BK234" s="1126">
        <f>'ANSP Capex'!BI230*IF($I234="",(1+INDEX($I$41:$I$42,MATCH($F234,$F$41:$F$42,0))),(1+$I234))</f>
        <v>0</v>
      </c>
      <c r="BL234" s="1126">
        <f>'ANSP Capex'!BJ230*IF($I234="",(1+INDEX($I$41:$I$42,MATCH($F234,$F$41:$F$42,0))),(1+$I234))</f>
        <v>0</v>
      </c>
    </row>
    <row r="235" spans="1:64" outlineLevel="1">
      <c r="A235" s="1094"/>
      <c r="B235" s="1094"/>
      <c r="C235" s="1083" t="str">
        <f>'ANSP Capex'!C231</f>
        <v>Fire Safey Upgrade Works Cork</v>
      </c>
      <c r="D235" s="1083" t="str">
        <f>'ANSP Capex'!D231</f>
        <v>Fire Safey Upgrade Works</v>
      </c>
      <c r="E235" s="1083" t="str">
        <f>'ANSP Capex'!E231</f>
        <v>T008A</v>
      </c>
      <c r="F235" s="1083" t="str">
        <f>'ANSP Capex'!F231</f>
        <v>2021-2024</v>
      </c>
      <c r="G235" s="1101">
        <f t="shared" si="16"/>
        <v>99.630065377705932</v>
      </c>
      <c r="H235" s="1083" t="str">
        <f>'ANSP Capex'!H231</f>
        <v>€'000</v>
      </c>
      <c r="I235" s="829"/>
      <c r="J235" s="1097">
        <f>'ANSP Capex'!I231</f>
        <v>5</v>
      </c>
      <c r="K235" s="1124">
        <v>0</v>
      </c>
      <c r="L235" s="1098">
        <f t="shared" si="17"/>
        <v>60</v>
      </c>
      <c r="M235" s="153">
        <f t="shared" si="18"/>
        <v>0.2</v>
      </c>
      <c r="N235" s="1099"/>
      <c r="O235" s="1100">
        <f>'ANSP Capex'!M231</f>
        <v>0</v>
      </c>
      <c r="P235" s="1101">
        <f>IF($BH235=0,0,IF(SUM($O235:O235)&lt;($L235-12),12,$L235-SUM($O235:O235)))</f>
        <v>0</v>
      </c>
      <c r="Q235" s="1101">
        <f>IF($BH235=0,0,IF(SUM($O235:P235)&lt;($L235-12),12,$L235-SUM($O235:P235)))</f>
        <v>0</v>
      </c>
      <c r="R235" s="1101">
        <f>IF($BH235=0,0,IF(SUM($O235:Q235)&lt;($L235-12),12,$L235-SUM($O235:Q235)))</f>
        <v>0</v>
      </c>
      <c r="S235" s="1101">
        <f>IF($BH235=0,0,IF(SUM($O235:R235)&lt;($L235-12),12,$L235-SUM($O235:R235)))</f>
        <v>0</v>
      </c>
      <c r="U235" s="1100"/>
      <c r="V235" s="1100">
        <f>'ANSP Capex'!T231</f>
        <v>3</v>
      </c>
      <c r="W235" s="1101">
        <f>IF($BI235=0,0,IF(SUM($U235:V235)&lt;($L235-12),12,$L235-SUM($U235:V235)))</f>
        <v>12</v>
      </c>
      <c r="X235" s="1101">
        <f>IF($BI235=0,0,IF(SUM($U235:W235)&lt;($L235-12),12,$L235-SUM($U235:W235)))</f>
        <v>12</v>
      </c>
      <c r="Y235" s="1101">
        <f>IF($BI235=0,0,IF(SUM($U235:X235)&lt;($L235-12),12,$L235-SUM($U235:X235)))</f>
        <v>12</v>
      </c>
      <c r="AA235" s="1100"/>
      <c r="AB235" s="1100"/>
      <c r="AC235" s="1100">
        <f>'ANSP Capex'!AA231</f>
        <v>12</v>
      </c>
      <c r="AD235" s="1101">
        <f>IF($BJ235=0,0,IF(SUM($AA235:AC235)&lt;($L235-12),12,$L235-SUM($AA235:AC235)))</f>
        <v>12</v>
      </c>
      <c r="AE235" s="1101">
        <f>IF($BJ235=0,0,IF(SUM($AA235:AD235)&lt;($L235-12),12,$L235-SUM($AA235:AD235)))</f>
        <v>12</v>
      </c>
      <c r="AG235" s="1100"/>
      <c r="AH235" s="1100"/>
      <c r="AI235" s="1100"/>
      <c r="AJ235" s="1100">
        <f>'ANSP Capex'!AH231</f>
        <v>0</v>
      </c>
      <c r="AK235" s="1101">
        <f>IF($BK235=0,0,IF(SUM($AG235:AJ235)&lt;($L235-12),12,$L235-SUM($AG235:AJ235)))</f>
        <v>0</v>
      </c>
      <c r="AM235" s="1100"/>
      <c r="AN235" s="1100"/>
      <c r="AO235" s="1100"/>
      <c r="AP235" s="1100"/>
      <c r="AQ235" s="1100">
        <f>'ANSP Capex'!AO231</f>
        <v>0</v>
      </c>
      <c r="AS235" s="153">
        <f t="shared" si="19"/>
        <v>0</v>
      </c>
      <c r="AT235" s="153">
        <f t="shared" si="20"/>
        <v>0.25</v>
      </c>
      <c r="AU235" s="153">
        <f t="shared" si="21"/>
        <v>1</v>
      </c>
      <c r="AV235" s="153">
        <f t="shared" si="22"/>
        <v>0</v>
      </c>
      <c r="AW235" s="153">
        <f t="shared" si="23"/>
        <v>0</v>
      </c>
      <c r="AX235" s="153"/>
      <c r="AY235" s="1543">
        <f>'ANSP Capex'!AW231</f>
        <v>0.5</v>
      </c>
      <c r="AZ235" s="1102"/>
      <c r="BA235" s="1543">
        <f>'ANSP Capex'!AY231</f>
        <v>0.5</v>
      </c>
      <c r="BC235" s="1126"/>
      <c r="BD235" s="1126"/>
      <c r="BE235" s="1126"/>
      <c r="BF235" s="1126"/>
      <c r="BG235" s="1126"/>
      <c r="BH235" s="1126">
        <f>'ANSP Capex'!BF231*IF($I235="",(1+INDEX($I$41:$I$42,MATCH($F235,$F$41:$F$42,0))),(1+$I235))</f>
        <v>0</v>
      </c>
      <c r="BI235" s="1126">
        <f>'ANSP Capex'!BG231*IF($I235="",(1+INDEX($I$41:$I$42,MATCH($F235,$F$41:$F$42,0))),(1+$I235))</f>
        <v>81.230065377705927</v>
      </c>
      <c r="BJ235" s="1126">
        <f>'ANSP Capex'!BH231*IF($I235="",(1+INDEX($I$41:$I$42,MATCH($F235,$F$41:$F$42,0))),(1+$I235))</f>
        <v>18.400000000000002</v>
      </c>
      <c r="BK235" s="1126">
        <f>'ANSP Capex'!BI231*IF($I235="",(1+INDEX($I$41:$I$42,MATCH($F235,$F$41:$F$42,0))),(1+$I235))</f>
        <v>0</v>
      </c>
      <c r="BL235" s="1126">
        <f>'ANSP Capex'!BJ231*IF($I235="",(1+INDEX($I$41:$I$42,MATCH($F235,$F$41:$F$42,0))),(1+$I235))</f>
        <v>0</v>
      </c>
    </row>
    <row r="236" spans="1:64" outlineLevel="1">
      <c r="A236" s="1094"/>
      <c r="B236" s="1094"/>
      <c r="C236" s="1083" t="str">
        <f>'ANSP Capex'!C232</f>
        <v>IT Other Projects</v>
      </c>
      <c r="D236" s="1083" t="str">
        <f>'ANSP Capex'!D232</f>
        <v>IT Other Projects</v>
      </c>
      <c r="E236" s="1083" t="str">
        <f>'ANSP Capex'!E232</f>
        <v>RP3-ICTS-1</v>
      </c>
      <c r="F236" s="1083" t="str">
        <f>'ANSP Capex'!F232</f>
        <v>2021-2024</v>
      </c>
      <c r="G236" s="1101">
        <f t="shared" si="16"/>
        <v>1240</v>
      </c>
      <c r="H236" s="1083" t="str">
        <f>'ANSP Capex'!H232</f>
        <v>€'000</v>
      </c>
      <c r="I236" s="829"/>
      <c r="J236" s="1097">
        <f>'ANSP Capex'!I232</f>
        <v>8</v>
      </c>
      <c r="K236" s="1124">
        <v>0</v>
      </c>
      <c r="L236" s="1098">
        <f t="shared" si="17"/>
        <v>96</v>
      </c>
      <c r="M236" s="153">
        <f t="shared" si="18"/>
        <v>0.125</v>
      </c>
      <c r="N236" s="1099"/>
      <c r="O236" s="1100">
        <f>'ANSP Capex'!M232</f>
        <v>0</v>
      </c>
      <c r="P236" s="1101">
        <f>IF($BH236=0,0,IF(SUM($O236:O236)&lt;($L236-12),12,$L236-SUM($O236:O236)))</f>
        <v>0</v>
      </c>
      <c r="Q236" s="1101">
        <f>IF($BH236=0,0,IF(SUM($O236:P236)&lt;($L236-12),12,$L236-SUM($O236:P236)))</f>
        <v>0</v>
      </c>
      <c r="R236" s="1101">
        <f>IF($BH236=0,0,IF(SUM($O236:Q236)&lt;($L236-12),12,$L236-SUM($O236:Q236)))</f>
        <v>0</v>
      </c>
      <c r="S236" s="1101">
        <f>IF($BH236=0,0,IF(SUM($O236:R236)&lt;($L236-12),12,$L236-SUM($O236:R236)))</f>
        <v>0</v>
      </c>
      <c r="U236" s="1100"/>
      <c r="V236" s="1100">
        <f>'ANSP Capex'!T232</f>
        <v>0</v>
      </c>
      <c r="W236" s="1101">
        <f>IF($BI236=0,0,IF(SUM($U236:V236)&lt;($L236-12),12,$L236-SUM($U236:V236)))</f>
        <v>0</v>
      </c>
      <c r="X236" s="1101">
        <f>IF($BI236=0,0,IF(SUM($U236:W236)&lt;($L236-12),12,$L236-SUM($U236:W236)))</f>
        <v>0</v>
      </c>
      <c r="Y236" s="1101">
        <f>IF($BI236=0,0,IF(SUM($U236:X236)&lt;($L236-12),12,$L236-SUM($U236:X236)))</f>
        <v>0</v>
      </c>
      <c r="AA236" s="1100"/>
      <c r="AB236" s="1100"/>
      <c r="AC236" s="1100">
        <f>'ANSP Capex'!AA232</f>
        <v>4.5</v>
      </c>
      <c r="AD236" s="1101">
        <f>IF($BJ236=0,0,IF(SUM($AA236:AC236)&lt;($L236-12),12,$L236-SUM($AA236:AC236)))</f>
        <v>12</v>
      </c>
      <c r="AE236" s="1101">
        <f>IF($BJ236=0,0,IF(SUM($AA236:AD236)&lt;($L236-12),12,$L236-SUM($AA236:AD236)))</f>
        <v>12</v>
      </c>
      <c r="AG236" s="1100"/>
      <c r="AH236" s="1100"/>
      <c r="AI236" s="1100"/>
      <c r="AJ236" s="1100">
        <f>'ANSP Capex'!AH232</f>
        <v>7.5</v>
      </c>
      <c r="AK236" s="1101">
        <f>IF($BK236=0,0,IF(SUM($AG236:AJ236)&lt;($L236-12),12,$L236-SUM($AG236:AJ236)))</f>
        <v>12</v>
      </c>
      <c r="AM236" s="1100"/>
      <c r="AN236" s="1100"/>
      <c r="AO236" s="1100"/>
      <c r="AP236" s="1100"/>
      <c r="AQ236" s="1100">
        <f>'ANSP Capex'!AO232</f>
        <v>7.5</v>
      </c>
      <c r="AS236" s="153">
        <f t="shared" si="19"/>
        <v>0</v>
      </c>
      <c r="AT236" s="153">
        <f t="shared" si="20"/>
        <v>0</v>
      </c>
      <c r="AU236" s="153">
        <f t="shared" si="21"/>
        <v>0.375</v>
      </c>
      <c r="AV236" s="153">
        <f t="shared" si="22"/>
        <v>0.625</v>
      </c>
      <c r="AW236" s="153">
        <f t="shared" si="23"/>
        <v>0.625</v>
      </c>
      <c r="AX236" s="153"/>
      <c r="AY236" s="1543">
        <f>'ANSP Capex'!AW232</f>
        <v>0.73</v>
      </c>
      <c r="AZ236" s="1102"/>
      <c r="BA236" s="1543">
        <f>'ANSP Capex'!AY232</f>
        <v>0.15</v>
      </c>
      <c r="BC236" s="1126"/>
      <c r="BD236" s="1126"/>
      <c r="BE236" s="1126"/>
      <c r="BF236" s="1126"/>
      <c r="BG236" s="1126"/>
      <c r="BH236" s="1126">
        <f>'ANSP Capex'!BF232*IF($I236="",(1+INDEX($I$41:$I$42,MATCH($F236,$F$41:$F$42,0))),(1+$I236))</f>
        <v>0</v>
      </c>
      <c r="BI236" s="1126">
        <f>'ANSP Capex'!BG232*IF($I236="",(1+INDEX($I$41:$I$42,MATCH($F236,$F$41:$F$42,0))),(1+$I236))</f>
        <v>0</v>
      </c>
      <c r="BJ236" s="1126">
        <f>'ANSP Capex'!BH232*IF($I236="",(1+INDEX($I$41:$I$42,MATCH($F236,$F$41:$F$42,0))),(1+$I236))</f>
        <v>200</v>
      </c>
      <c r="BK236" s="1126">
        <f>'ANSP Capex'!BI232*IF($I236="",(1+INDEX($I$41:$I$42,MATCH($F236,$F$41:$F$42,0))),(1+$I236))</f>
        <v>560</v>
      </c>
      <c r="BL236" s="1126">
        <f>'ANSP Capex'!BJ232*IF($I236="",(1+INDEX($I$41:$I$42,MATCH($F236,$F$41:$F$42,0))),(1+$I236))</f>
        <v>480</v>
      </c>
    </row>
    <row r="237" spans="1:64" outlineLevel="1">
      <c r="A237" s="1094"/>
      <c r="B237" s="1094"/>
      <c r="C237" s="1083" t="str">
        <f>'ANSP Capex'!C233</f>
        <v>Barco Screen Replacement - BCY</v>
      </c>
      <c r="D237" s="1083" t="str">
        <f>'ANSP Capex'!D233</f>
        <v>Barco Screen Replacement</v>
      </c>
      <c r="E237" s="1083" t="str">
        <f>'ANSP Capex'!E233</f>
        <v>RP3-SURV-4</v>
      </c>
      <c r="F237" s="1083" t="str">
        <f>'ANSP Capex'!F233</f>
        <v>2021-2024</v>
      </c>
      <c r="G237" s="1101">
        <f t="shared" si="16"/>
        <v>780</v>
      </c>
      <c r="H237" s="1083" t="str">
        <f>'ANSP Capex'!H233</f>
        <v>€'000</v>
      </c>
      <c r="I237" s="829"/>
      <c r="J237" s="1097">
        <f>'ANSP Capex'!I233</f>
        <v>8</v>
      </c>
      <c r="K237" s="1124">
        <v>0</v>
      </c>
      <c r="L237" s="1098">
        <f t="shared" si="17"/>
        <v>96</v>
      </c>
      <c r="M237" s="153">
        <f t="shared" si="18"/>
        <v>0.125</v>
      </c>
      <c r="N237" s="1099"/>
      <c r="O237" s="1100">
        <f>'ANSP Capex'!M233</f>
        <v>0</v>
      </c>
      <c r="P237" s="1101">
        <f>IF($BH237=0,0,IF(SUM($O237:O237)&lt;($L237-12),12,$L237-SUM($O237:O237)))</f>
        <v>0</v>
      </c>
      <c r="Q237" s="1101">
        <f>IF($BH237=0,0,IF(SUM($O237:P237)&lt;($L237-12),12,$L237-SUM($O237:P237)))</f>
        <v>0</v>
      </c>
      <c r="R237" s="1101">
        <f>IF($BH237=0,0,IF(SUM($O237:Q237)&lt;($L237-12),12,$L237-SUM($O237:Q237)))</f>
        <v>0</v>
      </c>
      <c r="S237" s="1101">
        <f>IF($BH237=0,0,IF(SUM($O237:R237)&lt;($L237-12),12,$L237-SUM($O237:R237)))</f>
        <v>0</v>
      </c>
      <c r="U237" s="1100"/>
      <c r="V237" s="1100">
        <f>'ANSP Capex'!T233</f>
        <v>0</v>
      </c>
      <c r="W237" s="1101">
        <f>IF($BI237=0,0,IF(SUM($U237:V237)&lt;($L237-12),12,$L237-SUM($U237:V237)))</f>
        <v>0</v>
      </c>
      <c r="X237" s="1101">
        <f>IF($BI237=0,0,IF(SUM($U237:W237)&lt;($L237-12),12,$L237-SUM($U237:W237)))</f>
        <v>0</v>
      </c>
      <c r="Y237" s="1101">
        <f>IF($BI237=0,0,IF(SUM($U237:X237)&lt;($L237-12),12,$L237-SUM($U237:X237)))</f>
        <v>0</v>
      </c>
      <c r="AA237" s="1100"/>
      <c r="AB237" s="1100"/>
      <c r="AC237" s="1100">
        <f>'ANSP Capex'!AA233</f>
        <v>0</v>
      </c>
      <c r="AD237" s="1101">
        <f>IF($BJ237=0,0,IF(SUM($AA237:AC237)&lt;($L237-12),12,$L237-SUM($AA237:AC237)))</f>
        <v>0</v>
      </c>
      <c r="AE237" s="1101">
        <f>IF($BJ237=0,0,IF(SUM($AA237:AD237)&lt;($L237-12),12,$L237-SUM($AA237:AD237)))</f>
        <v>0</v>
      </c>
      <c r="AG237" s="1100"/>
      <c r="AH237" s="1100"/>
      <c r="AI237" s="1100"/>
      <c r="AJ237" s="1100">
        <f>'ANSP Capex'!AH233</f>
        <v>3</v>
      </c>
      <c r="AK237" s="1101">
        <f>IF($BK237=0,0,IF(SUM($AG237:AJ237)&lt;($L237-12),12,$L237-SUM($AG237:AJ237)))</f>
        <v>12</v>
      </c>
      <c r="AM237" s="1100"/>
      <c r="AN237" s="1100"/>
      <c r="AO237" s="1100"/>
      <c r="AP237" s="1100"/>
      <c r="AQ237" s="1100">
        <f>'ANSP Capex'!AO233</f>
        <v>0</v>
      </c>
      <c r="AS237" s="153">
        <f t="shared" si="19"/>
        <v>0</v>
      </c>
      <c r="AT237" s="153">
        <f t="shared" si="20"/>
        <v>0</v>
      </c>
      <c r="AU237" s="153">
        <f t="shared" si="21"/>
        <v>0</v>
      </c>
      <c r="AV237" s="153">
        <f t="shared" si="22"/>
        <v>0.25</v>
      </c>
      <c r="AW237" s="153">
        <f t="shared" si="23"/>
        <v>0</v>
      </c>
      <c r="AX237" s="153"/>
      <c r="AY237" s="1543">
        <f>'ANSP Capex'!AW233</f>
        <v>0.75</v>
      </c>
      <c r="AZ237" s="1102"/>
      <c r="BA237" s="1543">
        <f>'ANSP Capex'!AY233</f>
        <v>0.25</v>
      </c>
      <c r="BC237" s="1126"/>
      <c r="BD237" s="1126"/>
      <c r="BE237" s="1126"/>
      <c r="BF237" s="1126"/>
      <c r="BG237" s="1126"/>
      <c r="BH237" s="1126">
        <f>'ANSP Capex'!BF233*IF($I237="",(1+INDEX($I$41:$I$42,MATCH($F237,$F$41:$F$42,0))),(1+$I237))</f>
        <v>0</v>
      </c>
      <c r="BI237" s="1126">
        <f>'ANSP Capex'!BG233*IF($I237="",(1+INDEX($I$41:$I$42,MATCH($F237,$F$41:$F$42,0))),(1+$I237))</f>
        <v>0</v>
      </c>
      <c r="BJ237" s="1126">
        <f>'ANSP Capex'!BH233*IF($I237="",(1+INDEX($I$41:$I$42,MATCH($F237,$F$41:$F$42,0))),(1+$I237))</f>
        <v>0</v>
      </c>
      <c r="BK237" s="1126">
        <f>'ANSP Capex'!BI233*IF($I237="",(1+INDEX($I$41:$I$42,MATCH($F237,$F$41:$F$42,0))),(1+$I237))</f>
        <v>780</v>
      </c>
      <c r="BL237" s="1126">
        <f>'ANSP Capex'!BJ233*IF($I237="",(1+INDEX($I$41:$I$42,MATCH($F237,$F$41:$F$42,0))),(1+$I237))</f>
        <v>0</v>
      </c>
    </row>
    <row r="238" spans="1:64" outlineLevel="1">
      <c r="A238" s="1094"/>
      <c r="B238" s="1094"/>
      <c r="C238" s="1083" t="str">
        <f>'ANSP Capex'!C234</f>
        <v>Barco Screen Replacement - DAP</v>
      </c>
      <c r="D238" s="1083" t="str">
        <f>'ANSP Capex'!D234</f>
        <v>Barco Screen Replacement</v>
      </c>
      <c r="E238" s="1083" t="str">
        <f>'ANSP Capex'!E234</f>
        <v>RP3-SURV-4</v>
      </c>
      <c r="F238" s="1083" t="str">
        <f>'ANSP Capex'!F234</f>
        <v>2021-2024</v>
      </c>
      <c r="G238" s="1101">
        <f t="shared" si="16"/>
        <v>420</v>
      </c>
      <c r="H238" s="1083" t="str">
        <f>'ANSP Capex'!H234</f>
        <v>€'000</v>
      </c>
      <c r="I238" s="829"/>
      <c r="J238" s="1097">
        <f>'ANSP Capex'!I234</f>
        <v>8</v>
      </c>
      <c r="K238" s="1124">
        <v>0</v>
      </c>
      <c r="L238" s="1098">
        <f t="shared" si="17"/>
        <v>96</v>
      </c>
      <c r="M238" s="153">
        <f t="shared" si="18"/>
        <v>0.125</v>
      </c>
      <c r="N238" s="1099"/>
      <c r="O238" s="1100">
        <f>'ANSP Capex'!M234</f>
        <v>0</v>
      </c>
      <c r="P238" s="1101">
        <f>IF($BH238=0,0,IF(SUM($O238:O238)&lt;($L238-12),12,$L238-SUM($O238:O238)))</f>
        <v>0</v>
      </c>
      <c r="Q238" s="1101">
        <f>IF($BH238=0,0,IF(SUM($O238:P238)&lt;($L238-12),12,$L238-SUM($O238:P238)))</f>
        <v>0</v>
      </c>
      <c r="R238" s="1101">
        <f>IF($BH238=0,0,IF(SUM($O238:Q238)&lt;($L238-12),12,$L238-SUM($O238:Q238)))</f>
        <v>0</v>
      </c>
      <c r="S238" s="1101">
        <f>IF($BH238=0,0,IF(SUM($O238:R238)&lt;($L238-12),12,$L238-SUM($O238:R238)))</f>
        <v>0</v>
      </c>
      <c r="U238" s="1100"/>
      <c r="V238" s="1100">
        <f>'ANSP Capex'!T234</f>
        <v>0</v>
      </c>
      <c r="W238" s="1101">
        <f>IF($BI238=0,0,IF(SUM($U238:V238)&lt;($L238-12),12,$L238-SUM($U238:V238)))</f>
        <v>0</v>
      </c>
      <c r="X238" s="1101">
        <f>IF($BI238=0,0,IF(SUM($U238:W238)&lt;($L238-12),12,$L238-SUM($U238:W238)))</f>
        <v>0</v>
      </c>
      <c r="Y238" s="1101">
        <f>IF($BI238=0,0,IF(SUM($U238:X238)&lt;($L238-12),12,$L238-SUM($U238:X238)))</f>
        <v>0</v>
      </c>
      <c r="AA238" s="1100"/>
      <c r="AB238" s="1100"/>
      <c r="AC238" s="1100">
        <f>'ANSP Capex'!AA234</f>
        <v>0</v>
      </c>
      <c r="AD238" s="1101">
        <f>IF($BJ238=0,0,IF(SUM($AA238:AC238)&lt;($L238-12),12,$L238-SUM($AA238:AC238)))</f>
        <v>0</v>
      </c>
      <c r="AE238" s="1101">
        <f>IF($BJ238=0,0,IF(SUM($AA238:AD238)&lt;($L238-12),12,$L238-SUM($AA238:AD238)))</f>
        <v>0</v>
      </c>
      <c r="AG238" s="1100"/>
      <c r="AH238" s="1100"/>
      <c r="AI238" s="1100"/>
      <c r="AJ238" s="1100">
        <f>'ANSP Capex'!AH234</f>
        <v>0</v>
      </c>
      <c r="AK238" s="1101">
        <f>IF($BK238=0,0,IF(SUM($AG238:AJ238)&lt;($L238-12),12,$L238-SUM($AG238:AJ238)))</f>
        <v>0</v>
      </c>
      <c r="AM238" s="1100"/>
      <c r="AN238" s="1100"/>
      <c r="AO238" s="1100"/>
      <c r="AP238" s="1100"/>
      <c r="AQ238" s="1100">
        <f>'ANSP Capex'!AO234</f>
        <v>3</v>
      </c>
      <c r="AS238" s="153">
        <f t="shared" si="19"/>
        <v>0</v>
      </c>
      <c r="AT238" s="153">
        <f t="shared" si="20"/>
        <v>0</v>
      </c>
      <c r="AU238" s="153">
        <f t="shared" si="21"/>
        <v>0</v>
      </c>
      <c r="AV238" s="153">
        <f t="shared" si="22"/>
        <v>0</v>
      </c>
      <c r="AW238" s="153">
        <f t="shared" si="23"/>
        <v>0.25</v>
      </c>
      <c r="AX238" s="153"/>
      <c r="AY238" s="1543">
        <f>'ANSP Capex'!AW234</f>
        <v>0.75</v>
      </c>
      <c r="AZ238" s="1102"/>
      <c r="BA238" s="1543">
        <f>'ANSP Capex'!AY234</f>
        <v>0.25</v>
      </c>
      <c r="BC238" s="1126"/>
      <c r="BD238" s="1126"/>
      <c r="BE238" s="1126"/>
      <c r="BF238" s="1126"/>
      <c r="BG238" s="1126"/>
      <c r="BH238" s="1126">
        <f>'ANSP Capex'!BF234*IF($I238="",(1+INDEX($I$41:$I$42,MATCH($F238,$F$41:$F$42,0))),(1+$I238))</f>
        <v>0</v>
      </c>
      <c r="BI238" s="1126">
        <f>'ANSP Capex'!BG234*IF($I238="",(1+INDEX($I$41:$I$42,MATCH($F238,$F$41:$F$42,0))),(1+$I238))</f>
        <v>0</v>
      </c>
      <c r="BJ238" s="1126">
        <f>'ANSP Capex'!BH234*IF($I238="",(1+INDEX($I$41:$I$42,MATCH($F238,$F$41:$F$42,0))),(1+$I238))</f>
        <v>0</v>
      </c>
      <c r="BK238" s="1126">
        <f>'ANSP Capex'!BI234*IF($I238="",(1+INDEX($I$41:$I$42,MATCH($F238,$F$41:$F$42,0))),(1+$I238))</f>
        <v>0</v>
      </c>
      <c r="BL238" s="1126">
        <f>'ANSP Capex'!BJ234*IF($I238="",(1+INDEX($I$41:$I$42,MATCH($F238,$F$41:$F$42,0))),(1+$I238))</f>
        <v>420</v>
      </c>
    </row>
    <row r="239" spans="1:64" outlineLevel="1">
      <c r="A239" s="1094"/>
      <c r="B239" s="1094"/>
      <c r="C239" s="1083" t="str">
        <f>'ANSP Capex'!C235</f>
        <v>Security Upgrades</v>
      </c>
      <c r="D239" s="1083" t="str">
        <f>'ANSP Capex'!D235</f>
        <v>Security Upgrades</v>
      </c>
      <c r="E239" s="1083" t="str">
        <f>'ANSP Capex'!E235</f>
        <v>RP3-PROP-2</v>
      </c>
      <c r="F239" s="1083" t="str">
        <f>'ANSP Capex'!F235</f>
        <v>2021-2024</v>
      </c>
      <c r="G239" s="1101">
        <f t="shared" si="16"/>
        <v>0</v>
      </c>
      <c r="H239" s="1083" t="str">
        <f>'ANSP Capex'!H235</f>
        <v>€'000</v>
      </c>
      <c r="I239" s="829"/>
      <c r="J239" s="1097">
        <f>'ANSP Capex'!I235</f>
        <v>0</v>
      </c>
      <c r="K239" s="1124">
        <v>0</v>
      </c>
      <c r="L239" s="1098">
        <f t="shared" si="17"/>
        <v>0</v>
      </c>
      <c r="M239" s="153">
        <f t="shared" si="18"/>
        <v>0</v>
      </c>
      <c r="N239" s="1099"/>
      <c r="O239" s="1100">
        <f>'ANSP Capex'!M235</f>
        <v>0</v>
      </c>
      <c r="P239" s="1101">
        <f>IF($BH239=0,0,IF(SUM($O239:O239)&lt;($L239-12),12,$L239-SUM($O239:O239)))</f>
        <v>0</v>
      </c>
      <c r="Q239" s="1101">
        <f>IF($BH239=0,0,IF(SUM($O239:P239)&lt;($L239-12),12,$L239-SUM($O239:P239)))</f>
        <v>0</v>
      </c>
      <c r="R239" s="1101">
        <f>IF($BH239=0,0,IF(SUM($O239:Q239)&lt;($L239-12),12,$L239-SUM($O239:Q239)))</f>
        <v>0</v>
      </c>
      <c r="S239" s="1101">
        <f>IF($BH239=0,0,IF(SUM($O239:R239)&lt;($L239-12),12,$L239-SUM($O239:R239)))</f>
        <v>0</v>
      </c>
      <c r="U239" s="1100"/>
      <c r="V239" s="1100">
        <f>'ANSP Capex'!T235</f>
        <v>0</v>
      </c>
      <c r="W239" s="1101">
        <f>IF($BI239=0,0,IF(SUM($U239:V239)&lt;($L239-12),12,$L239-SUM($U239:V239)))</f>
        <v>0</v>
      </c>
      <c r="X239" s="1101">
        <f>IF($BI239=0,0,IF(SUM($U239:W239)&lt;($L239-12),12,$L239-SUM($U239:W239)))</f>
        <v>0</v>
      </c>
      <c r="Y239" s="1101">
        <f>IF($BI239=0,0,IF(SUM($U239:X239)&lt;($L239-12),12,$L239-SUM($U239:X239)))</f>
        <v>0</v>
      </c>
      <c r="AA239" s="1100"/>
      <c r="AB239" s="1100"/>
      <c r="AC239" s="1100">
        <f>'ANSP Capex'!AA235</f>
        <v>0</v>
      </c>
      <c r="AD239" s="1101">
        <f>IF($BJ239=0,0,IF(SUM($AA239:AC239)&lt;($L239-12),12,$L239-SUM($AA239:AC239)))</f>
        <v>0</v>
      </c>
      <c r="AE239" s="1101">
        <f>IF($BJ239=0,0,IF(SUM($AA239:AD239)&lt;($L239-12),12,$L239-SUM($AA239:AD239)))</f>
        <v>0</v>
      </c>
      <c r="AG239" s="1100"/>
      <c r="AH239" s="1100"/>
      <c r="AI239" s="1100"/>
      <c r="AJ239" s="1100">
        <f>'ANSP Capex'!AH235</f>
        <v>0</v>
      </c>
      <c r="AK239" s="1101">
        <f>IF($BK239=0,0,IF(SUM($AG239:AJ239)&lt;($L239-12),12,$L239-SUM($AG239:AJ239)))</f>
        <v>0</v>
      </c>
      <c r="AM239" s="1100"/>
      <c r="AN239" s="1100"/>
      <c r="AO239" s="1100"/>
      <c r="AP239" s="1100"/>
      <c r="AQ239" s="1100">
        <f>'ANSP Capex'!AO235</f>
        <v>0</v>
      </c>
      <c r="AS239" s="153">
        <f t="shared" si="19"/>
        <v>0</v>
      </c>
      <c r="AT239" s="153">
        <f t="shared" si="20"/>
        <v>0</v>
      </c>
      <c r="AU239" s="153">
        <f t="shared" si="21"/>
        <v>0</v>
      </c>
      <c r="AV239" s="153">
        <f t="shared" si="22"/>
        <v>0</v>
      </c>
      <c r="AW239" s="153">
        <f t="shared" si="23"/>
        <v>0</v>
      </c>
      <c r="AX239" s="153"/>
      <c r="AY239" s="1543">
        <f>'ANSP Capex'!AW235</f>
        <v>0</v>
      </c>
      <c r="AZ239" s="1102"/>
      <c r="BA239" s="1543">
        <f>'ANSP Capex'!AY235</f>
        <v>0</v>
      </c>
      <c r="BC239" s="1126"/>
      <c r="BD239" s="1126"/>
      <c r="BE239" s="1126"/>
      <c r="BF239" s="1126"/>
      <c r="BG239" s="1126"/>
      <c r="BH239" s="1126">
        <f>'ANSP Capex'!BF235*IF($I239="",(1+INDEX($I$41:$I$42,MATCH($F239,$F$41:$F$42,0))),(1+$I239))</f>
        <v>0</v>
      </c>
      <c r="BI239" s="1126">
        <f>'ANSP Capex'!BG235*IF($I239="",(1+INDEX($I$41:$I$42,MATCH($F239,$F$41:$F$42,0))),(1+$I239))</f>
        <v>0</v>
      </c>
      <c r="BJ239" s="1126">
        <f>'ANSP Capex'!BH235*IF($I239="",(1+INDEX($I$41:$I$42,MATCH($F239,$F$41:$F$42,0))),(1+$I239))</f>
        <v>0</v>
      </c>
      <c r="BK239" s="1126">
        <f>'ANSP Capex'!BI235*IF($I239="",(1+INDEX($I$41:$I$42,MATCH($F239,$F$41:$F$42,0))),(1+$I239))</f>
        <v>0</v>
      </c>
      <c r="BL239" s="1126">
        <f>'ANSP Capex'!BJ235*IF($I239="",(1+INDEX($I$41:$I$42,MATCH($F239,$F$41:$F$42,0))),(1+$I239))</f>
        <v>0</v>
      </c>
    </row>
    <row r="240" spans="1:64" outlineLevel="1">
      <c r="A240" s="1094"/>
      <c r="B240" s="1094"/>
      <c r="C240" s="1083" t="str">
        <f>'ANSP Capex'!C236</f>
        <v>Security Upgrades Shannon En Route</v>
      </c>
      <c r="D240" s="1083" t="str">
        <f>'ANSP Capex'!D236</f>
        <v>Security Upgrades</v>
      </c>
      <c r="E240" s="1083" t="str">
        <f>'ANSP Capex'!E236</f>
        <v>RP3-PROP-2</v>
      </c>
      <c r="F240" s="1083" t="str">
        <f>'ANSP Capex'!F236</f>
        <v>2021-2024</v>
      </c>
      <c r="G240" s="1101">
        <f t="shared" si="16"/>
        <v>260.39999999999998</v>
      </c>
      <c r="H240" s="1083" t="str">
        <f>'ANSP Capex'!H236</f>
        <v>€'000</v>
      </c>
      <c r="I240" s="829"/>
      <c r="J240" s="1097">
        <f>'ANSP Capex'!I236</f>
        <v>5</v>
      </c>
      <c r="K240" s="1124">
        <v>10</v>
      </c>
      <c r="L240" s="1098">
        <f t="shared" si="17"/>
        <v>120</v>
      </c>
      <c r="M240" s="153">
        <f t="shared" si="18"/>
        <v>0.1</v>
      </c>
      <c r="N240" s="1099"/>
      <c r="O240" s="1100">
        <f>'ANSP Capex'!M236</f>
        <v>0</v>
      </c>
      <c r="P240" s="1101">
        <f>IF($BH240=0,0,IF(SUM($O240:O240)&lt;($L240-12),12,$L240-SUM($O240:O240)))</f>
        <v>0</v>
      </c>
      <c r="Q240" s="1101">
        <f>IF($BH240=0,0,IF(SUM($O240:P240)&lt;($L240-12),12,$L240-SUM($O240:P240)))</f>
        <v>0</v>
      </c>
      <c r="R240" s="1101">
        <f>IF($BH240=0,0,IF(SUM($O240:Q240)&lt;($L240-12),12,$L240-SUM($O240:Q240)))</f>
        <v>0</v>
      </c>
      <c r="S240" s="1101">
        <f>IF($BH240=0,0,IF(SUM($O240:R240)&lt;($L240-12),12,$L240-SUM($O240:R240)))</f>
        <v>0</v>
      </c>
      <c r="U240" s="1100"/>
      <c r="V240" s="1100">
        <f>'ANSP Capex'!T236</f>
        <v>4.8235294117647056</v>
      </c>
      <c r="W240" s="1101">
        <f>IF($BI240=0,0,IF(SUM($U240:V240)&lt;($L240-12),12,$L240-SUM($U240:V240)))</f>
        <v>12</v>
      </c>
      <c r="X240" s="1101">
        <f>IF($BI240=0,0,IF(SUM($U240:W240)&lt;($L240-12),12,$L240-SUM($U240:W240)))</f>
        <v>12</v>
      </c>
      <c r="Y240" s="1101">
        <f>IF($BI240=0,0,IF(SUM($U240:X240)&lt;($L240-12),12,$L240-SUM($U240:X240)))</f>
        <v>12</v>
      </c>
      <c r="AA240" s="1100"/>
      <c r="AB240" s="1100"/>
      <c r="AC240" s="1100">
        <f>'ANSP Capex'!AA236</f>
        <v>6.2028985507246377</v>
      </c>
      <c r="AD240" s="1101">
        <f>IF($BJ240=0,0,IF(SUM($AA240:AC240)&lt;($L240-12),12,$L240-SUM($AA240:AC240)))</f>
        <v>12</v>
      </c>
      <c r="AE240" s="1101">
        <f>IF($BJ240=0,0,IF(SUM($AA240:AD240)&lt;($L240-12),12,$L240-SUM($AA240:AD240)))</f>
        <v>12</v>
      </c>
      <c r="AG240" s="1100"/>
      <c r="AH240" s="1100"/>
      <c r="AI240" s="1100"/>
      <c r="AJ240" s="1100">
        <f>'ANSP Capex'!AH236</f>
        <v>12</v>
      </c>
      <c r="AK240" s="1101">
        <f>IF($BK240=0,0,IF(SUM($AG240:AJ240)&lt;($L240-12),12,$L240-SUM($AG240:AJ240)))</f>
        <v>12</v>
      </c>
      <c r="AM240" s="1100"/>
      <c r="AN240" s="1100"/>
      <c r="AO240" s="1100"/>
      <c r="AP240" s="1100"/>
      <c r="AQ240" s="1100">
        <f>'ANSP Capex'!AO236</f>
        <v>0</v>
      </c>
      <c r="AS240" s="153">
        <f t="shared" si="19"/>
        <v>0</v>
      </c>
      <c r="AT240" s="153">
        <f t="shared" si="20"/>
        <v>0.40196078431372545</v>
      </c>
      <c r="AU240" s="153">
        <f t="shared" si="21"/>
        <v>0.51690821256038644</v>
      </c>
      <c r="AV240" s="153">
        <f t="shared" si="22"/>
        <v>1</v>
      </c>
      <c r="AW240" s="153">
        <f t="shared" si="23"/>
        <v>0</v>
      </c>
      <c r="AX240" s="153"/>
      <c r="AY240" s="1543">
        <f>'ANSP Capex'!AW236</f>
        <v>1</v>
      </c>
      <c r="AZ240" s="1102"/>
      <c r="BA240" s="1543">
        <f>'ANSP Capex'!AY236</f>
        <v>0</v>
      </c>
      <c r="BC240" s="1126"/>
      <c r="BD240" s="1126"/>
      <c r="BE240" s="1126"/>
      <c r="BF240" s="1126"/>
      <c r="BG240" s="1126"/>
      <c r="BH240" s="1126">
        <f>'ANSP Capex'!BF236*IF($I240="",(1+INDEX($I$41:$I$42,MATCH($F240,$F$41:$F$42,0))),(1+$I240))</f>
        <v>0</v>
      </c>
      <c r="BI240" s="1126">
        <f>'ANSP Capex'!BG236*IF($I240="",(1+INDEX($I$41:$I$42,MATCH($F240,$F$41:$F$42,0))),(1+$I240))</f>
        <v>61.2</v>
      </c>
      <c r="BJ240" s="1126">
        <f>'ANSP Capex'!BH236*IF($I240="",(1+INDEX($I$41:$I$42,MATCH($F240,$F$41:$F$42,0))),(1+$I240))</f>
        <v>124.2</v>
      </c>
      <c r="BK240" s="1126">
        <f>'ANSP Capex'!BI236*IF($I240="",(1+INDEX($I$41:$I$42,MATCH($F240,$F$41:$F$42,0))),(1+$I240))</f>
        <v>75</v>
      </c>
      <c r="BL240" s="1126">
        <f>'ANSP Capex'!BJ236*IF($I240="",(1+INDEX($I$41:$I$42,MATCH($F240,$F$41:$F$42,0))),(1+$I240))</f>
        <v>0</v>
      </c>
    </row>
    <row r="241" spans="1:64" outlineLevel="1">
      <c r="A241" s="1094"/>
      <c r="B241" s="1094"/>
      <c r="C241" s="1083" t="str">
        <f>'ANSP Capex'!C237</f>
        <v>Security Upgrades Shannon Joint</v>
      </c>
      <c r="D241" s="1083" t="str">
        <f>'ANSP Capex'!D237</f>
        <v>Security Upgrades</v>
      </c>
      <c r="E241" s="1083" t="str">
        <f>'ANSP Capex'!E237</f>
        <v>RP3-PROP-2</v>
      </c>
      <c r="F241" s="1083" t="str">
        <f>'ANSP Capex'!F237</f>
        <v>2021-2024</v>
      </c>
      <c r="G241" s="1101">
        <f t="shared" si="16"/>
        <v>412.04975999999999</v>
      </c>
      <c r="H241" s="1083" t="str">
        <f>'ANSP Capex'!H237</f>
        <v>€'000</v>
      </c>
      <c r="I241" s="829"/>
      <c r="J241" s="1097">
        <f>'ANSP Capex'!I237</f>
        <v>5</v>
      </c>
      <c r="K241" s="1124">
        <v>10</v>
      </c>
      <c r="L241" s="1098">
        <f t="shared" si="17"/>
        <v>120</v>
      </c>
      <c r="M241" s="153">
        <f t="shared" si="18"/>
        <v>0.1</v>
      </c>
      <c r="N241" s="1099"/>
      <c r="O241" s="1100">
        <f>'ANSP Capex'!M237</f>
        <v>0</v>
      </c>
      <c r="P241" s="1101">
        <f>IF($BH241=0,0,IF(SUM($O241:O241)&lt;($L241-12),12,$L241-SUM($O241:O241)))</f>
        <v>0</v>
      </c>
      <c r="Q241" s="1101">
        <f>IF($BH241=0,0,IF(SUM($O241:P241)&lt;($L241-12),12,$L241-SUM($O241:P241)))</f>
        <v>0</v>
      </c>
      <c r="R241" s="1101">
        <f>IF($BH241=0,0,IF(SUM($O241:Q241)&lt;($L241-12),12,$L241-SUM($O241:Q241)))</f>
        <v>0</v>
      </c>
      <c r="S241" s="1101">
        <f>IF($BH241=0,0,IF(SUM($O241:R241)&lt;($L241-12),12,$L241-SUM($O241:R241)))</f>
        <v>0</v>
      </c>
      <c r="U241" s="1100"/>
      <c r="V241" s="1100">
        <f>'ANSP Capex'!T237</f>
        <v>4.4571551999012575</v>
      </c>
      <c r="W241" s="1101">
        <f>IF($BI241=0,0,IF(SUM($U241:V241)&lt;($L241-12),12,$L241-SUM($U241:V241)))</f>
        <v>12</v>
      </c>
      <c r="X241" s="1101">
        <f>IF($BI241=0,0,IF(SUM($U241:W241)&lt;($L241-12),12,$L241-SUM($U241:W241)))</f>
        <v>12</v>
      </c>
      <c r="Y241" s="1101">
        <f>IF($BI241=0,0,IF(SUM($U241:X241)&lt;($L241-12),12,$L241-SUM($U241:X241)))</f>
        <v>12</v>
      </c>
      <c r="AA241" s="1100"/>
      <c r="AB241" s="1100"/>
      <c r="AC241" s="1100">
        <f>'ANSP Capex'!AA237</f>
        <v>6.9419869470630884</v>
      </c>
      <c r="AD241" s="1101">
        <f>IF($BJ241=0,0,IF(SUM($AA241:AC241)&lt;($L241-12),12,$L241-SUM($AA241:AC241)))</f>
        <v>12</v>
      </c>
      <c r="AE241" s="1101">
        <f>IF($BJ241=0,0,IF(SUM($AA241:AD241)&lt;($L241-12),12,$L241-SUM($AA241:AD241)))</f>
        <v>12</v>
      </c>
      <c r="AG241" s="1100"/>
      <c r="AH241" s="1100"/>
      <c r="AI241" s="1100"/>
      <c r="AJ241" s="1100">
        <f>'ANSP Capex'!AH237</f>
        <v>3</v>
      </c>
      <c r="AK241" s="1101">
        <f>IF($BK241=0,0,IF(SUM($AG241:AJ241)&lt;($L241-12),12,$L241-SUM($AG241:AJ241)))</f>
        <v>12</v>
      </c>
      <c r="AM241" s="1100"/>
      <c r="AN241" s="1100"/>
      <c r="AO241" s="1100"/>
      <c r="AP241" s="1100"/>
      <c r="AQ241" s="1100">
        <f>'ANSP Capex'!AO237</f>
        <v>12</v>
      </c>
      <c r="AS241" s="153">
        <f t="shared" si="19"/>
        <v>0</v>
      </c>
      <c r="AT241" s="153">
        <f t="shared" si="20"/>
        <v>0.37142959999177144</v>
      </c>
      <c r="AU241" s="153">
        <f t="shared" si="21"/>
        <v>0.5784989122552574</v>
      </c>
      <c r="AV241" s="153">
        <f t="shared" si="22"/>
        <v>0.25</v>
      </c>
      <c r="AW241" s="153">
        <f t="shared" si="23"/>
        <v>1</v>
      </c>
      <c r="AX241" s="153"/>
      <c r="AY241" s="1543">
        <f>'ANSP Capex'!AW237</f>
        <v>0.75</v>
      </c>
      <c r="AZ241" s="1102"/>
      <c r="BA241" s="1543">
        <f>'ANSP Capex'!AY237</f>
        <v>0.25</v>
      </c>
      <c r="BC241" s="1126"/>
      <c r="BD241" s="1126"/>
      <c r="BE241" s="1126"/>
      <c r="BF241" s="1126"/>
      <c r="BG241" s="1126"/>
      <c r="BH241" s="1126">
        <f>'ANSP Capex'!BF237*IF($I241="",(1+INDEX($I$41:$I$42,MATCH($F241,$F$41:$F$42,0))),(1+$I241))</f>
        <v>0</v>
      </c>
      <c r="BI241" s="1126">
        <f>'ANSP Capex'!BG237*IF($I241="",(1+INDEX($I$41:$I$42,MATCH($F241,$F$41:$F$42,0))),(1+$I241))</f>
        <v>108.88976000000001</v>
      </c>
      <c r="BJ241" s="1126">
        <f>'ANSP Capex'!BH237*IF($I241="",(1+INDEX($I$41:$I$42,MATCH($F241,$F$41:$F$42,0))),(1+$I241))</f>
        <v>55.160000000000004</v>
      </c>
      <c r="BK241" s="1126">
        <f>'ANSP Capex'!BI237*IF($I241="",(1+INDEX($I$41:$I$42,MATCH($F241,$F$41:$F$42,0))),(1+$I241))</f>
        <v>186</v>
      </c>
      <c r="BL241" s="1126">
        <f>'ANSP Capex'!BJ237*IF($I241="",(1+INDEX($I$41:$I$42,MATCH($F241,$F$41:$F$42,0))),(1+$I241))</f>
        <v>62</v>
      </c>
    </row>
    <row r="242" spans="1:64" outlineLevel="1">
      <c r="A242" s="1094"/>
      <c r="B242" s="1094"/>
      <c r="C242" s="1083" t="str">
        <f>'ANSP Capex'!C238</f>
        <v>Security Upgrades Dublin Joint</v>
      </c>
      <c r="D242" s="1083" t="str">
        <f>'ANSP Capex'!D238</f>
        <v>Security Upgrades</v>
      </c>
      <c r="E242" s="1083" t="str">
        <f>'ANSP Capex'!E238</f>
        <v>RP3-PROP-2</v>
      </c>
      <c r="F242" s="1083" t="str">
        <f>'ANSP Capex'!F238</f>
        <v>2021-2024</v>
      </c>
      <c r="G242" s="1101">
        <f t="shared" ref="G242:G305" si="24">SUM(BH242:BL242)</f>
        <v>332.34206400000005</v>
      </c>
      <c r="H242" s="1083" t="str">
        <f>'ANSP Capex'!H238</f>
        <v>€'000</v>
      </c>
      <c r="I242" s="829"/>
      <c r="J242" s="1097">
        <f>'ANSP Capex'!I238</f>
        <v>5</v>
      </c>
      <c r="K242" s="1124">
        <v>10</v>
      </c>
      <c r="L242" s="1098">
        <f t="shared" ref="L242:L305" si="25">IF(K242&lt;=0,J242*12,K242*12)</f>
        <v>120</v>
      </c>
      <c r="M242" s="153">
        <f t="shared" si="18"/>
        <v>0.1</v>
      </c>
      <c r="N242" s="1099"/>
      <c r="O242" s="1100">
        <f>'ANSP Capex'!M238</f>
        <v>0</v>
      </c>
      <c r="P242" s="1101">
        <f>IF($BH242=0,0,IF(SUM($O242:O242)&lt;($L242-12),12,$L242-SUM($O242:O242)))</f>
        <v>0</v>
      </c>
      <c r="Q242" s="1101">
        <f>IF($BH242=0,0,IF(SUM($O242:P242)&lt;($L242-12),12,$L242-SUM($O242:P242)))</f>
        <v>0</v>
      </c>
      <c r="R242" s="1101">
        <f>IF($BH242=0,0,IF(SUM($O242:Q242)&lt;($L242-12),12,$L242-SUM($O242:Q242)))</f>
        <v>0</v>
      </c>
      <c r="S242" s="1101">
        <f>IF($BH242=0,0,IF(SUM($O242:R242)&lt;($L242-12),12,$L242-SUM($O242:R242)))</f>
        <v>0</v>
      </c>
      <c r="U242" s="1100"/>
      <c r="V242" s="1100">
        <f>'ANSP Capex'!T238</f>
        <v>3</v>
      </c>
      <c r="W242" s="1101">
        <f>IF($BI242=0,0,IF(SUM($U242:V242)&lt;($L242-12),12,$L242-SUM($U242:V242)))</f>
        <v>12</v>
      </c>
      <c r="X242" s="1101">
        <f>IF($BI242=0,0,IF(SUM($U242:W242)&lt;($L242-12),12,$L242-SUM($U242:W242)))</f>
        <v>12</v>
      </c>
      <c r="Y242" s="1101">
        <f>IF($BI242=0,0,IF(SUM($U242:X242)&lt;($L242-12),12,$L242-SUM($U242:X242)))</f>
        <v>12</v>
      </c>
      <c r="AA242" s="1100"/>
      <c r="AB242" s="1100"/>
      <c r="AC242" s="1100">
        <f>'ANSP Capex'!AA238</f>
        <v>6.8275862068965516</v>
      </c>
      <c r="AD242" s="1101">
        <f>IF($BJ242=0,0,IF(SUM($AA242:AC242)&lt;($L242-12),12,$L242-SUM($AA242:AC242)))</f>
        <v>12</v>
      </c>
      <c r="AE242" s="1101">
        <f>IF($BJ242=0,0,IF(SUM($AA242:AD242)&lt;($L242-12),12,$L242-SUM($AA242:AD242)))</f>
        <v>12</v>
      </c>
      <c r="AG242" s="1100"/>
      <c r="AH242" s="1100"/>
      <c r="AI242" s="1100"/>
      <c r="AJ242" s="1100">
        <f>'ANSP Capex'!AH238</f>
        <v>9.5294117647058822</v>
      </c>
      <c r="AK242" s="1101">
        <f>IF($BK242=0,0,IF(SUM($AG242:AJ242)&lt;($L242-12),12,$L242-SUM($AG242:AJ242)))</f>
        <v>12</v>
      </c>
      <c r="AM242" s="1100"/>
      <c r="AN242" s="1100"/>
      <c r="AO242" s="1100"/>
      <c r="AP242" s="1100"/>
      <c r="AQ242" s="1100">
        <f>'ANSP Capex'!AO238</f>
        <v>12</v>
      </c>
      <c r="AS242" s="153">
        <f t="shared" si="19"/>
        <v>0</v>
      </c>
      <c r="AT242" s="153">
        <f t="shared" si="20"/>
        <v>0.25</v>
      </c>
      <c r="AU242" s="153">
        <f t="shared" si="21"/>
        <v>0.56896551724137934</v>
      </c>
      <c r="AV242" s="153">
        <f t="shared" si="22"/>
        <v>0.79411764705882348</v>
      </c>
      <c r="AW242" s="153">
        <f t="shared" si="23"/>
        <v>1</v>
      </c>
      <c r="AX242" s="153"/>
      <c r="AY242" s="1543">
        <f>'ANSP Capex'!AW238</f>
        <v>0.75</v>
      </c>
      <c r="AZ242" s="1102"/>
      <c r="BA242" s="1543">
        <f>'ANSP Capex'!AY238</f>
        <v>0.25</v>
      </c>
      <c r="BC242" s="1126"/>
      <c r="BD242" s="1126"/>
      <c r="BE242" s="1126"/>
      <c r="BF242" s="1126"/>
      <c r="BG242" s="1126"/>
      <c r="BH242" s="1126">
        <f>'ANSP Capex'!BF238*IF($I242="",(1+INDEX($I$41:$I$42,MATCH($F242,$F$41:$F$42,0))),(1+$I242))</f>
        <v>0</v>
      </c>
      <c r="BI242" s="1126">
        <f>'ANSP Capex'!BG238*IF($I242="",(1+INDEX($I$41:$I$42,MATCH($F242,$F$41:$F$42,0))),(1+$I242))</f>
        <v>111.00206400000002</v>
      </c>
      <c r="BJ242" s="1126">
        <f>'ANSP Capex'!BH238*IF($I242="",(1+INDEX($I$41:$I$42,MATCH($F242,$F$41:$F$42,0))),(1+$I242))</f>
        <v>53.94</v>
      </c>
      <c r="BK242" s="1126">
        <f>'ANSP Capex'!BI238*IF($I242="",(1+INDEX($I$41:$I$42,MATCH($F242,$F$41:$F$42,0))),(1+$I242))</f>
        <v>105.4</v>
      </c>
      <c r="BL242" s="1126">
        <f>'ANSP Capex'!BJ238*IF($I242="",(1+INDEX($I$41:$I$42,MATCH($F242,$F$41:$F$42,0))),(1+$I242))</f>
        <v>62</v>
      </c>
    </row>
    <row r="243" spans="1:64" outlineLevel="1">
      <c r="A243" s="1094"/>
      <c r="B243" s="1094"/>
      <c r="C243" s="1083" t="str">
        <f>'ANSP Capex'!C239</f>
        <v>Security Upgrades Dublin Terminal</v>
      </c>
      <c r="D243" s="1083" t="str">
        <f>'ANSP Capex'!D239</f>
        <v>Security Upgrades</v>
      </c>
      <c r="E243" s="1083" t="str">
        <f>'ANSP Capex'!E239</f>
        <v>RP3-PROP-2</v>
      </c>
      <c r="F243" s="1083" t="str">
        <f>'ANSP Capex'!F239</f>
        <v>2021-2024</v>
      </c>
      <c r="G243" s="1101">
        <f t="shared" si="24"/>
        <v>86.28</v>
      </c>
      <c r="H243" s="1083" t="str">
        <f>'ANSP Capex'!H239</f>
        <v>€'000</v>
      </c>
      <c r="I243" s="829"/>
      <c r="J243" s="1097">
        <f>'ANSP Capex'!I239</f>
        <v>5</v>
      </c>
      <c r="K243" s="1124">
        <v>10</v>
      </c>
      <c r="L243" s="1098">
        <f t="shared" si="25"/>
        <v>120</v>
      </c>
      <c r="M243" s="153">
        <f t="shared" ref="M243:M306" si="26">IFERROR(1/(L243/12),0)</f>
        <v>0.1</v>
      </c>
      <c r="N243" s="1099"/>
      <c r="O243" s="1100">
        <f>'ANSP Capex'!M239</f>
        <v>0</v>
      </c>
      <c r="P243" s="1101">
        <f>IF($BH243=0,0,IF(SUM($O243:O243)&lt;($L243-12),12,$L243-SUM($O243:O243)))</f>
        <v>0</v>
      </c>
      <c r="Q243" s="1101">
        <f>IF($BH243=0,0,IF(SUM($O243:P243)&lt;($L243-12),12,$L243-SUM($O243:P243)))</f>
        <v>0</v>
      </c>
      <c r="R243" s="1101">
        <f>IF($BH243=0,0,IF(SUM($O243:Q243)&lt;($L243-12),12,$L243-SUM($O243:Q243)))</f>
        <v>0</v>
      </c>
      <c r="S243" s="1101">
        <f>IF($BH243=0,0,IF(SUM($O243:R243)&lt;($L243-12),12,$L243-SUM($O243:R243)))</f>
        <v>0</v>
      </c>
      <c r="U243" s="1100"/>
      <c r="V243" s="1100">
        <f>'ANSP Capex'!T239</f>
        <v>3</v>
      </c>
      <c r="W243" s="1101">
        <f>IF($BI243=0,0,IF(SUM($U243:V243)&lt;($L243-12),12,$L243-SUM($U243:V243)))</f>
        <v>12</v>
      </c>
      <c r="X243" s="1101">
        <f>IF($BI243=0,0,IF(SUM($U243:W243)&lt;($L243-12),12,$L243-SUM($U243:W243)))</f>
        <v>12</v>
      </c>
      <c r="Y243" s="1101">
        <f>IF($BI243=0,0,IF(SUM($U243:X243)&lt;($L243-12),12,$L243-SUM($U243:X243)))</f>
        <v>12</v>
      </c>
      <c r="AA243" s="1100"/>
      <c r="AB243" s="1100"/>
      <c r="AC243" s="1100">
        <f>'ANSP Capex'!AA239</f>
        <v>3</v>
      </c>
      <c r="AD243" s="1101">
        <f>IF($BJ243=0,0,IF(SUM($AA243:AC243)&lt;($L243-12),12,$L243-SUM($AA243:AC243)))</f>
        <v>12</v>
      </c>
      <c r="AE243" s="1101">
        <f>IF($BJ243=0,0,IF(SUM($AA243:AD243)&lt;($L243-12),12,$L243-SUM($AA243:AD243)))</f>
        <v>12</v>
      </c>
      <c r="AG243" s="1100"/>
      <c r="AH243" s="1100"/>
      <c r="AI243" s="1100"/>
      <c r="AJ243" s="1100">
        <f>'ANSP Capex'!AH239</f>
        <v>0</v>
      </c>
      <c r="AK243" s="1101">
        <f>IF($BK243=0,0,IF(SUM($AG243:AJ243)&lt;($L243-12),12,$L243-SUM($AG243:AJ243)))</f>
        <v>0</v>
      </c>
      <c r="AM243" s="1100"/>
      <c r="AN243" s="1100"/>
      <c r="AO243" s="1100"/>
      <c r="AP243" s="1100"/>
      <c r="AQ243" s="1100">
        <f>'ANSP Capex'!AO239</f>
        <v>0</v>
      </c>
      <c r="AS243" s="153">
        <f t="shared" ref="AS243:AS306" si="27">O243/12</f>
        <v>0</v>
      </c>
      <c r="AT243" s="153">
        <f t="shared" ref="AT243:AT306" si="28">V243/12</f>
        <v>0.25</v>
      </c>
      <c r="AU243" s="153">
        <f t="shared" ref="AU243:AU306" si="29">AC243/12</f>
        <v>0.25</v>
      </c>
      <c r="AV243" s="153">
        <f t="shared" ref="AV243:AV306" si="30">AJ243/12</f>
        <v>0</v>
      </c>
      <c r="AW243" s="153">
        <f t="shared" ref="AW243:AW306" si="31">AQ243/12</f>
        <v>0</v>
      </c>
      <c r="AX243" s="153"/>
      <c r="AY243" s="1543">
        <f>'ANSP Capex'!AW239</f>
        <v>0</v>
      </c>
      <c r="AZ243" s="1102"/>
      <c r="BA243" s="1543">
        <f>'ANSP Capex'!AY239</f>
        <v>1</v>
      </c>
      <c r="BC243" s="1126"/>
      <c r="BD243" s="1126"/>
      <c r="BE243" s="1126"/>
      <c r="BF243" s="1126"/>
      <c r="BG243" s="1126"/>
      <c r="BH243" s="1126">
        <f>'ANSP Capex'!BF239*IF($I243="",(1+INDEX($I$41:$I$42,MATCH($F243,$F$41:$F$42,0))),(1+$I243))</f>
        <v>0</v>
      </c>
      <c r="BI243" s="1126">
        <f>'ANSP Capex'!BG239*IF($I243="",(1+INDEX($I$41:$I$42,MATCH($F243,$F$41:$F$42,0))),(1+$I243))</f>
        <v>28</v>
      </c>
      <c r="BJ243" s="1126">
        <f>'ANSP Capex'!BH239*IF($I243="",(1+INDEX($I$41:$I$42,MATCH($F243,$F$41:$F$42,0))),(1+$I243))</f>
        <v>58.28</v>
      </c>
      <c r="BK243" s="1126">
        <f>'ANSP Capex'!BI239*IF($I243="",(1+INDEX($I$41:$I$42,MATCH($F243,$F$41:$F$42,0))),(1+$I243))</f>
        <v>0</v>
      </c>
      <c r="BL243" s="1126">
        <f>'ANSP Capex'!BJ239*IF($I243="",(1+INDEX($I$41:$I$42,MATCH($F243,$F$41:$F$42,0))),(1+$I243))</f>
        <v>0</v>
      </c>
    </row>
    <row r="244" spans="1:64" outlineLevel="1">
      <c r="A244" s="1094"/>
      <c r="B244" s="1094"/>
      <c r="C244" s="1083" t="str">
        <f>'ANSP Capex'!C240</f>
        <v>Security Upgrades Cork Terminal</v>
      </c>
      <c r="D244" s="1083" t="str">
        <f>'ANSP Capex'!D240</f>
        <v>Security Upgrades</v>
      </c>
      <c r="E244" s="1083" t="str">
        <f>'ANSP Capex'!E240</f>
        <v>RP3-PROP-2</v>
      </c>
      <c r="F244" s="1083" t="str">
        <f>'ANSP Capex'!F240</f>
        <v>2021-2024</v>
      </c>
      <c r="G244" s="1101">
        <f t="shared" si="24"/>
        <v>46.120000000000005</v>
      </c>
      <c r="H244" s="1083" t="str">
        <f>'ANSP Capex'!H240</f>
        <v>€'000</v>
      </c>
      <c r="I244" s="829"/>
      <c r="J244" s="1097">
        <f>'ANSP Capex'!I240</f>
        <v>5</v>
      </c>
      <c r="K244" s="1124">
        <v>10</v>
      </c>
      <c r="L244" s="1098">
        <f t="shared" si="25"/>
        <v>120</v>
      </c>
      <c r="M244" s="153">
        <f t="shared" si="26"/>
        <v>0.1</v>
      </c>
      <c r="N244" s="1099"/>
      <c r="O244" s="1100">
        <f>'ANSP Capex'!M240</f>
        <v>0</v>
      </c>
      <c r="P244" s="1101">
        <f>IF($BH244=0,0,IF(SUM($O244:O244)&lt;($L244-12),12,$L244-SUM($O244:O244)))</f>
        <v>0</v>
      </c>
      <c r="Q244" s="1101">
        <f>IF($BH244=0,0,IF(SUM($O244:P244)&lt;($L244-12),12,$L244-SUM($O244:P244)))</f>
        <v>0</v>
      </c>
      <c r="R244" s="1101">
        <f>IF($BH244=0,0,IF(SUM($O244:Q244)&lt;($L244-12),12,$L244-SUM($O244:Q244)))</f>
        <v>0</v>
      </c>
      <c r="S244" s="1101">
        <f>IF($BH244=0,0,IF(SUM($O244:R244)&lt;($L244-12),12,$L244-SUM($O244:R244)))</f>
        <v>0</v>
      </c>
      <c r="U244" s="1100"/>
      <c r="V244" s="1100">
        <f>'ANSP Capex'!T240</f>
        <v>3</v>
      </c>
      <c r="W244" s="1101">
        <f>IF($BI244=0,0,IF(SUM($U244:V244)&lt;($L244-12),12,$L244-SUM($U244:V244)))</f>
        <v>12</v>
      </c>
      <c r="X244" s="1101">
        <f>IF($BI244=0,0,IF(SUM($U244:W244)&lt;($L244-12),12,$L244-SUM($U244:W244)))</f>
        <v>12</v>
      </c>
      <c r="Y244" s="1101">
        <f>IF($BI244=0,0,IF(SUM($U244:X244)&lt;($L244-12),12,$L244-SUM($U244:X244)))</f>
        <v>12</v>
      </c>
      <c r="AA244" s="1100"/>
      <c r="AB244" s="1100"/>
      <c r="AC244" s="1100">
        <f>'ANSP Capex'!AA240</f>
        <v>3</v>
      </c>
      <c r="AD244" s="1101">
        <f>IF($BJ244=0,0,IF(SUM($AA244:AC244)&lt;($L244-12),12,$L244-SUM($AA244:AC244)))</f>
        <v>12</v>
      </c>
      <c r="AE244" s="1101">
        <f>IF($BJ244=0,0,IF(SUM($AA244:AD244)&lt;($L244-12),12,$L244-SUM($AA244:AD244)))</f>
        <v>12</v>
      </c>
      <c r="AG244" s="1100"/>
      <c r="AH244" s="1100"/>
      <c r="AI244" s="1100"/>
      <c r="AJ244" s="1100">
        <f>'ANSP Capex'!AH240</f>
        <v>0</v>
      </c>
      <c r="AK244" s="1101">
        <f>IF($BK244=0,0,IF(SUM($AG244:AJ244)&lt;($L244-12),12,$L244-SUM($AG244:AJ244)))</f>
        <v>0</v>
      </c>
      <c r="AM244" s="1100"/>
      <c r="AN244" s="1100"/>
      <c r="AO244" s="1100"/>
      <c r="AP244" s="1100"/>
      <c r="AQ244" s="1100">
        <f>'ANSP Capex'!AO240</f>
        <v>0</v>
      </c>
      <c r="AS244" s="153">
        <f t="shared" si="27"/>
        <v>0</v>
      </c>
      <c r="AT244" s="153">
        <f t="shared" si="28"/>
        <v>0.25</v>
      </c>
      <c r="AU244" s="153">
        <f t="shared" si="29"/>
        <v>0.25</v>
      </c>
      <c r="AV244" s="153">
        <f t="shared" si="30"/>
        <v>0</v>
      </c>
      <c r="AW244" s="153">
        <f t="shared" si="31"/>
        <v>0</v>
      </c>
      <c r="AX244" s="153"/>
      <c r="AY244" s="1543">
        <f>'ANSP Capex'!AW240</f>
        <v>0</v>
      </c>
      <c r="AZ244" s="1102"/>
      <c r="BA244" s="1543">
        <f>'ANSP Capex'!AY240</f>
        <v>1</v>
      </c>
      <c r="BC244" s="1126"/>
      <c r="BD244" s="1126"/>
      <c r="BE244" s="1126"/>
      <c r="BF244" s="1126"/>
      <c r="BG244" s="1126"/>
      <c r="BH244" s="1126">
        <f>'ANSP Capex'!BF240*IF($I244="",(1+INDEX($I$41:$I$42,MATCH($F244,$F$41:$F$42,0))),(1+$I244))</f>
        <v>0</v>
      </c>
      <c r="BI244" s="1126">
        <f>'ANSP Capex'!BG240*IF($I244="",(1+INDEX($I$41:$I$42,MATCH($F244,$F$41:$F$42,0))),(1+$I244))</f>
        <v>16.12</v>
      </c>
      <c r="BJ244" s="1126">
        <f>'ANSP Capex'!BH240*IF($I244="",(1+INDEX($I$41:$I$42,MATCH($F244,$F$41:$F$42,0))),(1+$I244))</f>
        <v>30</v>
      </c>
      <c r="BK244" s="1126">
        <f>'ANSP Capex'!BI240*IF($I244="",(1+INDEX($I$41:$I$42,MATCH($F244,$F$41:$F$42,0))),(1+$I244))</f>
        <v>0</v>
      </c>
      <c r="BL244" s="1126">
        <f>'ANSP Capex'!BJ240*IF($I244="",(1+INDEX($I$41:$I$42,MATCH($F244,$F$41:$F$42,0))),(1+$I244))</f>
        <v>0</v>
      </c>
    </row>
    <row r="245" spans="1:64" outlineLevel="1">
      <c r="A245" s="1094"/>
      <c r="B245" s="1094"/>
      <c r="C245" s="1083" t="str">
        <f>'ANSP Capex'!C241</f>
        <v>Security Upgrades HQ Joint</v>
      </c>
      <c r="D245" s="1083" t="str">
        <f>'ANSP Capex'!D241</f>
        <v>Security Upgrades</v>
      </c>
      <c r="E245" s="1083" t="str">
        <f>'ANSP Capex'!E241</f>
        <v>RP3-PROP-2</v>
      </c>
      <c r="F245" s="1083" t="str">
        <f>'ANSP Capex'!F241</f>
        <v>2021-2024</v>
      </c>
      <c r="G245" s="1101">
        <f t="shared" si="24"/>
        <v>62</v>
      </c>
      <c r="H245" s="1083" t="str">
        <f>'ANSP Capex'!H241</f>
        <v>€'000</v>
      </c>
      <c r="I245" s="829"/>
      <c r="J245" s="1097">
        <f>'ANSP Capex'!I241</f>
        <v>5</v>
      </c>
      <c r="K245" s="1124">
        <v>10</v>
      </c>
      <c r="L245" s="1098">
        <f t="shared" si="25"/>
        <v>120</v>
      </c>
      <c r="M245" s="153">
        <f t="shared" si="26"/>
        <v>0.1</v>
      </c>
      <c r="N245" s="1099"/>
      <c r="O245" s="1100">
        <f>'ANSP Capex'!M241</f>
        <v>0</v>
      </c>
      <c r="P245" s="1101">
        <f>IF($BH245=0,0,IF(SUM($O245:O245)&lt;($L245-12),12,$L245-SUM($O245:O245)))</f>
        <v>0</v>
      </c>
      <c r="Q245" s="1101">
        <f>IF($BH245=0,0,IF(SUM($O245:P245)&lt;($L245-12),12,$L245-SUM($O245:P245)))</f>
        <v>0</v>
      </c>
      <c r="R245" s="1101">
        <f>IF($BH245=0,0,IF(SUM($O245:Q245)&lt;($L245-12),12,$L245-SUM($O245:Q245)))</f>
        <v>0</v>
      </c>
      <c r="S245" s="1101">
        <f>IF($BH245=0,0,IF(SUM($O245:R245)&lt;($L245-12),12,$L245-SUM($O245:R245)))</f>
        <v>0</v>
      </c>
      <c r="U245" s="1100"/>
      <c r="V245" s="1100">
        <f>'ANSP Capex'!T241</f>
        <v>0</v>
      </c>
      <c r="W245" s="1101">
        <f>IF($BI245=0,0,IF(SUM($U245:V245)&lt;($L245-12),12,$L245-SUM($U245:V245)))</f>
        <v>0</v>
      </c>
      <c r="X245" s="1101">
        <f>IF($BI245=0,0,IF(SUM($U245:W245)&lt;($L245-12),12,$L245-SUM($U245:W245)))</f>
        <v>0</v>
      </c>
      <c r="Y245" s="1101">
        <f>IF($BI245=0,0,IF(SUM($U245:X245)&lt;($L245-12),12,$L245-SUM($U245:X245)))</f>
        <v>0</v>
      </c>
      <c r="AA245" s="1100"/>
      <c r="AB245" s="1100"/>
      <c r="AC245" s="1100">
        <f>'ANSP Capex'!AA241</f>
        <v>0</v>
      </c>
      <c r="AD245" s="1101">
        <f>IF($BJ245=0,0,IF(SUM($AA245:AC245)&lt;($L245-12),12,$L245-SUM($AA245:AC245)))</f>
        <v>0</v>
      </c>
      <c r="AE245" s="1101">
        <f>IF($BJ245=0,0,IF(SUM($AA245:AD245)&lt;($L245-12),12,$L245-SUM($AA245:AD245)))</f>
        <v>0</v>
      </c>
      <c r="AG245" s="1100"/>
      <c r="AH245" s="1100"/>
      <c r="AI245" s="1100"/>
      <c r="AJ245" s="1100">
        <f>'ANSP Capex'!AH241</f>
        <v>12</v>
      </c>
      <c r="AK245" s="1101">
        <f>IF($BK245=0,0,IF(SUM($AG245:AJ245)&lt;($L245-12),12,$L245-SUM($AG245:AJ245)))</f>
        <v>12</v>
      </c>
      <c r="AM245" s="1100"/>
      <c r="AN245" s="1100"/>
      <c r="AO245" s="1100"/>
      <c r="AP245" s="1100"/>
      <c r="AQ245" s="1100">
        <f>'ANSP Capex'!AO241</f>
        <v>0</v>
      </c>
      <c r="AS245" s="153">
        <f t="shared" si="27"/>
        <v>0</v>
      </c>
      <c r="AT245" s="153">
        <f t="shared" si="28"/>
        <v>0</v>
      </c>
      <c r="AU245" s="153">
        <f t="shared" si="29"/>
        <v>0</v>
      </c>
      <c r="AV245" s="153">
        <f t="shared" si="30"/>
        <v>1</v>
      </c>
      <c r="AW245" s="153">
        <f t="shared" si="31"/>
        <v>0</v>
      </c>
      <c r="AX245" s="153"/>
      <c r="AY245" s="1543">
        <f>'ANSP Capex'!AW241</f>
        <v>0.73</v>
      </c>
      <c r="AZ245" s="1102"/>
      <c r="BA245" s="1543">
        <f>'ANSP Capex'!AY241</f>
        <v>0.15</v>
      </c>
      <c r="BC245" s="1126"/>
      <c r="BD245" s="1126"/>
      <c r="BE245" s="1126"/>
      <c r="BF245" s="1126"/>
      <c r="BG245" s="1126"/>
      <c r="BH245" s="1126">
        <f>'ANSP Capex'!BF241*IF($I245="",(1+INDEX($I$41:$I$42,MATCH($F245,$F$41:$F$42,0))),(1+$I245))</f>
        <v>0</v>
      </c>
      <c r="BI245" s="1126">
        <f>'ANSP Capex'!BG241*IF($I245="",(1+INDEX($I$41:$I$42,MATCH($F245,$F$41:$F$42,0))),(1+$I245))</f>
        <v>0</v>
      </c>
      <c r="BJ245" s="1126">
        <f>'ANSP Capex'!BH241*IF($I245="",(1+INDEX($I$41:$I$42,MATCH($F245,$F$41:$F$42,0))),(1+$I245))</f>
        <v>0</v>
      </c>
      <c r="BK245" s="1126">
        <f>'ANSP Capex'!BI241*IF($I245="",(1+INDEX($I$41:$I$42,MATCH($F245,$F$41:$F$42,0))),(1+$I245))</f>
        <v>62</v>
      </c>
      <c r="BL245" s="1126">
        <f>'ANSP Capex'!BJ241*IF($I245="",(1+INDEX($I$41:$I$42,MATCH($F245,$F$41:$F$42,0))),(1+$I245))</f>
        <v>0</v>
      </c>
    </row>
    <row r="246" spans="1:64" outlineLevel="1">
      <c r="A246" s="1094"/>
      <c r="B246" s="1094"/>
      <c r="C246" s="1083" t="str">
        <f>'ANSP Capex'!C242</f>
        <v>Rostering project</v>
      </c>
      <c r="D246" s="1083" t="str">
        <f>'ANSP Capex'!D242</f>
        <v>Rostering project</v>
      </c>
      <c r="E246" s="1083" t="str">
        <f>'ANSP Capex'!E242</f>
        <v>S027</v>
      </c>
      <c r="F246" s="1083" t="str">
        <f>'ANSP Capex'!F242</f>
        <v>2021-2024</v>
      </c>
      <c r="G246" s="1101">
        <f t="shared" si="24"/>
        <v>1040</v>
      </c>
      <c r="H246" s="1083" t="str">
        <f>'ANSP Capex'!H242</f>
        <v>€'000</v>
      </c>
      <c r="I246" s="829"/>
      <c r="J246" s="1097">
        <f>'ANSP Capex'!I242</f>
        <v>8</v>
      </c>
      <c r="K246" s="1124">
        <v>0</v>
      </c>
      <c r="L246" s="1098">
        <f t="shared" si="25"/>
        <v>96</v>
      </c>
      <c r="M246" s="153">
        <f t="shared" si="26"/>
        <v>0.125</v>
      </c>
      <c r="N246" s="1099"/>
      <c r="O246" s="1100">
        <f>'ANSP Capex'!M242</f>
        <v>0</v>
      </c>
      <c r="P246" s="1101">
        <f>IF($BH246=0,0,IF(SUM($O246:O246)&lt;($L246-12),12,$L246-SUM($O246:O246)))</f>
        <v>0</v>
      </c>
      <c r="Q246" s="1101">
        <f>IF($BH246=0,0,IF(SUM($O246:P246)&lt;($L246-12),12,$L246-SUM($O246:P246)))</f>
        <v>0</v>
      </c>
      <c r="R246" s="1101">
        <f>IF($BH246=0,0,IF(SUM($O246:Q246)&lt;($L246-12),12,$L246-SUM($O246:Q246)))</f>
        <v>0</v>
      </c>
      <c r="S246" s="1101">
        <f>IF($BH246=0,0,IF(SUM($O246:R246)&lt;($L246-12),12,$L246-SUM($O246:R246)))</f>
        <v>0</v>
      </c>
      <c r="U246" s="1100"/>
      <c r="V246" s="1100">
        <f>'ANSP Capex'!T242</f>
        <v>0</v>
      </c>
      <c r="W246" s="1101">
        <f>IF($BI246=0,0,IF(SUM($U246:V246)&lt;($L246-12),12,$L246-SUM($U246:V246)))</f>
        <v>0</v>
      </c>
      <c r="X246" s="1101">
        <f>IF($BI246=0,0,IF(SUM($U246:W246)&lt;($L246-12),12,$L246-SUM($U246:W246)))</f>
        <v>0</v>
      </c>
      <c r="Y246" s="1101">
        <f>IF($BI246=0,0,IF(SUM($U246:X246)&lt;($L246-12),12,$L246-SUM($U246:X246)))</f>
        <v>0</v>
      </c>
      <c r="AA246" s="1100"/>
      <c r="AB246" s="1100"/>
      <c r="AC246" s="1100">
        <f>'ANSP Capex'!AA242</f>
        <v>6</v>
      </c>
      <c r="AD246" s="1101">
        <f>IF($BJ246=0,0,IF(SUM($AA246:AC246)&lt;($L246-12),12,$L246-SUM($AA246:AC246)))</f>
        <v>12</v>
      </c>
      <c r="AE246" s="1101">
        <f>IF($BJ246=0,0,IF(SUM($AA246:AD246)&lt;($L246-12),12,$L246-SUM($AA246:AD246)))</f>
        <v>12</v>
      </c>
      <c r="AG246" s="1100"/>
      <c r="AH246" s="1100"/>
      <c r="AI246" s="1100"/>
      <c r="AJ246" s="1100">
        <f>'ANSP Capex'!AH242</f>
        <v>0</v>
      </c>
      <c r="AK246" s="1101">
        <f>IF($BK246=0,0,IF(SUM($AG246:AJ246)&lt;($L246-12),12,$L246-SUM($AG246:AJ246)))</f>
        <v>0</v>
      </c>
      <c r="AM246" s="1100"/>
      <c r="AN246" s="1100"/>
      <c r="AO246" s="1100"/>
      <c r="AP246" s="1100"/>
      <c r="AQ246" s="1100">
        <f>'ANSP Capex'!AO242</f>
        <v>0</v>
      </c>
      <c r="AS246" s="153">
        <f t="shared" si="27"/>
        <v>0</v>
      </c>
      <c r="AT246" s="153">
        <f t="shared" si="28"/>
        <v>0</v>
      </c>
      <c r="AU246" s="153">
        <f t="shared" si="29"/>
        <v>0.5</v>
      </c>
      <c r="AV246" s="153">
        <f t="shared" si="30"/>
        <v>0</v>
      </c>
      <c r="AW246" s="153">
        <f t="shared" si="31"/>
        <v>0</v>
      </c>
      <c r="AX246" s="153"/>
      <c r="AY246" s="1543">
        <f>'ANSP Capex'!AW242</f>
        <v>0.75</v>
      </c>
      <c r="AZ246" s="1102"/>
      <c r="BA246" s="1543">
        <f>'ANSP Capex'!AY242</f>
        <v>0.25</v>
      </c>
      <c r="BC246" s="1126"/>
      <c r="BD246" s="1126"/>
      <c r="BE246" s="1126"/>
      <c r="BF246" s="1126"/>
      <c r="BG246" s="1126"/>
      <c r="BH246" s="1126">
        <f>'ANSP Capex'!BF242*IF($I246="",(1+INDEX($I$41:$I$42,MATCH($F246,$F$41:$F$42,0))),(1+$I246))</f>
        <v>0</v>
      </c>
      <c r="BI246" s="1126">
        <f>'ANSP Capex'!BG242*IF($I246="",(1+INDEX($I$41:$I$42,MATCH($F246,$F$41:$F$42,0))),(1+$I246))</f>
        <v>0</v>
      </c>
      <c r="BJ246" s="1126">
        <f>'ANSP Capex'!BH242*IF($I246="",(1+INDEX($I$41:$I$42,MATCH($F246,$F$41:$F$42,0))),(1+$I246))</f>
        <v>1040</v>
      </c>
      <c r="BK246" s="1126">
        <f>'ANSP Capex'!BI242*IF($I246="",(1+INDEX($I$41:$I$42,MATCH($F246,$F$41:$F$42,0))),(1+$I246))</f>
        <v>0</v>
      </c>
      <c r="BL246" s="1126">
        <f>'ANSP Capex'!BJ242*IF($I246="",(1+INDEX($I$41:$I$42,MATCH($F246,$F$41:$F$42,0))),(1+$I246))</f>
        <v>0</v>
      </c>
    </row>
    <row r="247" spans="1:64" outlineLevel="1">
      <c r="A247" s="1094"/>
      <c r="B247" s="1094"/>
      <c r="C247" s="1083" t="str">
        <f>'ANSP Capex'!C243</f>
        <v>New Tower Simulator Dublin IATS</v>
      </c>
      <c r="D247" s="1083" t="str">
        <f>'ANSP Capex'!D243</f>
        <v>New Tower Simulator Dublin IATS</v>
      </c>
      <c r="E247" s="1083" t="str">
        <f>'ANSP Capex'!E243</f>
        <v>R017</v>
      </c>
      <c r="F247" s="1083" t="str">
        <f>'ANSP Capex'!F243</f>
        <v>2021-2024</v>
      </c>
      <c r="G247" s="1101">
        <f t="shared" si="24"/>
        <v>800</v>
      </c>
      <c r="H247" s="1083" t="str">
        <f>'ANSP Capex'!H243</f>
        <v>€'000</v>
      </c>
      <c r="I247" s="829"/>
      <c r="J247" s="1097">
        <f>'ANSP Capex'!I243</f>
        <v>8</v>
      </c>
      <c r="K247" s="1124">
        <v>0</v>
      </c>
      <c r="L247" s="1098">
        <f t="shared" si="25"/>
        <v>96</v>
      </c>
      <c r="M247" s="153">
        <f t="shared" si="26"/>
        <v>0.125</v>
      </c>
      <c r="N247" s="1099"/>
      <c r="O247" s="1100">
        <f>'ANSP Capex'!M243</f>
        <v>0</v>
      </c>
      <c r="P247" s="1101">
        <f>IF($BH247=0,0,IF(SUM($O247:O247)&lt;($L247-12),12,$L247-SUM($O247:O247)))</f>
        <v>0</v>
      </c>
      <c r="Q247" s="1101">
        <f>IF($BH247=0,0,IF(SUM($O247:P247)&lt;($L247-12),12,$L247-SUM($O247:P247)))</f>
        <v>0</v>
      </c>
      <c r="R247" s="1101">
        <f>IF($BH247=0,0,IF(SUM($O247:Q247)&lt;($L247-12),12,$L247-SUM($O247:Q247)))</f>
        <v>0</v>
      </c>
      <c r="S247" s="1101">
        <f>IF($BH247=0,0,IF(SUM($O247:R247)&lt;($L247-12),12,$L247-SUM($O247:R247)))</f>
        <v>0</v>
      </c>
      <c r="U247" s="1100"/>
      <c r="V247" s="1100">
        <f>'ANSP Capex'!T243</f>
        <v>0</v>
      </c>
      <c r="W247" s="1101">
        <f>IF($BI247=0,0,IF(SUM($U247:V247)&lt;($L247-12),12,$L247-SUM($U247:V247)))</f>
        <v>0</v>
      </c>
      <c r="X247" s="1101">
        <f>IF($BI247=0,0,IF(SUM($U247:W247)&lt;($L247-12),12,$L247-SUM($U247:W247)))</f>
        <v>0</v>
      </c>
      <c r="Y247" s="1101">
        <f>IF($BI247=0,0,IF(SUM($U247:X247)&lt;($L247-12),12,$L247-SUM($U247:X247)))</f>
        <v>0</v>
      </c>
      <c r="AA247" s="1100"/>
      <c r="AB247" s="1100"/>
      <c r="AC247" s="1100">
        <f>'ANSP Capex'!AA243</f>
        <v>0</v>
      </c>
      <c r="AD247" s="1101">
        <f>IF($BJ247=0,0,IF(SUM($AA247:AC247)&lt;($L247-12),12,$L247-SUM($AA247:AC247)))</f>
        <v>0</v>
      </c>
      <c r="AE247" s="1101">
        <f>IF($BJ247=0,0,IF(SUM($AA247:AD247)&lt;($L247-12),12,$L247-SUM($AA247:AD247)))</f>
        <v>0</v>
      </c>
      <c r="AG247" s="1100"/>
      <c r="AH247" s="1100"/>
      <c r="AI247" s="1100"/>
      <c r="AJ247" s="1100">
        <f>'ANSP Capex'!AH243</f>
        <v>0</v>
      </c>
      <c r="AK247" s="1101">
        <f>IF($BK247=0,0,IF(SUM($AG247:AJ247)&lt;($L247-12),12,$L247-SUM($AG247:AJ247)))</f>
        <v>0</v>
      </c>
      <c r="AM247" s="1100"/>
      <c r="AN247" s="1100"/>
      <c r="AO247" s="1100"/>
      <c r="AP247" s="1100"/>
      <c r="AQ247" s="1100">
        <f>'ANSP Capex'!AO243</f>
        <v>3</v>
      </c>
      <c r="AS247" s="153">
        <f t="shared" si="27"/>
        <v>0</v>
      </c>
      <c r="AT247" s="153">
        <f t="shared" si="28"/>
        <v>0</v>
      </c>
      <c r="AU247" s="153">
        <f t="shared" si="29"/>
        <v>0</v>
      </c>
      <c r="AV247" s="153">
        <f t="shared" si="30"/>
        <v>0</v>
      </c>
      <c r="AW247" s="153">
        <f t="shared" si="31"/>
        <v>0.25</v>
      </c>
      <c r="AX247" s="153"/>
      <c r="AY247" s="1543">
        <f>'ANSP Capex'!AW243</f>
        <v>0</v>
      </c>
      <c r="AZ247" s="1102"/>
      <c r="BA247" s="1543">
        <f>'ANSP Capex'!AY243</f>
        <v>1</v>
      </c>
      <c r="BC247" s="1126"/>
      <c r="BD247" s="1126"/>
      <c r="BE247" s="1126"/>
      <c r="BF247" s="1126"/>
      <c r="BG247" s="1126"/>
      <c r="BH247" s="1126">
        <f>'ANSP Capex'!BF243*IF($I247="",(1+INDEX($I$41:$I$42,MATCH($F247,$F$41:$F$42,0))),(1+$I247))</f>
        <v>0</v>
      </c>
      <c r="BI247" s="1126">
        <f>'ANSP Capex'!BG243*IF($I247="",(1+INDEX($I$41:$I$42,MATCH($F247,$F$41:$F$42,0))),(1+$I247))</f>
        <v>0</v>
      </c>
      <c r="BJ247" s="1126">
        <f>'ANSP Capex'!BH243*IF($I247="",(1+INDEX($I$41:$I$42,MATCH($F247,$F$41:$F$42,0))),(1+$I247))</f>
        <v>0</v>
      </c>
      <c r="BK247" s="1126">
        <f>'ANSP Capex'!BI243*IF($I247="",(1+INDEX($I$41:$I$42,MATCH($F247,$F$41:$F$42,0))),(1+$I247))</f>
        <v>0</v>
      </c>
      <c r="BL247" s="1126">
        <f>'ANSP Capex'!BJ243*IF($I247="",(1+INDEX($I$41:$I$42,MATCH($F247,$F$41:$F$42,0))),(1+$I247))</f>
        <v>800</v>
      </c>
    </row>
    <row r="248" spans="1:64" outlineLevel="1">
      <c r="A248" s="1094"/>
      <c r="B248" s="1094"/>
      <c r="C248" s="1083" t="str">
        <f>'ANSP Capex'!C244</f>
        <v>EDISON Core Network &amp; Cyber Security</v>
      </c>
      <c r="D248" s="1083" t="str">
        <f>'ANSP Capex'!D244</f>
        <v>EDISON Core Network &amp; Cyber Security</v>
      </c>
      <c r="E248" s="1083" t="str">
        <f>'ANSP Capex'!E244</f>
        <v>S007</v>
      </c>
      <c r="F248" s="1083" t="str">
        <f>'ANSP Capex'!F244</f>
        <v>2021-2024</v>
      </c>
      <c r="G248" s="1101">
        <f t="shared" si="24"/>
        <v>793.9824960000002</v>
      </c>
      <c r="H248" s="1083" t="str">
        <f>'ANSP Capex'!H244</f>
        <v>€'000</v>
      </c>
      <c r="I248" s="829"/>
      <c r="J248" s="1097">
        <f>'ANSP Capex'!I244</f>
        <v>8</v>
      </c>
      <c r="K248" s="1124">
        <v>0</v>
      </c>
      <c r="L248" s="1098">
        <f t="shared" si="25"/>
        <v>96</v>
      </c>
      <c r="M248" s="153">
        <f t="shared" si="26"/>
        <v>0.125</v>
      </c>
      <c r="N248" s="1099"/>
      <c r="O248" s="1100">
        <f>'ANSP Capex'!M244</f>
        <v>0</v>
      </c>
      <c r="P248" s="1101">
        <f>IF($BH248=0,0,IF(SUM($O248:O248)&lt;($L248-12),12,$L248-SUM($O248:O248)))</f>
        <v>0</v>
      </c>
      <c r="Q248" s="1101">
        <f>IF($BH248=0,0,IF(SUM($O248:P248)&lt;($L248-12),12,$L248-SUM($O248:P248)))</f>
        <v>0</v>
      </c>
      <c r="R248" s="1101">
        <f>IF($BH248=0,0,IF(SUM($O248:Q248)&lt;($L248-12),12,$L248-SUM($O248:Q248)))</f>
        <v>0</v>
      </c>
      <c r="S248" s="1101">
        <f>IF($BH248=0,0,IF(SUM($O248:R248)&lt;($L248-12),12,$L248-SUM($O248:R248)))</f>
        <v>0</v>
      </c>
      <c r="U248" s="1100"/>
      <c r="V248" s="1100">
        <f>'ANSP Capex'!T244</f>
        <v>0</v>
      </c>
      <c r="W248" s="1101">
        <f>IF($BI248=0,0,IF(SUM($U248:V248)&lt;($L248-12),12,$L248-SUM($U248:V248)))</f>
        <v>0</v>
      </c>
      <c r="X248" s="1101">
        <f>IF($BI248=0,0,IF(SUM($U248:W248)&lt;($L248-12),12,$L248-SUM($U248:W248)))</f>
        <v>0</v>
      </c>
      <c r="Y248" s="1101">
        <f>IF($BI248=0,0,IF(SUM($U248:X248)&lt;($L248-12),12,$L248-SUM($U248:X248)))</f>
        <v>0</v>
      </c>
      <c r="AA248" s="1100"/>
      <c r="AB248" s="1100"/>
      <c r="AC248" s="1100">
        <f>'ANSP Capex'!AA244</f>
        <v>6</v>
      </c>
      <c r="AD248" s="1101">
        <f>IF($BJ248=0,0,IF(SUM($AA248:AC248)&lt;($L248-12),12,$L248-SUM($AA248:AC248)))</f>
        <v>12</v>
      </c>
      <c r="AE248" s="1101">
        <f>IF($BJ248=0,0,IF(SUM($AA248:AD248)&lt;($L248-12),12,$L248-SUM($AA248:AD248)))</f>
        <v>12</v>
      </c>
      <c r="AG248" s="1100"/>
      <c r="AH248" s="1100"/>
      <c r="AI248" s="1100"/>
      <c r="AJ248" s="1100">
        <f>'ANSP Capex'!AH244</f>
        <v>0</v>
      </c>
      <c r="AK248" s="1101">
        <f>IF($BK248=0,0,IF(SUM($AG248:AJ248)&lt;($L248-12),12,$L248-SUM($AG248:AJ248)))</f>
        <v>0</v>
      </c>
      <c r="AM248" s="1100"/>
      <c r="AN248" s="1100"/>
      <c r="AO248" s="1100"/>
      <c r="AP248" s="1100"/>
      <c r="AQ248" s="1100">
        <f>'ANSP Capex'!AO244</f>
        <v>0</v>
      </c>
      <c r="AS248" s="153">
        <f t="shared" si="27"/>
        <v>0</v>
      </c>
      <c r="AT248" s="153">
        <f t="shared" si="28"/>
        <v>0</v>
      </c>
      <c r="AU248" s="153">
        <f t="shared" si="29"/>
        <v>0.5</v>
      </c>
      <c r="AV248" s="153">
        <f t="shared" si="30"/>
        <v>0</v>
      </c>
      <c r="AW248" s="153">
        <f t="shared" si="31"/>
        <v>0</v>
      </c>
      <c r="AX248" s="153"/>
      <c r="AY248" s="1543">
        <f>'ANSP Capex'!AW244</f>
        <v>0.75</v>
      </c>
      <c r="AZ248" s="1102"/>
      <c r="BA248" s="1543">
        <f>'ANSP Capex'!AY244</f>
        <v>0.25</v>
      </c>
      <c r="BC248" s="1126"/>
      <c r="BD248" s="1126"/>
      <c r="BE248" s="1126"/>
      <c r="BF248" s="1126"/>
      <c r="BG248" s="1126"/>
      <c r="BH248" s="1126">
        <f>'ANSP Capex'!BF244*IF($I248="",(1+INDEX($I$41:$I$42,MATCH($F248,$F$41:$F$42,0))),(1+$I248))</f>
        <v>0</v>
      </c>
      <c r="BI248" s="1126">
        <f>'ANSP Capex'!BG244*IF($I248="",(1+INDEX($I$41:$I$42,MATCH($F248,$F$41:$F$42,0))),(1+$I248))</f>
        <v>0</v>
      </c>
      <c r="BJ248" s="1126">
        <f>'ANSP Capex'!BH244*IF($I248="",(1+INDEX($I$41:$I$42,MATCH($F248,$F$41:$F$42,0))),(1+$I248))</f>
        <v>793.9824960000002</v>
      </c>
      <c r="BK248" s="1126">
        <f>'ANSP Capex'!BI244*IF($I248="",(1+INDEX($I$41:$I$42,MATCH($F248,$F$41:$F$42,0))),(1+$I248))</f>
        <v>0</v>
      </c>
      <c r="BL248" s="1126">
        <f>'ANSP Capex'!BJ244*IF($I248="",(1+INDEX($I$41:$I$42,MATCH($F248,$F$41:$F$42,0))),(1+$I248))</f>
        <v>0</v>
      </c>
    </row>
    <row r="249" spans="1:64" outlineLevel="1">
      <c r="A249" s="1094"/>
      <c r="B249" s="1094"/>
      <c r="C249" s="1083" t="str">
        <f>'ANSP Capex'!C245</f>
        <v>Chiller and AHU Replacement Dublin</v>
      </c>
      <c r="D249" s="1083" t="str">
        <f>'ANSP Capex'!D245</f>
        <v>Chiller and AHU Replacement Dublin</v>
      </c>
      <c r="E249" s="1083" t="str">
        <f>'ANSP Capex'!E245</f>
        <v>T014</v>
      </c>
      <c r="F249" s="1083" t="str">
        <f>'ANSP Capex'!F245</f>
        <v>2021-2024</v>
      </c>
      <c r="G249" s="1101">
        <f t="shared" si="24"/>
        <v>750.52168000000006</v>
      </c>
      <c r="H249" s="1083" t="str">
        <f>'ANSP Capex'!H245</f>
        <v>€'000</v>
      </c>
      <c r="I249" s="829"/>
      <c r="J249" s="1097">
        <f>'ANSP Capex'!I245</f>
        <v>5</v>
      </c>
      <c r="K249" s="1124">
        <v>15</v>
      </c>
      <c r="L249" s="1098">
        <f t="shared" si="25"/>
        <v>180</v>
      </c>
      <c r="M249" s="153">
        <f t="shared" si="26"/>
        <v>6.6666666666666666E-2</v>
      </c>
      <c r="N249" s="1099"/>
      <c r="O249" s="1100">
        <f>'ANSP Capex'!M245</f>
        <v>0</v>
      </c>
      <c r="P249" s="1101">
        <f>IF($BH249=0,0,IF(SUM($O249:O249)&lt;($L249-12),12,$L249-SUM($O249:O249)))</f>
        <v>0</v>
      </c>
      <c r="Q249" s="1101">
        <f>IF($BH249=0,0,IF(SUM($O249:P249)&lt;($L249-12),12,$L249-SUM($O249:P249)))</f>
        <v>0</v>
      </c>
      <c r="R249" s="1101">
        <f>IF($BH249=0,0,IF(SUM($O249:Q249)&lt;($L249-12),12,$L249-SUM($O249:Q249)))</f>
        <v>0</v>
      </c>
      <c r="S249" s="1101">
        <f>IF($BH249=0,0,IF(SUM($O249:R249)&lt;($L249-12),12,$L249-SUM($O249:R249)))</f>
        <v>0</v>
      </c>
      <c r="U249" s="1100"/>
      <c r="V249" s="1100">
        <f>'ANSP Capex'!T245</f>
        <v>4.0896346601404341</v>
      </c>
      <c r="W249" s="1101">
        <f>IF($BI249=0,0,IF(SUM($U249:V249)&lt;($L249-12),12,$L249-SUM($U249:V249)))</f>
        <v>12</v>
      </c>
      <c r="X249" s="1101">
        <f>IF($BI249=0,0,IF(SUM($U249:W249)&lt;($L249-12),12,$L249-SUM($U249:W249)))</f>
        <v>12</v>
      </c>
      <c r="Y249" s="1101">
        <f>IF($BI249=0,0,IF(SUM($U249:X249)&lt;($L249-12),12,$L249-SUM($U249:X249)))</f>
        <v>12</v>
      </c>
      <c r="AA249" s="1100"/>
      <c r="AB249" s="1100"/>
      <c r="AC249" s="1100">
        <f>'ANSP Capex'!AA245</f>
        <v>12</v>
      </c>
      <c r="AD249" s="1101">
        <f>IF($BJ249=0,0,IF(SUM($AA249:AC249)&lt;($L249-12),12,$L249-SUM($AA249:AC249)))</f>
        <v>12</v>
      </c>
      <c r="AE249" s="1101">
        <f>IF($BJ249=0,0,IF(SUM($AA249:AD249)&lt;($L249-12),12,$L249-SUM($AA249:AD249)))</f>
        <v>12</v>
      </c>
      <c r="AG249" s="1100"/>
      <c r="AH249" s="1100"/>
      <c r="AI249" s="1100"/>
      <c r="AJ249" s="1100">
        <f>'ANSP Capex'!AH245</f>
        <v>0</v>
      </c>
      <c r="AK249" s="1101">
        <f>IF($BK249=0,0,IF(SUM($AG249:AJ249)&lt;($L249-12),12,$L249-SUM($AG249:AJ249)))</f>
        <v>0</v>
      </c>
      <c r="AM249" s="1100"/>
      <c r="AN249" s="1100"/>
      <c r="AO249" s="1100"/>
      <c r="AP249" s="1100"/>
      <c r="AQ249" s="1100">
        <f>'ANSP Capex'!AO245</f>
        <v>0</v>
      </c>
      <c r="AS249" s="153">
        <f t="shared" si="27"/>
        <v>0</v>
      </c>
      <c r="AT249" s="153">
        <f t="shared" si="28"/>
        <v>0.34080288834503619</v>
      </c>
      <c r="AU249" s="153">
        <f t="shared" si="29"/>
        <v>1</v>
      </c>
      <c r="AV249" s="153">
        <f t="shared" si="30"/>
        <v>0</v>
      </c>
      <c r="AW249" s="153">
        <f t="shared" si="31"/>
        <v>0</v>
      </c>
      <c r="AX249" s="153"/>
      <c r="AY249" s="1543">
        <f>'ANSP Capex'!AW245</f>
        <v>0.75</v>
      </c>
      <c r="AZ249" s="1102"/>
      <c r="BA249" s="1543">
        <f>'ANSP Capex'!AY245</f>
        <v>0.25</v>
      </c>
      <c r="BC249" s="1126"/>
      <c r="BD249" s="1126"/>
      <c r="BE249" s="1126"/>
      <c r="BF249" s="1126"/>
      <c r="BG249" s="1126"/>
      <c r="BH249" s="1126">
        <f>'ANSP Capex'!BF245*IF($I249="",(1+INDEX($I$41:$I$42,MATCH($F249,$F$41:$F$42,0))),(1+$I249))</f>
        <v>0</v>
      </c>
      <c r="BI249" s="1126">
        <f>'ANSP Capex'!BG245*IF($I249="",(1+INDEX($I$41:$I$42,MATCH($F249,$F$41:$F$42,0))),(1+$I249))</f>
        <v>502.52168000000006</v>
      </c>
      <c r="BJ249" s="1126">
        <f>'ANSP Capex'!BH245*IF($I249="",(1+INDEX($I$41:$I$42,MATCH($F249,$F$41:$F$42,0))),(1+$I249))</f>
        <v>248</v>
      </c>
      <c r="BK249" s="1126">
        <f>'ANSP Capex'!BI245*IF($I249="",(1+INDEX($I$41:$I$42,MATCH($F249,$F$41:$F$42,0))),(1+$I249))</f>
        <v>0</v>
      </c>
      <c r="BL249" s="1126">
        <f>'ANSP Capex'!BJ245*IF($I249="",(1+INDEX($I$41:$I$42,MATCH($F249,$F$41:$F$42,0))),(1+$I249))</f>
        <v>0</v>
      </c>
    </row>
    <row r="250" spans="1:64" outlineLevel="1">
      <c r="A250" s="1094"/>
      <c r="B250" s="1094"/>
      <c r="C250" s="1083" t="str">
        <f>'ANSP Capex'!C246</f>
        <v>U023 2.6 GHz Filters (SHN)</v>
      </c>
      <c r="D250" s="1083" t="str">
        <f>'ANSP Capex'!D246</f>
        <v>U023 2.6 GHz Filters</v>
      </c>
      <c r="E250" s="1083" t="str">
        <f>'ANSP Capex'!E246</f>
        <v>U023</v>
      </c>
      <c r="F250" s="1083" t="str">
        <f>'ANSP Capex'!F246</f>
        <v>2021-2024</v>
      </c>
      <c r="G250" s="1101">
        <f t="shared" si="24"/>
        <v>240</v>
      </c>
      <c r="H250" s="1083" t="str">
        <f>'ANSP Capex'!H246</f>
        <v>€'000</v>
      </c>
      <c r="I250" s="829"/>
      <c r="J250" s="1097">
        <f>'ANSP Capex'!I246</f>
        <v>8</v>
      </c>
      <c r="K250" s="1124">
        <v>0</v>
      </c>
      <c r="L250" s="1098">
        <f t="shared" si="25"/>
        <v>96</v>
      </c>
      <c r="M250" s="153">
        <f t="shared" si="26"/>
        <v>0.125</v>
      </c>
      <c r="N250" s="1099"/>
      <c r="O250" s="1100">
        <f>'ANSP Capex'!M246</f>
        <v>0</v>
      </c>
      <c r="P250" s="1101">
        <f>IF($BH250=0,0,IF(SUM($O250:O250)&lt;($L250-12),12,$L250-SUM($O250:O250)))</f>
        <v>0</v>
      </c>
      <c r="Q250" s="1101">
        <f>IF($BH250=0,0,IF(SUM($O250:P250)&lt;($L250-12),12,$L250-SUM($O250:P250)))</f>
        <v>0</v>
      </c>
      <c r="R250" s="1101">
        <f>IF($BH250=0,0,IF(SUM($O250:Q250)&lt;($L250-12),12,$L250-SUM($O250:Q250)))</f>
        <v>0</v>
      </c>
      <c r="S250" s="1101">
        <f>IF($BH250=0,0,IF(SUM($O250:R250)&lt;($L250-12),12,$L250-SUM($O250:R250)))</f>
        <v>0</v>
      </c>
      <c r="U250" s="1100"/>
      <c r="V250" s="1100">
        <f>'ANSP Capex'!T246</f>
        <v>3</v>
      </c>
      <c r="W250" s="1101">
        <f>IF($BI250=0,0,IF(SUM($U250:V250)&lt;($L250-12),12,$L250-SUM($U250:V250)))</f>
        <v>12</v>
      </c>
      <c r="X250" s="1101">
        <f>IF($BI250=0,0,IF(SUM($U250:W250)&lt;($L250-12),12,$L250-SUM($U250:W250)))</f>
        <v>12</v>
      </c>
      <c r="Y250" s="1101">
        <f>IF($BI250=0,0,IF(SUM($U250:X250)&lt;($L250-12),12,$L250-SUM($U250:X250)))</f>
        <v>12</v>
      </c>
      <c r="AA250" s="1100"/>
      <c r="AB250" s="1100"/>
      <c r="AC250" s="1100">
        <f>'ANSP Capex'!AA246</f>
        <v>0</v>
      </c>
      <c r="AD250" s="1101">
        <f>IF($BJ250=0,0,IF(SUM($AA250:AC250)&lt;($L250-12),12,$L250-SUM($AA250:AC250)))</f>
        <v>0</v>
      </c>
      <c r="AE250" s="1101">
        <f>IF($BJ250=0,0,IF(SUM($AA250:AD250)&lt;($L250-12),12,$L250-SUM($AA250:AD250)))</f>
        <v>0</v>
      </c>
      <c r="AG250" s="1100"/>
      <c r="AH250" s="1100"/>
      <c r="AI250" s="1100"/>
      <c r="AJ250" s="1100">
        <f>'ANSP Capex'!AH246</f>
        <v>0</v>
      </c>
      <c r="AK250" s="1101">
        <f>IF($BK250=0,0,IF(SUM($AG250:AJ250)&lt;($L250-12),12,$L250-SUM($AG250:AJ250)))</f>
        <v>0</v>
      </c>
      <c r="AM250" s="1100"/>
      <c r="AN250" s="1100"/>
      <c r="AO250" s="1100"/>
      <c r="AP250" s="1100"/>
      <c r="AQ250" s="1100">
        <f>'ANSP Capex'!AO246</f>
        <v>0</v>
      </c>
      <c r="AS250" s="153">
        <f t="shared" si="27"/>
        <v>0</v>
      </c>
      <c r="AT250" s="153">
        <f t="shared" si="28"/>
        <v>0.25</v>
      </c>
      <c r="AU250" s="153">
        <f t="shared" si="29"/>
        <v>0</v>
      </c>
      <c r="AV250" s="153">
        <f t="shared" si="30"/>
        <v>0</v>
      </c>
      <c r="AW250" s="153">
        <f t="shared" si="31"/>
        <v>0</v>
      </c>
      <c r="AX250" s="153"/>
      <c r="AY250" s="1543">
        <f>'ANSP Capex'!AW246</f>
        <v>0.75</v>
      </c>
      <c r="AZ250" s="1102"/>
      <c r="BA250" s="1543">
        <f>'ANSP Capex'!AY246</f>
        <v>0.25</v>
      </c>
      <c r="BC250" s="1126"/>
      <c r="BD250" s="1126"/>
      <c r="BE250" s="1126"/>
      <c r="BF250" s="1126"/>
      <c r="BG250" s="1126"/>
      <c r="BH250" s="1126">
        <f>'ANSP Capex'!BF246*IF($I250="",(1+INDEX($I$41:$I$42,MATCH($F250,$F$41:$F$42,0))),(1+$I250))</f>
        <v>0</v>
      </c>
      <c r="BI250" s="1126">
        <f>'ANSP Capex'!BG246*IF($I250="",(1+INDEX($I$41:$I$42,MATCH($F250,$F$41:$F$42,0))),(1+$I250))</f>
        <v>240</v>
      </c>
      <c r="BJ250" s="1126">
        <f>'ANSP Capex'!BH246*IF($I250="",(1+INDEX($I$41:$I$42,MATCH($F250,$F$41:$F$42,0))),(1+$I250))</f>
        <v>0</v>
      </c>
      <c r="BK250" s="1126">
        <f>'ANSP Capex'!BI246*IF($I250="",(1+INDEX($I$41:$I$42,MATCH($F250,$F$41:$F$42,0))),(1+$I250))</f>
        <v>0</v>
      </c>
      <c r="BL250" s="1126">
        <f>'ANSP Capex'!BJ246*IF($I250="",(1+INDEX($I$41:$I$42,MATCH($F250,$F$41:$F$42,0))),(1+$I250))</f>
        <v>0</v>
      </c>
    </row>
    <row r="251" spans="1:64" outlineLevel="1">
      <c r="A251" s="1094"/>
      <c r="B251" s="1094"/>
      <c r="C251" s="1083" t="str">
        <f>'ANSP Capex'!C247</f>
        <v>U023 2.6 GHz Filters (CRK)</v>
      </c>
      <c r="D251" s="1083" t="str">
        <f>'ANSP Capex'!D247</f>
        <v>U023 2.6 GHz Filters</v>
      </c>
      <c r="E251" s="1083" t="str">
        <f>'ANSP Capex'!E247</f>
        <v>U023A</v>
      </c>
      <c r="F251" s="1083" t="str">
        <f>'ANSP Capex'!F247</f>
        <v>2021-2024</v>
      </c>
      <c r="G251" s="1101">
        <f t="shared" si="24"/>
        <v>240</v>
      </c>
      <c r="H251" s="1083" t="str">
        <f>'ANSP Capex'!H247</f>
        <v>€'000</v>
      </c>
      <c r="I251" s="829"/>
      <c r="J251" s="1097">
        <f>'ANSP Capex'!I247</f>
        <v>8</v>
      </c>
      <c r="K251" s="1124">
        <v>0</v>
      </c>
      <c r="L251" s="1098">
        <f t="shared" si="25"/>
        <v>96</v>
      </c>
      <c r="M251" s="153">
        <f t="shared" si="26"/>
        <v>0.125</v>
      </c>
      <c r="N251" s="1099"/>
      <c r="O251" s="1100">
        <f>'ANSP Capex'!M247</f>
        <v>0</v>
      </c>
      <c r="P251" s="1101">
        <f>IF($BH251=0,0,IF(SUM($O251:O251)&lt;($L251-12),12,$L251-SUM($O251:O251)))</f>
        <v>0</v>
      </c>
      <c r="Q251" s="1101">
        <f>IF($BH251=0,0,IF(SUM($O251:P251)&lt;($L251-12),12,$L251-SUM($O251:P251)))</f>
        <v>0</v>
      </c>
      <c r="R251" s="1101">
        <f>IF($BH251=0,0,IF(SUM($O251:Q251)&lt;($L251-12),12,$L251-SUM($O251:Q251)))</f>
        <v>0</v>
      </c>
      <c r="S251" s="1101">
        <f>IF($BH251=0,0,IF(SUM($O251:R251)&lt;($L251-12),12,$L251-SUM($O251:R251)))</f>
        <v>0</v>
      </c>
      <c r="U251" s="1100"/>
      <c r="V251" s="1100">
        <f>'ANSP Capex'!T247</f>
        <v>3</v>
      </c>
      <c r="W251" s="1101">
        <f>IF($BI251=0,0,IF(SUM($U251:V251)&lt;($L251-12),12,$L251-SUM($U251:V251)))</f>
        <v>12</v>
      </c>
      <c r="X251" s="1101">
        <f>IF($BI251=0,0,IF(SUM($U251:W251)&lt;($L251-12),12,$L251-SUM($U251:W251)))</f>
        <v>12</v>
      </c>
      <c r="Y251" s="1101">
        <f>IF($BI251=0,0,IF(SUM($U251:X251)&lt;($L251-12),12,$L251-SUM($U251:X251)))</f>
        <v>12</v>
      </c>
      <c r="AA251" s="1100"/>
      <c r="AB251" s="1100"/>
      <c r="AC251" s="1100">
        <f>'ANSP Capex'!AA247</f>
        <v>0</v>
      </c>
      <c r="AD251" s="1101">
        <f>IF($BJ251=0,0,IF(SUM($AA251:AC251)&lt;($L251-12),12,$L251-SUM($AA251:AC251)))</f>
        <v>0</v>
      </c>
      <c r="AE251" s="1101">
        <f>IF($BJ251=0,0,IF(SUM($AA251:AD251)&lt;($L251-12),12,$L251-SUM($AA251:AD251)))</f>
        <v>0</v>
      </c>
      <c r="AG251" s="1100"/>
      <c r="AH251" s="1100"/>
      <c r="AI251" s="1100"/>
      <c r="AJ251" s="1100">
        <f>'ANSP Capex'!AH247</f>
        <v>0</v>
      </c>
      <c r="AK251" s="1101">
        <f>IF($BK251=0,0,IF(SUM($AG251:AJ251)&lt;($L251-12),12,$L251-SUM($AG251:AJ251)))</f>
        <v>0</v>
      </c>
      <c r="AM251" s="1100"/>
      <c r="AN251" s="1100"/>
      <c r="AO251" s="1100"/>
      <c r="AP251" s="1100"/>
      <c r="AQ251" s="1100">
        <f>'ANSP Capex'!AO247</f>
        <v>0</v>
      </c>
      <c r="AS251" s="153">
        <f t="shared" si="27"/>
        <v>0</v>
      </c>
      <c r="AT251" s="153">
        <f t="shared" si="28"/>
        <v>0.25</v>
      </c>
      <c r="AU251" s="153">
        <f t="shared" si="29"/>
        <v>0</v>
      </c>
      <c r="AV251" s="153">
        <f t="shared" si="30"/>
        <v>0</v>
      </c>
      <c r="AW251" s="153">
        <f t="shared" si="31"/>
        <v>0</v>
      </c>
      <c r="AX251" s="153"/>
      <c r="AY251" s="1543">
        <f>'ANSP Capex'!AW247</f>
        <v>0.5</v>
      </c>
      <c r="AZ251" s="1102"/>
      <c r="BA251" s="1543">
        <f>'ANSP Capex'!AY247</f>
        <v>0.5</v>
      </c>
      <c r="BC251" s="1126"/>
      <c r="BD251" s="1126"/>
      <c r="BE251" s="1126"/>
      <c r="BF251" s="1126"/>
      <c r="BG251" s="1126"/>
      <c r="BH251" s="1126">
        <f>'ANSP Capex'!BF247*IF($I251="",(1+INDEX($I$41:$I$42,MATCH($F251,$F$41:$F$42,0))),(1+$I251))</f>
        <v>0</v>
      </c>
      <c r="BI251" s="1126">
        <f>'ANSP Capex'!BG247*IF($I251="",(1+INDEX($I$41:$I$42,MATCH($F251,$F$41:$F$42,0))),(1+$I251))</f>
        <v>240</v>
      </c>
      <c r="BJ251" s="1126">
        <f>'ANSP Capex'!BH247*IF($I251="",(1+INDEX($I$41:$I$42,MATCH($F251,$F$41:$F$42,0))),(1+$I251))</f>
        <v>0</v>
      </c>
      <c r="BK251" s="1126">
        <f>'ANSP Capex'!BI247*IF($I251="",(1+INDEX($I$41:$I$42,MATCH($F251,$F$41:$F$42,0))),(1+$I251))</f>
        <v>0</v>
      </c>
      <c r="BL251" s="1126">
        <f>'ANSP Capex'!BJ247*IF($I251="",(1+INDEX($I$41:$I$42,MATCH($F251,$F$41:$F$42,0))),(1+$I251))</f>
        <v>0</v>
      </c>
    </row>
    <row r="252" spans="1:64" outlineLevel="1">
      <c r="A252" s="1094"/>
      <c r="B252" s="1094"/>
      <c r="C252" s="1083" t="str">
        <f>'ANSP Capex'!C248</f>
        <v>U023 2.6 GHz Filters (DUB)</v>
      </c>
      <c r="D252" s="1083" t="str">
        <f>'ANSP Capex'!D248</f>
        <v>U023 2.6 GHz Filters</v>
      </c>
      <c r="E252" s="1083" t="str">
        <f>'ANSP Capex'!E248</f>
        <v>U023A</v>
      </c>
      <c r="F252" s="1083" t="str">
        <f>'ANSP Capex'!F248</f>
        <v>2021-2024</v>
      </c>
      <c r="G252" s="1101">
        <f t="shared" si="24"/>
        <v>240</v>
      </c>
      <c r="H252" s="1083" t="str">
        <f>'ANSP Capex'!H248</f>
        <v>€'000</v>
      </c>
      <c r="I252" s="829"/>
      <c r="J252" s="1097">
        <f>'ANSP Capex'!I248</f>
        <v>8</v>
      </c>
      <c r="K252" s="1124">
        <v>0</v>
      </c>
      <c r="L252" s="1098">
        <f t="shared" si="25"/>
        <v>96</v>
      </c>
      <c r="M252" s="153">
        <f t="shared" si="26"/>
        <v>0.125</v>
      </c>
      <c r="N252" s="1099"/>
      <c r="O252" s="1100">
        <f>'ANSP Capex'!M248</f>
        <v>0</v>
      </c>
      <c r="P252" s="1101">
        <f>IF($BH252=0,0,IF(SUM($O252:O252)&lt;($L252-12),12,$L252-SUM($O252:O252)))</f>
        <v>0</v>
      </c>
      <c r="Q252" s="1101">
        <f>IF($BH252=0,0,IF(SUM($O252:P252)&lt;($L252-12),12,$L252-SUM($O252:P252)))</f>
        <v>0</v>
      </c>
      <c r="R252" s="1101">
        <f>IF($BH252=0,0,IF(SUM($O252:Q252)&lt;($L252-12),12,$L252-SUM($O252:Q252)))</f>
        <v>0</v>
      </c>
      <c r="S252" s="1101">
        <f>IF($BH252=0,0,IF(SUM($O252:R252)&lt;($L252-12),12,$L252-SUM($O252:R252)))</f>
        <v>0</v>
      </c>
      <c r="U252" s="1100"/>
      <c r="V252" s="1100">
        <f>'ANSP Capex'!T248</f>
        <v>0</v>
      </c>
      <c r="W252" s="1101">
        <f>IF($BI252=0,0,IF(SUM($U252:V252)&lt;($L252-12),12,$L252-SUM($U252:V252)))</f>
        <v>0</v>
      </c>
      <c r="X252" s="1101">
        <f>IF($BI252=0,0,IF(SUM($U252:W252)&lt;($L252-12),12,$L252-SUM($U252:W252)))</f>
        <v>0</v>
      </c>
      <c r="Y252" s="1101">
        <f>IF($BI252=0,0,IF(SUM($U252:X252)&lt;($L252-12),12,$L252-SUM($U252:X252)))</f>
        <v>0</v>
      </c>
      <c r="AA252" s="1100"/>
      <c r="AB252" s="1100"/>
      <c r="AC252" s="1100">
        <f>'ANSP Capex'!AA248</f>
        <v>12</v>
      </c>
      <c r="AD252" s="1101">
        <f>IF($BJ252=0,0,IF(SUM($AA252:AC252)&lt;($L252-12),12,$L252-SUM($AA252:AC252)))</f>
        <v>12</v>
      </c>
      <c r="AE252" s="1101">
        <f>IF($BJ252=0,0,IF(SUM($AA252:AD252)&lt;($L252-12),12,$L252-SUM($AA252:AD252)))</f>
        <v>12</v>
      </c>
      <c r="AG252" s="1100"/>
      <c r="AH252" s="1100"/>
      <c r="AI252" s="1100"/>
      <c r="AJ252" s="1100">
        <f>'ANSP Capex'!AH248</f>
        <v>0</v>
      </c>
      <c r="AK252" s="1101">
        <f>IF($BK252=0,0,IF(SUM($AG252:AJ252)&lt;($L252-12),12,$L252-SUM($AG252:AJ252)))</f>
        <v>0</v>
      </c>
      <c r="AM252" s="1100"/>
      <c r="AN252" s="1100"/>
      <c r="AO252" s="1100"/>
      <c r="AP252" s="1100"/>
      <c r="AQ252" s="1100">
        <f>'ANSP Capex'!AO248</f>
        <v>0</v>
      </c>
      <c r="AS252" s="153">
        <f t="shared" si="27"/>
        <v>0</v>
      </c>
      <c r="AT252" s="153">
        <f t="shared" si="28"/>
        <v>0</v>
      </c>
      <c r="AU252" s="153">
        <f t="shared" si="29"/>
        <v>1</v>
      </c>
      <c r="AV252" s="153">
        <f t="shared" si="30"/>
        <v>0</v>
      </c>
      <c r="AW252" s="153">
        <f t="shared" si="31"/>
        <v>0</v>
      </c>
      <c r="AX252" s="153"/>
      <c r="AY252" s="1543">
        <f>'ANSP Capex'!AW248</f>
        <v>0.75</v>
      </c>
      <c r="AZ252" s="1102"/>
      <c r="BA252" s="1543">
        <f>'ANSP Capex'!AY248</f>
        <v>0.25</v>
      </c>
      <c r="BC252" s="1126"/>
      <c r="BD252" s="1126"/>
      <c r="BE252" s="1126"/>
      <c r="BF252" s="1126"/>
      <c r="BG252" s="1126"/>
      <c r="BH252" s="1126">
        <f>'ANSP Capex'!BF248*IF($I252="",(1+INDEX($I$41:$I$42,MATCH($F252,$F$41:$F$42,0))),(1+$I252))</f>
        <v>0</v>
      </c>
      <c r="BI252" s="1126">
        <f>'ANSP Capex'!BG248*IF($I252="",(1+INDEX($I$41:$I$42,MATCH($F252,$F$41:$F$42,0))),(1+$I252))</f>
        <v>0</v>
      </c>
      <c r="BJ252" s="1126">
        <f>'ANSP Capex'!BH248*IF($I252="",(1+INDEX($I$41:$I$42,MATCH($F252,$F$41:$F$42,0))),(1+$I252))</f>
        <v>240</v>
      </c>
      <c r="BK252" s="1126">
        <f>'ANSP Capex'!BI248*IF($I252="",(1+INDEX($I$41:$I$42,MATCH($F252,$F$41:$F$42,0))),(1+$I252))</f>
        <v>0</v>
      </c>
      <c r="BL252" s="1126">
        <f>'ANSP Capex'!BJ248*IF($I252="",(1+INDEX($I$41:$I$42,MATCH($F252,$F$41:$F$42,0))),(1+$I252))</f>
        <v>0</v>
      </c>
    </row>
    <row r="253" spans="1:64" outlineLevel="1">
      <c r="A253" s="1094"/>
      <c r="B253" s="1094"/>
      <c r="C253" s="1083" t="str">
        <f>'ANSP Capex'!C249</f>
        <v>SIEM &amp; SOC Software</v>
      </c>
      <c r="D253" s="1083" t="str">
        <f>'ANSP Capex'!D249</f>
        <v>SIEM &amp; SOC Software</v>
      </c>
      <c r="E253" s="1083" t="str">
        <f>'ANSP Capex'!E249</f>
        <v>U019</v>
      </c>
      <c r="F253" s="1083" t="str">
        <f>'ANSP Capex'!F249</f>
        <v>2021-2024</v>
      </c>
      <c r="G253" s="1101">
        <f t="shared" si="24"/>
        <v>640</v>
      </c>
      <c r="H253" s="1083" t="str">
        <f>'ANSP Capex'!H249</f>
        <v>€'000</v>
      </c>
      <c r="I253" s="829"/>
      <c r="J253" s="1097">
        <f>'ANSP Capex'!I249</f>
        <v>3</v>
      </c>
      <c r="K253" s="1124">
        <v>0</v>
      </c>
      <c r="L253" s="1098">
        <f t="shared" si="25"/>
        <v>36</v>
      </c>
      <c r="M253" s="153">
        <f t="shared" si="26"/>
        <v>0.33333333333333331</v>
      </c>
      <c r="N253" s="1099"/>
      <c r="O253" s="1100">
        <f>'ANSP Capex'!M249</f>
        <v>0</v>
      </c>
      <c r="P253" s="1101">
        <f>IF($BH253=0,0,IF(SUM($O253:O253)&lt;($L253-12),12,$L253-SUM($O253:O253)))</f>
        <v>0</v>
      </c>
      <c r="Q253" s="1101">
        <f>IF($BH253=0,0,IF(SUM($O253:P253)&lt;($L253-12),12,$L253-SUM($O253:P253)))</f>
        <v>0</v>
      </c>
      <c r="R253" s="1101">
        <f>IF($BH253=0,0,IF(SUM($O253:Q253)&lt;($L253-12),12,$L253-SUM($O253:Q253)))</f>
        <v>0</v>
      </c>
      <c r="S253" s="1101">
        <f>IF($BH253=0,0,IF(SUM($O253:R253)&lt;($L253-12),12,$L253-SUM($O253:R253)))</f>
        <v>0</v>
      </c>
      <c r="U253" s="1100"/>
      <c r="V253" s="1100">
        <f>'ANSP Capex'!T249</f>
        <v>0</v>
      </c>
      <c r="W253" s="1101">
        <f>IF($BI253=0,0,IF(SUM($U253:V253)&lt;($L253-12),12,$L253-SUM($U253:V253)))</f>
        <v>0</v>
      </c>
      <c r="X253" s="1101">
        <f>IF($BI253=0,0,IF(SUM($U253:W253)&lt;($L253-12),12,$L253-SUM($U253:W253)))</f>
        <v>0</v>
      </c>
      <c r="Y253" s="1101">
        <f>IF($BI253=0,0,IF(SUM($U253:X253)&lt;($L253-12),12,$L253-SUM($U253:X253)))</f>
        <v>0</v>
      </c>
      <c r="AA253" s="1100"/>
      <c r="AB253" s="1100"/>
      <c r="AC253" s="1100">
        <f>'ANSP Capex'!AA249</f>
        <v>9</v>
      </c>
      <c r="AD253" s="1101">
        <f>IF($BJ253=0,0,IF(SUM($AA253:AC253)&lt;($L253-12),12,$L253-SUM($AA253:AC253)))</f>
        <v>12</v>
      </c>
      <c r="AE253" s="1101">
        <f>IF($BJ253=0,0,IF(SUM($AA253:AD253)&lt;($L253-12),12,$L253-SUM($AA253:AD253)))</f>
        <v>12</v>
      </c>
      <c r="AG253" s="1100"/>
      <c r="AH253" s="1100"/>
      <c r="AI253" s="1100"/>
      <c r="AJ253" s="1100">
        <f>'ANSP Capex'!AH249</f>
        <v>0</v>
      </c>
      <c r="AK253" s="1101">
        <f>IF($BK253=0,0,IF(SUM($AG253:AJ253)&lt;($L253-12),12,$L253-SUM($AG253:AJ253)))</f>
        <v>0</v>
      </c>
      <c r="AM253" s="1100"/>
      <c r="AN253" s="1100"/>
      <c r="AO253" s="1100"/>
      <c r="AP253" s="1100"/>
      <c r="AQ253" s="1100">
        <f>'ANSP Capex'!AO249</f>
        <v>3.0000000000000009</v>
      </c>
      <c r="AS253" s="153">
        <f t="shared" si="27"/>
        <v>0</v>
      </c>
      <c r="AT253" s="153">
        <f t="shared" si="28"/>
        <v>0</v>
      </c>
      <c r="AU253" s="153">
        <f t="shared" si="29"/>
        <v>0.75</v>
      </c>
      <c r="AV253" s="153">
        <f t="shared" si="30"/>
        <v>0</v>
      </c>
      <c r="AW253" s="153">
        <f t="shared" si="31"/>
        <v>0.25000000000000006</v>
      </c>
      <c r="AX253" s="153"/>
      <c r="AY253" s="1543">
        <f>'ANSP Capex'!AW249</f>
        <v>0.73</v>
      </c>
      <c r="AZ253" s="1102"/>
      <c r="BA253" s="1543">
        <f>'ANSP Capex'!AY249</f>
        <v>0.15</v>
      </c>
      <c r="BC253" s="1126"/>
      <c r="BD253" s="1126"/>
      <c r="BE253" s="1126"/>
      <c r="BF253" s="1126"/>
      <c r="BG253" s="1126"/>
      <c r="BH253" s="1126">
        <f>'ANSP Capex'!BF249*IF($I253="",(1+INDEX($I$41:$I$42,MATCH($F253,$F$41:$F$42,0))),(1+$I253))</f>
        <v>0</v>
      </c>
      <c r="BI253" s="1126">
        <f>'ANSP Capex'!BG249*IF($I253="",(1+INDEX($I$41:$I$42,MATCH($F253,$F$41:$F$42,0))),(1+$I253))</f>
        <v>0</v>
      </c>
      <c r="BJ253" s="1126">
        <f>'ANSP Capex'!BH249*IF($I253="",(1+INDEX($I$41:$I$42,MATCH($F253,$F$41:$F$42,0))),(1+$I253))</f>
        <v>320</v>
      </c>
      <c r="BK253" s="1126">
        <f>'ANSP Capex'!BI249*IF($I253="",(1+INDEX($I$41:$I$42,MATCH($F253,$F$41:$F$42,0))),(1+$I253))</f>
        <v>0</v>
      </c>
      <c r="BL253" s="1126">
        <f>'ANSP Capex'!BJ249*IF($I253="",(1+INDEX($I$41:$I$42,MATCH($F253,$F$41:$F$42,0))),(1+$I253))</f>
        <v>320</v>
      </c>
    </row>
    <row r="254" spans="1:64" outlineLevel="1">
      <c r="A254" s="1094"/>
      <c r="B254" s="1094"/>
      <c r="C254" s="1083" t="str">
        <f>'ANSP Capex'!C250</f>
        <v>Aireon Infrastructure</v>
      </c>
      <c r="D254" s="1083" t="str">
        <f>'ANSP Capex'!D250</f>
        <v>Aireon Infrastructure</v>
      </c>
      <c r="E254" s="1083" t="str">
        <f>'ANSP Capex'!E250</f>
        <v>Q002</v>
      </c>
      <c r="F254" s="1083" t="str">
        <f>'ANSP Capex'!F250</f>
        <v>2021-2024</v>
      </c>
      <c r="G254" s="1101">
        <f t="shared" si="24"/>
        <v>633.86671200000001</v>
      </c>
      <c r="H254" s="1083" t="str">
        <f>'ANSP Capex'!H250</f>
        <v>€'000</v>
      </c>
      <c r="I254" s="829"/>
      <c r="J254" s="1097">
        <f>'ANSP Capex'!I250</f>
        <v>8</v>
      </c>
      <c r="K254" s="1124">
        <v>0</v>
      </c>
      <c r="L254" s="1098">
        <f t="shared" si="25"/>
        <v>96</v>
      </c>
      <c r="M254" s="153">
        <f t="shared" si="26"/>
        <v>0.125</v>
      </c>
      <c r="N254" s="1099"/>
      <c r="O254" s="1100">
        <f>'ANSP Capex'!M250</f>
        <v>0</v>
      </c>
      <c r="P254" s="1101">
        <f>IF($BH254=0,0,IF(SUM($O254:O254)&lt;($L254-12),12,$L254-SUM($O254:O254)))</f>
        <v>0</v>
      </c>
      <c r="Q254" s="1101">
        <f>IF($BH254=0,0,IF(SUM($O254:P254)&lt;($L254-12),12,$L254-SUM($O254:P254)))</f>
        <v>0</v>
      </c>
      <c r="R254" s="1101">
        <f>IF($BH254=0,0,IF(SUM($O254:Q254)&lt;($L254-12),12,$L254-SUM($O254:Q254)))</f>
        <v>0</v>
      </c>
      <c r="S254" s="1101">
        <f>IF($BH254=0,0,IF(SUM($O254:R254)&lt;($L254-12),12,$L254-SUM($O254:R254)))</f>
        <v>0</v>
      </c>
      <c r="U254" s="1100"/>
      <c r="V254" s="1100">
        <f>'ANSP Capex'!T250</f>
        <v>9</v>
      </c>
      <c r="W254" s="1101">
        <f>IF($BI254=0,0,IF(SUM($U254:V254)&lt;($L254-12),12,$L254-SUM($U254:V254)))</f>
        <v>12</v>
      </c>
      <c r="X254" s="1101">
        <f>IF($BI254=0,0,IF(SUM($U254:W254)&lt;($L254-12),12,$L254-SUM($U254:W254)))</f>
        <v>12</v>
      </c>
      <c r="Y254" s="1101">
        <f>IF($BI254=0,0,IF(SUM($U254:X254)&lt;($L254-12),12,$L254-SUM($U254:X254)))</f>
        <v>12</v>
      </c>
      <c r="AA254" s="1100"/>
      <c r="AB254" s="1100"/>
      <c r="AC254" s="1100">
        <f>'ANSP Capex'!AA250</f>
        <v>3</v>
      </c>
      <c r="AD254" s="1101">
        <f>IF($BJ254=0,0,IF(SUM($AA254:AC254)&lt;($L254-12),12,$L254-SUM($AA254:AC254)))</f>
        <v>12</v>
      </c>
      <c r="AE254" s="1101">
        <f>IF($BJ254=0,0,IF(SUM($AA254:AD254)&lt;($L254-12),12,$L254-SUM($AA254:AD254)))</f>
        <v>12</v>
      </c>
      <c r="AG254" s="1100"/>
      <c r="AH254" s="1100"/>
      <c r="AI254" s="1100"/>
      <c r="AJ254" s="1100">
        <f>'ANSP Capex'!AH250</f>
        <v>0</v>
      </c>
      <c r="AK254" s="1101">
        <f>IF($BK254=0,0,IF(SUM($AG254:AJ254)&lt;($L254-12),12,$L254-SUM($AG254:AJ254)))</f>
        <v>0</v>
      </c>
      <c r="AM254" s="1100"/>
      <c r="AN254" s="1100"/>
      <c r="AO254" s="1100"/>
      <c r="AP254" s="1100"/>
      <c r="AQ254" s="1100">
        <f>'ANSP Capex'!AO250</f>
        <v>0</v>
      </c>
      <c r="AS254" s="153">
        <f t="shared" si="27"/>
        <v>0</v>
      </c>
      <c r="AT254" s="153">
        <f t="shared" si="28"/>
        <v>0.75</v>
      </c>
      <c r="AU254" s="153">
        <f t="shared" si="29"/>
        <v>0.25</v>
      </c>
      <c r="AV254" s="153">
        <f t="shared" si="30"/>
        <v>0</v>
      </c>
      <c r="AW254" s="153">
        <f t="shared" si="31"/>
        <v>0</v>
      </c>
      <c r="AX254" s="153"/>
      <c r="AY254" s="1543">
        <f>'ANSP Capex'!AW250</f>
        <v>1</v>
      </c>
      <c r="AZ254" s="1102"/>
      <c r="BA254" s="1543">
        <f>'ANSP Capex'!AY250</f>
        <v>0</v>
      </c>
      <c r="BC254" s="1126"/>
      <c r="BD254" s="1126"/>
      <c r="BE254" s="1126"/>
      <c r="BF254" s="1126"/>
      <c r="BG254" s="1126"/>
      <c r="BH254" s="1126">
        <f>'ANSP Capex'!BF250*IF($I254="",(1+INDEX($I$41:$I$42,MATCH($F254,$F$41:$F$42,0))),(1+$I254))</f>
        <v>0</v>
      </c>
      <c r="BI254" s="1126">
        <f>'ANSP Capex'!BG250*IF($I254="",(1+INDEX($I$41:$I$42,MATCH($F254,$F$41:$F$42,0))),(1+$I254))</f>
        <v>48</v>
      </c>
      <c r="BJ254" s="1126">
        <f>'ANSP Capex'!BH250*IF($I254="",(1+INDEX($I$41:$I$42,MATCH($F254,$F$41:$F$42,0))),(1+$I254))</f>
        <v>585.86671200000001</v>
      </c>
      <c r="BK254" s="1126">
        <f>'ANSP Capex'!BI250*IF($I254="",(1+INDEX($I$41:$I$42,MATCH($F254,$F$41:$F$42,0))),(1+$I254))</f>
        <v>0</v>
      </c>
      <c r="BL254" s="1126">
        <f>'ANSP Capex'!BJ250*IF($I254="",(1+INDEX($I$41:$I$42,MATCH($F254,$F$41:$F$42,0))),(1+$I254))</f>
        <v>0</v>
      </c>
    </row>
    <row r="255" spans="1:64" outlineLevel="1">
      <c r="A255" s="1094"/>
      <c r="B255" s="1094"/>
      <c r="C255" s="1083" t="str">
        <f>'ANSP Capex'!C251</f>
        <v>Fire supression system</v>
      </c>
      <c r="D255" s="1083" t="str">
        <f>'ANSP Capex'!D251</f>
        <v>Fire supression system</v>
      </c>
      <c r="E255" s="1083" t="str">
        <f>'ANSP Capex'!E251</f>
        <v>U015</v>
      </c>
      <c r="F255" s="1083" t="str">
        <f>'ANSP Capex'!F251</f>
        <v>2021-2024</v>
      </c>
      <c r="G255" s="1101">
        <f t="shared" si="24"/>
        <v>0</v>
      </c>
      <c r="H255" s="1083" t="str">
        <f>'ANSP Capex'!H251</f>
        <v>€'000</v>
      </c>
      <c r="I255" s="829"/>
      <c r="J255" s="1097">
        <f>'ANSP Capex'!I251</f>
        <v>5</v>
      </c>
      <c r="K255" s="1124">
        <v>15</v>
      </c>
      <c r="L255" s="1098">
        <f t="shared" si="25"/>
        <v>180</v>
      </c>
      <c r="M255" s="153">
        <f t="shared" si="26"/>
        <v>6.6666666666666666E-2</v>
      </c>
      <c r="N255" s="1099"/>
      <c r="O255" s="1100">
        <f>'ANSP Capex'!M251</f>
        <v>0</v>
      </c>
      <c r="P255" s="1101">
        <f>IF($BH255=0,0,IF(SUM($O255:O255)&lt;($L255-12),12,$L255-SUM($O255:O255)))</f>
        <v>0</v>
      </c>
      <c r="Q255" s="1101">
        <f>IF($BH255=0,0,IF(SUM($O255:P255)&lt;($L255-12),12,$L255-SUM($O255:P255)))</f>
        <v>0</v>
      </c>
      <c r="R255" s="1101">
        <f>IF($BH255=0,0,IF(SUM($O255:Q255)&lt;($L255-12),12,$L255-SUM($O255:Q255)))</f>
        <v>0</v>
      </c>
      <c r="S255" s="1101">
        <f>IF($BH255=0,0,IF(SUM($O255:R255)&lt;($L255-12),12,$L255-SUM($O255:R255)))</f>
        <v>0</v>
      </c>
      <c r="U255" s="1100"/>
      <c r="V255" s="1100">
        <f>'ANSP Capex'!T251</f>
        <v>0</v>
      </c>
      <c r="W255" s="1101">
        <f>IF($BI255=0,0,IF(SUM($U255:V255)&lt;($L255-12),12,$L255-SUM($U255:V255)))</f>
        <v>0</v>
      </c>
      <c r="X255" s="1101">
        <f>IF($BI255=0,0,IF(SUM($U255:W255)&lt;($L255-12),12,$L255-SUM($U255:W255)))</f>
        <v>0</v>
      </c>
      <c r="Y255" s="1101">
        <f>IF($BI255=0,0,IF(SUM($U255:X255)&lt;($L255-12),12,$L255-SUM($U255:X255)))</f>
        <v>0</v>
      </c>
      <c r="AA255" s="1100"/>
      <c r="AB255" s="1100"/>
      <c r="AC255" s="1100">
        <f>'ANSP Capex'!AA251</f>
        <v>0</v>
      </c>
      <c r="AD255" s="1101">
        <f>IF($BJ255=0,0,IF(SUM($AA255:AC255)&lt;($L255-12),12,$L255-SUM($AA255:AC255)))</f>
        <v>0</v>
      </c>
      <c r="AE255" s="1101">
        <f>IF($BJ255=0,0,IF(SUM($AA255:AD255)&lt;($L255-12),12,$L255-SUM($AA255:AD255)))</f>
        <v>0</v>
      </c>
      <c r="AG255" s="1100"/>
      <c r="AH255" s="1100"/>
      <c r="AI255" s="1100"/>
      <c r="AJ255" s="1100">
        <f>'ANSP Capex'!AH251</f>
        <v>0</v>
      </c>
      <c r="AK255" s="1101">
        <f>IF($BK255=0,0,IF(SUM($AG255:AJ255)&lt;($L255-12),12,$L255-SUM($AG255:AJ255)))</f>
        <v>0</v>
      </c>
      <c r="AM255" s="1100"/>
      <c r="AN255" s="1100"/>
      <c r="AO255" s="1100"/>
      <c r="AP255" s="1100"/>
      <c r="AQ255" s="1100">
        <f>'ANSP Capex'!AO251</f>
        <v>0</v>
      </c>
      <c r="AS255" s="153">
        <f t="shared" si="27"/>
        <v>0</v>
      </c>
      <c r="AT255" s="153">
        <f t="shared" si="28"/>
        <v>0</v>
      </c>
      <c r="AU255" s="153">
        <f t="shared" si="29"/>
        <v>0</v>
      </c>
      <c r="AV255" s="153">
        <f t="shared" si="30"/>
        <v>0</v>
      </c>
      <c r="AW255" s="153">
        <f t="shared" si="31"/>
        <v>0</v>
      </c>
      <c r="AX255" s="153"/>
      <c r="AY255" s="1543">
        <f>'ANSP Capex'!AW251</f>
        <v>0.75</v>
      </c>
      <c r="AZ255" s="1102"/>
      <c r="BA255" s="1543">
        <f>'ANSP Capex'!AY251</f>
        <v>0.25</v>
      </c>
      <c r="BC255" s="1126"/>
      <c r="BD255" s="1126"/>
      <c r="BE255" s="1126"/>
      <c r="BF255" s="1126"/>
      <c r="BG255" s="1126"/>
      <c r="BH255" s="1126">
        <f>'ANSP Capex'!BF251*IF($I255="",(1+INDEX($I$41:$I$42,MATCH($F255,$F$41:$F$42,0))),(1+$I255))</f>
        <v>0</v>
      </c>
      <c r="BI255" s="1126">
        <f>'ANSP Capex'!BG251*IF($I255="",(1+INDEX($I$41:$I$42,MATCH($F255,$F$41:$F$42,0))),(1+$I255))</f>
        <v>0</v>
      </c>
      <c r="BJ255" s="1126">
        <f>'ANSP Capex'!BH251*IF($I255="",(1+INDEX($I$41:$I$42,MATCH($F255,$F$41:$F$42,0))),(1+$I255))</f>
        <v>0</v>
      </c>
      <c r="BK255" s="1126">
        <f>'ANSP Capex'!BI251*IF($I255="",(1+INDEX($I$41:$I$42,MATCH($F255,$F$41:$F$42,0))),(1+$I255))</f>
        <v>0</v>
      </c>
      <c r="BL255" s="1126">
        <f>'ANSP Capex'!BJ251*IF($I255="",(1+INDEX($I$41:$I$42,MATCH($F255,$F$41:$F$42,0))),(1+$I255))</f>
        <v>0</v>
      </c>
    </row>
    <row r="256" spans="1:64" outlineLevel="1">
      <c r="A256" s="1094"/>
      <c r="B256" s="1094"/>
      <c r="C256" s="1083" t="str">
        <f>'ANSP Capex'!C252</f>
        <v>Fire suppression system - Woodcock Hill</v>
      </c>
      <c r="D256" s="1083" t="str">
        <f>'ANSP Capex'!D252</f>
        <v>Fire supression system</v>
      </c>
      <c r="E256" s="1083" t="str">
        <f>'ANSP Capex'!E252</f>
        <v>U015A</v>
      </c>
      <c r="F256" s="1083" t="str">
        <f>'ANSP Capex'!F252</f>
        <v>2021-2024</v>
      </c>
      <c r="G256" s="1101">
        <f t="shared" si="24"/>
        <v>124</v>
      </c>
      <c r="H256" s="1083" t="str">
        <f>'ANSP Capex'!H252</f>
        <v>€'000</v>
      </c>
      <c r="I256" s="829"/>
      <c r="J256" s="1097">
        <f>'ANSP Capex'!I252</f>
        <v>5</v>
      </c>
      <c r="K256" s="1124">
        <v>15</v>
      </c>
      <c r="L256" s="1098">
        <f t="shared" si="25"/>
        <v>180</v>
      </c>
      <c r="M256" s="153">
        <f t="shared" si="26"/>
        <v>6.6666666666666666E-2</v>
      </c>
      <c r="N256" s="1099"/>
      <c r="O256" s="1100">
        <f>'ANSP Capex'!M252</f>
        <v>0</v>
      </c>
      <c r="P256" s="1101">
        <f>IF($BH256=0,0,IF(SUM($O256:O256)&lt;($L256-12),12,$L256-SUM($O256:O256)))</f>
        <v>0</v>
      </c>
      <c r="Q256" s="1101">
        <f>IF($BH256=0,0,IF(SUM($O256:P256)&lt;($L256-12),12,$L256-SUM($O256:P256)))</f>
        <v>0</v>
      </c>
      <c r="R256" s="1101">
        <f>IF($BH256=0,0,IF(SUM($O256:Q256)&lt;($L256-12),12,$L256-SUM($O256:Q256)))</f>
        <v>0</v>
      </c>
      <c r="S256" s="1101">
        <f>IF($BH256=0,0,IF(SUM($O256:R256)&lt;($L256-12),12,$L256-SUM($O256:R256)))</f>
        <v>0</v>
      </c>
      <c r="U256" s="1100"/>
      <c r="V256" s="1100">
        <f>'ANSP Capex'!T252</f>
        <v>3</v>
      </c>
      <c r="W256" s="1101">
        <f>IF($BI256=0,0,IF(SUM($U256:V256)&lt;($L256-12),12,$L256-SUM($U256:V256)))</f>
        <v>12</v>
      </c>
      <c r="X256" s="1101">
        <f>IF($BI256=0,0,IF(SUM($U256:W256)&lt;($L256-12),12,$L256-SUM($U256:W256)))</f>
        <v>12</v>
      </c>
      <c r="Y256" s="1101">
        <f>IF($BI256=0,0,IF(SUM($U256:X256)&lt;($L256-12),12,$L256-SUM($U256:X256)))</f>
        <v>12</v>
      </c>
      <c r="AA256" s="1100"/>
      <c r="AB256" s="1100"/>
      <c r="AC256" s="1100">
        <f>'ANSP Capex'!AA252</f>
        <v>12</v>
      </c>
      <c r="AD256" s="1101">
        <f>IF($BJ256=0,0,IF(SUM($AA256:AC256)&lt;($L256-12),12,$L256-SUM($AA256:AC256)))</f>
        <v>12</v>
      </c>
      <c r="AE256" s="1101">
        <f>IF($BJ256=0,0,IF(SUM($AA256:AD256)&lt;($L256-12),12,$L256-SUM($AA256:AD256)))</f>
        <v>12</v>
      </c>
      <c r="AG256" s="1100"/>
      <c r="AH256" s="1100"/>
      <c r="AI256" s="1100"/>
      <c r="AJ256" s="1100">
        <f>'ANSP Capex'!AH252</f>
        <v>0</v>
      </c>
      <c r="AK256" s="1101">
        <f>IF($BK256=0,0,IF(SUM($AG256:AJ256)&lt;($L256-12),12,$L256-SUM($AG256:AJ256)))</f>
        <v>0</v>
      </c>
      <c r="AM256" s="1100"/>
      <c r="AN256" s="1100"/>
      <c r="AO256" s="1100"/>
      <c r="AP256" s="1100"/>
      <c r="AQ256" s="1100">
        <f>'ANSP Capex'!AO252</f>
        <v>0</v>
      </c>
      <c r="AS256" s="153">
        <f t="shared" si="27"/>
        <v>0</v>
      </c>
      <c r="AT256" s="153">
        <f t="shared" si="28"/>
        <v>0.25</v>
      </c>
      <c r="AU256" s="153">
        <f t="shared" si="29"/>
        <v>1</v>
      </c>
      <c r="AV256" s="153">
        <f t="shared" si="30"/>
        <v>0</v>
      </c>
      <c r="AW256" s="153">
        <f t="shared" si="31"/>
        <v>0</v>
      </c>
      <c r="AX256" s="153"/>
      <c r="AY256" s="1543">
        <f>'ANSP Capex'!AW252</f>
        <v>1</v>
      </c>
      <c r="AZ256" s="1102"/>
      <c r="BA256" s="1543">
        <f>'ANSP Capex'!AY252</f>
        <v>0</v>
      </c>
      <c r="BC256" s="1126"/>
      <c r="BD256" s="1126"/>
      <c r="BE256" s="1126"/>
      <c r="BF256" s="1126"/>
      <c r="BG256" s="1126"/>
      <c r="BH256" s="1126">
        <f>'ANSP Capex'!BF252*IF($I256="",(1+INDEX($I$41:$I$42,MATCH($F256,$F$41:$F$42,0))),(1+$I256))</f>
        <v>0</v>
      </c>
      <c r="BI256" s="1126">
        <f>'ANSP Capex'!BG252*IF($I256="",(1+INDEX($I$41:$I$42,MATCH($F256,$F$41:$F$42,0))),(1+$I256))</f>
        <v>28</v>
      </c>
      <c r="BJ256" s="1126">
        <f>'ANSP Capex'!BH252*IF($I256="",(1+INDEX($I$41:$I$42,MATCH($F256,$F$41:$F$42,0))),(1+$I256))</f>
        <v>96</v>
      </c>
      <c r="BK256" s="1126">
        <f>'ANSP Capex'!BI252*IF($I256="",(1+INDEX($I$41:$I$42,MATCH($F256,$F$41:$F$42,0))),(1+$I256))</f>
        <v>0</v>
      </c>
      <c r="BL256" s="1126">
        <f>'ANSP Capex'!BJ252*IF($I256="",(1+INDEX($I$41:$I$42,MATCH($F256,$F$41:$F$42,0))),(1+$I256))</f>
        <v>0</v>
      </c>
    </row>
    <row r="257" spans="1:64" outlineLevel="1">
      <c r="A257" s="1094"/>
      <c r="B257" s="1094"/>
      <c r="C257" s="1083" t="str">
        <f>'ANSP Capex'!C253</f>
        <v>Fire suppression system - Mt Gabriel</v>
      </c>
      <c r="D257" s="1083" t="str">
        <f>'ANSP Capex'!D253</f>
        <v>Fire supression system</v>
      </c>
      <c r="E257" s="1083" t="str">
        <f>'ANSP Capex'!E253</f>
        <v>U015A</v>
      </c>
      <c r="F257" s="1083" t="str">
        <f>'ANSP Capex'!F253</f>
        <v>2021-2024</v>
      </c>
      <c r="G257" s="1101">
        <f t="shared" si="24"/>
        <v>124</v>
      </c>
      <c r="H257" s="1083" t="str">
        <f>'ANSP Capex'!H253</f>
        <v>€'000</v>
      </c>
      <c r="I257" s="829"/>
      <c r="J257" s="1097">
        <f>'ANSP Capex'!I253</f>
        <v>5</v>
      </c>
      <c r="K257" s="1124">
        <v>15</v>
      </c>
      <c r="L257" s="1098">
        <f t="shared" si="25"/>
        <v>180</v>
      </c>
      <c r="M257" s="153">
        <f t="shared" si="26"/>
        <v>6.6666666666666666E-2</v>
      </c>
      <c r="N257" s="1099"/>
      <c r="O257" s="1100">
        <f>'ANSP Capex'!M253</f>
        <v>0</v>
      </c>
      <c r="P257" s="1101">
        <f>IF($BH257=0,0,IF(SUM($O257:O257)&lt;($L257-12),12,$L257-SUM($O257:O257)))</f>
        <v>0</v>
      </c>
      <c r="Q257" s="1101">
        <f>IF($BH257=0,0,IF(SUM($O257:P257)&lt;($L257-12),12,$L257-SUM($O257:P257)))</f>
        <v>0</v>
      </c>
      <c r="R257" s="1101">
        <f>IF($BH257=0,0,IF(SUM($O257:Q257)&lt;($L257-12),12,$L257-SUM($O257:Q257)))</f>
        <v>0</v>
      </c>
      <c r="S257" s="1101">
        <f>IF($BH257=0,0,IF(SUM($O257:R257)&lt;($L257-12),12,$L257-SUM($O257:R257)))</f>
        <v>0</v>
      </c>
      <c r="U257" s="1100"/>
      <c r="V257" s="1100">
        <f>'ANSP Capex'!T253</f>
        <v>3</v>
      </c>
      <c r="W257" s="1101">
        <f>IF($BI257=0,0,IF(SUM($U257:V257)&lt;($L257-12),12,$L257-SUM($U257:V257)))</f>
        <v>12</v>
      </c>
      <c r="X257" s="1101">
        <f>IF($BI257=0,0,IF(SUM($U257:W257)&lt;($L257-12),12,$L257-SUM($U257:W257)))</f>
        <v>12</v>
      </c>
      <c r="Y257" s="1101">
        <f>IF($BI257=0,0,IF(SUM($U257:X257)&lt;($L257-12),12,$L257-SUM($U257:X257)))</f>
        <v>12</v>
      </c>
      <c r="AA257" s="1100"/>
      <c r="AB257" s="1100"/>
      <c r="AC257" s="1100">
        <f>'ANSP Capex'!AA253</f>
        <v>12</v>
      </c>
      <c r="AD257" s="1101">
        <f>IF($BJ257=0,0,IF(SUM($AA257:AC257)&lt;($L257-12),12,$L257-SUM($AA257:AC257)))</f>
        <v>12</v>
      </c>
      <c r="AE257" s="1101">
        <f>IF($BJ257=0,0,IF(SUM($AA257:AD257)&lt;($L257-12),12,$L257-SUM($AA257:AD257)))</f>
        <v>12</v>
      </c>
      <c r="AG257" s="1100"/>
      <c r="AH257" s="1100"/>
      <c r="AI257" s="1100"/>
      <c r="AJ257" s="1100">
        <f>'ANSP Capex'!AH253</f>
        <v>0</v>
      </c>
      <c r="AK257" s="1101">
        <f>IF($BK257=0,0,IF(SUM($AG257:AJ257)&lt;($L257-12),12,$L257-SUM($AG257:AJ257)))</f>
        <v>0</v>
      </c>
      <c r="AM257" s="1100"/>
      <c r="AN257" s="1100"/>
      <c r="AO257" s="1100"/>
      <c r="AP257" s="1100"/>
      <c r="AQ257" s="1100">
        <f>'ANSP Capex'!AO253</f>
        <v>0</v>
      </c>
      <c r="AS257" s="153">
        <f t="shared" si="27"/>
        <v>0</v>
      </c>
      <c r="AT257" s="153">
        <f t="shared" si="28"/>
        <v>0.25</v>
      </c>
      <c r="AU257" s="153">
        <f t="shared" si="29"/>
        <v>1</v>
      </c>
      <c r="AV257" s="153">
        <f t="shared" si="30"/>
        <v>0</v>
      </c>
      <c r="AW257" s="153">
        <f t="shared" si="31"/>
        <v>0</v>
      </c>
      <c r="AX257" s="153"/>
      <c r="AY257" s="1543">
        <f>'ANSP Capex'!AW253</f>
        <v>1</v>
      </c>
      <c r="AZ257" s="1102"/>
      <c r="BA257" s="1543">
        <f>'ANSP Capex'!AY253</f>
        <v>0</v>
      </c>
      <c r="BC257" s="1126"/>
      <c r="BD257" s="1126"/>
      <c r="BE257" s="1126"/>
      <c r="BF257" s="1126"/>
      <c r="BG257" s="1126"/>
      <c r="BH257" s="1126">
        <f>'ANSP Capex'!BF253*IF($I257="",(1+INDEX($I$41:$I$42,MATCH($F257,$F$41:$F$42,0))),(1+$I257))</f>
        <v>0</v>
      </c>
      <c r="BI257" s="1126">
        <f>'ANSP Capex'!BG253*IF($I257="",(1+INDEX($I$41:$I$42,MATCH($F257,$F$41:$F$42,0))),(1+$I257))</f>
        <v>28</v>
      </c>
      <c r="BJ257" s="1126">
        <f>'ANSP Capex'!BH253*IF($I257="",(1+INDEX($I$41:$I$42,MATCH($F257,$F$41:$F$42,0))),(1+$I257))</f>
        <v>96</v>
      </c>
      <c r="BK257" s="1126">
        <f>'ANSP Capex'!BI253*IF($I257="",(1+INDEX($I$41:$I$42,MATCH($F257,$F$41:$F$42,0))),(1+$I257))</f>
        <v>0</v>
      </c>
      <c r="BL257" s="1126">
        <f>'ANSP Capex'!BJ253*IF($I257="",(1+INDEX($I$41:$I$42,MATCH($F257,$F$41:$F$42,0))),(1+$I257))</f>
        <v>0</v>
      </c>
    </row>
    <row r="258" spans="1:64" outlineLevel="1">
      <c r="A258" s="1094"/>
      <c r="B258" s="1094"/>
      <c r="C258" s="1083" t="str">
        <f>'ANSP Capex'!C254</f>
        <v>Fire suppression system - Dooncarton</v>
      </c>
      <c r="D258" s="1083" t="str">
        <f>'ANSP Capex'!D254</f>
        <v>Fire supression system</v>
      </c>
      <c r="E258" s="1083" t="str">
        <f>'ANSP Capex'!E254</f>
        <v>U015A</v>
      </c>
      <c r="F258" s="1083" t="str">
        <f>'ANSP Capex'!F254</f>
        <v>2021-2024</v>
      </c>
      <c r="G258" s="1101">
        <f t="shared" si="24"/>
        <v>62</v>
      </c>
      <c r="H258" s="1083" t="str">
        <f>'ANSP Capex'!H254</f>
        <v>€'000</v>
      </c>
      <c r="I258" s="829"/>
      <c r="J258" s="1097">
        <f>'ANSP Capex'!I254</f>
        <v>5</v>
      </c>
      <c r="K258" s="1124">
        <v>15</v>
      </c>
      <c r="L258" s="1098">
        <f t="shared" si="25"/>
        <v>180</v>
      </c>
      <c r="M258" s="153">
        <f t="shared" si="26"/>
        <v>6.6666666666666666E-2</v>
      </c>
      <c r="N258" s="1099"/>
      <c r="O258" s="1100">
        <f>'ANSP Capex'!M254</f>
        <v>0</v>
      </c>
      <c r="P258" s="1101">
        <f>IF($BH258=0,0,IF(SUM($O258:O258)&lt;($L258-12),12,$L258-SUM($O258:O258)))</f>
        <v>0</v>
      </c>
      <c r="Q258" s="1101">
        <f>IF($BH258=0,0,IF(SUM($O258:P258)&lt;($L258-12),12,$L258-SUM($O258:P258)))</f>
        <v>0</v>
      </c>
      <c r="R258" s="1101">
        <f>IF($BH258=0,0,IF(SUM($O258:Q258)&lt;($L258-12),12,$L258-SUM($O258:Q258)))</f>
        <v>0</v>
      </c>
      <c r="S258" s="1101">
        <f>IF($BH258=0,0,IF(SUM($O258:R258)&lt;($L258-12),12,$L258-SUM($O258:R258)))</f>
        <v>0</v>
      </c>
      <c r="U258" s="1100"/>
      <c r="V258" s="1100">
        <f>'ANSP Capex'!T254</f>
        <v>3</v>
      </c>
      <c r="W258" s="1101">
        <f>IF($BI258=0,0,IF(SUM($U258:V258)&lt;($L258-12),12,$L258-SUM($U258:V258)))</f>
        <v>12</v>
      </c>
      <c r="X258" s="1101">
        <f>IF($BI258=0,0,IF(SUM($U258:W258)&lt;($L258-12),12,$L258-SUM($U258:W258)))</f>
        <v>12</v>
      </c>
      <c r="Y258" s="1101">
        <f>IF($BI258=0,0,IF(SUM($U258:X258)&lt;($L258-12),12,$L258-SUM($U258:X258)))</f>
        <v>12</v>
      </c>
      <c r="AA258" s="1100"/>
      <c r="AB258" s="1100"/>
      <c r="AC258" s="1100">
        <f>'ANSP Capex'!AA254</f>
        <v>12</v>
      </c>
      <c r="AD258" s="1101">
        <f>IF($BJ258=0,0,IF(SUM($AA258:AC258)&lt;($L258-12),12,$L258-SUM($AA258:AC258)))</f>
        <v>12</v>
      </c>
      <c r="AE258" s="1101">
        <f>IF($BJ258=0,0,IF(SUM($AA258:AD258)&lt;($L258-12),12,$L258-SUM($AA258:AD258)))</f>
        <v>12</v>
      </c>
      <c r="AG258" s="1100"/>
      <c r="AH258" s="1100"/>
      <c r="AI258" s="1100"/>
      <c r="AJ258" s="1100">
        <f>'ANSP Capex'!AH254</f>
        <v>0</v>
      </c>
      <c r="AK258" s="1101">
        <f>IF($BK258=0,0,IF(SUM($AG258:AJ258)&lt;($L258-12),12,$L258-SUM($AG258:AJ258)))</f>
        <v>0</v>
      </c>
      <c r="AM258" s="1100"/>
      <c r="AN258" s="1100"/>
      <c r="AO258" s="1100"/>
      <c r="AP258" s="1100"/>
      <c r="AQ258" s="1100">
        <f>'ANSP Capex'!AO254</f>
        <v>0</v>
      </c>
      <c r="AS258" s="153">
        <f t="shared" si="27"/>
        <v>0</v>
      </c>
      <c r="AT258" s="153">
        <f t="shared" si="28"/>
        <v>0.25</v>
      </c>
      <c r="AU258" s="153">
        <f t="shared" si="29"/>
        <v>1</v>
      </c>
      <c r="AV258" s="153">
        <f t="shared" si="30"/>
        <v>0</v>
      </c>
      <c r="AW258" s="153">
        <f t="shared" si="31"/>
        <v>0</v>
      </c>
      <c r="AX258" s="153"/>
      <c r="AY258" s="1543">
        <f>'ANSP Capex'!AW254</f>
        <v>1</v>
      </c>
      <c r="AZ258" s="1102"/>
      <c r="BA258" s="1543">
        <f>'ANSP Capex'!AY254</f>
        <v>0</v>
      </c>
      <c r="BC258" s="1126"/>
      <c r="BD258" s="1126"/>
      <c r="BE258" s="1126"/>
      <c r="BF258" s="1126"/>
      <c r="BG258" s="1126"/>
      <c r="BH258" s="1126">
        <f>'ANSP Capex'!BF254*IF($I258="",(1+INDEX($I$41:$I$42,MATCH($F258,$F$41:$F$42,0))),(1+$I258))</f>
        <v>0</v>
      </c>
      <c r="BI258" s="1126">
        <f>'ANSP Capex'!BG254*IF($I258="",(1+INDEX($I$41:$I$42,MATCH($F258,$F$41:$F$42,0))),(1+$I258))</f>
        <v>14</v>
      </c>
      <c r="BJ258" s="1126">
        <f>'ANSP Capex'!BH254*IF($I258="",(1+INDEX($I$41:$I$42,MATCH($F258,$F$41:$F$42,0))),(1+$I258))</f>
        <v>48</v>
      </c>
      <c r="BK258" s="1126">
        <f>'ANSP Capex'!BI254*IF($I258="",(1+INDEX($I$41:$I$42,MATCH($F258,$F$41:$F$42,0))),(1+$I258))</f>
        <v>0</v>
      </c>
      <c r="BL258" s="1126">
        <f>'ANSP Capex'!BJ254*IF($I258="",(1+INDEX($I$41:$I$42,MATCH($F258,$F$41:$F$42,0))),(1+$I258))</f>
        <v>0</v>
      </c>
    </row>
    <row r="259" spans="1:64" outlineLevel="1">
      <c r="A259" s="1094"/>
      <c r="B259" s="1094"/>
      <c r="C259" s="1083" t="str">
        <f>'ANSP Capex'!C255</f>
        <v>Fire suppression system - Malin Head</v>
      </c>
      <c r="D259" s="1083" t="str">
        <f>'ANSP Capex'!D255</f>
        <v>Fire supression system</v>
      </c>
      <c r="E259" s="1083" t="str">
        <f>'ANSP Capex'!E255</f>
        <v>U015A</v>
      </c>
      <c r="F259" s="1083" t="str">
        <f>'ANSP Capex'!F255</f>
        <v>2021-2024</v>
      </c>
      <c r="G259" s="1101">
        <f t="shared" si="24"/>
        <v>62</v>
      </c>
      <c r="H259" s="1083" t="str">
        <f>'ANSP Capex'!H255</f>
        <v>€'000</v>
      </c>
      <c r="I259" s="829"/>
      <c r="J259" s="1097">
        <f>'ANSP Capex'!I255</f>
        <v>5</v>
      </c>
      <c r="K259" s="1124">
        <v>15</v>
      </c>
      <c r="L259" s="1098">
        <f t="shared" si="25"/>
        <v>180</v>
      </c>
      <c r="M259" s="153">
        <f t="shared" si="26"/>
        <v>6.6666666666666666E-2</v>
      </c>
      <c r="N259" s="1099"/>
      <c r="O259" s="1100">
        <f>'ANSP Capex'!M255</f>
        <v>0</v>
      </c>
      <c r="P259" s="1101">
        <f>IF($BH259=0,0,IF(SUM($O259:O259)&lt;($L259-12),12,$L259-SUM($O259:O259)))</f>
        <v>0</v>
      </c>
      <c r="Q259" s="1101">
        <f>IF($BH259=0,0,IF(SUM($O259:P259)&lt;($L259-12),12,$L259-SUM($O259:P259)))</f>
        <v>0</v>
      </c>
      <c r="R259" s="1101">
        <f>IF($BH259=0,0,IF(SUM($O259:Q259)&lt;($L259-12),12,$L259-SUM($O259:Q259)))</f>
        <v>0</v>
      </c>
      <c r="S259" s="1101">
        <f>IF($BH259=0,0,IF(SUM($O259:R259)&lt;($L259-12),12,$L259-SUM($O259:R259)))</f>
        <v>0</v>
      </c>
      <c r="U259" s="1100"/>
      <c r="V259" s="1100">
        <f>'ANSP Capex'!T255</f>
        <v>6</v>
      </c>
      <c r="W259" s="1101">
        <f>IF($BI259=0,0,IF(SUM($U259:V259)&lt;($L259-12),12,$L259-SUM($U259:V259)))</f>
        <v>12</v>
      </c>
      <c r="X259" s="1101">
        <f>IF($BI259=0,0,IF(SUM($U259:W259)&lt;($L259-12),12,$L259-SUM($U259:W259)))</f>
        <v>12</v>
      </c>
      <c r="Y259" s="1101">
        <f>IF($BI259=0,0,IF(SUM($U259:X259)&lt;($L259-12),12,$L259-SUM($U259:X259)))</f>
        <v>12</v>
      </c>
      <c r="AA259" s="1100"/>
      <c r="AB259" s="1100"/>
      <c r="AC259" s="1100">
        <f>'ANSP Capex'!AA255</f>
        <v>0</v>
      </c>
      <c r="AD259" s="1101">
        <f>IF($BJ259=0,0,IF(SUM($AA259:AC259)&lt;($L259-12),12,$L259-SUM($AA259:AC259)))</f>
        <v>0</v>
      </c>
      <c r="AE259" s="1101">
        <f>IF($BJ259=0,0,IF(SUM($AA259:AD259)&lt;($L259-12),12,$L259-SUM($AA259:AD259)))</f>
        <v>0</v>
      </c>
      <c r="AG259" s="1100"/>
      <c r="AH259" s="1100"/>
      <c r="AI259" s="1100"/>
      <c r="AJ259" s="1100">
        <f>'ANSP Capex'!AH255</f>
        <v>0</v>
      </c>
      <c r="AK259" s="1101">
        <f>IF($BK259=0,0,IF(SUM($AG259:AJ259)&lt;($L259-12),12,$L259-SUM($AG259:AJ259)))</f>
        <v>0</v>
      </c>
      <c r="AM259" s="1100"/>
      <c r="AN259" s="1100"/>
      <c r="AO259" s="1100"/>
      <c r="AP259" s="1100"/>
      <c r="AQ259" s="1100">
        <f>'ANSP Capex'!AO255</f>
        <v>0</v>
      </c>
      <c r="AS259" s="153">
        <f t="shared" si="27"/>
        <v>0</v>
      </c>
      <c r="AT259" s="153">
        <f t="shared" si="28"/>
        <v>0.5</v>
      </c>
      <c r="AU259" s="153">
        <f t="shared" si="29"/>
        <v>0</v>
      </c>
      <c r="AV259" s="153">
        <f t="shared" si="30"/>
        <v>0</v>
      </c>
      <c r="AW259" s="153">
        <f t="shared" si="31"/>
        <v>0</v>
      </c>
      <c r="AX259" s="153"/>
      <c r="AY259" s="1543">
        <f>'ANSP Capex'!AW255</f>
        <v>1</v>
      </c>
      <c r="AZ259" s="1102"/>
      <c r="BA259" s="1543">
        <f>'ANSP Capex'!AY255</f>
        <v>0</v>
      </c>
      <c r="BC259" s="1126"/>
      <c r="BD259" s="1126"/>
      <c r="BE259" s="1126"/>
      <c r="BF259" s="1126"/>
      <c r="BG259" s="1126"/>
      <c r="BH259" s="1126">
        <f>'ANSP Capex'!BF255*IF($I259="",(1+INDEX($I$41:$I$42,MATCH($F259,$F$41:$F$42,0))),(1+$I259))</f>
        <v>0</v>
      </c>
      <c r="BI259" s="1126">
        <f>'ANSP Capex'!BG255*IF($I259="",(1+INDEX($I$41:$I$42,MATCH($F259,$F$41:$F$42,0))),(1+$I259))</f>
        <v>62</v>
      </c>
      <c r="BJ259" s="1126">
        <f>'ANSP Capex'!BH255*IF($I259="",(1+INDEX($I$41:$I$42,MATCH($F259,$F$41:$F$42,0))),(1+$I259))</f>
        <v>0</v>
      </c>
      <c r="BK259" s="1126">
        <f>'ANSP Capex'!BI255*IF($I259="",(1+INDEX($I$41:$I$42,MATCH($F259,$F$41:$F$42,0))),(1+$I259))</f>
        <v>0</v>
      </c>
      <c r="BL259" s="1126">
        <f>'ANSP Capex'!BJ255*IF($I259="",(1+INDEX($I$41:$I$42,MATCH($F259,$F$41:$F$42,0))),(1+$I259))</f>
        <v>0</v>
      </c>
    </row>
    <row r="260" spans="1:64" outlineLevel="1">
      <c r="A260" s="1094"/>
      <c r="B260" s="1094"/>
      <c r="C260" s="1083" t="str">
        <f>'ANSP Capex'!C256</f>
        <v>Fire suppression system - Shannon Radar</v>
      </c>
      <c r="D260" s="1083" t="str">
        <f>'ANSP Capex'!D256</f>
        <v>Fire supression system</v>
      </c>
      <c r="E260" s="1083" t="str">
        <f>'ANSP Capex'!E256</f>
        <v>U015A</v>
      </c>
      <c r="F260" s="1083" t="str">
        <f>'ANSP Capex'!F256</f>
        <v>2021-2024</v>
      </c>
      <c r="G260" s="1101">
        <f t="shared" si="24"/>
        <v>62</v>
      </c>
      <c r="H260" s="1083" t="str">
        <f>'ANSP Capex'!H256</f>
        <v>€'000</v>
      </c>
      <c r="I260" s="829"/>
      <c r="J260" s="1097">
        <f>'ANSP Capex'!I256</f>
        <v>5</v>
      </c>
      <c r="K260" s="1124">
        <v>15</v>
      </c>
      <c r="L260" s="1098">
        <f t="shared" si="25"/>
        <v>180</v>
      </c>
      <c r="M260" s="153">
        <f t="shared" si="26"/>
        <v>6.6666666666666666E-2</v>
      </c>
      <c r="N260" s="1099"/>
      <c r="O260" s="1100">
        <f>'ANSP Capex'!M256</f>
        <v>0</v>
      </c>
      <c r="P260" s="1101">
        <f>IF($BH260=0,0,IF(SUM($O260:O260)&lt;($L260-12),12,$L260-SUM($O260:O260)))</f>
        <v>0</v>
      </c>
      <c r="Q260" s="1101">
        <f>IF($BH260=0,0,IF(SUM($O260:P260)&lt;($L260-12),12,$L260-SUM($O260:P260)))</f>
        <v>0</v>
      </c>
      <c r="R260" s="1101">
        <f>IF($BH260=0,0,IF(SUM($O260:Q260)&lt;($L260-12),12,$L260-SUM($O260:Q260)))</f>
        <v>0</v>
      </c>
      <c r="S260" s="1101">
        <f>IF($BH260=0,0,IF(SUM($O260:R260)&lt;($L260-12),12,$L260-SUM($O260:R260)))</f>
        <v>0</v>
      </c>
      <c r="U260" s="1100"/>
      <c r="V260" s="1100">
        <f>'ANSP Capex'!T256</f>
        <v>6</v>
      </c>
      <c r="W260" s="1101">
        <f>IF($BI260=0,0,IF(SUM($U260:V260)&lt;($L260-12),12,$L260-SUM($U260:V260)))</f>
        <v>12</v>
      </c>
      <c r="X260" s="1101">
        <f>IF($BI260=0,0,IF(SUM($U260:W260)&lt;($L260-12),12,$L260-SUM($U260:W260)))</f>
        <v>12</v>
      </c>
      <c r="Y260" s="1101">
        <f>IF($BI260=0,0,IF(SUM($U260:X260)&lt;($L260-12),12,$L260-SUM($U260:X260)))</f>
        <v>12</v>
      </c>
      <c r="AA260" s="1100"/>
      <c r="AB260" s="1100"/>
      <c r="AC260" s="1100">
        <f>'ANSP Capex'!AA256</f>
        <v>0</v>
      </c>
      <c r="AD260" s="1101">
        <f>IF($BJ260=0,0,IF(SUM($AA260:AC260)&lt;($L260-12),12,$L260-SUM($AA260:AC260)))</f>
        <v>0</v>
      </c>
      <c r="AE260" s="1101">
        <f>IF($BJ260=0,0,IF(SUM($AA260:AD260)&lt;($L260-12),12,$L260-SUM($AA260:AD260)))</f>
        <v>0</v>
      </c>
      <c r="AG260" s="1100"/>
      <c r="AH260" s="1100"/>
      <c r="AI260" s="1100"/>
      <c r="AJ260" s="1100">
        <f>'ANSP Capex'!AH256</f>
        <v>0</v>
      </c>
      <c r="AK260" s="1101">
        <f>IF($BK260=0,0,IF(SUM($AG260:AJ260)&lt;($L260-12),12,$L260-SUM($AG260:AJ260)))</f>
        <v>0</v>
      </c>
      <c r="AM260" s="1100"/>
      <c r="AN260" s="1100"/>
      <c r="AO260" s="1100"/>
      <c r="AP260" s="1100"/>
      <c r="AQ260" s="1100">
        <f>'ANSP Capex'!AO256</f>
        <v>0</v>
      </c>
      <c r="AS260" s="153">
        <f t="shared" si="27"/>
        <v>0</v>
      </c>
      <c r="AT260" s="153">
        <f t="shared" si="28"/>
        <v>0.5</v>
      </c>
      <c r="AU260" s="153">
        <f t="shared" si="29"/>
        <v>0</v>
      </c>
      <c r="AV260" s="153">
        <f t="shared" si="30"/>
        <v>0</v>
      </c>
      <c r="AW260" s="153">
        <f t="shared" si="31"/>
        <v>0</v>
      </c>
      <c r="AX260" s="153"/>
      <c r="AY260" s="1543">
        <f>'ANSP Capex'!AW256</f>
        <v>0.75</v>
      </c>
      <c r="AZ260" s="1102"/>
      <c r="BA260" s="1543">
        <f>'ANSP Capex'!AY256</f>
        <v>0.25</v>
      </c>
      <c r="BC260" s="1126"/>
      <c r="BD260" s="1126"/>
      <c r="BE260" s="1126"/>
      <c r="BF260" s="1126"/>
      <c r="BG260" s="1126"/>
      <c r="BH260" s="1126">
        <f>'ANSP Capex'!BF256*IF($I260="",(1+INDEX($I$41:$I$42,MATCH($F260,$F$41:$F$42,0))),(1+$I260))</f>
        <v>0</v>
      </c>
      <c r="BI260" s="1126">
        <f>'ANSP Capex'!BG256*IF($I260="",(1+INDEX($I$41:$I$42,MATCH($F260,$F$41:$F$42,0))),(1+$I260))</f>
        <v>62</v>
      </c>
      <c r="BJ260" s="1126">
        <f>'ANSP Capex'!BH256*IF($I260="",(1+INDEX($I$41:$I$42,MATCH($F260,$F$41:$F$42,0))),(1+$I260))</f>
        <v>0</v>
      </c>
      <c r="BK260" s="1126">
        <f>'ANSP Capex'!BI256*IF($I260="",(1+INDEX($I$41:$I$42,MATCH($F260,$F$41:$F$42,0))),(1+$I260))</f>
        <v>0</v>
      </c>
      <c r="BL260" s="1126">
        <f>'ANSP Capex'!BJ256*IF($I260="",(1+INDEX($I$41:$I$42,MATCH($F260,$F$41:$F$42,0))),(1+$I260))</f>
        <v>0</v>
      </c>
    </row>
    <row r="261" spans="1:64" outlineLevel="1">
      <c r="A261" s="1094"/>
      <c r="B261" s="1094"/>
      <c r="C261" s="1083" t="str">
        <f>'ANSP Capex'!C257</f>
        <v>Fire suppression system - Dublin Radar</v>
      </c>
      <c r="D261" s="1083" t="str">
        <f>'ANSP Capex'!D257</f>
        <v>Fire supression system</v>
      </c>
      <c r="E261" s="1083" t="str">
        <f>'ANSP Capex'!E257</f>
        <v>U015A</v>
      </c>
      <c r="F261" s="1083" t="str">
        <f>'ANSP Capex'!F257</f>
        <v>2021-2024</v>
      </c>
      <c r="G261" s="1101">
        <f t="shared" si="24"/>
        <v>124</v>
      </c>
      <c r="H261" s="1083" t="str">
        <f>'ANSP Capex'!H257</f>
        <v>€'000</v>
      </c>
      <c r="I261" s="829"/>
      <c r="J261" s="1097">
        <f>'ANSP Capex'!I257</f>
        <v>5</v>
      </c>
      <c r="K261" s="1124">
        <v>15</v>
      </c>
      <c r="L261" s="1098">
        <f t="shared" si="25"/>
        <v>180</v>
      </c>
      <c r="M261" s="153">
        <f t="shared" si="26"/>
        <v>6.6666666666666666E-2</v>
      </c>
      <c r="N261" s="1099"/>
      <c r="O261" s="1100">
        <f>'ANSP Capex'!M257</f>
        <v>0</v>
      </c>
      <c r="P261" s="1101">
        <f>IF($BH261=0,0,IF(SUM($O261:O261)&lt;($L261-12),12,$L261-SUM($O261:O261)))</f>
        <v>0</v>
      </c>
      <c r="Q261" s="1101">
        <f>IF($BH261=0,0,IF(SUM($O261:P261)&lt;($L261-12),12,$L261-SUM($O261:P261)))</f>
        <v>0</v>
      </c>
      <c r="R261" s="1101">
        <f>IF($BH261=0,0,IF(SUM($O261:Q261)&lt;($L261-12),12,$L261-SUM($O261:Q261)))</f>
        <v>0</v>
      </c>
      <c r="S261" s="1101">
        <f>IF($BH261=0,0,IF(SUM($O261:R261)&lt;($L261-12),12,$L261-SUM($O261:R261)))</f>
        <v>0</v>
      </c>
      <c r="U261" s="1100"/>
      <c r="V261" s="1100">
        <f>'ANSP Capex'!T257</f>
        <v>0</v>
      </c>
      <c r="W261" s="1101">
        <f>IF($BI261=0,0,IF(SUM($U261:V261)&lt;($L261-12),12,$L261-SUM($U261:V261)))</f>
        <v>0</v>
      </c>
      <c r="X261" s="1101">
        <f>IF($BI261=0,0,IF(SUM($U261:W261)&lt;($L261-12),12,$L261-SUM($U261:W261)))</f>
        <v>0</v>
      </c>
      <c r="Y261" s="1101">
        <f>IF($BI261=0,0,IF(SUM($U261:X261)&lt;($L261-12),12,$L261-SUM($U261:X261)))</f>
        <v>0</v>
      </c>
      <c r="AA261" s="1100"/>
      <c r="AB261" s="1100"/>
      <c r="AC261" s="1100">
        <f>'ANSP Capex'!AA257</f>
        <v>0</v>
      </c>
      <c r="AD261" s="1101">
        <f>IF($BJ261=0,0,IF(SUM($AA261:AC261)&lt;($L261-12),12,$L261-SUM($AA261:AC261)))</f>
        <v>0</v>
      </c>
      <c r="AE261" s="1101">
        <f>IF($BJ261=0,0,IF(SUM($AA261:AD261)&lt;($L261-12),12,$L261-SUM($AA261:AD261)))</f>
        <v>0</v>
      </c>
      <c r="AG261" s="1100"/>
      <c r="AH261" s="1100"/>
      <c r="AI261" s="1100"/>
      <c r="AJ261" s="1100">
        <f>'ANSP Capex'!AH257</f>
        <v>3</v>
      </c>
      <c r="AK261" s="1101">
        <f>IF($BK261=0,0,IF(SUM($AG261:AJ261)&lt;($L261-12),12,$L261-SUM($AG261:AJ261)))</f>
        <v>12</v>
      </c>
      <c r="AM261" s="1100"/>
      <c r="AN261" s="1100"/>
      <c r="AO261" s="1100"/>
      <c r="AP261" s="1100"/>
      <c r="AQ261" s="1100">
        <f>'ANSP Capex'!AO257</f>
        <v>3.6774193548387095</v>
      </c>
      <c r="AS261" s="153">
        <f t="shared" si="27"/>
        <v>0</v>
      </c>
      <c r="AT261" s="153">
        <f t="shared" si="28"/>
        <v>0</v>
      </c>
      <c r="AU261" s="153">
        <f t="shared" si="29"/>
        <v>0</v>
      </c>
      <c r="AV261" s="153">
        <f t="shared" si="30"/>
        <v>0.25</v>
      </c>
      <c r="AW261" s="153">
        <f t="shared" si="31"/>
        <v>0.30645161290322581</v>
      </c>
      <c r="AX261" s="153"/>
      <c r="AY261" s="1543">
        <f>'ANSP Capex'!AW257</f>
        <v>0.75</v>
      </c>
      <c r="AZ261" s="1102"/>
      <c r="BA261" s="1543">
        <f>'ANSP Capex'!AY257</f>
        <v>0.25</v>
      </c>
      <c r="BC261" s="1126"/>
      <c r="BD261" s="1126"/>
      <c r="BE261" s="1126"/>
      <c r="BF261" s="1126"/>
      <c r="BG261" s="1126"/>
      <c r="BH261" s="1126">
        <f>'ANSP Capex'!BF257*IF($I261="",(1+INDEX($I$41:$I$42,MATCH($F261,$F$41:$F$42,0))),(1+$I261))</f>
        <v>0</v>
      </c>
      <c r="BI261" s="1126">
        <f>'ANSP Capex'!BG257*IF($I261="",(1+INDEX($I$41:$I$42,MATCH($F261,$F$41:$F$42,0))),(1+$I261))</f>
        <v>0</v>
      </c>
      <c r="BJ261" s="1126">
        <f>'ANSP Capex'!BH257*IF($I261="",(1+INDEX($I$41:$I$42,MATCH($F261,$F$41:$F$42,0))),(1+$I261))</f>
        <v>0</v>
      </c>
      <c r="BK261" s="1126">
        <f>'ANSP Capex'!BI257*IF($I261="",(1+INDEX($I$41:$I$42,MATCH($F261,$F$41:$F$42,0))),(1+$I261))</f>
        <v>62</v>
      </c>
      <c r="BL261" s="1126">
        <f>'ANSP Capex'!BJ257*IF($I261="",(1+INDEX($I$41:$I$42,MATCH($F261,$F$41:$F$42,0))),(1+$I261))</f>
        <v>62</v>
      </c>
    </row>
    <row r="262" spans="1:64" outlineLevel="1">
      <c r="A262" s="1094"/>
      <c r="B262" s="1094"/>
      <c r="C262" s="1083" t="str">
        <f>'ANSP Capex'!C258</f>
        <v>Cyber Security / Management</v>
      </c>
      <c r="D262" s="1083" t="str">
        <f>'ANSP Capex'!D258</f>
        <v>Cyber Security / Management</v>
      </c>
      <c r="E262" s="1083" t="str">
        <f>'ANSP Capex'!E258</f>
        <v>T001</v>
      </c>
      <c r="F262" s="1083" t="str">
        <f>'ANSP Capex'!F258</f>
        <v>2021-2024</v>
      </c>
      <c r="G262" s="1101">
        <f t="shared" si="24"/>
        <v>555.98800000000006</v>
      </c>
      <c r="H262" s="1083" t="str">
        <f>'ANSP Capex'!H258</f>
        <v>€'000</v>
      </c>
      <c r="I262" s="829"/>
      <c r="J262" s="1097">
        <f>'ANSP Capex'!I258</f>
        <v>8</v>
      </c>
      <c r="K262" s="1124">
        <v>0</v>
      </c>
      <c r="L262" s="1098">
        <f t="shared" si="25"/>
        <v>96</v>
      </c>
      <c r="M262" s="153">
        <f t="shared" si="26"/>
        <v>0.125</v>
      </c>
      <c r="N262" s="1099"/>
      <c r="O262" s="1100">
        <f>'ANSP Capex'!M258</f>
        <v>0</v>
      </c>
      <c r="P262" s="1101">
        <f>IF($BH262=0,0,IF(SUM($O262:O262)&lt;($L262-12),12,$L262-SUM($O262:O262)))</f>
        <v>0</v>
      </c>
      <c r="Q262" s="1101">
        <f>IF($BH262=0,0,IF(SUM($O262:P262)&lt;($L262-12),12,$L262-SUM($O262:P262)))</f>
        <v>0</v>
      </c>
      <c r="R262" s="1101">
        <f>IF($BH262=0,0,IF(SUM($O262:Q262)&lt;($L262-12),12,$L262-SUM($O262:Q262)))</f>
        <v>0</v>
      </c>
      <c r="S262" s="1101">
        <f>IF($BH262=0,0,IF(SUM($O262:R262)&lt;($L262-12),12,$L262-SUM($O262:R262)))</f>
        <v>0</v>
      </c>
      <c r="U262" s="1100"/>
      <c r="V262" s="1100">
        <f>'ANSP Capex'!T258</f>
        <v>0</v>
      </c>
      <c r="W262" s="1101">
        <f>IF($BI262=0,0,IF(SUM($U262:V262)&lt;($L262-12),12,$L262-SUM($U262:V262)))</f>
        <v>0</v>
      </c>
      <c r="X262" s="1101">
        <f>IF($BI262=0,0,IF(SUM($U262:W262)&lt;($L262-12),12,$L262-SUM($U262:W262)))</f>
        <v>0</v>
      </c>
      <c r="Y262" s="1101">
        <f>IF($BI262=0,0,IF(SUM($U262:X262)&lt;($L262-12),12,$L262-SUM($U262:X262)))</f>
        <v>0</v>
      </c>
      <c r="AA262" s="1100"/>
      <c r="AB262" s="1100"/>
      <c r="AC262" s="1100">
        <f>'ANSP Capex'!AA258</f>
        <v>0</v>
      </c>
      <c r="AD262" s="1101">
        <f>IF($BJ262=0,0,IF(SUM($AA262:AC262)&lt;($L262-12),12,$L262-SUM($AA262:AC262)))</f>
        <v>0</v>
      </c>
      <c r="AE262" s="1101">
        <f>IF($BJ262=0,0,IF(SUM($AA262:AD262)&lt;($L262-12),12,$L262-SUM($AA262:AD262)))</f>
        <v>0</v>
      </c>
      <c r="AG262" s="1100"/>
      <c r="AH262" s="1100"/>
      <c r="AI262" s="1100"/>
      <c r="AJ262" s="1100">
        <f>'ANSP Capex'!AH258</f>
        <v>12</v>
      </c>
      <c r="AK262" s="1101">
        <f>IF($BK262=0,0,IF(SUM($AG262:AJ262)&lt;($L262-12),12,$L262-SUM($AG262:AJ262)))</f>
        <v>12</v>
      </c>
      <c r="AM262" s="1100"/>
      <c r="AN262" s="1100"/>
      <c r="AO262" s="1100"/>
      <c r="AP262" s="1100"/>
      <c r="AQ262" s="1100">
        <f>'ANSP Capex'!AO258</f>
        <v>0</v>
      </c>
      <c r="AS262" s="153">
        <f t="shared" si="27"/>
        <v>0</v>
      </c>
      <c r="AT262" s="153">
        <f t="shared" si="28"/>
        <v>0</v>
      </c>
      <c r="AU262" s="153">
        <f t="shared" si="29"/>
        <v>0</v>
      </c>
      <c r="AV262" s="153">
        <f t="shared" si="30"/>
        <v>1</v>
      </c>
      <c r="AW262" s="153">
        <f t="shared" si="31"/>
        <v>0</v>
      </c>
      <c r="AX262" s="153"/>
      <c r="AY262" s="1543">
        <f>'ANSP Capex'!AW258</f>
        <v>0.75</v>
      </c>
      <c r="AZ262" s="1102"/>
      <c r="BA262" s="1543">
        <f>'ANSP Capex'!AY258</f>
        <v>0.25</v>
      </c>
      <c r="BC262" s="1126"/>
      <c r="BD262" s="1126"/>
      <c r="BE262" s="1126"/>
      <c r="BF262" s="1126"/>
      <c r="BG262" s="1126"/>
      <c r="BH262" s="1126">
        <f>'ANSP Capex'!BF258*IF($I262="",(1+INDEX($I$41:$I$42,MATCH($F262,$F$41:$F$42,0))),(1+$I262))</f>
        <v>0</v>
      </c>
      <c r="BI262" s="1126">
        <f>'ANSP Capex'!BG258*IF($I262="",(1+INDEX($I$41:$I$42,MATCH($F262,$F$41:$F$42,0))),(1+$I262))</f>
        <v>0</v>
      </c>
      <c r="BJ262" s="1126">
        <f>'ANSP Capex'!BH258*IF($I262="",(1+INDEX($I$41:$I$42,MATCH($F262,$F$41:$F$42,0))),(1+$I262))</f>
        <v>0</v>
      </c>
      <c r="BK262" s="1126">
        <f>'ANSP Capex'!BI258*IF($I262="",(1+INDEX($I$41:$I$42,MATCH($F262,$F$41:$F$42,0))),(1+$I262))</f>
        <v>555.98800000000006</v>
      </c>
      <c r="BL262" s="1126">
        <f>'ANSP Capex'!BJ258*IF($I262="",(1+INDEX($I$41:$I$42,MATCH($F262,$F$41:$F$42,0))),(1+$I262))</f>
        <v>0</v>
      </c>
    </row>
    <row r="263" spans="1:64" outlineLevel="1">
      <c r="A263" s="1094"/>
      <c r="B263" s="1094"/>
      <c r="C263" s="1083" t="str">
        <f>'ANSP Capex'!C259</f>
        <v>ICT Infrastructure</v>
      </c>
      <c r="D263" s="1083" t="str">
        <f>'ANSP Capex'!D259</f>
        <v>ICT Infrastructure</v>
      </c>
      <c r="E263" s="1083" t="str">
        <f>'ANSP Capex'!E259</f>
        <v>U020</v>
      </c>
      <c r="F263" s="1083" t="str">
        <f>'ANSP Capex'!F259</f>
        <v>2021-2024</v>
      </c>
      <c r="G263" s="1101">
        <f t="shared" si="24"/>
        <v>520</v>
      </c>
      <c r="H263" s="1083" t="str">
        <f>'ANSP Capex'!H259</f>
        <v>€'000</v>
      </c>
      <c r="I263" s="829"/>
      <c r="J263" s="1097">
        <f>'ANSP Capex'!I259</f>
        <v>3</v>
      </c>
      <c r="K263" s="1124">
        <v>0</v>
      </c>
      <c r="L263" s="1098">
        <f t="shared" si="25"/>
        <v>36</v>
      </c>
      <c r="M263" s="153">
        <f t="shared" si="26"/>
        <v>0.33333333333333331</v>
      </c>
      <c r="N263" s="1099"/>
      <c r="O263" s="1100">
        <f>'ANSP Capex'!M259</f>
        <v>0</v>
      </c>
      <c r="P263" s="1101">
        <f>IF($BH263=0,0,IF(SUM($O263:O263)&lt;($L263-12),12,$L263-SUM($O263:O263)))</f>
        <v>0</v>
      </c>
      <c r="Q263" s="1101">
        <f>IF($BH263=0,0,IF(SUM($O263:P263)&lt;($L263-12),12,$L263-SUM($O263:P263)))</f>
        <v>0</v>
      </c>
      <c r="R263" s="1101">
        <f>IF($BH263=0,0,IF(SUM($O263:Q263)&lt;($L263-12),12,$L263-SUM($O263:Q263)))</f>
        <v>0</v>
      </c>
      <c r="S263" s="1101">
        <f>IF($BH263=0,0,IF(SUM($O263:R263)&lt;($L263-12),12,$L263-SUM($O263:R263)))</f>
        <v>0</v>
      </c>
      <c r="U263" s="1100"/>
      <c r="V263" s="1100">
        <f>'ANSP Capex'!T259</f>
        <v>0</v>
      </c>
      <c r="W263" s="1101">
        <f>IF($BI263=0,0,IF(SUM($U263:V263)&lt;($L263-12),12,$L263-SUM($U263:V263)))</f>
        <v>0</v>
      </c>
      <c r="X263" s="1101">
        <f>IF($BI263=0,0,IF(SUM($U263:W263)&lt;($L263-12),12,$L263-SUM($U263:W263)))</f>
        <v>0</v>
      </c>
      <c r="Y263" s="1101">
        <f>IF($BI263=0,0,IF(SUM($U263:X263)&lt;($L263-12),12,$L263-SUM($U263:X263)))</f>
        <v>0</v>
      </c>
      <c r="AA263" s="1100"/>
      <c r="AB263" s="1100"/>
      <c r="AC263" s="1100">
        <f>'ANSP Capex'!AA259</f>
        <v>9.4285714285714288</v>
      </c>
      <c r="AD263" s="1101">
        <f>IF($BJ263=0,0,IF(SUM($AA263:AC263)&lt;($L263-12),12,$L263-SUM($AA263:AC263)))</f>
        <v>12</v>
      </c>
      <c r="AE263" s="1101">
        <f>IF($BJ263=0,0,IF(SUM($AA263:AD263)&lt;($L263-12),12,$L263-SUM($AA263:AD263)))</f>
        <v>12</v>
      </c>
      <c r="AG263" s="1100"/>
      <c r="AH263" s="1100"/>
      <c r="AI263" s="1100"/>
      <c r="AJ263" s="1100">
        <f>'ANSP Capex'!AH259</f>
        <v>6.0000000000000027</v>
      </c>
      <c r="AK263" s="1101">
        <f>IF($BK263=0,0,IF(SUM($AG263:AJ263)&lt;($L263-12),12,$L263-SUM($AG263:AJ263)))</f>
        <v>12</v>
      </c>
      <c r="AM263" s="1100"/>
      <c r="AN263" s="1100"/>
      <c r="AO263" s="1100"/>
      <c r="AP263" s="1100"/>
      <c r="AQ263" s="1100">
        <f>'ANSP Capex'!AO259</f>
        <v>6.0000000000000027</v>
      </c>
      <c r="AS263" s="153">
        <f t="shared" si="27"/>
        <v>0</v>
      </c>
      <c r="AT263" s="153">
        <f t="shared" si="28"/>
        <v>0</v>
      </c>
      <c r="AU263" s="153">
        <f t="shared" si="29"/>
        <v>0.7857142857142857</v>
      </c>
      <c r="AV263" s="153">
        <f t="shared" si="30"/>
        <v>0.50000000000000022</v>
      </c>
      <c r="AW263" s="153">
        <f t="shared" si="31"/>
        <v>0.50000000000000022</v>
      </c>
      <c r="AX263" s="153"/>
      <c r="AY263" s="1543">
        <f>'ANSP Capex'!AW259</f>
        <v>0.73</v>
      </c>
      <c r="AZ263" s="1102"/>
      <c r="BA263" s="1543">
        <f>'ANSP Capex'!AY259</f>
        <v>0.15</v>
      </c>
      <c r="BC263" s="1126"/>
      <c r="BD263" s="1126"/>
      <c r="BE263" s="1126"/>
      <c r="BF263" s="1126"/>
      <c r="BG263" s="1126"/>
      <c r="BH263" s="1126">
        <f>'ANSP Capex'!BF259*IF($I263="",(1+INDEX($I$41:$I$42,MATCH($F263,$F$41:$F$42,0))),(1+$I263))</f>
        <v>0</v>
      </c>
      <c r="BI263" s="1126">
        <f>'ANSP Capex'!BG259*IF($I263="",(1+INDEX($I$41:$I$42,MATCH($F263,$F$41:$F$42,0))),(1+$I263))</f>
        <v>0</v>
      </c>
      <c r="BJ263" s="1126">
        <f>'ANSP Capex'!BH259*IF($I263="",(1+INDEX($I$41:$I$42,MATCH($F263,$F$41:$F$42,0))),(1+$I263))</f>
        <v>280</v>
      </c>
      <c r="BK263" s="1126">
        <f>'ANSP Capex'!BI259*IF($I263="",(1+INDEX($I$41:$I$42,MATCH($F263,$F$41:$F$42,0))),(1+$I263))</f>
        <v>120</v>
      </c>
      <c r="BL263" s="1126">
        <f>'ANSP Capex'!BJ259*IF($I263="",(1+INDEX($I$41:$I$42,MATCH($F263,$F$41:$F$42,0))),(1+$I263))</f>
        <v>120</v>
      </c>
    </row>
    <row r="264" spans="1:64" outlineLevel="1">
      <c r="A264" s="1094"/>
      <c r="B264" s="1094"/>
      <c r="C264" s="1083" t="str">
        <f>'ANSP Capex'!C260</f>
        <v>Upgrades to cable ducting - remote sites</v>
      </c>
      <c r="D264" s="1083" t="str">
        <f>'ANSP Capex'!D260</f>
        <v>Upgrades to cable ducting</v>
      </c>
      <c r="E264" s="1083" t="str">
        <f>'ANSP Capex'!E260</f>
        <v>R007</v>
      </c>
      <c r="F264" s="1083" t="str">
        <f>'ANSP Capex'!F260</f>
        <v>2021-2024</v>
      </c>
      <c r="G264" s="1101">
        <f t="shared" si="24"/>
        <v>0</v>
      </c>
      <c r="H264" s="1083" t="str">
        <f>'ANSP Capex'!H260</f>
        <v>€'000</v>
      </c>
      <c r="I264" s="829"/>
      <c r="J264" s="1097">
        <f>'ANSP Capex'!I260</f>
        <v>0</v>
      </c>
      <c r="K264" s="1124">
        <v>0</v>
      </c>
      <c r="L264" s="1098">
        <f t="shared" si="25"/>
        <v>0</v>
      </c>
      <c r="M264" s="153">
        <f t="shared" si="26"/>
        <v>0</v>
      </c>
      <c r="N264" s="1099"/>
      <c r="O264" s="1100">
        <f>'ANSP Capex'!M260</f>
        <v>0</v>
      </c>
      <c r="P264" s="1101">
        <f>IF($BH264=0,0,IF(SUM($O264:O264)&lt;($L264-12),12,$L264-SUM($O264:O264)))</f>
        <v>0</v>
      </c>
      <c r="Q264" s="1101">
        <f>IF($BH264=0,0,IF(SUM($O264:P264)&lt;($L264-12),12,$L264-SUM($O264:P264)))</f>
        <v>0</v>
      </c>
      <c r="R264" s="1101">
        <f>IF($BH264=0,0,IF(SUM($O264:Q264)&lt;($L264-12),12,$L264-SUM($O264:Q264)))</f>
        <v>0</v>
      </c>
      <c r="S264" s="1101">
        <f>IF($BH264=0,0,IF(SUM($O264:R264)&lt;($L264-12),12,$L264-SUM($O264:R264)))</f>
        <v>0</v>
      </c>
      <c r="U264" s="1100"/>
      <c r="V264" s="1100">
        <f>'ANSP Capex'!T260</f>
        <v>0</v>
      </c>
      <c r="W264" s="1101">
        <f>IF($BI264=0,0,IF(SUM($U264:V264)&lt;($L264-12),12,$L264-SUM($U264:V264)))</f>
        <v>0</v>
      </c>
      <c r="X264" s="1101">
        <f>IF($BI264=0,0,IF(SUM($U264:W264)&lt;($L264-12),12,$L264-SUM($U264:W264)))</f>
        <v>0</v>
      </c>
      <c r="Y264" s="1101">
        <f>IF($BI264=0,0,IF(SUM($U264:X264)&lt;($L264-12),12,$L264-SUM($U264:X264)))</f>
        <v>0</v>
      </c>
      <c r="AA264" s="1100"/>
      <c r="AB264" s="1100"/>
      <c r="AC264" s="1100">
        <f>'ANSP Capex'!AA260</f>
        <v>0</v>
      </c>
      <c r="AD264" s="1101">
        <f>IF($BJ264=0,0,IF(SUM($AA264:AC264)&lt;($L264-12),12,$L264-SUM($AA264:AC264)))</f>
        <v>0</v>
      </c>
      <c r="AE264" s="1101">
        <f>IF($BJ264=0,0,IF(SUM($AA264:AD264)&lt;($L264-12),12,$L264-SUM($AA264:AD264)))</f>
        <v>0</v>
      </c>
      <c r="AG264" s="1100"/>
      <c r="AH264" s="1100"/>
      <c r="AI264" s="1100"/>
      <c r="AJ264" s="1100">
        <f>'ANSP Capex'!AH260</f>
        <v>0</v>
      </c>
      <c r="AK264" s="1101">
        <f>IF($BK264=0,0,IF(SUM($AG264:AJ264)&lt;($L264-12),12,$L264-SUM($AG264:AJ264)))</f>
        <v>0</v>
      </c>
      <c r="AM264" s="1100"/>
      <c r="AN264" s="1100"/>
      <c r="AO264" s="1100"/>
      <c r="AP264" s="1100"/>
      <c r="AQ264" s="1100">
        <f>'ANSP Capex'!AO260</f>
        <v>0</v>
      </c>
      <c r="AS264" s="153">
        <f t="shared" si="27"/>
        <v>0</v>
      </c>
      <c r="AT264" s="153">
        <f t="shared" si="28"/>
        <v>0</v>
      </c>
      <c r="AU264" s="153">
        <f t="shared" si="29"/>
        <v>0</v>
      </c>
      <c r="AV264" s="153">
        <f t="shared" si="30"/>
        <v>0</v>
      </c>
      <c r="AW264" s="153">
        <f t="shared" si="31"/>
        <v>0</v>
      </c>
      <c r="AX264" s="153"/>
      <c r="AY264" s="1543">
        <f>'ANSP Capex'!AW260</f>
        <v>0</v>
      </c>
      <c r="AZ264" s="1102"/>
      <c r="BA264" s="1543">
        <f>'ANSP Capex'!AY260</f>
        <v>0</v>
      </c>
      <c r="BC264" s="1126"/>
      <c r="BD264" s="1126"/>
      <c r="BE264" s="1126"/>
      <c r="BF264" s="1126"/>
      <c r="BG264" s="1126"/>
      <c r="BH264" s="1126">
        <f>'ANSP Capex'!BF260*IF($I264="",(1+INDEX($I$41:$I$42,MATCH($F264,$F$41:$F$42,0))),(1+$I264))</f>
        <v>0</v>
      </c>
      <c r="BI264" s="1126">
        <f>'ANSP Capex'!BG260*IF($I264="",(1+INDEX($I$41:$I$42,MATCH($F264,$F$41:$F$42,0))),(1+$I264))</f>
        <v>0</v>
      </c>
      <c r="BJ264" s="1126">
        <f>'ANSP Capex'!BH260*IF($I264="",(1+INDEX($I$41:$I$42,MATCH($F264,$F$41:$F$42,0))),(1+$I264))</f>
        <v>0</v>
      </c>
      <c r="BK264" s="1126">
        <f>'ANSP Capex'!BI260*IF($I264="",(1+INDEX($I$41:$I$42,MATCH($F264,$F$41:$F$42,0))),(1+$I264))</f>
        <v>0</v>
      </c>
      <c r="BL264" s="1126">
        <f>'ANSP Capex'!BJ260*IF($I264="",(1+INDEX($I$41:$I$42,MATCH($F264,$F$41:$F$42,0))),(1+$I264))</f>
        <v>0</v>
      </c>
    </row>
    <row r="265" spans="1:64" outlineLevel="1">
      <c r="A265" s="1094"/>
      <c r="B265" s="1094"/>
      <c r="C265" s="1083" t="str">
        <f>'ANSP Capex'!C261</f>
        <v>Upgrades to cable ducting Woodcock Hill</v>
      </c>
      <c r="D265" s="1083" t="str">
        <f>'ANSP Capex'!D261</f>
        <v>Upgrades to cable ducting</v>
      </c>
      <c r="E265" s="1083" t="str">
        <f>'ANSP Capex'!E261</f>
        <v>R007A</v>
      </c>
      <c r="F265" s="1083" t="str">
        <f>'ANSP Capex'!F261</f>
        <v>2021-2024</v>
      </c>
      <c r="G265" s="1101">
        <f t="shared" si="24"/>
        <v>367.61439200000001</v>
      </c>
      <c r="H265" s="1083" t="str">
        <f>'ANSP Capex'!H261</f>
        <v>€'000</v>
      </c>
      <c r="I265" s="829"/>
      <c r="J265" s="1097">
        <f>'ANSP Capex'!I261</f>
        <v>8</v>
      </c>
      <c r="K265" s="1124">
        <v>20</v>
      </c>
      <c r="L265" s="1098">
        <f t="shared" si="25"/>
        <v>240</v>
      </c>
      <c r="M265" s="153">
        <f t="shared" si="26"/>
        <v>0.05</v>
      </c>
      <c r="N265" s="1099"/>
      <c r="O265" s="1100">
        <f>'ANSP Capex'!M261</f>
        <v>0</v>
      </c>
      <c r="P265" s="1101">
        <f>IF($BH265=0,0,IF(SUM($O265:O265)&lt;($L265-12),12,$L265-SUM($O265:O265)))</f>
        <v>0</v>
      </c>
      <c r="Q265" s="1101">
        <f>IF($BH265=0,0,IF(SUM($O265:P265)&lt;($L265-12),12,$L265-SUM($O265:P265)))</f>
        <v>0</v>
      </c>
      <c r="R265" s="1101">
        <f>IF($BH265=0,0,IF(SUM($O265:Q265)&lt;($L265-12),12,$L265-SUM($O265:Q265)))</f>
        <v>0</v>
      </c>
      <c r="S265" s="1101">
        <f>IF($BH265=0,0,IF(SUM($O265:R265)&lt;($L265-12),12,$L265-SUM($O265:R265)))</f>
        <v>0</v>
      </c>
      <c r="U265" s="1100"/>
      <c r="V265" s="1100">
        <f>'ANSP Capex'!T261</f>
        <v>6</v>
      </c>
      <c r="W265" s="1101">
        <f>IF($BI265=0,0,IF(SUM($U265:V265)&lt;($L265-12),12,$L265-SUM($U265:V265)))</f>
        <v>12</v>
      </c>
      <c r="X265" s="1101">
        <f>IF($BI265=0,0,IF(SUM($U265:W265)&lt;($L265-12),12,$L265-SUM($U265:W265)))</f>
        <v>12</v>
      </c>
      <c r="Y265" s="1101">
        <f>IF($BI265=0,0,IF(SUM($U265:X265)&lt;($L265-12),12,$L265-SUM($U265:X265)))</f>
        <v>12</v>
      </c>
      <c r="AA265" s="1100"/>
      <c r="AB265" s="1100"/>
      <c r="AC265" s="1100">
        <f>'ANSP Capex'!AA261</f>
        <v>0</v>
      </c>
      <c r="AD265" s="1101">
        <f>IF($BJ265=0,0,IF(SUM($AA265:AC265)&lt;($L265-12),12,$L265-SUM($AA265:AC265)))</f>
        <v>0</v>
      </c>
      <c r="AE265" s="1101">
        <f>IF($BJ265=0,0,IF(SUM($AA265:AD265)&lt;($L265-12),12,$L265-SUM($AA265:AD265)))</f>
        <v>0</v>
      </c>
      <c r="AG265" s="1100"/>
      <c r="AH265" s="1100"/>
      <c r="AI265" s="1100"/>
      <c r="AJ265" s="1100">
        <f>'ANSP Capex'!AH261</f>
        <v>0</v>
      </c>
      <c r="AK265" s="1101">
        <f>IF($BK265=0,0,IF(SUM($AG265:AJ265)&lt;($L265-12),12,$L265-SUM($AG265:AJ265)))</f>
        <v>0</v>
      </c>
      <c r="AM265" s="1100"/>
      <c r="AN265" s="1100"/>
      <c r="AO265" s="1100"/>
      <c r="AP265" s="1100"/>
      <c r="AQ265" s="1100">
        <f>'ANSP Capex'!AO261</f>
        <v>0</v>
      </c>
      <c r="AS265" s="153">
        <f t="shared" si="27"/>
        <v>0</v>
      </c>
      <c r="AT265" s="153">
        <f t="shared" si="28"/>
        <v>0.5</v>
      </c>
      <c r="AU265" s="153">
        <f t="shared" si="29"/>
        <v>0</v>
      </c>
      <c r="AV265" s="153">
        <f t="shared" si="30"/>
        <v>0</v>
      </c>
      <c r="AW265" s="153">
        <f t="shared" si="31"/>
        <v>0</v>
      </c>
      <c r="AX265" s="153"/>
      <c r="AY265" s="1543">
        <f>'ANSP Capex'!AW261</f>
        <v>1</v>
      </c>
      <c r="AZ265" s="1102"/>
      <c r="BA265" s="1543">
        <f>'ANSP Capex'!AY261</f>
        <v>0</v>
      </c>
      <c r="BC265" s="1126"/>
      <c r="BD265" s="1126"/>
      <c r="BE265" s="1126"/>
      <c r="BF265" s="1126"/>
      <c r="BG265" s="1126"/>
      <c r="BH265" s="1126">
        <f>'ANSP Capex'!BF261*IF($I265="",(1+INDEX($I$41:$I$42,MATCH($F265,$F$41:$F$42,0))),(1+$I265))</f>
        <v>0</v>
      </c>
      <c r="BI265" s="1126">
        <f>'ANSP Capex'!BG261*IF($I265="",(1+INDEX($I$41:$I$42,MATCH($F265,$F$41:$F$42,0))),(1+$I265))</f>
        <v>367.61439200000001</v>
      </c>
      <c r="BJ265" s="1126">
        <f>'ANSP Capex'!BH261*IF($I265="",(1+INDEX($I$41:$I$42,MATCH($F265,$F$41:$F$42,0))),(1+$I265))</f>
        <v>0</v>
      </c>
      <c r="BK265" s="1126">
        <f>'ANSP Capex'!BI261*IF($I265="",(1+INDEX($I$41:$I$42,MATCH($F265,$F$41:$F$42,0))),(1+$I265))</f>
        <v>0</v>
      </c>
      <c r="BL265" s="1126">
        <f>'ANSP Capex'!BJ261*IF($I265="",(1+INDEX($I$41:$I$42,MATCH($F265,$F$41:$F$42,0))),(1+$I265))</f>
        <v>0</v>
      </c>
    </row>
    <row r="266" spans="1:64" outlineLevel="1">
      <c r="A266" s="1094"/>
      <c r="B266" s="1094"/>
      <c r="C266" s="1083" t="str">
        <f>'ANSP Capex'!C262</f>
        <v>Upgrades to cable ducting Other remote sites</v>
      </c>
      <c r="D266" s="1083" t="str">
        <f>'ANSP Capex'!D262</f>
        <v>Upgrades to cable ducting</v>
      </c>
      <c r="E266" s="1083" t="str">
        <f>'ANSP Capex'!E262</f>
        <v>R007A</v>
      </c>
      <c r="F266" s="1083" t="str">
        <f>'ANSP Capex'!F262</f>
        <v>2021-2024</v>
      </c>
      <c r="G266" s="1101">
        <f t="shared" si="24"/>
        <v>84</v>
      </c>
      <c r="H266" s="1083" t="str">
        <f>'ANSP Capex'!H262</f>
        <v>€'000</v>
      </c>
      <c r="I266" s="829"/>
      <c r="J266" s="1097">
        <f>'ANSP Capex'!I262</f>
        <v>8</v>
      </c>
      <c r="K266" s="1124">
        <v>20</v>
      </c>
      <c r="L266" s="1098">
        <f t="shared" si="25"/>
        <v>240</v>
      </c>
      <c r="M266" s="153">
        <f t="shared" si="26"/>
        <v>0.05</v>
      </c>
      <c r="N266" s="1099"/>
      <c r="O266" s="1100">
        <f>'ANSP Capex'!M262</f>
        <v>0</v>
      </c>
      <c r="P266" s="1101">
        <f>IF($BH266=0,0,IF(SUM($O266:O266)&lt;($L266-12),12,$L266-SUM($O266:O266)))</f>
        <v>0</v>
      </c>
      <c r="Q266" s="1101">
        <f>IF($BH266=0,0,IF(SUM($O266:P266)&lt;($L266-12),12,$L266-SUM($O266:P266)))</f>
        <v>0</v>
      </c>
      <c r="R266" s="1101">
        <f>IF($BH266=0,0,IF(SUM($O266:Q266)&lt;($L266-12),12,$L266-SUM($O266:Q266)))</f>
        <v>0</v>
      </c>
      <c r="S266" s="1101">
        <f>IF($BH266=0,0,IF(SUM($O266:R266)&lt;($L266-12),12,$L266-SUM($O266:R266)))</f>
        <v>0</v>
      </c>
      <c r="U266" s="1100"/>
      <c r="V266" s="1100">
        <f>'ANSP Capex'!T262</f>
        <v>6</v>
      </c>
      <c r="W266" s="1101">
        <f>IF($BI266=0,0,IF(SUM($U266:V266)&lt;($L266-12),12,$L266-SUM($U266:V266)))</f>
        <v>12</v>
      </c>
      <c r="X266" s="1101">
        <f>IF($BI266=0,0,IF(SUM($U266:W266)&lt;($L266-12),12,$L266-SUM($U266:W266)))</f>
        <v>12</v>
      </c>
      <c r="Y266" s="1101">
        <f>IF($BI266=0,0,IF(SUM($U266:X266)&lt;($L266-12),12,$L266-SUM($U266:X266)))</f>
        <v>12</v>
      </c>
      <c r="AA266" s="1100"/>
      <c r="AB266" s="1100"/>
      <c r="AC266" s="1100">
        <f>'ANSP Capex'!AA262</f>
        <v>0</v>
      </c>
      <c r="AD266" s="1101">
        <f>IF($BJ266=0,0,IF(SUM($AA266:AC266)&lt;($L266-12),12,$L266-SUM($AA266:AC266)))</f>
        <v>0</v>
      </c>
      <c r="AE266" s="1101">
        <f>IF($BJ266=0,0,IF(SUM($AA266:AD266)&lt;($L266-12),12,$L266-SUM($AA266:AD266)))</f>
        <v>0</v>
      </c>
      <c r="AG266" s="1100"/>
      <c r="AH266" s="1100"/>
      <c r="AI266" s="1100"/>
      <c r="AJ266" s="1100">
        <f>'ANSP Capex'!AH262</f>
        <v>0</v>
      </c>
      <c r="AK266" s="1101">
        <f>IF($BK266=0,0,IF(SUM($AG266:AJ266)&lt;($L266-12),12,$L266-SUM($AG266:AJ266)))</f>
        <v>0</v>
      </c>
      <c r="AM266" s="1100"/>
      <c r="AN266" s="1100"/>
      <c r="AO266" s="1100"/>
      <c r="AP266" s="1100"/>
      <c r="AQ266" s="1100">
        <f>'ANSP Capex'!AO262</f>
        <v>0</v>
      </c>
      <c r="AS266" s="153">
        <f t="shared" si="27"/>
        <v>0</v>
      </c>
      <c r="AT266" s="153">
        <f t="shared" si="28"/>
        <v>0.5</v>
      </c>
      <c r="AU266" s="153">
        <f t="shared" si="29"/>
        <v>0</v>
      </c>
      <c r="AV266" s="153">
        <f t="shared" si="30"/>
        <v>0</v>
      </c>
      <c r="AW266" s="153">
        <f t="shared" si="31"/>
        <v>0</v>
      </c>
      <c r="AX266" s="153"/>
      <c r="AY266" s="1543">
        <f>'ANSP Capex'!AW262</f>
        <v>1</v>
      </c>
      <c r="AZ266" s="1102"/>
      <c r="BA266" s="1543">
        <f>'ANSP Capex'!AY262</f>
        <v>0</v>
      </c>
      <c r="BC266" s="1126"/>
      <c r="BD266" s="1126"/>
      <c r="BE266" s="1126"/>
      <c r="BF266" s="1126"/>
      <c r="BG266" s="1126"/>
      <c r="BH266" s="1126">
        <f>'ANSP Capex'!BF262*IF($I266="",(1+INDEX($I$41:$I$42,MATCH($F266,$F$41:$F$42,0))),(1+$I266))</f>
        <v>0</v>
      </c>
      <c r="BI266" s="1126">
        <f>'ANSP Capex'!BG262*IF($I266="",(1+INDEX($I$41:$I$42,MATCH($F266,$F$41:$F$42,0))),(1+$I266))</f>
        <v>84</v>
      </c>
      <c r="BJ266" s="1126">
        <f>'ANSP Capex'!BH262*IF($I266="",(1+INDEX($I$41:$I$42,MATCH($F266,$F$41:$F$42,0))),(1+$I266))</f>
        <v>0</v>
      </c>
      <c r="BK266" s="1126">
        <f>'ANSP Capex'!BI262*IF($I266="",(1+INDEX($I$41:$I$42,MATCH($F266,$F$41:$F$42,0))),(1+$I266))</f>
        <v>0</v>
      </c>
      <c r="BL266" s="1126">
        <f>'ANSP Capex'!BJ262*IF($I266="",(1+INDEX($I$41:$I$42,MATCH($F266,$F$41:$F$42,0))),(1+$I266))</f>
        <v>0</v>
      </c>
    </row>
    <row r="267" spans="1:64" outlineLevel="1">
      <c r="C267" s="1083" t="str">
        <f>'ANSP Capex'!C263</f>
        <v>IAA Smart Messenger (AFTN/SMHS) &amp; ROFDS Contingency</v>
      </c>
      <c r="D267" s="1083" t="str">
        <f>'ANSP Capex'!D263</f>
        <v>IAA Smart Messenger</v>
      </c>
      <c r="E267" s="1083" t="str">
        <f>'ANSP Capex'!E263</f>
        <v>U005</v>
      </c>
      <c r="F267" s="1083" t="str">
        <f>'ANSP Capex'!F263</f>
        <v>2021-2024</v>
      </c>
      <c r="G267" s="1101">
        <f t="shared" si="24"/>
        <v>0</v>
      </c>
      <c r="H267" s="1083" t="str">
        <f>'ANSP Capex'!H263</f>
        <v>€'000</v>
      </c>
      <c r="I267" s="829"/>
      <c r="J267" s="1097">
        <f>'ANSP Capex'!I263</f>
        <v>0</v>
      </c>
      <c r="K267" s="1124">
        <v>0</v>
      </c>
      <c r="L267" s="1098">
        <f t="shared" si="25"/>
        <v>0</v>
      </c>
      <c r="M267" s="153">
        <f t="shared" si="26"/>
        <v>0</v>
      </c>
      <c r="N267" s="1099"/>
      <c r="O267" s="1100">
        <f>'ANSP Capex'!M263</f>
        <v>0</v>
      </c>
      <c r="P267" s="1101">
        <f>IF($BH267=0,0,IF(SUM($O267:O267)&lt;($L267-12),12,$L267-SUM($O267:O267)))</f>
        <v>0</v>
      </c>
      <c r="Q267" s="1101">
        <f>IF($BH267=0,0,IF(SUM($O267:P267)&lt;($L267-12),12,$L267-SUM($O267:P267)))</f>
        <v>0</v>
      </c>
      <c r="R267" s="1101">
        <f>IF($BH267=0,0,IF(SUM($O267:Q267)&lt;($L267-12),12,$L267-SUM($O267:Q267)))</f>
        <v>0</v>
      </c>
      <c r="S267" s="1101">
        <f>IF($BH267=0,0,IF(SUM($O267:R267)&lt;($L267-12),12,$L267-SUM($O267:R267)))</f>
        <v>0</v>
      </c>
      <c r="U267" s="1100"/>
      <c r="V267" s="1100">
        <f>'ANSP Capex'!T263</f>
        <v>0</v>
      </c>
      <c r="W267" s="1101">
        <f>IF($BI267=0,0,IF(SUM($U267:V267)&lt;($L267-12),12,$L267-SUM($U267:V267)))</f>
        <v>0</v>
      </c>
      <c r="X267" s="1101">
        <f>IF($BI267=0,0,IF(SUM($U267:W267)&lt;($L267-12),12,$L267-SUM($U267:W267)))</f>
        <v>0</v>
      </c>
      <c r="Y267" s="1101">
        <f>IF($BI267=0,0,IF(SUM($U267:X267)&lt;($L267-12),12,$L267-SUM($U267:X267)))</f>
        <v>0</v>
      </c>
      <c r="AA267" s="1100"/>
      <c r="AB267" s="1100"/>
      <c r="AC267" s="1100">
        <f>'ANSP Capex'!AA263</f>
        <v>0</v>
      </c>
      <c r="AD267" s="1101">
        <f>IF($BJ267=0,0,IF(SUM($AA267:AC267)&lt;($L267-12),12,$L267-SUM($AA267:AC267)))</f>
        <v>0</v>
      </c>
      <c r="AE267" s="1101">
        <f>IF($BJ267=0,0,IF(SUM($AA267:AD267)&lt;($L267-12),12,$L267-SUM($AA267:AD267)))</f>
        <v>0</v>
      </c>
      <c r="AG267" s="1100"/>
      <c r="AH267" s="1100"/>
      <c r="AI267" s="1100"/>
      <c r="AJ267" s="1100">
        <f>'ANSP Capex'!AH263</f>
        <v>0</v>
      </c>
      <c r="AK267" s="1101">
        <f>IF($BK267=0,0,IF(SUM($AG267:AJ267)&lt;($L267-12),12,$L267-SUM($AG267:AJ267)))</f>
        <v>0</v>
      </c>
      <c r="AM267" s="1100"/>
      <c r="AN267" s="1100"/>
      <c r="AO267" s="1100"/>
      <c r="AP267" s="1100"/>
      <c r="AQ267" s="1100">
        <f>'ANSP Capex'!AO263</f>
        <v>0</v>
      </c>
      <c r="AS267" s="153">
        <f t="shared" si="27"/>
        <v>0</v>
      </c>
      <c r="AT267" s="153">
        <f t="shared" si="28"/>
        <v>0</v>
      </c>
      <c r="AU267" s="153">
        <f t="shared" si="29"/>
        <v>0</v>
      </c>
      <c r="AV267" s="153">
        <f t="shared" si="30"/>
        <v>0</v>
      </c>
      <c r="AW267" s="153">
        <f t="shared" si="31"/>
        <v>0</v>
      </c>
      <c r="AX267" s="153"/>
      <c r="AY267" s="1543">
        <f>'ANSP Capex'!AW263</f>
        <v>0</v>
      </c>
      <c r="AZ267" s="1102"/>
      <c r="BA267" s="1543">
        <f>'ANSP Capex'!AY263</f>
        <v>0</v>
      </c>
      <c r="BC267" s="1126"/>
      <c r="BD267" s="1126"/>
      <c r="BE267" s="1126"/>
      <c r="BF267" s="1126"/>
      <c r="BG267" s="1126"/>
      <c r="BH267" s="1126">
        <f>'ANSP Capex'!BF263*IF($I267="",(1+INDEX($I$41:$I$42,MATCH($F267,$F$41:$F$42,0))),(1+$I267))</f>
        <v>0</v>
      </c>
      <c r="BI267" s="1126">
        <f>'ANSP Capex'!BG263*IF($I267="",(1+INDEX($I$41:$I$42,MATCH($F267,$F$41:$F$42,0))),(1+$I267))</f>
        <v>0</v>
      </c>
      <c r="BJ267" s="1126">
        <f>'ANSP Capex'!BH263*IF($I267="",(1+INDEX($I$41:$I$42,MATCH($F267,$F$41:$F$42,0))),(1+$I267))</f>
        <v>0</v>
      </c>
      <c r="BK267" s="1126">
        <f>'ANSP Capex'!BI263*IF($I267="",(1+INDEX($I$41:$I$42,MATCH($F267,$F$41:$F$42,0))),(1+$I267))</f>
        <v>0</v>
      </c>
      <c r="BL267" s="1126">
        <f>'ANSP Capex'!BJ263*IF($I267="",(1+INDEX($I$41:$I$42,MATCH($F267,$F$41:$F$42,0))),(1+$I267))</f>
        <v>0</v>
      </c>
    </row>
    <row r="268" spans="1:64" outlineLevel="1">
      <c r="C268" s="1083" t="str">
        <f>'ANSP Capex'!C264</f>
        <v>IAA Smart Messenger (AFTN/SMHS)</v>
      </c>
      <c r="D268" s="1083" t="str">
        <f>'ANSP Capex'!D264</f>
        <v>IAA Smart Messenger</v>
      </c>
      <c r="E268" s="1083" t="str">
        <f>'ANSP Capex'!E264</f>
        <v>U005A</v>
      </c>
      <c r="F268" s="1083" t="str">
        <f>'ANSP Capex'!F264</f>
        <v>2021-2024</v>
      </c>
      <c r="G268" s="1101">
        <f t="shared" si="24"/>
        <v>400</v>
      </c>
      <c r="H268" s="1083" t="str">
        <f>'ANSP Capex'!H264</f>
        <v>€'000</v>
      </c>
      <c r="I268" s="829"/>
      <c r="J268" s="1097">
        <f>'ANSP Capex'!I264</f>
        <v>8</v>
      </c>
      <c r="K268" s="1124">
        <v>0</v>
      </c>
      <c r="L268" s="1098">
        <f t="shared" si="25"/>
        <v>96</v>
      </c>
      <c r="M268" s="153">
        <f t="shared" si="26"/>
        <v>0.125</v>
      </c>
      <c r="N268" s="1099"/>
      <c r="O268" s="1100">
        <f>'ANSP Capex'!M264</f>
        <v>0</v>
      </c>
      <c r="P268" s="1101">
        <f>IF($BH268=0,0,IF(SUM($O268:O268)&lt;($L268-12),12,$L268-SUM($O268:O268)))</f>
        <v>0</v>
      </c>
      <c r="Q268" s="1101">
        <f>IF($BH268=0,0,IF(SUM($O268:P268)&lt;($L268-12),12,$L268-SUM($O268:P268)))</f>
        <v>0</v>
      </c>
      <c r="R268" s="1101">
        <f>IF($BH268=0,0,IF(SUM($O268:Q268)&lt;($L268-12),12,$L268-SUM($O268:Q268)))</f>
        <v>0</v>
      </c>
      <c r="S268" s="1101">
        <f>IF($BH268=0,0,IF(SUM($O268:R268)&lt;($L268-12),12,$L268-SUM($O268:R268)))</f>
        <v>0</v>
      </c>
      <c r="U268" s="1100"/>
      <c r="V268" s="1100">
        <f>'ANSP Capex'!T264</f>
        <v>0</v>
      </c>
      <c r="W268" s="1101">
        <f>IF($BI268=0,0,IF(SUM($U268:V268)&lt;($L268-12),12,$L268-SUM($U268:V268)))</f>
        <v>0</v>
      </c>
      <c r="X268" s="1101">
        <f>IF($BI268=0,0,IF(SUM($U268:W268)&lt;($L268-12),12,$L268-SUM($U268:W268)))</f>
        <v>0</v>
      </c>
      <c r="Y268" s="1101">
        <f>IF($BI268=0,0,IF(SUM($U268:X268)&lt;($L268-12),12,$L268-SUM($U268:X268)))</f>
        <v>0</v>
      </c>
      <c r="AA268" s="1100"/>
      <c r="AB268" s="1100"/>
      <c r="AC268" s="1100">
        <f>'ANSP Capex'!AA264</f>
        <v>0</v>
      </c>
      <c r="AD268" s="1101">
        <f>IF($BJ268=0,0,IF(SUM($AA268:AC268)&lt;($L268-12),12,$L268-SUM($AA268:AC268)))</f>
        <v>0</v>
      </c>
      <c r="AE268" s="1101">
        <f>IF($BJ268=0,0,IF(SUM($AA268:AD268)&lt;($L268-12),12,$L268-SUM($AA268:AD268)))</f>
        <v>0</v>
      </c>
      <c r="AG268" s="1100"/>
      <c r="AH268" s="1100"/>
      <c r="AI268" s="1100"/>
      <c r="AJ268" s="1100">
        <f>'ANSP Capex'!AH264</f>
        <v>12</v>
      </c>
      <c r="AK268" s="1101">
        <f>IF($BK268=0,0,IF(SUM($AG268:AJ268)&lt;($L268-12),12,$L268-SUM($AG268:AJ268)))</f>
        <v>12</v>
      </c>
      <c r="AM268" s="1100"/>
      <c r="AN268" s="1100"/>
      <c r="AO268" s="1100"/>
      <c r="AP268" s="1100"/>
      <c r="AQ268" s="1100">
        <f>'ANSP Capex'!AO264</f>
        <v>0</v>
      </c>
      <c r="AS268" s="153">
        <f t="shared" si="27"/>
        <v>0</v>
      </c>
      <c r="AT268" s="153">
        <f t="shared" si="28"/>
        <v>0</v>
      </c>
      <c r="AU268" s="153">
        <f t="shared" si="29"/>
        <v>0</v>
      </c>
      <c r="AV268" s="153">
        <f t="shared" si="30"/>
        <v>1</v>
      </c>
      <c r="AW268" s="153">
        <f t="shared" si="31"/>
        <v>0</v>
      </c>
      <c r="AX268" s="153"/>
      <c r="AY268" s="1543">
        <f>'ANSP Capex'!AW264</f>
        <v>0.75</v>
      </c>
      <c r="AZ268" s="1102"/>
      <c r="BA268" s="1543">
        <f>'ANSP Capex'!AY264</f>
        <v>0.25</v>
      </c>
      <c r="BC268" s="1126"/>
      <c r="BD268" s="1126"/>
      <c r="BE268" s="1126"/>
      <c r="BF268" s="1126"/>
      <c r="BG268" s="1126"/>
      <c r="BH268" s="1126">
        <f>'ANSP Capex'!BF264*IF($I268="",(1+INDEX($I$41:$I$42,MATCH($F268,$F$41:$F$42,0))),(1+$I268))</f>
        <v>0</v>
      </c>
      <c r="BI268" s="1126">
        <f>'ANSP Capex'!BG264*IF($I268="",(1+INDEX($I$41:$I$42,MATCH($F268,$F$41:$F$42,0))),(1+$I268))</f>
        <v>0</v>
      </c>
      <c r="BJ268" s="1126">
        <f>'ANSP Capex'!BH264*IF($I268="",(1+INDEX($I$41:$I$42,MATCH($F268,$F$41:$F$42,0))),(1+$I268))</f>
        <v>0</v>
      </c>
      <c r="BK268" s="1126">
        <f>'ANSP Capex'!BI264*IF($I268="",(1+INDEX($I$41:$I$42,MATCH($F268,$F$41:$F$42,0))),(1+$I268))</f>
        <v>400</v>
      </c>
      <c r="BL268" s="1126">
        <f>'ANSP Capex'!BJ264*IF($I268="",(1+INDEX($I$41:$I$42,MATCH($F268,$F$41:$F$42,0))),(1+$I268))</f>
        <v>0</v>
      </c>
    </row>
    <row r="269" spans="1:64" outlineLevel="1">
      <c r="C269" s="1083" t="str">
        <f>'ANSP Capex'!C265</f>
        <v>BMS Upgrade Dublin / Ballycasey</v>
      </c>
      <c r="D269" s="1083" t="str">
        <f>'ANSP Capex'!D265</f>
        <v>BMS Upgrade</v>
      </c>
      <c r="E269" s="1083" t="str">
        <f>'ANSP Capex'!E265</f>
        <v>T010</v>
      </c>
      <c r="F269" s="1083" t="str">
        <f>'ANSP Capex'!F265</f>
        <v>2021-2024</v>
      </c>
      <c r="G269" s="1101">
        <f t="shared" si="24"/>
        <v>0</v>
      </c>
      <c r="H269" s="1083" t="str">
        <f>'ANSP Capex'!H265</f>
        <v>€'000</v>
      </c>
      <c r="I269" s="829"/>
      <c r="J269" s="1097">
        <f>'ANSP Capex'!I265</f>
        <v>0</v>
      </c>
      <c r="K269" s="1124">
        <v>0</v>
      </c>
      <c r="L269" s="1098">
        <f t="shared" si="25"/>
        <v>0</v>
      </c>
      <c r="M269" s="153">
        <f t="shared" si="26"/>
        <v>0</v>
      </c>
      <c r="N269" s="1099"/>
      <c r="O269" s="1100">
        <f>'ANSP Capex'!M265</f>
        <v>0</v>
      </c>
      <c r="P269" s="1101">
        <f>IF($BH269=0,0,IF(SUM($O269:O269)&lt;($L269-12),12,$L269-SUM($O269:O269)))</f>
        <v>0</v>
      </c>
      <c r="Q269" s="1101">
        <f>IF($BH269=0,0,IF(SUM($O269:P269)&lt;($L269-12),12,$L269-SUM($O269:P269)))</f>
        <v>0</v>
      </c>
      <c r="R269" s="1101">
        <f>IF($BH269=0,0,IF(SUM($O269:Q269)&lt;($L269-12),12,$L269-SUM($O269:Q269)))</f>
        <v>0</v>
      </c>
      <c r="S269" s="1101">
        <f>IF($BH269=0,0,IF(SUM($O269:R269)&lt;($L269-12),12,$L269-SUM($O269:R269)))</f>
        <v>0</v>
      </c>
      <c r="U269" s="1100"/>
      <c r="V269" s="1100">
        <f>'ANSP Capex'!T265</f>
        <v>0</v>
      </c>
      <c r="W269" s="1101">
        <f>IF($BI269=0,0,IF(SUM($U269:V269)&lt;($L269-12),12,$L269-SUM($U269:V269)))</f>
        <v>0</v>
      </c>
      <c r="X269" s="1101">
        <f>IF($BI269=0,0,IF(SUM($U269:W269)&lt;($L269-12),12,$L269-SUM($U269:W269)))</f>
        <v>0</v>
      </c>
      <c r="Y269" s="1101">
        <f>IF($BI269=0,0,IF(SUM($U269:X269)&lt;($L269-12),12,$L269-SUM($U269:X269)))</f>
        <v>0</v>
      </c>
      <c r="AA269" s="1100"/>
      <c r="AB269" s="1100"/>
      <c r="AC269" s="1100">
        <f>'ANSP Capex'!AA265</f>
        <v>0</v>
      </c>
      <c r="AD269" s="1101">
        <f>IF($BJ269=0,0,IF(SUM($AA269:AC269)&lt;($L269-12),12,$L269-SUM($AA269:AC269)))</f>
        <v>0</v>
      </c>
      <c r="AE269" s="1101">
        <f>IF($BJ269=0,0,IF(SUM($AA269:AD269)&lt;($L269-12),12,$L269-SUM($AA269:AD269)))</f>
        <v>0</v>
      </c>
      <c r="AG269" s="1100"/>
      <c r="AH269" s="1100"/>
      <c r="AI269" s="1100"/>
      <c r="AJ269" s="1100">
        <f>'ANSP Capex'!AH265</f>
        <v>0</v>
      </c>
      <c r="AK269" s="1101">
        <f>IF($BK269=0,0,IF(SUM($AG269:AJ269)&lt;($L269-12),12,$L269-SUM($AG269:AJ269)))</f>
        <v>0</v>
      </c>
      <c r="AM269" s="1100"/>
      <c r="AN269" s="1100"/>
      <c r="AO269" s="1100"/>
      <c r="AP269" s="1100"/>
      <c r="AQ269" s="1100">
        <f>'ANSP Capex'!AO265</f>
        <v>0</v>
      </c>
      <c r="AS269" s="153">
        <f t="shared" si="27"/>
        <v>0</v>
      </c>
      <c r="AT269" s="153">
        <f t="shared" si="28"/>
        <v>0</v>
      </c>
      <c r="AU269" s="153">
        <f t="shared" si="29"/>
        <v>0</v>
      </c>
      <c r="AV269" s="153">
        <f t="shared" si="30"/>
        <v>0</v>
      </c>
      <c r="AW269" s="153">
        <f t="shared" si="31"/>
        <v>0</v>
      </c>
      <c r="AX269" s="153"/>
      <c r="AY269" s="1543">
        <f>'ANSP Capex'!AW265</f>
        <v>0</v>
      </c>
      <c r="AZ269" s="1102"/>
      <c r="BA269" s="1543">
        <f>'ANSP Capex'!AY265</f>
        <v>0</v>
      </c>
      <c r="BC269" s="1126"/>
      <c r="BD269" s="1126"/>
      <c r="BE269" s="1126"/>
      <c r="BF269" s="1126"/>
      <c r="BG269" s="1126"/>
      <c r="BH269" s="1126">
        <f>'ANSP Capex'!BF265*IF($I269="",(1+INDEX($I$41:$I$42,MATCH($F269,$F$41:$F$42,0))),(1+$I269))</f>
        <v>0</v>
      </c>
      <c r="BI269" s="1126">
        <f>'ANSP Capex'!BG265*IF($I269="",(1+INDEX($I$41:$I$42,MATCH($F269,$F$41:$F$42,0))),(1+$I269))</f>
        <v>0</v>
      </c>
      <c r="BJ269" s="1126">
        <f>'ANSP Capex'!BH265*IF($I269="",(1+INDEX($I$41:$I$42,MATCH($F269,$F$41:$F$42,0))),(1+$I269))</f>
        <v>0</v>
      </c>
      <c r="BK269" s="1126">
        <f>'ANSP Capex'!BI265*IF($I269="",(1+INDEX($I$41:$I$42,MATCH($F269,$F$41:$F$42,0))),(1+$I269))</f>
        <v>0</v>
      </c>
      <c r="BL269" s="1126">
        <f>'ANSP Capex'!BJ265*IF($I269="",(1+INDEX($I$41:$I$42,MATCH($F269,$F$41:$F$42,0))),(1+$I269))</f>
        <v>0</v>
      </c>
    </row>
    <row r="270" spans="1:64" outlineLevel="1">
      <c r="C270" s="1083" t="str">
        <f>'ANSP Capex'!C266</f>
        <v>BMS Upgrade Dublin</v>
      </c>
      <c r="D270" s="1083" t="str">
        <f>'ANSP Capex'!D266</f>
        <v>BMS Upgrade</v>
      </c>
      <c r="E270" s="1083" t="str">
        <f>'ANSP Capex'!E266</f>
        <v>T010A</v>
      </c>
      <c r="F270" s="1083" t="str">
        <f>'ANSP Capex'!F266</f>
        <v>2021-2024</v>
      </c>
      <c r="G270" s="1101">
        <f t="shared" si="24"/>
        <v>200</v>
      </c>
      <c r="H270" s="1083" t="str">
        <f>'ANSP Capex'!H266</f>
        <v>€'000</v>
      </c>
      <c r="I270" s="829"/>
      <c r="J270" s="1097">
        <f>'ANSP Capex'!I266</f>
        <v>8</v>
      </c>
      <c r="K270" s="1124">
        <v>0</v>
      </c>
      <c r="L270" s="1098">
        <f t="shared" si="25"/>
        <v>96</v>
      </c>
      <c r="M270" s="153">
        <f t="shared" si="26"/>
        <v>0.125</v>
      </c>
      <c r="N270" s="1099"/>
      <c r="O270" s="1100">
        <f>'ANSP Capex'!M266</f>
        <v>0</v>
      </c>
      <c r="P270" s="1101">
        <f>IF($BH270=0,0,IF(SUM($O270:O270)&lt;($L270-12),12,$L270-SUM($O270:O270)))</f>
        <v>0</v>
      </c>
      <c r="Q270" s="1101">
        <f>IF($BH270=0,0,IF(SUM($O270:P270)&lt;($L270-12),12,$L270-SUM($O270:P270)))</f>
        <v>0</v>
      </c>
      <c r="R270" s="1101">
        <f>IF($BH270=0,0,IF(SUM($O270:Q270)&lt;($L270-12),12,$L270-SUM($O270:Q270)))</f>
        <v>0</v>
      </c>
      <c r="S270" s="1101">
        <f>IF($BH270=0,0,IF(SUM($O270:R270)&lt;($L270-12),12,$L270-SUM($O270:R270)))</f>
        <v>0</v>
      </c>
      <c r="U270" s="1100"/>
      <c r="V270" s="1100">
        <f>'ANSP Capex'!T266</f>
        <v>0</v>
      </c>
      <c r="W270" s="1101">
        <f>IF($BI270=0,0,IF(SUM($U270:V270)&lt;($L270-12),12,$L270-SUM($U270:V270)))</f>
        <v>0</v>
      </c>
      <c r="X270" s="1101">
        <f>IF($BI270=0,0,IF(SUM($U270:W270)&lt;($L270-12),12,$L270-SUM($U270:W270)))</f>
        <v>0</v>
      </c>
      <c r="Y270" s="1101">
        <f>IF($BI270=0,0,IF(SUM($U270:X270)&lt;($L270-12),12,$L270-SUM($U270:X270)))</f>
        <v>0</v>
      </c>
      <c r="AA270" s="1100"/>
      <c r="AB270" s="1100"/>
      <c r="AC270" s="1100">
        <f>'ANSP Capex'!AA266</f>
        <v>3</v>
      </c>
      <c r="AD270" s="1101">
        <f>IF($BJ270=0,0,IF(SUM($AA270:AC270)&lt;($L270-12),12,$L270-SUM($AA270:AC270)))</f>
        <v>12</v>
      </c>
      <c r="AE270" s="1101">
        <f>IF($BJ270=0,0,IF(SUM($AA270:AD270)&lt;($L270-12),12,$L270-SUM($AA270:AD270)))</f>
        <v>12</v>
      </c>
      <c r="AG270" s="1100"/>
      <c r="AH270" s="1100"/>
      <c r="AI270" s="1100"/>
      <c r="AJ270" s="1100">
        <f>'ANSP Capex'!AH266</f>
        <v>0</v>
      </c>
      <c r="AK270" s="1101">
        <f>IF($BK270=0,0,IF(SUM($AG270:AJ270)&lt;($L270-12),12,$L270-SUM($AG270:AJ270)))</f>
        <v>0</v>
      </c>
      <c r="AM270" s="1100"/>
      <c r="AN270" s="1100"/>
      <c r="AO270" s="1100"/>
      <c r="AP270" s="1100"/>
      <c r="AQ270" s="1100">
        <f>'ANSP Capex'!AO266</f>
        <v>0</v>
      </c>
      <c r="AS270" s="153">
        <f t="shared" si="27"/>
        <v>0</v>
      </c>
      <c r="AT270" s="153">
        <f t="shared" si="28"/>
        <v>0</v>
      </c>
      <c r="AU270" s="153">
        <f t="shared" si="29"/>
        <v>0.25</v>
      </c>
      <c r="AV270" s="153">
        <f t="shared" si="30"/>
        <v>0</v>
      </c>
      <c r="AW270" s="153">
        <f t="shared" si="31"/>
        <v>0</v>
      </c>
      <c r="AX270" s="153"/>
      <c r="AY270" s="1543">
        <f>'ANSP Capex'!AW266</f>
        <v>0.75</v>
      </c>
      <c r="AZ270" s="1102"/>
      <c r="BA270" s="1543">
        <f>'ANSP Capex'!AY266</f>
        <v>0.25</v>
      </c>
      <c r="BC270" s="1126"/>
      <c r="BD270" s="1126"/>
      <c r="BE270" s="1126"/>
      <c r="BF270" s="1126"/>
      <c r="BG270" s="1126"/>
      <c r="BH270" s="1126">
        <f>'ANSP Capex'!BF266*IF($I270="",(1+INDEX($I$41:$I$42,MATCH($F270,$F$41:$F$42,0))),(1+$I270))</f>
        <v>0</v>
      </c>
      <c r="BI270" s="1126">
        <f>'ANSP Capex'!BG266*IF($I270="",(1+INDEX($I$41:$I$42,MATCH($F270,$F$41:$F$42,0))),(1+$I270))</f>
        <v>0</v>
      </c>
      <c r="BJ270" s="1126">
        <f>'ANSP Capex'!BH266*IF($I270="",(1+INDEX($I$41:$I$42,MATCH($F270,$F$41:$F$42,0))),(1+$I270))</f>
        <v>200</v>
      </c>
      <c r="BK270" s="1126">
        <f>'ANSP Capex'!BI266*IF($I270="",(1+INDEX($I$41:$I$42,MATCH($F270,$F$41:$F$42,0))),(1+$I270))</f>
        <v>0</v>
      </c>
      <c r="BL270" s="1126">
        <f>'ANSP Capex'!BJ266*IF($I270="",(1+INDEX($I$41:$I$42,MATCH($F270,$F$41:$F$42,0))),(1+$I270))</f>
        <v>0</v>
      </c>
    </row>
    <row r="271" spans="1:64" outlineLevel="1">
      <c r="C271" s="1083" t="str">
        <f>'ANSP Capex'!C267</f>
        <v>BMS Upgrade Ballycasey</v>
      </c>
      <c r="D271" s="1083" t="str">
        <f>'ANSP Capex'!D267</f>
        <v>BMS Upgrade</v>
      </c>
      <c r="E271" s="1083" t="str">
        <f>'ANSP Capex'!E267</f>
        <v>T010A</v>
      </c>
      <c r="F271" s="1083" t="str">
        <f>'ANSP Capex'!F267</f>
        <v>2021-2024</v>
      </c>
      <c r="G271" s="1101">
        <f t="shared" si="24"/>
        <v>200</v>
      </c>
      <c r="H271" s="1083" t="str">
        <f>'ANSP Capex'!H267</f>
        <v>€'000</v>
      </c>
      <c r="I271" s="829"/>
      <c r="J271" s="1097">
        <f>'ANSP Capex'!I267</f>
        <v>8</v>
      </c>
      <c r="K271" s="1124">
        <v>0</v>
      </c>
      <c r="L271" s="1098">
        <f t="shared" si="25"/>
        <v>96</v>
      </c>
      <c r="M271" s="153">
        <f t="shared" si="26"/>
        <v>0.125</v>
      </c>
      <c r="N271" s="1099"/>
      <c r="O271" s="1100">
        <f>'ANSP Capex'!M267</f>
        <v>0</v>
      </c>
      <c r="P271" s="1101">
        <f>IF($BH271=0,0,IF(SUM($O271:O271)&lt;($L271-12),12,$L271-SUM($O271:O271)))</f>
        <v>0</v>
      </c>
      <c r="Q271" s="1101">
        <f>IF($BH271=0,0,IF(SUM($O271:P271)&lt;($L271-12),12,$L271-SUM($O271:P271)))</f>
        <v>0</v>
      </c>
      <c r="R271" s="1101">
        <f>IF($BH271=0,0,IF(SUM($O271:Q271)&lt;($L271-12),12,$L271-SUM($O271:Q271)))</f>
        <v>0</v>
      </c>
      <c r="S271" s="1101">
        <f>IF($BH271=0,0,IF(SUM($O271:R271)&lt;($L271-12),12,$L271-SUM($O271:R271)))</f>
        <v>0</v>
      </c>
      <c r="U271" s="1100"/>
      <c r="V271" s="1100">
        <f>'ANSP Capex'!T267</f>
        <v>0</v>
      </c>
      <c r="W271" s="1101">
        <f>IF($BI271=0,0,IF(SUM($U271:V271)&lt;($L271-12),12,$L271-SUM($U271:V271)))</f>
        <v>0</v>
      </c>
      <c r="X271" s="1101">
        <f>IF($BI271=0,0,IF(SUM($U271:W271)&lt;($L271-12),12,$L271-SUM($U271:W271)))</f>
        <v>0</v>
      </c>
      <c r="Y271" s="1101">
        <f>IF($BI271=0,0,IF(SUM($U271:X271)&lt;($L271-12),12,$L271-SUM($U271:X271)))</f>
        <v>0</v>
      </c>
      <c r="AA271" s="1100"/>
      <c r="AB271" s="1100"/>
      <c r="AC271" s="1100">
        <f>'ANSP Capex'!AA267</f>
        <v>0</v>
      </c>
      <c r="AD271" s="1101">
        <f>IF($BJ271=0,0,IF(SUM($AA271:AC271)&lt;($L271-12),12,$L271-SUM($AA271:AC271)))</f>
        <v>0</v>
      </c>
      <c r="AE271" s="1101">
        <f>IF($BJ271=0,0,IF(SUM($AA271:AD271)&lt;($L271-12),12,$L271-SUM($AA271:AD271)))</f>
        <v>0</v>
      </c>
      <c r="AG271" s="1100"/>
      <c r="AH271" s="1100"/>
      <c r="AI271" s="1100"/>
      <c r="AJ271" s="1100">
        <f>'ANSP Capex'!AH267</f>
        <v>3</v>
      </c>
      <c r="AK271" s="1101">
        <f>IF($BK271=0,0,IF(SUM($AG271:AJ271)&lt;($L271-12),12,$L271-SUM($AG271:AJ271)))</f>
        <v>12</v>
      </c>
      <c r="AM271" s="1100"/>
      <c r="AN271" s="1100"/>
      <c r="AO271" s="1100"/>
      <c r="AP271" s="1100"/>
      <c r="AQ271" s="1100">
        <f>'ANSP Capex'!AO267</f>
        <v>0</v>
      </c>
      <c r="AS271" s="153">
        <f t="shared" si="27"/>
        <v>0</v>
      </c>
      <c r="AT271" s="153">
        <f t="shared" si="28"/>
        <v>0</v>
      </c>
      <c r="AU271" s="153">
        <f t="shared" si="29"/>
        <v>0</v>
      </c>
      <c r="AV271" s="153">
        <f t="shared" si="30"/>
        <v>0.25</v>
      </c>
      <c r="AW271" s="153">
        <f t="shared" si="31"/>
        <v>0</v>
      </c>
      <c r="AX271" s="153"/>
      <c r="AY271" s="1543">
        <f>'ANSP Capex'!AW267</f>
        <v>1</v>
      </c>
      <c r="AZ271" s="1102"/>
      <c r="BA271" s="1543">
        <f>'ANSP Capex'!AY267</f>
        <v>0</v>
      </c>
      <c r="BC271" s="1126"/>
      <c r="BD271" s="1126"/>
      <c r="BE271" s="1126"/>
      <c r="BF271" s="1126"/>
      <c r="BG271" s="1126"/>
      <c r="BH271" s="1126">
        <f>'ANSP Capex'!BF267*IF($I271="",(1+INDEX($I$41:$I$42,MATCH($F271,$F$41:$F$42,0))),(1+$I271))</f>
        <v>0</v>
      </c>
      <c r="BI271" s="1126">
        <f>'ANSP Capex'!BG267*IF($I271="",(1+INDEX($I$41:$I$42,MATCH($F271,$F$41:$F$42,0))),(1+$I271))</f>
        <v>0</v>
      </c>
      <c r="BJ271" s="1126">
        <f>'ANSP Capex'!BH267*IF($I271="",(1+INDEX($I$41:$I$42,MATCH($F271,$F$41:$F$42,0))),(1+$I271))</f>
        <v>0</v>
      </c>
      <c r="BK271" s="1126">
        <f>'ANSP Capex'!BI267*IF($I271="",(1+INDEX($I$41:$I$42,MATCH($F271,$F$41:$F$42,0))),(1+$I271))</f>
        <v>200</v>
      </c>
      <c r="BL271" s="1126">
        <f>'ANSP Capex'!BJ267*IF($I271="",(1+INDEX($I$41:$I$42,MATCH($F271,$F$41:$F$42,0))),(1+$I271))</f>
        <v>0</v>
      </c>
    </row>
    <row r="272" spans="1:64" outlineLevel="1">
      <c r="C272" s="1083" t="str">
        <f>'ANSP Capex'!C268</f>
        <v>ARTAS Upgrade</v>
      </c>
      <c r="D272" s="1083" t="str">
        <f>'ANSP Capex'!D268</f>
        <v>ARTAS Upgrade</v>
      </c>
      <c r="E272" s="1083" t="str">
        <f>'ANSP Capex'!E268</f>
        <v>RP3-SURV-2</v>
      </c>
      <c r="F272" s="1083" t="str">
        <f>'ANSP Capex'!F268</f>
        <v>2021-2024</v>
      </c>
      <c r="G272" s="1101">
        <f t="shared" si="24"/>
        <v>400</v>
      </c>
      <c r="H272" s="1083" t="str">
        <f>'ANSP Capex'!H268</f>
        <v>€'000</v>
      </c>
      <c r="I272" s="829"/>
      <c r="J272" s="1097">
        <f>'ANSP Capex'!I268</f>
        <v>8</v>
      </c>
      <c r="K272" s="1124">
        <v>0</v>
      </c>
      <c r="L272" s="1098">
        <f t="shared" si="25"/>
        <v>96</v>
      </c>
      <c r="M272" s="153">
        <f t="shared" si="26"/>
        <v>0.125</v>
      </c>
      <c r="N272" s="1099"/>
      <c r="O272" s="1100">
        <f>'ANSP Capex'!M268</f>
        <v>0</v>
      </c>
      <c r="P272" s="1101">
        <f>IF($BH272=0,0,IF(SUM($O272:O272)&lt;($L272-12),12,$L272-SUM($O272:O272)))</f>
        <v>0</v>
      </c>
      <c r="Q272" s="1101">
        <f>IF($BH272=0,0,IF(SUM($O272:P272)&lt;($L272-12),12,$L272-SUM($O272:P272)))</f>
        <v>0</v>
      </c>
      <c r="R272" s="1101">
        <f>IF($BH272=0,0,IF(SUM($O272:Q272)&lt;($L272-12),12,$L272-SUM($O272:Q272)))</f>
        <v>0</v>
      </c>
      <c r="S272" s="1101">
        <f>IF($BH272=0,0,IF(SUM($O272:R272)&lt;($L272-12),12,$L272-SUM($O272:R272)))</f>
        <v>0</v>
      </c>
      <c r="U272" s="1100"/>
      <c r="V272" s="1100">
        <f>'ANSP Capex'!T268</f>
        <v>0</v>
      </c>
      <c r="W272" s="1101">
        <f>IF($BI272=0,0,IF(SUM($U272:V272)&lt;($L272-12),12,$L272-SUM($U272:V272)))</f>
        <v>0</v>
      </c>
      <c r="X272" s="1101">
        <f>IF($BI272=0,0,IF(SUM($U272:W272)&lt;($L272-12),12,$L272-SUM($U272:W272)))</f>
        <v>0</v>
      </c>
      <c r="Y272" s="1101">
        <f>IF($BI272=0,0,IF(SUM($U272:X272)&lt;($L272-12),12,$L272-SUM($U272:X272)))</f>
        <v>0</v>
      </c>
      <c r="AA272" s="1100"/>
      <c r="AB272" s="1100"/>
      <c r="AC272" s="1100">
        <f>'ANSP Capex'!AA268</f>
        <v>3</v>
      </c>
      <c r="AD272" s="1101">
        <f>IF($BJ272=0,0,IF(SUM($AA272:AC272)&lt;($L272-12),12,$L272-SUM($AA272:AC272)))</f>
        <v>12</v>
      </c>
      <c r="AE272" s="1101">
        <f>IF($BJ272=0,0,IF(SUM($AA272:AD272)&lt;($L272-12),12,$L272-SUM($AA272:AD272)))</f>
        <v>12</v>
      </c>
      <c r="AG272" s="1100"/>
      <c r="AH272" s="1100"/>
      <c r="AI272" s="1100"/>
      <c r="AJ272" s="1100">
        <f>'ANSP Capex'!AH268</f>
        <v>3</v>
      </c>
      <c r="AK272" s="1101">
        <f>IF($BK272=0,0,IF(SUM($AG272:AJ272)&lt;($L272-12),12,$L272-SUM($AG272:AJ272)))</f>
        <v>12</v>
      </c>
      <c r="AM272" s="1100"/>
      <c r="AN272" s="1100"/>
      <c r="AO272" s="1100"/>
      <c r="AP272" s="1100"/>
      <c r="AQ272" s="1100">
        <f>'ANSP Capex'!AO268</f>
        <v>0</v>
      </c>
      <c r="AS272" s="153">
        <f t="shared" si="27"/>
        <v>0</v>
      </c>
      <c r="AT272" s="153">
        <f t="shared" si="28"/>
        <v>0</v>
      </c>
      <c r="AU272" s="153">
        <f t="shared" si="29"/>
        <v>0.25</v>
      </c>
      <c r="AV272" s="153">
        <f t="shared" si="30"/>
        <v>0.25</v>
      </c>
      <c r="AW272" s="153">
        <f t="shared" si="31"/>
        <v>0</v>
      </c>
      <c r="AX272" s="153"/>
      <c r="AY272" s="1543">
        <f>'ANSP Capex'!AW268</f>
        <v>1</v>
      </c>
      <c r="AZ272" s="1102"/>
      <c r="BA272" s="1543">
        <f>'ANSP Capex'!AY268</f>
        <v>0</v>
      </c>
      <c r="BC272" s="1126"/>
      <c r="BD272" s="1126"/>
      <c r="BE272" s="1126"/>
      <c r="BF272" s="1126"/>
      <c r="BG272" s="1126"/>
      <c r="BH272" s="1126">
        <f>'ANSP Capex'!BF268*IF($I272="",(1+INDEX($I$41:$I$42,MATCH($F272,$F$41:$F$42,0))),(1+$I272))</f>
        <v>0</v>
      </c>
      <c r="BI272" s="1126">
        <f>'ANSP Capex'!BG268*IF($I272="",(1+INDEX($I$41:$I$42,MATCH($F272,$F$41:$F$42,0))),(1+$I272))</f>
        <v>0</v>
      </c>
      <c r="BJ272" s="1126">
        <f>'ANSP Capex'!BH268*IF($I272="",(1+INDEX($I$41:$I$42,MATCH($F272,$F$41:$F$42,0))),(1+$I272))</f>
        <v>200</v>
      </c>
      <c r="BK272" s="1126">
        <f>'ANSP Capex'!BI268*IF($I272="",(1+INDEX($I$41:$I$42,MATCH($F272,$F$41:$F$42,0))),(1+$I272))</f>
        <v>200</v>
      </c>
      <c r="BL272" s="1126">
        <f>'ANSP Capex'!BJ268*IF($I272="",(1+INDEX($I$41:$I$42,MATCH($F272,$F$41:$F$42,0))),(1+$I272))</f>
        <v>0</v>
      </c>
    </row>
    <row r="273" spans="3:64" outlineLevel="1">
      <c r="C273" s="1083" t="str">
        <f>'ANSP Capex'!C269</f>
        <v>Frequency Expnasion Programme (Knock, Kerry &amp; Dublin)</v>
      </c>
      <c r="D273" s="1083" t="str">
        <f>'ANSP Capex'!D269</f>
        <v>Frequency Expnasion Programme</v>
      </c>
      <c r="E273" s="1083" t="str">
        <f>'ANSP Capex'!E269</f>
        <v>R009</v>
      </c>
      <c r="F273" s="1083" t="str">
        <f>'ANSP Capex'!F269</f>
        <v>2021-2024</v>
      </c>
      <c r="G273" s="1101">
        <f t="shared" si="24"/>
        <v>0</v>
      </c>
      <c r="H273" s="1083" t="str">
        <f>'ANSP Capex'!H269</f>
        <v>€'000</v>
      </c>
      <c r="I273" s="829"/>
      <c r="J273" s="1097">
        <f>'ANSP Capex'!I269</f>
        <v>0</v>
      </c>
      <c r="K273" s="1124">
        <v>0</v>
      </c>
      <c r="L273" s="1098">
        <f t="shared" si="25"/>
        <v>0</v>
      </c>
      <c r="M273" s="153">
        <f t="shared" si="26"/>
        <v>0</v>
      </c>
      <c r="N273" s="1099"/>
      <c r="O273" s="1100">
        <f>'ANSP Capex'!M269</f>
        <v>0</v>
      </c>
      <c r="P273" s="1101">
        <f>IF($BH273=0,0,IF(SUM($O273:O273)&lt;($L273-12),12,$L273-SUM($O273:O273)))</f>
        <v>0</v>
      </c>
      <c r="Q273" s="1101">
        <f>IF($BH273=0,0,IF(SUM($O273:P273)&lt;($L273-12),12,$L273-SUM($O273:P273)))</f>
        <v>0</v>
      </c>
      <c r="R273" s="1101">
        <f>IF($BH273=0,0,IF(SUM($O273:Q273)&lt;($L273-12),12,$L273-SUM($O273:Q273)))</f>
        <v>0</v>
      </c>
      <c r="S273" s="1101">
        <f>IF($BH273=0,0,IF(SUM($O273:R273)&lt;($L273-12),12,$L273-SUM($O273:R273)))</f>
        <v>0</v>
      </c>
      <c r="U273" s="1100"/>
      <c r="V273" s="1100">
        <f>'ANSP Capex'!T269</f>
        <v>0</v>
      </c>
      <c r="W273" s="1101">
        <f>IF($BI273=0,0,IF(SUM($U273:V273)&lt;($L273-12),12,$L273-SUM($U273:V273)))</f>
        <v>0</v>
      </c>
      <c r="X273" s="1101">
        <f>IF($BI273=0,0,IF(SUM($U273:W273)&lt;($L273-12),12,$L273-SUM($U273:W273)))</f>
        <v>0</v>
      </c>
      <c r="Y273" s="1101">
        <f>IF($BI273=0,0,IF(SUM($U273:X273)&lt;($L273-12),12,$L273-SUM($U273:X273)))</f>
        <v>0</v>
      </c>
      <c r="AA273" s="1100"/>
      <c r="AB273" s="1100"/>
      <c r="AC273" s="1100">
        <f>'ANSP Capex'!AA269</f>
        <v>0</v>
      </c>
      <c r="AD273" s="1101">
        <f>IF($BJ273=0,0,IF(SUM($AA273:AC273)&lt;($L273-12),12,$L273-SUM($AA273:AC273)))</f>
        <v>0</v>
      </c>
      <c r="AE273" s="1101">
        <f>IF($BJ273=0,0,IF(SUM($AA273:AD273)&lt;($L273-12),12,$L273-SUM($AA273:AD273)))</f>
        <v>0</v>
      </c>
      <c r="AG273" s="1100"/>
      <c r="AH273" s="1100"/>
      <c r="AI273" s="1100"/>
      <c r="AJ273" s="1100">
        <f>'ANSP Capex'!AH269</f>
        <v>0</v>
      </c>
      <c r="AK273" s="1101">
        <f>IF($BK273=0,0,IF(SUM($AG273:AJ273)&lt;($L273-12),12,$L273-SUM($AG273:AJ273)))</f>
        <v>0</v>
      </c>
      <c r="AM273" s="1100"/>
      <c r="AN273" s="1100"/>
      <c r="AO273" s="1100"/>
      <c r="AP273" s="1100"/>
      <c r="AQ273" s="1100">
        <f>'ANSP Capex'!AO269</f>
        <v>0</v>
      </c>
      <c r="AS273" s="153">
        <f t="shared" si="27"/>
        <v>0</v>
      </c>
      <c r="AT273" s="153">
        <f t="shared" si="28"/>
        <v>0</v>
      </c>
      <c r="AU273" s="153">
        <f t="shared" si="29"/>
        <v>0</v>
      </c>
      <c r="AV273" s="153">
        <f t="shared" si="30"/>
        <v>0</v>
      </c>
      <c r="AW273" s="153">
        <f t="shared" si="31"/>
        <v>0</v>
      </c>
      <c r="AX273" s="153"/>
      <c r="AY273" s="1543">
        <f>'ANSP Capex'!AW269</f>
        <v>0</v>
      </c>
      <c r="AZ273" s="1102"/>
      <c r="BA273" s="1543">
        <f>'ANSP Capex'!AY269</f>
        <v>0</v>
      </c>
      <c r="BC273" s="1126"/>
      <c r="BD273" s="1126"/>
      <c r="BE273" s="1126"/>
      <c r="BF273" s="1126"/>
      <c r="BG273" s="1126"/>
      <c r="BH273" s="1126">
        <f>'ANSP Capex'!BF269*IF($I273="",(1+INDEX($I$41:$I$42,MATCH($F273,$F$41:$F$42,0))),(1+$I273))</f>
        <v>0</v>
      </c>
      <c r="BI273" s="1126">
        <f>'ANSP Capex'!BG269*IF($I273="",(1+INDEX($I$41:$I$42,MATCH($F273,$F$41:$F$42,0))),(1+$I273))</f>
        <v>0</v>
      </c>
      <c r="BJ273" s="1126">
        <f>'ANSP Capex'!BH269*IF($I273="",(1+INDEX($I$41:$I$42,MATCH($F273,$F$41:$F$42,0))),(1+$I273))</f>
        <v>0</v>
      </c>
      <c r="BK273" s="1126">
        <f>'ANSP Capex'!BI269*IF($I273="",(1+INDEX($I$41:$I$42,MATCH($F273,$F$41:$F$42,0))),(1+$I273))</f>
        <v>0</v>
      </c>
      <c r="BL273" s="1126">
        <f>'ANSP Capex'!BJ269*IF($I273="",(1+INDEX($I$41:$I$42,MATCH($F273,$F$41:$F$42,0))),(1+$I273))</f>
        <v>0</v>
      </c>
    </row>
    <row r="274" spans="3:64" outlineLevel="1">
      <c r="C274" s="1083" t="str">
        <f>'ANSP Capex'!C270</f>
        <v>Frequency Expnasion Programme  Dublin</v>
      </c>
      <c r="D274" s="1083" t="str">
        <f>'ANSP Capex'!D270</f>
        <v>Frequency Expnasion Programme</v>
      </c>
      <c r="E274" s="1083" t="str">
        <f>'ANSP Capex'!E270</f>
        <v>R009A</v>
      </c>
      <c r="F274" s="1083" t="str">
        <f>'ANSP Capex'!F270</f>
        <v>2021-2024</v>
      </c>
      <c r="G274" s="1101">
        <f t="shared" si="24"/>
        <v>113.60000000000001</v>
      </c>
      <c r="H274" s="1083" t="str">
        <f>'ANSP Capex'!H270</f>
        <v>€'000</v>
      </c>
      <c r="I274" s="829"/>
      <c r="J274" s="1097">
        <f>'ANSP Capex'!I270</f>
        <v>8</v>
      </c>
      <c r="K274" s="1124">
        <v>0</v>
      </c>
      <c r="L274" s="1098">
        <f t="shared" si="25"/>
        <v>96</v>
      </c>
      <c r="M274" s="153">
        <f t="shared" si="26"/>
        <v>0.125</v>
      </c>
      <c r="N274" s="1099"/>
      <c r="O274" s="1100">
        <f>'ANSP Capex'!M270</f>
        <v>0</v>
      </c>
      <c r="P274" s="1101">
        <f>IF($BH274=0,0,IF(SUM($O274:O274)&lt;($L274-12),12,$L274-SUM($O274:O274)))</f>
        <v>0</v>
      </c>
      <c r="Q274" s="1101">
        <f>IF($BH274=0,0,IF(SUM($O274:P274)&lt;($L274-12),12,$L274-SUM($O274:P274)))</f>
        <v>0</v>
      </c>
      <c r="R274" s="1101">
        <f>IF($BH274=0,0,IF(SUM($O274:Q274)&lt;($L274-12),12,$L274-SUM($O274:Q274)))</f>
        <v>0</v>
      </c>
      <c r="S274" s="1101">
        <f>IF($BH274=0,0,IF(SUM($O274:R274)&lt;($L274-12),12,$L274-SUM($O274:R274)))</f>
        <v>0</v>
      </c>
      <c r="U274" s="1100"/>
      <c r="V274" s="1100">
        <f>'ANSP Capex'!T270</f>
        <v>6</v>
      </c>
      <c r="W274" s="1101">
        <f>IF($BI274=0,0,IF(SUM($U274:V274)&lt;($L274-12),12,$L274-SUM($U274:V274)))</f>
        <v>12</v>
      </c>
      <c r="X274" s="1101">
        <f>IF($BI274=0,0,IF(SUM($U274:W274)&lt;($L274-12),12,$L274-SUM($U274:W274)))</f>
        <v>12</v>
      </c>
      <c r="Y274" s="1101">
        <f>IF($BI274=0,0,IF(SUM($U274:X274)&lt;($L274-12),12,$L274-SUM($U274:X274)))</f>
        <v>12</v>
      </c>
      <c r="AA274" s="1100"/>
      <c r="AB274" s="1100"/>
      <c r="AC274" s="1100">
        <f>'ANSP Capex'!AA270</f>
        <v>0</v>
      </c>
      <c r="AD274" s="1101">
        <f>IF($BJ274=0,0,IF(SUM($AA274:AC274)&lt;($L274-12),12,$L274-SUM($AA274:AC274)))</f>
        <v>0</v>
      </c>
      <c r="AE274" s="1101">
        <f>IF($BJ274=0,0,IF(SUM($AA274:AD274)&lt;($L274-12),12,$L274-SUM($AA274:AD274)))</f>
        <v>0</v>
      </c>
      <c r="AG274" s="1100"/>
      <c r="AH274" s="1100"/>
      <c r="AI274" s="1100"/>
      <c r="AJ274" s="1100">
        <f>'ANSP Capex'!AH270</f>
        <v>0</v>
      </c>
      <c r="AK274" s="1101">
        <f>IF($BK274=0,0,IF(SUM($AG274:AJ274)&lt;($L274-12),12,$L274-SUM($AG274:AJ274)))</f>
        <v>0</v>
      </c>
      <c r="AM274" s="1100"/>
      <c r="AN274" s="1100"/>
      <c r="AO274" s="1100"/>
      <c r="AP274" s="1100"/>
      <c r="AQ274" s="1100">
        <f>'ANSP Capex'!AO270</f>
        <v>0</v>
      </c>
      <c r="AS274" s="153">
        <f t="shared" si="27"/>
        <v>0</v>
      </c>
      <c r="AT274" s="153">
        <f t="shared" si="28"/>
        <v>0.5</v>
      </c>
      <c r="AU274" s="153">
        <f t="shared" si="29"/>
        <v>0</v>
      </c>
      <c r="AV274" s="153">
        <f t="shared" si="30"/>
        <v>0</v>
      </c>
      <c r="AW274" s="153">
        <f t="shared" si="31"/>
        <v>0</v>
      </c>
      <c r="AX274" s="153"/>
      <c r="AY274" s="1543">
        <f>'ANSP Capex'!AW270</f>
        <v>0.75</v>
      </c>
      <c r="AZ274" s="1102"/>
      <c r="BA274" s="1543">
        <f>'ANSP Capex'!AY270</f>
        <v>0.25</v>
      </c>
      <c r="BC274" s="1126"/>
      <c r="BD274" s="1126"/>
      <c r="BE274" s="1126"/>
      <c r="BF274" s="1126"/>
      <c r="BG274" s="1126"/>
      <c r="BH274" s="1126">
        <f>'ANSP Capex'!BF270*IF($I274="",(1+INDEX($I$41:$I$42,MATCH($F274,$F$41:$F$42,0))),(1+$I274))</f>
        <v>0</v>
      </c>
      <c r="BI274" s="1126">
        <f>'ANSP Capex'!BG270*IF($I274="",(1+INDEX($I$41:$I$42,MATCH($F274,$F$41:$F$42,0))),(1+$I274))</f>
        <v>113.60000000000001</v>
      </c>
      <c r="BJ274" s="1126">
        <f>'ANSP Capex'!BH270*IF($I274="",(1+INDEX($I$41:$I$42,MATCH($F274,$F$41:$F$42,0))),(1+$I274))</f>
        <v>0</v>
      </c>
      <c r="BK274" s="1126">
        <f>'ANSP Capex'!BI270*IF($I274="",(1+INDEX($I$41:$I$42,MATCH($F274,$F$41:$F$42,0))),(1+$I274))</f>
        <v>0</v>
      </c>
      <c r="BL274" s="1126">
        <f>'ANSP Capex'!BJ270*IF($I274="",(1+INDEX($I$41:$I$42,MATCH($F274,$F$41:$F$42,0))),(1+$I274))</f>
        <v>0</v>
      </c>
    </row>
    <row r="275" spans="3:64" outlineLevel="1">
      <c r="C275" s="1083" t="str">
        <f>'ANSP Capex'!C271</f>
        <v>Frequency Expnasion Programme Knock</v>
      </c>
      <c r="D275" s="1083" t="str">
        <f>'ANSP Capex'!D271</f>
        <v>Frequency Expnasion Programme</v>
      </c>
      <c r="E275" s="1083" t="str">
        <f>'ANSP Capex'!E271</f>
        <v>R009A</v>
      </c>
      <c r="F275" s="1083" t="str">
        <f>'ANSP Capex'!F271</f>
        <v>2021-2024</v>
      </c>
      <c r="G275" s="1101">
        <f t="shared" si="24"/>
        <v>80</v>
      </c>
      <c r="H275" s="1083" t="str">
        <f>'ANSP Capex'!H271</f>
        <v>€'000</v>
      </c>
      <c r="I275" s="829"/>
      <c r="J275" s="1097">
        <f>'ANSP Capex'!I271</f>
        <v>8</v>
      </c>
      <c r="K275" s="1124">
        <v>0</v>
      </c>
      <c r="L275" s="1098">
        <f t="shared" si="25"/>
        <v>96</v>
      </c>
      <c r="M275" s="153">
        <f t="shared" si="26"/>
        <v>0.125</v>
      </c>
      <c r="N275" s="1099"/>
      <c r="O275" s="1100">
        <f>'ANSP Capex'!M271</f>
        <v>0</v>
      </c>
      <c r="P275" s="1101">
        <f>IF($BH275=0,0,IF(SUM($O275:O275)&lt;($L275-12),12,$L275-SUM($O275:O275)))</f>
        <v>0</v>
      </c>
      <c r="Q275" s="1101">
        <f>IF($BH275=0,0,IF(SUM($O275:P275)&lt;($L275-12),12,$L275-SUM($O275:P275)))</f>
        <v>0</v>
      </c>
      <c r="R275" s="1101">
        <f>IF($BH275=0,0,IF(SUM($O275:Q275)&lt;($L275-12),12,$L275-SUM($O275:Q275)))</f>
        <v>0</v>
      </c>
      <c r="S275" s="1101">
        <f>IF($BH275=0,0,IF(SUM($O275:R275)&lt;($L275-12),12,$L275-SUM($O275:R275)))</f>
        <v>0</v>
      </c>
      <c r="U275" s="1100"/>
      <c r="V275" s="1100">
        <f>'ANSP Capex'!T271</f>
        <v>0</v>
      </c>
      <c r="W275" s="1101">
        <f>IF($BI275=0,0,IF(SUM($U275:V275)&lt;($L275-12),12,$L275-SUM($U275:V275)))</f>
        <v>0</v>
      </c>
      <c r="X275" s="1101">
        <f>IF($BI275=0,0,IF(SUM($U275:W275)&lt;($L275-12),12,$L275-SUM($U275:W275)))</f>
        <v>0</v>
      </c>
      <c r="Y275" s="1101">
        <f>IF($BI275=0,0,IF(SUM($U275:X275)&lt;($L275-12),12,$L275-SUM($U275:X275)))</f>
        <v>0</v>
      </c>
      <c r="AA275" s="1100"/>
      <c r="AB275" s="1100"/>
      <c r="AC275" s="1100">
        <f>'ANSP Capex'!AA271</f>
        <v>0</v>
      </c>
      <c r="AD275" s="1101">
        <f>IF($BJ275=0,0,IF(SUM($AA275:AC275)&lt;($L275-12),12,$L275-SUM($AA275:AC275)))</f>
        <v>0</v>
      </c>
      <c r="AE275" s="1101">
        <f>IF($BJ275=0,0,IF(SUM($AA275:AD275)&lt;($L275-12),12,$L275-SUM($AA275:AD275)))</f>
        <v>0</v>
      </c>
      <c r="AG275" s="1100"/>
      <c r="AH275" s="1100"/>
      <c r="AI275" s="1100"/>
      <c r="AJ275" s="1100">
        <f>'ANSP Capex'!AH271</f>
        <v>9</v>
      </c>
      <c r="AK275" s="1101">
        <f>IF($BK275=0,0,IF(SUM($AG275:AJ275)&lt;($L275-12),12,$L275-SUM($AG275:AJ275)))</f>
        <v>12</v>
      </c>
      <c r="AM275" s="1100"/>
      <c r="AN275" s="1100"/>
      <c r="AO275" s="1100"/>
      <c r="AP275" s="1100"/>
      <c r="AQ275" s="1100">
        <f>'ANSP Capex'!AO271</f>
        <v>0</v>
      </c>
      <c r="AS275" s="153">
        <f t="shared" si="27"/>
        <v>0</v>
      </c>
      <c r="AT275" s="153">
        <f t="shared" si="28"/>
        <v>0</v>
      </c>
      <c r="AU275" s="153">
        <f t="shared" si="29"/>
        <v>0</v>
      </c>
      <c r="AV275" s="153">
        <f t="shared" si="30"/>
        <v>0.75</v>
      </c>
      <c r="AW275" s="153">
        <f t="shared" si="31"/>
        <v>0</v>
      </c>
      <c r="AX275" s="153"/>
      <c r="AY275" s="1543">
        <f>'ANSP Capex'!AW271</f>
        <v>1</v>
      </c>
      <c r="AZ275" s="1102"/>
      <c r="BA275" s="1543">
        <f>'ANSP Capex'!AY271</f>
        <v>0</v>
      </c>
      <c r="BC275" s="1126"/>
      <c r="BD275" s="1126"/>
      <c r="BE275" s="1126"/>
      <c r="BF275" s="1126"/>
      <c r="BG275" s="1126"/>
      <c r="BH275" s="1126">
        <f>'ANSP Capex'!BF271*IF($I275="",(1+INDEX($I$41:$I$42,MATCH($F275,$F$41:$F$42,0))),(1+$I275))</f>
        <v>0</v>
      </c>
      <c r="BI275" s="1126">
        <f>'ANSP Capex'!BG271*IF($I275="",(1+INDEX($I$41:$I$42,MATCH($F275,$F$41:$F$42,0))),(1+$I275))</f>
        <v>0</v>
      </c>
      <c r="BJ275" s="1126">
        <f>'ANSP Capex'!BH271*IF($I275="",(1+INDEX($I$41:$I$42,MATCH($F275,$F$41:$F$42,0))),(1+$I275))</f>
        <v>0</v>
      </c>
      <c r="BK275" s="1126">
        <f>'ANSP Capex'!BI271*IF($I275="",(1+INDEX($I$41:$I$42,MATCH($F275,$F$41:$F$42,0))),(1+$I275))</f>
        <v>80</v>
      </c>
      <c r="BL275" s="1126">
        <f>'ANSP Capex'!BJ271*IF($I275="",(1+INDEX($I$41:$I$42,MATCH($F275,$F$41:$F$42,0))),(1+$I275))</f>
        <v>0</v>
      </c>
    </row>
    <row r="276" spans="3:64" outlineLevel="1">
      <c r="C276" s="1083" t="str">
        <f>'ANSP Capex'!C272</f>
        <v>Frequency Expnasion Programme Shannon (Woodcock Hill, Dooncarton, Glc)</v>
      </c>
      <c r="D276" s="1083" t="str">
        <f>'ANSP Capex'!D272</f>
        <v>Frequency Expnasion Programme</v>
      </c>
      <c r="E276" s="1083" t="str">
        <f>'ANSP Capex'!E272</f>
        <v>R009A</v>
      </c>
      <c r="F276" s="1083" t="str">
        <f>'ANSP Capex'!F272</f>
        <v>2021-2024</v>
      </c>
      <c r="G276" s="1101">
        <f t="shared" si="24"/>
        <v>141.72099200000002</v>
      </c>
      <c r="H276" s="1083" t="str">
        <f>'ANSP Capex'!H272</f>
        <v>€'000</v>
      </c>
      <c r="I276" s="829"/>
      <c r="J276" s="1097">
        <f>'ANSP Capex'!I272</f>
        <v>8</v>
      </c>
      <c r="K276" s="1124">
        <v>0</v>
      </c>
      <c r="L276" s="1098">
        <f t="shared" si="25"/>
        <v>96</v>
      </c>
      <c r="M276" s="153">
        <f t="shared" si="26"/>
        <v>0.125</v>
      </c>
      <c r="N276" s="1099"/>
      <c r="O276" s="1100">
        <f>'ANSP Capex'!M272</f>
        <v>0</v>
      </c>
      <c r="P276" s="1101">
        <f>IF($BH276=0,0,IF(SUM($O276:O276)&lt;($L276-12),12,$L276-SUM($O276:O276)))</f>
        <v>0</v>
      </c>
      <c r="Q276" s="1101">
        <f>IF($BH276=0,0,IF(SUM($O276:P276)&lt;($L276-12),12,$L276-SUM($O276:P276)))</f>
        <v>0</v>
      </c>
      <c r="R276" s="1101">
        <f>IF($BH276=0,0,IF(SUM($O276:Q276)&lt;($L276-12),12,$L276-SUM($O276:Q276)))</f>
        <v>0</v>
      </c>
      <c r="S276" s="1101">
        <f>IF($BH276=0,0,IF(SUM($O276:R276)&lt;($L276-12),12,$L276-SUM($O276:R276)))</f>
        <v>0</v>
      </c>
      <c r="U276" s="1100"/>
      <c r="V276" s="1100">
        <f>'ANSP Capex'!T272</f>
        <v>3</v>
      </c>
      <c r="W276" s="1101">
        <f>IF($BI276=0,0,IF(SUM($U276:V276)&lt;($L276-12),12,$L276-SUM($U276:V276)))</f>
        <v>12</v>
      </c>
      <c r="X276" s="1101">
        <f>IF($BI276=0,0,IF(SUM($U276:W276)&lt;($L276-12),12,$L276-SUM($U276:W276)))</f>
        <v>12</v>
      </c>
      <c r="Y276" s="1101">
        <f>IF($BI276=0,0,IF(SUM($U276:X276)&lt;($L276-12),12,$L276-SUM($U276:X276)))</f>
        <v>12</v>
      </c>
      <c r="AA276" s="1100"/>
      <c r="AB276" s="1100"/>
      <c r="AC276" s="1100">
        <f>'ANSP Capex'!AA272</f>
        <v>3</v>
      </c>
      <c r="AD276" s="1101">
        <f>IF($BJ276=0,0,IF(SUM($AA276:AC276)&lt;($L276-12),12,$L276-SUM($AA276:AC276)))</f>
        <v>12</v>
      </c>
      <c r="AE276" s="1101">
        <f>IF($BJ276=0,0,IF(SUM($AA276:AD276)&lt;($L276-12),12,$L276-SUM($AA276:AD276)))</f>
        <v>12</v>
      </c>
      <c r="AG276" s="1100"/>
      <c r="AH276" s="1100"/>
      <c r="AI276" s="1100"/>
      <c r="AJ276" s="1100">
        <f>'ANSP Capex'!AH272</f>
        <v>0</v>
      </c>
      <c r="AK276" s="1101">
        <f>IF($BK276=0,0,IF(SUM($AG276:AJ276)&lt;($L276-12),12,$L276-SUM($AG276:AJ276)))</f>
        <v>0</v>
      </c>
      <c r="AM276" s="1100"/>
      <c r="AN276" s="1100"/>
      <c r="AO276" s="1100"/>
      <c r="AP276" s="1100"/>
      <c r="AQ276" s="1100">
        <f>'ANSP Capex'!AO272</f>
        <v>0</v>
      </c>
      <c r="AS276" s="153">
        <f t="shared" si="27"/>
        <v>0</v>
      </c>
      <c r="AT276" s="153">
        <f t="shared" si="28"/>
        <v>0.25</v>
      </c>
      <c r="AU276" s="153">
        <f t="shared" si="29"/>
        <v>0.25</v>
      </c>
      <c r="AV276" s="153">
        <f t="shared" si="30"/>
        <v>0</v>
      </c>
      <c r="AW276" s="153">
        <f t="shared" si="31"/>
        <v>0</v>
      </c>
      <c r="AX276" s="153"/>
      <c r="AY276" s="1543">
        <f>'ANSP Capex'!AW272</f>
        <v>1</v>
      </c>
      <c r="AZ276" s="1102"/>
      <c r="BA276" s="1543">
        <f>'ANSP Capex'!AY272</f>
        <v>0</v>
      </c>
      <c r="BC276" s="1126"/>
      <c r="BD276" s="1126"/>
      <c r="BE276" s="1126"/>
      <c r="BF276" s="1126"/>
      <c r="BG276" s="1126"/>
      <c r="BH276" s="1126">
        <f>'ANSP Capex'!BF272*IF($I276="",(1+INDEX($I$41:$I$42,MATCH($F276,$F$41:$F$42,0))),(1+$I276))</f>
        <v>0</v>
      </c>
      <c r="BI276" s="1126">
        <f>'ANSP Capex'!BG272*IF($I276="",(1+INDEX($I$41:$I$42,MATCH($F276,$F$41:$F$42,0))),(1+$I276))</f>
        <v>65.72099200000001</v>
      </c>
      <c r="BJ276" s="1126">
        <f>'ANSP Capex'!BH272*IF($I276="",(1+INDEX($I$41:$I$42,MATCH($F276,$F$41:$F$42,0))),(1+$I276))</f>
        <v>76</v>
      </c>
      <c r="BK276" s="1126">
        <f>'ANSP Capex'!BI272*IF($I276="",(1+INDEX($I$41:$I$42,MATCH($F276,$F$41:$F$42,0))),(1+$I276))</f>
        <v>0</v>
      </c>
      <c r="BL276" s="1126">
        <f>'ANSP Capex'!BJ272*IF($I276="",(1+INDEX($I$41:$I$42,MATCH($F276,$F$41:$F$42,0))),(1+$I276))</f>
        <v>0</v>
      </c>
    </row>
    <row r="277" spans="3:64" outlineLevel="1">
      <c r="C277" s="1083" t="str">
        <f>'ANSP Capex'!C273</f>
        <v>UPS System Replacement SHN/DUB</v>
      </c>
      <c r="D277" s="1083" t="str">
        <f>'ANSP Capex'!D273</f>
        <v>UPS System Replacement</v>
      </c>
      <c r="E277" s="1083" t="str">
        <f>'ANSP Capex'!E273</f>
        <v>S012</v>
      </c>
      <c r="F277" s="1083" t="str">
        <f>'ANSP Capex'!F273</f>
        <v>2021-2024</v>
      </c>
      <c r="G277" s="1101">
        <f t="shared" si="24"/>
        <v>0</v>
      </c>
      <c r="H277" s="1083" t="str">
        <f>'ANSP Capex'!H273</f>
        <v>€'000</v>
      </c>
      <c r="I277" s="829"/>
      <c r="J277" s="1097">
        <f>'ANSP Capex'!I273</f>
        <v>0</v>
      </c>
      <c r="K277" s="1124">
        <v>0</v>
      </c>
      <c r="L277" s="1098">
        <f t="shared" si="25"/>
        <v>0</v>
      </c>
      <c r="M277" s="153">
        <f t="shared" si="26"/>
        <v>0</v>
      </c>
      <c r="N277" s="1099"/>
      <c r="O277" s="1100">
        <f>'ANSP Capex'!M273</f>
        <v>0</v>
      </c>
      <c r="P277" s="1101">
        <f>IF($BH277=0,0,IF(SUM($O277:O277)&lt;($L277-12),12,$L277-SUM($O277:O277)))</f>
        <v>0</v>
      </c>
      <c r="Q277" s="1101">
        <f>IF($BH277=0,0,IF(SUM($O277:P277)&lt;($L277-12),12,$L277-SUM($O277:P277)))</f>
        <v>0</v>
      </c>
      <c r="R277" s="1101">
        <f>IF($BH277=0,0,IF(SUM($O277:Q277)&lt;($L277-12),12,$L277-SUM($O277:Q277)))</f>
        <v>0</v>
      </c>
      <c r="S277" s="1101">
        <f>IF($BH277=0,0,IF(SUM($O277:R277)&lt;($L277-12),12,$L277-SUM($O277:R277)))</f>
        <v>0</v>
      </c>
      <c r="U277" s="1100"/>
      <c r="V277" s="1100">
        <f>'ANSP Capex'!T273</f>
        <v>0</v>
      </c>
      <c r="W277" s="1101">
        <f>IF($BI277=0,0,IF(SUM($U277:V277)&lt;($L277-12),12,$L277-SUM($U277:V277)))</f>
        <v>0</v>
      </c>
      <c r="X277" s="1101">
        <f>IF($BI277=0,0,IF(SUM($U277:W277)&lt;($L277-12),12,$L277-SUM($U277:W277)))</f>
        <v>0</v>
      </c>
      <c r="Y277" s="1101">
        <f>IF($BI277=0,0,IF(SUM($U277:X277)&lt;($L277-12),12,$L277-SUM($U277:X277)))</f>
        <v>0</v>
      </c>
      <c r="AA277" s="1100"/>
      <c r="AB277" s="1100"/>
      <c r="AC277" s="1100">
        <f>'ANSP Capex'!AA273</f>
        <v>0</v>
      </c>
      <c r="AD277" s="1101">
        <f>IF($BJ277=0,0,IF(SUM($AA277:AC277)&lt;($L277-12),12,$L277-SUM($AA277:AC277)))</f>
        <v>0</v>
      </c>
      <c r="AE277" s="1101">
        <f>IF($BJ277=0,0,IF(SUM($AA277:AD277)&lt;($L277-12),12,$L277-SUM($AA277:AD277)))</f>
        <v>0</v>
      </c>
      <c r="AG277" s="1100"/>
      <c r="AH277" s="1100"/>
      <c r="AI277" s="1100"/>
      <c r="AJ277" s="1100">
        <f>'ANSP Capex'!AH273</f>
        <v>0</v>
      </c>
      <c r="AK277" s="1101">
        <f>IF($BK277=0,0,IF(SUM($AG277:AJ277)&lt;($L277-12),12,$L277-SUM($AG277:AJ277)))</f>
        <v>0</v>
      </c>
      <c r="AM277" s="1100"/>
      <c r="AN277" s="1100"/>
      <c r="AO277" s="1100"/>
      <c r="AP277" s="1100"/>
      <c r="AQ277" s="1100">
        <f>'ANSP Capex'!AO273</f>
        <v>0</v>
      </c>
      <c r="AS277" s="153">
        <f t="shared" si="27"/>
        <v>0</v>
      </c>
      <c r="AT277" s="153">
        <f t="shared" si="28"/>
        <v>0</v>
      </c>
      <c r="AU277" s="153">
        <f t="shared" si="29"/>
        <v>0</v>
      </c>
      <c r="AV277" s="153">
        <f t="shared" si="30"/>
        <v>0</v>
      </c>
      <c r="AW277" s="153">
        <f t="shared" si="31"/>
        <v>0</v>
      </c>
      <c r="AX277" s="153"/>
      <c r="AY277" s="1543">
        <f>'ANSP Capex'!AW273</f>
        <v>0</v>
      </c>
      <c r="AZ277" s="1102"/>
      <c r="BA277" s="1543">
        <f>'ANSP Capex'!AY273</f>
        <v>0</v>
      </c>
      <c r="BC277" s="1126"/>
      <c r="BD277" s="1126"/>
      <c r="BE277" s="1126"/>
      <c r="BF277" s="1126"/>
      <c r="BG277" s="1126"/>
      <c r="BH277" s="1126">
        <f>'ANSP Capex'!BF273*IF($I277="",(1+INDEX($I$41:$I$42,MATCH($F277,$F$41:$F$42,0))),(1+$I277))</f>
        <v>0</v>
      </c>
      <c r="BI277" s="1126">
        <f>'ANSP Capex'!BG273*IF($I277="",(1+INDEX($I$41:$I$42,MATCH($F277,$F$41:$F$42,0))),(1+$I277))</f>
        <v>0</v>
      </c>
      <c r="BJ277" s="1126">
        <f>'ANSP Capex'!BH273*IF($I277="",(1+INDEX($I$41:$I$42,MATCH($F277,$F$41:$F$42,0))),(1+$I277))</f>
        <v>0</v>
      </c>
      <c r="BK277" s="1126">
        <f>'ANSP Capex'!BI273*IF($I277="",(1+INDEX($I$41:$I$42,MATCH($F277,$F$41:$F$42,0))),(1+$I277))</f>
        <v>0</v>
      </c>
      <c r="BL277" s="1126">
        <f>'ANSP Capex'!BJ273*IF($I277="",(1+INDEX($I$41:$I$42,MATCH($F277,$F$41:$F$42,0))),(1+$I277))</f>
        <v>0</v>
      </c>
    </row>
    <row r="278" spans="3:64" outlineLevel="1">
      <c r="C278" s="1083" t="str">
        <f>'ANSP Capex'!C274</f>
        <v>UPS System Replacement DUB</v>
      </c>
      <c r="D278" s="1083" t="str">
        <f>'ANSP Capex'!D274</f>
        <v>UPS System Replacement</v>
      </c>
      <c r="E278" s="1083" t="str">
        <f>'ANSP Capex'!E274</f>
        <v>S012A</v>
      </c>
      <c r="F278" s="1083" t="str">
        <f>'ANSP Capex'!F274</f>
        <v>2021-2024</v>
      </c>
      <c r="G278" s="1101">
        <f t="shared" si="24"/>
        <v>172.096992</v>
      </c>
      <c r="H278" s="1083" t="str">
        <f>'ANSP Capex'!H274</f>
        <v>€'000</v>
      </c>
      <c r="I278" s="829"/>
      <c r="J278" s="1097">
        <f>'ANSP Capex'!I274</f>
        <v>8</v>
      </c>
      <c r="K278" s="1124">
        <v>0</v>
      </c>
      <c r="L278" s="1098">
        <f t="shared" si="25"/>
        <v>96</v>
      </c>
      <c r="M278" s="153">
        <f t="shared" si="26"/>
        <v>0.125</v>
      </c>
      <c r="N278" s="1099"/>
      <c r="O278" s="1100">
        <f>'ANSP Capex'!M274</f>
        <v>0</v>
      </c>
      <c r="P278" s="1101">
        <f>IF($BH278=0,0,IF(SUM($O278:O278)&lt;($L278-12),12,$L278-SUM($O278:O278)))</f>
        <v>0</v>
      </c>
      <c r="Q278" s="1101">
        <f>IF($BH278=0,0,IF(SUM($O278:P278)&lt;($L278-12),12,$L278-SUM($O278:P278)))</f>
        <v>0</v>
      </c>
      <c r="R278" s="1101">
        <f>IF($BH278=0,0,IF(SUM($O278:Q278)&lt;($L278-12),12,$L278-SUM($O278:Q278)))</f>
        <v>0</v>
      </c>
      <c r="S278" s="1101">
        <f>IF($BH278=0,0,IF(SUM($O278:R278)&lt;($L278-12),12,$L278-SUM($O278:R278)))</f>
        <v>0</v>
      </c>
      <c r="U278" s="1100"/>
      <c r="V278" s="1100">
        <f>'ANSP Capex'!T274</f>
        <v>6</v>
      </c>
      <c r="W278" s="1101">
        <f>IF($BI278=0,0,IF(SUM($U278:V278)&lt;($L278-12),12,$L278-SUM($U278:V278)))</f>
        <v>12</v>
      </c>
      <c r="X278" s="1101">
        <f>IF($BI278=0,0,IF(SUM($U278:W278)&lt;($L278-12),12,$L278-SUM($U278:W278)))</f>
        <v>12</v>
      </c>
      <c r="Y278" s="1101">
        <f>IF($BI278=0,0,IF(SUM($U278:X278)&lt;($L278-12),12,$L278-SUM($U278:X278)))</f>
        <v>12</v>
      </c>
      <c r="AA278" s="1100"/>
      <c r="AB278" s="1100"/>
      <c r="AC278" s="1100">
        <f>'ANSP Capex'!AA274</f>
        <v>0</v>
      </c>
      <c r="AD278" s="1101">
        <f>IF($BJ278=0,0,IF(SUM($AA278:AC278)&lt;($L278-12),12,$L278-SUM($AA278:AC278)))</f>
        <v>0</v>
      </c>
      <c r="AE278" s="1101">
        <f>IF($BJ278=0,0,IF(SUM($AA278:AD278)&lt;($L278-12),12,$L278-SUM($AA278:AD278)))</f>
        <v>0</v>
      </c>
      <c r="AG278" s="1100"/>
      <c r="AH278" s="1100"/>
      <c r="AI278" s="1100"/>
      <c r="AJ278" s="1100">
        <f>'ANSP Capex'!AH274</f>
        <v>0</v>
      </c>
      <c r="AK278" s="1101">
        <f>IF($BK278=0,0,IF(SUM($AG278:AJ278)&lt;($L278-12),12,$L278-SUM($AG278:AJ278)))</f>
        <v>0</v>
      </c>
      <c r="AM278" s="1100"/>
      <c r="AN278" s="1100"/>
      <c r="AO278" s="1100"/>
      <c r="AP278" s="1100"/>
      <c r="AQ278" s="1100">
        <f>'ANSP Capex'!AO274</f>
        <v>0</v>
      </c>
      <c r="AS278" s="153">
        <f t="shared" si="27"/>
        <v>0</v>
      </c>
      <c r="AT278" s="153">
        <f t="shared" si="28"/>
        <v>0.5</v>
      </c>
      <c r="AU278" s="153">
        <f t="shared" si="29"/>
        <v>0</v>
      </c>
      <c r="AV278" s="153">
        <f t="shared" si="30"/>
        <v>0</v>
      </c>
      <c r="AW278" s="153">
        <f t="shared" si="31"/>
        <v>0</v>
      </c>
      <c r="AX278" s="153"/>
      <c r="AY278" s="1543">
        <f>'ANSP Capex'!AW274</f>
        <v>0.75</v>
      </c>
      <c r="AZ278" s="1102"/>
      <c r="BA278" s="1543">
        <f>'ANSP Capex'!AY274</f>
        <v>0.25</v>
      </c>
      <c r="BC278" s="1126"/>
      <c r="BD278" s="1126"/>
      <c r="BE278" s="1126"/>
      <c r="BF278" s="1126"/>
      <c r="BG278" s="1126"/>
      <c r="BH278" s="1126">
        <f>'ANSP Capex'!BF274*IF($I278="",(1+INDEX($I$41:$I$42,MATCH($F278,$F$41:$F$42,0))),(1+$I278))</f>
        <v>0</v>
      </c>
      <c r="BI278" s="1126">
        <f>'ANSP Capex'!BG274*IF($I278="",(1+INDEX($I$41:$I$42,MATCH($F278,$F$41:$F$42,0))),(1+$I278))</f>
        <v>172.096992</v>
      </c>
      <c r="BJ278" s="1126">
        <f>'ANSP Capex'!BH274*IF($I278="",(1+INDEX($I$41:$I$42,MATCH($F278,$F$41:$F$42,0))),(1+$I278))</f>
        <v>0</v>
      </c>
      <c r="BK278" s="1126">
        <f>'ANSP Capex'!BI274*IF($I278="",(1+INDEX($I$41:$I$42,MATCH($F278,$F$41:$F$42,0))),(1+$I278))</f>
        <v>0</v>
      </c>
      <c r="BL278" s="1126">
        <f>'ANSP Capex'!BJ274*IF($I278="",(1+INDEX($I$41:$I$42,MATCH($F278,$F$41:$F$42,0))),(1+$I278))</f>
        <v>0</v>
      </c>
    </row>
    <row r="279" spans="3:64" outlineLevel="1">
      <c r="C279" s="1083" t="str">
        <f>'ANSP Capex'!C275</f>
        <v>UPS System Replacement SHN</v>
      </c>
      <c r="D279" s="1083" t="str">
        <f>'ANSP Capex'!D275</f>
        <v>UPS System Replacement</v>
      </c>
      <c r="E279" s="1083" t="str">
        <f>'ANSP Capex'!E275</f>
        <v>S012A</v>
      </c>
      <c r="F279" s="1083" t="str">
        <f>'ANSP Capex'!F275</f>
        <v>2021-2024</v>
      </c>
      <c r="G279" s="1101">
        <f t="shared" si="24"/>
        <v>160</v>
      </c>
      <c r="H279" s="1083" t="str">
        <f>'ANSP Capex'!H275</f>
        <v>€'000</v>
      </c>
      <c r="I279" s="829"/>
      <c r="J279" s="1097">
        <f>'ANSP Capex'!I275</f>
        <v>8</v>
      </c>
      <c r="K279" s="1124">
        <v>0</v>
      </c>
      <c r="L279" s="1098">
        <f t="shared" si="25"/>
        <v>96</v>
      </c>
      <c r="M279" s="153">
        <f t="shared" si="26"/>
        <v>0.125</v>
      </c>
      <c r="N279" s="1099"/>
      <c r="O279" s="1100">
        <f>'ANSP Capex'!M275</f>
        <v>0</v>
      </c>
      <c r="P279" s="1101">
        <f>IF($BH279=0,0,IF(SUM($O279:O279)&lt;($L279-12),12,$L279-SUM($O279:O279)))</f>
        <v>0</v>
      </c>
      <c r="Q279" s="1101">
        <f>IF($BH279=0,0,IF(SUM($O279:P279)&lt;($L279-12),12,$L279-SUM($O279:P279)))</f>
        <v>0</v>
      </c>
      <c r="R279" s="1101">
        <f>IF($BH279=0,0,IF(SUM($O279:Q279)&lt;($L279-12),12,$L279-SUM($O279:Q279)))</f>
        <v>0</v>
      </c>
      <c r="S279" s="1101">
        <f>IF($BH279=0,0,IF(SUM($O279:R279)&lt;($L279-12),12,$L279-SUM($O279:R279)))</f>
        <v>0</v>
      </c>
      <c r="U279" s="1100"/>
      <c r="V279" s="1100">
        <f>'ANSP Capex'!T275</f>
        <v>6</v>
      </c>
      <c r="W279" s="1101">
        <f>IF($BI279=0,0,IF(SUM($U279:V279)&lt;($L279-12),12,$L279-SUM($U279:V279)))</f>
        <v>12</v>
      </c>
      <c r="X279" s="1101">
        <f>IF($BI279=0,0,IF(SUM($U279:W279)&lt;($L279-12),12,$L279-SUM($U279:W279)))</f>
        <v>12</v>
      </c>
      <c r="Y279" s="1101">
        <f>IF($BI279=0,0,IF(SUM($U279:X279)&lt;($L279-12),12,$L279-SUM($U279:X279)))</f>
        <v>12</v>
      </c>
      <c r="AA279" s="1100"/>
      <c r="AB279" s="1100"/>
      <c r="AC279" s="1100">
        <f>'ANSP Capex'!AA275</f>
        <v>0</v>
      </c>
      <c r="AD279" s="1101">
        <f>IF($BJ279=0,0,IF(SUM($AA279:AC279)&lt;($L279-12),12,$L279-SUM($AA279:AC279)))</f>
        <v>0</v>
      </c>
      <c r="AE279" s="1101">
        <f>IF($BJ279=0,0,IF(SUM($AA279:AD279)&lt;($L279-12),12,$L279-SUM($AA279:AD279)))</f>
        <v>0</v>
      </c>
      <c r="AG279" s="1100"/>
      <c r="AH279" s="1100"/>
      <c r="AI279" s="1100"/>
      <c r="AJ279" s="1100">
        <f>'ANSP Capex'!AH275</f>
        <v>0</v>
      </c>
      <c r="AK279" s="1101">
        <f>IF($BK279=0,0,IF(SUM($AG279:AJ279)&lt;($L279-12),12,$L279-SUM($AG279:AJ279)))</f>
        <v>0</v>
      </c>
      <c r="AM279" s="1100"/>
      <c r="AN279" s="1100"/>
      <c r="AO279" s="1100"/>
      <c r="AP279" s="1100"/>
      <c r="AQ279" s="1100">
        <f>'ANSP Capex'!AO275</f>
        <v>0</v>
      </c>
      <c r="AS279" s="153">
        <f t="shared" si="27"/>
        <v>0</v>
      </c>
      <c r="AT279" s="153">
        <f t="shared" si="28"/>
        <v>0.5</v>
      </c>
      <c r="AU279" s="153">
        <f t="shared" si="29"/>
        <v>0</v>
      </c>
      <c r="AV279" s="153">
        <f t="shared" si="30"/>
        <v>0</v>
      </c>
      <c r="AW279" s="153">
        <f t="shared" si="31"/>
        <v>0</v>
      </c>
      <c r="AX279" s="153"/>
      <c r="AY279" s="1543">
        <f>'ANSP Capex'!AW275</f>
        <v>0.75</v>
      </c>
      <c r="AZ279" s="1102"/>
      <c r="BA279" s="1543">
        <f>'ANSP Capex'!AY275</f>
        <v>0.25</v>
      </c>
      <c r="BC279" s="1126"/>
      <c r="BD279" s="1126"/>
      <c r="BE279" s="1126"/>
      <c r="BF279" s="1126"/>
      <c r="BG279" s="1126"/>
      <c r="BH279" s="1126">
        <f>'ANSP Capex'!BF275*IF($I279="",(1+INDEX($I$41:$I$42,MATCH($F279,$F$41:$F$42,0))),(1+$I279))</f>
        <v>0</v>
      </c>
      <c r="BI279" s="1126">
        <f>'ANSP Capex'!BG275*IF($I279="",(1+INDEX($I$41:$I$42,MATCH($F279,$F$41:$F$42,0))),(1+$I279))</f>
        <v>160</v>
      </c>
      <c r="BJ279" s="1126">
        <f>'ANSP Capex'!BH275*IF($I279="",(1+INDEX($I$41:$I$42,MATCH($F279,$F$41:$F$42,0))),(1+$I279))</f>
        <v>0</v>
      </c>
      <c r="BK279" s="1126">
        <f>'ANSP Capex'!BI275*IF($I279="",(1+INDEX($I$41:$I$42,MATCH($F279,$F$41:$F$42,0))),(1+$I279))</f>
        <v>0</v>
      </c>
      <c r="BL279" s="1126">
        <f>'ANSP Capex'!BJ275*IF($I279="",(1+INDEX($I$41:$I$42,MATCH($F279,$F$41:$F$42,0))),(1+$I279))</f>
        <v>0</v>
      </c>
    </row>
    <row r="280" spans="3:64" outlineLevel="1">
      <c r="C280" s="1083" t="str">
        <f>'ANSP Capex'!C276</f>
        <v>Remote Power Management</v>
      </c>
      <c r="D280" s="1083" t="str">
        <f>'ANSP Capex'!D276</f>
        <v>Remote Power Management</v>
      </c>
      <c r="E280" s="1083" t="str">
        <f>'ANSP Capex'!E276</f>
        <v>R012</v>
      </c>
      <c r="F280" s="1083" t="str">
        <f>'ANSP Capex'!F276</f>
        <v>2021-2024</v>
      </c>
      <c r="G280" s="1101">
        <f t="shared" si="24"/>
        <v>328.80840000000001</v>
      </c>
      <c r="H280" s="1083" t="str">
        <f>'ANSP Capex'!H276</f>
        <v>€'000</v>
      </c>
      <c r="I280" s="829"/>
      <c r="J280" s="1097">
        <f>'ANSP Capex'!I276</f>
        <v>8</v>
      </c>
      <c r="K280" s="1124">
        <v>0</v>
      </c>
      <c r="L280" s="1098">
        <f t="shared" si="25"/>
        <v>96</v>
      </c>
      <c r="M280" s="153">
        <f t="shared" si="26"/>
        <v>0.125</v>
      </c>
      <c r="N280" s="1099"/>
      <c r="O280" s="1100">
        <f>'ANSP Capex'!M276</f>
        <v>0</v>
      </c>
      <c r="P280" s="1101">
        <f>IF($BH280=0,0,IF(SUM($O280:O280)&lt;($L280-12),12,$L280-SUM($O280:O280)))</f>
        <v>0</v>
      </c>
      <c r="Q280" s="1101">
        <f>IF($BH280=0,0,IF(SUM($O280:P280)&lt;($L280-12),12,$L280-SUM($O280:P280)))</f>
        <v>0</v>
      </c>
      <c r="R280" s="1101">
        <f>IF($BH280=0,0,IF(SUM($O280:Q280)&lt;($L280-12),12,$L280-SUM($O280:Q280)))</f>
        <v>0</v>
      </c>
      <c r="S280" s="1101">
        <f>IF($BH280=0,0,IF(SUM($O280:R280)&lt;($L280-12),12,$L280-SUM($O280:R280)))</f>
        <v>0</v>
      </c>
      <c r="U280" s="1100"/>
      <c r="V280" s="1100">
        <f>'ANSP Capex'!T276</f>
        <v>0</v>
      </c>
      <c r="W280" s="1101">
        <f>IF($BI280=0,0,IF(SUM($U280:V280)&lt;($L280-12),12,$L280-SUM($U280:V280)))</f>
        <v>0</v>
      </c>
      <c r="X280" s="1101">
        <f>IF($BI280=0,0,IF(SUM($U280:W280)&lt;($L280-12),12,$L280-SUM($U280:W280)))</f>
        <v>0</v>
      </c>
      <c r="Y280" s="1101">
        <f>IF($BI280=0,0,IF(SUM($U280:X280)&lt;($L280-12),12,$L280-SUM($U280:X280)))</f>
        <v>0</v>
      </c>
      <c r="AA280" s="1100"/>
      <c r="AB280" s="1100"/>
      <c r="AC280" s="1100">
        <f>'ANSP Capex'!AA276</f>
        <v>0</v>
      </c>
      <c r="AD280" s="1101">
        <f>IF($BJ280=0,0,IF(SUM($AA280:AC280)&lt;($L280-12),12,$L280-SUM($AA280:AC280)))</f>
        <v>0</v>
      </c>
      <c r="AE280" s="1101">
        <f>IF($BJ280=0,0,IF(SUM($AA280:AD280)&lt;($L280-12),12,$L280-SUM($AA280:AD280)))</f>
        <v>0</v>
      </c>
      <c r="AG280" s="1100"/>
      <c r="AH280" s="1100"/>
      <c r="AI280" s="1100"/>
      <c r="AJ280" s="1100">
        <f>'ANSP Capex'!AH276</f>
        <v>3</v>
      </c>
      <c r="AK280" s="1101">
        <f>IF($BK280=0,0,IF(SUM($AG280:AJ280)&lt;($L280-12),12,$L280-SUM($AG280:AJ280)))</f>
        <v>12</v>
      </c>
      <c r="AM280" s="1100"/>
      <c r="AN280" s="1100"/>
      <c r="AO280" s="1100"/>
      <c r="AP280" s="1100"/>
      <c r="AQ280" s="1100">
        <f>'ANSP Capex'!AO276</f>
        <v>0</v>
      </c>
      <c r="AS280" s="153">
        <f t="shared" si="27"/>
        <v>0</v>
      </c>
      <c r="AT280" s="153">
        <f t="shared" si="28"/>
        <v>0</v>
      </c>
      <c r="AU280" s="153">
        <f t="shared" si="29"/>
        <v>0</v>
      </c>
      <c r="AV280" s="153">
        <f t="shared" si="30"/>
        <v>0.25</v>
      </c>
      <c r="AW280" s="153">
        <f t="shared" si="31"/>
        <v>0</v>
      </c>
      <c r="AX280" s="153"/>
      <c r="AY280" s="1543">
        <f>'ANSP Capex'!AW276</f>
        <v>0.75</v>
      </c>
      <c r="AZ280" s="1102"/>
      <c r="BA280" s="1543">
        <f>'ANSP Capex'!AY276</f>
        <v>0.25</v>
      </c>
      <c r="BC280" s="1126"/>
      <c r="BD280" s="1126"/>
      <c r="BE280" s="1126"/>
      <c r="BF280" s="1126"/>
      <c r="BG280" s="1126"/>
      <c r="BH280" s="1126">
        <f>'ANSP Capex'!BF276*IF($I280="",(1+INDEX($I$41:$I$42,MATCH($F280,$F$41:$F$42,0))),(1+$I280))</f>
        <v>0</v>
      </c>
      <c r="BI280" s="1126">
        <f>'ANSP Capex'!BG276*IF($I280="",(1+INDEX($I$41:$I$42,MATCH($F280,$F$41:$F$42,0))),(1+$I280))</f>
        <v>0</v>
      </c>
      <c r="BJ280" s="1126">
        <f>'ANSP Capex'!BH276*IF($I280="",(1+INDEX($I$41:$I$42,MATCH($F280,$F$41:$F$42,0))),(1+$I280))</f>
        <v>0</v>
      </c>
      <c r="BK280" s="1126">
        <f>'ANSP Capex'!BI276*IF($I280="",(1+INDEX($I$41:$I$42,MATCH($F280,$F$41:$F$42,0))),(1+$I280))</f>
        <v>328.80840000000001</v>
      </c>
      <c r="BL280" s="1126">
        <f>'ANSP Capex'!BJ276*IF($I280="",(1+INDEX($I$41:$I$42,MATCH($F280,$F$41:$F$42,0))),(1+$I280))</f>
        <v>0</v>
      </c>
    </row>
    <row r="281" spans="3:64" outlineLevel="1">
      <c r="C281" s="1083" t="str">
        <f>'ANSP Capex'!C277</f>
        <v>A-SMGCS Enhancements</v>
      </c>
      <c r="D281" s="1083" t="str">
        <f>'ANSP Capex'!D277</f>
        <v>A-SMGCS Enhancements</v>
      </c>
      <c r="E281" s="1083" t="str">
        <f>'ANSP Capex'!E277</f>
        <v>R015</v>
      </c>
      <c r="F281" s="1083" t="str">
        <f>'ANSP Capex'!F277</f>
        <v>2021-2024</v>
      </c>
      <c r="G281" s="1101">
        <f t="shared" si="24"/>
        <v>325.34212000000002</v>
      </c>
      <c r="H281" s="1083" t="str">
        <f>'ANSP Capex'!H277</f>
        <v>€'000</v>
      </c>
      <c r="I281" s="829"/>
      <c r="J281" s="1097">
        <f>'ANSP Capex'!I277</f>
        <v>8</v>
      </c>
      <c r="K281" s="1124">
        <v>0</v>
      </c>
      <c r="L281" s="1098">
        <f t="shared" si="25"/>
        <v>96</v>
      </c>
      <c r="M281" s="153">
        <f t="shared" si="26"/>
        <v>0.125</v>
      </c>
      <c r="N281" s="1099"/>
      <c r="O281" s="1100">
        <f>'ANSP Capex'!M277</f>
        <v>0</v>
      </c>
      <c r="P281" s="1101">
        <f>IF($BH281=0,0,IF(SUM($O281:O281)&lt;($L281-12),12,$L281-SUM($O281:O281)))</f>
        <v>0</v>
      </c>
      <c r="Q281" s="1101">
        <f>IF($BH281=0,0,IF(SUM($O281:P281)&lt;($L281-12),12,$L281-SUM($O281:P281)))</f>
        <v>0</v>
      </c>
      <c r="R281" s="1101">
        <f>IF($BH281=0,0,IF(SUM($O281:Q281)&lt;($L281-12),12,$L281-SUM($O281:Q281)))</f>
        <v>0</v>
      </c>
      <c r="S281" s="1101">
        <f>IF($BH281=0,0,IF(SUM($O281:R281)&lt;($L281-12),12,$L281-SUM($O281:R281)))</f>
        <v>0</v>
      </c>
      <c r="U281" s="1100"/>
      <c r="V281" s="1100">
        <f>'ANSP Capex'!T277</f>
        <v>3</v>
      </c>
      <c r="W281" s="1101">
        <f>IF($BI281=0,0,IF(SUM($U281:V281)&lt;($L281-12),12,$L281-SUM($U281:V281)))</f>
        <v>12</v>
      </c>
      <c r="X281" s="1101">
        <f>IF($BI281=0,0,IF(SUM($U281:W281)&lt;($L281-12),12,$L281-SUM($U281:W281)))</f>
        <v>12</v>
      </c>
      <c r="Y281" s="1101">
        <f>IF($BI281=0,0,IF(SUM($U281:X281)&lt;($L281-12),12,$L281-SUM($U281:X281)))</f>
        <v>12</v>
      </c>
      <c r="AA281" s="1100"/>
      <c r="AB281" s="1100"/>
      <c r="AC281" s="1100">
        <f>'ANSP Capex'!AA277</f>
        <v>0</v>
      </c>
      <c r="AD281" s="1101">
        <f>IF($BJ281=0,0,IF(SUM($AA281:AC281)&lt;($L281-12),12,$L281-SUM($AA281:AC281)))</f>
        <v>0</v>
      </c>
      <c r="AE281" s="1101">
        <f>IF($BJ281=0,0,IF(SUM($AA281:AD281)&lt;($L281-12),12,$L281-SUM($AA281:AD281)))</f>
        <v>0</v>
      </c>
      <c r="AG281" s="1100"/>
      <c r="AH281" s="1100"/>
      <c r="AI281" s="1100"/>
      <c r="AJ281" s="1100">
        <f>'ANSP Capex'!AH277</f>
        <v>12.000000000000005</v>
      </c>
      <c r="AK281" s="1101">
        <f>IF($BK281=0,0,IF(SUM($AG281:AJ281)&lt;($L281-12),12,$L281-SUM($AG281:AJ281)))</f>
        <v>12</v>
      </c>
      <c r="AM281" s="1100"/>
      <c r="AN281" s="1100"/>
      <c r="AO281" s="1100"/>
      <c r="AP281" s="1100"/>
      <c r="AQ281" s="1100">
        <f>'ANSP Capex'!AO277</f>
        <v>0</v>
      </c>
      <c r="AS281" s="153">
        <f t="shared" si="27"/>
        <v>0</v>
      </c>
      <c r="AT281" s="153">
        <f t="shared" si="28"/>
        <v>0.25</v>
      </c>
      <c r="AU281" s="153">
        <f t="shared" si="29"/>
        <v>0</v>
      </c>
      <c r="AV281" s="153">
        <f t="shared" si="30"/>
        <v>1.0000000000000004</v>
      </c>
      <c r="AW281" s="153">
        <f t="shared" si="31"/>
        <v>0</v>
      </c>
      <c r="AX281" s="153"/>
      <c r="AY281" s="1543">
        <f>'ANSP Capex'!AW277</f>
        <v>0</v>
      </c>
      <c r="AZ281" s="1102"/>
      <c r="BA281" s="1543">
        <f>'ANSP Capex'!AY277</f>
        <v>1</v>
      </c>
      <c r="BC281" s="1126"/>
      <c r="BD281" s="1126"/>
      <c r="BE281" s="1126"/>
      <c r="BF281" s="1126"/>
      <c r="BG281" s="1126"/>
      <c r="BH281" s="1126">
        <f>'ANSP Capex'!BF277*IF($I281="",(1+INDEX($I$41:$I$42,MATCH($F281,$F$41:$F$42,0))),(1+$I281))</f>
        <v>0</v>
      </c>
      <c r="BI281" s="1126">
        <f>'ANSP Capex'!BG277*IF($I281="",(1+INDEX($I$41:$I$42,MATCH($F281,$F$41:$F$42,0))),(1+$I281))</f>
        <v>205.34211999999999</v>
      </c>
      <c r="BJ281" s="1126">
        <f>'ANSP Capex'!BH277*IF($I281="",(1+INDEX($I$41:$I$42,MATCH($F281,$F$41:$F$42,0))),(1+$I281))</f>
        <v>0</v>
      </c>
      <c r="BK281" s="1126">
        <f>'ANSP Capex'!BI277*IF($I281="",(1+INDEX($I$41:$I$42,MATCH($F281,$F$41:$F$42,0))),(1+$I281))</f>
        <v>120</v>
      </c>
      <c r="BL281" s="1126">
        <f>'ANSP Capex'!BJ277*IF($I281="",(1+INDEX($I$41:$I$42,MATCH($F281,$F$41:$F$42,0))),(1+$I281))</f>
        <v>0</v>
      </c>
    </row>
    <row r="282" spans="3:64" outlineLevel="1">
      <c r="C282" s="1083" t="str">
        <f>'ANSP Capex'!C278</f>
        <v>LAN &amp; WAN Cybersecurity</v>
      </c>
      <c r="D282" s="1083" t="str">
        <f>'ANSP Capex'!D278</f>
        <v>LAN &amp; WAN Cybersecurity</v>
      </c>
      <c r="E282" s="1083" t="str">
        <f>'ANSP Capex'!E278</f>
        <v>V006</v>
      </c>
      <c r="F282" s="1083" t="str">
        <f>'ANSP Capex'!F278</f>
        <v>2021-2024</v>
      </c>
      <c r="G282" s="1101">
        <f t="shared" si="24"/>
        <v>0</v>
      </c>
      <c r="H282" s="1083" t="str">
        <f>'ANSP Capex'!H278</f>
        <v>€'000</v>
      </c>
      <c r="I282" s="829"/>
      <c r="J282" s="1097">
        <f>'ANSP Capex'!I278</f>
        <v>0</v>
      </c>
      <c r="K282" s="1124">
        <v>0</v>
      </c>
      <c r="L282" s="1098">
        <f t="shared" si="25"/>
        <v>0</v>
      </c>
      <c r="M282" s="153">
        <f t="shared" si="26"/>
        <v>0</v>
      </c>
      <c r="N282" s="1099"/>
      <c r="O282" s="1100">
        <f>'ANSP Capex'!M278</f>
        <v>0</v>
      </c>
      <c r="P282" s="1101">
        <f>IF($BH282=0,0,IF(SUM($O282:O282)&lt;($L282-12),12,$L282-SUM($O282:O282)))</f>
        <v>0</v>
      </c>
      <c r="Q282" s="1101">
        <f>IF($BH282=0,0,IF(SUM($O282:P282)&lt;($L282-12),12,$L282-SUM($O282:P282)))</f>
        <v>0</v>
      </c>
      <c r="R282" s="1101">
        <f>IF($BH282=0,0,IF(SUM($O282:Q282)&lt;($L282-12),12,$L282-SUM($O282:Q282)))</f>
        <v>0</v>
      </c>
      <c r="S282" s="1101">
        <f>IF($BH282=0,0,IF(SUM($O282:R282)&lt;($L282-12),12,$L282-SUM($O282:R282)))</f>
        <v>0</v>
      </c>
      <c r="U282" s="1100"/>
      <c r="V282" s="1100">
        <f>'ANSP Capex'!T278</f>
        <v>0</v>
      </c>
      <c r="W282" s="1101">
        <f>IF($BI282=0,0,IF(SUM($U282:V282)&lt;($L282-12),12,$L282-SUM($U282:V282)))</f>
        <v>0</v>
      </c>
      <c r="X282" s="1101">
        <f>IF($BI282=0,0,IF(SUM($U282:W282)&lt;($L282-12),12,$L282-SUM($U282:W282)))</f>
        <v>0</v>
      </c>
      <c r="Y282" s="1101">
        <f>IF($BI282=0,0,IF(SUM($U282:X282)&lt;($L282-12),12,$L282-SUM($U282:X282)))</f>
        <v>0</v>
      </c>
      <c r="AA282" s="1100"/>
      <c r="AB282" s="1100"/>
      <c r="AC282" s="1100">
        <f>'ANSP Capex'!AA278</f>
        <v>0</v>
      </c>
      <c r="AD282" s="1101">
        <f>IF($BJ282=0,0,IF(SUM($AA282:AC282)&lt;($L282-12),12,$L282-SUM($AA282:AC282)))</f>
        <v>0</v>
      </c>
      <c r="AE282" s="1101">
        <f>IF($BJ282=0,0,IF(SUM($AA282:AD282)&lt;($L282-12),12,$L282-SUM($AA282:AD282)))</f>
        <v>0</v>
      </c>
      <c r="AG282" s="1100"/>
      <c r="AH282" s="1100"/>
      <c r="AI282" s="1100"/>
      <c r="AJ282" s="1100">
        <f>'ANSP Capex'!AH278</f>
        <v>0</v>
      </c>
      <c r="AK282" s="1101">
        <f>IF($BK282=0,0,IF(SUM($AG282:AJ282)&lt;($L282-12),12,$L282-SUM($AG282:AJ282)))</f>
        <v>0</v>
      </c>
      <c r="AM282" s="1100"/>
      <c r="AN282" s="1100"/>
      <c r="AO282" s="1100"/>
      <c r="AP282" s="1100"/>
      <c r="AQ282" s="1100">
        <f>'ANSP Capex'!AO278</f>
        <v>0</v>
      </c>
      <c r="AS282" s="153">
        <f t="shared" si="27"/>
        <v>0</v>
      </c>
      <c r="AT282" s="153">
        <f t="shared" si="28"/>
        <v>0</v>
      </c>
      <c r="AU282" s="153">
        <f t="shared" si="29"/>
        <v>0</v>
      </c>
      <c r="AV282" s="153">
        <f t="shared" si="30"/>
        <v>0</v>
      </c>
      <c r="AW282" s="153">
        <f t="shared" si="31"/>
        <v>0</v>
      </c>
      <c r="AX282" s="153"/>
      <c r="AY282" s="1543">
        <f>'ANSP Capex'!AW278</f>
        <v>0</v>
      </c>
      <c r="AZ282" s="1102"/>
      <c r="BA282" s="1543">
        <f>'ANSP Capex'!AY278</f>
        <v>0</v>
      </c>
      <c r="BC282" s="1126"/>
      <c r="BD282" s="1126"/>
      <c r="BE282" s="1126"/>
      <c r="BF282" s="1126"/>
      <c r="BG282" s="1126"/>
      <c r="BH282" s="1126">
        <f>'ANSP Capex'!BF278*IF($I282="",(1+INDEX($I$41:$I$42,MATCH($F282,$F$41:$F$42,0))),(1+$I282))</f>
        <v>0</v>
      </c>
      <c r="BI282" s="1126">
        <f>'ANSP Capex'!BG278*IF($I282="",(1+INDEX($I$41:$I$42,MATCH($F282,$F$41:$F$42,0))),(1+$I282))</f>
        <v>0</v>
      </c>
      <c r="BJ282" s="1126">
        <f>'ANSP Capex'!BH278*IF($I282="",(1+INDEX($I$41:$I$42,MATCH($F282,$F$41:$F$42,0))),(1+$I282))</f>
        <v>0</v>
      </c>
      <c r="BK282" s="1126">
        <f>'ANSP Capex'!BI278*IF($I282="",(1+INDEX($I$41:$I$42,MATCH($F282,$F$41:$F$42,0))),(1+$I282))</f>
        <v>0</v>
      </c>
      <c r="BL282" s="1126">
        <f>'ANSP Capex'!BJ278*IF($I282="",(1+INDEX($I$41:$I$42,MATCH($F282,$F$41:$F$42,0))),(1+$I282))</f>
        <v>0</v>
      </c>
    </row>
    <row r="283" spans="3:64" outlineLevel="1">
      <c r="C283" s="1083" t="str">
        <f>'ANSP Capex'!C279</f>
        <v>LAN &amp; WAN Cybersecurity HQ</v>
      </c>
      <c r="D283" s="1083" t="str">
        <f>'ANSP Capex'!D279</f>
        <v>LAN &amp; WAN Cybersecurity</v>
      </c>
      <c r="E283" s="1083" t="str">
        <f>'ANSP Capex'!E279</f>
        <v>V006A</v>
      </c>
      <c r="F283" s="1083" t="str">
        <f>'ANSP Capex'!F279</f>
        <v>2021-2024</v>
      </c>
      <c r="G283" s="1101">
        <f t="shared" si="24"/>
        <v>182</v>
      </c>
      <c r="H283" s="1083" t="str">
        <f>'ANSP Capex'!H279</f>
        <v>€'000</v>
      </c>
      <c r="I283" s="829"/>
      <c r="J283" s="1097">
        <f>'ANSP Capex'!I279</f>
        <v>3</v>
      </c>
      <c r="K283" s="1124">
        <v>0</v>
      </c>
      <c r="L283" s="1098">
        <f t="shared" si="25"/>
        <v>36</v>
      </c>
      <c r="M283" s="153">
        <f t="shared" si="26"/>
        <v>0.33333333333333331</v>
      </c>
      <c r="N283" s="1099"/>
      <c r="O283" s="1100">
        <f>'ANSP Capex'!M279</f>
        <v>0</v>
      </c>
      <c r="P283" s="1101">
        <f>IF($BH283=0,0,IF(SUM($O283:O283)&lt;($L283-12),12,$L283-SUM($O283:O283)))</f>
        <v>0</v>
      </c>
      <c r="Q283" s="1101">
        <f>IF($BH283=0,0,IF(SUM($O283:P283)&lt;($L283-12),12,$L283-SUM($O283:P283)))</f>
        <v>0</v>
      </c>
      <c r="R283" s="1101">
        <f>IF($BH283=0,0,IF(SUM($O283:Q283)&lt;($L283-12),12,$L283-SUM($O283:Q283)))</f>
        <v>0</v>
      </c>
      <c r="S283" s="1101">
        <f>IF($BH283=0,0,IF(SUM($O283:R283)&lt;($L283-12),12,$L283-SUM($O283:R283)))</f>
        <v>0</v>
      </c>
      <c r="U283" s="1100"/>
      <c r="V283" s="1100">
        <f>'ANSP Capex'!T279</f>
        <v>0</v>
      </c>
      <c r="W283" s="1101">
        <f>IF($BI283=0,0,IF(SUM($U283:V283)&lt;($L283-12),12,$L283-SUM($U283:V283)))</f>
        <v>0</v>
      </c>
      <c r="X283" s="1101">
        <f>IF($BI283=0,0,IF(SUM($U283:W283)&lt;($L283-12),12,$L283-SUM($U283:W283)))</f>
        <v>0</v>
      </c>
      <c r="Y283" s="1101">
        <f>IF($BI283=0,0,IF(SUM($U283:X283)&lt;($L283-12),12,$L283-SUM($U283:X283)))</f>
        <v>0</v>
      </c>
      <c r="AA283" s="1100"/>
      <c r="AB283" s="1100"/>
      <c r="AC283" s="1100">
        <f>'ANSP Capex'!AA279</f>
        <v>6</v>
      </c>
      <c r="AD283" s="1101">
        <f>IF($BJ283=0,0,IF(SUM($AA283:AC283)&lt;($L283-12),12,$L283-SUM($AA283:AC283)))</f>
        <v>12</v>
      </c>
      <c r="AE283" s="1101">
        <f>IF($BJ283=0,0,IF(SUM($AA283:AD283)&lt;($L283-12),12,$L283-SUM($AA283:AD283)))</f>
        <v>12</v>
      </c>
      <c r="AG283" s="1100"/>
      <c r="AH283" s="1100"/>
      <c r="AI283" s="1100"/>
      <c r="AJ283" s="1100">
        <f>'ANSP Capex'!AH279</f>
        <v>0</v>
      </c>
      <c r="AK283" s="1101">
        <f>IF($BK283=0,0,IF(SUM($AG283:AJ283)&lt;($L283-12),12,$L283-SUM($AG283:AJ283)))</f>
        <v>0</v>
      </c>
      <c r="AM283" s="1100"/>
      <c r="AN283" s="1100"/>
      <c r="AO283" s="1100"/>
      <c r="AP283" s="1100"/>
      <c r="AQ283" s="1100">
        <f>'ANSP Capex'!AO279</f>
        <v>0</v>
      </c>
      <c r="AS283" s="153">
        <f t="shared" si="27"/>
        <v>0</v>
      </c>
      <c r="AT283" s="153">
        <f t="shared" si="28"/>
        <v>0</v>
      </c>
      <c r="AU283" s="153">
        <f t="shared" si="29"/>
        <v>0.5</v>
      </c>
      <c r="AV283" s="153">
        <f t="shared" si="30"/>
        <v>0</v>
      </c>
      <c r="AW283" s="153">
        <f t="shared" si="31"/>
        <v>0</v>
      </c>
      <c r="AX283" s="153"/>
      <c r="AY283" s="1543">
        <f>'ANSP Capex'!AW279</f>
        <v>0.73</v>
      </c>
      <c r="AZ283" s="1102"/>
      <c r="BA283" s="1543">
        <f>'ANSP Capex'!AY279</f>
        <v>0.15</v>
      </c>
      <c r="BC283" s="1126"/>
      <c r="BD283" s="1126"/>
      <c r="BE283" s="1126"/>
      <c r="BF283" s="1126"/>
      <c r="BG283" s="1126"/>
      <c r="BH283" s="1126">
        <f>'ANSP Capex'!BF279*IF($I283="",(1+INDEX($I$41:$I$42,MATCH($F283,$F$41:$F$42,0))),(1+$I283))</f>
        <v>0</v>
      </c>
      <c r="BI283" s="1126">
        <f>'ANSP Capex'!BG279*IF($I283="",(1+INDEX($I$41:$I$42,MATCH($F283,$F$41:$F$42,0))),(1+$I283))</f>
        <v>0</v>
      </c>
      <c r="BJ283" s="1126">
        <f>'ANSP Capex'!BH279*IF($I283="",(1+INDEX($I$41:$I$42,MATCH($F283,$F$41:$F$42,0))),(1+$I283))</f>
        <v>182</v>
      </c>
      <c r="BK283" s="1126">
        <f>'ANSP Capex'!BI279*IF($I283="",(1+INDEX($I$41:$I$42,MATCH($F283,$F$41:$F$42,0))),(1+$I283))</f>
        <v>0</v>
      </c>
      <c r="BL283" s="1126">
        <f>'ANSP Capex'!BJ279*IF($I283="",(1+INDEX($I$41:$I$42,MATCH($F283,$F$41:$F$42,0))),(1+$I283))</f>
        <v>0</v>
      </c>
    </row>
    <row r="284" spans="3:64" outlineLevel="1">
      <c r="C284" s="1083" t="str">
        <f>'ANSP Capex'!C280</f>
        <v>LAN &amp; WAN Cybersecurity SHN</v>
      </c>
      <c r="D284" s="1083" t="str">
        <f>'ANSP Capex'!D280</f>
        <v>LAN &amp; WAN Cybersecurity</v>
      </c>
      <c r="E284" s="1083" t="str">
        <f>'ANSP Capex'!E280</f>
        <v>V006A</v>
      </c>
      <c r="F284" s="1083" t="str">
        <f>'ANSP Capex'!F280</f>
        <v>2021-2024</v>
      </c>
      <c r="G284" s="1101">
        <f t="shared" si="24"/>
        <v>98</v>
      </c>
      <c r="H284" s="1083" t="str">
        <f>'ANSP Capex'!H280</f>
        <v>€'000</v>
      </c>
      <c r="I284" s="829"/>
      <c r="J284" s="1097">
        <f>'ANSP Capex'!I280</f>
        <v>3</v>
      </c>
      <c r="K284" s="1124">
        <v>0</v>
      </c>
      <c r="L284" s="1098">
        <f t="shared" si="25"/>
        <v>36</v>
      </c>
      <c r="M284" s="153">
        <f t="shared" si="26"/>
        <v>0.33333333333333331</v>
      </c>
      <c r="N284" s="1099"/>
      <c r="O284" s="1100">
        <f>'ANSP Capex'!M280</f>
        <v>0</v>
      </c>
      <c r="P284" s="1101">
        <f>IF($BH284=0,0,IF(SUM($O284:O284)&lt;($L284-12),12,$L284-SUM($O284:O284)))</f>
        <v>0</v>
      </c>
      <c r="Q284" s="1101">
        <f>IF($BH284=0,0,IF(SUM($O284:P284)&lt;($L284-12),12,$L284-SUM($O284:P284)))</f>
        <v>0</v>
      </c>
      <c r="R284" s="1101">
        <f>IF($BH284=0,0,IF(SUM($O284:Q284)&lt;($L284-12),12,$L284-SUM($O284:Q284)))</f>
        <v>0</v>
      </c>
      <c r="S284" s="1101">
        <f>IF($BH284=0,0,IF(SUM($O284:R284)&lt;($L284-12),12,$L284-SUM($O284:R284)))</f>
        <v>0</v>
      </c>
      <c r="U284" s="1100"/>
      <c r="V284" s="1100">
        <f>'ANSP Capex'!T280</f>
        <v>0</v>
      </c>
      <c r="W284" s="1101">
        <f>IF($BI284=0,0,IF(SUM($U284:V284)&lt;($L284-12),12,$L284-SUM($U284:V284)))</f>
        <v>0</v>
      </c>
      <c r="X284" s="1101">
        <f>IF($BI284=0,0,IF(SUM($U284:W284)&lt;($L284-12),12,$L284-SUM($U284:W284)))</f>
        <v>0</v>
      </c>
      <c r="Y284" s="1101">
        <f>IF($BI284=0,0,IF(SUM($U284:X284)&lt;($L284-12),12,$L284-SUM($U284:X284)))</f>
        <v>0</v>
      </c>
      <c r="AA284" s="1100"/>
      <c r="AB284" s="1100"/>
      <c r="AC284" s="1100">
        <f>'ANSP Capex'!AA280</f>
        <v>6</v>
      </c>
      <c r="AD284" s="1101">
        <f>IF($BJ284=0,0,IF(SUM($AA284:AC284)&lt;($L284-12),12,$L284-SUM($AA284:AC284)))</f>
        <v>12</v>
      </c>
      <c r="AE284" s="1101">
        <f>IF($BJ284=0,0,IF(SUM($AA284:AD284)&lt;($L284-12),12,$L284-SUM($AA284:AD284)))</f>
        <v>12</v>
      </c>
      <c r="AG284" s="1100"/>
      <c r="AH284" s="1100"/>
      <c r="AI284" s="1100"/>
      <c r="AJ284" s="1100">
        <f>'ANSP Capex'!AH280</f>
        <v>0</v>
      </c>
      <c r="AK284" s="1101">
        <f>IF($BK284=0,0,IF(SUM($AG284:AJ284)&lt;($L284-12),12,$L284-SUM($AG284:AJ284)))</f>
        <v>0</v>
      </c>
      <c r="AM284" s="1100"/>
      <c r="AN284" s="1100"/>
      <c r="AO284" s="1100"/>
      <c r="AP284" s="1100"/>
      <c r="AQ284" s="1100">
        <f>'ANSP Capex'!AO280</f>
        <v>0</v>
      </c>
      <c r="AS284" s="153">
        <f t="shared" si="27"/>
        <v>0</v>
      </c>
      <c r="AT284" s="153">
        <f t="shared" si="28"/>
        <v>0</v>
      </c>
      <c r="AU284" s="153">
        <f t="shared" si="29"/>
        <v>0.5</v>
      </c>
      <c r="AV284" s="153">
        <f t="shared" si="30"/>
        <v>0</v>
      </c>
      <c r="AW284" s="153">
        <f t="shared" si="31"/>
        <v>0</v>
      </c>
      <c r="AX284" s="153"/>
      <c r="AY284" s="1543">
        <f>'ANSP Capex'!AW280</f>
        <v>0.75</v>
      </c>
      <c r="AZ284" s="1102"/>
      <c r="BA284" s="1543">
        <f>'ANSP Capex'!AY280</f>
        <v>0.25</v>
      </c>
      <c r="BC284" s="1126"/>
      <c r="BD284" s="1126"/>
      <c r="BE284" s="1126"/>
      <c r="BF284" s="1126"/>
      <c r="BG284" s="1126"/>
      <c r="BH284" s="1126">
        <f>'ANSP Capex'!BF280*IF($I284="",(1+INDEX($I$41:$I$42,MATCH($F284,$F$41:$F$42,0))),(1+$I284))</f>
        <v>0</v>
      </c>
      <c r="BI284" s="1126">
        <f>'ANSP Capex'!BG280*IF($I284="",(1+INDEX($I$41:$I$42,MATCH($F284,$F$41:$F$42,0))),(1+$I284))</f>
        <v>0</v>
      </c>
      <c r="BJ284" s="1126">
        <f>'ANSP Capex'!BH280*IF($I284="",(1+INDEX($I$41:$I$42,MATCH($F284,$F$41:$F$42,0))),(1+$I284))</f>
        <v>98</v>
      </c>
      <c r="BK284" s="1126">
        <f>'ANSP Capex'!BI280*IF($I284="",(1+INDEX($I$41:$I$42,MATCH($F284,$F$41:$F$42,0))),(1+$I284))</f>
        <v>0</v>
      </c>
      <c r="BL284" s="1126">
        <f>'ANSP Capex'!BJ280*IF($I284="",(1+INDEX($I$41:$I$42,MATCH($F284,$F$41:$F$42,0))),(1+$I284))</f>
        <v>0</v>
      </c>
    </row>
    <row r="285" spans="3:64" outlineLevel="1">
      <c r="C285" s="1083" t="str">
        <f>'ANSP Capex'!C281</f>
        <v>Hardware &amp; Software Provision</v>
      </c>
      <c r="D285" s="1083" t="str">
        <f>'ANSP Capex'!D281</f>
        <v>Hardware &amp; Software Provision</v>
      </c>
      <c r="E285" s="1083" t="str">
        <f>'ANSP Capex'!E281</f>
        <v>T018</v>
      </c>
      <c r="F285" s="1083" t="str">
        <f>'ANSP Capex'!F281</f>
        <v>2021-2024</v>
      </c>
      <c r="G285" s="1101">
        <f t="shared" si="24"/>
        <v>0</v>
      </c>
      <c r="H285" s="1083" t="str">
        <f>'ANSP Capex'!H281</f>
        <v>€'000</v>
      </c>
      <c r="I285" s="829"/>
      <c r="J285" s="1097">
        <f>'ANSP Capex'!I281</f>
        <v>0</v>
      </c>
      <c r="K285" s="1124">
        <v>0</v>
      </c>
      <c r="L285" s="1098">
        <f t="shared" si="25"/>
        <v>0</v>
      </c>
      <c r="M285" s="153">
        <f t="shared" si="26"/>
        <v>0</v>
      </c>
      <c r="N285" s="1099"/>
      <c r="O285" s="1100">
        <f>'ANSP Capex'!M281</f>
        <v>0</v>
      </c>
      <c r="P285" s="1101">
        <f>IF($BH285=0,0,IF(SUM($O285:O285)&lt;($L285-12),12,$L285-SUM($O285:O285)))</f>
        <v>0</v>
      </c>
      <c r="Q285" s="1101">
        <f>IF($BH285=0,0,IF(SUM($O285:P285)&lt;($L285-12),12,$L285-SUM($O285:P285)))</f>
        <v>0</v>
      </c>
      <c r="R285" s="1101">
        <f>IF($BH285=0,0,IF(SUM($O285:Q285)&lt;($L285-12),12,$L285-SUM($O285:Q285)))</f>
        <v>0</v>
      </c>
      <c r="S285" s="1101">
        <f>IF($BH285=0,0,IF(SUM($O285:R285)&lt;($L285-12),12,$L285-SUM($O285:R285)))</f>
        <v>0</v>
      </c>
      <c r="U285" s="1100"/>
      <c r="V285" s="1100">
        <f>'ANSP Capex'!T281</f>
        <v>0</v>
      </c>
      <c r="W285" s="1101">
        <f>IF($BI285=0,0,IF(SUM($U285:V285)&lt;($L285-12),12,$L285-SUM($U285:V285)))</f>
        <v>0</v>
      </c>
      <c r="X285" s="1101">
        <f>IF($BI285=0,0,IF(SUM($U285:W285)&lt;($L285-12),12,$L285-SUM($U285:W285)))</f>
        <v>0</v>
      </c>
      <c r="Y285" s="1101">
        <f>IF($BI285=0,0,IF(SUM($U285:X285)&lt;($L285-12),12,$L285-SUM($U285:X285)))</f>
        <v>0</v>
      </c>
      <c r="AA285" s="1100"/>
      <c r="AB285" s="1100"/>
      <c r="AC285" s="1100">
        <f>'ANSP Capex'!AA281</f>
        <v>0</v>
      </c>
      <c r="AD285" s="1101">
        <f>IF($BJ285=0,0,IF(SUM($AA285:AC285)&lt;($L285-12),12,$L285-SUM($AA285:AC285)))</f>
        <v>0</v>
      </c>
      <c r="AE285" s="1101">
        <f>IF($BJ285=0,0,IF(SUM($AA285:AD285)&lt;($L285-12),12,$L285-SUM($AA285:AD285)))</f>
        <v>0</v>
      </c>
      <c r="AG285" s="1100"/>
      <c r="AH285" s="1100"/>
      <c r="AI285" s="1100"/>
      <c r="AJ285" s="1100">
        <f>'ANSP Capex'!AH281</f>
        <v>0</v>
      </c>
      <c r="AK285" s="1101">
        <f>IF($BK285=0,0,IF(SUM($AG285:AJ285)&lt;($L285-12),12,$L285-SUM($AG285:AJ285)))</f>
        <v>0</v>
      </c>
      <c r="AM285" s="1100"/>
      <c r="AN285" s="1100"/>
      <c r="AO285" s="1100"/>
      <c r="AP285" s="1100"/>
      <c r="AQ285" s="1100">
        <f>'ANSP Capex'!AO281</f>
        <v>0</v>
      </c>
      <c r="AS285" s="153">
        <f t="shared" si="27"/>
        <v>0</v>
      </c>
      <c r="AT285" s="153">
        <f t="shared" si="28"/>
        <v>0</v>
      </c>
      <c r="AU285" s="153">
        <f t="shared" si="29"/>
        <v>0</v>
      </c>
      <c r="AV285" s="153">
        <f t="shared" si="30"/>
        <v>0</v>
      </c>
      <c r="AW285" s="153">
        <f t="shared" si="31"/>
        <v>0</v>
      </c>
      <c r="AX285" s="153"/>
      <c r="AY285" s="1543">
        <f>'ANSP Capex'!AW281</f>
        <v>0</v>
      </c>
      <c r="AZ285" s="1102"/>
      <c r="BA285" s="1543">
        <f>'ANSP Capex'!AY281</f>
        <v>0</v>
      </c>
      <c r="BC285" s="1126"/>
      <c r="BD285" s="1126"/>
      <c r="BE285" s="1126"/>
      <c r="BF285" s="1126"/>
      <c r="BG285" s="1126"/>
      <c r="BH285" s="1126">
        <f>'ANSP Capex'!BF281*IF($I285="",(1+INDEX($I$41:$I$42,MATCH($F285,$F$41:$F$42,0))),(1+$I285))</f>
        <v>0</v>
      </c>
      <c r="BI285" s="1126">
        <f>'ANSP Capex'!BG281*IF($I285="",(1+INDEX($I$41:$I$42,MATCH($F285,$F$41:$F$42,0))),(1+$I285))</f>
        <v>0</v>
      </c>
      <c r="BJ285" s="1126">
        <f>'ANSP Capex'!BH281*IF($I285="",(1+INDEX($I$41:$I$42,MATCH($F285,$F$41:$F$42,0))),(1+$I285))</f>
        <v>0</v>
      </c>
      <c r="BK285" s="1126">
        <f>'ANSP Capex'!BI281*IF($I285="",(1+INDEX($I$41:$I$42,MATCH($F285,$F$41:$F$42,0))),(1+$I285))</f>
        <v>0</v>
      </c>
      <c r="BL285" s="1126">
        <f>'ANSP Capex'!BJ281*IF($I285="",(1+INDEX($I$41:$I$42,MATCH($F285,$F$41:$F$42,0))),(1+$I285))</f>
        <v>0</v>
      </c>
    </row>
    <row r="286" spans="3:64" outlineLevel="1">
      <c r="C286" s="1083" t="str">
        <f>'ANSP Capex'!C282</f>
        <v>HW/SW Provision HQ - OTHER</v>
      </c>
      <c r="D286" s="1083" t="str">
        <f>'ANSP Capex'!D282</f>
        <v>Hardware &amp; Software Provision</v>
      </c>
      <c r="E286" s="1083" t="str">
        <f>'ANSP Capex'!E282</f>
        <v>T018A</v>
      </c>
      <c r="F286" s="1083" t="str">
        <f>'ANSP Capex'!F282</f>
        <v>2021-2024</v>
      </c>
      <c r="G286" s="1101">
        <f t="shared" si="24"/>
        <v>5.8328471399999984</v>
      </c>
      <c r="H286" s="1083" t="str">
        <f>'ANSP Capex'!H282</f>
        <v>€'000</v>
      </c>
      <c r="I286" s="829"/>
      <c r="J286" s="1097">
        <f>'ANSP Capex'!I282</f>
        <v>3</v>
      </c>
      <c r="K286" s="1124">
        <v>0</v>
      </c>
      <c r="L286" s="1098">
        <f t="shared" si="25"/>
        <v>36</v>
      </c>
      <c r="M286" s="153">
        <f t="shared" si="26"/>
        <v>0.33333333333333331</v>
      </c>
      <c r="N286" s="1099"/>
      <c r="O286" s="1100">
        <f>'ANSP Capex'!M282</f>
        <v>0</v>
      </c>
      <c r="P286" s="1101">
        <f>IF($BH286=0,0,IF(SUM($O286:O286)&lt;($L286-12),12,$L286-SUM($O286:O286)))</f>
        <v>0</v>
      </c>
      <c r="Q286" s="1101">
        <f>IF($BH286=0,0,IF(SUM($O286:P286)&lt;($L286-12),12,$L286-SUM($O286:P286)))</f>
        <v>0</v>
      </c>
      <c r="R286" s="1101">
        <f>IF($BH286=0,0,IF(SUM($O286:Q286)&lt;($L286-12),12,$L286-SUM($O286:Q286)))</f>
        <v>0</v>
      </c>
      <c r="S286" s="1101">
        <f>IF($BH286=0,0,IF(SUM($O286:R286)&lt;($L286-12),12,$L286-SUM($O286:R286)))</f>
        <v>0</v>
      </c>
      <c r="U286" s="1100"/>
      <c r="V286" s="1100">
        <f>'ANSP Capex'!T282</f>
        <v>9</v>
      </c>
      <c r="W286" s="1101">
        <f>IF($BI286=0,0,IF(SUM($U286:V286)&lt;($L286-12),12,$L286-SUM($U286:V286)))</f>
        <v>12</v>
      </c>
      <c r="X286" s="1101">
        <f>IF($BI286=0,0,IF(SUM($U286:W286)&lt;($L286-12),12,$L286-SUM($U286:W286)))</f>
        <v>12</v>
      </c>
      <c r="Y286" s="1101">
        <f>IF($BI286=0,0,IF(SUM($U286:X286)&lt;($L286-12),12,$L286-SUM($U286:X286)))</f>
        <v>3</v>
      </c>
      <c r="AA286" s="1100"/>
      <c r="AB286" s="1100"/>
      <c r="AC286" s="1100">
        <f>'ANSP Capex'!AA282</f>
        <v>0</v>
      </c>
      <c r="AD286" s="1101">
        <f>IF($BJ286=0,0,IF(SUM($AA286:AC286)&lt;($L286-12),12,$L286-SUM($AA286:AC286)))</f>
        <v>0</v>
      </c>
      <c r="AE286" s="1101">
        <f>IF($BJ286=0,0,IF(SUM($AA286:AD286)&lt;($L286-12),12,$L286-SUM($AA286:AD286)))</f>
        <v>0</v>
      </c>
      <c r="AG286" s="1100"/>
      <c r="AH286" s="1100"/>
      <c r="AI286" s="1100"/>
      <c r="AJ286" s="1100">
        <f>'ANSP Capex'!AH282</f>
        <v>0</v>
      </c>
      <c r="AK286" s="1101">
        <f>IF($BK286=0,0,IF(SUM($AG286:AJ286)&lt;($L286-12),12,$L286-SUM($AG286:AJ286)))</f>
        <v>0</v>
      </c>
      <c r="AM286" s="1100"/>
      <c r="AN286" s="1100"/>
      <c r="AO286" s="1100"/>
      <c r="AP286" s="1100"/>
      <c r="AQ286" s="1100">
        <f>'ANSP Capex'!AO282</f>
        <v>0</v>
      </c>
      <c r="AS286" s="153">
        <f t="shared" si="27"/>
        <v>0</v>
      </c>
      <c r="AT286" s="153">
        <f t="shared" si="28"/>
        <v>0.75</v>
      </c>
      <c r="AU286" s="153">
        <f t="shared" si="29"/>
        <v>0</v>
      </c>
      <c r="AV286" s="153">
        <f t="shared" si="30"/>
        <v>0</v>
      </c>
      <c r="AW286" s="153">
        <f t="shared" si="31"/>
        <v>0</v>
      </c>
      <c r="AX286" s="153"/>
      <c r="AY286" s="1543">
        <f>'ANSP Capex'!AW282</f>
        <v>0.73</v>
      </c>
      <c r="AZ286" s="1102"/>
      <c r="BA286" s="1543">
        <f>'ANSP Capex'!AY282</f>
        <v>0.15</v>
      </c>
      <c r="BC286" s="1126"/>
      <c r="BD286" s="1126"/>
      <c r="BE286" s="1126"/>
      <c r="BF286" s="1126"/>
      <c r="BG286" s="1126"/>
      <c r="BH286" s="1126">
        <f>'ANSP Capex'!BF282*IF($I286="",(1+INDEX($I$41:$I$42,MATCH($F286,$F$41:$F$42,0))),(1+$I286))</f>
        <v>0</v>
      </c>
      <c r="BI286" s="1126">
        <f>'ANSP Capex'!BG282*IF($I286="",(1+INDEX($I$41:$I$42,MATCH($F286,$F$41:$F$42,0))),(1+$I286))</f>
        <v>5.8328471399999984</v>
      </c>
      <c r="BJ286" s="1126">
        <f>'ANSP Capex'!BH282*IF($I286="",(1+INDEX($I$41:$I$42,MATCH($F286,$F$41:$F$42,0))),(1+$I286))</f>
        <v>0</v>
      </c>
      <c r="BK286" s="1126">
        <f>'ANSP Capex'!BI282*IF($I286="",(1+INDEX($I$41:$I$42,MATCH($F286,$F$41:$F$42,0))),(1+$I286))</f>
        <v>0</v>
      </c>
      <c r="BL286" s="1126">
        <f>'ANSP Capex'!BJ282*IF($I286="",(1+INDEX($I$41:$I$42,MATCH($F286,$F$41:$F$42,0))),(1+$I286))</f>
        <v>0</v>
      </c>
    </row>
    <row r="287" spans="3:64" outlineLevel="1">
      <c r="C287" s="1083" t="str">
        <f>'ANSP Capex'!C283</f>
        <v>HW/SW Provision DUB</v>
      </c>
      <c r="D287" s="1083" t="str">
        <f>'ANSP Capex'!D283</f>
        <v>Hardware &amp; Software Provision</v>
      </c>
      <c r="E287" s="1083" t="str">
        <f>'ANSP Capex'!E283</f>
        <v>T018A</v>
      </c>
      <c r="F287" s="1083" t="str">
        <f>'ANSP Capex'!F283</f>
        <v>2021-2024</v>
      </c>
      <c r="G287" s="1101">
        <f t="shared" si="24"/>
        <v>5.8328471399999984</v>
      </c>
      <c r="H287" s="1083" t="str">
        <f>'ANSP Capex'!H283</f>
        <v>€'000</v>
      </c>
      <c r="I287" s="829"/>
      <c r="J287" s="1097">
        <f>'ANSP Capex'!I283</f>
        <v>3</v>
      </c>
      <c r="K287" s="1124">
        <v>0</v>
      </c>
      <c r="L287" s="1098">
        <f t="shared" si="25"/>
        <v>36</v>
      </c>
      <c r="M287" s="153">
        <f t="shared" si="26"/>
        <v>0.33333333333333331</v>
      </c>
      <c r="N287" s="1099"/>
      <c r="O287" s="1100">
        <f>'ANSP Capex'!M283</f>
        <v>0</v>
      </c>
      <c r="P287" s="1101">
        <f>IF($BH287=0,0,IF(SUM($O287:O287)&lt;($L287-12),12,$L287-SUM($O287:O287)))</f>
        <v>0</v>
      </c>
      <c r="Q287" s="1101">
        <f>IF($BH287=0,0,IF(SUM($O287:P287)&lt;($L287-12),12,$L287-SUM($O287:P287)))</f>
        <v>0</v>
      </c>
      <c r="R287" s="1101">
        <f>IF($BH287=0,0,IF(SUM($O287:Q287)&lt;($L287-12),12,$L287-SUM($O287:Q287)))</f>
        <v>0</v>
      </c>
      <c r="S287" s="1101">
        <f>IF($BH287=0,0,IF(SUM($O287:R287)&lt;($L287-12),12,$L287-SUM($O287:R287)))</f>
        <v>0</v>
      </c>
      <c r="U287" s="1100"/>
      <c r="V287" s="1100">
        <f>'ANSP Capex'!T283</f>
        <v>9</v>
      </c>
      <c r="W287" s="1101">
        <f>IF($BI287=0,0,IF(SUM($U287:V287)&lt;($L287-12),12,$L287-SUM($U287:V287)))</f>
        <v>12</v>
      </c>
      <c r="X287" s="1101">
        <f>IF($BI287=0,0,IF(SUM($U287:W287)&lt;($L287-12),12,$L287-SUM($U287:W287)))</f>
        <v>12</v>
      </c>
      <c r="Y287" s="1101">
        <f>IF($BI287=0,0,IF(SUM($U287:X287)&lt;($L287-12),12,$L287-SUM($U287:X287)))</f>
        <v>3</v>
      </c>
      <c r="AA287" s="1100"/>
      <c r="AB287" s="1100"/>
      <c r="AC287" s="1100">
        <f>'ANSP Capex'!AA283</f>
        <v>0</v>
      </c>
      <c r="AD287" s="1101">
        <f>IF($BJ287=0,0,IF(SUM($AA287:AC287)&lt;($L287-12),12,$L287-SUM($AA287:AC287)))</f>
        <v>0</v>
      </c>
      <c r="AE287" s="1101">
        <f>IF($BJ287=0,0,IF(SUM($AA287:AD287)&lt;($L287-12),12,$L287-SUM($AA287:AD287)))</f>
        <v>0</v>
      </c>
      <c r="AG287" s="1100"/>
      <c r="AH287" s="1100"/>
      <c r="AI287" s="1100"/>
      <c r="AJ287" s="1100">
        <f>'ANSP Capex'!AH283</f>
        <v>0</v>
      </c>
      <c r="AK287" s="1101">
        <f>IF($BK287=0,0,IF(SUM($AG287:AJ287)&lt;($L287-12),12,$L287-SUM($AG287:AJ287)))</f>
        <v>0</v>
      </c>
      <c r="AM287" s="1100"/>
      <c r="AN287" s="1100"/>
      <c r="AO287" s="1100"/>
      <c r="AP287" s="1100"/>
      <c r="AQ287" s="1100">
        <f>'ANSP Capex'!AO283</f>
        <v>0</v>
      </c>
      <c r="AS287" s="153">
        <f t="shared" si="27"/>
        <v>0</v>
      </c>
      <c r="AT287" s="153">
        <f t="shared" si="28"/>
        <v>0.75</v>
      </c>
      <c r="AU287" s="153">
        <f t="shared" si="29"/>
        <v>0</v>
      </c>
      <c r="AV287" s="153">
        <f t="shared" si="30"/>
        <v>0</v>
      </c>
      <c r="AW287" s="153">
        <f t="shared" si="31"/>
        <v>0</v>
      </c>
      <c r="AX287" s="153"/>
      <c r="AY287" s="1543">
        <f>'ANSP Capex'!AW283</f>
        <v>0.75</v>
      </c>
      <c r="AZ287" s="1102"/>
      <c r="BA287" s="1543">
        <f>'ANSP Capex'!AY283</f>
        <v>0.25</v>
      </c>
      <c r="BC287" s="1126"/>
      <c r="BD287" s="1126"/>
      <c r="BE287" s="1126"/>
      <c r="BF287" s="1126"/>
      <c r="BG287" s="1126"/>
      <c r="BH287" s="1126">
        <f>'ANSP Capex'!BF283*IF($I287="",(1+INDEX($I$41:$I$42,MATCH($F287,$F$41:$F$42,0))),(1+$I287))</f>
        <v>0</v>
      </c>
      <c r="BI287" s="1126">
        <f>'ANSP Capex'!BG283*IF($I287="",(1+INDEX($I$41:$I$42,MATCH($F287,$F$41:$F$42,0))),(1+$I287))</f>
        <v>5.8328471399999984</v>
      </c>
      <c r="BJ287" s="1126">
        <f>'ANSP Capex'!BH283*IF($I287="",(1+INDEX($I$41:$I$42,MATCH($F287,$F$41:$F$42,0))),(1+$I287))</f>
        <v>0</v>
      </c>
      <c r="BK287" s="1126">
        <f>'ANSP Capex'!BI283*IF($I287="",(1+INDEX($I$41:$I$42,MATCH($F287,$F$41:$F$42,0))),(1+$I287))</f>
        <v>0</v>
      </c>
      <c r="BL287" s="1126">
        <f>'ANSP Capex'!BJ283*IF($I287="",(1+INDEX($I$41:$I$42,MATCH($F287,$F$41:$F$42,0))),(1+$I287))</f>
        <v>0</v>
      </c>
    </row>
    <row r="288" spans="3:64" outlineLevel="1">
      <c r="C288" s="1083" t="str">
        <f>'ANSP Capex'!C284</f>
        <v>HW/SW Provision SHN</v>
      </c>
      <c r="D288" s="1083" t="str">
        <f>'ANSP Capex'!D284</f>
        <v>Hardware &amp; Software Provision</v>
      </c>
      <c r="E288" s="1083" t="str">
        <f>'ANSP Capex'!E284</f>
        <v>T018A</v>
      </c>
      <c r="F288" s="1083" t="str">
        <f>'ANSP Capex'!F284</f>
        <v>2021-2024</v>
      </c>
      <c r="G288" s="1101">
        <f t="shared" si="24"/>
        <v>5.8328471399999984</v>
      </c>
      <c r="H288" s="1083" t="str">
        <f>'ANSP Capex'!H284</f>
        <v>€'000</v>
      </c>
      <c r="I288" s="829"/>
      <c r="J288" s="1097">
        <f>'ANSP Capex'!I284</f>
        <v>3</v>
      </c>
      <c r="K288" s="1124">
        <v>0</v>
      </c>
      <c r="L288" s="1098">
        <f t="shared" si="25"/>
        <v>36</v>
      </c>
      <c r="M288" s="153">
        <f t="shared" si="26"/>
        <v>0.33333333333333331</v>
      </c>
      <c r="N288" s="1099"/>
      <c r="O288" s="1100">
        <f>'ANSP Capex'!M284</f>
        <v>0</v>
      </c>
      <c r="P288" s="1101">
        <f>IF($BH288=0,0,IF(SUM($O288:O288)&lt;($L288-12),12,$L288-SUM($O288:O288)))</f>
        <v>0</v>
      </c>
      <c r="Q288" s="1101">
        <f>IF($BH288=0,0,IF(SUM($O288:P288)&lt;($L288-12),12,$L288-SUM($O288:P288)))</f>
        <v>0</v>
      </c>
      <c r="R288" s="1101">
        <f>IF($BH288=0,0,IF(SUM($O288:Q288)&lt;($L288-12),12,$L288-SUM($O288:Q288)))</f>
        <v>0</v>
      </c>
      <c r="S288" s="1101">
        <f>IF($BH288=0,0,IF(SUM($O288:R288)&lt;($L288-12),12,$L288-SUM($O288:R288)))</f>
        <v>0</v>
      </c>
      <c r="U288" s="1100"/>
      <c r="V288" s="1100">
        <f>'ANSP Capex'!T284</f>
        <v>9</v>
      </c>
      <c r="W288" s="1101">
        <f>IF($BI288=0,0,IF(SUM($U288:V288)&lt;($L288-12),12,$L288-SUM($U288:V288)))</f>
        <v>12</v>
      </c>
      <c r="X288" s="1101">
        <f>IF($BI288=0,0,IF(SUM($U288:W288)&lt;($L288-12),12,$L288-SUM($U288:W288)))</f>
        <v>12</v>
      </c>
      <c r="Y288" s="1101">
        <f>IF($BI288=0,0,IF(SUM($U288:X288)&lt;($L288-12),12,$L288-SUM($U288:X288)))</f>
        <v>3</v>
      </c>
      <c r="AA288" s="1100"/>
      <c r="AB288" s="1100"/>
      <c r="AC288" s="1100">
        <f>'ANSP Capex'!AA284</f>
        <v>0</v>
      </c>
      <c r="AD288" s="1101">
        <f>IF($BJ288=0,0,IF(SUM($AA288:AC288)&lt;($L288-12),12,$L288-SUM($AA288:AC288)))</f>
        <v>0</v>
      </c>
      <c r="AE288" s="1101">
        <f>IF($BJ288=0,0,IF(SUM($AA288:AD288)&lt;($L288-12),12,$L288-SUM($AA288:AD288)))</f>
        <v>0</v>
      </c>
      <c r="AG288" s="1100"/>
      <c r="AH288" s="1100"/>
      <c r="AI288" s="1100"/>
      <c r="AJ288" s="1100">
        <f>'ANSP Capex'!AH284</f>
        <v>0</v>
      </c>
      <c r="AK288" s="1101">
        <f>IF($BK288=0,0,IF(SUM($AG288:AJ288)&lt;($L288-12),12,$L288-SUM($AG288:AJ288)))</f>
        <v>0</v>
      </c>
      <c r="AM288" s="1100"/>
      <c r="AN288" s="1100"/>
      <c r="AO288" s="1100"/>
      <c r="AP288" s="1100"/>
      <c r="AQ288" s="1100">
        <f>'ANSP Capex'!AO284</f>
        <v>0</v>
      </c>
      <c r="AS288" s="153">
        <f t="shared" si="27"/>
        <v>0</v>
      </c>
      <c r="AT288" s="153">
        <f t="shared" si="28"/>
        <v>0.75</v>
      </c>
      <c r="AU288" s="153">
        <f t="shared" si="29"/>
        <v>0</v>
      </c>
      <c r="AV288" s="153">
        <f t="shared" si="30"/>
        <v>0</v>
      </c>
      <c r="AW288" s="153">
        <f t="shared" si="31"/>
        <v>0</v>
      </c>
      <c r="AX288" s="153"/>
      <c r="AY288" s="1543">
        <f>'ANSP Capex'!AW284</f>
        <v>0.75</v>
      </c>
      <c r="AZ288" s="1102"/>
      <c r="BA288" s="1543">
        <f>'ANSP Capex'!AY284</f>
        <v>0.25</v>
      </c>
      <c r="BC288" s="1126"/>
      <c r="BD288" s="1126"/>
      <c r="BE288" s="1126"/>
      <c r="BF288" s="1126"/>
      <c r="BG288" s="1126"/>
      <c r="BH288" s="1126">
        <f>'ANSP Capex'!BF284*IF($I288="",(1+INDEX($I$41:$I$42,MATCH($F288,$F$41:$F$42,0))),(1+$I288))</f>
        <v>0</v>
      </c>
      <c r="BI288" s="1126">
        <f>'ANSP Capex'!BG284*IF($I288="",(1+INDEX($I$41:$I$42,MATCH($F288,$F$41:$F$42,0))),(1+$I288))</f>
        <v>5.8328471399999984</v>
      </c>
      <c r="BJ288" s="1126">
        <f>'ANSP Capex'!BH284*IF($I288="",(1+INDEX($I$41:$I$42,MATCH($F288,$F$41:$F$42,0))),(1+$I288))</f>
        <v>0</v>
      </c>
      <c r="BK288" s="1126">
        <f>'ANSP Capex'!BI284*IF($I288="",(1+INDEX($I$41:$I$42,MATCH($F288,$F$41:$F$42,0))),(1+$I288))</f>
        <v>0</v>
      </c>
      <c r="BL288" s="1126">
        <f>'ANSP Capex'!BJ284*IF($I288="",(1+INDEX($I$41:$I$42,MATCH($F288,$F$41:$F$42,0))),(1+$I288))</f>
        <v>0</v>
      </c>
    </row>
    <row r="289" spans="3:64" outlineLevel="1">
      <c r="C289" s="1083" t="str">
        <f>'ANSP Capex'!C285</f>
        <v>HW/SW Provision</v>
      </c>
      <c r="D289" s="1083" t="str">
        <f>'ANSP Capex'!D285</f>
        <v>Hardware &amp; Software Provision</v>
      </c>
      <c r="E289" s="1083" t="str">
        <f>'ANSP Capex'!E285</f>
        <v>V004</v>
      </c>
      <c r="F289" s="1083" t="str">
        <f>'ANSP Capex'!F285</f>
        <v>2021-2024</v>
      </c>
      <c r="G289" s="1101">
        <f t="shared" si="24"/>
        <v>0</v>
      </c>
      <c r="H289" s="1083" t="str">
        <f>'ANSP Capex'!H285</f>
        <v>€'000</v>
      </c>
      <c r="I289" s="829"/>
      <c r="J289" s="1097">
        <f>'ANSP Capex'!I285</f>
        <v>0</v>
      </c>
      <c r="K289" s="1124">
        <v>0</v>
      </c>
      <c r="L289" s="1098">
        <f t="shared" si="25"/>
        <v>0</v>
      </c>
      <c r="M289" s="153">
        <f t="shared" si="26"/>
        <v>0</v>
      </c>
      <c r="N289" s="1099"/>
      <c r="O289" s="1100">
        <f>'ANSP Capex'!M285</f>
        <v>0</v>
      </c>
      <c r="P289" s="1101">
        <f>IF($BH289=0,0,IF(SUM($O289:O289)&lt;($L289-12),12,$L289-SUM($O289:O289)))</f>
        <v>0</v>
      </c>
      <c r="Q289" s="1101">
        <f>IF($BH289=0,0,IF(SUM($O289:P289)&lt;($L289-12),12,$L289-SUM($O289:P289)))</f>
        <v>0</v>
      </c>
      <c r="R289" s="1101">
        <f>IF($BH289=0,0,IF(SUM($O289:Q289)&lt;($L289-12),12,$L289-SUM($O289:Q289)))</f>
        <v>0</v>
      </c>
      <c r="S289" s="1101">
        <f>IF($BH289=0,0,IF(SUM($O289:R289)&lt;($L289-12),12,$L289-SUM($O289:R289)))</f>
        <v>0</v>
      </c>
      <c r="U289" s="1100"/>
      <c r="V289" s="1100">
        <f>'ANSP Capex'!T285</f>
        <v>0</v>
      </c>
      <c r="W289" s="1101">
        <f>IF($BI289=0,0,IF(SUM($U289:V289)&lt;($L289-12),12,$L289-SUM($U289:V289)))</f>
        <v>0</v>
      </c>
      <c r="X289" s="1101">
        <f>IF($BI289=0,0,IF(SUM($U289:W289)&lt;($L289-12),12,$L289-SUM($U289:W289)))</f>
        <v>0</v>
      </c>
      <c r="Y289" s="1101">
        <f>IF($BI289=0,0,IF(SUM($U289:X289)&lt;($L289-12),12,$L289-SUM($U289:X289)))</f>
        <v>0</v>
      </c>
      <c r="AA289" s="1100"/>
      <c r="AB289" s="1100"/>
      <c r="AC289" s="1100">
        <f>'ANSP Capex'!AA285</f>
        <v>0</v>
      </c>
      <c r="AD289" s="1101">
        <f>IF($BJ289=0,0,IF(SUM($AA289:AC289)&lt;($L289-12),12,$L289-SUM($AA289:AC289)))</f>
        <v>0</v>
      </c>
      <c r="AE289" s="1101">
        <f>IF($BJ289=0,0,IF(SUM($AA289:AD289)&lt;($L289-12),12,$L289-SUM($AA289:AD289)))</f>
        <v>0</v>
      </c>
      <c r="AG289" s="1100"/>
      <c r="AH289" s="1100"/>
      <c r="AI289" s="1100"/>
      <c r="AJ289" s="1100">
        <f>'ANSP Capex'!AH285</f>
        <v>0</v>
      </c>
      <c r="AK289" s="1101">
        <f>IF($BK289=0,0,IF(SUM($AG289:AJ289)&lt;($L289-12),12,$L289-SUM($AG289:AJ289)))</f>
        <v>0</v>
      </c>
      <c r="AM289" s="1100"/>
      <c r="AN289" s="1100"/>
      <c r="AO289" s="1100"/>
      <c r="AP289" s="1100"/>
      <c r="AQ289" s="1100">
        <f>'ANSP Capex'!AO285</f>
        <v>0</v>
      </c>
      <c r="AS289" s="153">
        <f t="shared" si="27"/>
        <v>0</v>
      </c>
      <c r="AT289" s="153">
        <f t="shared" si="28"/>
        <v>0</v>
      </c>
      <c r="AU289" s="153">
        <f t="shared" si="29"/>
        <v>0</v>
      </c>
      <c r="AV289" s="153">
        <f t="shared" si="30"/>
        <v>0</v>
      </c>
      <c r="AW289" s="153">
        <f t="shared" si="31"/>
        <v>0</v>
      </c>
      <c r="AX289" s="153"/>
      <c r="AY289" s="1543">
        <f>'ANSP Capex'!AW285</f>
        <v>0</v>
      </c>
      <c r="AZ289" s="1102"/>
      <c r="BA289" s="1543">
        <f>'ANSP Capex'!AY285</f>
        <v>0</v>
      </c>
      <c r="BC289" s="1126"/>
      <c r="BD289" s="1126"/>
      <c r="BE289" s="1126"/>
      <c r="BF289" s="1126"/>
      <c r="BG289" s="1126"/>
      <c r="BH289" s="1126">
        <f>'ANSP Capex'!BF285*IF($I289="",(1+INDEX($I$41:$I$42,MATCH($F289,$F$41:$F$42,0))),(1+$I289))</f>
        <v>0</v>
      </c>
      <c r="BI289" s="1126">
        <f>'ANSP Capex'!BG285*IF($I289="",(1+INDEX($I$41:$I$42,MATCH($F289,$F$41:$F$42,0))),(1+$I289))</f>
        <v>0</v>
      </c>
      <c r="BJ289" s="1126">
        <f>'ANSP Capex'!BH285*IF($I289="",(1+INDEX($I$41:$I$42,MATCH($F289,$F$41:$F$42,0))),(1+$I289))</f>
        <v>0</v>
      </c>
      <c r="BK289" s="1126">
        <f>'ANSP Capex'!BI285*IF($I289="",(1+INDEX($I$41:$I$42,MATCH($F289,$F$41:$F$42,0))),(1+$I289))</f>
        <v>0</v>
      </c>
      <c r="BL289" s="1126">
        <f>'ANSP Capex'!BJ285*IF($I289="",(1+INDEX($I$41:$I$42,MATCH($F289,$F$41:$F$42,0))),(1+$I289))</f>
        <v>0</v>
      </c>
    </row>
    <row r="290" spans="3:64" outlineLevel="1">
      <c r="C290" s="1083" t="str">
        <f>'ANSP Capex'!C286</f>
        <v>HW/SW Provision HQ - OTHER</v>
      </c>
      <c r="D290" s="1083" t="str">
        <f>'ANSP Capex'!D286</f>
        <v>Hardware &amp; Software Provision</v>
      </c>
      <c r="E290" s="1083" t="str">
        <f>'ANSP Capex'!E286</f>
        <v>V004A</v>
      </c>
      <c r="F290" s="1083" t="str">
        <f>'ANSP Capex'!F286</f>
        <v>2021-2024</v>
      </c>
      <c r="G290" s="1101">
        <f t="shared" si="24"/>
        <v>140</v>
      </c>
      <c r="H290" s="1083" t="str">
        <f>'ANSP Capex'!H286</f>
        <v>€'000</v>
      </c>
      <c r="I290" s="829"/>
      <c r="J290" s="1097">
        <f>'ANSP Capex'!I286</f>
        <v>3</v>
      </c>
      <c r="K290" s="1124">
        <v>0</v>
      </c>
      <c r="L290" s="1098">
        <f t="shared" si="25"/>
        <v>36</v>
      </c>
      <c r="M290" s="153">
        <f t="shared" si="26"/>
        <v>0.33333333333333331</v>
      </c>
      <c r="N290" s="1099"/>
      <c r="O290" s="1100">
        <f>'ANSP Capex'!M286</f>
        <v>0</v>
      </c>
      <c r="P290" s="1101">
        <f>IF($BH290=0,0,IF(SUM($O290:O290)&lt;($L290-12),12,$L290-SUM($O290:O290)))</f>
        <v>0</v>
      </c>
      <c r="Q290" s="1101">
        <f>IF($BH290=0,0,IF(SUM($O290:P290)&lt;($L290-12),12,$L290-SUM($O290:P290)))</f>
        <v>0</v>
      </c>
      <c r="R290" s="1101">
        <f>IF($BH290=0,0,IF(SUM($O290:Q290)&lt;($L290-12),12,$L290-SUM($O290:Q290)))</f>
        <v>0</v>
      </c>
      <c r="S290" s="1101">
        <f>IF($BH290=0,0,IF(SUM($O290:R290)&lt;($L290-12),12,$L290-SUM($O290:R290)))</f>
        <v>0</v>
      </c>
      <c r="U290" s="1100"/>
      <c r="V290" s="1100">
        <f>'ANSP Capex'!T286</f>
        <v>7.4999999999999991</v>
      </c>
      <c r="W290" s="1101">
        <f>IF($BI290=0,0,IF(SUM($U290:V290)&lt;($L290-12),12,$L290-SUM($U290:V290)))</f>
        <v>12</v>
      </c>
      <c r="X290" s="1101">
        <f>IF($BI290=0,0,IF(SUM($U290:W290)&lt;($L290-12),12,$L290-SUM($U290:W290)))</f>
        <v>12</v>
      </c>
      <c r="Y290" s="1101">
        <f>IF($BI290=0,0,IF(SUM($U290:X290)&lt;($L290-12),12,$L290-SUM($U290:X290)))</f>
        <v>4.5</v>
      </c>
      <c r="AA290" s="1100"/>
      <c r="AB290" s="1100"/>
      <c r="AC290" s="1100">
        <f>'ANSP Capex'!AA286</f>
        <v>7.4999999999999973</v>
      </c>
      <c r="AD290" s="1101">
        <f>IF($BJ290=0,0,IF(SUM($AA290:AC290)&lt;($L290-12),12,$L290-SUM($AA290:AC290)))</f>
        <v>12</v>
      </c>
      <c r="AE290" s="1101">
        <f>IF($BJ290=0,0,IF(SUM($AA290:AD290)&lt;($L290-12),12,$L290-SUM($AA290:AD290)))</f>
        <v>12</v>
      </c>
      <c r="AG290" s="1100"/>
      <c r="AH290" s="1100"/>
      <c r="AI290" s="1100"/>
      <c r="AJ290" s="1100">
        <f>'ANSP Capex'!AH286</f>
        <v>7.5000000000000036</v>
      </c>
      <c r="AK290" s="1101">
        <f>IF($BK290=0,0,IF(SUM($AG290:AJ290)&lt;($L290-12),12,$L290-SUM($AG290:AJ290)))</f>
        <v>12</v>
      </c>
      <c r="AM290" s="1100"/>
      <c r="AN290" s="1100"/>
      <c r="AO290" s="1100"/>
      <c r="AP290" s="1100"/>
      <c r="AQ290" s="1100">
        <f>'ANSP Capex'!AO286</f>
        <v>7.5000000000000036</v>
      </c>
      <c r="AS290" s="153">
        <f t="shared" si="27"/>
        <v>0</v>
      </c>
      <c r="AT290" s="153">
        <f t="shared" si="28"/>
        <v>0.62499999999999989</v>
      </c>
      <c r="AU290" s="153">
        <f t="shared" si="29"/>
        <v>0.62499999999999978</v>
      </c>
      <c r="AV290" s="153">
        <f t="shared" si="30"/>
        <v>0.62500000000000033</v>
      </c>
      <c r="AW290" s="153">
        <f t="shared" si="31"/>
        <v>0.62500000000000033</v>
      </c>
      <c r="AX290" s="153"/>
      <c r="AY290" s="1543">
        <f>'ANSP Capex'!AW286</f>
        <v>0.73</v>
      </c>
      <c r="AZ290" s="1102"/>
      <c r="BA290" s="1543">
        <f>'ANSP Capex'!AY286</f>
        <v>0.15</v>
      </c>
      <c r="BC290" s="1126"/>
      <c r="BD290" s="1126"/>
      <c r="BE290" s="1126"/>
      <c r="BF290" s="1126"/>
      <c r="BG290" s="1126"/>
      <c r="BH290" s="1126">
        <f>'ANSP Capex'!BF286*IF($I290="",(1+INDEX($I$41:$I$42,MATCH($F290,$F$41:$F$42,0))),(1+$I290))</f>
        <v>0</v>
      </c>
      <c r="BI290" s="1126">
        <f>'ANSP Capex'!BG286*IF($I290="",(1+INDEX($I$41:$I$42,MATCH($F290,$F$41:$F$42,0))),(1+$I290))</f>
        <v>35</v>
      </c>
      <c r="BJ290" s="1126">
        <f>'ANSP Capex'!BH286*IF($I290="",(1+INDEX($I$41:$I$42,MATCH($F290,$F$41:$F$42,0))),(1+$I290))</f>
        <v>35</v>
      </c>
      <c r="BK290" s="1126">
        <f>'ANSP Capex'!BI286*IF($I290="",(1+INDEX($I$41:$I$42,MATCH($F290,$F$41:$F$42,0))),(1+$I290))</f>
        <v>35</v>
      </c>
      <c r="BL290" s="1126">
        <f>'ANSP Capex'!BJ286*IF($I290="",(1+INDEX($I$41:$I$42,MATCH($F290,$F$41:$F$42,0))),(1+$I290))</f>
        <v>35</v>
      </c>
    </row>
    <row r="291" spans="3:64" outlineLevel="1">
      <c r="C291" s="1083" t="str">
        <f>'ANSP Capex'!C287</f>
        <v>HW/SW Provision DUB</v>
      </c>
      <c r="D291" s="1083" t="str">
        <f>'ANSP Capex'!D287</f>
        <v>Hardware &amp; Software Provision</v>
      </c>
      <c r="E291" s="1083" t="str">
        <f>'ANSP Capex'!E287</f>
        <v>V004A</v>
      </c>
      <c r="F291" s="1083" t="str">
        <f>'ANSP Capex'!F287</f>
        <v>2021-2024</v>
      </c>
      <c r="G291" s="1101">
        <f t="shared" si="24"/>
        <v>60</v>
      </c>
      <c r="H291" s="1083" t="str">
        <f>'ANSP Capex'!H287</f>
        <v>€'000</v>
      </c>
      <c r="I291" s="829"/>
      <c r="J291" s="1097">
        <f>'ANSP Capex'!I287</f>
        <v>3</v>
      </c>
      <c r="K291" s="1124">
        <v>0</v>
      </c>
      <c r="L291" s="1098">
        <f t="shared" si="25"/>
        <v>36</v>
      </c>
      <c r="M291" s="153">
        <f t="shared" si="26"/>
        <v>0.33333333333333331</v>
      </c>
      <c r="N291" s="1099"/>
      <c r="O291" s="1100">
        <f>'ANSP Capex'!M287</f>
        <v>0</v>
      </c>
      <c r="P291" s="1101">
        <f>IF($BH291=0,0,IF(SUM($O291:O291)&lt;($L291-12),12,$L291-SUM($O291:O291)))</f>
        <v>0</v>
      </c>
      <c r="Q291" s="1101">
        <f>IF($BH291=0,0,IF(SUM($O291:P291)&lt;($L291-12),12,$L291-SUM($O291:P291)))</f>
        <v>0</v>
      </c>
      <c r="R291" s="1101">
        <f>IF($BH291=0,0,IF(SUM($O291:Q291)&lt;($L291-12),12,$L291-SUM($O291:Q291)))</f>
        <v>0</v>
      </c>
      <c r="S291" s="1101">
        <f>IF($BH291=0,0,IF(SUM($O291:R291)&lt;($L291-12),12,$L291-SUM($O291:R291)))</f>
        <v>0</v>
      </c>
      <c r="U291" s="1100"/>
      <c r="V291" s="1100">
        <f>'ANSP Capex'!T287</f>
        <v>7.5</v>
      </c>
      <c r="W291" s="1101">
        <f>IF($BI291=0,0,IF(SUM($U291:V291)&lt;($L291-12),12,$L291-SUM($U291:V291)))</f>
        <v>12</v>
      </c>
      <c r="X291" s="1101">
        <f>IF($BI291=0,0,IF(SUM($U291:W291)&lt;($L291-12),12,$L291-SUM($U291:W291)))</f>
        <v>12</v>
      </c>
      <c r="Y291" s="1101">
        <f>IF($BI291=0,0,IF(SUM($U291:X291)&lt;($L291-12),12,$L291-SUM($U291:X291)))</f>
        <v>4.5</v>
      </c>
      <c r="AA291" s="1100"/>
      <c r="AB291" s="1100"/>
      <c r="AC291" s="1100">
        <f>'ANSP Capex'!AA287</f>
        <v>7.4999999999999991</v>
      </c>
      <c r="AD291" s="1101">
        <f>IF($BJ291=0,0,IF(SUM($AA291:AC291)&lt;($L291-12),12,$L291-SUM($AA291:AC291)))</f>
        <v>12</v>
      </c>
      <c r="AE291" s="1101">
        <f>IF($BJ291=0,0,IF(SUM($AA291:AD291)&lt;($L291-12),12,$L291-SUM($AA291:AD291)))</f>
        <v>12</v>
      </c>
      <c r="AG291" s="1100"/>
      <c r="AH291" s="1100"/>
      <c r="AI291" s="1100"/>
      <c r="AJ291" s="1100">
        <f>'ANSP Capex'!AH287</f>
        <v>7.4999999999999991</v>
      </c>
      <c r="AK291" s="1101">
        <f>IF($BK291=0,0,IF(SUM($AG291:AJ291)&lt;($L291-12),12,$L291-SUM($AG291:AJ291)))</f>
        <v>12</v>
      </c>
      <c r="AM291" s="1100"/>
      <c r="AN291" s="1100"/>
      <c r="AO291" s="1100"/>
      <c r="AP291" s="1100"/>
      <c r="AQ291" s="1100">
        <f>'ANSP Capex'!AO287</f>
        <v>7.4999999999999991</v>
      </c>
      <c r="AS291" s="153">
        <f t="shared" si="27"/>
        <v>0</v>
      </c>
      <c r="AT291" s="153">
        <f t="shared" si="28"/>
        <v>0.625</v>
      </c>
      <c r="AU291" s="153">
        <f t="shared" si="29"/>
        <v>0.62499999999999989</v>
      </c>
      <c r="AV291" s="153">
        <f t="shared" si="30"/>
        <v>0.62499999999999989</v>
      </c>
      <c r="AW291" s="153">
        <f t="shared" si="31"/>
        <v>0.62499999999999989</v>
      </c>
      <c r="AX291" s="153"/>
      <c r="AY291" s="1543">
        <f>'ANSP Capex'!AW287</f>
        <v>0.75</v>
      </c>
      <c r="AZ291" s="1102"/>
      <c r="BA291" s="1543">
        <f>'ANSP Capex'!AY287</f>
        <v>0.25</v>
      </c>
      <c r="BC291" s="1126"/>
      <c r="BD291" s="1126"/>
      <c r="BE291" s="1126"/>
      <c r="BF291" s="1126"/>
      <c r="BG291" s="1126"/>
      <c r="BH291" s="1126">
        <f>'ANSP Capex'!BF287*IF($I291="",(1+INDEX($I$41:$I$42,MATCH($F291,$F$41:$F$42,0))),(1+$I291))</f>
        <v>0</v>
      </c>
      <c r="BI291" s="1126">
        <f>'ANSP Capex'!BG287*IF($I291="",(1+INDEX($I$41:$I$42,MATCH($F291,$F$41:$F$42,0))),(1+$I291))</f>
        <v>15</v>
      </c>
      <c r="BJ291" s="1126">
        <f>'ANSP Capex'!BH287*IF($I291="",(1+INDEX($I$41:$I$42,MATCH($F291,$F$41:$F$42,0))),(1+$I291))</f>
        <v>15</v>
      </c>
      <c r="BK291" s="1126">
        <f>'ANSP Capex'!BI287*IF($I291="",(1+INDEX($I$41:$I$42,MATCH($F291,$F$41:$F$42,0))),(1+$I291))</f>
        <v>15</v>
      </c>
      <c r="BL291" s="1126">
        <f>'ANSP Capex'!BJ287*IF($I291="",(1+INDEX($I$41:$I$42,MATCH($F291,$F$41:$F$42,0))),(1+$I291))</f>
        <v>15</v>
      </c>
    </row>
    <row r="292" spans="3:64" outlineLevel="1">
      <c r="C292" s="1083" t="str">
        <f>'ANSP Capex'!C288</f>
        <v>HW/SW Provision SHN</v>
      </c>
      <c r="D292" s="1083" t="str">
        <f>'ANSP Capex'!D288</f>
        <v>Hardware &amp; Software Provision</v>
      </c>
      <c r="E292" s="1083" t="str">
        <f>'ANSP Capex'!E288</f>
        <v>V004A</v>
      </c>
      <c r="F292" s="1083" t="str">
        <f>'ANSP Capex'!F288</f>
        <v>2021-2024</v>
      </c>
      <c r="G292" s="1101">
        <f t="shared" si="24"/>
        <v>60</v>
      </c>
      <c r="H292" s="1083" t="str">
        <f>'ANSP Capex'!H288</f>
        <v>€'000</v>
      </c>
      <c r="I292" s="829"/>
      <c r="J292" s="1097">
        <f>'ANSP Capex'!I288</f>
        <v>3</v>
      </c>
      <c r="K292" s="1124">
        <v>0</v>
      </c>
      <c r="L292" s="1098">
        <f t="shared" si="25"/>
        <v>36</v>
      </c>
      <c r="M292" s="153">
        <f t="shared" si="26"/>
        <v>0.33333333333333331</v>
      </c>
      <c r="N292" s="1099"/>
      <c r="O292" s="1100">
        <f>'ANSP Capex'!M288</f>
        <v>0</v>
      </c>
      <c r="P292" s="1101">
        <f>IF($BH292=0,0,IF(SUM($O292:O292)&lt;($L292-12),12,$L292-SUM($O292:O292)))</f>
        <v>0</v>
      </c>
      <c r="Q292" s="1101">
        <f>IF($BH292=0,0,IF(SUM($O292:P292)&lt;($L292-12),12,$L292-SUM($O292:P292)))</f>
        <v>0</v>
      </c>
      <c r="R292" s="1101">
        <f>IF($BH292=0,0,IF(SUM($O292:Q292)&lt;($L292-12),12,$L292-SUM($O292:Q292)))</f>
        <v>0</v>
      </c>
      <c r="S292" s="1101">
        <f>IF($BH292=0,0,IF(SUM($O292:R292)&lt;($L292-12),12,$L292-SUM($O292:R292)))</f>
        <v>0</v>
      </c>
      <c r="U292" s="1100"/>
      <c r="V292" s="1100">
        <f>'ANSP Capex'!T288</f>
        <v>7.5</v>
      </c>
      <c r="W292" s="1101">
        <f>IF($BI292=0,0,IF(SUM($U292:V292)&lt;($L292-12),12,$L292-SUM($U292:V292)))</f>
        <v>12</v>
      </c>
      <c r="X292" s="1101">
        <f>IF($BI292=0,0,IF(SUM($U292:W292)&lt;($L292-12),12,$L292-SUM($U292:W292)))</f>
        <v>12</v>
      </c>
      <c r="Y292" s="1101">
        <f>IF($BI292=0,0,IF(SUM($U292:X292)&lt;($L292-12),12,$L292-SUM($U292:X292)))</f>
        <v>4.5</v>
      </c>
      <c r="AA292" s="1100"/>
      <c r="AB292" s="1100"/>
      <c r="AC292" s="1100">
        <f>'ANSP Capex'!AA288</f>
        <v>7.4999999999999991</v>
      </c>
      <c r="AD292" s="1101">
        <f>IF($BJ292=0,0,IF(SUM($AA292:AC292)&lt;($L292-12),12,$L292-SUM($AA292:AC292)))</f>
        <v>12</v>
      </c>
      <c r="AE292" s="1101">
        <f>IF($BJ292=0,0,IF(SUM($AA292:AD292)&lt;($L292-12),12,$L292-SUM($AA292:AD292)))</f>
        <v>12</v>
      </c>
      <c r="AG292" s="1100"/>
      <c r="AH292" s="1100"/>
      <c r="AI292" s="1100"/>
      <c r="AJ292" s="1100">
        <f>'ANSP Capex'!AH288</f>
        <v>7.4999999999999991</v>
      </c>
      <c r="AK292" s="1101">
        <f>IF($BK292=0,0,IF(SUM($AG292:AJ292)&lt;($L292-12),12,$L292-SUM($AG292:AJ292)))</f>
        <v>12</v>
      </c>
      <c r="AM292" s="1100"/>
      <c r="AN292" s="1100"/>
      <c r="AO292" s="1100"/>
      <c r="AP292" s="1100"/>
      <c r="AQ292" s="1100">
        <f>'ANSP Capex'!AO288</f>
        <v>7.4999999999999991</v>
      </c>
      <c r="AS292" s="153">
        <f t="shared" si="27"/>
        <v>0</v>
      </c>
      <c r="AT292" s="153">
        <f t="shared" si="28"/>
        <v>0.625</v>
      </c>
      <c r="AU292" s="153">
        <f t="shared" si="29"/>
        <v>0.62499999999999989</v>
      </c>
      <c r="AV292" s="153">
        <f t="shared" si="30"/>
        <v>0.62499999999999989</v>
      </c>
      <c r="AW292" s="153">
        <f t="shared" si="31"/>
        <v>0.62499999999999989</v>
      </c>
      <c r="AX292" s="153"/>
      <c r="AY292" s="1543">
        <f>'ANSP Capex'!AW288</f>
        <v>0.75</v>
      </c>
      <c r="AZ292" s="1102"/>
      <c r="BA292" s="1543">
        <f>'ANSP Capex'!AY288</f>
        <v>0.25</v>
      </c>
      <c r="BC292" s="1126"/>
      <c r="BD292" s="1126"/>
      <c r="BE292" s="1126"/>
      <c r="BF292" s="1126"/>
      <c r="BG292" s="1126"/>
      <c r="BH292" s="1126">
        <f>'ANSP Capex'!BF288*IF($I292="",(1+INDEX($I$41:$I$42,MATCH($F292,$F$41:$F$42,0))),(1+$I292))</f>
        <v>0</v>
      </c>
      <c r="BI292" s="1126">
        <f>'ANSP Capex'!BG288*IF($I292="",(1+INDEX($I$41:$I$42,MATCH($F292,$F$41:$F$42,0))),(1+$I292))</f>
        <v>15</v>
      </c>
      <c r="BJ292" s="1126">
        <f>'ANSP Capex'!BH288*IF($I292="",(1+INDEX($I$41:$I$42,MATCH($F292,$F$41:$F$42,0))),(1+$I292))</f>
        <v>15</v>
      </c>
      <c r="BK292" s="1126">
        <f>'ANSP Capex'!BI288*IF($I292="",(1+INDEX($I$41:$I$42,MATCH($F292,$F$41:$F$42,0))),(1+$I292))</f>
        <v>15</v>
      </c>
      <c r="BL292" s="1126">
        <f>'ANSP Capex'!BJ288*IF($I292="",(1+INDEX($I$41:$I$42,MATCH($F292,$F$41:$F$42,0))),(1+$I292))</f>
        <v>15</v>
      </c>
    </row>
    <row r="293" spans="3:64" outlineLevel="1">
      <c r="C293" s="1083" t="str">
        <f>'ANSP Capex'!C289</f>
        <v>Automated Dependent Surveillance Broadcast Evaluation (ADS-B)</v>
      </c>
      <c r="D293" s="1083" t="str">
        <f>'ANSP Capex'!D289</f>
        <v>Automated Dependent Surveillance Broadcast Evaluation (ADS-B)</v>
      </c>
      <c r="E293" s="1083" t="str">
        <f>'ANSP Capex'!E289</f>
        <v>K010</v>
      </c>
      <c r="F293" s="1083" t="str">
        <f>'ANSP Capex'!F289</f>
        <v>2021-2024</v>
      </c>
      <c r="G293" s="1101">
        <f t="shared" si="24"/>
        <v>267.49480800000003</v>
      </c>
      <c r="H293" s="1083" t="str">
        <f>'ANSP Capex'!H289</f>
        <v>€'000</v>
      </c>
      <c r="I293" s="829"/>
      <c r="J293" s="1097">
        <f>'ANSP Capex'!I289</f>
        <v>8</v>
      </c>
      <c r="K293" s="1124">
        <v>0</v>
      </c>
      <c r="L293" s="1098">
        <f t="shared" si="25"/>
        <v>96</v>
      </c>
      <c r="M293" s="153">
        <f t="shared" si="26"/>
        <v>0.125</v>
      </c>
      <c r="N293" s="1099"/>
      <c r="O293" s="1100">
        <f>'ANSP Capex'!M289</f>
        <v>0</v>
      </c>
      <c r="P293" s="1101">
        <f>IF($BH293=0,0,IF(SUM($O293:O293)&lt;($L293-12),12,$L293-SUM($O293:O293)))</f>
        <v>0</v>
      </c>
      <c r="Q293" s="1101">
        <f>IF($BH293=0,0,IF(SUM($O293:P293)&lt;($L293-12),12,$L293-SUM($O293:P293)))</f>
        <v>0</v>
      </c>
      <c r="R293" s="1101">
        <f>IF($BH293=0,0,IF(SUM($O293:Q293)&lt;($L293-12),12,$L293-SUM($O293:Q293)))</f>
        <v>0</v>
      </c>
      <c r="S293" s="1101">
        <f>IF($BH293=0,0,IF(SUM($O293:R293)&lt;($L293-12),12,$L293-SUM($O293:R293)))</f>
        <v>0</v>
      </c>
      <c r="U293" s="1100"/>
      <c r="V293" s="1100">
        <f>'ANSP Capex'!T289</f>
        <v>0</v>
      </c>
      <c r="W293" s="1101">
        <f>IF($BI293=0,0,IF(SUM($U293:V293)&lt;($L293-12),12,$L293-SUM($U293:V293)))</f>
        <v>0</v>
      </c>
      <c r="X293" s="1101">
        <f>IF($BI293=0,0,IF(SUM($U293:W293)&lt;($L293-12),12,$L293-SUM($U293:W293)))</f>
        <v>0</v>
      </c>
      <c r="Y293" s="1101">
        <f>IF($BI293=0,0,IF(SUM($U293:X293)&lt;($L293-12),12,$L293-SUM($U293:X293)))</f>
        <v>0</v>
      </c>
      <c r="AA293" s="1100"/>
      <c r="AB293" s="1100"/>
      <c r="AC293" s="1100">
        <f>'ANSP Capex'!AA289</f>
        <v>3</v>
      </c>
      <c r="AD293" s="1101">
        <f>IF($BJ293=0,0,IF(SUM($AA293:AC293)&lt;($L293-12),12,$L293-SUM($AA293:AC293)))</f>
        <v>12</v>
      </c>
      <c r="AE293" s="1101">
        <f>IF($BJ293=0,0,IF(SUM($AA293:AD293)&lt;($L293-12),12,$L293-SUM($AA293:AD293)))</f>
        <v>12</v>
      </c>
      <c r="AG293" s="1100"/>
      <c r="AH293" s="1100"/>
      <c r="AI293" s="1100"/>
      <c r="AJ293" s="1100">
        <f>'ANSP Capex'!AH289</f>
        <v>0</v>
      </c>
      <c r="AK293" s="1101">
        <f>IF($BK293=0,0,IF(SUM($AG293:AJ293)&lt;($L293-12),12,$L293-SUM($AG293:AJ293)))</f>
        <v>0</v>
      </c>
      <c r="AM293" s="1100"/>
      <c r="AN293" s="1100"/>
      <c r="AO293" s="1100"/>
      <c r="AP293" s="1100"/>
      <c r="AQ293" s="1100">
        <f>'ANSP Capex'!AO289</f>
        <v>0</v>
      </c>
      <c r="AS293" s="153">
        <f t="shared" si="27"/>
        <v>0</v>
      </c>
      <c r="AT293" s="153">
        <f t="shared" si="28"/>
        <v>0</v>
      </c>
      <c r="AU293" s="153">
        <f t="shared" si="29"/>
        <v>0.25</v>
      </c>
      <c r="AV293" s="153">
        <f t="shared" si="30"/>
        <v>0</v>
      </c>
      <c r="AW293" s="153">
        <f t="shared" si="31"/>
        <v>0</v>
      </c>
      <c r="AX293" s="153"/>
      <c r="AY293" s="1543">
        <f>'ANSP Capex'!AW289</f>
        <v>0.75</v>
      </c>
      <c r="AZ293" s="1102"/>
      <c r="BA293" s="1543">
        <f>'ANSP Capex'!AY289</f>
        <v>0.25</v>
      </c>
      <c r="BC293" s="1126"/>
      <c r="BD293" s="1126"/>
      <c r="BE293" s="1126"/>
      <c r="BF293" s="1126"/>
      <c r="BG293" s="1126"/>
      <c r="BH293" s="1126">
        <f>'ANSP Capex'!BF289*IF($I293="",(1+INDEX($I$41:$I$42,MATCH($F293,$F$41:$F$42,0))),(1+$I293))</f>
        <v>0</v>
      </c>
      <c r="BI293" s="1126">
        <f>'ANSP Capex'!BG289*IF($I293="",(1+INDEX($I$41:$I$42,MATCH($F293,$F$41:$F$42,0))),(1+$I293))</f>
        <v>0</v>
      </c>
      <c r="BJ293" s="1126">
        <f>'ANSP Capex'!BH289*IF($I293="",(1+INDEX($I$41:$I$42,MATCH($F293,$F$41:$F$42,0))),(1+$I293))</f>
        <v>267.49480800000003</v>
      </c>
      <c r="BK293" s="1126">
        <f>'ANSP Capex'!BI289*IF($I293="",(1+INDEX($I$41:$I$42,MATCH($F293,$F$41:$F$42,0))),(1+$I293))</f>
        <v>0</v>
      </c>
      <c r="BL293" s="1126">
        <f>'ANSP Capex'!BJ289*IF($I293="",(1+INDEX($I$41:$I$42,MATCH($F293,$F$41:$F$42,0))),(1+$I293))</f>
        <v>0</v>
      </c>
    </row>
    <row r="294" spans="3:64" outlineLevel="1">
      <c r="C294" s="1083" t="str">
        <f>'ANSP Capex'!C290</f>
        <v>Off the Glass Recording for VCCS Touchscreens</v>
      </c>
      <c r="D294" s="1083" t="str">
        <f>'ANSP Capex'!D290</f>
        <v>Off the Glass Recording</v>
      </c>
      <c r="E294" s="1083" t="str">
        <f>'ANSP Capex'!E290</f>
        <v>P004</v>
      </c>
      <c r="F294" s="1083" t="str">
        <f>'ANSP Capex'!F290</f>
        <v>2021-2024</v>
      </c>
      <c r="G294" s="1101">
        <f t="shared" si="24"/>
        <v>0</v>
      </c>
      <c r="H294" s="1083" t="str">
        <f>'ANSP Capex'!H290</f>
        <v>€'000</v>
      </c>
      <c r="I294" s="829"/>
      <c r="J294" s="1097">
        <f>'ANSP Capex'!I290</f>
        <v>0</v>
      </c>
      <c r="K294" s="1124">
        <v>0</v>
      </c>
      <c r="L294" s="1098">
        <f t="shared" si="25"/>
        <v>0</v>
      </c>
      <c r="M294" s="153">
        <f t="shared" si="26"/>
        <v>0</v>
      </c>
      <c r="N294" s="1099"/>
      <c r="O294" s="1100">
        <f>'ANSP Capex'!M290</f>
        <v>0</v>
      </c>
      <c r="P294" s="1101">
        <f>IF($BH294=0,0,IF(SUM($O294:O294)&lt;($L294-12),12,$L294-SUM($O294:O294)))</f>
        <v>0</v>
      </c>
      <c r="Q294" s="1101">
        <f>IF($BH294=0,0,IF(SUM($O294:P294)&lt;($L294-12),12,$L294-SUM($O294:P294)))</f>
        <v>0</v>
      </c>
      <c r="R294" s="1101">
        <f>IF($BH294=0,0,IF(SUM($O294:Q294)&lt;($L294-12),12,$L294-SUM($O294:Q294)))</f>
        <v>0</v>
      </c>
      <c r="S294" s="1101">
        <f>IF($BH294=0,0,IF(SUM($O294:R294)&lt;($L294-12),12,$L294-SUM($O294:R294)))</f>
        <v>0</v>
      </c>
      <c r="U294" s="1100"/>
      <c r="V294" s="1100">
        <f>'ANSP Capex'!T290</f>
        <v>0</v>
      </c>
      <c r="W294" s="1101">
        <f>IF($BI294=0,0,IF(SUM($U294:V294)&lt;($L294-12),12,$L294-SUM($U294:V294)))</f>
        <v>0</v>
      </c>
      <c r="X294" s="1101">
        <f>IF($BI294=0,0,IF(SUM($U294:W294)&lt;($L294-12),12,$L294-SUM($U294:W294)))</f>
        <v>0</v>
      </c>
      <c r="Y294" s="1101">
        <f>IF($BI294=0,0,IF(SUM($U294:X294)&lt;($L294-12),12,$L294-SUM($U294:X294)))</f>
        <v>0</v>
      </c>
      <c r="AA294" s="1100"/>
      <c r="AB294" s="1100"/>
      <c r="AC294" s="1100">
        <f>'ANSP Capex'!AA290</f>
        <v>0</v>
      </c>
      <c r="AD294" s="1101">
        <f>IF($BJ294=0,0,IF(SUM($AA294:AC294)&lt;($L294-12),12,$L294-SUM($AA294:AC294)))</f>
        <v>0</v>
      </c>
      <c r="AE294" s="1101">
        <f>IF($BJ294=0,0,IF(SUM($AA294:AD294)&lt;($L294-12),12,$L294-SUM($AA294:AD294)))</f>
        <v>0</v>
      </c>
      <c r="AG294" s="1100"/>
      <c r="AH294" s="1100"/>
      <c r="AI294" s="1100"/>
      <c r="AJ294" s="1100">
        <f>'ANSP Capex'!AH290</f>
        <v>0</v>
      </c>
      <c r="AK294" s="1101">
        <f>IF($BK294=0,0,IF(SUM($AG294:AJ294)&lt;($L294-12),12,$L294-SUM($AG294:AJ294)))</f>
        <v>0</v>
      </c>
      <c r="AM294" s="1100"/>
      <c r="AN294" s="1100"/>
      <c r="AO294" s="1100"/>
      <c r="AP294" s="1100"/>
      <c r="AQ294" s="1100">
        <f>'ANSP Capex'!AO290</f>
        <v>0</v>
      </c>
      <c r="AS294" s="153">
        <f t="shared" si="27"/>
        <v>0</v>
      </c>
      <c r="AT294" s="153">
        <f t="shared" si="28"/>
        <v>0</v>
      </c>
      <c r="AU294" s="153">
        <f t="shared" si="29"/>
        <v>0</v>
      </c>
      <c r="AV294" s="153">
        <f t="shared" si="30"/>
        <v>0</v>
      </c>
      <c r="AW294" s="153">
        <f t="shared" si="31"/>
        <v>0</v>
      </c>
      <c r="AX294" s="153"/>
      <c r="AY294" s="1543">
        <f>'ANSP Capex'!AW290</f>
        <v>0</v>
      </c>
      <c r="AZ294" s="1102"/>
      <c r="BA294" s="1543">
        <f>'ANSP Capex'!AY290</f>
        <v>0</v>
      </c>
      <c r="BC294" s="1126"/>
      <c r="BD294" s="1126"/>
      <c r="BE294" s="1126"/>
      <c r="BF294" s="1126"/>
      <c r="BG294" s="1126"/>
      <c r="BH294" s="1126">
        <f>'ANSP Capex'!BF290*IF($I294="",(1+INDEX($I$41:$I$42,MATCH($F294,$F$41:$F$42,0))),(1+$I294))</f>
        <v>0</v>
      </c>
      <c r="BI294" s="1126">
        <f>'ANSP Capex'!BG290*IF($I294="",(1+INDEX($I$41:$I$42,MATCH($F294,$F$41:$F$42,0))),(1+$I294))</f>
        <v>0</v>
      </c>
      <c r="BJ294" s="1126">
        <f>'ANSP Capex'!BH290*IF($I294="",(1+INDEX($I$41:$I$42,MATCH($F294,$F$41:$F$42,0))),(1+$I294))</f>
        <v>0</v>
      </c>
      <c r="BK294" s="1126">
        <f>'ANSP Capex'!BI290*IF($I294="",(1+INDEX($I$41:$I$42,MATCH($F294,$F$41:$F$42,0))),(1+$I294))</f>
        <v>0</v>
      </c>
      <c r="BL294" s="1126">
        <f>'ANSP Capex'!BJ290*IF($I294="",(1+INDEX($I$41:$I$42,MATCH($F294,$F$41:$F$42,0))),(1+$I294))</f>
        <v>0</v>
      </c>
    </row>
    <row r="295" spans="3:64" outlineLevel="1">
      <c r="C295" s="1083" t="str">
        <f>'ANSP Capex'!C291</f>
        <v>Off Glass Recording VCCS Dublin</v>
      </c>
      <c r="D295" s="1083" t="str">
        <f>'ANSP Capex'!D291</f>
        <v>Off the Glass Recording</v>
      </c>
      <c r="E295" s="1083" t="str">
        <f>'ANSP Capex'!E291</f>
        <v>P004A</v>
      </c>
      <c r="F295" s="1083" t="str">
        <f>'ANSP Capex'!F291</f>
        <v>2021-2024</v>
      </c>
      <c r="G295" s="1101">
        <f t="shared" si="24"/>
        <v>257.92388</v>
      </c>
      <c r="H295" s="1083" t="str">
        <f>'ANSP Capex'!H291</f>
        <v>€'000</v>
      </c>
      <c r="I295" s="829"/>
      <c r="J295" s="1097">
        <f>'ANSP Capex'!I291</f>
        <v>8</v>
      </c>
      <c r="K295" s="1124">
        <v>0</v>
      </c>
      <c r="L295" s="1098">
        <f t="shared" si="25"/>
        <v>96</v>
      </c>
      <c r="M295" s="153">
        <f t="shared" si="26"/>
        <v>0.125</v>
      </c>
      <c r="N295" s="1099"/>
      <c r="O295" s="1100">
        <f>'ANSP Capex'!M291</f>
        <v>0</v>
      </c>
      <c r="P295" s="1101">
        <f>IF($BH295=0,0,IF(SUM($O295:O295)&lt;($L295-12),12,$L295-SUM($O295:O295)))</f>
        <v>0</v>
      </c>
      <c r="Q295" s="1101">
        <f>IF($BH295=0,0,IF(SUM($O295:P295)&lt;($L295-12),12,$L295-SUM($O295:P295)))</f>
        <v>0</v>
      </c>
      <c r="R295" s="1101">
        <f>IF($BH295=0,0,IF(SUM($O295:Q295)&lt;($L295-12),12,$L295-SUM($O295:Q295)))</f>
        <v>0</v>
      </c>
      <c r="S295" s="1101">
        <f>IF($BH295=0,0,IF(SUM($O295:R295)&lt;($L295-12),12,$L295-SUM($O295:R295)))</f>
        <v>0</v>
      </c>
      <c r="U295" s="1100"/>
      <c r="V295" s="1100">
        <f>'ANSP Capex'!T291</f>
        <v>6</v>
      </c>
      <c r="W295" s="1101">
        <f>IF($BI295=0,0,IF(SUM($U295:V295)&lt;($L295-12),12,$L295-SUM($U295:V295)))</f>
        <v>12</v>
      </c>
      <c r="X295" s="1101">
        <f>IF($BI295=0,0,IF(SUM($U295:W295)&lt;($L295-12),12,$L295-SUM($U295:W295)))</f>
        <v>12</v>
      </c>
      <c r="Y295" s="1101">
        <f>IF($BI295=0,0,IF(SUM($U295:X295)&lt;($L295-12),12,$L295-SUM($U295:X295)))</f>
        <v>12</v>
      </c>
      <c r="AA295" s="1100"/>
      <c r="AB295" s="1100"/>
      <c r="AC295" s="1100">
        <f>'ANSP Capex'!AA291</f>
        <v>0</v>
      </c>
      <c r="AD295" s="1101">
        <f>IF($BJ295=0,0,IF(SUM($AA295:AC295)&lt;($L295-12),12,$L295-SUM($AA295:AC295)))</f>
        <v>0</v>
      </c>
      <c r="AE295" s="1101">
        <f>IF($BJ295=0,0,IF(SUM($AA295:AD295)&lt;($L295-12),12,$L295-SUM($AA295:AD295)))</f>
        <v>0</v>
      </c>
      <c r="AG295" s="1100"/>
      <c r="AH295" s="1100"/>
      <c r="AI295" s="1100"/>
      <c r="AJ295" s="1100">
        <f>'ANSP Capex'!AH291</f>
        <v>0</v>
      </c>
      <c r="AK295" s="1101">
        <f>IF($BK295=0,0,IF(SUM($AG295:AJ295)&lt;($L295-12),12,$L295-SUM($AG295:AJ295)))</f>
        <v>0</v>
      </c>
      <c r="AM295" s="1100"/>
      <c r="AN295" s="1100"/>
      <c r="AO295" s="1100"/>
      <c r="AP295" s="1100"/>
      <c r="AQ295" s="1100">
        <f>'ANSP Capex'!AO291</f>
        <v>0</v>
      </c>
      <c r="AS295" s="153">
        <f t="shared" si="27"/>
        <v>0</v>
      </c>
      <c r="AT295" s="153">
        <f t="shared" si="28"/>
        <v>0.5</v>
      </c>
      <c r="AU295" s="153">
        <f t="shared" si="29"/>
        <v>0</v>
      </c>
      <c r="AV295" s="153">
        <f t="shared" si="30"/>
        <v>0</v>
      </c>
      <c r="AW295" s="153">
        <f t="shared" si="31"/>
        <v>0</v>
      </c>
      <c r="AX295" s="153"/>
      <c r="AY295" s="1543">
        <f>'ANSP Capex'!AW291</f>
        <v>0.75</v>
      </c>
      <c r="AZ295" s="1102"/>
      <c r="BA295" s="1543">
        <f>'ANSP Capex'!AY291</f>
        <v>0.25</v>
      </c>
      <c r="BC295" s="1126"/>
      <c r="BD295" s="1126"/>
      <c r="BE295" s="1126"/>
      <c r="BF295" s="1126"/>
      <c r="BG295" s="1126"/>
      <c r="BH295" s="1126">
        <f>'ANSP Capex'!BF291*IF($I295="",(1+INDEX($I$41:$I$42,MATCH($F295,$F$41:$F$42,0))),(1+$I295))</f>
        <v>0</v>
      </c>
      <c r="BI295" s="1126">
        <f>'ANSP Capex'!BG291*IF($I295="",(1+INDEX($I$41:$I$42,MATCH($F295,$F$41:$F$42,0))),(1+$I295))</f>
        <v>257.92388</v>
      </c>
      <c r="BJ295" s="1126">
        <f>'ANSP Capex'!BH291*IF($I295="",(1+INDEX($I$41:$I$42,MATCH($F295,$F$41:$F$42,0))),(1+$I295))</f>
        <v>0</v>
      </c>
      <c r="BK295" s="1126">
        <f>'ANSP Capex'!BI291*IF($I295="",(1+INDEX($I$41:$I$42,MATCH($F295,$F$41:$F$42,0))),(1+$I295))</f>
        <v>0</v>
      </c>
      <c r="BL295" s="1126">
        <f>'ANSP Capex'!BJ291*IF($I295="",(1+INDEX($I$41:$I$42,MATCH($F295,$F$41:$F$42,0))),(1+$I295))</f>
        <v>0</v>
      </c>
    </row>
    <row r="296" spans="3:64" outlineLevel="1">
      <c r="C296" s="1083" t="str">
        <f>'ANSP Capex'!C292</f>
        <v>Cessation of E1 Crcuits and Migration to IP (ERIN etc)</v>
      </c>
      <c r="D296" s="1083" t="str">
        <f>'ANSP Capex'!D292</f>
        <v>Cessation of E1 Crcuits and Migration to IP (ERIN etc)</v>
      </c>
      <c r="E296" s="1083" t="str">
        <f>'ANSP Capex'!E292</f>
        <v>V008</v>
      </c>
      <c r="F296" s="1083" t="str">
        <f>'ANSP Capex'!F292</f>
        <v>2021-2024</v>
      </c>
      <c r="G296" s="1101">
        <f t="shared" si="24"/>
        <v>240</v>
      </c>
      <c r="H296" s="1083" t="str">
        <f>'ANSP Capex'!H292</f>
        <v>€'000</v>
      </c>
      <c r="I296" s="829"/>
      <c r="J296" s="1097">
        <f>'ANSP Capex'!I292</f>
        <v>8</v>
      </c>
      <c r="K296" s="1124">
        <v>0</v>
      </c>
      <c r="L296" s="1098">
        <f t="shared" si="25"/>
        <v>96</v>
      </c>
      <c r="M296" s="153">
        <f t="shared" si="26"/>
        <v>0.125</v>
      </c>
      <c r="N296" s="1099"/>
      <c r="O296" s="1100">
        <f>'ANSP Capex'!M292</f>
        <v>0</v>
      </c>
      <c r="P296" s="1101">
        <f>IF($BH296=0,0,IF(SUM($O296:O296)&lt;($L296-12),12,$L296-SUM($O296:O296)))</f>
        <v>0</v>
      </c>
      <c r="Q296" s="1101">
        <f>IF($BH296=0,0,IF(SUM($O296:P296)&lt;($L296-12),12,$L296-SUM($O296:P296)))</f>
        <v>0</v>
      </c>
      <c r="R296" s="1101">
        <f>IF($BH296=0,0,IF(SUM($O296:Q296)&lt;($L296-12),12,$L296-SUM($O296:Q296)))</f>
        <v>0</v>
      </c>
      <c r="S296" s="1101">
        <f>IF($BH296=0,0,IF(SUM($O296:R296)&lt;($L296-12),12,$L296-SUM($O296:R296)))</f>
        <v>0</v>
      </c>
      <c r="U296" s="1100"/>
      <c r="V296" s="1100">
        <f>'ANSP Capex'!T292</f>
        <v>0</v>
      </c>
      <c r="W296" s="1101">
        <f>IF($BI296=0,0,IF(SUM($U296:V296)&lt;($L296-12),12,$L296-SUM($U296:V296)))</f>
        <v>0</v>
      </c>
      <c r="X296" s="1101">
        <f>IF($BI296=0,0,IF(SUM($U296:W296)&lt;($L296-12),12,$L296-SUM($U296:W296)))</f>
        <v>0</v>
      </c>
      <c r="Y296" s="1101">
        <f>IF($BI296=0,0,IF(SUM($U296:X296)&lt;($L296-12),12,$L296-SUM($U296:X296)))</f>
        <v>0</v>
      </c>
      <c r="AA296" s="1100"/>
      <c r="AB296" s="1100"/>
      <c r="AC296" s="1100">
        <f>'ANSP Capex'!AA292</f>
        <v>0</v>
      </c>
      <c r="AD296" s="1101">
        <f>IF($BJ296=0,0,IF(SUM($AA296:AC296)&lt;($L296-12),12,$L296-SUM($AA296:AC296)))</f>
        <v>0</v>
      </c>
      <c r="AE296" s="1101">
        <f>IF($BJ296=0,0,IF(SUM($AA296:AD296)&lt;($L296-12),12,$L296-SUM($AA296:AD296)))</f>
        <v>0</v>
      </c>
      <c r="AG296" s="1100"/>
      <c r="AH296" s="1100"/>
      <c r="AI296" s="1100"/>
      <c r="AJ296" s="1100">
        <f>'ANSP Capex'!AH292</f>
        <v>12</v>
      </c>
      <c r="AK296" s="1101">
        <f>IF($BK296=0,0,IF(SUM($AG296:AJ296)&lt;($L296-12),12,$L296-SUM($AG296:AJ296)))</f>
        <v>12</v>
      </c>
      <c r="AM296" s="1100"/>
      <c r="AN296" s="1100"/>
      <c r="AO296" s="1100"/>
      <c r="AP296" s="1100"/>
      <c r="AQ296" s="1100">
        <f>'ANSP Capex'!AO292</f>
        <v>0</v>
      </c>
      <c r="AS296" s="153">
        <f t="shared" si="27"/>
        <v>0</v>
      </c>
      <c r="AT296" s="153">
        <f t="shared" si="28"/>
        <v>0</v>
      </c>
      <c r="AU296" s="153">
        <f t="shared" si="29"/>
        <v>0</v>
      </c>
      <c r="AV296" s="153">
        <f t="shared" si="30"/>
        <v>1</v>
      </c>
      <c r="AW296" s="153">
        <f t="shared" si="31"/>
        <v>0</v>
      </c>
      <c r="AX296" s="153"/>
      <c r="AY296" s="1543">
        <f>'ANSP Capex'!AW292</f>
        <v>0.75</v>
      </c>
      <c r="AZ296" s="1102"/>
      <c r="BA296" s="1543">
        <f>'ANSP Capex'!AY292</f>
        <v>0.25</v>
      </c>
      <c r="BC296" s="1126"/>
      <c r="BD296" s="1126"/>
      <c r="BE296" s="1126"/>
      <c r="BF296" s="1126"/>
      <c r="BG296" s="1126"/>
      <c r="BH296" s="1126">
        <f>'ANSP Capex'!BF292*IF($I296="",(1+INDEX($I$41:$I$42,MATCH($F296,$F$41:$F$42,0))),(1+$I296))</f>
        <v>0</v>
      </c>
      <c r="BI296" s="1126">
        <f>'ANSP Capex'!BG292*IF($I296="",(1+INDEX($I$41:$I$42,MATCH($F296,$F$41:$F$42,0))),(1+$I296))</f>
        <v>0</v>
      </c>
      <c r="BJ296" s="1126">
        <f>'ANSP Capex'!BH292*IF($I296="",(1+INDEX($I$41:$I$42,MATCH($F296,$F$41:$F$42,0))),(1+$I296))</f>
        <v>0</v>
      </c>
      <c r="BK296" s="1126">
        <f>'ANSP Capex'!BI292*IF($I296="",(1+INDEX($I$41:$I$42,MATCH($F296,$F$41:$F$42,0))),(1+$I296))</f>
        <v>240</v>
      </c>
      <c r="BL296" s="1126">
        <f>'ANSP Capex'!BJ292*IF($I296="",(1+INDEX($I$41:$I$42,MATCH($F296,$F$41:$F$42,0))),(1+$I296))</f>
        <v>0</v>
      </c>
    </row>
    <row r="297" spans="3:64" outlineLevel="1">
      <c r="C297" s="1083" t="str">
        <f>'ANSP Capex'!C293</f>
        <v>Generator Replacement Programmes</v>
      </c>
      <c r="D297" s="1083" t="str">
        <f>'ANSP Capex'!D293</f>
        <v>Generator Replacement Programmes</v>
      </c>
      <c r="E297" s="1083" t="str">
        <f>'ANSP Capex'!E293</f>
        <v>RP3-SURV-3</v>
      </c>
      <c r="F297" s="1083" t="str">
        <f>'ANSP Capex'!F293</f>
        <v>2021-2024</v>
      </c>
      <c r="G297" s="1101">
        <f t="shared" si="24"/>
        <v>0</v>
      </c>
      <c r="H297" s="1083" t="str">
        <f>'ANSP Capex'!H293</f>
        <v>€'000</v>
      </c>
      <c r="I297" s="829"/>
      <c r="J297" s="1097">
        <f>'ANSP Capex'!I293</f>
        <v>0</v>
      </c>
      <c r="K297" s="1124">
        <v>0</v>
      </c>
      <c r="L297" s="1098">
        <f t="shared" si="25"/>
        <v>0</v>
      </c>
      <c r="M297" s="153">
        <f t="shared" si="26"/>
        <v>0</v>
      </c>
      <c r="N297" s="1099"/>
      <c r="O297" s="1100">
        <f>'ANSP Capex'!M293</f>
        <v>0</v>
      </c>
      <c r="P297" s="1101">
        <f>IF($BH297=0,0,IF(SUM($O297:O297)&lt;($L297-12),12,$L297-SUM($O297:O297)))</f>
        <v>0</v>
      </c>
      <c r="Q297" s="1101">
        <f>IF($BH297=0,0,IF(SUM($O297:P297)&lt;($L297-12),12,$L297-SUM($O297:P297)))</f>
        <v>0</v>
      </c>
      <c r="R297" s="1101">
        <f>IF($BH297=0,0,IF(SUM($O297:Q297)&lt;($L297-12),12,$L297-SUM($O297:Q297)))</f>
        <v>0</v>
      </c>
      <c r="S297" s="1101">
        <f>IF($BH297=0,0,IF(SUM($O297:R297)&lt;($L297-12),12,$L297-SUM($O297:R297)))</f>
        <v>0</v>
      </c>
      <c r="U297" s="1100"/>
      <c r="V297" s="1100">
        <f>'ANSP Capex'!T293</f>
        <v>0</v>
      </c>
      <c r="W297" s="1101">
        <f>IF($BI297=0,0,IF(SUM($U297:V297)&lt;($L297-12),12,$L297-SUM($U297:V297)))</f>
        <v>0</v>
      </c>
      <c r="X297" s="1101">
        <f>IF($BI297=0,0,IF(SUM($U297:W297)&lt;($L297-12),12,$L297-SUM($U297:W297)))</f>
        <v>0</v>
      </c>
      <c r="Y297" s="1101">
        <f>IF($BI297=0,0,IF(SUM($U297:X297)&lt;($L297-12),12,$L297-SUM($U297:X297)))</f>
        <v>0</v>
      </c>
      <c r="AA297" s="1100"/>
      <c r="AB297" s="1100"/>
      <c r="AC297" s="1100">
        <f>'ANSP Capex'!AA293</f>
        <v>0</v>
      </c>
      <c r="AD297" s="1101">
        <f>IF($BJ297=0,0,IF(SUM($AA297:AC297)&lt;($L297-12),12,$L297-SUM($AA297:AC297)))</f>
        <v>0</v>
      </c>
      <c r="AE297" s="1101">
        <f>IF($BJ297=0,0,IF(SUM($AA297:AD297)&lt;($L297-12),12,$L297-SUM($AA297:AD297)))</f>
        <v>0</v>
      </c>
      <c r="AG297" s="1100"/>
      <c r="AH297" s="1100"/>
      <c r="AI297" s="1100"/>
      <c r="AJ297" s="1100">
        <f>'ANSP Capex'!AH293</f>
        <v>0</v>
      </c>
      <c r="AK297" s="1101">
        <f>IF($BK297=0,0,IF(SUM($AG297:AJ297)&lt;($L297-12),12,$L297-SUM($AG297:AJ297)))</f>
        <v>0</v>
      </c>
      <c r="AM297" s="1100"/>
      <c r="AN297" s="1100"/>
      <c r="AO297" s="1100"/>
      <c r="AP297" s="1100"/>
      <c r="AQ297" s="1100">
        <f>'ANSP Capex'!AO293</f>
        <v>0</v>
      </c>
      <c r="AS297" s="153">
        <f t="shared" si="27"/>
        <v>0</v>
      </c>
      <c r="AT297" s="153">
        <f t="shared" si="28"/>
        <v>0</v>
      </c>
      <c r="AU297" s="153">
        <f t="shared" si="29"/>
        <v>0</v>
      </c>
      <c r="AV297" s="153">
        <f t="shared" si="30"/>
        <v>0</v>
      </c>
      <c r="AW297" s="153">
        <f t="shared" si="31"/>
        <v>0</v>
      </c>
      <c r="AX297" s="153"/>
      <c r="AY297" s="1543">
        <f>'ANSP Capex'!AW293</f>
        <v>0</v>
      </c>
      <c r="AZ297" s="1102"/>
      <c r="BA297" s="1543">
        <f>'ANSP Capex'!AY293</f>
        <v>0</v>
      </c>
      <c r="BC297" s="1126"/>
      <c r="BD297" s="1126"/>
      <c r="BE297" s="1126"/>
      <c r="BF297" s="1126"/>
      <c r="BG297" s="1126"/>
      <c r="BH297" s="1126">
        <f>'ANSP Capex'!BF293*IF($I297="",(1+INDEX($I$41:$I$42,MATCH($F297,$F$41:$F$42,0))),(1+$I297))</f>
        <v>0</v>
      </c>
      <c r="BI297" s="1126">
        <f>'ANSP Capex'!BG293*IF($I297="",(1+INDEX($I$41:$I$42,MATCH($F297,$F$41:$F$42,0))),(1+$I297))</f>
        <v>0</v>
      </c>
      <c r="BJ297" s="1126">
        <f>'ANSP Capex'!BH293*IF($I297="",(1+INDEX($I$41:$I$42,MATCH($F297,$F$41:$F$42,0))),(1+$I297))</f>
        <v>0</v>
      </c>
      <c r="BK297" s="1126">
        <f>'ANSP Capex'!BI293*IF($I297="",(1+INDEX($I$41:$I$42,MATCH($F297,$F$41:$F$42,0))),(1+$I297))</f>
        <v>0</v>
      </c>
      <c r="BL297" s="1126">
        <f>'ANSP Capex'!BJ293*IF($I297="",(1+INDEX($I$41:$I$42,MATCH($F297,$F$41:$F$42,0))),(1+$I297))</f>
        <v>0</v>
      </c>
    </row>
    <row r="298" spans="3:64" outlineLevel="1">
      <c r="C298" s="1083" t="str">
        <f>'ANSP Capex'!C294</f>
        <v>Generator Replacements Shannon Remote Sites</v>
      </c>
      <c r="D298" s="1083" t="str">
        <f>'ANSP Capex'!D294</f>
        <v>Generator Replacement Programmes</v>
      </c>
      <c r="E298" s="1083" t="str">
        <f>'ANSP Capex'!E294</f>
        <v>RP3-SURV-3</v>
      </c>
      <c r="F298" s="1083" t="str">
        <f>'ANSP Capex'!F294</f>
        <v>2021-2024</v>
      </c>
      <c r="G298" s="1101">
        <f t="shared" si="24"/>
        <v>240</v>
      </c>
      <c r="H298" s="1083" t="str">
        <f>'ANSP Capex'!H294</f>
        <v>€'000</v>
      </c>
      <c r="I298" s="829"/>
      <c r="J298" s="1097">
        <f>'ANSP Capex'!I294</f>
        <v>8</v>
      </c>
      <c r="K298" s="1124">
        <v>0</v>
      </c>
      <c r="L298" s="1098">
        <f t="shared" si="25"/>
        <v>96</v>
      </c>
      <c r="M298" s="153">
        <f t="shared" si="26"/>
        <v>0.125</v>
      </c>
      <c r="N298" s="1099"/>
      <c r="O298" s="1100">
        <f>'ANSP Capex'!M294</f>
        <v>0</v>
      </c>
      <c r="P298" s="1101">
        <f>IF($BH298=0,0,IF(SUM($O298:O298)&lt;($L298-12),12,$L298-SUM($O298:O298)))</f>
        <v>0</v>
      </c>
      <c r="Q298" s="1101">
        <f>IF($BH298=0,0,IF(SUM($O298:P298)&lt;($L298-12),12,$L298-SUM($O298:P298)))</f>
        <v>0</v>
      </c>
      <c r="R298" s="1101">
        <f>IF($BH298=0,0,IF(SUM($O298:Q298)&lt;($L298-12),12,$L298-SUM($O298:Q298)))</f>
        <v>0</v>
      </c>
      <c r="S298" s="1101">
        <f>IF($BH298=0,0,IF(SUM($O298:R298)&lt;($L298-12),12,$L298-SUM($O298:R298)))</f>
        <v>0</v>
      </c>
      <c r="U298" s="1100"/>
      <c r="V298" s="1100">
        <f>'ANSP Capex'!T294</f>
        <v>0</v>
      </c>
      <c r="W298" s="1101">
        <f>IF($BI298=0,0,IF(SUM($U298:V298)&lt;($L298-12),12,$L298-SUM($U298:V298)))</f>
        <v>0</v>
      </c>
      <c r="X298" s="1101">
        <f>IF($BI298=0,0,IF(SUM($U298:W298)&lt;($L298-12),12,$L298-SUM($U298:W298)))</f>
        <v>0</v>
      </c>
      <c r="Y298" s="1101">
        <f>IF($BI298=0,0,IF(SUM($U298:X298)&lt;($L298-12),12,$L298-SUM($U298:X298)))</f>
        <v>0</v>
      </c>
      <c r="AA298" s="1100"/>
      <c r="AB298" s="1100"/>
      <c r="AC298" s="1100">
        <f>'ANSP Capex'!AA294</f>
        <v>3</v>
      </c>
      <c r="AD298" s="1101">
        <f>IF($BJ298=0,0,IF(SUM($AA298:AC298)&lt;($L298-12),12,$L298-SUM($AA298:AC298)))</f>
        <v>12</v>
      </c>
      <c r="AE298" s="1101">
        <f>IF($BJ298=0,0,IF(SUM($AA298:AD298)&lt;($L298-12),12,$L298-SUM($AA298:AD298)))</f>
        <v>12</v>
      </c>
      <c r="AG298" s="1100"/>
      <c r="AH298" s="1100"/>
      <c r="AI298" s="1100"/>
      <c r="AJ298" s="1100">
        <f>'ANSP Capex'!AH294</f>
        <v>3</v>
      </c>
      <c r="AK298" s="1101">
        <f>IF($BK298=0,0,IF(SUM($AG298:AJ298)&lt;($L298-12),12,$L298-SUM($AG298:AJ298)))</f>
        <v>12</v>
      </c>
      <c r="AM298" s="1100"/>
      <c r="AN298" s="1100"/>
      <c r="AO298" s="1100"/>
      <c r="AP298" s="1100"/>
      <c r="AQ298" s="1100">
        <f>'ANSP Capex'!AO294</f>
        <v>0</v>
      </c>
      <c r="AS298" s="153">
        <f t="shared" si="27"/>
        <v>0</v>
      </c>
      <c r="AT298" s="153">
        <f t="shared" si="28"/>
        <v>0</v>
      </c>
      <c r="AU298" s="153">
        <f t="shared" si="29"/>
        <v>0.25</v>
      </c>
      <c r="AV298" s="153">
        <f t="shared" si="30"/>
        <v>0.25</v>
      </c>
      <c r="AW298" s="153">
        <f t="shared" si="31"/>
        <v>0</v>
      </c>
      <c r="AX298" s="153"/>
      <c r="AY298" s="1543">
        <f>'ANSP Capex'!AW294</f>
        <v>0.75</v>
      </c>
      <c r="AZ298" s="1102"/>
      <c r="BA298" s="1543">
        <f>'ANSP Capex'!AY294</f>
        <v>0.25</v>
      </c>
      <c r="BC298" s="1126"/>
      <c r="BD298" s="1126"/>
      <c r="BE298" s="1126"/>
      <c r="BF298" s="1126"/>
      <c r="BG298" s="1126"/>
      <c r="BH298" s="1126">
        <f>'ANSP Capex'!BF294*IF($I298="",(1+INDEX($I$41:$I$42,MATCH($F298,$F$41:$F$42,0))),(1+$I298))</f>
        <v>0</v>
      </c>
      <c r="BI298" s="1126">
        <f>'ANSP Capex'!BG294*IF($I298="",(1+INDEX($I$41:$I$42,MATCH($F298,$F$41:$F$42,0))),(1+$I298))</f>
        <v>0</v>
      </c>
      <c r="BJ298" s="1126">
        <f>'ANSP Capex'!BH294*IF($I298="",(1+INDEX($I$41:$I$42,MATCH($F298,$F$41:$F$42,0))),(1+$I298))</f>
        <v>120</v>
      </c>
      <c r="BK298" s="1126">
        <f>'ANSP Capex'!BI294*IF($I298="",(1+INDEX($I$41:$I$42,MATCH($F298,$F$41:$F$42,0))),(1+$I298))</f>
        <v>120</v>
      </c>
      <c r="BL298" s="1126">
        <f>'ANSP Capex'!BJ294*IF($I298="",(1+INDEX($I$41:$I$42,MATCH($F298,$F$41:$F$42,0))),(1+$I298))</f>
        <v>0</v>
      </c>
    </row>
    <row r="299" spans="3:64" outlineLevel="1">
      <c r="C299" s="1083" t="str">
        <f>'ANSP Capex'!C295</f>
        <v>Software Licencing</v>
      </c>
      <c r="D299" s="1083" t="str">
        <f>'ANSP Capex'!D295</f>
        <v>Software Licencing</v>
      </c>
      <c r="E299" s="1083" t="str">
        <f>'ANSP Capex'!E295</f>
        <v>V005</v>
      </c>
      <c r="F299" s="1083" t="str">
        <f>'ANSP Capex'!F295</f>
        <v>2021-2024</v>
      </c>
      <c r="G299" s="1101">
        <f t="shared" si="24"/>
        <v>0</v>
      </c>
      <c r="H299" s="1083" t="str">
        <f>'ANSP Capex'!H295</f>
        <v>€'000</v>
      </c>
      <c r="I299" s="829"/>
      <c r="J299" s="1097">
        <f>'ANSP Capex'!I295</f>
        <v>0</v>
      </c>
      <c r="K299" s="1124">
        <v>0</v>
      </c>
      <c r="L299" s="1098">
        <f t="shared" si="25"/>
        <v>0</v>
      </c>
      <c r="M299" s="153">
        <f t="shared" si="26"/>
        <v>0</v>
      </c>
      <c r="N299" s="1099"/>
      <c r="O299" s="1100">
        <f>'ANSP Capex'!M295</f>
        <v>0</v>
      </c>
      <c r="P299" s="1101">
        <f>IF($BH299=0,0,IF(SUM($O299:O299)&lt;($L299-12),12,$L299-SUM($O299:O299)))</f>
        <v>0</v>
      </c>
      <c r="Q299" s="1101">
        <f>IF($BH299=0,0,IF(SUM($O299:P299)&lt;($L299-12),12,$L299-SUM($O299:P299)))</f>
        <v>0</v>
      </c>
      <c r="R299" s="1101">
        <f>IF($BH299=0,0,IF(SUM($O299:Q299)&lt;($L299-12),12,$L299-SUM($O299:Q299)))</f>
        <v>0</v>
      </c>
      <c r="S299" s="1101">
        <f>IF($BH299=0,0,IF(SUM($O299:R299)&lt;($L299-12),12,$L299-SUM($O299:R299)))</f>
        <v>0</v>
      </c>
      <c r="U299" s="1100"/>
      <c r="V299" s="1100">
        <f>'ANSP Capex'!T295</f>
        <v>0</v>
      </c>
      <c r="W299" s="1101">
        <f>IF($BI299=0,0,IF(SUM($U299:V299)&lt;($L299-12),12,$L299-SUM($U299:V299)))</f>
        <v>0</v>
      </c>
      <c r="X299" s="1101">
        <f>IF($BI299=0,0,IF(SUM($U299:W299)&lt;($L299-12),12,$L299-SUM($U299:W299)))</f>
        <v>0</v>
      </c>
      <c r="Y299" s="1101">
        <f>IF($BI299=0,0,IF(SUM($U299:X299)&lt;($L299-12),12,$L299-SUM($U299:X299)))</f>
        <v>0</v>
      </c>
      <c r="AA299" s="1100"/>
      <c r="AB299" s="1100"/>
      <c r="AC299" s="1100">
        <f>'ANSP Capex'!AA295</f>
        <v>0</v>
      </c>
      <c r="AD299" s="1101">
        <f>IF($BJ299=0,0,IF(SUM($AA299:AC299)&lt;($L299-12),12,$L299-SUM($AA299:AC299)))</f>
        <v>0</v>
      </c>
      <c r="AE299" s="1101">
        <f>IF($BJ299=0,0,IF(SUM($AA299:AD299)&lt;($L299-12),12,$L299-SUM($AA299:AD299)))</f>
        <v>0</v>
      </c>
      <c r="AG299" s="1100"/>
      <c r="AH299" s="1100"/>
      <c r="AI299" s="1100"/>
      <c r="AJ299" s="1100">
        <f>'ANSP Capex'!AH295</f>
        <v>0</v>
      </c>
      <c r="AK299" s="1101">
        <f>IF($BK299=0,0,IF(SUM($AG299:AJ299)&lt;($L299-12),12,$L299-SUM($AG299:AJ299)))</f>
        <v>0</v>
      </c>
      <c r="AM299" s="1100"/>
      <c r="AN299" s="1100"/>
      <c r="AO299" s="1100"/>
      <c r="AP299" s="1100"/>
      <c r="AQ299" s="1100">
        <f>'ANSP Capex'!AO295</f>
        <v>0</v>
      </c>
      <c r="AS299" s="153">
        <f t="shared" si="27"/>
        <v>0</v>
      </c>
      <c r="AT299" s="153">
        <f t="shared" si="28"/>
        <v>0</v>
      </c>
      <c r="AU299" s="153">
        <f t="shared" si="29"/>
        <v>0</v>
      </c>
      <c r="AV299" s="153">
        <f t="shared" si="30"/>
        <v>0</v>
      </c>
      <c r="AW299" s="153">
        <f t="shared" si="31"/>
        <v>0</v>
      </c>
      <c r="AX299" s="153"/>
      <c r="AY299" s="1543">
        <f>'ANSP Capex'!AW295</f>
        <v>0</v>
      </c>
      <c r="AZ299" s="1102"/>
      <c r="BA299" s="1543">
        <f>'ANSP Capex'!AY295</f>
        <v>0</v>
      </c>
      <c r="BC299" s="1126"/>
      <c r="BD299" s="1126"/>
      <c r="BE299" s="1126"/>
      <c r="BF299" s="1126"/>
      <c r="BG299" s="1126"/>
      <c r="BH299" s="1126">
        <f>'ANSP Capex'!BF295*IF($I299="",(1+INDEX($I$41:$I$42,MATCH($F299,$F$41:$F$42,0))),(1+$I299))</f>
        <v>0</v>
      </c>
      <c r="BI299" s="1126">
        <f>'ANSP Capex'!BG295*IF($I299="",(1+INDEX($I$41:$I$42,MATCH($F299,$F$41:$F$42,0))),(1+$I299))</f>
        <v>0</v>
      </c>
      <c r="BJ299" s="1126">
        <f>'ANSP Capex'!BH295*IF($I299="",(1+INDEX($I$41:$I$42,MATCH($F299,$F$41:$F$42,0))),(1+$I299))</f>
        <v>0</v>
      </c>
      <c r="BK299" s="1126">
        <f>'ANSP Capex'!BI295*IF($I299="",(1+INDEX($I$41:$I$42,MATCH($F299,$F$41:$F$42,0))),(1+$I299))</f>
        <v>0</v>
      </c>
      <c r="BL299" s="1126">
        <f>'ANSP Capex'!BJ295*IF($I299="",(1+INDEX($I$41:$I$42,MATCH($F299,$F$41:$F$42,0))),(1+$I299))</f>
        <v>0</v>
      </c>
    </row>
    <row r="300" spans="3:64" outlineLevel="1">
      <c r="C300" s="1083" t="str">
        <f>'ANSP Capex'!C296</f>
        <v>Software Licencing HQ</v>
      </c>
      <c r="D300" s="1083" t="str">
        <f>'ANSP Capex'!D296</f>
        <v>Software Licencing</v>
      </c>
      <c r="E300" s="1083" t="str">
        <f>'ANSP Capex'!E296</f>
        <v>V005A</v>
      </c>
      <c r="F300" s="1083" t="str">
        <f>'ANSP Capex'!F296</f>
        <v>2021-2024</v>
      </c>
      <c r="G300" s="1101">
        <f t="shared" si="24"/>
        <v>120</v>
      </c>
      <c r="H300" s="1083" t="str">
        <f>'ANSP Capex'!H296</f>
        <v>€'000</v>
      </c>
      <c r="I300" s="829"/>
      <c r="J300" s="1097">
        <f>'ANSP Capex'!I296</f>
        <v>3</v>
      </c>
      <c r="K300" s="1124">
        <v>0</v>
      </c>
      <c r="L300" s="1098">
        <f t="shared" si="25"/>
        <v>36</v>
      </c>
      <c r="M300" s="153">
        <f t="shared" si="26"/>
        <v>0.33333333333333331</v>
      </c>
      <c r="N300" s="1099"/>
      <c r="O300" s="1100">
        <f>'ANSP Capex'!M296</f>
        <v>0</v>
      </c>
      <c r="P300" s="1101">
        <f>IF($BH300=0,0,IF(SUM($O300:O300)&lt;($L300-12),12,$L300-SUM($O300:O300)))</f>
        <v>0</v>
      </c>
      <c r="Q300" s="1101">
        <f>IF($BH300=0,0,IF(SUM($O300:P300)&lt;($L300-12),12,$L300-SUM($O300:P300)))</f>
        <v>0</v>
      </c>
      <c r="R300" s="1101">
        <f>IF($BH300=0,0,IF(SUM($O300:Q300)&lt;($L300-12),12,$L300-SUM($O300:Q300)))</f>
        <v>0</v>
      </c>
      <c r="S300" s="1101">
        <f>IF($BH300=0,0,IF(SUM($O300:R300)&lt;($L300-12),12,$L300-SUM($O300:R300)))</f>
        <v>0</v>
      </c>
      <c r="U300" s="1100"/>
      <c r="V300" s="1100">
        <f>'ANSP Capex'!T296</f>
        <v>6</v>
      </c>
      <c r="W300" s="1101">
        <f>IF($BI300=0,0,IF(SUM($U300:V300)&lt;($L300-12),12,$L300-SUM($U300:V300)))</f>
        <v>12</v>
      </c>
      <c r="X300" s="1101">
        <f>IF($BI300=0,0,IF(SUM($U300:W300)&lt;($L300-12),12,$L300-SUM($U300:W300)))</f>
        <v>12</v>
      </c>
      <c r="Y300" s="1101">
        <f>IF($BI300=0,0,IF(SUM($U300:X300)&lt;($L300-12),12,$L300-SUM($U300:X300)))</f>
        <v>6</v>
      </c>
      <c r="AA300" s="1100"/>
      <c r="AB300" s="1100"/>
      <c r="AC300" s="1100">
        <f>'ANSP Capex'!AA296</f>
        <v>9</v>
      </c>
      <c r="AD300" s="1101">
        <f>IF($BJ300=0,0,IF(SUM($AA300:AC300)&lt;($L300-12),12,$L300-SUM($AA300:AC300)))</f>
        <v>12</v>
      </c>
      <c r="AE300" s="1101">
        <f>IF($BJ300=0,0,IF(SUM($AA300:AD300)&lt;($L300-12),12,$L300-SUM($AA300:AD300)))</f>
        <v>12</v>
      </c>
      <c r="AG300" s="1100"/>
      <c r="AH300" s="1100"/>
      <c r="AI300" s="1100"/>
      <c r="AJ300" s="1100">
        <f>'ANSP Capex'!AH296</f>
        <v>0</v>
      </c>
      <c r="AK300" s="1101">
        <f>IF($BK300=0,0,IF(SUM($AG300:AJ300)&lt;($L300-12),12,$L300-SUM($AG300:AJ300)))</f>
        <v>0</v>
      </c>
      <c r="AM300" s="1100"/>
      <c r="AN300" s="1100"/>
      <c r="AO300" s="1100"/>
      <c r="AP300" s="1100"/>
      <c r="AQ300" s="1100">
        <f>'ANSP Capex'!AO296</f>
        <v>0</v>
      </c>
      <c r="AS300" s="153">
        <f t="shared" si="27"/>
        <v>0</v>
      </c>
      <c r="AT300" s="153">
        <f t="shared" si="28"/>
        <v>0.5</v>
      </c>
      <c r="AU300" s="153">
        <f t="shared" si="29"/>
        <v>0.75</v>
      </c>
      <c r="AV300" s="153">
        <f t="shared" si="30"/>
        <v>0</v>
      </c>
      <c r="AW300" s="153">
        <f t="shared" si="31"/>
        <v>0</v>
      </c>
      <c r="AX300" s="153"/>
      <c r="AY300" s="1543">
        <f>'ANSP Capex'!AW296</f>
        <v>0.73</v>
      </c>
      <c r="AZ300" s="1102"/>
      <c r="BA300" s="1543">
        <f>'ANSP Capex'!AY296</f>
        <v>0.15</v>
      </c>
      <c r="BC300" s="1126"/>
      <c r="BD300" s="1126"/>
      <c r="BE300" s="1126"/>
      <c r="BF300" s="1126"/>
      <c r="BG300" s="1126"/>
      <c r="BH300" s="1126">
        <f>'ANSP Capex'!BF296*IF($I300="",(1+INDEX($I$41:$I$42,MATCH($F300,$F$41:$F$42,0))),(1+$I300))</f>
        <v>0</v>
      </c>
      <c r="BI300" s="1126">
        <f>'ANSP Capex'!BG296*IF($I300="",(1+INDEX($I$41:$I$42,MATCH($F300,$F$41:$F$42,0))),(1+$I300))</f>
        <v>60</v>
      </c>
      <c r="BJ300" s="1126">
        <f>'ANSP Capex'!BH296*IF($I300="",(1+INDEX($I$41:$I$42,MATCH($F300,$F$41:$F$42,0))),(1+$I300))</f>
        <v>60</v>
      </c>
      <c r="BK300" s="1126">
        <f>'ANSP Capex'!BI296*IF($I300="",(1+INDEX($I$41:$I$42,MATCH($F300,$F$41:$F$42,0))),(1+$I300))</f>
        <v>0</v>
      </c>
      <c r="BL300" s="1126">
        <f>'ANSP Capex'!BJ296*IF($I300="",(1+INDEX($I$41:$I$42,MATCH($F300,$F$41:$F$42,0))),(1+$I300))</f>
        <v>0</v>
      </c>
    </row>
    <row r="301" spans="3:64" outlineLevel="1">
      <c r="C301" s="1083" t="str">
        <f>'ANSP Capex'!C297</f>
        <v>Software Licencing SHN</v>
      </c>
      <c r="D301" s="1083" t="str">
        <f>'ANSP Capex'!D297</f>
        <v>Software Licencing</v>
      </c>
      <c r="E301" s="1083" t="str">
        <f>'ANSP Capex'!E297</f>
        <v>V005A</v>
      </c>
      <c r="F301" s="1083" t="str">
        <f>'ANSP Capex'!F297</f>
        <v>2021-2024</v>
      </c>
      <c r="G301" s="1101">
        <f t="shared" si="24"/>
        <v>120</v>
      </c>
      <c r="H301" s="1083" t="str">
        <f>'ANSP Capex'!H297</f>
        <v>€'000</v>
      </c>
      <c r="I301" s="829"/>
      <c r="J301" s="1097">
        <f>'ANSP Capex'!I297</f>
        <v>3</v>
      </c>
      <c r="K301" s="1124">
        <v>0</v>
      </c>
      <c r="L301" s="1098">
        <f t="shared" si="25"/>
        <v>36</v>
      </c>
      <c r="M301" s="153">
        <f t="shared" si="26"/>
        <v>0.33333333333333331</v>
      </c>
      <c r="N301" s="1099"/>
      <c r="O301" s="1100">
        <f>'ANSP Capex'!M297</f>
        <v>0</v>
      </c>
      <c r="P301" s="1101">
        <f>IF($BH301=0,0,IF(SUM($O301:O301)&lt;($L301-12),12,$L301-SUM($O301:O301)))</f>
        <v>0</v>
      </c>
      <c r="Q301" s="1101">
        <f>IF($BH301=0,0,IF(SUM($O301:P301)&lt;($L301-12),12,$L301-SUM($O301:P301)))</f>
        <v>0</v>
      </c>
      <c r="R301" s="1101">
        <f>IF($BH301=0,0,IF(SUM($O301:Q301)&lt;($L301-12),12,$L301-SUM($O301:Q301)))</f>
        <v>0</v>
      </c>
      <c r="S301" s="1101">
        <f>IF($BH301=0,0,IF(SUM($O301:R301)&lt;($L301-12),12,$L301-SUM($O301:R301)))</f>
        <v>0</v>
      </c>
      <c r="U301" s="1100"/>
      <c r="V301" s="1100">
        <f>'ANSP Capex'!T297</f>
        <v>6</v>
      </c>
      <c r="W301" s="1101">
        <f>IF($BI301=0,0,IF(SUM($U301:V301)&lt;($L301-12),12,$L301-SUM($U301:V301)))</f>
        <v>12</v>
      </c>
      <c r="X301" s="1101">
        <f>IF($BI301=0,0,IF(SUM($U301:W301)&lt;($L301-12),12,$L301-SUM($U301:W301)))</f>
        <v>12</v>
      </c>
      <c r="Y301" s="1101">
        <f>IF($BI301=0,0,IF(SUM($U301:X301)&lt;($L301-12),12,$L301-SUM($U301:X301)))</f>
        <v>6</v>
      </c>
      <c r="AA301" s="1100"/>
      <c r="AB301" s="1100"/>
      <c r="AC301" s="1100">
        <f>'ANSP Capex'!AA297</f>
        <v>9</v>
      </c>
      <c r="AD301" s="1101">
        <f>IF($BJ301=0,0,IF(SUM($AA301:AC301)&lt;($L301-12),12,$L301-SUM($AA301:AC301)))</f>
        <v>12</v>
      </c>
      <c r="AE301" s="1101">
        <f>IF($BJ301=0,0,IF(SUM($AA301:AD301)&lt;($L301-12),12,$L301-SUM($AA301:AD301)))</f>
        <v>12</v>
      </c>
      <c r="AG301" s="1100"/>
      <c r="AH301" s="1100"/>
      <c r="AI301" s="1100"/>
      <c r="AJ301" s="1100">
        <f>'ANSP Capex'!AH297</f>
        <v>0</v>
      </c>
      <c r="AK301" s="1101">
        <f>IF($BK301=0,0,IF(SUM($AG301:AJ301)&lt;($L301-12),12,$L301-SUM($AG301:AJ301)))</f>
        <v>0</v>
      </c>
      <c r="AM301" s="1100"/>
      <c r="AN301" s="1100"/>
      <c r="AO301" s="1100"/>
      <c r="AP301" s="1100"/>
      <c r="AQ301" s="1100">
        <f>'ANSP Capex'!AO297</f>
        <v>0</v>
      </c>
      <c r="AS301" s="153">
        <f t="shared" si="27"/>
        <v>0</v>
      </c>
      <c r="AT301" s="153">
        <f t="shared" si="28"/>
        <v>0.5</v>
      </c>
      <c r="AU301" s="153">
        <f t="shared" si="29"/>
        <v>0.75</v>
      </c>
      <c r="AV301" s="153">
        <f t="shared" si="30"/>
        <v>0</v>
      </c>
      <c r="AW301" s="153">
        <f t="shared" si="31"/>
        <v>0</v>
      </c>
      <c r="AX301" s="153"/>
      <c r="AY301" s="1543">
        <f>'ANSP Capex'!AW297</f>
        <v>0.75</v>
      </c>
      <c r="AZ301" s="1102"/>
      <c r="BA301" s="1543">
        <f>'ANSP Capex'!AY297</f>
        <v>0.25</v>
      </c>
      <c r="BC301" s="1126"/>
      <c r="BD301" s="1126"/>
      <c r="BE301" s="1126"/>
      <c r="BF301" s="1126"/>
      <c r="BG301" s="1126"/>
      <c r="BH301" s="1126">
        <f>'ANSP Capex'!BF297*IF($I301="",(1+INDEX($I$41:$I$42,MATCH($F301,$F$41:$F$42,0))),(1+$I301))</f>
        <v>0</v>
      </c>
      <c r="BI301" s="1126">
        <f>'ANSP Capex'!BG297*IF($I301="",(1+INDEX($I$41:$I$42,MATCH($F301,$F$41:$F$42,0))),(1+$I301))</f>
        <v>60</v>
      </c>
      <c r="BJ301" s="1126">
        <f>'ANSP Capex'!BH297*IF($I301="",(1+INDEX($I$41:$I$42,MATCH($F301,$F$41:$F$42,0))),(1+$I301))</f>
        <v>60</v>
      </c>
      <c r="BK301" s="1126">
        <f>'ANSP Capex'!BI297*IF($I301="",(1+INDEX($I$41:$I$42,MATCH($F301,$F$41:$F$42,0))),(1+$I301))</f>
        <v>0</v>
      </c>
      <c r="BL301" s="1126">
        <f>'ANSP Capex'!BJ297*IF($I301="",(1+INDEX($I$41:$I$42,MATCH($F301,$F$41:$F$42,0))),(1+$I301))</f>
        <v>0</v>
      </c>
    </row>
    <row r="302" spans="3:64" outlineLevel="1">
      <c r="C302" s="1083" t="str">
        <f>'ANSP Capex'!C298</f>
        <v>PC / Laptop Replacements</v>
      </c>
      <c r="D302" s="1083" t="str">
        <f>'ANSP Capex'!D298</f>
        <v>PC / Laptops</v>
      </c>
      <c r="E302" s="1083" t="str">
        <f>'ANSP Capex'!E298</f>
        <v>T017</v>
      </c>
      <c r="F302" s="1083" t="str">
        <f>'ANSP Capex'!F298</f>
        <v>2021-2024</v>
      </c>
      <c r="G302" s="1101">
        <f t="shared" si="24"/>
        <v>0</v>
      </c>
      <c r="H302" s="1083" t="str">
        <f>'ANSP Capex'!H298</f>
        <v>€'000</v>
      </c>
      <c r="I302" s="829"/>
      <c r="J302" s="1097">
        <f>'ANSP Capex'!I298</f>
        <v>0</v>
      </c>
      <c r="K302" s="1124">
        <v>0</v>
      </c>
      <c r="L302" s="1098">
        <f t="shared" si="25"/>
        <v>0</v>
      </c>
      <c r="M302" s="153">
        <f t="shared" si="26"/>
        <v>0</v>
      </c>
      <c r="N302" s="1099"/>
      <c r="O302" s="1100">
        <f>'ANSP Capex'!M298</f>
        <v>0</v>
      </c>
      <c r="P302" s="1101">
        <f>IF($BH302=0,0,IF(SUM($O302:O302)&lt;($L302-12),12,$L302-SUM($O302:O302)))</f>
        <v>0</v>
      </c>
      <c r="Q302" s="1101">
        <f>IF($BH302=0,0,IF(SUM($O302:P302)&lt;($L302-12),12,$L302-SUM($O302:P302)))</f>
        <v>0</v>
      </c>
      <c r="R302" s="1101">
        <f>IF($BH302=0,0,IF(SUM($O302:Q302)&lt;($L302-12),12,$L302-SUM($O302:Q302)))</f>
        <v>0</v>
      </c>
      <c r="S302" s="1101">
        <f>IF($BH302=0,0,IF(SUM($O302:R302)&lt;($L302-12),12,$L302-SUM($O302:R302)))</f>
        <v>0</v>
      </c>
      <c r="U302" s="1100"/>
      <c r="V302" s="1100">
        <f>'ANSP Capex'!T298</f>
        <v>0</v>
      </c>
      <c r="W302" s="1101">
        <f>IF($BI302=0,0,IF(SUM($U302:V302)&lt;($L302-12),12,$L302-SUM($U302:V302)))</f>
        <v>0</v>
      </c>
      <c r="X302" s="1101">
        <f>IF($BI302=0,0,IF(SUM($U302:W302)&lt;($L302-12),12,$L302-SUM($U302:W302)))</f>
        <v>0</v>
      </c>
      <c r="Y302" s="1101">
        <f>IF($BI302=0,0,IF(SUM($U302:X302)&lt;($L302-12),12,$L302-SUM($U302:X302)))</f>
        <v>0</v>
      </c>
      <c r="AA302" s="1100"/>
      <c r="AB302" s="1100"/>
      <c r="AC302" s="1100">
        <f>'ANSP Capex'!AA298</f>
        <v>0</v>
      </c>
      <c r="AD302" s="1101">
        <f>IF($BJ302=0,0,IF(SUM($AA302:AC302)&lt;($L302-12),12,$L302-SUM($AA302:AC302)))</f>
        <v>0</v>
      </c>
      <c r="AE302" s="1101">
        <f>IF($BJ302=0,0,IF(SUM($AA302:AD302)&lt;($L302-12),12,$L302-SUM($AA302:AD302)))</f>
        <v>0</v>
      </c>
      <c r="AG302" s="1100"/>
      <c r="AH302" s="1100"/>
      <c r="AI302" s="1100"/>
      <c r="AJ302" s="1100">
        <f>'ANSP Capex'!AH298</f>
        <v>0</v>
      </c>
      <c r="AK302" s="1101">
        <f>IF($BK302=0,0,IF(SUM($AG302:AJ302)&lt;($L302-12),12,$L302-SUM($AG302:AJ302)))</f>
        <v>0</v>
      </c>
      <c r="AM302" s="1100"/>
      <c r="AN302" s="1100"/>
      <c r="AO302" s="1100"/>
      <c r="AP302" s="1100"/>
      <c r="AQ302" s="1100">
        <f>'ANSP Capex'!AO298</f>
        <v>0</v>
      </c>
      <c r="AS302" s="153">
        <f t="shared" si="27"/>
        <v>0</v>
      </c>
      <c r="AT302" s="153">
        <f t="shared" si="28"/>
        <v>0</v>
      </c>
      <c r="AU302" s="153">
        <f t="shared" si="29"/>
        <v>0</v>
      </c>
      <c r="AV302" s="153">
        <f t="shared" si="30"/>
        <v>0</v>
      </c>
      <c r="AW302" s="153">
        <f t="shared" si="31"/>
        <v>0</v>
      </c>
      <c r="AX302" s="153"/>
      <c r="AY302" s="1543">
        <f>'ANSP Capex'!AW298</f>
        <v>0</v>
      </c>
      <c r="AZ302" s="1102"/>
      <c r="BA302" s="1543">
        <f>'ANSP Capex'!AY298</f>
        <v>0</v>
      </c>
      <c r="BC302" s="1126"/>
      <c r="BD302" s="1126"/>
      <c r="BE302" s="1126"/>
      <c r="BF302" s="1126"/>
      <c r="BG302" s="1126"/>
      <c r="BH302" s="1126">
        <f>'ANSP Capex'!BF298*IF($I302="",(1+INDEX($I$41:$I$42,MATCH($F302,$F$41:$F$42,0))),(1+$I302))</f>
        <v>0</v>
      </c>
      <c r="BI302" s="1126">
        <f>'ANSP Capex'!BG298*IF($I302="",(1+INDEX($I$41:$I$42,MATCH($F302,$F$41:$F$42,0))),(1+$I302))</f>
        <v>0</v>
      </c>
      <c r="BJ302" s="1126">
        <f>'ANSP Capex'!BH298*IF($I302="",(1+INDEX($I$41:$I$42,MATCH($F302,$F$41:$F$42,0))),(1+$I302))</f>
        <v>0</v>
      </c>
      <c r="BK302" s="1126">
        <f>'ANSP Capex'!BI298*IF($I302="",(1+INDEX($I$41:$I$42,MATCH($F302,$F$41:$F$42,0))),(1+$I302))</f>
        <v>0</v>
      </c>
      <c r="BL302" s="1126">
        <f>'ANSP Capex'!BJ298*IF($I302="",(1+INDEX($I$41:$I$42,MATCH($F302,$F$41:$F$42,0))),(1+$I302))</f>
        <v>0</v>
      </c>
    </row>
    <row r="303" spans="3:64" outlineLevel="1">
      <c r="C303" s="1083" t="str">
        <f>'ANSP Capex'!C299</f>
        <v>PC/Laptops HQ - OTHER</v>
      </c>
      <c r="D303" s="1083" t="str">
        <f>'ANSP Capex'!D299</f>
        <v>PC / Laptops</v>
      </c>
      <c r="E303" s="1083" t="str">
        <f>'ANSP Capex'!E299</f>
        <v>T017A</v>
      </c>
      <c r="F303" s="1083" t="str">
        <f>'ANSP Capex'!F299</f>
        <v>2021-2024</v>
      </c>
      <c r="G303" s="1101">
        <f t="shared" si="24"/>
        <v>11.7331679999999</v>
      </c>
      <c r="H303" s="1083" t="str">
        <f>'ANSP Capex'!H299</f>
        <v>€'000</v>
      </c>
      <c r="I303" s="829"/>
      <c r="J303" s="1097">
        <f>'ANSP Capex'!I299</f>
        <v>3</v>
      </c>
      <c r="K303" s="1124">
        <v>0</v>
      </c>
      <c r="L303" s="1098">
        <f t="shared" si="25"/>
        <v>36</v>
      </c>
      <c r="M303" s="153">
        <f t="shared" si="26"/>
        <v>0.33333333333333331</v>
      </c>
      <c r="N303" s="1099"/>
      <c r="O303" s="1100">
        <f>'ANSP Capex'!M299</f>
        <v>0</v>
      </c>
      <c r="P303" s="1101">
        <f>IF($BH303=0,0,IF(SUM($O303:O303)&lt;($L303-12),12,$L303-SUM($O303:O303)))</f>
        <v>0</v>
      </c>
      <c r="Q303" s="1101">
        <f>IF($BH303=0,0,IF(SUM($O303:P303)&lt;($L303-12),12,$L303-SUM($O303:P303)))</f>
        <v>0</v>
      </c>
      <c r="R303" s="1101">
        <f>IF($BH303=0,0,IF(SUM($O303:Q303)&lt;($L303-12),12,$L303-SUM($O303:Q303)))</f>
        <v>0</v>
      </c>
      <c r="S303" s="1101">
        <f>IF($BH303=0,0,IF(SUM($O303:R303)&lt;($L303-12),12,$L303-SUM($O303:R303)))</f>
        <v>0</v>
      </c>
      <c r="U303" s="1100"/>
      <c r="V303" s="1100">
        <f>'ANSP Capex'!T299</f>
        <v>9</v>
      </c>
      <c r="W303" s="1101">
        <f>IF($BI303=0,0,IF(SUM($U303:V303)&lt;($L303-12),12,$L303-SUM($U303:V303)))</f>
        <v>12</v>
      </c>
      <c r="X303" s="1101">
        <f>IF($BI303=0,0,IF(SUM($U303:W303)&lt;($L303-12),12,$L303-SUM($U303:W303)))</f>
        <v>12</v>
      </c>
      <c r="Y303" s="1101">
        <f>IF($BI303=0,0,IF(SUM($U303:X303)&lt;($L303-12),12,$L303-SUM($U303:X303)))</f>
        <v>3</v>
      </c>
      <c r="AA303" s="1100"/>
      <c r="AB303" s="1100"/>
      <c r="AC303" s="1100">
        <f>'ANSP Capex'!AA299</f>
        <v>0</v>
      </c>
      <c r="AD303" s="1101">
        <f>IF($BJ303=0,0,IF(SUM($AA303:AC303)&lt;($L303-12),12,$L303-SUM($AA303:AC303)))</f>
        <v>0</v>
      </c>
      <c r="AE303" s="1101">
        <f>IF($BJ303=0,0,IF(SUM($AA303:AD303)&lt;($L303-12),12,$L303-SUM($AA303:AD303)))</f>
        <v>0</v>
      </c>
      <c r="AG303" s="1100"/>
      <c r="AH303" s="1100"/>
      <c r="AI303" s="1100"/>
      <c r="AJ303" s="1100">
        <f>'ANSP Capex'!AH299</f>
        <v>0</v>
      </c>
      <c r="AK303" s="1101">
        <f>IF($BK303=0,0,IF(SUM($AG303:AJ303)&lt;($L303-12),12,$L303-SUM($AG303:AJ303)))</f>
        <v>0</v>
      </c>
      <c r="AM303" s="1100"/>
      <c r="AN303" s="1100"/>
      <c r="AO303" s="1100"/>
      <c r="AP303" s="1100"/>
      <c r="AQ303" s="1100">
        <f>'ANSP Capex'!AO299</f>
        <v>0</v>
      </c>
      <c r="AS303" s="153">
        <f t="shared" si="27"/>
        <v>0</v>
      </c>
      <c r="AT303" s="153">
        <f t="shared" si="28"/>
        <v>0.75</v>
      </c>
      <c r="AU303" s="153">
        <f t="shared" si="29"/>
        <v>0</v>
      </c>
      <c r="AV303" s="153">
        <f t="shared" si="30"/>
        <v>0</v>
      </c>
      <c r="AW303" s="153">
        <f t="shared" si="31"/>
        <v>0</v>
      </c>
      <c r="AX303" s="153"/>
      <c r="AY303" s="1543">
        <f>'ANSP Capex'!AW299</f>
        <v>0.73</v>
      </c>
      <c r="AZ303" s="1102"/>
      <c r="BA303" s="1543">
        <f>'ANSP Capex'!AY299</f>
        <v>0.15</v>
      </c>
      <c r="BC303" s="1126"/>
      <c r="BD303" s="1126"/>
      <c r="BE303" s="1126"/>
      <c r="BF303" s="1126"/>
      <c r="BG303" s="1126"/>
      <c r="BH303" s="1126">
        <f>'ANSP Capex'!BF299*IF($I303="",(1+INDEX($I$41:$I$42,MATCH($F303,$F$41:$F$42,0))),(1+$I303))</f>
        <v>0</v>
      </c>
      <c r="BI303" s="1126">
        <f>'ANSP Capex'!BG299*IF($I303="",(1+INDEX($I$41:$I$42,MATCH($F303,$F$41:$F$42,0))),(1+$I303))</f>
        <v>11.7331679999999</v>
      </c>
      <c r="BJ303" s="1126">
        <f>'ANSP Capex'!BH299*IF($I303="",(1+INDEX($I$41:$I$42,MATCH($F303,$F$41:$F$42,0))),(1+$I303))</f>
        <v>0</v>
      </c>
      <c r="BK303" s="1126">
        <f>'ANSP Capex'!BI299*IF($I303="",(1+INDEX($I$41:$I$42,MATCH($F303,$F$41:$F$42,0))),(1+$I303))</f>
        <v>0</v>
      </c>
      <c r="BL303" s="1126">
        <f>'ANSP Capex'!BJ299*IF($I303="",(1+INDEX($I$41:$I$42,MATCH($F303,$F$41:$F$42,0))),(1+$I303))</f>
        <v>0</v>
      </c>
    </row>
    <row r="304" spans="3:64" outlineLevel="1">
      <c r="C304" s="1083" t="str">
        <f>'ANSP Capex'!C300</f>
        <v>PC/Laptops DUB</v>
      </c>
      <c r="D304" s="1083" t="str">
        <f>'ANSP Capex'!D300</f>
        <v>PC / Laptops</v>
      </c>
      <c r="E304" s="1083" t="str">
        <f>'ANSP Capex'!E300</f>
        <v>T017A</v>
      </c>
      <c r="F304" s="1083" t="str">
        <f>'ANSP Capex'!F300</f>
        <v>2021-2024</v>
      </c>
      <c r="G304" s="1101">
        <f t="shared" si="24"/>
        <v>0</v>
      </c>
      <c r="H304" s="1083" t="str">
        <f>'ANSP Capex'!H300</f>
        <v>€'000</v>
      </c>
      <c r="I304" s="829"/>
      <c r="J304" s="1097">
        <f>'ANSP Capex'!I300</f>
        <v>3</v>
      </c>
      <c r="K304" s="1124">
        <v>0</v>
      </c>
      <c r="L304" s="1098">
        <f t="shared" si="25"/>
        <v>36</v>
      </c>
      <c r="M304" s="153">
        <f t="shared" si="26"/>
        <v>0.33333333333333331</v>
      </c>
      <c r="N304" s="1099"/>
      <c r="O304" s="1100">
        <f>'ANSP Capex'!M300</f>
        <v>0</v>
      </c>
      <c r="P304" s="1101">
        <f>IF($BH304=0,0,IF(SUM($O304:O304)&lt;($L304-12),12,$L304-SUM($O304:O304)))</f>
        <v>0</v>
      </c>
      <c r="Q304" s="1101">
        <f>IF($BH304=0,0,IF(SUM($O304:P304)&lt;($L304-12),12,$L304-SUM($O304:P304)))</f>
        <v>0</v>
      </c>
      <c r="R304" s="1101">
        <f>IF($BH304=0,0,IF(SUM($O304:Q304)&lt;($L304-12),12,$L304-SUM($O304:Q304)))</f>
        <v>0</v>
      </c>
      <c r="S304" s="1101">
        <f>IF($BH304=0,0,IF(SUM($O304:R304)&lt;($L304-12),12,$L304-SUM($O304:R304)))</f>
        <v>0</v>
      </c>
      <c r="U304" s="1100"/>
      <c r="V304" s="1100">
        <f>'ANSP Capex'!T300</f>
        <v>0</v>
      </c>
      <c r="W304" s="1101">
        <f>IF($BI304=0,0,IF(SUM($U304:V304)&lt;($L304-12),12,$L304-SUM($U304:V304)))</f>
        <v>0</v>
      </c>
      <c r="X304" s="1101">
        <f>IF($BI304=0,0,IF(SUM($U304:W304)&lt;($L304-12),12,$L304-SUM($U304:W304)))</f>
        <v>0</v>
      </c>
      <c r="Y304" s="1101">
        <f>IF($BI304=0,0,IF(SUM($U304:X304)&lt;($L304-12),12,$L304-SUM($U304:X304)))</f>
        <v>0</v>
      </c>
      <c r="AA304" s="1100"/>
      <c r="AB304" s="1100"/>
      <c r="AC304" s="1100">
        <f>'ANSP Capex'!AA300</f>
        <v>0</v>
      </c>
      <c r="AD304" s="1101">
        <f>IF($BJ304=0,0,IF(SUM($AA304:AC304)&lt;($L304-12),12,$L304-SUM($AA304:AC304)))</f>
        <v>0</v>
      </c>
      <c r="AE304" s="1101">
        <f>IF($BJ304=0,0,IF(SUM($AA304:AD304)&lt;($L304-12),12,$L304-SUM($AA304:AD304)))</f>
        <v>0</v>
      </c>
      <c r="AG304" s="1100"/>
      <c r="AH304" s="1100"/>
      <c r="AI304" s="1100"/>
      <c r="AJ304" s="1100">
        <f>'ANSP Capex'!AH300</f>
        <v>0</v>
      </c>
      <c r="AK304" s="1101">
        <f>IF($BK304=0,0,IF(SUM($AG304:AJ304)&lt;($L304-12),12,$L304-SUM($AG304:AJ304)))</f>
        <v>0</v>
      </c>
      <c r="AM304" s="1100"/>
      <c r="AN304" s="1100"/>
      <c r="AO304" s="1100"/>
      <c r="AP304" s="1100"/>
      <c r="AQ304" s="1100">
        <f>'ANSP Capex'!AO300</f>
        <v>0</v>
      </c>
      <c r="AS304" s="153">
        <f t="shared" si="27"/>
        <v>0</v>
      </c>
      <c r="AT304" s="153">
        <f t="shared" si="28"/>
        <v>0</v>
      </c>
      <c r="AU304" s="153">
        <f t="shared" si="29"/>
        <v>0</v>
      </c>
      <c r="AV304" s="153">
        <f t="shared" si="30"/>
        <v>0</v>
      </c>
      <c r="AW304" s="153">
        <f t="shared" si="31"/>
        <v>0</v>
      </c>
      <c r="AX304" s="153"/>
      <c r="AY304" s="1543">
        <f>'ANSP Capex'!AW300</f>
        <v>0.75</v>
      </c>
      <c r="AZ304" s="1102"/>
      <c r="BA304" s="1543">
        <f>'ANSP Capex'!AY300</f>
        <v>0.25</v>
      </c>
      <c r="BC304" s="1126"/>
      <c r="BD304" s="1126"/>
      <c r="BE304" s="1126"/>
      <c r="BF304" s="1126"/>
      <c r="BG304" s="1126"/>
      <c r="BH304" s="1126">
        <f>'ANSP Capex'!BF300*IF($I304="",(1+INDEX($I$41:$I$42,MATCH($F304,$F$41:$F$42,0))),(1+$I304))</f>
        <v>0</v>
      </c>
      <c r="BI304" s="1126">
        <f>'ANSP Capex'!BG300*IF($I304="",(1+INDEX($I$41:$I$42,MATCH($F304,$F$41:$F$42,0))),(1+$I304))</f>
        <v>0</v>
      </c>
      <c r="BJ304" s="1126">
        <f>'ANSP Capex'!BH300*IF($I304="",(1+INDEX($I$41:$I$42,MATCH($F304,$F$41:$F$42,0))),(1+$I304))</f>
        <v>0</v>
      </c>
      <c r="BK304" s="1126">
        <f>'ANSP Capex'!BI300*IF($I304="",(1+INDEX($I$41:$I$42,MATCH($F304,$F$41:$F$42,0))),(1+$I304))</f>
        <v>0</v>
      </c>
      <c r="BL304" s="1126">
        <f>'ANSP Capex'!BJ300*IF($I304="",(1+INDEX($I$41:$I$42,MATCH($F304,$F$41:$F$42,0))),(1+$I304))</f>
        <v>0</v>
      </c>
    </row>
    <row r="305" spans="3:64" outlineLevel="1">
      <c r="C305" s="1083" t="str">
        <f>'ANSP Capex'!C301</f>
        <v>PC/Laptops SHN</v>
      </c>
      <c r="D305" s="1083" t="str">
        <f>'ANSP Capex'!D301</f>
        <v>PC / Laptops</v>
      </c>
      <c r="E305" s="1083" t="str">
        <f>'ANSP Capex'!E301</f>
        <v>T017A</v>
      </c>
      <c r="F305" s="1083" t="str">
        <f>'ANSP Capex'!F301</f>
        <v>2021-2024</v>
      </c>
      <c r="G305" s="1101">
        <f t="shared" si="24"/>
        <v>0</v>
      </c>
      <c r="H305" s="1083" t="str">
        <f>'ANSP Capex'!H301</f>
        <v>€'000</v>
      </c>
      <c r="I305" s="829"/>
      <c r="J305" s="1097">
        <f>'ANSP Capex'!I301</f>
        <v>3</v>
      </c>
      <c r="K305" s="1124">
        <v>0</v>
      </c>
      <c r="L305" s="1098">
        <f t="shared" si="25"/>
        <v>36</v>
      </c>
      <c r="M305" s="153">
        <f t="shared" si="26"/>
        <v>0.33333333333333331</v>
      </c>
      <c r="N305" s="1099"/>
      <c r="O305" s="1100">
        <f>'ANSP Capex'!M301</f>
        <v>0</v>
      </c>
      <c r="P305" s="1101">
        <f>IF($BH305=0,0,IF(SUM($O305:O305)&lt;($L305-12),12,$L305-SUM($O305:O305)))</f>
        <v>0</v>
      </c>
      <c r="Q305" s="1101">
        <f>IF($BH305=0,0,IF(SUM($O305:P305)&lt;($L305-12),12,$L305-SUM($O305:P305)))</f>
        <v>0</v>
      </c>
      <c r="R305" s="1101">
        <f>IF($BH305=0,0,IF(SUM($O305:Q305)&lt;($L305-12),12,$L305-SUM($O305:Q305)))</f>
        <v>0</v>
      </c>
      <c r="S305" s="1101">
        <f>IF($BH305=0,0,IF(SUM($O305:R305)&lt;($L305-12),12,$L305-SUM($O305:R305)))</f>
        <v>0</v>
      </c>
      <c r="U305" s="1100"/>
      <c r="V305" s="1100">
        <f>'ANSP Capex'!T301</f>
        <v>0</v>
      </c>
      <c r="W305" s="1101">
        <f>IF($BI305=0,0,IF(SUM($U305:V305)&lt;($L305-12),12,$L305-SUM($U305:V305)))</f>
        <v>0</v>
      </c>
      <c r="X305" s="1101">
        <f>IF($BI305=0,0,IF(SUM($U305:W305)&lt;($L305-12),12,$L305-SUM($U305:W305)))</f>
        <v>0</v>
      </c>
      <c r="Y305" s="1101">
        <f>IF($BI305=0,0,IF(SUM($U305:X305)&lt;($L305-12),12,$L305-SUM($U305:X305)))</f>
        <v>0</v>
      </c>
      <c r="AA305" s="1100"/>
      <c r="AB305" s="1100"/>
      <c r="AC305" s="1100">
        <f>'ANSP Capex'!AA301</f>
        <v>0</v>
      </c>
      <c r="AD305" s="1101">
        <f>IF($BJ305=0,0,IF(SUM($AA305:AC305)&lt;($L305-12),12,$L305-SUM($AA305:AC305)))</f>
        <v>0</v>
      </c>
      <c r="AE305" s="1101">
        <f>IF($BJ305=0,0,IF(SUM($AA305:AD305)&lt;($L305-12),12,$L305-SUM($AA305:AD305)))</f>
        <v>0</v>
      </c>
      <c r="AG305" s="1100"/>
      <c r="AH305" s="1100"/>
      <c r="AI305" s="1100"/>
      <c r="AJ305" s="1100">
        <f>'ANSP Capex'!AH301</f>
        <v>0</v>
      </c>
      <c r="AK305" s="1101">
        <f>IF($BK305=0,0,IF(SUM($AG305:AJ305)&lt;($L305-12),12,$L305-SUM($AG305:AJ305)))</f>
        <v>0</v>
      </c>
      <c r="AM305" s="1100"/>
      <c r="AN305" s="1100"/>
      <c r="AO305" s="1100"/>
      <c r="AP305" s="1100"/>
      <c r="AQ305" s="1100">
        <f>'ANSP Capex'!AO301</f>
        <v>0</v>
      </c>
      <c r="AS305" s="153">
        <f t="shared" si="27"/>
        <v>0</v>
      </c>
      <c r="AT305" s="153">
        <f t="shared" si="28"/>
        <v>0</v>
      </c>
      <c r="AU305" s="153">
        <f t="shared" si="29"/>
        <v>0</v>
      </c>
      <c r="AV305" s="153">
        <f t="shared" si="30"/>
        <v>0</v>
      </c>
      <c r="AW305" s="153">
        <f t="shared" si="31"/>
        <v>0</v>
      </c>
      <c r="AX305" s="153"/>
      <c r="AY305" s="1543">
        <f>'ANSP Capex'!AW301</f>
        <v>0.75</v>
      </c>
      <c r="AZ305" s="1102"/>
      <c r="BA305" s="1543">
        <f>'ANSP Capex'!AY301</f>
        <v>0.25</v>
      </c>
      <c r="BC305" s="1126"/>
      <c r="BD305" s="1126"/>
      <c r="BE305" s="1126"/>
      <c r="BF305" s="1126"/>
      <c r="BG305" s="1126"/>
      <c r="BH305" s="1126">
        <f>'ANSP Capex'!BF301*IF($I305="",(1+INDEX($I$41:$I$42,MATCH($F305,$F$41:$F$42,0))),(1+$I305))</f>
        <v>0</v>
      </c>
      <c r="BI305" s="1126">
        <f>'ANSP Capex'!BG301*IF($I305="",(1+INDEX($I$41:$I$42,MATCH($F305,$F$41:$F$42,0))),(1+$I305))</f>
        <v>0</v>
      </c>
      <c r="BJ305" s="1126">
        <f>'ANSP Capex'!BH301*IF($I305="",(1+INDEX($I$41:$I$42,MATCH($F305,$F$41:$F$42,0))),(1+$I305))</f>
        <v>0</v>
      </c>
      <c r="BK305" s="1126">
        <f>'ANSP Capex'!BI301*IF($I305="",(1+INDEX($I$41:$I$42,MATCH($F305,$F$41:$F$42,0))),(1+$I305))</f>
        <v>0</v>
      </c>
      <c r="BL305" s="1126">
        <f>'ANSP Capex'!BJ301*IF($I305="",(1+INDEX($I$41:$I$42,MATCH($F305,$F$41:$F$42,0))),(1+$I305))</f>
        <v>0</v>
      </c>
    </row>
    <row r="306" spans="3:64" outlineLevel="1">
      <c r="C306" s="1083" t="str">
        <f>'ANSP Capex'!C302</f>
        <v>PC/Laptop Replacements</v>
      </c>
      <c r="D306" s="1083" t="str">
        <f>'ANSP Capex'!D302</f>
        <v>PC / Laptops</v>
      </c>
      <c r="E306" s="1083" t="str">
        <f>'ANSP Capex'!E302</f>
        <v>V003</v>
      </c>
      <c r="F306" s="1083" t="str">
        <f>'ANSP Capex'!F302</f>
        <v>2021-2024</v>
      </c>
      <c r="G306" s="1101">
        <f t="shared" ref="G306:G346" si="32">SUM(BH306:BL306)</f>
        <v>0</v>
      </c>
      <c r="H306" s="1083" t="str">
        <f>'ANSP Capex'!H302</f>
        <v>€'000</v>
      </c>
      <c r="I306" s="829"/>
      <c r="J306" s="1097">
        <f>'ANSP Capex'!I302</f>
        <v>0</v>
      </c>
      <c r="K306" s="1124">
        <v>0</v>
      </c>
      <c r="L306" s="1098">
        <f t="shared" ref="L306:L346" si="33">IF(K306&lt;=0,J306*12,K306*12)</f>
        <v>0</v>
      </c>
      <c r="M306" s="153">
        <f t="shared" si="26"/>
        <v>0</v>
      </c>
      <c r="N306" s="1099"/>
      <c r="O306" s="1100">
        <f>'ANSP Capex'!M302</f>
        <v>0</v>
      </c>
      <c r="P306" s="1101">
        <f>IF($BH306=0,0,IF(SUM($O306:O306)&lt;($L306-12),12,$L306-SUM($O306:O306)))</f>
        <v>0</v>
      </c>
      <c r="Q306" s="1101">
        <f>IF($BH306=0,0,IF(SUM($O306:P306)&lt;($L306-12),12,$L306-SUM($O306:P306)))</f>
        <v>0</v>
      </c>
      <c r="R306" s="1101">
        <f>IF($BH306=0,0,IF(SUM($O306:Q306)&lt;($L306-12),12,$L306-SUM($O306:Q306)))</f>
        <v>0</v>
      </c>
      <c r="S306" s="1101">
        <f>IF($BH306=0,0,IF(SUM($O306:R306)&lt;($L306-12),12,$L306-SUM($O306:R306)))</f>
        <v>0</v>
      </c>
      <c r="U306" s="1100"/>
      <c r="V306" s="1100">
        <f>'ANSP Capex'!T302</f>
        <v>0</v>
      </c>
      <c r="W306" s="1101">
        <f>IF($BI306=0,0,IF(SUM($U306:V306)&lt;($L306-12),12,$L306-SUM($U306:V306)))</f>
        <v>0</v>
      </c>
      <c r="X306" s="1101">
        <f>IF($BI306=0,0,IF(SUM($U306:W306)&lt;($L306-12),12,$L306-SUM($U306:W306)))</f>
        <v>0</v>
      </c>
      <c r="Y306" s="1101">
        <f>IF($BI306=0,0,IF(SUM($U306:X306)&lt;($L306-12),12,$L306-SUM($U306:X306)))</f>
        <v>0</v>
      </c>
      <c r="AA306" s="1100"/>
      <c r="AB306" s="1100"/>
      <c r="AC306" s="1100">
        <f>'ANSP Capex'!AA302</f>
        <v>0</v>
      </c>
      <c r="AD306" s="1101">
        <f>IF($BJ306=0,0,IF(SUM($AA306:AC306)&lt;($L306-12),12,$L306-SUM($AA306:AC306)))</f>
        <v>0</v>
      </c>
      <c r="AE306" s="1101">
        <f>IF($BJ306=0,0,IF(SUM($AA306:AD306)&lt;($L306-12),12,$L306-SUM($AA306:AD306)))</f>
        <v>0</v>
      </c>
      <c r="AG306" s="1100"/>
      <c r="AH306" s="1100"/>
      <c r="AI306" s="1100"/>
      <c r="AJ306" s="1100">
        <f>'ANSP Capex'!AH302</f>
        <v>0</v>
      </c>
      <c r="AK306" s="1101">
        <f>IF($BK306=0,0,IF(SUM($AG306:AJ306)&lt;($L306-12),12,$L306-SUM($AG306:AJ306)))</f>
        <v>0</v>
      </c>
      <c r="AM306" s="1100"/>
      <c r="AN306" s="1100"/>
      <c r="AO306" s="1100"/>
      <c r="AP306" s="1100"/>
      <c r="AQ306" s="1100">
        <f>'ANSP Capex'!AO302</f>
        <v>0</v>
      </c>
      <c r="AS306" s="153">
        <f t="shared" si="27"/>
        <v>0</v>
      </c>
      <c r="AT306" s="153">
        <f t="shared" si="28"/>
        <v>0</v>
      </c>
      <c r="AU306" s="153">
        <f t="shared" si="29"/>
        <v>0</v>
      </c>
      <c r="AV306" s="153">
        <f t="shared" si="30"/>
        <v>0</v>
      </c>
      <c r="AW306" s="153">
        <f t="shared" si="31"/>
        <v>0</v>
      </c>
      <c r="AX306" s="153"/>
      <c r="AY306" s="1543">
        <f>'ANSP Capex'!AW302</f>
        <v>0</v>
      </c>
      <c r="AZ306" s="1102"/>
      <c r="BA306" s="1543">
        <f>'ANSP Capex'!AY302</f>
        <v>0</v>
      </c>
      <c r="BC306" s="1126"/>
      <c r="BD306" s="1126"/>
      <c r="BE306" s="1126"/>
      <c r="BF306" s="1126"/>
      <c r="BG306" s="1126"/>
      <c r="BH306" s="1126">
        <f>'ANSP Capex'!BF302*IF($I306="",(1+INDEX($I$41:$I$42,MATCH($F306,$F$41:$F$42,0))),(1+$I306))</f>
        <v>0</v>
      </c>
      <c r="BI306" s="1126">
        <f>'ANSP Capex'!BG302*IF($I306="",(1+INDEX($I$41:$I$42,MATCH($F306,$F$41:$F$42,0))),(1+$I306))</f>
        <v>0</v>
      </c>
      <c r="BJ306" s="1126">
        <f>'ANSP Capex'!BH302*IF($I306="",(1+INDEX($I$41:$I$42,MATCH($F306,$F$41:$F$42,0))),(1+$I306))</f>
        <v>0</v>
      </c>
      <c r="BK306" s="1126">
        <f>'ANSP Capex'!BI302*IF($I306="",(1+INDEX($I$41:$I$42,MATCH($F306,$F$41:$F$42,0))),(1+$I306))</f>
        <v>0</v>
      </c>
      <c r="BL306" s="1126">
        <f>'ANSP Capex'!BJ302*IF($I306="",(1+INDEX($I$41:$I$42,MATCH($F306,$F$41:$F$42,0))),(1+$I306))</f>
        <v>0</v>
      </c>
    </row>
    <row r="307" spans="3:64" outlineLevel="1">
      <c r="C307" s="1083" t="str">
        <f>'ANSP Capex'!C303</f>
        <v>PC/Laptops HQ - OTHER</v>
      </c>
      <c r="D307" s="1083" t="str">
        <f>'ANSP Capex'!D303</f>
        <v>PC / Laptops</v>
      </c>
      <c r="E307" s="1083" t="str">
        <f>'ANSP Capex'!E303</f>
        <v>V003A</v>
      </c>
      <c r="F307" s="1083" t="str">
        <f>'ANSP Capex'!F303</f>
        <v>2021-2024</v>
      </c>
      <c r="G307" s="1101">
        <f t="shared" si="32"/>
        <v>112</v>
      </c>
      <c r="H307" s="1083" t="str">
        <f>'ANSP Capex'!H303</f>
        <v>€'000</v>
      </c>
      <c r="I307" s="829"/>
      <c r="J307" s="1097">
        <f>'ANSP Capex'!I303</f>
        <v>3</v>
      </c>
      <c r="K307" s="1124">
        <v>0</v>
      </c>
      <c r="L307" s="1098">
        <f t="shared" si="33"/>
        <v>36</v>
      </c>
      <c r="M307" s="153">
        <f t="shared" ref="M307:M346" si="34">IFERROR(1/(L307/12),0)</f>
        <v>0.33333333333333331</v>
      </c>
      <c r="N307" s="1099"/>
      <c r="O307" s="1100">
        <f>'ANSP Capex'!M303</f>
        <v>0</v>
      </c>
      <c r="P307" s="1101">
        <f>IF($BH307=0,0,IF(SUM($O307:O307)&lt;($L307-12),12,$L307-SUM($O307:O307)))</f>
        <v>0</v>
      </c>
      <c r="Q307" s="1101">
        <f>IF($BH307=0,0,IF(SUM($O307:P307)&lt;($L307-12),12,$L307-SUM($O307:P307)))</f>
        <v>0</v>
      </c>
      <c r="R307" s="1101">
        <f>IF($BH307=0,0,IF(SUM($O307:Q307)&lt;($L307-12),12,$L307-SUM($O307:Q307)))</f>
        <v>0</v>
      </c>
      <c r="S307" s="1101">
        <f>IF($BH307=0,0,IF(SUM($O307:R307)&lt;($L307-12),12,$L307-SUM($O307:R307)))</f>
        <v>0</v>
      </c>
      <c r="U307" s="1100"/>
      <c r="V307" s="1100">
        <f>'ANSP Capex'!T303</f>
        <v>7.5000000000000018</v>
      </c>
      <c r="W307" s="1101">
        <f>IF($BI307=0,0,IF(SUM($U307:V307)&lt;($L307-12),12,$L307-SUM($U307:V307)))</f>
        <v>12</v>
      </c>
      <c r="X307" s="1101">
        <f>IF($BI307=0,0,IF(SUM($U307:W307)&lt;($L307-12),12,$L307-SUM($U307:W307)))</f>
        <v>12</v>
      </c>
      <c r="Y307" s="1101">
        <f>IF($BI307=0,0,IF(SUM($U307:X307)&lt;($L307-12),12,$L307-SUM($U307:X307)))</f>
        <v>4.5</v>
      </c>
      <c r="AA307" s="1100"/>
      <c r="AB307" s="1100"/>
      <c r="AC307" s="1100">
        <f>'ANSP Capex'!AA303</f>
        <v>7.5000000000000036</v>
      </c>
      <c r="AD307" s="1101">
        <f>IF($BJ307=0,0,IF(SUM($AA307:AC307)&lt;($L307-12),12,$L307-SUM($AA307:AC307)))</f>
        <v>12</v>
      </c>
      <c r="AE307" s="1101">
        <f>IF($BJ307=0,0,IF(SUM($AA307:AD307)&lt;($L307-12),12,$L307-SUM($AA307:AD307)))</f>
        <v>12</v>
      </c>
      <c r="AG307" s="1100"/>
      <c r="AH307" s="1100"/>
      <c r="AI307" s="1100"/>
      <c r="AJ307" s="1100">
        <f>'ANSP Capex'!AH303</f>
        <v>7.5000000000000107</v>
      </c>
      <c r="AK307" s="1101">
        <f>IF($BK307=0,0,IF(SUM($AG307:AJ307)&lt;($L307-12),12,$L307-SUM($AG307:AJ307)))</f>
        <v>12</v>
      </c>
      <c r="AM307" s="1100"/>
      <c r="AN307" s="1100"/>
      <c r="AO307" s="1100"/>
      <c r="AP307" s="1100"/>
      <c r="AQ307" s="1100">
        <f>'ANSP Capex'!AO303</f>
        <v>7.5000000000000107</v>
      </c>
      <c r="AS307" s="153">
        <f t="shared" ref="AS307:AS346" si="35">O307/12</f>
        <v>0</v>
      </c>
      <c r="AT307" s="153">
        <f t="shared" ref="AT307:AT346" si="36">V307/12</f>
        <v>0.62500000000000011</v>
      </c>
      <c r="AU307" s="153">
        <f t="shared" ref="AU307:AU346" si="37">AC307/12</f>
        <v>0.62500000000000033</v>
      </c>
      <c r="AV307" s="153">
        <f t="shared" ref="AV307:AV346" si="38">AJ307/12</f>
        <v>0.62500000000000089</v>
      </c>
      <c r="AW307" s="153">
        <f t="shared" ref="AW307:AW346" si="39">AQ307/12</f>
        <v>0.62500000000000089</v>
      </c>
      <c r="AX307" s="153"/>
      <c r="AY307" s="1543">
        <f>'ANSP Capex'!AW303</f>
        <v>0.73</v>
      </c>
      <c r="AZ307" s="1102"/>
      <c r="BA307" s="1543">
        <f>'ANSP Capex'!AY303</f>
        <v>0.15</v>
      </c>
      <c r="BC307" s="1126"/>
      <c r="BD307" s="1126"/>
      <c r="BE307" s="1126"/>
      <c r="BF307" s="1126"/>
      <c r="BG307" s="1126"/>
      <c r="BH307" s="1126">
        <f>'ANSP Capex'!BF303*IF($I307="",(1+INDEX($I$41:$I$42,MATCH($F307,$F$41:$F$42,0))),(1+$I307))</f>
        <v>0</v>
      </c>
      <c r="BI307" s="1126">
        <f>'ANSP Capex'!BG303*IF($I307="",(1+INDEX($I$41:$I$42,MATCH($F307,$F$41:$F$42,0))),(1+$I307))</f>
        <v>28</v>
      </c>
      <c r="BJ307" s="1126">
        <f>'ANSP Capex'!BH303*IF($I307="",(1+INDEX($I$41:$I$42,MATCH($F307,$F$41:$F$42,0))),(1+$I307))</f>
        <v>28</v>
      </c>
      <c r="BK307" s="1126">
        <f>'ANSP Capex'!BI303*IF($I307="",(1+INDEX($I$41:$I$42,MATCH($F307,$F$41:$F$42,0))),(1+$I307))</f>
        <v>28</v>
      </c>
      <c r="BL307" s="1126">
        <f>'ANSP Capex'!BJ303*IF($I307="",(1+INDEX($I$41:$I$42,MATCH($F307,$F$41:$F$42,0))),(1+$I307))</f>
        <v>28</v>
      </c>
    </row>
    <row r="308" spans="3:64" outlineLevel="1">
      <c r="C308" s="1083" t="str">
        <f>'ANSP Capex'!C304</f>
        <v>PC/Laptops DUB</v>
      </c>
      <c r="D308" s="1083" t="str">
        <f>'ANSP Capex'!D304</f>
        <v>PC / Laptops</v>
      </c>
      <c r="E308" s="1083" t="str">
        <f>'ANSP Capex'!E304</f>
        <v>V003A</v>
      </c>
      <c r="F308" s="1083" t="str">
        <f>'ANSP Capex'!F304</f>
        <v>2021-2024</v>
      </c>
      <c r="G308" s="1101">
        <f t="shared" si="32"/>
        <v>48</v>
      </c>
      <c r="H308" s="1083" t="str">
        <f>'ANSP Capex'!H304</f>
        <v>€'000</v>
      </c>
      <c r="I308" s="829"/>
      <c r="J308" s="1097">
        <f>'ANSP Capex'!I304</f>
        <v>3</v>
      </c>
      <c r="K308" s="1124">
        <v>0</v>
      </c>
      <c r="L308" s="1098">
        <f t="shared" si="33"/>
        <v>36</v>
      </c>
      <c r="M308" s="153">
        <f t="shared" si="34"/>
        <v>0.33333333333333331</v>
      </c>
      <c r="N308" s="1099"/>
      <c r="O308" s="1100">
        <f>'ANSP Capex'!M304</f>
        <v>0</v>
      </c>
      <c r="P308" s="1101">
        <f>IF($BH308=0,0,IF(SUM($O308:O308)&lt;($L308-12),12,$L308-SUM($O308:O308)))</f>
        <v>0</v>
      </c>
      <c r="Q308" s="1101">
        <f>IF($BH308=0,0,IF(SUM($O308:P308)&lt;($L308-12),12,$L308-SUM($O308:P308)))</f>
        <v>0</v>
      </c>
      <c r="R308" s="1101">
        <f>IF($BH308=0,0,IF(SUM($O308:Q308)&lt;($L308-12),12,$L308-SUM($O308:Q308)))</f>
        <v>0</v>
      </c>
      <c r="S308" s="1101">
        <f>IF($BH308=0,0,IF(SUM($O308:R308)&lt;($L308-12),12,$L308-SUM($O308:R308)))</f>
        <v>0</v>
      </c>
      <c r="U308" s="1100"/>
      <c r="V308" s="1100">
        <f>'ANSP Capex'!T304</f>
        <v>7.4999999999999982</v>
      </c>
      <c r="W308" s="1101">
        <f>IF($BI308=0,0,IF(SUM($U308:V308)&lt;($L308-12),12,$L308-SUM($U308:V308)))</f>
        <v>12</v>
      </c>
      <c r="X308" s="1101">
        <f>IF($BI308=0,0,IF(SUM($U308:W308)&lt;($L308-12),12,$L308-SUM($U308:W308)))</f>
        <v>12</v>
      </c>
      <c r="Y308" s="1101">
        <f>IF($BI308=0,0,IF(SUM($U308:X308)&lt;($L308-12),12,$L308-SUM($U308:X308)))</f>
        <v>4.5</v>
      </c>
      <c r="AA308" s="1100"/>
      <c r="AB308" s="1100"/>
      <c r="AC308" s="1100">
        <f>'ANSP Capex'!AA304</f>
        <v>7.5</v>
      </c>
      <c r="AD308" s="1101">
        <f>IF($BJ308=0,0,IF(SUM($AA308:AC308)&lt;($L308-12),12,$L308-SUM($AA308:AC308)))</f>
        <v>12</v>
      </c>
      <c r="AE308" s="1101">
        <f>IF($BJ308=0,0,IF(SUM($AA308:AD308)&lt;($L308-12),12,$L308-SUM($AA308:AD308)))</f>
        <v>12</v>
      </c>
      <c r="AG308" s="1100"/>
      <c r="AH308" s="1100"/>
      <c r="AI308" s="1100"/>
      <c r="AJ308" s="1100">
        <f>'ANSP Capex'!AH304</f>
        <v>7.5</v>
      </c>
      <c r="AK308" s="1101">
        <f>IF($BK308=0,0,IF(SUM($AG308:AJ308)&lt;($L308-12),12,$L308-SUM($AG308:AJ308)))</f>
        <v>12</v>
      </c>
      <c r="AM308" s="1100"/>
      <c r="AN308" s="1100"/>
      <c r="AO308" s="1100"/>
      <c r="AP308" s="1100"/>
      <c r="AQ308" s="1100">
        <f>'ANSP Capex'!AO304</f>
        <v>7.5</v>
      </c>
      <c r="AS308" s="153">
        <f t="shared" si="35"/>
        <v>0</v>
      </c>
      <c r="AT308" s="153">
        <f t="shared" si="36"/>
        <v>0.62499999999999989</v>
      </c>
      <c r="AU308" s="153">
        <f t="shared" si="37"/>
        <v>0.625</v>
      </c>
      <c r="AV308" s="153">
        <f t="shared" si="38"/>
        <v>0.625</v>
      </c>
      <c r="AW308" s="153">
        <f t="shared" si="39"/>
        <v>0.625</v>
      </c>
      <c r="AX308" s="153"/>
      <c r="AY308" s="1543">
        <f>'ANSP Capex'!AW304</f>
        <v>0.75</v>
      </c>
      <c r="AZ308" s="1102"/>
      <c r="BA308" s="1543">
        <f>'ANSP Capex'!AY304</f>
        <v>0.25</v>
      </c>
      <c r="BC308" s="1126"/>
      <c r="BD308" s="1126"/>
      <c r="BE308" s="1126"/>
      <c r="BF308" s="1126"/>
      <c r="BG308" s="1126"/>
      <c r="BH308" s="1126">
        <f>'ANSP Capex'!BF304*IF($I308="",(1+INDEX($I$41:$I$42,MATCH($F308,$F$41:$F$42,0))),(1+$I308))</f>
        <v>0</v>
      </c>
      <c r="BI308" s="1126">
        <f>'ANSP Capex'!BG304*IF($I308="",(1+INDEX($I$41:$I$42,MATCH($F308,$F$41:$F$42,0))),(1+$I308))</f>
        <v>12</v>
      </c>
      <c r="BJ308" s="1126">
        <f>'ANSP Capex'!BH304*IF($I308="",(1+INDEX($I$41:$I$42,MATCH($F308,$F$41:$F$42,0))),(1+$I308))</f>
        <v>12</v>
      </c>
      <c r="BK308" s="1126">
        <f>'ANSP Capex'!BI304*IF($I308="",(1+INDEX($I$41:$I$42,MATCH($F308,$F$41:$F$42,0))),(1+$I308))</f>
        <v>12</v>
      </c>
      <c r="BL308" s="1126">
        <f>'ANSP Capex'!BJ304*IF($I308="",(1+INDEX($I$41:$I$42,MATCH($F308,$F$41:$F$42,0))),(1+$I308))</f>
        <v>12</v>
      </c>
    </row>
    <row r="309" spans="3:64" outlineLevel="1">
      <c r="C309" s="1083" t="str">
        <f>'ANSP Capex'!C305</f>
        <v>PC/Laptops SHN</v>
      </c>
      <c r="D309" s="1083" t="str">
        <f>'ANSP Capex'!D305</f>
        <v>PC / Laptops</v>
      </c>
      <c r="E309" s="1083" t="str">
        <f>'ANSP Capex'!E305</f>
        <v>V003A</v>
      </c>
      <c r="F309" s="1083" t="str">
        <f>'ANSP Capex'!F305</f>
        <v>2021-2024</v>
      </c>
      <c r="G309" s="1101">
        <f t="shared" si="32"/>
        <v>48</v>
      </c>
      <c r="H309" s="1083" t="str">
        <f>'ANSP Capex'!H305</f>
        <v>€'000</v>
      </c>
      <c r="I309" s="829"/>
      <c r="J309" s="1097">
        <f>'ANSP Capex'!I305</f>
        <v>3</v>
      </c>
      <c r="K309" s="1124">
        <v>0</v>
      </c>
      <c r="L309" s="1098">
        <f t="shared" si="33"/>
        <v>36</v>
      </c>
      <c r="M309" s="153">
        <f t="shared" si="34"/>
        <v>0.33333333333333331</v>
      </c>
      <c r="N309" s="1099"/>
      <c r="O309" s="1100">
        <f>'ANSP Capex'!M305</f>
        <v>0</v>
      </c>
      <c r="P309" s="1101">
        <f>IF($BH309=0,0,IF(SUM($O309:O309)&lt;($L309-12),12,$L309-SUM($O309:O309)))</f>
        <v>0</v>
      </c>
      <c r="Q309" s="1101">
        <f>IF($BH309=0,0,IF(SUM($O309:P309)&lt;($L309-12),12,$L309-SUM($O309:P309)))</f>
        <v>0</v>
      </c>
      <c r="R309" s="1101">
        <f>IF($BH309=0,0,IF(SUM($O309:Q309)&lt;($L309-12),12,$L309-SUM($O309:Q309)))</f>
        <v>0</v>
      </c>
      <c r="S309" s="1101">
        <f>IF($BH309=0,0,IF(SUM($O309:R309)&lt;($L309-12),12,$L309-SUM($O309:R309)))</f>
        <v>0</v>
      </c>
      <c r="U309" s="1100"/>
      <c r="V309" s="1100">
        <f>'ANSP Capex'!T305</f>
        <v>7.4999999999999982</v>
      </c>
      <c r="W309" s="1101">
        <f>IF($BI309=0,0,IF(SUM($U309:V309)&lt;($L309-12),12,$L309-SUM($U309:V309)))</f>
        <v>12</v>
      </c>
      <c r="X309" s="1101">
        <f>IF($BI309=0,0,IF(SUM($U309:W309)&lt;($L309-12),12,$L309-SUM($U309:W309)))</f>
        <v>12</v>
      </c>
      <c r="Y309" s="1101">
        <f>IF($BI309=0,0,IF(SUM($U309:X309)&lt;($L309-12),12,$L309-SUM($U309:X309)))</f>
        <v>4.5</v>
      </c>
      <c r="AA309" s="1100"/>
      <c r="AB309" s="1100"/>
      <c r="AC309" s="1100">
        <f>'ANSP Capex'!AA305</f>
        <v>7.5</v>
      </c>
      <c r="AD309" s="1101">
        <f>IF($BJ309=0,0,IF(SUM($AA309:AC309)&lt;($L309-12),12,$L309-SUM($AA309:AC309)))</f>
        <v>12</v>
      </c>
      <c r="AE309" s="1101">
        <f>IF($BJ309=0,0,IF(SUM($AA309:AD309)&lt;($L309-12),12,$L309-SUM($AA309:AD309)))</f>
        <v>12</v>
      </c>
      <c r="AG309" s="1100"/>
      <c r="AH309" s="1100"/>
      <c r="AI309" s="1100"/>
      <c r="AJ309" s="1100">
        <f>'ANSP Capex'!AH305</f>
        <v>7.5</v>
      </c>
      <c r="AK309" s="1101">
        <f>IF($BK309=0,0,IF(SUM($AG309:AJ309)&lt;($L309-12),12,$L309-SUM($AG309:AJ309)))</f>
        <v>12</v>
      </c>
      <c r="AM309" s="1100"/>
      <c r="AN309" s="1100"/>
      <c r="AO309" s="1100"/>
      <c r="AP309" s="1100"/>
      <c r="AQ309" s="1100">
        <f>'ANSP Capex'!AO305</f>
        <v>7.5</v>
      </c>
      <c r="AS309" s="153">
        <f t="shared" si="35"/>
        <v>0</v>
      </c>
      <c r="AT309" s="153">
        <f t="shared" si="36"/>
        <v>0.62499999999999989</v>
      </c>
      <c r="AU309" s="153">
        <f t="shared" si="37"/>
        <v>0.625</v>
      </c>
      <c r="AV309" s="153">
        <f t="shared" si="38"/>
        <v>0.625</v>
      </c>
      <c r="AW309" s="153">
        <f t="shared" si="39"/>
        <v>0.625</v>
      </c>
      <c r="AX309" s="153"/>
      <c r="AY309" s="1543">
        <f>'ANSP Capex'!AW305</f>
        <v>0.75</v>
      </c>
      <c r="AZ309" s="1102"/>
      <c r="BA309" s="1543">
        <f>'ANSP Capex'!AY305</f>
        <v>0.25</v>
      </c>
      <c r="BC309" s="1126"/>
      <c r="BD309" s="1126"/>
      <c r="BE309" s="1126"/>
      <c r="BF309" s="1126"/>
      <c r="BG309" s="1126"/>
      <c r="BH309" s="1126">
        <f>'ANSP Capex'!BF305*IF($I309="",(1+INDEX($I$41:$I$42,MATCH($F309,$F$41:$F$42,0))),(1+$I309))</f>
        <v>0</v>
      </c>
      <c r="BI309" s="1126">
        <f>'ANSP Capex'!BG305*IF($I309="",(1+INDEX($I$41:$I$42,MATCH($F309,$F$41:$F$42,0))),(1+$I309))</f>
        <v>12</v>
      </c>
      <c r="BJ309" s="1126">
        <f>'ANSP Capex'!BH305*IF($I309="",(1+INDEX($I$41:$I$42,MATCH($F309,$F$41:$F$42,0))),(1+$I309))</f>
        <v>12</v>
      </c>
      <c r="BK309" s="1126">
        <f>'ANSP Capex'!BI305*IF($I309="",(1+INDEX($I$41:$I$42,MATCH($F309,$F$41:$F$42,0))),(1+$I309))</f>
        <v>12</v>
      </c>
      <c r="BL309" s="1126">
        <f>'ANSP Capex'!BJ305*IF($I309="",(1+INDEX($I$41:$I$42,MATCH($F309,$F$41:$F$42,0))),(1+$I309))</f>
        <v>12</v>
      </c>
    </row>
    <row r="310" spans="3:64" outlineLevel="1">
      <c r="C310" s="1083" t="str">
        <f>'ANSP Capex'!C306</f>
        <v>Upgrades and Contingency IAA Net</v>
      </c>
      <c r="D310" s="1083" t="str">
        <f>'ANSP Capex'!D306</f>
        <v>Upgrades and Contingency IAA Net</v>
      </c>
      <c r="E310" s="1083" t="str">
        <f>'ANSP Capex'!E306</f>
        <v>S002</v>
      </c>
      <c r="F310" s="1083" t="str">
        <f>'ANSP Capex'!F306</f>
        <v>2021-2024</v>
      </c>
      <c r="G310" s="1101">
        <f t="shared" si="32"/>
        <v>160</v>
      </c>
      <c r="H310" s="1083" t="str">
        <f>'ANSP Capex'!H306</f>
        <v>€'000</v>
      </c>
      <c r="I310" s="829"/>
      <c r="J310" s="1097">
        <f>'ANSP Capex'!I306</f>
        <v>8</v>
      </c>
      <c r="K310" s="1124">
        <v>0</v>
      </c>
      <c r="L310" s="1098">
        <f t="shared" si="33"/>
        <v>96</v>
      </c>
      <c r="M310" s="153">
        <f t="shared" si="34"/>
        <v>0.125</v>
      </c>
      <c r="N310" s="1099"/>
      <c r="O310" s="1100">
        <f>'ANSP Capex'!M306</f>
        <v>0</v>
      </c>
      <c r="P310" s="1101">
        <f>IF($BH310=0,0,IF(SUM($O310:O310)&lt;($L310-12),12,$L310-SUM($O310:O310)))</f>
        <v>0</v>
      </c>
      <c r="Q310" s="1101">
        <f>IF($BH310=0,0,IF(SUM($O310:P310)&lt;($L310-12),12,$L310-SUM($O310:P310)))</f>
        <v>0</v>
      </c>
      <c r="R310" s="1101">
        <f>IF($BH310=0,0,IF(SUM($O310:Q310)&lt;($L310-12),12,$L310-SUM($O310:Q310)))</f>
        <v>0</v>
      </c>
      <c r="S310" s="1101">
        <f>IF($BH310=0,0,IF(SUM($O310:R310)&lt;($L310-12),12,$L310-SUM($O310:R310)))</f>
        <v>0</v>
      </c>
      <c r="U310" s="1100"/>
      <c r="V310" s="1100">
        <f>'ANSP Capex'!T306</f>
        <v>0</v>
      </c>
      <c r="W310" s="1101">
        <f>IF($BI310=0,0,IF(SUM($U310:V310)&lt;($L310-12),12,$L310-SUM($U310:V310)))</f>
        <v>0</v>
      </c>
      <c r="X310" s="1101">
        <f>IF($BI310=0,0,IF(SUM($U310:W310)&lt;($L310-12),12,$L310-SUM($U310:W310)))</f>
        <v>0</v>
      </c>
      <c r="Y310" s="1101">
        <f>IF($BI310=0,0,IF(SUM($U310:X310)&lt;($L310-12),12,$L310-SUM($U310:X310)))</f>
        <v>0</v>
      </c>
      <c r="AA310" s="1100"/>
      <c r="AB310" s="1100"/>
      <c r="AC310" s="1100">
        <f>'ANSP Capex'!AA306</f>
        <v>3</v>
      </c>
      <c r="AD310" s="1101">
        <f>IF($BJ310=0,0,IF(SUM($AA310:AC310)&lt;($L310-12),12,$L310-SUM($AA310:AC310)))</f>
        <v>12</v>
      </c>
      <c r="AE310" s="1101">
        <f>IF($BJ310=0,0,IF(SUM($AA310:AD310)&lt;($L310-12),12,$L310-SUM($AA310:AD310)))</f>
        <v>12</v>
      </c>
      <c r="AG310" s="1100"/>
      <c r="AH310" s="1100"/>
      <c r="AI310" s="1100"/>
      <c r="AJ310" s="1100">
        <f>'ANSP Capex'!AH306</f>
        <v>0</v>
      </c>
      <c r="AK310" s="1101">
        <f>IF($BK310=0,0,IF(SUM($AG310:AJ310)&lt;($L310-12),12,$L310-SUM($AG310:AJ310)))</f>
        <v>0</v>
      </c>
      <c r="AM310" s="1100"/>
      <c r="AN310" s="1100"/>
      <c r="AO310" s="1100"/>
      <c r="AP310" s="1100"/>
      <c r="AQ310" s="1100">
        <f>'ANSP Capex'!AO306</f>
        <v>0</v>
      </c>
      <c r="AS310" s="153">
        <f t="shared" si="35"/>
        <v>0</v>
      </c>
      <c r="AT310" s="153">
        <f t="shared" si="36"/>
        <v>0</v>
      </c>
      <c r="AU310" s="153">
        <f t="shared" si="37"/>
        <v>0.25</v>
      </c>
      <c r="AV310" s="153">
        <f t="shared" si="38"/>
        <v>0</v>
      </c>
      <c r="AW310" s="153">
        <f t="shared" si="39"/>
        <v>0</v>
      </c>
      <c r="AX310" s="153"/>
      <c r="AY310" s="1543">
        <f>'ANSP Capex'!AW306</f>
        <v>0.75</v>
      </c>
      <c r="AZ310" s="1102"/>
      <c r="BA310" s="1543">
        <f>'ANSP Capex'!AY306</f>
        <v>0.25</v>
      </c>
      <c r="BC310" s="1126"/>
      <c r="BD310" s="1126"/>
      <c r="BE310" s="1126"/>
      <c r="BF310" s="1126"/>
      <c r="BG310" s="1126"/>
      <c r="BH310" s="1126">
        <f>'ANSP Capex'!BF306*IF($I310="",(1+INDEX($I$41:$I$42,MATCH($F310,$F$41:$F$42,0))),(1+$I310))</f>
        <v>0</v>
      </c>
      <c r="BI310" s="1126">
        <f>'ANSP Capex'!BG306*IF($I310="",(1+INDEX($I$41:$I$42,MATCH($F310,$F$41:$F$42,0))),(1+$I310))</f>
        <v>0</v>
      </c>
      <c r="BJ310" s="1126">
        <f>'ANSP Capex'!BH306*IF($I310="",(1+INDEX($I$41:$I$42,MATCH($F310,$F$41:$F$42,0))),(1+$I310))</f>
        <v>160</v>
      </c>
      <c r="BK310" s="1126">
        <f>'ANSP Capex'!BI306*IF($I310="",(1+INDEX($I$41:$I$42,MATCH($F310,$F$41:$F$42,0))),(1+$I310))</f>
        <v>0</v>
      </c>
      <c r="BL310" s="1126">
        <f>'ANSP Capex'!BJ306*IF($I310="",(1+INDEX($I$41:$I$42,MATCH($F310,$F$41:$F$42,0))),(1+$I310))</f>
        <v>0</v>
      </c>
    </row>
    <row r="311" spans="3:64" outlineLevel="1">
      <c r="C311" s="1083" t="str">
        <f>'ANSP Capex'!C307</f>
        <v>New En Route Contingency Facility</v>
      </c>
      <c r="D311" s="1083" t="str">
        <f>'ANSP Capex'!D307</f>
        <v>New En Route Contingency Facility</v>
      </c>
      <c r="E311" s="1083" t="str">
        <f>'ANSP Capex'!E307</f>
        <v>N004</v>
      </c>
      <c r="F311" s="1083" t="str">
        <f>'ANSP Capex'!F307</f>
        <v>2021-2024</v>
      </c>
      <c r="G311" s="1101">
        <f t="shared" si="32"/>
        <v>0</v>
      </c>
      <c r="H311" s="1083" t="str">
        <f>'ANSP Capex'!H307</f>
        <v>€'000</v>
      </c>
      <c r="I311" s="829"/>
      <c r="J311" s="1097">
        <f>'ANSP Capex'!I307</f>
        <v>8</v>
      </c>
      <c r="K311" s="1124">
        <v>0</v>
      </c>
      <c r="L311" s="1098">
        <f t="shared" si="33"/>
        <v>96</v>
      </c>
      <c r="M311" s="153">
        <f t="shared" si="34"/>
        <v>0.125</v>
      </c>
      <c r="N311" s="1099"/>
      <c r="O311" s="1100">
        <f>'ANSP Capex'!M307</f>
        <v>0</v>
      </c>
      <c r="P311" s="1101">
        <f>IF($BH311=0,0,IF(SUM($O311:O311)&lt;($L311-12),12,$L311-SUM($O311:O311)))</f>
        <v>0</v>
      </c>
      <c r="Q311" s="1101">
        <f>IF($BH311=0,0,IF(SUM($O311:P311)&lt;($L311-12),12,$L311-SUM($O311:P311)))</f>
        <v>0</v>
      </c>
      <c r="R311" s="1101">
        <f>IF($BH311=0,0,IF(SUM($O311:Q311)&lt;($L311-12),12,$L311-SUM($O311:Q311)))</f>
        <v>0</v>
      </c>
      <c r="S311" s="1101">
        <f>IF($BH311=0,0,IF(SUM($O311:R311)&lt;($L311-12),12,$L311-SUM($O311:R311)))</f>
        <v>0</v>
      </c>
      <c r="U311" s="1100"/>
      <c r="V311" s="1100">
        <f>'ANSP Capex'!T307</f>
        <v>0</v>
      </c>
      <c r="W311" s="1101">
        <f>IF($BI311=0,0,IF(SUM($U311:V311)&lt;($L311-12),12,$L311-SUM($U311:V311)))</f>
        <v>0</v>
      </c>
      <c r="X311" s="1101">
        <f>IF($BI311=0,0,IF(SUM($U311:W311)&lt;($L311-12),12,$L311-SUM($U311:W311)))</f>
        <v>0</v>
      </c>
      <c r="Y311" s="1101">
        <f>IF($BI311=0,0,IF(SUM($U311:X311)&lt;($L311-12),12,$L311-SUM($U311:X311)))</f>
        <v>0</v>
      </c>
      <c r="AA311" s="1100"/>
      <c r="AB311" s="1100"/>
      <c r="AC311" s="1100">
        <f>'ANSP Capex'!AA307</f>
        <v>0</v>
      </c>
      <c r="AD311" s="1101">
        <f>IF($BJ311=0,0,IF(SUM($AA311:AC311)&lt;($L311-12),12,$L311-SUM($AA311:AC311)))</f>
        <v>0</v>
      </c>
      <c r="AE311" s="1101">
        <f>IF($BJ311=0,0,IF(SUM($AA311:AD311)&lt;($L311-12),12,$L311-SUM($AA311:AD311)))</f>
        <v>0</v>
      </c>
      <c r="AG311" s="1100"/>
      <c r="AH311" s="1100"/>
      <c r="AI311" s="1100"/>
      <c r="AJ311" s="1100">
        <f>'ANSP Capex'!AH307</f>
        <v>0</v>
      </c>
      <c r="AK311" s="1101">
        <f>IF($BK311=0,0,IF(SUM($AG311:AJ311)&lt;($L311-12),12,$L311-SUM($AG311:AJ311)))</f>
        <v>0</v>
      </c>
      <c r="AM311" s="1100"/>
      <c r="AN311" s="1100"/>
      <c r="AO311" s="1100"/>
      <c r="AP311" s="1100"/>
      <c r="AQ311" s="1100">
        <f>'ANSP Capex'!AO307</f>
        <v>0</v>
      </c>
      <c r="AS311" s="153">
        <f t="shared" si="35"/>
        <v>0</v>
      </c>
      <c r="AT311" s="153">
        <f t="shared" si="36"/>
        <v>0</v>
      </c>
      <c r="AU311" s="153">
        <f t="shared" si="37"/>
        <v>0</v>
      </c>
      <c r="AV311" s="153">
        <f t="shared" si="38"/>
        <v>0</v>
      </c>
      <c r="AW311" s="153">
        <f t="shared" si="39"/>
        <v>0</v>
      </c>
      <c r="AX311" s="153"/>
      <c r="AY311" s="1543">
        <f>'ANSP Capex'!AW307</f>
        <v>1</v>
      </c>
      <c r="AZ311" s="1102"/>
      <c r="BA311" s="1543">
        <f>'ANSP Capex'!AY307</f>
        <v>0</v>
      </c>
      <c r="BC311" s="1126"/>
      <c r="BD311" s="1126"/>
      <c r="BE311" s="1126"/>
      <c r="BF311" s="1126"/>
      <c r="BG311" s="1126"/>
      <c r="BH311" s="1126">
        <f>'ANSP Capex'!BF307*IF($I311="",(1+INDEX($I$41:$I$42,MATCH($F311,$F$41:$F$42,0))),(1+$I311))</f>
        <v>0</v>
      </c>
      <c r="BI311" s="1126">
        <f>'ANSP Capex'!BG307*IF($I311="",(1+INDEX($I$41:$I$42,MATCH($F311,$F$41:$F$42,0))),(1+$I311))</f>
        <v>0</v>
      </c>
      <c r="BJ311" s="1126">
        <f>'ANSP Capex'!BH307*IF($I311="",(1+INDEX($I$41:$I$42,MATCH($F311,$F$41:$F$42,0))),(1+$I311))</f>
        <v>0</v>
      </c>
      <c r="BK311" s="1126">
        <f>'ANSP Capex'!BI307*IF($I311="",(1+INDEX($I$41:$I$42,MATCH($F311,$F$41:$F$42,0))),(1+$I311))</f>
        <v>0</v>
      </c>
      <c r="BL311" s="1126">
        <f>'ANSP Capex'!BJ307*IF($I311="",(1+INDEX($I$41:$I$42,MATCH($F311,$F$41:$F$42,0))),(1+$I311))</f>
        <v>0</v>
      </c>
    </row>
    <row r="312" spans="3:64" outlineLevel="1">
      <c r="C312" s="1083" t="str">
        <f>'ANSP Capex'!C308</f>
        <v>New En Route Contingency Facility - ATM Equipment</v>
      </c>
      <c r="D312" s="1083" t="str">
        <f>'ANSP Capex'!D308</f>
        <v>New En Route Contingency Facility</v>
      </c>
      <c r="E312" s="1083" t="str">
        <f>'ANSP Capex'!E308</f>
        <v>N004A</v>
      </c>
      <c r="F312" s="1083" t="str">
        <f>'ANSP Capex'!F308</f>
        <v>2021-2024</v>
      </c>
      <c r="G312" s="1101">
        <f t="shared" si="32"/>
        <v>158.64884800000343</v>
      </c>
      <c r="H312" s="1083" t="str">
        <f>'ANSP Capex'!H308</f>
        <v>€'000</v>
      </c>
      <c r="I312" s="829"/>
      <c r="J312" s="1097">
        <f>'ANSP Capex'!I308</f>
        <v>8</v>
      </c>
      <c r="K312" s="1124">
        <v>0</v>
      </c>
      <c r="L312" s="1098">
        <f t="shared" si="33"/>
        <v>96</v>
      </c>
      <c r="M312" s="153">
        <f t="shared" si="34"/>
        <v>0.125</v>
      </c>
      <c r="N312" s="1099"/>
      <c r="O312" s="1100">
        <f>'ANSP Capex'!M308</f>
        <v>0</v>
      </c>
      <c r="P312" s="1101">
        <f>IF($BH312=0,0,IF(SUM($O312:O312)&lt;($L312-12),12,$L312-SUM($O312:O312)))</f>
        <v>0</v>
      </c>
      <c r="Q312" s="1101">
        <f>IF($BH312=0,0,IF(SUM($O312:P312)&lt;($L312-12),12,$L312-SUM($O312:P312)))</f>
        <v>0</v>
      </c>
      <c r="R312" s="1101">
        <f>IF($BH312=0,0,IF(SUM($O312:Q312)&lt;($L312-12),12,$L312-SUM($O312:Q312)))</f>
        <v>0</v>
      </c>
      <c r="S312" s="1101">
        <f>IF($BH312=0,0,IF(SUM($O312:R312)&lt;($L312-12),12,$L312-SUM($O312:R312)))</f>
        <v>0</v>
      </c>
      <c r="U312" s="1100"/>
      <c r="V312" s="1100">
        <f>'ANSP Capex'!T308</f>
        <v>0</v>
      </c>
      <c r="W312" s="1101">
        <f>IF($BI312=0,0,IF(SUM($U312:V312)&lt;($L312-12),12,$L312-SUM($U312:V312)))</f>
        <v>0</v>
      </c>
      <c r="X312" s="1101">
        <f>IF($BI312=0,0,IF(SUM($U312:W312)&lt;($L312-12),12,$L312-SUM($U312:W312)))</f>
        <v>0</v>
      </c>
      <c r="Y312" s="1101">
        <f>IF($BI312=0,0,IF(SUM($U312:X312)&lt;($L312-12),12,$L312-SUM($U312:X312)))</f>
        <v>0</v>
      </c>
      <c r="AA312" s="1100"/>
      <c r="AB312" s="1100"/>
      <c r="AC312" s="1100">
        <f>'ANSP Capex'!AA308</f>
        <v>3</v>
      </c>
      <c r="AD312" s="1101">
        <f>IF($BJ312=0,0,IF(SUM($AA312:AC312)&lt;($L312-12),12,$L312-SUM($AA312:AC312)))</f>
        <v>12</v>
      </c>
      <c r="AE312" s="1101">
        <f>IF($BJ312=0,0,IF(SUM($AA312:AD312)&lt;($L312-12),12,$L312-SUM($AA312:AD312)))</f>
        <v>12</v>
      </c>
      <c r="AG312" s="1100"/>
      <c r="AH312" s="1100"/>
      <c r="AI312" s="1100"/>
      <c r="AJ312" s="1100">
        <f>'ANSP Capex'!AH308</f>
        <v>0</v>
      </c>
      <c r="AK312" s="1101">
        <f>IF($BK312=0,0,IF(SUM($AG312:AJ312)&lt;($L312-12),12,$L312-SUM($AG312:AJ312)))</f>
        <v>0</v>
      </c>
      <c r="AM312" s="1100"/>
      <c r="AN312" s="1100"/>
      <c r="AO312" s="1100"/>
      <c r="AP312" s="1100"/>
      <c r="AQ312" s="1100">
        <f>'ANSP Capex'!AO308</f>
        <v>0</v>
      </c>
      <c r="AS312" s="153">
        <f t="shared" si="35"/>
        <v>0</v>
      </c>
      <c r="AT312" s="153">
        <f t="shared" si="36"/>
        <v>0</v>
      </c>
      <c r="AU312" s="153">
        <f t="shared" si="37"/>
        <v>0.25</v>
      </c>
      <c r="AV312" s="153">
        <f t="shared" si="38"/>
        <v>0</v>
      </c>
      <c r="AW312" s="153">
        <f t="shared" si="39"/>
        <v>0</v>
      </c>
      <c r="AX312" s="153"/>
      <c r="AY312" s="1543">
        <f>'ANSP Capex'!AW308</f>
        <v>1</v>
      </c>
      <c r="AZ312" s="1102"/>
      <c r="BA312" s="1543">
        <f>'ANSP Capex'!AY308</f>
        <v>0</v>
      </c>
      <c r="BC312" s="1126"/>
      <c r="BD312" s="1126"/>
      <c r="BE312" s="1126"/>
      <c r="BF312" s="1126"/>
      <c r="BG312" s="1126"/>
      <c r="BH312" s="1126">
        <f>'ANSP Capex'!BF308*IF($I312="",(1+INDEX($I$41:$I$42,MATCH($F312,$F$41:$F$42,0))),(1+$I312))</f>
        <v>0</v>
      </c>
      <c r="BI312" s="1126">
        <f>'ANSP Capex'!BG308*IF($I312="",(1+INDEX($I$41:$I$42,MATCH($F312,$F$41:$F$42,0))),(1+$I312))</f>
        <v>0</v>
      </c>
      <c r="BJ312" s="1126">
        <f>'ANSP Capex'!BH308*IF($I312="",(1+INDEX($I$41:$I$42,MATCH($F312,$F$41:$F$42,0))),(1+$I312))</f>
        <v>158.64884800000343</v>
      </c>
      <c r="BK312" s="1126">
        <f>'ANSP Capex'!BI308*IF($I312="",(1+INDEX($I$41:$I$42,MATCH($F312,$F$41:$F$42,0))),(1+$I312))</f>
        <v>0</v>
      </c>
      <c r="BL312" s="1126">
        <f>'ANSP Capex'!BJ308*IF($I312="",(1+INDEX($I$41:$I$42,MATCH($F312,$F$41:$F$42,0))),(1+$I312))</f>
        <v>0</v>
      </c>
    </row>
    <row r="313" spans="3:64" outlineLevel="1">
      <c r="C313" s="1083" t="str">
        <f>'ANSP Capex'!C309</f>
        <v>New En Route Contingency Facility - Building</v>
      </c>
      <c r="D313" s="1083" t="str">
        <f>'ANSP Capex'!D309</f>
        <v>New En Route Contingency Facility</v>
      </c>
      <c r="E313" s="1083" t="str">
        <f>'ANSP Capex'!E309</f>
        <v>N004A</v>
      </c>
      <c r="F313" s="1083" t="str">
        <f>'ANSP Capex'!F309</f>
        <v>2021-2024</v>
      </c>
      <c r="G313" s="1101">
        <f t="shared" si="32"/>
        <v>0</v>
      </c>
      <c r="H313" s="1083" t="str">
        <f>'ANSP Capex'!H309</f>
        <v>€'000</v>
      </c>
      <c r="I313" s="829"/>
      <c r="J313" s="1097">
        <f>'ANSP Capex'!I309</f>
        <v>20</v>
      </c>
      <c r="K313" s="1124">
        <v>0</v>
      </c>
      <c r="L313" s="1098">
        <f t="shared" si="33"/>
        <v>240</v>
      </c>
      <c r="M313" s="153">
        <f t="shared" si="34"/>
        <v>0.05</v>
      </c>
      <c r="N313" s="1099"/>
      <c r="O313" s="1100">
        <f>'ANSP Capex'!M309</f>
        <v>0</v>
      </c>
      <c r="P313" s="1101">
        <f>IF($BH313=0,0,IF(SUM($O313:O313)&lt;($L313-12),12,$L313-SUM($O313:O313)))</f>
        <v>0</v>
      </c>
      <c r="Q313" s="1101">
        <f>IF($BH313=0,0,IF(SUM($O313:P313)&lt;($L313-12),12,$L313-SUM($O313:P313)))</f>
        <v>0</v>
      </c>
      <c r="R313" s="1101">
        <f>IF($BH313=0,0,IF(SUM($O313:Q313)&lt;($L313-12),12,$L313-SUM($O313:Q313)))</f>
        <v>0</v>
      </c>
      <c r="S313" s="1101">
        <f>IF($BH313=0,0,IF(SUM($O313:R313)&lt;($L313-12),12,$L313-SUM($O313:R313)))</f>
        <v>0</v>
      </c>
      <c r="U313" s="1100"/>
      <c r="V313" s="1100">
        <f>'ANSP Capex'!T309</f>
        <v>0</v>
      </c>
      <c r="W313" s="1101">
        <f>IF($BI313=0,0,IF(SUM($U313:V313)&lt;($L313-12),12,$L313-SUM($U313:V313)))</f>
        <v>0</v>
      </c>
      <c r="X313" s="1101">
        <f>IF($BI313=0,0,IF(SUM($U313:W313)&lt;($L313-12),12,$L313-SUM($U313:W313)))</f>
        <v>0</v>
      </c>
      <c r="Y313" s="1101">
        <f>IF($BI313=0,0,IF(SUM($U313:X313)&lt;($L313-12),12,$L313-SUM($U313:X313)))</f>
        <v>0</v>
      </c>
      <c r="AA313" s="1100"/>
      <c r="AB313" s="1100"/>
      <c r="AC313" s="1100">
        <f>'ANSP Capex'!AA309</f>
        <v>0</v>
      </c>
      <c r="AD313" s="1101">
        <f>IF($BJ313=0,0,IF(SUM($AA313:AC313)&lt;($L313-12),12,$L313-SUM($AA313:AC313)))</f>
        <v>0</v>
      </c>
      <c r="AE313" s="1101">
        <f>IF($BJ313=0,0,IF(SUM($AA313:AD313)&lt;($L313-12),12,$L313-SUM($AA313:AD313)))</f>
        <v>0</v>
      </c>
      <c r="AG313" s="1100"/>
      <c r="AH313" s="1100"/>
      <c r="AI313" s="1100"/>
      <c r="AJ313" s="1100">
        <f>'ANSP Capex'!AH309</f>
        <v>0</v>
      </c>
      <c r="AK313" s="1101">
        <f>IF($BK313=0,0,IF(SUM($AG313:AJ313)&lt;($L313-12),12,$L313-SUM($AG313:AJ313)))</f>
        <v>0</v>
      </c>
      <c r="AM313" s="1100"/>
      <c r="AN313" s="1100"/>
      <c r="AO313" s="1100"/>
      <c r="AP313" s="1100"/>
      <c r="AQ313" s="1100">
        <f>'ANSP Capex'!AO309</f>
        <v>0</v>
      </c>
      <c r="AS313" s="153">
        <f t="shared" si="35"/>
        <v>0</v>
      </c>
      <c r="AT313" s="153">
        <f t="shared" si="36"/>
        <v>0</v>
      </c>
      <c r="AU313" s="153">
        <f t="shared" si="37"/>
        <v>0</v>
      </c>
      <c r="AV313" s="153">
        <f t="shared" si="38"/>
        <v>0</v>
      </c>
      <c r="AW313" s="153">
        <f t="shared" si="39"/>
        <v>0</v>
      </c>
      <c r="AX313" s="153"/>
      <c r="AY313" s="1543">
        <f>'ANSP Capex'!AW309</f>
        <v>1</v>
      </c>
      <c r="AZ313" s="1102"/>
      <c r="BA313" s="1543">
        <f>'ANSP Capex'!AY309</f>
        <v>0</v>
      </c>
      <c r="BC313" s="1126"/>
      <c r="BD313" s="1126"/>
      <c r="BE313" s="1126"/>
      <c r="BF313" s="1126"/>
      <c r="BG313" s="1126"/>
      <c r="BH313" s="1126">
        <f>'ANSP Capex'!BF309*IF($I313="",(1+INDEX($I$41:$I$42,MATCH($F313,$F$41:$F$42,0))),(1+$I313))</f>
        <v>0</v>
      </c>
      <c r="BI313" s="1126">
        <f>'ANSP Capex'!BG309*IF($I313="",(1+INDEX($I$41:$I$42,MATCH($F313,$F$41:$F$42,0))),(1+$I313))</f>
        <v>0</v>
      </c>
      <c r="BJ313" s="1126">
        <f>'ANSP Capex'!BH309*IF($I313="",(1+INDEX($I$41:$I$42,MATCH($F313,$F$41:$F$42,0))),(1+$I313))</f>
        <v>0</v>
      </c>
      <c r="BK313" s="1126">
        <f>'ANSP Capex'!BI309*IF($I313="",(1+INDEX($I$41:$I$42,MATCH($F313,$F$41:$F$42,0))),(1+$I313))</f>
        <v>0</v>
      </c>
      <c r="BL313" s="1126">
        <f>'ANSP Capex'!BJ309*IF($I313="",(1+INDEX($I$41:$I$42,MATCH($F313,$F$41:$F$42,0))),(1+$I313))</f>
        <v>0</v>
      </c>
    </row>
    <row r="314" spans="3:64" outlineLevel="1">
      <c r="C314" s="1083" t="str">
        <f>'ANSP Capex'!C310</f>
        <v>Shannon Tower MEP</v>
      </c>
      <c r="D314" s="1083" t="str">
        <f>'ANSP Capex'!D310</f>
        <v>Shannon Tower MEP</v>
      </c>
      <c r="E314" s="1083" t="str">
        <f>'ANSP Capex'!E310</f>
        <v>J004A</v>
      </c>
      <c r="F314" s="1083" t="str">
        <f>'ANSP Capex'!F310</f>
        <v>2021-2024</v>
      </c>
      <c r="G314" s="1101">
        <f t="shared" si="32"/>
        <v>122.64784800000041</v>
      </c>
      <c r="H314" s="1083" t="str">
        <f>'ANSP Capex'!H310</f>
        <v>€'000</v>
      </c>
      <c r="I314" s="829"/>
      <c r="J314" s="1097">
        <f>'ANSP Capex'!I310</f>
        <v>8</v>
      </c>
      <c r="K314" s="1124">
        <v>0</v>
      </c>
      <c r="L314" s="1098">
        <f t="shared" si="33"/>
        <v>96</v>
      </c>
      <c r="M314" s="153">
        <f t="shared" si="34"/>
        <v>0.125</v>
      </c>
      <c r="N314" s="1099"/>
      <c r="O314" s="1100">
        <f>'ANSP Capex'!M310</f>
        <v>0</v>
      </c>
      <c r="P314" s="1101">
        <f>IF($BH314=0,0,IF(SUM($O314:O314)&lt;($L314-12),12,$L314-SUM($O314:O314)))</f>
        <v>0</v>
      </c>
      <c r="Q314" s="1101">
        <f>IF($BH314=0,0,IF(SUM($O314:P314)&lt;($L314-12),12,$L314-SUM($O314:P314)))</f>
        <v>0</v>
      </c>
      <c r="R314" s="1101">
        <f>IF($BH314=0,0,IF(SUM($O314:Q314)&lt;($L314-12),12,$L314-SUM($O314:Q314)))</f>
        <v>0</v>
      </c>
      <c r="S314" s="1101">
        <f>IF($BH314=0,0,IF(SUM($O314:R314)&lt;($L314-12),12,$L314-SUM($O314:R314)))</f>
        <v>0</v>
      </c>
      <c r="U314" s="1100"/>
      <c r="V314" s="1100">
        <f>'ANSP Capex'!T310</f>
        <v>6</v>
      </c>
      <c r="W314" s="1101">
        <f>IF($BI314=0,0,IF(SUM($U314:V314)&lt;($L314-12),12,$L314-SUM($U314:V314)))</f>
        <v>12</v>
      </c>
      <c r="X314" s="1101">
        <f>IF($BI314=0,0,IF(SUM($U314:W314)&lt;($L314-12),12,$L314-SUM($U314:W314)))</f>
        <v>12</v>
      </c>
      <c r="Y314" s="1101">
        <f>IF($BI314=0,0,IF(SUM($U314:X314)&lt;($L314-12),12,$L314-SUM($U314:X314)))</f>
        <v>12</v>
      </c>
      <c r="AA314" s="1100"/>
      <c r="AB314" s="1100"/>
      <c r="AC314" s="1100">
        <f>'ANSP Capex'!AA310</f>
        <v>0</v>
      </c>
      <c r="AD314" s="1101">
        <f>IF($BJ314=0,0,IF(SUM($AA314:AC314)&lt;($L314-12),12,$L314-SUM($AA314:AC314)))</f>
        <v>0</v>
      </c>
      <c r="AE314" s="1101">
        <f>IF($BJ314=0,0,IF(SUM($AA314:AD314)&lt;($L314-12),12,$L314-SUM($AA314:AD314)))</f>
        <v>0</v>
      </c>
      <c r="AG314" s="1100"/>
      <c r="AH314" s="1100"/>
      <c r="AI314" s="1100"/>
      <c r="AJ314" s="1100">
        <f>'ANSP Capex'!AH310</f>
        <v>0</v>
      </c>
      <c r="AK314" s="1101">
        <f>IF($BK314=0,0,IF(SUM($AG314:AJ314)&lt;($L314-12),12,$L314-SUM($AG314:AJ314)))</f>
        <v>0</v>
      </c>
      <c r="AM314" s="1100"/>
      <c r="AN314" s="1100"/>
      <c r="AO314" s="1100"/>
      <c r="AP314" s="1100"/>
      <c r="AQ314" s="1100">
        <f>'ANSP Capex'!AO310</f>
        <v>0</v>
      </c>
      <c r="AS314" s="153">
        <f t="shared" si="35"/>
        <v>0</v>
      </c>
      <c r="AT314" s="153">
        <f t="shared" si="36"/>
        <v>0.5</v>
      </c>
      <c r="AU314" s="153">
        <f t="shared" si="37"/>
        <v>0</v>
      </c>
      <c r="AV314" s="153">
        <f t="shared" si="38"/>
        <v>0</v>
      </c>
      <c r="AW314" s="153">
        <f t="shared" si="39"/>
        <v>0</v>
      </c>
      <c r="AX314" s="153"/>
      <c r="AY314" s="1543">
        <f>'ANSP Capex'!AW310</f>
        <v>0.75</v>
      </c>
      <c r="AZ314" s="1102"/>
      <c r="BA314" s="1543">
        <f>'ANSP Capex'!AY310</f>
        <v>0.25</v>
      </c>
      <c r="BC314" s="1126"/>
      <c r="BD314" s="1126"/>
      <c r="BE314" s="1126"/>
      <c r="BF314" s="1126"/>
      <c r="BG314" s="1126"/>
      <c r="BH314" s="1126">
        <f>'ANSP Capex'!BF310*IF($I314="",(1+INDEX($I$41:$I$42,MATCH($F314,$F$41:$F$42,0))),(1+$I314))</f>
        <v>0</v>
      </c>
      <c r="BI314" s="1126">
        <f>'ANSP Capex'!BG310*IF($I314="",(1+INDEX($I$41:$I$42,MATCH($F314,$F$41:$F$42,0))),(1+$I314))</f>
        <v>122.64784800000041</v>
      </c>
      <c r="BJ314" s="1126">
        <f>'ANSP Capex'!BH310*IF($I314="",(1+INDEX($I$41:$I$42,MATCH($F314,$F$41:$F$42,0))),(1+$I314))</f>
        <v>0</v>
      </c>
      <c r="BK314" s="1126">
        <f>'ANSP Capex'!BI310*IF($I314="",(1+INDEX($I$41:$I$42,MATCH($F314,$F$41:$F$42,0))),(1+$I314))</f>
        <v>0</v>
      </c>
      <c r="BL314" s="1126">
        <f>'ANSP Capex'!BJ310*IF($I314="",(1+INDEX($I$41:$I$42,MATCH($F314,$F$41:$F$42,0))),(1+$I314))</f>
        <v>0</v>
      </c>
    </row>
    <row r="315" spans="3:64" outlineLevel="1">
      <c r="C315" s="1083" t="str">
        <f>'ANSP Capex'!C311</f>
        <v>UMT Drone Protection System</v>
      </c>
      <c r="D315" s="1083" t="str">
        <f>'ANSP Capex'!D311</f>
        <v>UMT Drone Protection System</v>
      </c>
      <c r="E315" s="1083" t="str">
        <f>'ANSP Capex'!E311</f>
        <v>RP3-FDPS-2</v>
      </c>
      <c r="F315" s="1083" t="str">
        <f>'ANSP Capex'!F311</f>
        <v>2021-2024</v>
      </c>
      <c r="G315" s="1101">
        <f t="shared" si="32"/>
        <v>120</v>
      </c>
      <c r="H315" s="1083" t="str">
        <f>'ANSP Capex'!H311</f>
        <v>€'000</v>
      </c>
      <c r="I315" s="829"/>
      <c r="J315" s="1097">
        <f>'ANSP Capex'!I311</f>
        <v>8</v>
      </c>
      <c r="K315" s="1124">
        <v>0</v>
      </c>
      <c r="L315" s="1098">
        <f t="shared" si="33"/>
        <v>96</v>
      </c>
      <c r="M315" s="153">
        <f t="shared" si="34"/>
        <v>0.125</v>
      </c>
      <c r="N315" s="1099"/>
      <c r="O315" s="1100">
        <f>'ANSP Capex'!M311</f>
        <v>0</v>
      </c>
      <c r="P315" s="1101">
        <f>IF($BH315=0,0,IF(SUM($O315:O315)&lt;($L315-12),12,$L315-SUM($O315:O315)))</f>
        <v>0</v>
      </c>
      <c r="Q315" s="1101">
        <f>IF($BH315=0,0,IF(SUM($O315:P315)&lt;($L315-12),12,$L315-SUM($O315:P315)))</f>
        <v>0</v>
      </c>
      <c r="R315" s="1101">
        <f>IF($BH315=0,0,IF(SUM($O315:Q315)&lt;($L315-12),12,$L315-SUM($O315:Q315)))</f>
        <v>0</v>
      </c>
      <c r="S315" s="1101">
        <f>IF($BH315=0,0,IF(SUM($O315:R315)&lt;($L315-12),12,$L315-SUM($O315:R315)))</f>
        <v>0</v>
      </c>
      <c r="U315" s="1100"/>
      <c r="V315" s="1100">
        <f>'ANSP Capex'!T311</f>
        <v>0</v>
      </c>
      <c r="W315" s="1101">
        <f>IF($BI315=0,0,IF(SUM($U315:V315)&lt;($L315-12),12,$L315-SUM($U315:V315)))</f>
        <v>0</v>
      </c>
      <c r="X315" s="1101">
        <f>IF($BI315=0,0,IF(SUM($U315:W315)&lt;($L315-12),12,$L315-SUM($U315:W315)))</f>
        <v>0</v>
      </c>
      <c r="Y315" s="1101">
        <f>IF($BI315=0,0,IF(SUM($U315:X315)&lt;($L315-12),12,$L315-SUM($U315:X315)))</f>
        <v>0</v>
      </c>
      <c r="AA315" s="1100"/>
      <c r="AB315" s="1100"/>
      <c r="AC315" s="1100">
        <f>'ANSP Capex'!AA311</f>
        <v>0</v>
      </c>
      <c r="AD315" s="1101">
        <f>IF($BJ315=0,0,IF(SUM($AA315:AC315)&lt;($L315-12),12,$L315-SUM($AA315:AC315)))</f>
        <v>0</v>
      </c>
      <c r="AE315" s="1101">
        <f>IF($BJ315=0,0,IF(SUM($AA315:AD315)&lt;($L315-12),12,$L315-SUM($AA315:AD315)))</f>
        <v>0</v>
      </c>
      <c r="AG315" s="1100"/>
      <c r="AH315" s="1100"/>
      <c r="AI315" s="1100"/>
      <c r="AJ315" s="1100">
        <f>'ANSP Capex'!AH311</f>
        <v>0</v>
      </c>
      <c r="AK315" s="1101">
        <f>IF($BK315=0,0,IF(SUM($AG315:AJ315)&lt;($L315-12),12,$L315-SUM($AG315:AJ315)))</f>
        <v>0</v>
      </c>
      <c r="AM315" s="1100"/>
      <c r="AN315" s="1100"/>
      <c r="AO315" s="1100"/>
      <c r="AP315" s="1100"/>
      <c r="AQ315" s="1100">
        <f>'ANSP Capex'!AO311</f>
        <v>9</v>
      </c>
      <c r="AS315" s="153">
        <f t="shared" si="35"/>
        <v>0</v>
      </c>
      <c r="AT315" s="153">
        <f t="shared" si="36"/>
        <v>0</v>
      </c>
      <c r="AU315" s="153">
        <f t="shared" si="37"/>
        <v>0</v>
      </c>
      <c r="AV315" s="153">
        <f t="shared" si="38"/>
        <v>0</v>
      </c>
      <c r="AW315" s="153">
        <f t="shared" si="39"/>
        <v>0.75</v>
      </c>
      <c r="AX315" s="153"/>
      <c r="AY315" s="1543">
        <f>'ANSP Capex'!AW311</f>
        <v>0</v>
      </c>
      <c r="AZ315" s="1102"/>
      <c r="BA315" s="1543">
        <f>'ANSP Capex'!AY311</f>
        <v>1</v>
      </c>
      <c r="BC315" s="1126"/>
      <c r="BD315" s="1126"/>
      <c r="BE315" s="1126"/>
      <c r="BF315" s="1126"/>
      <c r="BG315" s="1126"/>
      <c r="BH315" s="1126">
        <f>'ANSP Capex'!BF311*IF($I315="",(1+INDEX($I$41:$I$42,MATCH($F315,$F$41:$F$42,0))),(1+$I315))</f>
        <v>0</v>
      </c>
      <c r="BI315" s="1126">
        <f>'ANSP Capex'!BG311*IF($I315="",(1+INDEX($I$41:$I$42,MATCH($F315,$F$41:$F$42,0))),(1+$I315))</f>
        <v>0</v>
      </c>
      <c r="BJ315" s="1126">
        <f>'ANSP Capex'!BH311*IF($I315="",(1+INDEX($I$41:$I$42,MATCH($F315,$F$41:$F$42,0))),(1+$I315))</f>
        <v>0</v>
      </c>
      <c r="BK315" s="1126">
        <f>'ANSP Capex'!BI311*IF($I315="",(1+INDEX($I$41:$I$42,MATCH($F315,$F$41:$F$42,0))),(1+$I315))</f>
        <v>0</v>
      </c>
      <c r="BL315" s="1126">
        <f>'ANSP Capex'!BJ311*IF($I315="",(1+INDEX($I$41:$I$42,MATCH($F315,$F$41:$F$42,0))),(1+$I315))</f>
        <v>120</v>
      </c>
    </row>
    <row r="316" spans="3:64" outlineLevel="1">
      <c r="C316" s="1083" t="str">
        <f>'ANSP Capex'!C312</f>
        <v>Enhancements to Financial Management Systems</v>
      </c>
      <c r="D316" s="1083" t="str">
        <f>'ANSP Capex'!D312</f>
        <v>Enhancements to Financial Management Systems</v>
      </c>
      <c r="E316" s="1083" t="str">
        <f>'ANSP Capex'!E312</f>
        <v>Q019</v>
      </c>
      <c r="F316" s="1083" t="str">
        <f>'ANSP Capex'!F312</f>
        <v>2021-2024</v>
      </c>
      <c r="G316" s="1101">
        <f t="shared" si="32"/>
        <v>120</v>
      </c>
      <c r="H316" s="1083" t="str">
        <f>'ANSP Capex'!H312</f>
        <v>€'000</v>
      </c>
      <c r="I316" s="829"/>
      <c r="J316" s="1097">
        <f>'ANSP Capex'!I312</f>
        <v>8</v>
      </c>
      <c r="K316" s="1124">
        <v>0</v>
      </c>
      <c r="L316" s="1098">
        <f t="shared" si="33"/>
        <v>96</v>
      </c>
      <c r="M316" s="153">
        <f t="shared" si="34"/>
        <v>0.125</v>
      </c>
      <c r="N316" s="1099"/>
      <c r="O316" s="1100">
        <f>'ANSP Capex'!M312</f>
        <v>0</v>
      </c>
      <c r="P316" s="1101">
        <f>IF($BH316=0,0,IF(SUM($O316:O316)&lt;($L316-12),12,$L316-SUM($O316:O316)))</f>
        <v>0</v>
      </c>
      <c r="Q316" s="1101">
        <f>IF($BH316=0,0,IF(SUM($O316:P316)&lt;($L316-12),12,$L316-SUM($O316:P316)))</f>
        <v>0</v>
      </c>
      <c r="R316" s="1101">
        <f>IF($BH316=0,0,IF(SUM($O316:Q316)&lt;($L316-12),12,$L316-SUM($O316:Q316)))</f>
        <v>0</v>
      </c>
      <c r="S316" s="1101">
        <f>IF($BH316=0,0,IF(SUM($O316:R316)&lt;($L316-12),12,$L316-SUM($O316:R316)))</f>
        <v>0</v>
      </c>
      <c r="U316" s="1100"/>
      <c r="V316" s="1100">
        <f>'ANSP Capex'!T312</f>
        <v>0</v>
      </c>
      <c r="W316" s="1101">
        <f>IF($BI316=0,0,IF(SUM($U316:V316)&lt;($L316-12),12,$L316-SUM($U316:V316)))</f>
        <v>0</v>
      </c>
      <c r="X316" s="1101">
        <f>IF($BI316=0,0,IF(SUM($U316:W316)&lt;($L316-12),12,$L316-SUM($U316:W316)))</f>
        <v>0</v>
      </c>
      <c r="Y316" s="1101">
        <f>IF($BI316=0,0,IF(SUM($U316:X316)&lt;($L316-12),12,$L316-SUM($U316:X316)))</f>
        <v>0</v>
      </c>
      <c r="AA316" s="1100"/>
      <c r="AB316" s="1100"/>
      <c r="AC316" s="1100">
        <f>'ANSP Capex'!AA312</f>
        <v>0</v>
      </c>
      <c r="AD316" s="1101">
        <f>IF($BJ316=0,0,IF(SUM($AA316:AC316)&lt;($L316-12),12,$L316-SUM($AA316:AC316)))</f>
        <v>0</v>
      </c>
      <c r="AE316" s="1101">
        <f>IF($BJ316=0,0,IF(SUM($AA316:AD316)&lt;($L316-12),12,$L316-SUM($AA316:AD316)))</f>
        <v>0</v>
      </c>
      <c r="AG316" s="1100"/>
      <c r="AH316" s="1100"/>
      <c r="AI316" s="1100"/>
      <c r="AJ316" s="1100">
        <f>'ANSP Capex'!AH312</f>
        <v>12</v>
      </c>
      <c r="AK316" s="1101">
        <f>IF($BK316=0,0,IF(SUM($AG316:AJ316)&lt;($L316-12),12,$L316-SUM($AG316:AJ316)))</f>
        <v>12</v>
      </c>
      <c r="AM316" s="1100"/>
      <c r="AN316" s="1100"/>
      <c r="AO316" s="1100"/>
      <c r="AP316" s="1100"/>
      <c r="AQ316" s="1100">
        <f>'ANSP Capex'!AO312</f>
        <v>0</v>
      </c>
      <c r="AS316" s="153">
        <f t="shared" si="35"/>
        <v>0</v>
      </c>
      <c r="AT316" s="153">
        <f t="shared" si="36"/>
        <v>0</v>
      </c>
      <c r="AU316" s="153">
        <f t="shared" si="37"/>
        <v>0</v>
      </c>
      <c r="AV316" s="153">
        <f t="shared" si="38"/>
        <v>1</v>
      </c>
      <c r="AW316" s="153">
        <f t="shared" si="39"/>
        <v>0</v>
      </c>
      <c r="AX316" s="153"/>
      <c r="AY316" s="1543">
        <f>'ANSP Capex'!AW312</f>
        <v>0.73</v>
      </c>
      <c r="AZ316" s="1102"/>
      <c r="BA316" s="1543">
        <f>'ANSP Capex'!AY312</f>
        <v>0.15</v>
      </c>
      <c r="BC316" s="1126"/>
      <c r="BD316" s="1126"/>
      <c r="BE316" s="1126"/>
      <c r="BF316" s="1126"/>
      <c r="BG316" s="1126"/>
      <c r="BH316" s="1126">
        <f>'ANSP Capex'!BF312*IF($I316="",(1+INDEX($I$41:$I$42,MATCH($F316,$F$41:$F$42,0))),(1+$I316))</f>
        <v>0</v>
      </c>
      <c r="BI316" s="1126">
        <f>'ANSP Capex'!BG312*IF($I316="",(1+INDEX($I$41:$I$42,MATCH($F316,$F$41:$F$42,0))),(1+$I316))</f>
        <v>0</v>
      </c>
      <c r="BJ316" s="1126">
        <f>'ANSP Capex'!BH312*IF($I316="",(1+INDEX($I$41:$I$42,MATCH($F316,$F$41:$F$42,0))),(1+$I316))</f>
        <v>0</v>
      </c>
      <c r="BK316" s="1126">
        <f>'ANSP Capex'!BI312*IF($I316="",(1+INDEX($I$41:$I$42,MATCH($F316,$F$41:$F$42,0))),(1+$I316))</f>
        <v>120</v>
      </c>
      <c r="BL316" s="1126">
        <f>'ANSP Capex'!BJ312*IF($I316="",(1+INDEX($I$41:$I$42,MATCH($F316,$F$41:$F$42,0))),(1+$I316))</f>
        <v>0</v>
      </c>
    </row>
    <row r="317" spans="3:64" outlineLevel="1">
      <c r="C317" s="1083" t="str">
        <f>'ANSP Capex'!C313</f>
        <v>Quadrant Roof-Light in Dublin ACC</v>
      </c>
      <c r="D317" s="1083" t="str">
        <f>'ANSP Capex'!D313</f>
        <v>Quadrant Roof-Light in Dublin ACC</v>
      </c>
      <c r="E317" s="1083" t="str">
        <f>'ANSP Capex'!E313</f>
        <v>S020</v>
      </c>
      <c r="F317" s="1083" t="str">
        <f>'ANSP Capex'!F313</f>
        <v>2021-2024</v>
      </c>
      <c r="G317" s="1101">
        <f t="shared" si="32"/>
        <v>104</v>
      </c>
      <c r="H317" s="1083" t="str">
        <f>'ANSP Capex'!H313</f>
        <v>€'000</v>
      </c>
      <c r="I317" s="829"/>
      <c r="J317" s="1097">
        <f>'ANSP Capex'!I313</f>
        <v>8</v>
      </c>
      <c r="K317" s="1124">
        <v>25</v>
      </c>
      <c r="L317" s="1098">
        <f t="shared" si="33"/>
        <v>300</v>
      </c>
      <c r="M317" s="153">
        <f t="shared" si="34"/>
        <v>0.04</v>
      </c>
      <c r="N317" s="1099"/>
      <c r="O317" s="1100">
        <f>'ANSP Capex'!M313</f>
        <v>0</v>
      </c>
      <c r="P317" s="1101">
        <f>IF($BH317=0,0,IF(SUM($O317:O317)&lt;($L317-12),12,$L317-SUM($O317:O317)))</f>
        <v>0</v>
      </c>
      <c r="Q317" s="1101">
        <f>IF($BH317=0,0,IF(SUM($O317:P317)&lt;($L317-12),12,$L317-SUM($O317:P317)))</f>
        <v>0</v>
      </c>
      <c r="R317" s="1101">
        <f>IF($BH317=0,0,IF(SUM($O317:Q317)&lt;($L317-12),12,$L317-SUM($O317:Q317)))</f>
        <v>0</v>
      </c>
      <c r="S317" s="1101">
        <f>IF($BH317=0,0,IF(SUM($O317:R317)&lt;($L317-12),12,$L317-SUM($O317:R317)))</f>
        <v>0</v>
      </c>
      <c r="U317" s="1100"/>
      <c r="V317" s="1100">
        <f>'ANSP Capex'!T313</f>
        <v>0</v>
      </c>
      <c r="W317" s="1101">
        <f>IF($BI317=0,0,IF(SUM($U317:V317)&lt;($L317-12),12,$L317-SUM($U317:V317)))</f>
        <v>0</v>
      </c>
      <c r="X317" s="1101">
        <f>IF($BI317=0,0,IF(SUM($U317:W317)&lt;($L317-12),12,$L317-SUM($U317:W317)))</f>
        <v>0</v>
      </c>
      <c r="Y317" s="1101">
        <f>IF($BI317=0,0,IF(SUM($U317:X317)&lt;($L317-12),12,$L317-SUM($U317:X317)))</f>
        <v>0</v>
      </c>
      <c r="AA317" s="1100"/>
      <c r="AB317" s="1100"/>
      <c r="AC317" s="1100">
        <f>'ANSP Capex'!AA313</f>
        <v>12</v>
      </c>
      <c r="AD317" s="1101">
        <f>IF($BJ317=0,0,IF(SUM($AA317:AC317)&lt;($L317-12),12,$L317-SUM($AA317:AC317)))</f>
        <v>12</v>
      </c>
      <c r="AE317" s="1101">
        <f>IF($BJ317=0,0,IF(SUM($AA317:AD317)&lt;($L317-12),12,$L317-SUM($AA317:AD317)))</f>
        <v>12</v>
      </c>
      <c r="AG317" s="1100"/>
      <c r="AH317" s="1100"/>
      <c r="AI317" s="1100"/>
      <c r="AJ317" s="1100">
        <f>'ANSP Capex'!AH313</f>
        <v>0</v>
      </c>
      <c r="AK317" s="1101">
        <f>IF($BK317=0,0,IF(SUM($AG317:AJ317)&lt;($L317-12),12,$L317-SUM($AG317:AJ317)))</f>
        <v>0</v>
      </c>
      <c r="AM317" s="1100"/>
      <c r="AN317" s="1100"/>
      <c r="AO317" s="1100"/>
      <c r="AP317" s="1100"/>
      <c r="AQ317" s="1100">
        <f>'ANSP Capex'!AO313</f>
        <v>0</v>
      </c>
      <c r="AS317" s="153">
        <f t="shared" si="35"/>
        <v>0</v>
      </c>
      <c r="AT317" s="153">
        <f t="shared" si="36"/>
        <v>0</v>
      </c>
      <c r="AU317" s="153">
        <f t="shared" si="37"/>
        <v>1</v>
      </c>
      <c r="AV317" s="153">
        <f t="shared" si="38"/>
        <v>0</v>
      </c>
      <c r="AW317" s="153">
        <f t="shared" si="39"/>
        <v>0</v>
      </c>
      <c r="AX317" s="153"/>
      <c r="AY317" s="1543">
        <f>'ANSP Capex'!AW313</f>
        <v>0.75</v>
      </c>
      <c r="AZ317" s="1102"/>
      <c r="BA317" s="1543">
        <f>'ANSP Capex'!AY313</f>
        <v>0.25</v>
      </c>
      <c r="BC317" s="1126"/>
      <c r="BD317" s="1126"/>
      <c r="BE317" s="1126"/>
      <c r="BF317" s="1126"/>
      <c r="BG317" s="1126"/>
      <c r="BH317" s="1126">
        <f>'ANSP Capex'!BF313*IF($I317="",(1+INDEX($I$41:$I$42,MATCH($F317,$F$41:$F$42,0))),(1+$I317))</f>
        <v>0</v>
      </c>
      <c r="BI317" s="1126">
        <f>'ANSP Capex'!BG313*IF($I317="",(1+INDEX($I$41:$I$42,MATCH($F317,$F$41:$F$42,0))),(1+$I317))</f>
        <v>0</v>
      </c>
      <c r="BJ317" s="1126">
        <f>'ANSP Capex'!BH313*IF($I317="",(1+INDEX($I$41:$I$42,MATCH($F317,$F$41:$F$42,0))),(1+$I317))</f>
        <v>104</v>
      </c>
      <c r="BK317" s="1126">
        <f>'ANSP Capex'!BI313*IF($I317="",(1+INDEX($I$41:$I$42,MATCH($F317,$F$41:$F$42,0))),(1+$I317))</f>
        <v>0</v>
      </c>
      <c r="BL317" s="1126">
        <f>'ANSP Capex'!BJ313*IF($I317="",(1+INDEX($I$41:$I$42,MATCH($F317,$F$41:$F$42,0))),(1+$I317))</f>
        <v>0</v>
      </c>
    </row>
    <row r="318" spans="3:64" outlineLevel="1">
      <c r="C318" s="1083" t="str">
        <f>'ANSP Capex'!C314</f>
        <v>Generator replacement project</v>
      </c>
      <c r="D318" s="1083" t="str">
        <f>'ANSP Capex'!D314</f>
        <v>Generator replacement project</v>
      </c>
      <c r="E318" s="1083" t="str">
        <f>'ANSP Capex'!E314</f>
        <v>U010</v>
      </c>
      <c r="F318" s="1083" t="str">
        <f>'ANSP Capex'!F314</f>
        <v>2021-2024</v>
      </c>
      <c r="G318" s="1101">
        <f t="shared" si="32"/>
        <v>92</v>
      </c>
      <c r="H318" s="1083" t="str">
        <f>'ANSP Capex'!H314</f>
        <v>€'000</v>
      </c>
      <c r="I318" s="829"/>
      <c r="J318" s="1097">
        <f>'ANSP Capex'!I314</f>
        <v>8</v>
      </c>
      <c r="K318" s="1124">
        <v>0</v>
      </c>
      <c r="L318" s="1098">
        <f t="shared" si="33"/>
        <v>96</v>
      </c>
      <c r="M318" s="153">
        <f t="shared" si="34"/>
        <v>0.125</v>
      </c>
      <c r="N318" s="1099"/>
      <c r="O318" s="1100">
        <f>'ANSP Capex'!M314</f>
        <v>0</v>
      </c>
      <c r="P318" s="1101">
        <f>IF($BH318=0,0,IF(SUM($O318:O318)&lt;($L318-12),12,$L318-SUM($O318:O318)))</f>
        <v>0</v>
      </c>
      <c r="Q318" s="1101">
        <f>IF($BH318=0,0,IF(SUM($O318:P318)&lt;($L318-12),12,$L318-SUM($O318:P318)))</f>
        <v>0</v>
      </c>
      <c r="R318" s="1101">
        <f>IF($BH318=0,0,IF(SUM($O318:Q318)&lt;($L318-12),12,$L318-SUM($O318:Q318)))</f>
        <v>0</v>
      </c>
      <c r="S318" s="1101">
        <f>IF($BH318=0,0,IF(SUM($O318:R318)&lt;($L318-12),12,$L318-SUM($O318:R318)))</f>
        <v>0</v>
      </c>
      <c r="U318" s="1100"/>
      <c r="V318" s="1100">
        <f>'ANSP Capex'!T314</f>
        <v>3</v>
      </c>
      <c r="W318" s="1101">
        <f>IF($BI318=0,0,IF(SUM($U318:V318)&lt;($L318-12),12,$L318-SUM($U318:V318)))</f>
        <v>12</v>
      </c>
      <c r="X318" s="1101">
        <f>IF($BI318=0,0,IF(SUM($U318:W318)&lt;($L318-12),12,$L318-SUM($U318:W318)))</f>
        <v>12</v>
      </c>
      <c r="Y318" s="1101">
        <f>IF($BI318=0,0,IF(SUM($U318:X318)&lt;($L318-12),12,$L318-SUM($U318:X318)))</f>
        <v>12</v>
      </c>
      <c r="AA318" s="1100"/>
      <c r="AB318" s="1100"/>
      <c r="AC318" s="1100">
        <f>'ANSP Capex'!AA314</f>
        <v>0</v>
      </c>
      <c r="AD318" s="1101">
        <f>IF($BJ318=0,0,IF(SUM($AA318:AC318)&lt;($L318-12),12,$L318-SUM($AA318:AC318)))</f>
        <v>0</v>
      </c>
      <c r="AE318" s="1101">
        <f>IF($BJ318=0,0,IF(SUM($AA318:AD318)&lt;($L318-12),12,$L318-SUM($AA318:AD318)))</f>
        <v>0</v>
      </c>
      <c r="AG318" s="1100"/>
      <c r="AH318" s="1100"/>
      <c r="AI318" s="1100"/>
      <c r="AJ318" s="1100">
        <f>'ANSP Capex'!AH314</f>
        <v>0</v>
      </c>
      <c r="AK318" s="1101">
        <f>IF($BK318=0,0,IF(SUM($AG318:AJ318)&lt;($L318-12),12,$L318-SUM($AG318:AJ318)))</f>
        <v>0</v>
      </c>
      <c r="AM318" s="1100"/>
      <c r="AN318" s="1100"/>
      <c r="AO318" s="1100"/>
      <c r="AP318" s="1100"/>
      <c r="AQ318" s="1100">
        <f>'ANSP Capex'!AO314</f>
        <v>0</v>
      </c>
      <c r="AS318" s="153">
        <f t="shared" si="35"/>
        <v>0</v>
      </c>
      <c r="AT318" s="153">
        <f t="shared" si="36"/>
        <v>0.25</v>
      </c>
      <c r="AU318" s="153">
        <f t="shared" si="37"/>
        <v>0</v>
      </c>
      <c r="AV318" s="153">
        <f t="shared" si="38"/>
        <v>0</v>
      </c>
      <c r="AW318" s="153">
        <f t="shared" si="39"/>
        <v>0</v>
      </c>
      <c r="AX318" s="153"/>
      <c r="AY318" s="1543">
        <f>'ANSP Capex'!AW314</f>
        <v>0.75</v>
      </c>
      <c r="AZ318" s="1102"/>
      <c r="BA318" s="1543">
        <f>'ANSP Capex'!AY314</f>
        <v>0.25</v>
      </c>
      <c r="BC318" s="1126"/>
      <c r="BD318" s="1126"/>
      <c r="BE318" s="1126"/>
      <c r="BF318" s="1126"/>
      <c r="BG318" s="1126"/>
      <c r="BH318" s="1126">
        <f>'ANSP Capex'!BF314*IF($I318="",(1+INDEX($I$41:$I$42,MATCH($F318,$F$41:$F$42,0))),(1+$I318))</f>
        <v>0</v>
      </c>
      <c r="BI318" s="1126">
        <f>'ANSP Capex'!BG314*IF($I318="",(1+INDEX($I$41:$I$42,MATCH($F318,$F$41:$F$42,0))),(1+$I318))</f>
        <v>92</v>
      </c>
      <c r="BJ318" s="1126">
        <f>'ANSP Capex'!BH314*IF($I318="",(1+INDEX($I$41:$I$42,MATCH($F318,$F$41:$F$42,0))),(1+$I318))</f>
        <v>0</v>
      </c>
      <c r="BK318" s="1126">
        <f>'ANSP Capex'!BI314*IF($I318="",(1+INDEX($I$41:$I$42,MATCH($F318,$F$41:$F$42,0))),(1+$I318))</f>
        <v>0</v>
      </c>
      <c r="BL318" s="1126">
        <f>'ANSP Capex'!BJ314*IF($I318="",(1+INDEX($I$41:$I$42,MATCH($F318,$F$41:$F$42,0))),(1+$I318))</f>
        <v>0</v>
      </c>
    </row>
    <row r="319" spans="3:64" outlineLevel="1">
      <c r="C319" s="1083" t="str">
        <f>'ANSP Capex'!C315</f>
        <v>Replacement of COOPANS Hardware</v>
      </c>
      <c r="D319" s="1083" t="str">
        <f>'ANSP Capex'!D315</f>
        <v>COOPANS Hardware</v>
      </c>
      <c r="E319" s="1083" t="str">
        <f>'ANSP Capex'!E315</f>
        <v>Q001</v>
      </c>
      <c r="F319" s="1083" t="str">
        <f>'ANSP Capex'!F315</f>
        <v>2021-2024</v>
      </c>
      <c r="G319" s="1101">
        <f t="shared" si="32"/>
        <v>0</v>
      </c>
      <c r="H319" s="1083" t="str">
        <f>'ANSP Capex'!H315</f>
        <v>€'000</v>
      </c>
      <c r="I319" s="829"/>
      <c r="J319" s="1097">
        <f>'ANSP Capex'!I315</f>
        <v>0</v>
      </c>
      <c r="K319" s="1124">
        <v>0</v>
      </c>
      <c r="L319" s="1098">
        <f t="shared" si="33"/>
        <v>0</v>
      </c>
      <c r="M319" s="153">
        <f t="shared" si="34"/>
        <v>0</v>
      </c>
      <c r="N319" s="1099"/>
      <c r="O319" s="1100">
        <f>'ANSP Capex'!M315</f>
        <v>0</v>
      </c>
      <c r="P319" s="1101">
        <f>IF($BH319=0,0,IF(SUM($O319:O319)&lt;($L319-12),12,$L319-SUM($O319:O319)))</f>
        <v>0</v>
      </c>
      <c r="Q319" s="1101">
        <f>IF($BH319=0,0,IF(SUM($O319:P319)&lt;($L319-12),12,$L319-SUM($O319:P319)))</f>
        <v>0</v>
      </c>
      <c r="R319" s="1101">
        <f>IF($BH319=0,0,IF(SUM($O319:Q319)&lt;($L319-12),12,$L319-SUM($O319:Q319)))</f>
        <v>0</v>
      </c>
      <c r="S319" s="1101">
        <f>IF($BH319=0,0,IF(SUM($O319:R319)&lt;($L319-12),12,$L319-SUM($O319:R319)))</f>
        <v>0</v>
      </c>
      <c r="U319" s="1100"/>
      <c r="V319" s="1100">
        <f>'ANSP Capex'!T315</f>
        <v>0</v>
      </c>
      <c r="W319" s="1101">
        <f>IF($BI319=0,0,IF(SUM($U319:V319)&lt;($L319-12),12,$L319-SUM($U319:V319)))</f>
        <v>0</v>
      </c>
      <c r="X319" s="1101">
        <f>IF($BI319=0,0,IF(SUM($U319:W319)&lt;($L319-12),12,$L319-SUM($U319:W319)))</f>
        <v>0</v>
      </c>
      <c r="Y319" s="1101">
        <f>IF($BI319=0,0,IF(SUM($U319:X319)&lt;($L319-12),12,$L319-SUM($U319:X319)))</f>
        <v>0</v>
      </c>
      <c r="AA319" s="1100"/>
      <c r="AB319" s="1100"/>
      <c r="AC319" s="1100">
        <f>'ANSP Capex'!AA315</f>
        <v>0</v>
      </c>
      <c r="AD319" s="1101">
        <f>IF($BJ319=0,0,IF(SUM($AA319:AC319)&lt;($L319-12),12,$L319-SUM($AA319:AC319)))</f>
        <v>0</v>
      </c>
      <c r="AE319" s="1101">
        <f>IF($BJ319=0,0,IF(SUM($AA319:AD319)&lt;($L319-12),12,$L319-SUM($AA319:AD319)))</f>
        <v>0</v>
      </c>
      <c r="AG319" s="1100"/>
      <c r="AH319" s="1100"/>
      <c r="AI319" s="1100"/>
      <c r="AJ319" s="1100">
        <f>'ANSP Capex'!AH315</f>
        <v>0</v>
      </c>
      <c r="AK319" s="1101">
        <f>IF($BK319=0,0,IF(SUM($AG319:AJ319)&lt;($L319-12),12,$L319-SUM($AG319:AJ319)))</f>
        <v>0</v>
      </c>
      <c r="AM319" s="1100"/>
      <c r="AN319" s="1100"/>
      <c r="AO319" s="1100"/>
      <c r="AP319" s="1100"/>
      <c r="AQ319" s="1100">
        <f>'ANSP Capex'!AO315</f>
        <v>0</v>
      </c>
      <c r="AS319" s="153">
        <f t="shared" si="35"/>
        <v>0</v>
      </c>
      <c r="AT319" s="153">
        <f t="shared" si="36"/>
        <v>0</v>
      </c>
      <c r="AU319" s="153">
        <f t="shared" si="37"/>
        <v>0</v>
      </c>
      <c r="AV319" s="153">
        <f t="shared" si="38"/>
        <v>0</v>
      </c>
      <c r="AW319" s="153">
        <f t="shared" si="39"/>
        <v>0</v>
      </c>
      <c r="AX319" s="153"/>
      <c r="AY319" s="1543">
        <f>'ANSP Capex'!AW315</f>
        <v>0</v>
      </c>
      <c r="AZ319" s="1102"/>
      <c r="BA319" s="1543">
        <f>'ANSP Capex'!AY315</f>
        <v>0</v>
      </c>
      <c r="BC319" s="1126"/>
      <c r="BD319" s="1126"/>
      <c r="BE319" s="1126"/>
      <c r="BF319" s="1126"/>
      <c r="BG319" s="1126"/>
      <c r="BH319" s="1126">
        <f>'ANSP Capex'!BF315*IF($I319="",(1+INDEX($I$41:$I$42,MATCH($F319,$F$41:$F$42,0))),(1+$I319))</f>
        <v>0</v>
      </c>
      <c r="BI319" s="1126">
        <f>'ANSP Capex'!BG315*IF($I319="",(1+INDEX($I$41:$I$42,MATCH($F319,$F$41:$F$42,0))),(1+$I319))</f>
        <v>0</v>
      </c>
      <c r="BJ319" s="1126">
        <f>'ANSP Capex'!BH315*IF($I319="",(1+INDEX($I$41:$I$42,MATCH($F319,$F$41:$F$42,0))),(1+$I319))</f>
        <v>0</v>
      </c>
      <c r="BK319" s="1126">
        <f>'ANSP Capex'!BI315*IF($I319="",(1+INDEX($I$41:$I$42,MATCH($F319,$F$41:$F$42,0))),(1+$I319))</f>
        <v>0</v>
      </c>
      <c r="BL319" s="1126">
        <f>'ANSP Capex'!BJ315*IF($I319="",(1+INDEX($I$41:$I$42,MATCH($F319,$F$41:$F$42,0))),(1+$I319))</f>
        <v>0</v>
      </c>
    </row>
    <row r="320" spans="3:64" outlineLevel="1">
      <c r="C320" s="1083" t="str">
        <f>'ANSP Capex'!C316</f>
        <v>COOPANS HARDWARE Shannon</v>
      </c>
      <c r="D320" s="1083" t="str">
        <f>'ANSP Capex'!D316</f>
        <v>COOPANS Hardware</v>
      </c>
      <c r="E320" s="1083" t="str">
        <f>'ANSP Capex'!E316</f>
        <v>Q001A</v>
      </c>
      <c r="F320" s="1083" t="str">
        <f>'ANSP Capex'!F316</f>
        <v>2021-2024</v>
      </c>
      <c r="G320" s="1101">
        <f t="shared" si="32"/>
        <v>40.90719898412712</v>
      </c>
      <c r="H320" s="1083" t="str">
        <f>'ANSP Capex'!H316</f>
        <v>€'000</v>
      </c>
      <c r="I320" s="829"/>
      <c r="J320" s="1097">
        <f>'ANSP Capex'!I316</f>
        <v>8</v>
      </c>
      <c r="K320" s="1124">
        <v>0</v>
      </c>
      <c r="L320" s="1098">
        <f t="shared" si="33"/>
        <v>96</v>
      </c>
      <c r="M320" s="153">
        <f t="shared" si="34"/>
        <v>0.125</v>
      </c>
      <c r="N320" s="1099"/>
      <c r="O320" s="1100">
        <f>'ANSP Capex'!M316</f>
        <v>0</v>
      </c>
      <c r="P320" s="1101">
        <f>IF($BH320=0,0,IF(SUM($O320:O320)&lt;($L320-12),12,$L320-SUM($O320:O320)))</f>
        <v>0</v>
      </c>
      <c r="Q320" s="1101">
        <f>IF($BH320=0,0,IF(SUM($O320:P320)&lt;($L320-12),12,$L320-SUM($O320:P320)))</f>
        <v>0</v>
      </c>
      <c r="R320" s="1101">
        <f>IF($BH320=0,0,IF(SUM($O320:Q320)&lt;($L320-12),12,$L320-SUM($O320:Q320)))</f>
        <v>0</v>
      </c>
      <c r="S320" s="1101">
        <f>IF($BH320=0,0,IF(SUM($O320:R320)&lt;($L320-12),12,$L320-SUM($O320:R320)))</f>
        <v>0</v>
      </c>
      <c r="U320" s="1100"/>
      <c r="V320" s="1100">
        <f>'ANSP Capex'!T316</f>
        <v>9.0665310023655596</v>
      </c>
      <c r="W320" s="1101">
        <f>IF($BI320=0,0,IF(SUM($U320:V320)&lt;($L320-12),12,$L320-SUM($U320:V320)))</f>
        <v>12</v>
      </c>
      <c r="X320" s="1101">
        <f>IF($BI320=0,0,IF(SUM($U320:W320)&lt;($L320-12),12,$L320-SUM($U320:W320)))</f>
        <v>12</v>
      </c>
      <c r="Y320" s="1101">
        <f>IF($BI320=0,0,IF(SUM($U320:X320)&lt;($L320-12),12,$L320-SUM($U320:X320)))</f>
        <v>12</v>
      </c>
      <c r="AA320" s="1100"/>
      <c r="AB320" s="1100"/>
      <c r="AC320" s="1100">
        <f>'ANSP Capex'!AA316</f>
        <v>0</v>
      </c>
      <c r="AD320" s="1101">
        <f>IF($BJ320=0,0,IF(SUM($AA320:AC320)&lt;($L320-12),12,$L320-SUM($AA320:AC320)))</f>
        <v>0</v>
      </c>
      <c r="AE320" s="1101">
        <f>IF($BJ320=0,0,IF(SUM($AA320:AD320)&lt;($L320-12),12,$L320-SUM($AA320:AD320)))</f>
        <v>0</v>
      </c>
      <c r="AG320" s="1100"/>
      <c r="AH320" s="1100"/>
      <c r="AI320" s="1100"/>
      <c r="AJ320" s="1100">
        <f>'ANSP Capex'!AH316</f>
        <v>0</v>
      </c>
      <c r="AK320" s="1101">
        <f>IF($BK320=0,0,IF(SUM($AG320:AJ320)&lt;($L320-12),12,$L320-SUM($AG320:AJ320)))</f>
        <v>0</v>
      </c>
      <c r="AM320" s="1100"/>
      <c r="AN320" s="1100"/>
      <c r="AO320" s="1100"/>
      <c r="AP320" s="1100"/>
      <c r="AQ320" s="1100">
        <f>'ANSP Capex'!AO316</f>
        <v>0</v>
      </c>
      <c r="AS320" s="153">
        <f t="shared" si="35"/>
        <v>0</v>
      </c>
      <c r="AT320" s="153">
        <f t="shared" si="36"/>
        <v>0.75554425019713001</v>
      </c>
      <c r="AU320" s="153">
        <f t="shared" si="37"/>
        <v>0</v>
      </c>
      <c r="AV320" s="153">
        <f t="shared" si="38"/>
        <v>0</v>
      </c>
      <c r="AW320" s="153">
        <f t="shared" si="39"/>
        <v>0</v>
      </c>
      <c r="AX320" s="153"/>
      <c r="AY320" s="1543">
        <f>'ANSP Capex'!AW316</f>
        <v>0.75</v>
      </c>
      <c r="AZ320" s="1102"/>
      <c r="BA320" s="1543">
        <f>'ANSP Capex'!AY316</f>
        <v>0.25</v>
      </c>
      <c r="BC320" s="1126"/>
      <c r="BD320" s="1126"/>
      <c r="BE320" s="1126"/>
      <c r="BF320" s="1126"/>
      <c r="BG320" s="1126"/>
      <c r="BH320" s="1126">
        <f>'ANSP Capex'!BF316*IF($I320="",(1+INDEX($I$41:$I$42,MATCH($F320,$F$41:$F$42,0))),(1+$I320))</f>
        <v>0</v>
      </c>
      <c r="BI320" s="1126">
        <f>'ANSP Capex'!BG316*IF($I320="",(1+INDEX($I$41:$I$42,MATCH($F320,$F$41:$F$42,0))),(1+$I320))</f>
        <v>40.90719898412712</v>
      </c>
      <c r="BJ320" s="1126">
        <f>'ANSP Capex'!BH316*IF($I320="",(1+INDEX($I$41:$I$42,MATCH($F320,$F$41:$F$42,0))),(1+$I320))</f>
        <v>0</v>
      </c>
      <c r="BK320" s="1126">
        <f>'ANSP Capex'!BI316*IF($I320="",(1+INDEX($I$41:$I$42,MATCH($F320,$F$41:$F$42,0))),(1+$I320))</f>
        <v>0</v>
      </c>
      <c r="BL320" s="1126">
        <f>'ANSP Capex'!BJ316*IF($I320="",(1+INDEX($I$41:$I$42,MATCH($F320,$F$41:$F$42,0))),(1+$I320))</f>
        <v>0</v>
      </c>
    </row>
    <row r="321" spans="3:64" outlineLevel="1">
      <c r="C321" s="1083" t="str">
        <f>'ANSP Capex'!C317</f>
        <v>COOPANS HARDWARE Dublin</v>
      </c>
      <c r="D321" s="1083" t="str">
        <f>'ANSP Capex'!D317</f>
        <v>COOPANS Hardware</v>
      </c>
      <c r="E321" s="1083" t="str">
        <f>'ANSP Capex'!E317</f>
        <v>Q001A</v>
      </c>
      <c r="F321" s="1083" t="str">
        <f>'ANSP Capex'!F317</f>
        <v>2021-2024</v>
      </c>
      <c r="G321" s="1101">
        <f t="shared" si="32"/>
        <v>40</v>
      </c>
      <c r="H321" s="1083" t="str">
        <f>'ANSP Capex'!H317</f>
        <v>€'000</v>
      </c>
      <c r="I321" s="829"/>
      <c r="J321" s="1097">
        <f>'ANSP Capex'!I317</f>
        <v>8</v>
      </c>
      <c r="K321" s="1124">
        <v>0</v>
      </c>
      <c r="L321" s="1098">
        <f t="shared" si="33"/>
        <v>96</v>
      </c>
      <c r="M321" s="153">
        <f t="shared" si="34"/>
        <v>0.125</v>
      </c>
      <c r="N321" s="1099"/>
      <c r="O321" s="1100">
        <f>'ANSP Capex'!M317</f>
        <v>0</v>
      </c>
      <c r="P321" s="1101">
        <f>IF($BH321=0,0,IF(SUM($O321:O321)&lt;($L321-12),12,$L321-SUM($O321:O321)))</f>
        <v>0</v>
      </c>
      <c r="Q321" s="1101">
        <f>IF($BH321=0,0,IF(SUM($O321:P321)&lt;($L321-12),12,$L321-SUM($O321:P321)))</f>
        <v>0</v>
      </c>
      <c r="R321" s="1101">
        <f>IF($BH321=0,0,IF(SUM($O321:Q321)&lt;($L321-12),12,$L321-SUM($O321:Q321)))</f>
        <v>0</v>
      </c>
      <c r="S321" s="1101">
        <f>IF($BH321=0,0,IF(SUM($O321:R321)&lt;($L321-12),12,$L321-SUM($O321:R321)))</f>
        <v>0</v>
      </c>
      <c r="U321" s="1100"/>
      <c r="V321" s="1100">
        <f>'ANSP Capex'!T317</f>
        <v>9</v>
      </c>
      <c r="W321" s="1101">
        <f>IF($BI321=0,0,IF(SUM($U321:V321)&lt;($L321-12),12,$L321-SUM($U321:V321)))</f>
        <v>12</v>
      </c>
      <c r="X321" s="1101">
        <f>IF($BI321=0,0,IF(SUM($U321:W321)&lt;($L321-12),12,$L321-SUM($U321:W321)))</f>
        <v>12</v>
      </c>
      <c r="Y321" s="1101">
        <f>IF($BI321=0,0,IF(SUM($U321:X321)&lt;($L321-12),12,$L321-SUM($U321:X321)))</f>
        <v>12</v>
      </c>
      <c r="AA321" s="1100"/>
      <c r="AB321" s="1100"/>
      <c r="AC321" s="1100">
        <f>'ANSP Capex'!AA317</f>
        <v>0</v>
      </c>
      <c r="AD321" s="1101">
        <f>IF($BJ321=0,0,IF(SUM($AA321:AC321)&lt;($L321-12),12,$L321-SUM($AA321:AC321)))</f>
        <v>0</v>
      </c>
      <c r="AE321" s="1101">
        <f>IF($BJ321=0,0,IF(SUM($AA321:AD321)&lt;($L321-12),12,$L321-SUM($AA321:AD321)))</f>
        <v>0</v>
      </c>
      <c r="AG321" s="1100"/>
      <c r="AH321" s="1100"/>
      <c r="AI321" s="1100"/>
      <c r="AJ321" s="1100">
        <f>'ANSP Capex'!AH317</f>
        <v>0</v>
      </c>
      <c r="AK321" s="1101">
        <f>IF($BK321=0,0,IF(SUM($AG321:AJ321)&lt;($L321-12),12,$L321-SUM($AG321:AJ321)))</f>
        <v>0</v>
      </c>
      <c r="AM321" s="1100"/>
      <c r="AN321" s="1100"/>
      <c r="AO321" s="1100"/>
      <c r="AP321" s="1100"/>
      <c r="AQ321" s="1100">
        <f>'ANSP Capex'!AO317</f>
        <v>0</v>
      </c>
      <c r="AS321" s="153">
        <f t="shared" si="35"/>
        <v>0</v>
      </c>
      <c r="AT321" s="153">
        <f t="shared" si="36"/>
        <v>0.75</v>
      </c>
      <c r="AU321" s="153">
        <f t="shared" si="37"/>
        <v>0</v>
      </c>
      <c r="AV321" s="153">
        <f t="shared" si="38"/>
        <v>0</v>
      </c>
      <c r="AW321" s="153">
        <f t="shared" si="39"/>
        <v>0</v>
      </c>
      <c r="AX321" s="153"/>
      <c r="AY321" s="1543">
        <f>'ANSP Capex'!AW317</f>
        <v>0.75</v>
      </c>
      <c r="AZ321" s="1102"/>
      <c r="BA321" s="1543">
        <f>'ANSP Capex'!AY317</f>
        <v>0.25</v>
      </c>
      <c r="BC321" s="1126"/>
      <c r="BD321" s="1126"/>
      <c r="BE321" s="1126"/>
      <c r="BF321" s="1126"/>
      <c r="BG321" s="1126"/>
      <c r="BH321" s="1126">
        <f>'ANSP Capex'!BF317*IF($I321="",(1+INDEX($I$41:$I$42,MATCH($F321,$F$41:$F$42,0))),(1+$I321))</f>
        <v>0</v>
      </c>
      <c r="BI321" s="1126">
        <f>'ANSP Capex'!BG317*IF($I321="",(1+INDEX($I$41:$I$42,MATCH($F321,$F$41:$F$42,0))),(1+$I321))</f>
        <v>40</v>
      </c>
      <c r="BJ321" s="1126">
        <f>'ANSP Capex'!BH317*IF($I321="",(1+INDEX($I$41:$I$42,MATCH($F321,$F$41:$F$42,0))),(1+$I321))</f>
        <v>0</v>
      </c>
      <c r="BK321" s="1126">
        <f>'ANSP Capex'!BI317*IF($I321="",(1+INDEX($I$41:$I$42,MATCH($F321,$F$41:$F$42,0))),(1+$I321))</f>
        <v>0</v>
      </c>
      <c r="BL321" s="1126">
        <f>'ANSP Capex'!BJ317*IF($I321="",(1+INDEX($I$41:$I$42,MATCH($F321,$F$41:$F$42,0))),(1+$I321))</f>
        <v>0</v>
      </c>
    </row>
    <row r="322" spans="3:64" outlineLevel="1">
      <c r="C322" s="1083" t="str">
        <f>'ANSP Capex'!C318</f>
        <v>PABX Infrastructure Upgrade BCY/CRK</v>
      </c>
      <c r="D322" s="1083" t="str">
        <f>'ANSP Capex'!D318</f>
        <v>PABX Infrastructure Upgrade BCY/CRK</v>
      </c>
      <c r="E322" s="1083" t="str">
        <f>'ANSP Capex'!E318</f>
        <v>S009</v>
      </c>
      <c r="F322" s="1083" t="str">
        <f>'ANSP Capex'!F318</f>
        <v>2021-2024</v>
      </c>
      <c r="G322" s="1101">
        <f t="shared" si="32"/>
        <v>80</v>
      </c>
      <c r="H322" s="1083" t="str">
        <f>'ANSP Capex'!H318</f>
        <v>€'000</v>
      </c>
      <c r="I322" s="829"/>
      <c r="J322" s="1097">
        <f>'ANSP Capex'!I318</f>
        <v>8</v>
      </c>
      <c r="K322" s="1124">
        <v>12</v>
      </c>
      <c r="L322" s="1098">
        <f t="shared" si="33"/>
        <v>144</v>
      </c>
      <c r="M322" s="153">
        <f t="shared" si="34"/>
        <v>8.3333333333333329E-2</v>
      </c>
      <c r="N322" s="1099"/>
      <c r="O322" s="1100">
        <f>'ANSP Capex'!M318</f>
        <v>0</v>
      </c>
      <c r="P322" s="1101">
        <f>IF($BH322=0,0,IF(SUM($O322:O322)&lt;($L322-12),12,$L322-SUM($O322:O322)))</f>
        <v>0</v>
      </c>
      <c r="Q322" s="1101">
        <f>IF($BH322=0,0,IF(SUM($O322:P322)&lt;($L322-12),12,$L322-SUM($O322:P322)))</f>
        <v>0</v>
      </c>
      <c r="R322" s="1101">
        <f>IF($BH322=0,0,IF(SUM($O322:Q322)&lt;($L322-12),12,$L322-SUM($O322:Q322)))</f>
        <v>0</v>
      </c>
      <c r="S322" s="1101">
        <f>IF($BH322=0,0,IF(SUM($O322:R322)&lt;($L322-12),12,$L322-SUM($O322:R322)))</f>
        <v>0</v>
      </c>
      <c r="U322" s="1100"/>
      <c r="V322" s="1100">
        <f>'ANSP Capex'!T318</f>
        <v>0</v>
      </c>
      <c r="W322" s="1101">
        <f>IF($BI322=0,0,IF(SUM($U322:V322)&lt;($L322-12),12,$L322-SUM($U322:V322)))</f>
        <v>0</v>
      </c>
      <c r="X322" s="1101">
        <f>IF($BI322=0,0,IF(SUM($U322:W322)&lt;($L322-12),12,$L322-SUM($U322:W322)))</f>
        <v>0</v>
      </c>
      <c r="Y322" s="1101">
        <f>IF($BI322=0,0,IF(SUM($U322:X322)&lt;($L322-12),12,$L322-SUM($U322:X322)))</f>
        <v>0</v>
      </c>
      <c r="AA322" s="1100"/>
      <c r="AB322" s="1100"/>
      <c r="AC322" s="1100">
        <f>'ANSP Capex'!AA318</f>
        <v>3</v>
      </c>
      <c r="AD322" s="1101">
        <f>IF($BJ322=0,0,IF(SUM($AA322:AC322)&lt;($L322-12),12,$L322-SUM($AA322:AC322)))</f>
        <v>12</v>
      </c>
      <c r="AE322" s="1101">
        <f>IF($BJ322=0,0,IF(SUM($AA322:AD322)&lt;($L322-12),12,$L322-SUM($AA322:AD322)))</f>
        <v>12</v>
      </c>
      <c r="AG322" s="1100"/>
      <c r="AH322" s="1100"/>
      <c r="AI322" s="1100"/>
      <c r="AJ322" s="1100">
        <f>'ANSP Capex'!AH318</f>
        <v>0</v>
      </c>
      <c r="AK322" s="1101">
        <f>IF($BK322=0,0,IF(SUM($AG322:AJ322)&lt;($L322-12),12,$L322-SUM($AG322:AJ322)))</f>
        <v>0</v>
      </c>
      <c r="AM322" s="1100"/>
      <c r="AN322" s="1100"/>
      <c r="AO322" s="1100"/>
      <c r="AP322" s="1100"/>
      <c r="AQ322" s="1100">
        <f>'ANSP Capex'!AO318</f>
        <v>0</v>
      </c>
      <c r="AS322" s="153">
        <f t="shared" si="35"/>
        <v>0</v>
      </c>
      <c r="AT322" s="153">
        <f t="shared" si="36"/>
        <v>0</v>
      </c>
      <c r="AU322" s="153">
        <f t="shared" si="37"/>
        <v>0.25</v>
      </c>
      <c r="AV322" s="153">
        <f t="shared" si="38"/>
        <v>0</v>
      </c>
      <c r="AW322" s="153">
        <f t="shared" si="39"/>
        <v>0</v>
      </c>
      <c r="AX322" s="153"/>
      <c r="AY322" s="1543">
        <f>'ANSP Capex'!AW318</f>
        <v>0.75</v>
      </c>
      <c r="AZ322" s="1102"/>
      <c r="BA322" s="1543">
        <f>'ANSP Capex'!AY318</f>
        <v>0.25</v>
      </c>
      <c r="BC322" s="1126"/>
      <c r="BD322" s="1126"/>
      <c r="BE322" s="1126"/>
      <c r="BF322" s="1126"/>
      <c r="BG322" s="1126"/>
      <c r="BH322" s="1126">
        <f>'ANSP Capex'!BF318*IF($I322="",(1+INDEX($I$41:$I$42,MATCH($F322,$F$41:$F$42,0))),(1+$I322))</f>
        <v>0</v>
      </c>
      <c r="BI322" s="1126">
        <f>'ANSP Capex'!BG318*IF($I322="",(1+INDEX($I$41:$I$42,MATCH($F322,$F$41:$F$42,0))),(1+$I322))</f>
        <v>0</v>
      </c>
      <c r="BJ322" s="1126">
        <f>'ANSP Capex'!BH318*IF($I322="",(1+INDEX($I$41:$I$42,MATCH($F322,$F$41:$F$42,0))),(1+$I322))</f>
        <v>80</v>
      </c>
      <c r="BK322" s="1126">
        <f>'ANSP Capex'!BI318*IF($I322="",(1+INDEX($I$41:$I$42,MATCH($F322,$F$41:$F$42,0))),(1+$I322))</f>
        <v>0</v>
      </c>
      <c r="BL322" s="1126">
        <f>'ANSP Capex'!BJ318*IF($I322="",(1+INDEX($I$41:$I$42,MATCH($F322,$F$41:$F$42,0))),(1+$I322))</f>
        <v>0</v>
      </c>
    </row>
    <row r="323" spans="3:64" outlineLevel="1">
      <c r="C323" s="1083" t="str">
        <f>'ANSP Capex'!C319</f>
        <v>Test Equipment</v>
      </c>
      <c r="D323" s="1083" t="str">
        <f>'ANSP Capex'!D319</f>
        <v>Test Equipment</v>
      </c>
      <c r="E323" s="1083" t="str">
        <f>'ANSP Capex'!E319</f>
        <v>T003</v>
      </c>
      <c r="F323" s="1083" t="str">
        <f>'ANSP Capex'!F319</f>
        <v>2021-2024</v>
      </c>
      <c r="G323" s="1101">
        <f t="shared" si="32"/>
        <v>80</v>
      </c>
      <c r="H323" s="1083" t="str">
        <f>'ANSP Capex'!H319</f>
        <v>€'000</v>
      </c>
      <c r="I323" s="829"/>
      <c r="J323" s="1097">
        <f>'ANSP Capex'!I319</f>
        <v>5</v>
      </c>
      <c r="K323" s="1124">
        <v>0</v>
      </c>
      <c r="L323" s="1098">
        <f t="shared" si="33"/>
        <v>60</v>
      </c>
      <c r="M323" s="153">
        <f t="shared" si="34"/>
        <v>0.2</v>
      </c>
      <c r="N323" s="1099"/>
      <c r="O323" s="1100">
        <f>'ANSP Capex'!M319</f>
        <v>0</v>
      </c>
      <c r="P323" s="1101">
        <f>IF($BH323=0,0,IF(SUM($O323:O323)&lt;($L323-12),12,$L323-SUM($O323:O323)))</f>
        <v>0</v>
      </c>
      <c r="Q323" s="1101">
        <f>IF($BH323=0,0,IF(SUM($O323:P323)&lt;($L323-12),12,$L323-SUM($O323:P323)))</f>
        <v>0</v>
      </c>
      <c r="R323" s="1101">
        <f>IF($BH323=0,0,IF(SUM($O323:Q323)&lt;($L323-12),12,$L323-SUM($O323:Q323)))</f>
        <v>0</v>
      </c>
      <c r="S323" s="1101">
        <f>IF($BH323=0,0,IF(SUM($O323:R323)&lt;($L323-12),12,$L323-SUM($O323:R323)))</f>
        <v>0</v>
      </c>
      <c r="U323" s="1100"/>
      <c r="V323" s="1100">
        <f>'ANSP Capex'!T319</f>
        <v>3</v>
      </c>
      <c r="W323" s="1101">
        <f>IF($BI323=0,0,IF(SUM($U323:V323)&lt;($L323-12),12,$L323-SUM($U323:V323)))</f>
        <v>12</v>
      </c>
      <c r="X323" s="1101">
        <f>IF($BI323=0,0,IF(SUM($U323:W323)&lt;($L323-12),12,$L323-SUM($U323:W323)))</f>
        <v>12</v>
      </c>
      <c r="Y323" s="1101">
        <f>IF($BI323=0,0,IF(SUM($U323:X323)&lt;($L323-12),12,$L323-SUM($U323:X323)))</f>
        <v>12</v>
      </c>
      <c r="AA323" s="1100"/>
      <c r="AB323" s="1100"/>
      <c r="AC323" s="1100">
        <f>'ANSP Capex'!AA319</f>
        <v>0</v>
      </c>
      <c r="AD323" s="1101">
        <f>IF($BJ323=0,0,IF(SUM($AA323:AC323)&lt;($L323-12),12,$L323-SUM($AA323:AC323)))</f>
        <v>0</v>
      </c>
      <c r="AE323" s="1101">
        <f>IF($BJ323=0,0,IF(SUM($AA323:AD323)&lt;($L323-12),12,$L323-SUM($AA323:AD323)))</f>
        <v>0</v>
      </c>
      <c r="AG323" s="1100"/>
      <c r="AH323" s="1100"/>
      <c r="AI323" s="1100"/>
      <c r="AJ323" s="1100">
        <f>'ANSP Capex'!AH319</f>
        <v>0</v>
      </c>
      <c r="AK323" s="1101">
        <f>IF($BK323=0,0,IF(SUM($AG323:AJ323)&lt;($L323-12),12,$L323-SUM($AG323:AJ323)))</f>
        <v>0</v>
      </c>
      <c r="AM323" s="1100"/>
      <c r="AN323" s="1100"/>
      <c r="AO323" s="1100"/>
      <c r="AP323" s="1100"/>
      <c r="AQ323" s="1100">
        <f>'ANSP Capex'!AO319</f>
        <v>0</v>
      </c>
      <c r="AS323" s="153">
        <f t="shared" si="35"/>
        <v>0</v>
      </c>
      <c r="AT323" s="153">
        <f t="shared" si="36"/>
        <v>0.25</v>
      </c>
      <c r="AU323" s="153">
        <f t="shared" si="37"/>
        <v>0</v>
      </c>
      <c r="AV323" s="153">
        <f t="shared" si="38"/>
        <v>0</v>
      </c>
      <c r="AW323" s="153">
        <f t="shared" si="39"/>
        <v>0</v>
      </c>
      <c r="AX323" s="153"/>
      <c r="AY323" s="1543">
        <f>'ANSP Capex'!AW319</f>
        <v>0.75</v>
      </c>
      <c r="AZ323" s="1102"/>
      <c r="BA323" s="1543">
        <f>'ANSP Capex'!AY319</f>
        <v>0.25</v>
      </c>
      <c r="BC323" s="1126"/>
      <c r="BD323" s="1126"/>
      <c r="BE323" s="1126"/>
      <c r="BF323" s="1126"/>
      <c r="BG323" s="1126"/>
      <c r="BH323" s="1126">
        <f>'ANSP Capex'!BF319*IF($I323="",(1+INDEX($I$41:$I$42,MATCH($F323,$F$41:$F$42,0))),(1+$I323))</f>
        <v>0</v>
      </c>
      <c r="BI323" s="1126">
        <f>'ANSP Capex'!BG319*IF($I323="",(1+INDEX($I$41:$I$42,MATCH($F323,$F$41:$F$42,0))),(1+$I323))</f>
        <v>80</v>
      </c>
      <c r="BJ323" s="1126">
        <f>'ANSP Capex'!BH319*IF($I323="",(1+INDEX($I$41:$I$42,MATCH($F323,$F$41:$F$42,0))),(1+$I323))</f>
        <v>0</v>
      </c>
      <c r="BK323" s="1126">
        <f>'ANSP Capex'!BI319*IF($I323="",(1+INDEX($I$41:$I$42,MATCH($F323,$F$41:$F$42,0))),(1+$I323))</f>
        <v>0</v>
      </c>
      <c r="BL323" s="1126">
        <f>'ANSP Capex'!BJ319*IF($I323="",(1+INDEX($I$41:$I$42,MATCH($F323,$F$41:$F$42,0))),(1+$I323))</f>
        <v>0</v>
      </c>
    </row>
    <row r="324" spans="3:64" outlineLevel="1">
      <c r="C324" s="1083" t="str">
        <f>'ANSP Capex'!C320</f>
        <v>Multifunctional Devices - Network Printers</v>
      </c>
      <c r="D324" s="1083" t="str">
        <f>'ANSP Capex'!D320</f>
        <v>Multifunctional Devices - Network Printers</v>
      </c>
      <c r="E324" s="1083" t="str">
        <f>'ANSP Capex'!E320</f>
        <v>U017</v>
      </c>
      <c r="F324" s="1083" t="str">
        <f>'ANSP Capex'!F320</f>
        <v>2021-2024</v>
      </c>
      <c r="G324" s="1101">
        <f t="shared" si="32"/>
        <v>80</v>
      </c>
      <c r="H324" s="1083" t="str">
        <f>'ANSP Capex'!H320</f>
        <v>€'000</v>
      </c>
      <c r="I324" s="829"/>
      <c r="J324" s="1097">
        <f>'ANSP Capex'!I320</f>
        <v>5</v>
      </c>
      <c r="K324" s="1124">
        <v>0</v>
      </c>
      <c r="L324" s="1098">
        <f t="shared" si="33"/>
        <v>60</v>
      </c>
      <c r="M324" s="153">
        <f t="shared" si="34"/>
        <v>0.2</v>
      </c>
      <c r="N324" s="1099"/>
      <c r="O324" s="1100">
        <f>'ANSP Capex'!M320</f>
        <v>0</v>
      </c>
      <c r="P324" s="1101">
        <f>IF($BH324=0,0,IF(SUM($O324:O324)&lt;($L324-12),12,$L324-SUM($O324:O324)))</f>
        <v>0</v>
      </c>
      <c r="Q324" s="1101">
        <f>IF($BH324=0,0,IF(SUM($O324:P324)&lt;($L324-12),12,$L324-SUM($O324:P324)))</f>
        <v>0</v>
      </c>
      <c r="R324" s="1101">
        <f>IF($BH324=0,0,IF(SUM($O324:Q324)&lt;($L324-12),12,$L324-SUM($O324:Q324)))</f>
        <v>0</v>
      </c>
      <c r="S324" s="1101">
        <f>IF($BH324=0,0,IF(SUM($O324:R324)&lt;($L324-12),12,$L324-SUM($O324:R324)))</f>
        <v>0</v>
      </c>
      <c r="U324" s="1100"/>
      <c r="V324" s="1100">
        <f>'ANSP Capex'!T320</f>
        <v>4.5</v>
      </c>
      <c r="W324" s="1101">
        <f>IF($BI324=0,0,IF(SUM($U324:V324)&lt;($L324-12),12,$L324-SUM($U324:V324)))</f>
        <v>12</v>
      </c>
      <c r="X324" s="1101">
        <f>IF($BI324=0,0,IF(SUM($U324:W324)&lt;($L324-12),12,$L324-SUM($U324:W324)))</f>
        <v>12</v>
      </c>
      <c r="Y324" s="1101">
        <f>IF($BI324=0,0,IF(SUM($U324:X324)&lt;($L324-12),12,$L324-SUM($U324:X324)))</f>
        <v>12</v>
      </c>
      <c r="AA324" s="1100"/>
      <c r="AB324" s="1100"/>
      <c r="AC324" s="1100">
        <f>'ANSP Capex'!AA320</f>
        <v>10.5</v>
      </c>
      <c r="AD324" s="1101">
        <f>IF($BJ324=0,0,IF(SUM($AA324:AC324)&lt;($L324-12),12,$L324-SUM($AA324:AC324)))</f>
        <v>12</v>
      </c>
      <c r="AE324" s="1101">
        <f>IF($BJ324=0,0,IF(SUM($AA324:AD324)&lt;($L324-12),12,$L324-SUM($AA324:AD324)))</f>
        <v>12</v>
      </c>
      <c r="AG324" s="1100"/>
      <c r="AH324" s="1100"/>
      <c r="AI324" s="1100"/>
      <c r="AJ324" s="1100">
        <f>'ANSP Capex'!AH320</f>
        <v>0</v>
      </c>
      <c r="AK324" s="1101">
        <f>IF($BK324=0,0,IF(SUM($AG324:AJ324)&lt;($L324-12),12,$L324-SUM($AG324:AJ324)))</f>
        <v>0</v>
      </c>
      <c r="AM324" s="1100"/>
      <c r="AN324" s="1100"/>
      <c r="AO324" s="1100"/>
      <c r="AP324" s="1100"/>
      <c r="AQ324" s="1100">
        <f>'ANSP Capex'!AO320</f>
        <v>0</v>
      </c>
      <c r="AS324" s="153">
        <f t="shared" si="35"/>
        <v>0</v>
      </c>
      <c r="AT324" s="153">
        <f t="shared" si="36"/>
        <v>0.375</v>
      </c>
      <c r="AU324" s="153">
        <f t="shared" si="37"/>
        <v>0.875</v>
      </c>
      <c r="AV324" s="153">
        <f t="shared" si="38"/>
        <v>0</v>
      </c>
      <c r="AW324" s="153">
        <f t="shared" si="39"/>
        <v>0</v>
      </c>
      <c r="AX324" s="153"/>
      <c r="AY324" s="1543">
        <f>'ANSP Capex'!AW320</f>
        <v>0.73</v>
      </c>
      <c r="AZ324" s="1102"/>
      <c r="BA324" s="1543">
        <f>'ANSP Capex'!AY320</f>
        <v>0.15</v>
      </c>
      <c r="BC324" s="1126"/>
      <c r="BD324" s="1126"/>
      <c r="BE324" s="1126"/>
      <c r="BF324" s="1126"/>
      <c r="BG324" s="1126"/>
      <c r="BH324" s="1126">
        <f>'ANSP Capex'!BF320*IF($I324="",(1+INDEX($I$41:$I$42,MATCH($F324,$F$41:$F$42,0))),(1+$I324))</f>
        <v>0</v>
      </c>
      <c r="BI324" s="1126">
        <f>'ANSP Capex'!BG320*IF($I324="",(1+INDEX($I$41:$I$42,MATCH($F324,$F$41:$F$42,0))),(1+$I324))</f>
        <v>40</v>
      </c>
      <c r="BJ324" s="1126">
        <f>'ANSP Capex'!BH320*IF($I324="",(1+INDEX($I$41:$I$42,MATCH($F324,$F$41:$F$42,0))),(1+$I324))</f>
        <v>40</v>
      </c>
      <c r="BK324" s="1126">
        <f>'ANSP Capex'!BI320*IF($I324="",(1+INDEX($I$41:$I$42,MATCH($F324,$F$41:$F$42,0))),(1+$I324))</f>
        <v>0</v>
      </c>
      <c r="BL324" s="1126">
        <f>'ANSP Capex'!BJ320*IF($I324="",(1+INDEX($I$41:$I$42,MATCH($F324,$F$41:$F$42,0))),(1+$I324))</f>
        <v>0</v>
      </c>
    </row>
    <row r="325" spans="3:64" outlineLevel="1">
      <c r="C325" s="1083" t="str">
        <f>'ANSP Capex'!C321</f>
        <v>Virtual Environment Server Replacements</v>
      </c>
      <c r="D325" s="1083" t="str">
        <f>'ANSP Capex'!D321</f>
        <v>Virtual Environment Server Replacements</v>
      </c>
      <c r="E325" s="1083" t="str">
        <f>'ANSP Capex'!E321</f>
        <v>U018</v>
      </c>
      <c r="F325" s="1083" t="str">
        <f>'ANSP Capex'!F321</f>
        <v>2021-2024</v>
      </c>
      <c r="G325" s="1101">
        <f t="shared" si="32"/>
        <v>80</v>
      </c>
      <c r="H325" s="1083" t="str">
        <f>'ANSP Capex'!H321</f>
        <v>€'000</v>
      </c>
      <c r="I325" s="829"/>
      <c r="J325" s="1097">
        <f>'ANSP Capex'!I321</f>
        <v>3</v>
      </c>
      <c r="K325" s="1124">
        <v>0</v>
      </c>
      <c r="L325" s="1098">
        <f t="shared" si="33"/>
        <v>36</v>
      </c>
      <c r="M325" s="153">
        <f t="shared" si="34"/>
        <v>0.33333333333333331</v>
      </c>
      <c r="N325" s="1099"/>
      <c r="O325" s="1100">
        <f>'ANSP Capex'!M321</f>
        <v>0</v>
      </c>
      <c r="P325" s="1101">
        <f>IF($BH325=0,0,IF(SUM($O325:O325)&lt;($L325-12),12,$L325-SUM($O325:O325)))</f>
        <v>0</v>
      </c>
      <c r="Q325" s="1101">
        <f>IF($BH325=0,0,IF(SUM($O325:P325)&lt;($L325-12),12,$L325-SUM($O325:P325)))</f>
        <v>0</v>
      </c>
      <c r="R325" s="1101">
        <f>IF($BH325=0,0,IF(SUM($O325:Q325)&lt;($L325-12),12,$L325-SUM($O325:Q325)))</f>
        <v>0</v>
      </c>
      <c r="S325" s="1101">
        <f>IF($BH325=0,0,IF(SUM($O325:R325)&lt;($L325-12),12,$L325-SUM($O325:R325)))</f>
        <v>0</v>
      </c>
      <c r="U325" s="1100"/>
      <c r="V325" s="1100">
        <f>'ANSP Capex'!T321</f>
        <v>4.5</v>
      </c>
      <c r="W325" s="1101">
        <f>IF($BI325=0,0,IF(SUM($U325:V325)&lt;($L325-12),12,$L325-SUM($U325:V325)))</f>
        <v>12</v>
      </c>
      <c r="X325" s="1101">
        <f>IF($BI325=0,0,IF(SUM($U325:W325)&lt;($L325-12),12,$L325-SUM($U325:W325)))</f>
        <v>12</v>
      </c>
      <c r="Y325" s="1101">
        <f>IF($BI325=0,0,IF(SUM($U325:X325)&lt;($L325-12),12,$L325-SUM($U325:X325)))</f>
        <v>7.5</v>
      </c>
      <c r="AA325" s="1100"/>
      <c r="AB325" s="1100"/>
      <c r="AC325" s="1100">
        <f>'ANSP Capex'!AA321</f>
        <v>10.499999999999998</v>
      </c>
      <c r="AD325" s="1101">
        <f>IF($BJ325=0,0,IF(SUM($AA325:AC325)&lt;($L325-12),12,$L325-SUM($AA325:AC325)))</f>
        <v>12</v>
      </c>
      <c r="AE325" s="1101">
        <f>IF($BJ325=0,0,IF(SUM($AA325:AD325)&lt;($L325-12),12,$L325-SUM($AA325:AD325)))</f>
        <v>12</v>
      </c>
      <c r="AG325" s="1100"/>
      <c r="AH325" s="1100"/>
      <c r="AI325" s="1100"/>
      <c r="AJ325" s="1100">
        <f>'ANSP Capex'!AH321</f>
        <v>0</v>
      </c>
      <c r="AK325" s="1101">
        <f>IF($BK325=0,0,IF(SUM($AG325:AJ325)&lt;($L325-12),12,$L325-SUM($AG325:AJ325)))</f>
        <v>0</v>
      </c>
      <c r="AM325" s="1100"/>
      <c r="AN325" s="1100"/>
      <c r="AO325" s="1100"/>
      <c r="AP325" s="1100"/>
      <c r="AQ325" s="1100">
        <f>'ANSP Capex'!AO321</f>
        <v>0</v>
      </c>
      <c r="AS325" s="153">
        <f t="shared" si="35"/>
        <v>0</v>
      </c>
      <c r="AT325" s="153">
        <f t="shared" si="36"/>
        <v>0.375</v>
      </c>
      <c r="AU325" s="153">
        <f t="shared" si="37"/>
        <v>0.87499999999999989</v>
      </c>
      <c r="AV325" s="153">
        <f t="shared" si="38"/>
        <v>0</v>
      </c>
      <c r="AW325" s="153">
        <f t="shared" si="39"/>
        <v>0</v>
      </c>
      <c r="AX325" s="153"/>
      <c r="AY325" s="1543">
        <f>'ANSP Capex'!AW321</f>
        <v>0.73</v>
      </c>
      <c r="AZ325" s="1102"/>
      <c r="BA325" s="1543">
        <f>'ANSP Capex'!AY321</f>
        <v>0.15</v>
      </c>
      <c r="BC325" s="1126"/>
      <c r="BD325" s="1126"/>
      <c r="BE325" s="1126"/>
      <c r="BF325" s="1126"/>
      <c r="BG325" s="1126"/>
      <c r="BH325" s="1126">
        <f>'ANSP Capex'!BF321*IF($I325="",(1+INDEX($I$41:$I$42,MATCH($F325,$F$41:$F$42,0))),(1+$I325))</f>
        <v>0</v>
      </c>
      <c r="BI325" s="1126">
        <f>'ANSP Capex'!BG321*IF($I325="",(1+INDEX($I$41:$I$42,MATCH($F325,$F$41:$F$42,0))),(1+$I325))</f>
        <v>40</v>
      </c>
      <c r="BJ325" s="1126">
        <f>'ANSP Capex'!BH321*IF($I325="",(1+INDEX($I$41:$I$42,MATCH($F325,$F$41:$F$42,0))),(1+$I325))</f>
        <v>40</v>
      </c>
      <c r="BK325" s="1126">
        <f>'ANSP Capex'!BI321*IF($I325="",(1+INDEX($I$41:$I$42,MATCH($F325,$F$41:$F$42,0))),(1+$I325))</f>
        <v>0</v>
      </c>
      <c r="BL325" s="1126">
        <f>'ANSP Capex'!BJ321*IF($I325="",(1+INDEX($I$41:$I$42,MATCH($F325,$F$41:$F$42,0))),(1+$I325))</f>
        <v>0</v>
      </c>
    </row>
    <row r="326" spans="3:64" outlineLevel="1">
      <c r="C326" s="1083" t="str">
        <f>'ANSP Capex'!C322</f>
        <v>Server Replacements</v>
      </c>
      <c r="D326" s="1083" t="str">
        <f>'ANSP Capex'!D322</f>
        <v>Server Replacements</v>
      </c>
      <c r="E326" s="1083" t="str">
        <f>'ANSP Capex'!E322</f>
        <v>T019</v>
      </c>
      <c r="F326" s="1083" t="str">
        <f>'ANSP Capex'!F322</f>
        <v>2021-2024</v>
      </c>
      <c r="G326" s="1101">
        <f t="shared" si="32"/>
        <v>0</v>
      </c>
      <c r="H326" s="1083" t="str">
        <f>'ANSP Capex'!H322</f>
        <v>€'000</v>
      </c>
      <c r="I326" s="829"/>
      <c r="J326" s="1097">
        <f>'ANSP Capex'!I322</f>
        <v>0</v>
      </c>
      <c r="K326" s="1124">
        <v>0</v>
      </c>
      <c r="L326" s="1098">
        <f t="shared" si="33"/>
        <v>0</v>
      </c>
      <c r="M326" s="153">
        <f t="shared" si="34"/>
        <v>0</v>
      </c>
      <c r="N326" s="1099"/>
      <c r="O326" s="1100">
        <f>'ANSP Capex'!M322</f>
        <v>0</v>
      </c>
      <c r="P326" s="1101">
        <f>IF($BH326=0,0,IF(SUM($O326:O326)&lt;($L326-12),12,$L326-SUM($O326:O326)))</f>
        <v>0</v>
      </c>
      <c r="Q326" s="1101">
        <f>IF($BH326=0,0,IF(SUM($O326:P326)&lt;($L326-12),12,$L326-SUM($O326:P326)))</f>
        <v>0</v>
      </c>
      <c r="R326" s="1101">
        <f>IF($BH326=0,0,IF(SUM($O326:Q326)&lt;($L326-12),12,$L326-SUM($O326:Q326)))</f>
        <v>0</v>
      </c>
      <c r="S326" s="1101">
        <f>IF($BH326=0,0,IF(SUM($O326:R326)&lt;($L326-12),12,$L326-SUM($O326:R326)))</f>
        <v>0</v>
      </c>
      <c r="U326" s="1100"/>
      <c r="V326" s="1100">
        <f>'ANSP Capex'!T322</f>
        <v>0</v>
      </c>
      <c r="W326" s="1101">
        <f>IF($BI326=0,0,IF(SUM($U326:V326)&lt;($L326-12),12,$L326-SUM($U326:V326)))</f>
        <v>0</v>
      </c>
      <c r="X326" s="1101">
        <f>IF($BI326=0,0,IF(SUM($U326:W326)&lt;($L326-12),12,$L326-SUM($U326:W326)))</f>
        <v>0</v>
      </c>
      <c r="Y326" s="1101">
        <f>IF($BI326=0,0,IF(SUM($U326:X326)&lt;($L326-12),12,$L326-SUM($U326:X326)))</f>
        <v>0</v>
      </c>
      <c r="AA326" s="1100"/>
      <c r="AB326" s="1100"/>
      <c r="AC326" s="1100">
        <f>'ANSP Capex'!AA322</f>
        <v>0</v>
      </c>
      <c r="AD326" s="1101">
        <f>IF($BJ326=0,0,IF(SUM($AA326:AC326)&lt;($L326-12),12,$L326-SUM($AA326:AC326)))</f>
        <v>0</v>
      </c>
      <c r="AE326" s="1101">
        <f>IF($BJ326=0,0,IF(SUM($AA326:AD326)&lt;($L326-12),12,$L326-SUM($AA326:AD326)))</f>
        <v>0</v>
      </c>
      <c r="AG326" s="1100"/>
      <c r="AH326" s="1100"/>
      <c r="AI326" s="1100"/>
      <c r="AJ326" s="1100">
        <f>'ANSP Capex'!AH322</f>
        <v>0</v>
      </c>
      <c r="AK326" s="1101">
        <f>IF($BK326=0,0,IF(SUM($AG326:AJ326)&lt;($L326-12),12,$L326-SUM($AG326:AJ326)))</f>
        <v>0</v>
      </c>
      <c r="AM326" s="1100"/>
      <c r="AN326" s="1100"/>
      <c r="AO326" s="1100"/>
      <c r="AP326" s="1100"/>
      <c r="AQ326" s="1100">
        <f>'ANSP Capex'!AO322</f>
        <v>0</v>
      </c>
      <c r="AS326" s="153">
        <f t="shared" si="35"/>
        <v>0</v>
      </c>
      <c r="AT326" s="153">
        <f t="shared" si="36"/>
        <v>0</v>
      </c>
      <c r="AU326" s="153">
        <f t="shared" si="37"/>
        <v>0</v>
      </c>
      <c r="AV326" s="153">
        <f t="shared" si="38"/>
        <v>0</v>
      </c>
      <c r="AW326" s="153">
        <f t="shared" si="39"/>
        <v>0</v>
      </c>
      <c r="AX326" s="153"/>
      <c r="AY326" s="1543">
        <f>'ANSP Capex'!AW322</f>
        <v>0</v>
      </c>
      <c r="AZ326" s="1102"/>
      <c r="BA326" s="1543">
        <f>'ANSP Capex'!AY322</f>
        <v>0</v>
      </c>
      <c r="BC326" s="1126"/>
      <c r="BD326" s="1126"/>
      <c r="BE326" s="1126"/>
      <c r="BF326" s="1126"/>
      <c r="BG326" s="1126"/>
      <c r="BH326" s="1126">
        <f>'ANSP Capex'!BF322*IF($I326="",(1+INDEX($I$41:$I$42,MATCH($F326,$F$41:$F$42,0))),(1+$I326))</f>
        <v>0</v>
      </c>
      <c r="BI326" s="1126">
        <f>'ANSP Capex'!BG322*IF($I326="",(1+INDEX($I$41:$I$42,MATCH($F326,$F$41:$F$42,0))),(1+$I326))</f>
        <v>0</v>
      </c>
      <c r="BJ326" s="1126">
        <f>'ANSP Capex'!BH322*IF($I326="",(1+INDEX($I$41:$I$42,MATCH($F326,$F$41:$F$42,0))),(1+$I326))</f>
        <v>0</v>
      </c>
      <c r="BK326" s="1126">
        <f>'ANSP Capex'!BI322*IF($I326="",(1+INDEX($I$41:$I$42,MATCH($F326,$F$41:$F$42,0))),(1+$I326))</f>
        <v>0</v>
      </c>
      <c r="BL326" s="1126">
        <f>'ANSP Capex'!BJ322*IF($I326="",(1+INDEX($I$41:$I$42,MATCH($F326,$F$41:$F$42,0))),(1+$I326))</f>
        <v>0</v>
      </c>
    </row>
    <row r="327" spans="3:64" outlineLevel="1">
      <c r="C327" s="1083" t="str">
        <f>'ANSP Capex'!C323</f>
        <v>Server Replacements HQ</v>
      </c>
      <c r="D327" s="1083" t="str">
        <f>'ANSP Capex'!D323</f>
        <v>Server Replacements</v>
      </c>
      <c r="E327" s="1083" t="str">
        <f>'ANSP Capex'!E323</f>
        <v>T019A</v>
      </c>
      <c r="F327" s="1083" t="str">
        <f>'ANSP Capex'!F323</f>
        <v>2021-2024</v>
      </c>
      <c r="G327" s="1101">
        <f t="shared" si="32"/>
        <v>79.417599999999993</v>
      </c>
      <c r="H327" s="1083" t="str">
        <f>'ANSP Capex'!H323</f>
        <v>€'000</v>
      </c>
      <c r="I327" s="829"/>
      <c r="J327" s="1097">
        <f>'ANSP Capex'!I323</f>
        <v>3</v>
      </c>
      <c r="K327" s="1124">
        <v>0</v>
      </c>
      <c r="L327" s="1098">
        <f t="shared" si="33"/>
        <v>36</v>
      </c>
      <c r="M327" s="153">
        <f t="shared" si="34"/>
        <v>0.33333333333333331</v>
      </c>
      <c r="N327" s="1099"/>
      <c r="O327" s="1100">
        <f>'ANSP Capex'!M323</f>
        <v>0</v>
      </c>
      <c r="P327" s="1101">
        <f>IF($BH327=0,0,IF(SUM($O327:O327)&lt;($L327-12),12,$L327-SUM($O327:O327)))</f>
        <v>0</v>
      </c>
      <c r="Q327" s="1101">
        <f>IF($BH327=0,0,IF(SUM($O327:P327)&lt;($L327-12),12,$L327-SUM($O327:P327)))</f>
        <v>0</v>
      </c>
      <c r="R327" s="1101">
        <f>IF($BH327=0,0,IF(SUM($O327:Q327)&lt;($L327-12),12,$L327-SUM($O327:Q327)))</f>
        <v>0</v>
      </c>
      <c r="S327" s="1101">
        <f>IF($BH327=0,0,IF(SUM($O327:R327)&lt;($L327-12),12,$L327-SUM($O327:R327)))</f>
        <v>0</v>
      </c>
      <c r="U327" s="1100"/>
      <c r="V327" s="1100">
        <f>'ANSP Capex'!T323</f>
        <v>4.5</v>
      </c>
      <c r="W327" s="1101">
        <f>IF($BI327=0,0,IF(SUM($U327:V327)&lt;($L327-12),12,$L327-SUM($U327:V327)))</f>
        <v>12</v>
      </c>
      <c r="X327" s="1101">
        <f>IF($BI327=0,0,IF(SUM($U327:W327)&lt;($L327-12),12,$L327-SUM($U327:W327)))</f>
        <v>12</v>
      </c>
      <c r="Y327" s="1101">
        <f>IF($BI327=0,0,IF(SUM($U327:X327)&lt;($L327-12),12,$L327-SUM($U327:X327)))</f>
        <v>7.5</v>
      </c>
      <c r="AA327" s="1100"/>
      <c r="AB327" s="1100"/>
      <c r="AC327" s="1100">
        <f>'ANSP Capex'!AA323</f>
        <v>12.000000000000002</v>
      </c>
      <c r="AD327" s="1101">
        <f>IF($BJ327=0,0,IF(SUM($AA327:AC327)&lt;($L327-12),12,$L327-SUM($AA327:AC327)))</f>
        <v>12</v>
      </c>
      <c r="AE327" s="1101">
        <f>IF($BJ327=0,0,IF(SUM($AA327:AD327)&lt;($L327-12),12,$L327-SUM($AA327:AD327)))</f>
        <v>12</v>
      </c>
      <c r="AG327" s="1100"/>
      <c r="AH327" s="1100"/>
      <c r="AI327" s="1100"/>
      <c r="AJ327" s="1100">
        <f>'ANSP Capex'!AH323</f>
        <v>0</v>
      </c>
      <c r="AK327" s="1101">
        <f>IF($BK327=0,0,IF(SUM($AG327:AJ327)&lt;($L327-12),12,$L327-SUM($AG327:AJ327)))</f>
        <v>0</v>
      </c>
      <c r="AM327" s="1100"/>
      <c r="AN327" s="1100"/>
      <c r="AO327" s="1100"/>
      <c r="AP327" s="1100"/>
      <c r="AQ327" s="1100">
        <f>'ANSP Capex'!AO323</f>
        <v>0</v>
      </c>
      <c r="AS327" s="153">
        <f t="shared" si="35"/>
        <v>0</v>
      </c>
      <c r="AT327" s="153">
        <f t="shared" si="36"/>
        <v>0.375</v>
      </c>
      <c r="AU327" s="153">
        <f t="shared" si="37"/>
        <v>1.0000000000000002</v>
      </c>
      <c r="AV327" s="153">
        <f t="shared" si="38"/>
        <v>0</v>
      </c>
      <c r="AW327" s="153">
        <f t="shared" si="39"/>
        <v>0</v>
      </c>
      <c r="AX327" s="153"/>
      <c r="AY327" s="1543">
        <f>'ANSP Capex'!AW323</f>
        <v>0.73</v>
      </c>
      <c r="AZ327" s="1102"/>
      <c r="BA327" s="1543">
        <f>'ANSP Capex'!AY323</f>
        <v>0.15</v>
      </c>
      <c r="BC327" s="1126"/>
      <c r="BD327" s="1126"/>
      <c r="BE327" s="1126"/>
      <c r="BF327" s="1126"/>
      <c r="BG327" s="1126"/>
      <c r="BH327" s="1126">
        <f>'ANSP Capex'!BF323*IF($I327="",(1+INDEX($I$41:$I$42,MATCH($F327,$F$41:$F$42,0))),(1+$I327))</f>
        <v>0</v>
      </c>
      <c r="BI327" s="1126">
        <f>'ANSP Capex'!BG323*IF($I327="",(1+INDEX($I$41:$I$42,MATCH($F327,$F$41:$F$42,0))),(1+$I327))</f>
        <v>52.945066666666662</v>
      </c>
      <c r="BJ327" s="1126">
        <f>'ANSP Capex'!BH323*IF($I327="",(1+INDEX($I$41:$I$42,MATCH($F327,$F$41:$F$42,0))),(1+$I327))</f>
        <v>26.472533333333331</v>
      </c>
      <c r="BK327" s="1126">
        <f>'ANSP Capex'!BI323*IF($I327="",(1+INDEX($I$41:$I$42,MATCH($F327,$F$41:$F$42,0))),(1+$I327))</f>
        <v>0</v>
      </c>
      <c r="BL327" s="1126">
        <f>'ANSP Capex'!BJ323*IF($I327="",(1+INDEX($I$41:$I$42,MATCH($F327,$F$41:$F$42,0))),(1+$I327))</f>
        <v>0</v>
      </c>
    </row>
    <row r="328" spans="3:64" outlineLevel="1">
      <c r="C328" s="1083" t="str">
        <f>'ANSP Capex'!C324</f>
        <v>Server Replacements BCY</v>
      </c>
      <c r="D328" s="1083" t="str">
        <f>'ANSP Capex'!D324</f>
        <v>Server Replacements</v>
      </c>
      <c r="E328" s="1083" t="str">
        <f>'ANSP Capex'!E324</f>
        <v>T019A</v>
      </c>
      <c r="F328" s="1083" t="str">
        <f>'ANSP Capex'!F324</f>
        <v>2021-2024</v>
      </c>
      <c r="G328" s="1101">
        <f t="shared" si="32"/>
        <v>0</v>
      </c>
      <c r="H328" s="1083" t="str">
        <f>'ANSP Capex'!H324</f>
        <v>€'000</v>
      </c>
      <c r="I328" s="829"/>
      <c r="J328" s="1097">
        <f>'ANSP Capex'!I324</f>
        <v>3</v>
      </c>
      <c r="K328" s="1124">
        <v>0</v>
      </c>
      <c r="L328" s="1098">
        <f t="shared" si="33"/>
        <v>36</v>
      </c>
      <c r="M328" s="153">
        <f t="shared" si="34"/>
        <v>0.33333333333333331</v>
      </c>
      <c r="N328" s="1099"/>
      <c r="O328" s="1100">
        <f>'ANSP Capex'!M324</f>
        <v>0</v>
      </c>
      <c r="P328" s="1101">
        <f>IF($BH328=0,0,IF(SUM($O328:O328)&lt;($L328-12),12,$L328-SUM($O328:O328)))</f>
        <v>0</v>
      </c>
      <c r="Q328" s="1101">
        <f>IF($BH328=0,0,IF(SUM($O328:P328)&lt;($L328-12),12,$L328-SUM($O328:P328)))</f>
        <v>0</v>
      </c>
      <c r="R328" s="1101">
        <f>IF($BH328=0,0,IF(SUM($O328:Q328)&lt;($L328-12),12,$L328-SUM($O328:Q328)))</f>
        <v>0</v>
      </c>
      <c r="S328" s="1101">
        <f>IF($BH328=0,0,IF(SUM($O328:R328)&lt;($L328-12),12,$L328-SUM($O328:R328)))</f>
        <v>0</v>
      </c>
      <c r="U328" s="1100"/>
      <c r="V328" s="1100">
        <f>'ANSP Capex'!T324</f>
        <v>0</v>
      </c>
      <c r="W328" s="1101">
        <f>IF($BI328=0,0,IF(SUM($U328:V328)&lt;($L328-12),12,$L328-SUM($U328:V328)))</f>
        <v>0</v>
      </c>
      <c r="X328" s="1101">
        <f>IF($BI328=0,0,IF(SUM($U328:W328)&lt;($L328-12),12,$L328-SUM($U328:W328)))</f>
        <v>0</v>
      </c>
      <c r="Y328" s="1101">
        <f>IF($BI328=0,0,IF(SUM($U328:X328)&lt;($L328-12),12,$L328-SUM($U328:X328)))</f>
        <v>0</v>
      </c>
      <c r="AA328" s="1100"/>
      <c r="AB328" s="1100"/>
      <c r="AC328" s="1100">
        <f>'ANSP Capex'!AA324</f>
        <v>0</v>
      </c>
      <c r="AD328" s="1101">
        <f>IF($BJ328=0,0,IF(SUM($AA328:AC328)&lt;($L328-12),12,$L328-SUM($AA328:AC328)))</f>
        <v>0</v>
      </c>
      <c r="AE328" s="1101">
        <f>IF($BJ328=0,0,IF(SUM($AA328:AD328)&lt;($L328-12),12,$L328-SUM($AA328:AD328)))</f>
        <v>0</v>
      </c>
      <c r="AG328" s="1100"/>
      <c r="AH328" s="1100"/>
      <c r="AI328" s="1100"/>
      <c r="AJ328" s="1100">
        <f>'ANSP Capex'!AH324</f>
        <v>0</v>
      </c>
      <c r="AK328" s="1101">
        <f>IF($BK328=0,0,IF(SUM($AG328:AJ328)&lt;($L328-12),12,$L328-SUM($AG328:AJ328)))</f>
        <v>0</v>
      </c>
      <c r="AM328" s="1100"/>
      <c r="AN328" s="1100"/>
      <c r="AO328" s="1100"/>
      <c r="AP328" s="1100"/>
      <c r="AQ328" s="1100">
        <f>'ANSP Capex'!AO324</f>
        <v>0</v>
      </c>
      <c r="AS328" s="153">
        <f t="shared" si="35"/>
        <v>0</v>
      </c>
      <c r="AT328" s="153">
        <f t="shared" si="36"/>
        <v>0</v>
      </c>
      <c r="AU328" s="153">
        <f t="shared" si="37"/>
        <v>0</v>
      </c>
      <c r="AV328" s="153">
        <f t="shared" si="38"/>
        <v>0</v>
      </c>
      <c r="AW328" s="153">
        <f t="shared" si="39"/>
        <v>0</v>
      </c>
      <c r="AX328" s="153"/>
      <c r="AY328" s="1543">
        <f>'ANSP Capex'!AW324</f>
        <v>0.75</v>
      </c>
      <c r="AZ328" s="1102"/>
      <c r="BA328" s="1543">
        <f>'ANSP Capex'!AY324</f>
        <v>0.25</v>
      </c>
      <c r="BC328" s="1126"/>
      <c r="BD328" s="1126"/>
      <c r="BE328" s="1126"/>
      <c r="BF328" s="1126"/>
      <c r="BG328" s="1126"/>
      <c r="BH328" s="1126">
        <f>'ANSP Capex'!BF324*IF($I328="",(1+INDEX($I$41:$I$42,MATCH($F328,$F$41:$F$42,0))),(1+$I328))</f>
        <v>0</v>
      </c>
      <c r="BI328" s="1126">
        <f>'ANSP Capex'!BG324*IF($I328="",(1+INDEX($I$41:$I$42,MATCH($F328,$F$41:$F$42,0))),(1+$I328))</f>
        <v>0</v>
      </c>
      <c r="BJ328" s="1126">
        <f>'ANSP Capex'!BH324*IF($I328="",(1+INDEX($I$41:$I$42,MATCH($F328,$F$41:$F$42,0))),(1+$I328))</f>
        <v>0</v>
      </c>
      <c r="BK328" s="1126">
        <f>'ANSP Capex'!BI324*IF($I328="",(1+INDEX($I$41:$I$42,MATCH($F328,$F$41:$F$42,0))),(1+$I328))</f>
        <v>0</v>
      </c>
      <c r="BL328" s="1126">
        <f>'ANSP Capex'!BJ324*IF($I328="",(1+INDEX($I$41:$I$42,MATCH($F328,$F$41:$F$42,0))),(1+$I328))</f>
        <v>0</v>
      </c>
    </row>
    <row r="329" spans="3:64" outlineLevel="1">
      <c r="C329" s="1083" t="str">
        <f>'ANSP Capex'!C325</f>
        <v>Essential Security Upgrades</v>
      </c>
      <c r="D329" s="1083" t="str">
        <f>'ANSP Capex'!D325</f>
        <v>Essential Security Upgrades</v>
      </c>
      <c r="E329" s="1083" t="str">
        <f>'ANSP Capex'!E325</f>
        <v>T009</v>
      </c>
      <c r="F329" s="1083" t="str">
        <f>'ANSP Capex'!F325</f>
        <v>2021-2024</v>
      </c>
      <c r="G329" s="1101">
        <f t="shared" si="32"/>
        <v>0</v>
      </c>
      <c r="H329" s="1083" t="str">
        <f>'ANSP Capex'!H325</f>
        <v>€'000</v>
      </c>
      <c r="I329" s="829"/>
      <c r="J329" s="1097">
        <f>'ANSP Capex'!I325</f>
        <v>0</v>
      </c>
      <c r="K329" s="1124">
        <v>0</v>
      </c>
      <c r="L329" s="1098">
        <f t="shared" si="33"/>
        <v>0</v>
      </c>
      <c r="M329" s="153">
        <f t="shared" si="34"/>
        <v>0</v>
      </c>
      <c r="N329" s="1099"/>
      <c r="O329" s="1100">
        <f>'ANSP Capex'!M325</f>
        <v>0</v>
      </c>
      <c r="P329" s="1101">
        <f>IF($BH329=0,0,IF(SUM($O329:O329)&lt;($L329-12),12,$L329-SUM($O329:O329)))</f>
        <v>0</v>
      </c>
      <c r="Q329" s="1101">
        <f>IF($BH329=0,0,IF(SUM($O329:P329)&lt;($L329-12),12,$L329-SUM($O329:P329)))</f>
        <v>0</v>
      </c>
      <c r="R329" s="1101">
        <f>IF($BH329=0,0,IF(SUM($O329:Q329)&lt;($L329-12),12,$L329-SUM($O329:Q329)))</f>
        <v>0</v>
      </c>
      <c r="S329" s="1101">
        <f>IF($BH329=0,0,IF(SUM($O329:R329)&lt;($L329-12),12,$L329-SUM($O329:R329)))</f>
        <v>0</v>
      </c>
      <c r="U329" s="1100"/>
      <c r="V329" s="1100">
        <f>'ANSP Capex'!T325</f>
        <v>0</v>
      </c>
      <c r="W329" s="1101">
        <f>IF($BI329=0,0,IF(SUM($U329:V329)&lt;($L329-12),12,$L329-SUM($U329:V329)))</f>
        <v>0</v>
      </c>
      <c r="X329" s="1101">
        <f>IF($BI329=0,0,IF(SUM($U329:W329)&lt;($L329-12),12,$L329-SUM($U329:W329)))</f>
        <v>0</v>
      </c>
      <c r="Y329" s="1101">
        <f>IF($BI329=0,0,IF(SUM($U329:X329)&lt;($L329-12),12,$L329-SUM($U329:X329)))</f>
        <v>0</v>
      </c>
      <c r="AA329" s="1100"/>
      <c r="AB329" s="1100"/>
      <c r="AC329" s="1100">
        <f>'ANSP Capex'!AA325</f>
        <v>0</v>
      </c>
      <c r="AD329" s="1101">
        <f>IF($BJ329=0,0,IF(SUM($AA329:AC329)&lt;($L329-12),12,$L329-SUM($AA329:AC329)))</f>
        <v>0</v>
      </c>
      <c r="AE329" s="1101">
        <f>IF($BJ329=0,0,IF(SUM($AA329:AD329)&lt;($L329-12),12,$L329-SUM($AA329:AD329)))</f>
        <v>0</v>
      </c>
      <c r="AG329" s="1100"/>
      <c r="AH329" s="1100"/>
      <c r="AI329" s="1100"/>
      <c r="AJ329" s="1100">
        <f>'ANSP Capex'!AH325</f>
        <v>0</v>
      </c>
      <c r="AK329" s="1101">
        <f>IF($BK329=0,0,IF(SUM($AG329:AJ329)&lt;($L329-12),12,$L329-SUM($AG329:AJ329)))</f>
        <v>0</v>
      </c>
      <c r="AM329" s="1100"/>
      <c r="AN329" s="1100"/>
      <c r="AO329" s="1100"/>
      <c r="AP329" s="1100"/>
      <c r="AQ329" s="1100">
        <f>'ANSP Capex'!AO325</f>
        <v>0</v>
      </c>
      <c r="AS329" s="153">
        <f t="shared" si="35"/>
        <v>0</v>
      </c>
      <c r="AT329" s="153">
        <f t="shared" si="36"/>
        <v>0</v>
      </c>
      <c r="AU329" s="153">
        <f t="shared" si="37"/>
        <v>0</v>
      </c>
      <c r="AV329" s="153">
        <f t="shared" si="38"/>
        <v>0</v>
      </c>
      <c r="AW329" s="153">
        <f t="shared" si="39"/>
        <v>0</v>
      </c>
      <c r="AX329" s="153"/>
      <c r="AY329" s="1543">
        <f>'ANSP Capex'!AW325</f>
        <v>0</v>
      </c>
      <c r="AZ329" s="1102"/>
      <c r="BA329" s="1543">
        <f>'ANSP Capex'!AY325</f>
        <v>0</v>
      </c>
      <c r="BC329" s="1126"/>
      <c r="BD329" s="1126"/>
      <c r="BE329" s="1126"/>
      <c r="BF329" s="1126"/>
      <c r="BG329" s="1126"/>
      <c r="BH329" s="1126">
        <f>'ANSP Capex'!BF325*IF($I329="",(1+INDEX($I$41:$I$42,MATCH($F329,$F$41:$F$42,0))),(1+$I329))</f>
        <v>0</v>
      </c>
      <c r="BI329" s="1126">
        <f>'ANSP Capex'!BG325*IF($I329="",(1+INDEX($I$41:$I$42,MATCH($F329,$F$41:$F$42,0))),(1+$I329))</f>
        <v>0</v>
      </c>
      <c r="BJ329" s="1126">
        <f>'ANSP Capex'!BH325*IF($I329="",(1+INDEX($I$41:$I$42,MATCH($F329,$F$41:$F$42,0))),(1+$I329))</f>
        <v>0</v>
      </c>
      <c r="BK329" s="1126">
        <f>'ANSP Capex'!BI325*IF($I329="",(1+INDEX($I$41:$I$42,MATCH($F329,$F$41:$F$42,0))),(1+$I329))</f>
        <v>0</v>
      </c>
      <c r="BL329" s="1126">
        <f>'ANSP Capex'!BJ325*IF($I329="",(1+INDEX($I$41:$I$42,MATCH($F329,$F$41:$F$42,0))),(1+$I329))</f>
        <v>0</v>
      </c>
    </row>
    <row r="330" spans="3:64" outlineLevel="1">
      <c r="C330" s="1083" t="str">
        <f>'ANSP Capex'!C326</f>
        <v>Essential Security Upgrades DUB</v>
      </c>
      <c r="D330" s="1083" t="str">
        <f>'ANSP Capex'!D326</f>
        <v>Essential Security Upgrades</v>
      </c>
      <c r="E330" s="1083" t="str">
        <f>'ANSP Capex'!E326</f>
        <v>T009A</v>
      </c>
      <c r="F330" s="1083" t="str">
        <f>'ANSP Capex'!F326</f>
        <v>2021-2024</v>
      </c>
      <c r="G330" s="1101">
        <f t="shared" si="32"/>
        <v>29.956000000000003</v>
      </c>
      <c r="H330" s="1083" t="str">
        <f>'ANSP Capex'!H326</f>
        <v>€'000</v>
      </c>
      <c r="I330" s="829"/>
      <c r="J330" s="1097">
        <f>'ANSP Capex'!I326</f>
        <v>5</v>
      </c>
      <c r="K330" s="1124">
        <v>0</v>
      </c>
      <c r="L330" s="1098">
        <f t="shared" si="33"/>
        <v>60</v>
      </c>
      <c r="M330" s="153">
        <f t="shared" si="34"/>
        <v>0.2</v>
      </c>
      <c r="N330" s="1099"/>
      <c r="O330" s="1100">
        <f>'ANSP Capex'!M326</f>
        <v>0</v>
      </c>
      <c r="P330" s="1101">
        <f>IF($BH330=0,0,IF(SUM($O330:O330)&lt;($L330-12),12,$L330-SUM($O330:O330)))</f>
        <v>0</v>
      </c>
      <c r="Q330" s="1101">
        <f>IF($BH330=0,0,IF(SUM($O330:P330)&lt;($L330-12),12,$L330-SUM($O330:P330)))</f>
        <v>0</v>
      </c>
      <c r="R330" s="1101">
        <f>IF($BH330=0,0,IF(SUM($O330:Q330)&lt;($L330-12),12,$L330-SUM($O330:Q330)))</f>
        <v>0</v>
      </c>
      <c r="S330" s="1101">
        <f>IF($BH330=0,0,IF(SUM($O330:R330)&lt;($L330-12),12,$L330-SUM($O330:R330)))</f>
        <v>0</v>
      </c>
      <c r="U330" s="1100"/>
      <c r="V330" s="1100">
        <f>'ANSP Capex'!T326</f>
        <v>6</v>
      </c>
      <c r="W330" s="1101">
        <f>IF($BI330=0,0,IF(SUM($U330:V330)&lt;($L330-12),12,$L330-SUM($U330:V330)))</f>
        <v>12</v>
      </c>
      <c r="X330" s="1101">
        <f>IF($BI330=0,0,IF(SUM($U330:W330)&lt;($L330-12),12,$L330-SUM($U330:W330)))</f>
        <v>12</v>
      </c>
      <c r="Y330" s="1101">
        <f>IF($BI330=0,0,IF(SUM($U330:X330)&lt;($L330-12),12,$L330-SUM($U330:X330)))</f>
        <v>12</v>
      </c>
      <c r="AA330" s="1100"/>
      <c r="AB330" s="1100"/>
      <c r="AC330" s="1100">
        <f>'ANSP Capex'!AA326</f>
        <v>0</v>
      </c>
      <c r="AD330" s="1101">
        <f>IF($BJ330=0,0,IF(SUM($AA330:AC330)&lt;($L330-12),12,$L330-SUM($AA330:AC330)))</f>
        <v>0</v>
      </c>
      <c r="AE330" s="1101">
        <f>IF($BJ330=0,0,IF(SUM($AA330:AD330)&lt;($L330-12),12,$L330-SUM($AA330:AD330)))</f>
        <v>0</v>
      </c>
      <c r="AG330" s="1100"/>
      <c r="AH330" s="1100"/>
      <c r="AI330" s="1100"/>
      <c r="AJ330" s="1100">
        <f>'ANSP Capex'!AH326</f>
        <v>0</v>
      </c>
      <c r="AK330" s="1101">
        <f>IF($BK330=0,0,IF(SUM($AG330:AJ330)&lt;($L330-12),12,$L330-SUM($AG330:AJ330)))</f>
        <v>0</v>
      </c>
      <c r="AM330" s="1100"/>
      <c r="AN330" s="1100"/>
      <c r="AO330" s="1100"/>
      <c r="AP330" s="1100"/>
      <c r="AQ330" s="1100">
        <f>'ANSP Capex'!AO326</f>
        <v>0</v>
      </c>
      <c r="AS330" s="153">
        <f t="shared" si="35"/>
        <v>0</v>
      </c>
      <c r="AT330" s="153">
        <f t="shared" si="36"/>
        <v>0.5</v>
      </c>
      <c r="AU330" s="153">
        <f t="shared" si="37"/>
        <v>0</v>
      </c>
      <c r="AV330" s="153">
        <f t="shared" si="38"/>
        <v>0</v>
      </c>
      <c r="AW330" s="153">
        <f t="shared" si="39"/>
        <v>0</v>
      </c>
      <c r="AX330" s="153"/>
      <c r="AY330" s="1543">
        <f>'ANSP Capex'!AW326</f>
        <v>0.75</v>
      </c>
      <c r="AZ330" s="1102"/>
      <c r="BA330" s="1543">
        <f>'ANSP Capex'!AY326</f>
        <v>0.25</v>
      </c>
      <c r="BC330" s="1126"/>
      <c r="BD330" s="1126"/>
      <c r="BE330" s="1126"/>
      <c r="BF330" s="1126"/>
      <c r="BG330" s="1126"/>
      <c r="BH330" s="1126">
        <f>'ANSP Capex'!BF326*IF($I330="",(1+INDEX($I$41:$I$42,MATCH($F330,$F$41:$F$42,0))),(1+$I330))</f>
        <v>0</v>
      </c>
      <c r="BI330" s="1126">
        <f>'ANSP Capex'!BG326*IF($I330="",(1+INDEX($I$41:$I$42,MATCH($F330,$F$41:$F$42,0))),(1+$I330))</f>
        <v>29.956000000000003</v>
      </c>
      <c r="BJ330" s="1126">
        <f>'ANSP Capex'!BH326*IF($I330="",(1+INDEX($I$41:$I$42,MATCH($F330,$F$41:$F$42,0))),(1+$I330))</f>
        <v>0</v>
      </c>
      <c r="BK330" s="1126">
        <f>'ANSP Capex'!BI326*IF($I330="",(1+INDEX($I$41:$I$42,MATCH($F330,$F$41:$F$42,0))),(1+$I330))</f>
        <v>0</v>
      </c>
      <c r="BL330" s="1126">
        <f>'ANSP Capex'!BJ326*IF($I330="",(1+INDEX($I$41:$I$42,MATCH($F330,$F$41:$F$42,0))),(1+$I330))</f>
        <v>0</v>
      </c>
    </row>
    <row r="331" spans="3:64" outlineLevel="1">
      <c r="C331" s="1083" t="str">
        <f>'ANSP Capex'!C327</f>
        <v>Essential Security Upgrades Cork</v>
      </c>
      <c r="D331" s="1083" t="str">
        <f>'ANSP Capex'!D327</f>
        <v>Essential Security Upgrades</v>
      </c>
      <c r="E331" s="1083" t="str">
        <f>'ANSP Capex'!E327</f>
        <v>T009A</v>
      </c>
      <c r="F331" s="1083" t="str">
        <f>'ANSP Capex'!F327</f>
        <v>2021-2024</v>
      </c>
      <c r="G331" s="1101">
        <f t="shared" si="32"/>
        <v>0</v>
      </c>
      <c r="H331" s="1083" t="str">
        <f>'ANSP Capex'!H327</f>
        <v>€'000</v>
      </c>
      <c r="I331" s="829"/>
      <c r="J331" s="1097">
        <f>'ANSP Capex'!I327</f>
        <v>5</v>
      </c>
      <c r="K331" s="1124">
        <v>0</v>
      </c>
      <c r="L331" s="1098">
        <f t="shared" si="33"/>
        <v>60</v>
      </c>
      <c r="M331" s="153">
        <f t="shared" si="34"/>
        <v>0.2</v>
      </c>
      <c r="N331" s="1099"/>
      <c r="O331" s="1100">
        <f>'ANSP Capex'!M327</f>
        <v>0</v>
      </c>
      <c r="P331" s="1101">
        <f>IF($BH331=0,0,IF(SUM($O331:O331)&lt;($L331-12),12,$L331-SUM($O331:O331)))</f>
        <v>0</v>
      </c>
      <c r="Q331" s="1101">
        <f>IF($BH331=0,0,IF(SUM($O331:P331)&lt;($L331-12),12,$L331-SUM($O331:P331)))</f>
        <v>0</v>
      </c>
      <c r="R331" s="1101">
        <f>IF($BH331=0,0,IF(SUM($O331:Q331)&lt;($L331-12),12,$L331-SUM($O331:Q331)))</f>
        <v>0</v>
      </c>
      <c r="S331" s="1101">
        <f>IF($BH331=0,0,IF(SUM($O331:R331)&lt;($L331-12),12,$L331-SUM($O331:R331)))</f>
        <v>0</v>
      </c>
      <c r="U331" s="1100"/>
      <c r="V331" s="1100">
        <f>'ANSP Capex'!T327</f>
        <v>0</v>
      </c>
      <c r="W331" s="1101">
        <f>IF($BI331=0,0,IF(SUM($U331:V331)&lt;($L331-12),12,$L331-SUM($U331:V331)))</f>
        <v>0</v>
      </c>
      <c r="X331" s="1101">
        <f>IF($BI331=0,0,IF(SUM($U331:W331)&lt;($L331-12),12,$L331-SUM($U331:W331)))</f>
        <v>0</v>
      </c>
      <c r="Y331" s="1101">
        <f>IF($BI331=0,0,IF(SUM($U331:X331)&lt;($L331-12),12,$L331-SUM($U331:X331)))</f>
        <v>0</v>
      </c>
      <c r="AA331" s="1100"/>
      <c r="AB331" s="1100"/>
      <c r="AC331" s="1100">
        <f>'ANSP Capex'!AA327</f>
        <v>0</v>
      </c>
      <c r="AD331" s="1101">
        <f>IF($BJ331=0,0,IF(SUM($AA331:AC331)&lt;($L331-12),12,$L331-SUM($AA331:AC331)))</f>
        <v>0</v>
      </c>
      <c r="AE331" s="1101">
        <f>IF($BJ331=0,0,IF(SUM($AA331:AD331)&lt;($L331-12),12,$L331-SUM($AA331:AD331)))</f>
        <v>0</v>
      </c>
      <c r="AG331" s="1100"/>
      <c r="AH331" s="1100"/>
      <c r="AI331" s="1100"/>
      <c r="AJ331" s="1100">
        <f>'ANSP Capex'!AH327</f>
        <v>0</v>
      </c>
      <c r="AK331" s="1101">
        <f>IF($BK331=0,0,IF(SUM($AG331:AJ331)&lt;($L331-12),12,$L331-SUM($AG331:AJ331)))</f>
        <v>0</v>
      </c>
      <c r="AM331" s="1100"/>
      <c r="AN331" s="1100"/>
      <c r="AO331" s="1100"/>
      <c r="AP331" s="1100"/>
      <c r="AQ331" s="1100">
        <f>'ANSP Capex'!AO327</f>
        <v>0</v>
      </c>
      <c r="AS331" s="153">
        <f t="shared" si="35"/>
        <v>0</v>
      </c>
      <c r="AT331" s="153">
        <f t="shared" si="36"/>
        <v>0</v>
      </c>
      <c r="AU331" s="153">
        <f t="shared" si="37"/>
        <v>0</v>
      </c>
      <c r="AV331" s="153">
        <f t="shared" si="38"/>
        <v>0</v>
      </c>
      <c r="AW331" s="153">
        <f t="shared" si="39"/>
        <v>0</v>
      </c>
      <c r="AX331" s="153"/>
      <c r="AY331" s="1543">
        <f>'ANSP Capex'!AW327</f>
        <v>0.5</v>
      </c>
      <c r="AZ331" s="1102"/>
      <c r="BA331" s="1543">
        <f>'ANSP Capex'!AY327</f>
        <v>0.5</v>
      </c>
      <c r="BC331" s="1126"/>
      <c r="BD331" s="1126"/>
      <c r="BE331" s="1126"/>
      <c r="BF331" s="1126"/>
      <c r="BG331" s="1126"/>
      <c r="BH331" s="1126">
        <f>'ANSP Capex'!BF327*IF($I331="",(1+INDEX($I$41:$I$42,MATCH($F331,$F$41:$F$42,0))),(1+$I331))</f>
        <v>0</v>
      </c>
      <c r="BI331" s="1126">
        <f>'ANSP Capex'!BG327*IF($I331="",(1+INDEX($I$41:$I$42,MATCH($F331,$F$41:$F$42,0))),(1+$I331))</f>
        <v>0</v>
      </c>
      <c r="BJ331" s="1126">
        <f>'ANSP Capex'!BH327*IF($I331="",(1+INDEX($I$41:$I$42,MATCH($F331,$F$41:$F$42,0))),(1+$I331))</f>
        <v>0</v>
      </c>
      <c r="BK331" s="1126">
        <f>'ANSP Capex'!BI327*IF($I331="",(1+INDEX($I$41:$I$42,MATCH($F331,$F$41:$F$42,0))),(1+$I331))</f>
        <v>0</v>
      </c>
      <c r="BL331" s="1126">
        <f>'ANSP Capex'!BJ327*IF($I331="",(1+INDEX($I$41:$I$42,MATCH($F331,$F$41:$F$42,0))),(1+$I331))</f>
        <v>0</v>
      </c>
    </row>
    <row r="332" spans="3:64" outlineLevel="1">
      <c r="C332" s="1083" t="str">
        <f>'ANSP Capex'!C328</f>
        <v>Essential Security Upgrades SHN</v>
      </c>
      <c r="D332" s="1083" t="str">
        <f>'ANSP Capex'!D328</f>
        <v>Essential Security Upgrades</v>
      </c>
      <c r="E332" s="1083" t="str">
        <f>'ANSP Capex'!E328</f>
        <v>T009A</v>
      </c>
      <c r="F332" s="1083" t="str">
        <f>'ANSP Capex'!F328</f>
        <v>2021-2024</v>
      </c>
      <c r="G332" s="1101">
        <f t="shared" si="32"/>
        <v>44.215200000000003</v>
      </c>
      <c r="H332" s="1083" t="str">
        <f>'ANSP Capex'!H328</f>
        <v>€'000</v>
      </c>
      <c r="I332" s="829"/>
      <c r="J332" s="1097">
        <f>'ANSP Capex'!I328</f>
        <v>5</v>
      </c>
      <c r="K332" s="1124">
        <v>0</v>
      </c>
      <c r="L332" s="1098">
        <f t="shared" si="33"/>
        <v>60</v>
      </c>
      <c r="M332" s="153">
        <f t="shared" si="34"/>
        <v>0.2</v>
      </c>
      <c r="N332" s="1099"/>
      <c r="O332" s="1100">
        <f>'ANSP Capex'!M328</f>
        <v>0</v>
      </c>
      <c r="P332" s="1101">
        <f>IF($BH332=0,0,IF(SUM($O332:O332)&lt;($L332-12),12,$L332-SUM($O332:O332)))</f>
        <v>0</v>
      </c>
      <c r="Q332" s="1101">
        <f>IF($BH332=0,0,IF(SUM($O332:P332)&lt;($L332-12),12,$L332-SUM($O332:P332)))</f>
        <v>0</v>
      </c>
      <c r="R332" s="1101">
        <f>IF($BH332=0,0,IF(SUM($O332:Q332)&lt;($L332-12),12,$L332-SUM($O332:Q332)))</f>
        <v>0</v>
      </c>
      <c r="S332" s="1101">
        <f>IF($BH332=0,0,IF(SUM($O332:R332)&lt;($L332-12),12,$L332-SUM($O332:R332)))</f>
        <v>0</v>
      </c>
      <c r="U332" s="1100"/>
      <c r="V332" s="1100">
        <f>'ANSP Capex'!T328</f>
        <v>6</v>
      </c>
      <c r="W332" s="1101">
        <f>IF($BI332=0,0,IF(SUM($U332:V332)&lt;($L332-12),12,$L332-SUM($U332:V332)))</f>
        <v>12</v>
      </c>
      <c r="X332" s="1101">
        <f>IF($BI332=0,0,IF(SUM($U332:W332)&lt;($L332-12),12,$L332-SUM($U332:W332)))</f>
        <v>12</v>
      </c>
      <c r="Y332" s="1101">
        <f>IF($BI332=0,0,IF(SUM($U332:X332)&lt;($L332-12),12,$L332-SUM($U332:X332)))</f>
        <v>12</v>
      </c>
      <c r="AA332" s="1100"/>
      <c r="AB332" s="1100"/>
      <c r="AC332" s="1100">
        <f>'ANSP Capex'!AA328</f>
        <v>0</v>
      </c>
      <c r="AD332" s="1101">
        <f>IF($BJ332=0,0,IF(SUM($AA332:AC332)&lt;($L332-12),12,$L332-SUM($AA332:AC332)))</f>
        <v>0</v>
      </c>
      <c r="AE332" s="1101">
        <f>IF($BJ332=0,0,IF(SUM($AA332:AD332)&lt;($L332-12),12,$L332-SUM($AA332:AD332)))</f>
        <v>0</v>
      </c>
      <c r="AG332" s="1100"/>
      <c r="AH332" s="1100"/>
      <c r="AI332" s="1100"/>
      <c r="AJ332" s="1100">
        <f>'ANSP Capex'!AH328</f>
        <v>0</v>
      </c>
      <c r="AK332" s="1101">
        <f>IF($BK332=0,0,IF(SUM($AG332:AJ332)&lt;($L332-12),12,$L332-SUM($AG332:AJ332)))</f>
        <v>0</v>
      </c>
      <c r="AM332" s="1100"/>
      <c r="AN332" s="1100"/>
      <c r="AO332" s="1100"/>
      <c r="AP332" s="1100"/>
      <c r="AQ332" s="1100">
        <f>'ANSP Capex'!AO328</f>
        <v>0</v>
      </c>
      <c r="AS332" s="153">
        <f t="shared" si="35"/>
        <v>0</v>
      </c>
      <c r="AT332" s="153">
        <f t="shared" si="36"/>
        <v>0.5</v>
      </c>
      <c r="AU332" s="153">
        <f t="shared" si="37"/>
        <v>0</v>
      </c>
      <c r="AV332" s="153">
        <f t="shared" si="38"/>
        <v>0</v>
      </c>
      <c r="AW332" s="153">
        <f t="shared" si="39"/>
        <v>0</v>
      </c>
      <c r="AX332" s="153"/>
      <c r="AY332" s="1543">
        <f>'ANSP Capex'!AW328</f>
        <v>1</v>
      </c>
      <c r="AZ332" s="1102"/>
      <c r="BA332" s="1543">
        <f>'ANSP Capex'!AY328</f>
        <v>0</v>
      </c>
      <c r="BC332" s="1126"/>
      <c r="BD332" s="1126"/>
      <c r="BE332" s="1126"/>
      <c r="BF332" s="1126"/>
      <c r="BG332" s="1126"/>
      <c r="BH332" s="1126">
        <f>'ANSP Capex'!BF328*IF($I332="",(1+INDEX($I$41:$I$42,MATCH($F332,$F$41:$F$42,0))),(1+$I332))</f>
        <v>0</v>
      </c>
      <c r="BI332" s="1126">
        <f>'ANSP Capex'!BG328*IF($I332="",(1+INDEX($I$41:$I$42,MATCH($F332,$F$41:$F$42,0))),(1+$I332))</f>
        <v>44.215200000000003</v>
      </c>
      <c r="BJ332" s="1126">
        <f>'ANSP Capex'!BH328*IF($I332="",(1+INDEX($I$41:$I$42,MATCH($F332,$F$41:$F$42,0))),(1+$I332))</f>
        <v>0</v>
      </c>
      <c r="BK332" s="1126">
        <f>'ANSP Capex'!BI328*IF($I332="",(1+INDEX($I$41:$I$42,MATCH($F332,$F$41:$F$42,0))),(1+$I332))</f>
        <v>0</v>
      </c>
      <c r="BL332" s="1126">
        <f>'ANSP Capex'!BJ328*IF($I332="",(1+INDEX($I$41:$I$42,MATCH($F332,$F$41:$F$42,0))),(1+$I332))</f>
        <v>0</v>
      </c>
    </row>
    <row r="333" spans="3:64" outlineLevel="1">
      <c r="C333" s="1083" t="str">
        <f>'ANSP Capex'!C329</f>
        <v>Network test equipment</v>
      </c>
      <c r="D333" s="1083" t="str">
        <f>'ANSP Capex'!D329</f>
        <v>Network test equipment</v>
      </c>
      <c r="E333" s="1083" t="str">
        <f>'ANSP Capex'!E329</f>
        <v>U009</v>
      </c>
      <c r="F333" s="1083" t="str">
        <f>'ANSP Capex'!F329</f>
        <v>2021-2024</v>
      </c>
      <c r="G333" s="1101">
        <f t="shared" si="32"/>
        <v>72</v>
      </c>
      <c r="H333" s="1083" t="str">
        <f>'ANSP Capex'!H329</f>
        <v>€'000</v>
      </c>
      <c r="I333" s="829"/>
      <c r="J333" s="1097">
        <f>'ANSP Capex'!I329</f>
        <v>5</v>
      </c>
      <c r="K333" s="1124">
        <v>0</v>
      </c>
      <c r="L333" s="1098">
        <f t="shared" si="33"/>
        <v>60</v>
      </c>
      <c r="M333" s="153">
        <f t="shared" si="34"/>
        <v>0.2</v>
      </c>
      <c r="N333" s="1099"/>
      <c r="O333" s="1100">
        <f>'ANSP Capex'!M329</f>
        <v>0</v>
      </c>
      <c r="P333" s="1101">
        <f>IF($BH333=0,0,IF(SUM($O333:O333)&lt;($L333-12),12,$L333-SUM($O333:O333)))</f>
        <v>0</v>
      </c>
      <c r="Q333" s="1101">
        <f>IF($BH333=0,0,IF(SUM($O333:P333)&lt;($L333-12),12,$L333-SUM($O333:P333)))</f>
        <v>0</v>
      </c>
      <c r="R333" s="1101">
        <f>IF($BH333=0,0,IF(SUM($O333:Q333)&lt;($L333-12),12,$L333-SUM($O333:Q333)))</f>
        <v>0</v>
      </c>
      <c r="S333" s="1101">
        <f>IF($BH333=0,0,IF(SUM($O333:R333)&lt;($L333-12),12,$L333-SUM($O333:R333)))</f>
        <v>0</v>
      </c>
      <c r="U333" s="1100"/>
      <c r="V333" s="1100">
        <f>'ANSP Capex'!T329</f>
        <v>0</v>
      </c>
      <c r="W333" s="1101">
        <f>IF($BI333=0,0,IF(SUM($U333:V333)&lt;($L333-12),12,$L333-SUM($U333:V333)))</f>
        <v>0</v>
      </c>
      <c r="X333" s="1101">
        <f>IF($BI333=0,0,IF(SUM($U333:W333)&lt;($L333-12),12,$L333-SUM($U333:W333)))</f>
        <v>0</v>
      </c>
      <c r="Y333" s="1101">
        <f>IF($BI333=0,0,IF(SUM($U333:X333)&lt;($L333-12),12,$L333-SUM($U333:X333)))</f>
        <v>0</v>
      </c>
      <c r="AA333" s="1100"/>
      <c r="AB333" s="1100"/>
      <c r="AC333" s="1100">
        <f>'ANSP Capex'!AA329</f>
        <v>0</v>
      </c>
      <c r="AD333" s="1101">
        <f>IF($BJ333=0,0,IF(SUM($AA333:AC333)&lt;($L333-12),12,$L333-SUM($AA333:AC333)))</f>
        <v>0</v>
      </c>
      <c r="AE333" s="1101">
        <f>IF($BJ333=0,0,IF(SUM($AA333:AD333)&lt;($L333-12),12,$L333-SUM($AA333:AD333)))</f>
        <v>0</v>
      </c>
      <c r="AG333" s="1100"/>
      <c r="AH333" s="1100"/>
      <c r="AI333" s="1100"/>
      <c r="AJ333" s="1100">
        <f>'ANSP Capex'!AH329</f>
        <v>3</v>
      </c>
      <c r="AK333" s="1101">
        <f>IF($BK333=0,0,IF(SUM($AG333:AJ333)&lt;($L333-12),12,$L333-SUM($AG333:AJ333)))</f>
        <v>12</v>
      </c>
      <c r="AM333" s="1100"/>
      <c r="AN333" s="1100"/>
      <c r="AO333" s="1100"/>
      <c r="AP333" s="1100"/>
      <c r="AQ333" s="1100">
        <f>'ANSP Capex'!AO329</f>
        <v>0</v>
      </c>
      <c r="AS333" s="153">
        <f t="shared" si="35"/>
        <v>0</v>
      </c>
      <c r="AT333" s="153">
        <f t="shared" si="36"/>
        <v>0</v>
      </c>
      <c r="AU333" s="153">
        <f t="shared" si="37"/>
        <v>0</v>
      </c>
      <c r="AV333" s="153">
        <f t="shared" si="38"/>
        <v>0.25</v>
      </c>
      <c r="AW333" s="153">
        <f t="shared" si="39"/>
        <v>0</v>
      </c>
      <c r="AX333" s="153"/>
      <c r="AY333" s="1543">
        <f>'ANSP Capex'!AW329</f>
        <v>0.75</v>
      </c>
      <c r="AZ333" s="1102"/>
      <c r="BA333" s="1543">
        <f>'ANSP Capex'!AY329</f>
        <v>0.25</v>
      </c>
      <c r="BC333" s="1126"/>
      <c r="BD333" s="1126"/>
      <c r="BE333" s="1126"/>
      <c r="BF333" s="1126"/>
      <c r="BG333" s="1126"/>
      <c r="BH333" s="1126">
        <f>'ANSP Capex'!BF329*IF($I333="",(1+INDEX($I$41:$I$42,MATCH($F333,$F$41:$F$42,0))),(1+$I333))</f>
        <v>0</v>
      </c>
      <c r="BI333" s="1126">
        <f>'ANSP Capex'!BG329*IF($I333="",(1+INDEX($I$41:$I$42,MATCH($F333,$F$41:$F$42,0))),(1+$I333))</f>
        <v>0</v>
      </c>
      <c r="BJ333" s="1126">
        <f>'ANSP Capex'!BH329*IF($I333="",(1+INDEX($I$41:$I$42,MATCH($F333,$F$41:$F$42,0))),(1+$I333))</f>
        <v>0</v>
      </c>
      <c r="BK333" s="1126">
        <f>'ANSP Capex'!BI329*IF($I333="",(1+INDEX($I$41:$I$42,MATCH($F333,$F$41:$F$42,0))),(1+$I333))</f>
        <v>72</v>
      </c>
      <c r="BL333" s="1126">
        <f>'ANSP Capex'!BJ329*IF($I333="",(1+INDEX($I$41:$I$42,MATCH($F333,$F$41:$F$42,0))),(1+$I333))</f>
        <v>0</v>
      </c>
    </row>
    <row r="334" spans="3:64" outlineLevel="1">
      <c r="C334" s="1083" t="str">
        <f>'ANSP Capex'!C330</f>
        <v>Audio visual rooms</v>
      </c>
      <c r="D334" s="1083" t="str">
        <f>'ANSP Capex'!D330</f>
        <v>Audio visual rooms</v>
      </c>
      <c r="E334" s="1083" t="str">
        <f>'ANSP Capex'!E330</f>
        <v>S026</v>
      </c>
      <c r="F334" s="1083" t="str">
        <f>'ANSP Capex'!F330</f>
        <v>2021-2024</v>
      </c>
      <c r="G334" s="1101">
        <f t="shared" si="32"/>
        <v>72</v>
      </c>
      <c r="H334" s="1083" t="str">
        <f>'ANSP Capex'!H330</f>
        <v>€'000</v>
      </c>
      <c r="I334" s="829"/>
      <c r="J334" s="1097">
        <f>'ANSP Capex'!I330</f>
        <v>3</v>
      </c>
      <c r="K334" s="1124">
        <v>0</v>
      </c>
      <c r="L334" s="1098">
        <f t="shared" si="33"/>
        <v>36</v>
      </c>
      <c r="M334" s="153">
        <f t="shared" si="34"/>
        <v>0.33333333333333331</v>
      </c>
      <c r="N334" s="1099"/>
      <c r="O334" s="1100">
        <f>'ANSP Capex'!M330</f>
        <v>0</v>
      </c>
      <c r="P334" s="1101">
        <f>IF($BH334=0,0,IF(SUM($O334:O334)&lt;($L334-12),12,$L334-SUM($O334:O334)))</f>
        <v>0</v>
      </c>
      <c r="Q334" s="1101">
        <f>IF($BH334=0,0,IF(SUM($O334:P334)&lt;($L334-12),12,$L334-SUM($O334:P334)))</f>
        <v>0</v>
      </c>
      <c r="R334" s="1101">
        <f>IF($BH334=0,0,IF(SUM($O334:Q334)&lt;($L334-12),12,$L334-SUM($O334:Q334)))</f>
        <v>0</v>
      </c>
      <c r="S334" s="1101">
        <f>IF($BH334=0,0,IF(SUM($O334:R334)&lt;($L334-12),12,$L334-SUM($O334:R334)))</f>
        <v>0</v>
      </c>
      <c r="U334" s="1100"/>
      <c r="V334" s="1100">
        <f>'ANSP Capex'!T330</f>
        <v>4.5</v>
      </c>
      <c r="W334" s="1101">
        <f>IF($BI334=0,0,IF(SUM($U334:V334)&lt;($L334-12),12,$L334-SUM($U334:V334)))</f>
        <v>12</v>
      </c>
      <c r="X334" s="1101">
        <f>IF($BI334=0,0,IF(SUM($U334:W334)&lt;($L334-12),12,$L334-SUM($U334:W334)))</f>
        <v>12</v>
      </c>
      <c r="Y334" s="1101">
        <f>IF($BI334=0,0,IF(SUM($U334:X334)&lt;($L334-12),12,$L334-SUM($U334:X334)))</f>
        <v>7.5</v>
      </c>
      <c r="AA334" s="1100"/>
      <c r="AB334" s="1100"/>
      <c r="AC334" s="1100">
        <f>'ANSP Capex'!AA330</f>
        <v>12</v>
      </c>
      <c r="AD334" s="1101">
        <f>IF($BJ334=0,0,IF(SUM($AA334:AC334)&lt;($L334-12),12,$L334-SUM($AA334:AC334)))</f>
        <v>12</v>
      </c>
      <c r="AE334" s="1101">
        <f>IF($BJ334=0,0,IF(SUM($AA334:AD334)&lt;($L334-12),12,$L334-SUM($AA334:AD334)))</f>
        <v>12</v>
      </c>
      <c r="AG334" s="1100"/>
      <c r="AH334" s="1100"/>
      <c r="AI334" s="1100"/>
      <c r="AJ334" s="1100">
        <f>'ANSP Capex'!AH330</f>
        <v>0</v>
      </c>
      <c r="AK334" s="1101">
        <f>IF($BK334=0,0,IF(SUM($AG334:AJ334)&lt;($L334-12),12,$L334-SUM($AG334:AJ334)))</f>
        <v>0</v>
      </c>
      <c r="AM334" s="1100"/>
      <c r="AN334" s="1100"/>
      <c r="AO334" s="1100"/>
      <c r="AP334" s="1100"/>
      <c r="AQ334" s="1100">
        <f>'ANSP Capex'!AO330</f>
        <v>0</v>
      </c>
      <c r="AS334" s="153">
        <f t="shared" si="35"/>
        <v>0</v>
      </c>
      <c r="AT334" s="153">
        <f t="shared" si="36"/>
        <v>0.375</v>
      </c>
      <c r="AU334" s="153">
        <f t="shared" si="37"/>
        <v>1</v>
      </c>
      <c r="AV334" s="153">
        <f t="shared" si="38"/>
        <v>0</v>
      </c>
      <c r="AW334" s="153">
        <f t="shared" si="39"/>
        <v>0</v>
      </c>
      <c r="AX334" s="153"/>
      <c r="AY334" s="1543">
        <f>'ANSP Capex'!AW330</f>
        <v>0.73</v>
      </c>
      <c r="AZ334" s="1102"/>
      <c r="BA334" s="1543">
        <f>'ANSP Capex'!AY330</f>
        <v>0.15</v>
      </c>
      <c r="BC334" s="1126"/>
      <c r="BD334" s="1126"/>
      <c r="BE334" s="1126"/>
      <c r="BF334" s="1126"/>
      <c r="BG334" s="1126"/>
      <c r="BH334" s="1126">
        <f>'ANSP Capex'!BF330*IF($I334="",(1+INDEX($I$41:$I$42,MATCH($F334,$F$41:$F$42,0))),(1+$I334))</f>
        <v>0</v>
      </c>
      <c r="BI334" s="1126">
        <f>'ANSP Capex'!BG330*IF($I334="",(1+INDEX($I$41:$I$42,MATCH($F334,$F$41:$F$42,0))),(1+$I334))</f>
        <v>48</v>
      </c>
      <c r="BJ334" s="1126">
        <f>'ANSP Capex'!BH330*IF($I334="",(1+INDEX($I$41:$I$42,MATCH($F334,$F$41:$F$42,0))),(1+$I334))</f>
        <v>24</v>
      </c>
      <c r="BK334" s="1126">
        <f>'ANSP Capex'!BI330*IF($I334="",(1+INDEX($I$41:$I$42,MATCH($F334,$F$41:$F$42,0))),(1+$I334))</f>
        <v>0</v>
      </c>
      <c r="BL334" s="1126">
        <f>'ANSP Capex'!BJ330*IF($I334="",(1+INDEX($I$41:$I$42,MATCH($F334,$F$41:$F$42,0))),(1+$I334))</f>
        <v>0</v>
      </c>
    </row>
    <row r="335" spans="3:64" outlineLevel="1">
      <c r="C335" s="1083" t="str">
        <f>'ANSP Capex'!C331</f>
        <v>Migration of FMTP from IPv4 to IPv6</v>
      </c>
      <c r="D335" s="1083" t="str">
        <f>'ANSP Capex'!D331</f>
        <v>Migration of FMTP from IPv4 to IPv6</v>
      </c>
      <c r="E335" s="1083" t="str">
        <f>'ANSP Capex'!E331</f>
        <v>Q004</v>
      </c>
      <c r="F335" s="1083" t="str">
        <f>'ANSP Capex'!F331</f>
        <v>2021-2024</v>
      </c>
      <c r="G335" s="1101">
        <f t="shared" si="32"/>
        <v>67.045560000000009</v>
      </c>
      <c r="H335" s="1083" t="str">
        <f>'ANSP Capex'!H331</f>
        <v>€'000</v>
      </c>
      <c r="I335" s="829"/>
      <c r="J335" s="1097">
        <f>'ANSP Capex'!I331</f>
        <v>8</v>
      </c>
      <c r="K335" s="1124">
        <v>0</v>
      </c>
      <c r="L335" s="1098">
        <f t="shared" si="33"/>
        <v>96</v>
      </c>
      <c r="M335" s="153">
        <f t="shared" si="34"/>
        <v>0.125</v>
      </c>
      <c r="N335" s="1099"/>
      <c r="O335" s="1100">
        <f>'ANSP Capex'!M331</f>
        <v>0</v>
      </c>
      <c r="P335" s="1101">
        <f>IF($BH335=0,0,IF(SUM($O335:O335)&lt;($L335-12),12,$L335-SUM($O335:O335)))</f>
        <v>0</v>
      </c>
      <c r="Q335" s="1101">
        <f>IF($BH335=0,0,IF(SUM($O335:P335)&lt;($L335-12),12,$L335-SUM($O335:P335)))</f>
        <v>0</v>
      </c>
      <c r="R335" s="1101">
        <f>IF($BH335=0,0,IF(SUM($O335:Q335)&lt;($L335-12),12,$L335-SUM($O335:Q335)))</f>
        <v>0</v>
      </c>
      <c r="S335" s="1101">
        <f>IF($BH335=0,0,IF(SUM($O335:R335)&lt;($L335-12),12,$L335-SUM($O335:R335)))</f>
        <v>0</v>
      </c>
      <c r="U335" s="1100"/>
      <c r="V335" s="1100">
        <f>'ANSP Capex'!T331</f>
        <v>3</v>
      </c>
      <c r="W335" s="1101">
        <f>IF($BI335=0,0,IF(SUM($U335:V335)&lt;($L335-12),12,$L335-SUM($U335:V335)))</f>
        <v>12</v>
      </c>
      <c r="X335" s="1101">
        <f>IF($BI335=0,0,IF(SUM($U335:W335)&lt;($L335-12),12,$L335-SUM($U335:W335)))</f>
        <v>12</v>
      </c>
      <c r="Y335" s="1101">
        <f>IF($BI335=0,0,IF(SUM($U335:X335)&lt;($L335-12),12,$L335-SUM($U335:X335)))</f>
        <v>12</v>
      </c>
      <c r="AA335" s="1100"/>
      <c r="AB335" s="1100"/>
      <c r="AC335" s="1100">
        <f>'ANSP Capex'!AA331</f>
        <v>0</v>
      </c>
      <c r="AD335" s="1101">
        <f>IF($BJ335=0,0,IF(SUM($AA335:AC335)&lt;($L335-12),12,$L335-SUM($AA335:AC335)))</f>
        <v>0</v>
      </c>
      <c r="AE335" s="1101">
        <f>IF($BJ335=0,0,IF(SUM($AA335:AD335)&lt;($L335-12),12,$L335-SUM($AA335:AD335)))</f>
        <v>0</v>
      </c>
      <c r="AG335" s="1100"/>
      <c r="AH335" s="1100"/>
      <c r="AI335" s="1100"/>
      <c r="AJ335" s="1100">
        <f>'ANSP Capex'!AH331</f>
        <v>0</v>
      </c>
      <c r="AK335" s="1101">
        <f>IF($BK335=0,0,IF(SUM($AG335:AJ335)&lt;($L335-12),12,$L335-SUM($AG335:AJ335)))</f>
        <v>0</v>
      </c>
      <c r="AM335" s="1100"/>
      <c r="AN335" s="1100"/>
      <c r="AO335" s="1100"/>
      <c r="AP335" s="1100"/>
      <c r="AQ335" s="1100">
        <f>'ANSP Capex'!AO331</f>
        <v>0</v>
      </c>
      <c r="AS335" s="153">
        <f t="shared" si="35"/>
        <v>0</v>
      </c>
      <c r="AT335" s="153">
        <f t="shared" si="36"/>
        <v>0.25</v>
      </c>
      <c r="AU335" s="153">
        <f t="shared" si="37"/>
        <v>0</v>
      </c>
      <c r="AV335" s="153">
        <f t="shared" si="38"/>
        <v>0</v>
      </c>
      <c r="AW335" s="153">
        <f t="shared" si="39"/>
        <v>0</v>
      </c>
      <c r="AX335" s="153"/>
      <c r="AY335" s="1543">
        <f>'ANSP Capex'!AW331</f>
        <v>0.75</v>
      </c>
      <c r="AZ335" s="1102"/>
      <c r="BA335" s="1543">
        <f>'ANSP Capex'!AY331</f>
        <v>0.25</v>
      </c>
      <c r="BC335" s="1126"/>
      <c r="BD335" s="1126"/>
      <c r="BE335" s="1126"/>
      <c r="BF335" s="1126"/>
      <c r="BG335" s="1126"/>
      <c r="BH335" s="1126">
        <f>'ANSP Capex'!BF331*IF($I335="",(1+INDEX($I$41:$I$42,MATCH($F335,$F$41:$F$42,0))),(1+$I335))</f>
        <v>0</v>
      </c>
      <c r="BI335" s="1126">
        <f>'ANSP Capex'!BG331*IF($I335="",(1+INDEX($I$41:$I$42,MATCH($F335,$F$41:$F$42,0))),(1+$I335))</f>
        <v>67.045560000000009</v>
      </c>
      <c r="BJ335" s="1126">
        <f>'ANSP Capex'!BH331*IF($I335="",(1+INDEX($I$41:$I$42,MATCH($F335,$F$41:$F$42,0))),(1+$I335))</f>
        <v>0</v>
      </c>
      <c r="BK335" s="1126">
        <f>'ANSP Capex'!BI331*IF($I335="",(1+INDEX($I$41:$I$42,MATCH($F335,$F$41:$F$42,0))),(1+$I335))</f>
        <v>0</v>
      </c>
      <c r="BL335" s="1126">
        <f>'ANSP Capex'!BJ331*IF($I335="",(1+INDEX($I$41:$I$42,MATCH($F335,$F$41:$F$42,0))),(1+$I335))</f>
        <v>0</v>
      </c>
    </row>
    <row r="336" spans="3:64" outlineLevel="1">
      <c r="C336" s="1083" t="str">
        <f>'ANSP Capex'!C332</f>
        <v>PABX Infrastructure</v>
      </c>
      <c r="D336" s="1083" t="str">
        <f>'ANSP Capex'!D332</f>
        <v>PABX Infrastructure</v>
      </c>
      <c r="E336" s="1083" t="str">
        <f>'ANSP Capex'!E332</f>
        <v>P005</v>
      </c>
      <c r="F336" s="1083" t="str">
        <f>'ANSP Capex'!F332</f>
        <v>2021-2024</v>
      </c>
      <c r="G336" s="1101">
        <f t="shared" si="32"/>
        <v>65.277528000000004</v>
      </c>
      <c r="H336" s="1083" t="str">
        <f>'ANSP Capex'!H332</f>
        <v>€'000</v>
      </c>
      <c r="I336" s="829"/>
      <c r="J336" s="1097">
        <f>'ANSP Capex'!I332</f>
        <v>8</v>
      </c>
      <c r="K336" s="1124">
        <v>12</v>
      </c>
      <c r="L336" s="1098">
        <f t="shared" si="33"/>
        <v>144</v>
      </c>
      <c r="M336" s="153">
        <f t="shared" si="34"/>
        <v>8.3333333333333329E-2</v>
      </c>
      <c r="N336" s="1099"/>
      <c r="O336" s="1100">
        <f>'ANSP Capex'!M332</f>
        <v>0</v>
      </c>
      <c r="P336" s="1101">
        <f>IF($BH336=0,0,IF(SUM($O336:O336)&lt;($L336-12),12,$L336-SUM($O336:O336)))</f>
        <v>0</v>
      </c>
      <c r="Q336" s="1101">
        <f>IF($BH336=0,0,IF(SUM($O336:P336)&lt;($L336-12),12,$L336-SUM($O336:P336)))</f>
        <v>0</v>
      </c>
      <c r="R336" s="1101">
        <f>IF($BH336=0,0,IF(SUM($O336:Q336)&lt;($L336-12),12,$L336-SUM($O336:Q336)))</f>
        <v>0</v>
      </c>
      <c r="S336" s="1101">
        <f>IF($BH336=0,0,IF(SUM($O336:R336)&lt;($L336-12),12,$L336-SUM($O336:R336)))</f>
        <v>0</v>
      </c>
      <c r="U336" s="1100"/>
      <c r="V336" s="1100">
        <f>'ANSP Capex'!T332</f>
        <v>6</v>
      </c>
      <c r="W336" s="1101">
        <f>IF($BI336=0,0,IF(SUM($U336:V336)&lt;($L336-12),12,$L336-SUM($U336:V336)))</f>
        <v>12</v>
      </c>
      <c r="X336" s="1101">
        <f>IF($BI336=0,0,IF(SUM($U336:W336)&lt;($L336-12),12,$L336-SUM($U336:W336)))</f>
        <v>12</v>
      </c>
      <c r="Y336" s="1101">
        <f>IF($BI336=0,0,IF(SUM($U336:X336)&lt;($L336-12),12,$L336-SUM($U336:X336)))</f>
        <v>12</v>
      </c>
      <c r="AA336" s="1100"/>
      <c r="AB336" s="1100"/>
      <c r="AC336" s="1100">
        <f>'ANSP Capex'!AA332</f>
        <v>0</v>
      </c>
      <c r="AD336" s="1101">
        <f>IF($BJ336=0,0,IF(SUM($AA336:AC336)&lt;($L336-12),12,$L336-SUM($AA336:AC336)))</f>
        <v>0</v>
      </c>
      <c r="AE336" s="1101">
        <f>IF($BJ336=0,0,IF(SUM($AA336:AD336)&lt;($L336-12),12,$L336-SUM($AA336:AD336)))</f>
        <v>0</v>
      </c>
      <c r="AG336" s="1100"/>
      <c r="AH336" s="1100"/>
      <c r="AI336" s="1100"/>
      <c r="AJ336" s="1100">
        <f>'ANSP Capex'!AH332</f>
        <v>0</v>
      </c>
      <c r="AK336" s="1101">
        <f>IF($BK336=0,0,IF(SUM($AG336:AJ336)&lt;($L336-12),12,$L336-SUM($AG336:AJ336)))</f>
        <v>0</v>
      </c>
      <c r="AM336" s="1100"/>
      <c r="AN336" s="1100"/>
      <c r="AO336" s="1100"/>
      <c r="AP336" s="1100"/>
      <c r="AQ336" s="1100">
        <f>'ANSP Capex'!AO332</f>
        <v>0</v>
      </c>
      <c r="AS336" s="153">
        <f t="shared" si="35"/>
        <v>0</v>
      </c>
      <c r="AT336" s="153">
        <f t="shared" si="36"/>
        <v>0.5</v>
      </c>
      <c r="AU336" s="153">
        <f t="shared" si="37"/>
        <v>0</v>
      </c>
      <c r="AV336" s="153">
        <f t="shared" si="38"/>
        <v>0</v>
      </c>
      <c r="AW336" s="153">
        <f t="shared" si="39"/>
        <v>0</v>
      </c>
      <c r="AX336" s="153"/>
      <c r="AY336" s="1543">
        <f>'ANSP Capex'!AW332</f>
        <v>0.75</v>
      </c>
      <c r="AZ336" s="1102"/>
      <c r="BA336" s="1543">
        <f>'ANSP Capex'!AY332</f>
        <v>0.25</v>
      </c>
      <c r="BC336" s="1126"/>
      <c r="BD336" s="1126"/>
      <c r="BE336" s="1126"/>
      <c r="BF336" s="1126"/>
      <c r="BG336" s="1126"/>
      <c r="BH336" s="1126">
        <f>'ANSP Capex'!BF332*IF($I336="",(1+INDEX($I$41:$I$42,MATCH($F336,$F$41:$F$42,0))),(1+$I336))</f>
        <v>0</v>
      </c>
      <c r="BI336" s="1126">
        <f>'ANSP Capex'!BG332*IF($I336="",(1+INDEX($I$41:$I$42,MATCH($F336,$F$41:$F$42,0))),(1+$I336))</f>
        <v>65.277528000000004</v>
      </c>
      <c r="BJ336" s="1126">
        <f>'ANSP Capex'!BH332*IF($I336="",(1+INDEX($I$41:$I$42,MATCH($F336,$F$41:$F$42,0))),(1+$I336))</f>
        <v>0</v>
      </c>
      <c r="BK336" s="1126">
        <f>'ANSP Capex'!BI332*IF($I336="",(1+INDEX($I$41:$I$42,MATCH($F336,$F$41:$F$42,0))),(1+$I336))</f>
        <v>0</v>
      </c>
      <c r="BL336" s="1126">
        <f>'ANSP Capex'!BJ332*IF($I336="",(1+INDEX($I$41:$I$42,MATCH($F336,$F$41:$F$42,0))),(1+$I336))</f>
        <v>0</v>
      </c>
    </row>
    <row r="337" spans="2:64" outlineLevel="1">
      <c r="C337" s="1083" t="str">
        <f>'ANSP Capex'!C333</f>
        <v>Gerator Upgrade Programme</v>
      </c>
      <c r="D337" s="1083" t="str">
        <f>'ANSP Capex'!D333</f>
        <v>Gerator Upgrade Programme</v>
      </c>
      <c r="E337" s="1083" t="str">
        <f>'ANSP Capex'!E333</f>
        <v>T004</v>
      </c>
      <c r="F337" s="1083" t="str">
        <f>'ANSP Capex'!F333</f>
        <v>2021-2024</v>
      </c>
      <c r="G337" s="1101">
        <f t="shared" si="32"/>
        <v>0</v>
      </c>
      <c r="H337" s="1083" t="str">
        <f>'ANSP Capex'!H333</f>
        <v>€'000</v>
      </c>
      <c r="I337" s="829"/>
      <c r="J337" s="1097">
        <f>'ANSP Capex'!I333</f>
        <v>0</v>
      </c>
      <c r="K337" s="1124">
        <v>0</v>
      </c>
      <c r="L337" s="1098">
        <f t="shared" si="33"/>
        <v>0</v>
      </c>
      <c r="M337" s="153">
        <f t="shared" si="34"/>
        <v>0</v>
      </c>
      <c r="N337" s="1099"/>
      <c r="O337" s="1100">
        <f>'ANSP Capex'!M333</f>
        <v>0</v>
      </c>
      <c r="P337" s="1101">
        <f>IF($BH337=0,0,IF(SUM($O337:O337)&lt;($L337-12),12,$L337-SUM($O337:O337)))</f>
        <v>0</v>
      </c>
      <c r="Q337" s="1101">
        <f>IF($BH337=0,0,IF(SUM($O337:P337)&lt;($L337-12),12,$L337-SUM($O337:P337)))</f>
        <v>0</v>
      </c>
      <c r="R337" s="1101">
        <f>IF($BH337=0,0,IF(SUM($O337:Q337)&lt;($L337-12),12,$L337-SUM($O337:Q337)))</f>
        <v>0</v>
      </c>
      <c r="S337" s="1101">
        <f>IF($BH337=0,0,IF(SUM($O337:R337)&lt;($L337-12),12,$L337-SUM($O337:R337)))</f>
        <v>0</v>
      </c>
      <c r="U337" s="1100"/>
      <c r="V337" s="1100">
        <f>'ANSP Capex'!T333</f>
        <v>0</v>
      </c>
      <c r="W337" s="1101">
        <f>IF($BI337=0,0,IF(SUM($U337:V337)&lt;($L337-12),12,$L337-SUM($U337:V337)))</f>
        <v>0</v>
      </c>
      <c r="X337" s="1101">
        <f>IF($BI337=0,0,IF(SUM($U337:W337)&lt;($L337-12),12,$L337-SUM($U337:W337)))</f>
        <v>0</v>
      </c>
      <c r="Y337" s="1101">
        <f>IF($BI337=0,0,IF(SUM($U337:X337)&lt;($L337-12),12,$L337-SUM($U337:X337)))</f>
        <v>0</v>
      </c>
      <c r="AA337" s="1100"/>
      <c r="AB337" s="1100"/>
      <c r="AC337" s="1100">
        <f>'ANSP Capex'!AA333</f>
        <v>0</v>
      </c>
      <c r="AD337" s="1101">
        <f>IF($BJ337=0,0,IF(SUM($AA337:AC337)&lt;($L337-12),12,$L337-SUM($AA337:AC337)))</f>
        <v>0</v>
      </c>
      <c r="AE337" s="1101">
        <f>IF($BJ337=0,0,IF(SUM($AA337:AD337)&lt;($L337-12),12,$L337-SUM($AA337:AD337)))</f>
        <v>0</v>
      </c>
      <c r="AG337" s="1100"/>
      <c r="AH337" s="1100"/>
      <c r="AI337" s="1100"/>
      <c r="AJ337" s="1100">
        <f>'ANSP Capex'!AH333</f>
        <v>0</v>
      </c>
      <c r="AK337" s="1101">
        <f>IF($BK337=0,0,IF(SUM($AG337:AJ337)&lt;($L337-12),12,$L337-SUM($AG337:AJ337)))</f>
        <v>0</v>
      </c>
      <c r="AM337" s="1100"/>
      <c r="AN337" s="1100"/>
      <c r="AO337" s="1100"/>
      <c r="AP337" s="1100"/>
      <c r="AQ337" s="1100">
        <f>'ANSP Capex'!AO333</f>
        <v>0</v>
      </c>
      <c r="AS337" s="153">
        <f t="shared" si="35"/>
        <v>0</v>
      </c>
      <c r="AT337" s="153">
        <f t="shared" si="36"/>
        <v>0</v>
      </c>
      <c r="AU337" s="153">
        <f t="shared" si="37"/>
        <v>0</v>
      </c>
      <c r="AV337" s="153">
        <f t="shared" si="38"/>
        <v>0</v>
      </c>
      <c r="AW337" s="153">
        <f t="shared" si="39"/>
        <v>0</v>
      </c>
      <c r="AX337" s="153"/>
      <c r="AY337" s="1543">
        <f>'ANSP Capex'!AW333</f>
        <v>0</v>
      </c>
      <c r="AZ337" s="1102"/>
      <c r="BA337" s="1543">
        <f>'ANSP Capex'!AY333</f>
        <v>0</v>
      </c>
      <c r="BC337" s="1126"/>
      <c r="BD337" s="1126"/>
      <c r="BE337" s="1126"/>
      <c r="BF337" s="1126"/>
      <c r="BG337" s="1126"/>
      <c r="BH337" s="1126">
        <f>'ANSP Capex'!BF333*IF($I337="",(1+INDEX($I$41:$I$42,MATCH($F337,$F$41:$F$42,0))),(1+$I337))</f>
        <v>0</v>
      </c>
      <c r="BI337" s="1126">
        <f>'ANSP Capex'!BG333*IF($I337="",(1+INDEX($I$41:$I$42,MATCH($F337,$F$41:$F$42,0))),(1+$I337))</f>
        <v>0</v>
      </c>
      <c r="BJ337" s="1126">
        <f>'ANSP Capex'!BH333*IF($I337="",(1+INDEX($I$41:$I$42,MATCH($F337,$F$41:$F$42,0))),(1+$I337))</f>
        <v>0</v>
      </c>
      <c r="BK337" s="1126">
        <f>'ANSP Capex'!BI333*IF($I337="",(1+INDEX($I$41:$I$42,MATCH($F337,$F$41:$F$42,0))),(1+$I337))</f>
        <v>0</v>
      </c>
      <c r="BL337" s="1126">
        <f>'ANSP Capex'!BJ333*IF($I337="",(1+INDEX($I$41:$I$42,MATCH($F337,$F$41:$F$42,0))),(1+$I337))</f>
        <v>0</v>
      </c>
    </row>
    <row r="338" spans="2:64" outlineLevel="1">
      <c r="C338" s="1083" t="str">
        <f>'ANSP Capex'!C334</f>
        <v>Gerator Upgrade Programme - Woodcock Hill</v>
      </c>
      <c r="D338" s="1083" t="str">
        <f>'ANSP Capex'!D334</f>
        <v>Gerator Upgrade Programme</v>
      </c>
      <c r="E338" s="1083" t="str">
        <f>'ANSP Capex'!E334</f>
        <v>T004A</v>
      </c>
      <c r="F338" s="1083" t="str">
        <f>'ANSP Capex'!F334</f>
        <v>2021-2024</v>
      </c>
      <c r="G338" s="1101">
        <f t="shared" si="32"/>
        <v>64</v>
      </c>
      <c r="H338" s="1083" t="str">
        <f>'ANSP Capex'!H334</f>
        <v>€'000</v>
      </c>
      <c r="I338" s="829"/>
      <c r="J338" s="1097">
        <f>'ANSP Capex'!I334</f>
        <v>8</v>
      </c>
      <c r="K338" s="1124">
        <v>0</v>
      </c>
      <c r="L338" s="1098">
        <f t="shared" si="33"/>
        <v>96</v>
      </c>
      <c r="M338" s="153">
        <f t="shared" si="34"/>
        <v>0.125</v>
      </c>
      <c r="N338" s="1099"/>
      <c r="O338" s="1100">
        <f>'ANSP Capex'!M334</f>
        <v>0</v>
      </c>
      <c r="P338" s="1101">
        <f>IF($BH338=0,0,IF(SUM($O338:O338)&lt;($L338-12),12,$L338-SUM($O338:O338)))</f>
        <v>0</v>
      </c>
      <c r="Q338" s="1101">
        <f>IF($BH338=0,0,IF(SUM($O338:P338)&lt;($L338-12),12,$L338-SUM($O338:P338)))</f>
        <v>0</v>
      </c>
      <c r="R338" s="1101">
        <f>IF($BH338=0,0,IF(SUM($O338:Q338)&lt;($L338-12),12,$L338-SUM($O338:Q338)))</f>
        <v>0</v>
      </c>
      <c r="S338" s="1101">
        <f>IF($BH338=0,0,IF(SUM($O338:R338)&lt;($L338-12),12,$L338-SUM($O338:R338)))</f>
        <v>0</v>
      </c>
      <c r="U338" s="1100"/>
      <c r="V338" s="1100">
        <f>'ANSP Capex'!T334</f>
        <v>0</v>
      </c>
      <c r="W338" s="1101">
        <f>IF($BI338=0,0,IF(SUM($U338:V338)&lt;($L338-12),12,$L338-SUM($U338:V338)))</f>
        <v>0</v>
      </c>
      <c r="X338" s="1101">
        <f>IF($BI338=0,0,IF(SUM($U338:W338)&lt;($L338-12),12,$L338-SUM($U338:W338)))</f>
        <v>0</v>
      </c>
      <c r="Y338" s="1101">
        <f>IF($BI338=0,0,IF(SUM($U338:X338)&lt;($L338-12),12,$L338-SUM($U338:X338)))</f>
        <v>0</v>
      </c>
      <c r="AA338" s="1100"/>
      <c r="AB338" s="1100"/>
      <c r="AC338" s="1100">
        <f>'ANSP Capex'!AA334</f>
        <v>12</v>
      </c>
      <c r="AD338" s="1101">
        <f>IF($BJ338=0,0,IF(SUM($AA338:AC338)&lt;($L338-12),12,$L338-SUM($AA338:AC338)))</f>
        <v>12</v>
      </c>
      <c r="AE338" s="1101">
        <f>IF($BJ338=0,0,IF(SUM($AA338:AD338)&lt;($L338-12),12,$L338-SUM($AA338:AD338)))</f>
        <v>12</v>
      </c>
      <c r="AG338" s="1100"/>
      <c r="AH338" s="1100"/>
      <c r="AI338" s="1100"/>
      <c r="AJ338" s="1100">
        <f>'ANSP Capex'!AH334</f>
        <v>0</v>
      </c>
      <c r="AK338" s="1101">
        <f>IF($BK338=0,0,IF(SUM($AG338:AJ338)&lt;($L338-12),12,$L338-SUM($AG338:AJ338)))</f>
        <v>0</v>
      </c>
      <c r="AM338" s="1100"/>
      <c r="AN338" s="1100"/>
      <c r="AO338" s="1100"/>
      <c r="AP338" s="1100"/>
      <c r="AQ338" s="1100">
        <f>'ANSP Capex'!AO334</f>
        <v>0</v>
      </c>
      <c r="AS338" s="153">
        <f t="shared" si="35"/>
        <v>0</v>
      </c>
      <c r="AT338" s="153">
        <f t="shared" si="36"/>
        <v>0</v>
      </c>
      <c r="AU338" s="153">
        <f t="shared" si="37"/>
        <v>1</v>
      </c>
      <c r="AV338" s="153">
        <f t="shared" si="38"/>
        <v>0</v>
      </c>
      <c r="AW338" s="153">
        <f t="shared" si="39"/>
        <v>0</v>
      </c>
      <c r="AX338" s="153"/>
      <c r="AY338" s="1543">
        <f>'ANSP Capex'!AW334</f>
        <v>0.75</v>
      </c>
      <c r="AZ338" s="1102"/>
      <c r="BA338" s="1543">
        <f>'ANSP Capex'!AY334</f>
        <v>0.25</v>
      </c>
      <c r="BC338" s="1126"/>
      <c r="BD338" s="1126"/>
      <c r="BE338" s="1126"/>
      <c r="BF338" s="1126"/>
      <c r="BG338" s="1126"/>
      <c r="BH338" s="1126">
        <f>'ANSP Capex'!BF334*IF($I338="",(1+INDEX($I$41:$I$42,MATCH($F338,$F$41:$F$42,0))),(1+$I338))</f>
        <v>0</v>
      </c>
      <c r="BI338" s="1126">
        <f>'ANSP Capex'!BG334*IF($I338="",(1+INDEX($I$41:$I$42,MATCH($F338,$F$41:$F$42,0))),(1+$I338))</f>
        <v>0</v>
      </c>
      <c r="BJ338" s="1126">
        <f>'ANSP Capex'!BH334*IF($I338="",(1+INDEX($I$41:$I$42,MATCH($F338,$F$41:$F$42,0))),(1+$I338))</f>
        <v>64</v>
      </c>
      <c r="BK338" s="1126">
        <f>'ANSP Capex'!BI334*IF($I338="",(1+INDEX($I$41:$I$42,MATCH($F338,$F$41:$F$42,0))),(1+$I338))</f>
        <v>0</v>
      </c>
      <c r="BL338" s="1126">
        <f>'ANSP Capex'!BJ334*IF($I338="",(1+INDEX($I$41:$I$42,MATCH($F338,$F$41:$F$42,0))),(1+$I338))</f>
        <v>0</v>
      </c>
    </row>
    <row r="339" spans="2:64" outlineLevel="1">
      <c r="C339" s="1083" t="str">
        <f>'ANSP Capex'!C335</f>
        <v>Test Equipment for Navigational Aid Systems</v>
      </c>
      <c r="D339" s="1083" t="str">
        <f>'ANSP Capex'!D335</f>
        <v>Nav Aids Equipment</v>
      </c>
      <c r="E339" s="1083" t="str">
        <f>'ANSP Capex'!E335</f>
        <v>S004</v>
      </c>
      <c r="F339" s="1083" t="str">
        <f>'ANSP Capex'!F335</f>
        <v>2021-2024</v>
      </c>
      <c r="G339" s="1101">
        <f t="shared" si="32"/>
        <v>0</v>
      </c>
      <c r="H339" s="1083" t="str">
        <f>'ANSP Capex'!H335</f>
        <v>€'000</v>
      </c>
      <c r="I339" s="829"/>
      <c r="J339" s="1097">
        <f>'ANSP Capex'!I335</f>
        <v>0</v>
      </c>
      <c r="K339" s="1124">
        <v>0</v>
      </c>
      <c r="L339" s="1098">
        <f t="shared" si="33"/>
        <v>0</v>
      </c>
      <c r="M339" s="153">
        <f t="shared" si="34"/>
        <v>0</v>
      </c>
      <c r="N339" s="1099"/>
      <c r="O339" s="1100">
        <f>'ANSP Capex'!M335</f>
        <v>0</v>
      </c>
      <c r="P339" s="1101">
        <f>IF($BH339=0,0,IF(SUM($O339:O339)&lt;($L339-12),12,$L339-SUM($O339:O339)))</f>
        <v>0</v>
      </c>
      <c r="Q339" s="1101">
        <f>IF($BH339=0,0,IF(SUM($O339:P339)&lt;($L339-12),12,$L339-SUM($O339:P339)))</f>
        <v>0</v>
      </c>
      <c r="R339" s="1101">
        <f>IF($BH339=0,0,IF(SUM($O339:Q339)&lt;($L339-12),12,$L339-SUM($O339:Q339)))</f>
        <v>0</v>
      </c>
      <c r="S339" s="1101">
        <f>IF($BH339=0,0,IF(SUM($O339:R339)&lt;($L339-12),12,$L339-SUM($O339:R339)))</f>
        <v>0</v>
      </c>
      <c r="U339" s="1100"/>
      <c r="V339" s="1100">
        <f>'ANSP Capex'!T335</f>
        <v>0</v>
      </c>
      <c r="W339" s="1101">
        <f>IF($BI339=0,0,IF(SUM($U339:V339)&lt;($L339-12),12,$L339-SUM($U339:V339)))</f>
        <v>0</v>
      </c>
      <c r="X339" s="1101">
        <f>IF($BI339=0,0,IF(SUM($U339:W339)&lt;($L339-12),12,$L339-SUM($U339:W339)))</f>
        <v>0</v>
      </c>
      <c r="Y339" s="1101">
        <f>IF($BI339=0,0,IF(SUM($U339:X339)&lt;($L339-12),12,$L339-SUM($U339:X339)))</f>
        <v>0</v>
      </c>
      <c r="AA339" s="1100"/>
      <c r="AB339" s="1100"/>
      <c r="AC339" s="1100">
        <f>'ANSP Capex'!AA335</f>
        <v>0</v>
      </c>
      <c r="AD339" s="1101">
        <f>IF($BJ339=0,0,IF(SUM($AA339:AC339)&lt;($L339-12),12,$L339-SUM($AA339:AC339)))</f>
        <v>0</v>
      </c>
      <c r="AE339" s="1101">
        <f>IF($BJ339=0,0,IF(SUM($AA339:AD339)&lt;($L339-12),12,$L339-SUM($AA339:AD339)))</f>
        <v>0</v>
      </c>
      <c r="AG339" s="1100"/>
      <c r="AH339" s="1100"/>
      <c r="AI339" s="1100"/>
      <c r="AJ339" s="1100">
        <f>'ANSP Capex'!AH335</f>
        <v>0</v>
      </c>
      <c r="AK339" s="1101">
        <f>IF($BK339=0,0,IF(SUM($AG339:AJ339)&lt;($L339-12),12,$L339-SUM($AG339:AJ339)))</f>
        <v>0</v>
      </c>
      <c r="AM339" s="1100"/>
      <c r="AN339" s="1100"/>
      <c r="AO339" s="1100"/>
      <c r="AP339" s="1100"/>
      <c r="AQ339" s="1100">
        <f>'ANSP Capex'!AO335</f>
        <v>0</v>
      </c>
      <c r="AS339" s="153">
        <f t="shared" si="35"/>
        <v>0</v>
      </c>
      <c r="AT339" s="153">
        <f t="shared" si="36"/>
        <v>0</v>
      </c>
      <c r="AU339" s="153">
        <f t="shared" si="37"/>
        <v>0</v>
      </c>
      <c r="AV339" s="153">
        <f t="shared" si="38"/>
        <v>0</v>
      </c>
      <c r="AW339" s="153">
        <f t="shared" si="39"/>
        <v>0</v>
      </c>
      <c r="AX339" s="153"/>
      <c r="AY339" s="1543">
        <f>'ANSP Capex'!AW335</f>
        <v>0</v>
      </c>
      <c r="AZ339" s="1102"/>
      <c r="BA339" s="1543">
        <f>'ANSP Capex'!AY335</f>
        <v>0</v>
      </c>
      <c r="BC339" s="1126"/>
      <c r="BD339" s="1126"/>
      <c r="BE339" s="1126"/>
      <c r="BF339" s="1126"/>
      <c r="BG339" s="1126"/>
      <c r="BH339" s="1126">
        <f>'ANSP Capex'!BF335*IF($I339="",(1+INDEX($I$41:$I$42,MATCH($F339,$F$41:$F$42,0))),(1+$I339))</f>
        <v>0</v>
      </c>
      <c r="BI339" s="1126">
        <f>'ANSP Capex'!BG335*IF($I339="",(1+INDEX($I$41:$I$42,MATCH($F339,$F$41:$F$42,0))),(1+$I339))</f>
        <v>0</v>
      </c>
      <c r="BJ339" s="1126">
        <f>'ANSP Capex'!BH335*IF($I339="",(1+INDEX($I$41:$I$42,MATCH($F339,$F$41:$F$42,0))),(1+$I339))</f>
        <v>0</v>
      </c>
      <c r="BK339" s="1126">
        <f>'ANSP Capex'!BI335*IF($I339="",(1+INDEX($I$41:$I$42,MATCH($F339,$F$41:$F$42,0))),(1+$I339))</f>
        <v>0</v>
      </c>
      <c r="BL339" s="1126">
        <f>'ANSP Capex'!BJ335*IF($I339="",(1+INDEX($I$41:$I$42,MATCH($F339,$F$41:$F$42,0))),(1+$I339))</f>
        <v>0</v>
      </c>
    </row>
    <row r="340" spans="2:64" outlineLevel="1">
      <c r="C340" s="1083" t="str">
        <f>'ANSP Capex'!C336</f>
        <v>Nav Aids Equipment Dublin</v>
      </c>
      <c r="D340" s="1083" t="str">
        <f>'ANSP Capex'!D336</f>
        <v>Nav Aids Equipment</v>
      </c>
      <c r="E340" s="1083" t="str">
        <f>'ANSP Capex'!E336</f>
        <v>S004A</v>
      </c>
      <c r="F340" s="1083" t="str">
        <f>'ANSP Capex'!F336</f>
        <v>2021-2024</v>
      </c>
      <c r="G340" s="1101">
        <f t="shared" si="32"/>
        <v>30.33007999999996</v>
      </c>
      <c r="H340" s="1083" t="str">
        <f>'ANSP Capex'!H336</f>
        <v>€'000</v>
      </c>
      <c r="I340" s="829"/>
      <c r="J340" s="1097">
        <f>'ANSP Capex'!I336</f>
        <v>8</v>
      </c>
      <c r="K340" s="1124">
        <v>0</v>
      </c>
      <c r="L340" s="1098">
        <f t="shared" si="33"/>
        <v>96</v>
      </c>
      <c r="M340" s="153">
        <f t="shared" si="34"/>
        <v>0.125</v>
      </c>
      <c r="N340" s="1099"/>
      <c r="O340" s="1100">
        <f>'ANSP Capex'!M336</f>
        <v>0</v>
      </c>
      <c r="P340" s="1101">
        <f>IF($BH340=0,0,IF(SUM($O340:O340)&lt;($L340-12),12,$L340-SUM($O340:O340)))</f>
        <v>0</v>
      </c>
      <c r="Q340" s="1101">
        <f>IF($BH340=0,0,IF(SUM($O340:P340)&lt;($L340-12),12,$L340-SUM($O340:P340)))</f>
        <v>0</v>
      </c>
      <c r="R340" s="1101">
        <f>IF($BH340=0,0,IF(SUM($O340:Q340)&lt;($L340-12),12,$L340-SUM($O340:Q340)))</f>
        <v>0</v>
      </c>
      <c r="S340" s="1101">
        <f>IF($BH340=0,0,IF(SUM($O340:R340)&lt;($L340-12),12,$L340-SUM($O340:R340)))</f>
        <v>0</v>
      </c>
      <c r="U340" s="1100"/>
      <c r="V340" s="1100">
        <f>'ANSP Capex'!T336</f>
        <v>3</v>
      </c>
      <c r="W340" s="1101">
        <f>IF($BI340=0,0,IF(SUM($U340:V340)&lt;($L340-12),12,$L340-SUM($U340:V340)))</f>
        <v>12</v>
      </c>
      <c r="X340" s="1101">
        <f>IF($BI340=0,0,IF(SUM($U340:W340)&lt;($L340-12),12,$L340-SUM($U340:W340)))</f>
        <v>12</v>
      </c>
      <c r="Y340" s="1101">
        <f>IF($BI340=0,0,IF(SUM($U340:X340)&lt;($L340-12),12,$L340-SUM($U340:X340)))</f>
        <v>12</v>
      </c>
      <c r="AA340" s="1100"/>
      <c r="AB340" s="1100"/>
      <c r="AC340" s="1100">
        <f>'ANSP Capex'!AA336</f>
        <v>0</v>
      </c>
      <c r="AD340" s="1101">
        <f>IF($BJ340=0,0,IF(SUM($AA340:AC340)&lt;($L340-12),12,$L340-SUM($AA340:AC340)))</f>
        <v>0</v>
      </c>
      <c r="AE340" s="1101">
        <f>IF($BJ340=0,0,IF(SUM($AA340:AD340)&lt;($L340-12),12,$L340-SUM($AA340:AD340)))</f>
        <v>0</v>
      </c>
      <c r="AG340" s="1100"/>
      <c r="AH340" s="1100"/>
      <c r="AI340" s="1100"/>
      <c r="AJ340" s="1100">
        <f>'ANSP Capex'!AH336</f>
        <v>0</v>
      </c>
      <c r="AK340" s="1101">
        <f>IF($BK340=0,0,IF(SUM($AG340:AJ340)&lt;($L340-12),12,$L340-SUM($AG340:AJ340)))</f>
        <v>0</v>
      </c>
      <c r="AM340" s="1100"/>
      <c r="AN340" s="1100"/>
      <c r="AO340" s="1100"/>
      <c r="AP340" s="1100"/>
      <c r="AQ340" s="1100">
        <f>'ANSP Capex'!AO336</f>
        <v>0</v>
      </c>
      <c r="AS340" s="153">
        <f t="shared" si="35"/>
        <v>0</v>
      </c>
      <c r="AT340" s="153">
        <f t="shared" si="36"/>
        <v>0.25</v>
      </c>
      <c r="AU340" s="153">
        <f t="shared" si="37"/>
        <v>0</v>
      </c>
      <c r="AV340" s="153">
        <f t="shared" si="38"/>
        <v>0</v>
      </c>
      <c r="AW340" s="153">
        <f t="shared" si="39"/>
        <v>0</v>
      </c>
      <c r="AX340" s="153"/>
      <c r="AY340" s="1543">
        <f>'ANSP Capex'!AW336</f>
        <v>0</v>
      </c>
      <c r="AZ340" s="1102"/>
      <c r="BA340" s="1543">
        <f>'ANSP Capex'!AY336</f>
        <v>1</v>
      </c>
      <c r="BC340" s="1126"/>
      <c r="BD340" s="1126"/>
      <c r="BE340" s="1126"/>
      <c r="BF340" s="1126"/>
      <c r="BG340" s="1126"/>
      <c r="BH340" s="1126">
        <f>'ANSP Capex'!BF336*IF($I340="",(1+INDEX($I$41:$I$42,MATCH($F340,$F$41:$F$42,0))),(1+$I340))</f>
        <v>0</v>
      </c>
      <c r="BI340" s="1126">
        <f>'ANSP Capex'!BG336*IF($I340="",(1+INDEX($I$41:$I$42,MATCH($F340,$F$41:$F$42,0))),(1+$I340))</f>
        <v>30.33007999999996</v>
      </c>
      <c r="BJ340" s="1126">
        <f>'ANSP Capex'!BH336*IF($I340="",(1+INDEX($I$41:$I$42,MATCH($F340,$F$41:$F$42,0))),(1+$I340))</f>
        <v>0</v>
      </c>
      <c r="BK340" s="1126">
        <f>'ANSP Capex'!BI336*IF($I340="",(1+INDEX($I$41:$I$42,MATCH($F340,$F$41:$F$42,0))),(1+$I340))</f>
        <v>0</v>
      </c>
      <c r="BL340" s="1126">
        <f>'ANSP Capex'!BJ336*IF($I340="",(1+INDEX($I$41:$I$42,MATCH($F340,$F$41:$F$42,0))),(1+$I340))</f>
        <v>0</v>
      </c>
    </row>
    <row r="341" spans="2:64" outlineLevel="1">
      <c r="C341" s="1083" t="str">
        <f>'ANSP Capex'!C337</f>
        <v>Nav Aids Equipment Cork</v>
      </c>
      <c r="D341" s="1083" t="str">
        <f>'ANSP Capex'!D337</f>
        <v>Nav Aids Equipment</v>
      </c>
      <c r="E341" s="1083" t="str">
        <f>'ANSP Capex'!E337</f>
        <v>S004A</v>
      </c>
      <c r="F341" s="1083" t="str">
        <f>'ANSP Capex'!F337</f>
        <v>2021-2024</v>
      </c>
      <c r="G341" s="1101">
        <f t="shared" si="32"/>
        <v>0</v>
      </c>
      <c r="H341" s="1083" t="str">
        <f>'ANSP Capex'!H337</f>
        <v>€'000</v>
      </c>
      <c r="I341" s="829"/>
      <c r="J341" s="1097">
        <f>'ANSP Capex'!I337</f>
        <v>8</v>
      </c>
      <c r="K341" s="1124">
        <v>0</v>
      </c>
      <c r="L341" s="1098">
        <f t="shared" si="33"/>
        <v>96</v>
      </c>
      <c r="M341" s="153">
        <f t="shared" si="34"/>
        <v>0.125</v>
      </c>
      <c r="N341" s="1099"/>
      <c r="O341" s="1100">
        <f>'ANSP Capex'!M337</f>
        <v>0</v>
      </c>
      <c r="P341" s="1101">
        <f>IF($BH341=0,0,IF(SUM($O341:O341)&lt;($L341-12),12,$L341-SUM($O341:O341)))</f>
        <v>0</v>
      </c>
      <c r="Q341" s="1101">
        <f>IF($BH341=0,0,IF(SUM($O341:P341)&lt;($L341-12),12,$L341-SUM($O341:P341)))</f>
        <v>0</v>
      </c>
      <c r="R341" s="1101">
        <f>IF($BH341=0,0,IF(SUM($O341:Q341)&lt;($L341-12),12,$L341-SUM($O341:Q341)))</f>
        <v>0</v>
      </c>
      <c r="S341" s="1101">
        <f>IF($BH341=0,0,IF(SUM($O341:R341)&lt;($L341-12),12,$L341-SUM($O341:R341)))</f>
        <v>0</v>
      </c>
      <c r="U341" s="1100"/>
      <c r="V341" s="1100">
        <f>'ANSP Capex'!T337</f>
        <v>0</v>
      </c>
      <c r="W341" s="1101">
        <f>IF($BI341=0,0,IF(SUM($U341:V341)&lt;($L341-12),12,$L341-SUM($U341:V341)))</f>
        <v>0</v>
      </c>
      <c r="X341" s="1101">
        <f>IF($BI341=0,0,IF(SUM($U341:W341)&lt;($L341-12),12,$L341-SUM($U341:W341)))</f>
        <v>0</v>
      </c>
      <c r="Y341" s="1101">
        <f>IF($BI341=0,0,IF(SUM($U341:X341)&lt;($L341-12),12,$L341-SUM($U341:X341)))</f>
        <v>0</v>
      </c>
      <c r="AA341" s="1100"/>
      <c r="AB341" s="1100"/>
      <c r="AC341" s="1100">
        <f>'ANSP Capex'!AA337</f>
        <v>0</v>
      </c>
      <c r="AD341" s="1101">
        <f>IF($BJ341=0,0,IF(SUM($AA341:AC341)&lt;($L341-12),12,$L341-SUM($AA341:AC341)))</f>
        <v>0</v>
      </c>
      <c r="AE341" s="1101">
        <f>IF($BJ341=0,0,IF(SUM($AA341:AD341)&lt;($L341-12),12,$L341-SUM($AA341:AD341)))</f>
        <v>0</v>
      </c>
      <c r="AG341" s="1100"/>
      <c r="AH341" s="1100"/>
      <c r="AI341" s="1100"/>
      <c r="AJ341" s="1100">
        <f>'ANSP Capex'!AH337</f>
        <v>0</v>
      </c>
      <c r="AK341" s="1101">
        <f>IF($BK341=0,0,IF(SUM($AG341:AJ341)&lt;($L341-12),12,$L341-SUM($AG341:AJ341)))</f>
        <v>0</v>
      </c>
      <c r="AM341" s="1100"/>
      <c r="AN341" s="1100"/>
      <c r="AO341" s="1100"/>
      <c r="AP341" s="1100"/>
      <c r="AQ341" s="1100">
        <f>'ANSP Capex'!AO337</f>
        <v>0</v>
      </c>
      <c r="AS341" s="153">
        <f t="shared" si="35"/>
        <v>0</v>
      </c>
      <c r="AT341" s="153">
        <f t="shared" si="36"/>
        <v>0</v>
      </c>
      <c r="AU341" s="153">
        <f t="shared" si="37"/>
        <v>0</v>
      </c>
      <c r="AV341" s="153">
        <f t="shared" si="38"/>
        <v>0</v>
      </c>
      <c r="AW341" s="153">
        <f t="shared" si="39"/>
        <v>0</v>
      </c>
      <c r="AX341" s="153"/>
      <c r="AY341" s="1543">
        <f>'ANSP Capex'!AW337</f>
        <v>0</v>
      </c>
      <c r="AZ341" s="1102"/>
      <c r="BA341" s="1543">
        <f>'ANSP Capex'!AY337</f>
        <v>1</v>
      </c>
      <c r="BC341" s="1126"/>
      <c r="BD341" s="1126"/>
      <c r="BE341" s="1126"/>
      <c r="BF341" s="1126"/>
      <c r="BG341" s="1126"/>
      <c r="BH341" s="1126">
        <f>'ANSP Capex'!BF337*IF($I341="",(1+INDEX($I$41:$I$42,MATCH($F341,$F$41:$F$42,0))),(1+$I341))</f>
        <v>0</v>
      </c>
      <c r="BI341" s="1126">
        <f>'ANSP Capex'!BG337*IF($I341="",(1+INDEX($I$41:$I$42,MATCH($F341,$F$41:$F$42,0))),(1+$I341))</f>
        <v>0</v>
      </c>
      <c r="BJ341" s="1126">
        <f>'ANSP Capex'!BH337*IF($I341="",(1+INDEX($I$41:$I$42,MATCH($F341,$F$41:$F$42,0))),(1+$I341))</f>
        <v>0</v>
      </c>
      <c r="BK341" s="1126">
        <f>'ANSP Capex'!BI337*IF($I341="",(1+INDEX($I$41:$I$42,MATCH($F341,$F$41:$F$42,0))),(1+$I341))</f>
        <v>0</v>
      </c>
      <c r="BL341" s="1126">
        <f>'ANSP Capex'!BJ337*IF($I341="",(1+INDEX($I$41:$I$42,MATCH($F341,$F$41:$F$42,0))),(1+$I341))</f>
        <v>0</v>
      </c>
    </row>
    <row r="342" spans="2:64" outlineLevel="1">
      <c r="C342" s="1083" t="str">
        <f>'ANSP Capex'!C338</f>
        <v>Nav Aids Equipment Shannon</v>
      </c>
      <c r="D342" s="1083" t="str">
        <f>'ANSP Capex'!D338</f>
        <v>Nav Aids Equipment</v>
      </c>
      <c r="E342" s="1083" t="str">
        <f>'ANSP Capex'!E338</f>
        <v>S004A</v>
      </c>
      <c r="F342" s="1083" t="str">
        <f>'ANSP Capex'!F338</f>
        <v>2021-2024</v>
      </c>
      <c r="G342" s="1101">
        <f t="shared" si="32"/>
        <v>28</v>
      </c>
      <c r="H342" s="1083" t="str">
        <f>'ANSP Capex'!H338</f>
        <v>€'000</v>
      </c>
      <c r="I342" s="829"/>
      <c r="J342" s="1097">
        <f>'ANSP Capex'!I338</f>
        <v>8</v>
      </c>
      <c r="K342" s="1124">
        <v>0</v>
      </c>
      <c r="L342" s="1098">
        <f t="shared" si="33"/>
        <v>96</v>
      </c>
      <c r="M342" s="153">
        <f t="shared" si="34"/>
        <v>0.125</v>
      </c>
      <c r="N342" s="1099"/>
      <c r="O342" s="1100">
        <f>'ANSP Capex'!M338</f>
        <v>0</v>
      </c>
      <c r="P342" s="1101">
        <f>IF($BH342=0,0,IF(SUM($O342:O342)&lt;($L342-12),12,$L342-SUM($O342:O342)))</f>
        <v>0</v>
      </c>
      <c r="Q342" s="1101">
        <f>IF($BH342=0,0,IF(SUM($O342:P342)&lt;($L342-12),12,$L342-SUM($O342:P342)))</f>
        <v>0</v>
      </c>
      <c r="R342" s="1101">
        <f>IF($BH342=0,0,IF(SUM($O342:Q342)&lt;($L342-12),12,$L342-SUM($O342:Q342)))</f>
        <v>0</v>
      </c>
      <c r="S342" s="1101">
        <f>IF($BH342=0,0,IF(SUM($O342:R342)&lt;($L342-12),12,$L342-SUM($O342:R342)))</f>
        <v>0</v>
      </c>
      <c r="U342" s="1100"/>
      <c r="V342" s="1100">
        <f>'ANSP Capex'!T338</f>
        <v>0</v>
      </c>
      <c r="W342" s="1101">
        <f>IF($BI342=0,0,IF(SUM($U342:V342)&lt;($L342-12),12,$L342-SUM($U342:V342)))</f>
        <v>0</v>
      </c>
      <c r="X342" s="1101">
        <f>IF($BI342=0,0,IF(SUM($U342:W342)&lt;($L342-12),12,$L342-SUM($U342:W342)))</f>
        <v>0</v>
      </c>
      <c r="Y342" s="1101">
        <f>IF($BI342=0,0,IF(SUM($U342:X342)&lt;($L342-12),12,$L342-SUM($U342:X342)))</f>
        <v>0</v>
      </c>
      <c r="AA342" s="1100"/>
      <c r="AB342" s="1100"/>
      <c r="AC342" s="1100">
        <f>'ANSP Capex'!AA338</f>
        <v>3</v>
      </c>
      <c r="AD342" s="1101">
        <f>IF($BJ342=0,0,IF(SUM($AA342:AC342)&lt;($L342-12),12,$L342-SUM($AA342:AC342)))</f>
        <v>12</v>
      </c>
      <c r="AE342" s="1101">
        <f>IF($BJ342=0,0,IF(SUM($AA342:AD342)&lt;($L342-12),12,$L342-SUM($AA342:AD342)))</f>
        <v>12</v>
      </c>
      <c r="AG342" s="1100"/>
      <c r="AH342" s="1100"/>
      <c r="AI342" s="1100"/>
      <c r="AJ342" s="1100">
        <f>'ANSP Capex'!AH338</f>
        <v>0</v>
      </c>
      <c r="AK342" s="1101">
        <f>IF($BK342=0,0,IF(SUM($AG342:AJ342)&lt;($L342-12),12,$L342-SUM($AG342:AJ342)))</f>
        <v>0</v>
      </c>
      <c r="AM342" s="1100"/>
      <c r="AN342" s="1100"/>
      <c r="AO342" s="1100"/>
      <c r="AP342" s="1100"/>
      <c r="AQ342" s="1100">
        <f>'ANSP Capex'!AO338</f>
        <v>0</v>
      </c>
      <c r="AS342" s="153">
        <f t="shared" si="35"/>
        <v>0</v>
      </c>
      <c r="AT342" s="153">
        <f t="shared" si="36"/>
        <v>0</v>
      </c>
      <c r="AU342" s="153">
        <f t="shared" si="37"/>
        <v>0.25</v>
      </c>
      <c r="AV342" s="153">
        <f t="shared" si="38"/>
        <v>0</v>
      </c>
      <c r="AW342" s="153">
        <f t="shared" si="39"/>
        <v>0</v>
      </c>
      <c r="AX342" s="153"/>
      <c r="AY342" s="1543">
        <f>'ANSP Capex'!AW338</f>
        <v>0</v>
      </c>
      <c r="AZ342" s="1102"/>
      <c r="BA342" s="1543">
        <f>'ANSP Capex'!AY338</f>
        <v>1</v>
      </c>
      <c r="BC342" s="1126"/>
      <c r="BD342" s="1126"/>
      <c r="BE342" s="1126"/>
      <c r="BF342" s="1126"/>
      <c r="BG342" s="1126"/>
      <c r="BH342" s="1126">
        <f>'ANSP Capex'!BF338*IF($I342="",(1+INDEX($I$41:$I$42,MATCH($F342,$F$41:$F$42,0))),(1+$I342))</f>
        <v>0</v>
      </c>
      <c r="BI342" s="1126">
        <f>'ANSP Capex'!BG338*IF($I342="",(1+INDEX($I$41:$I$42,MATCH($F342,$F$41:$F$42,0))),(1+$I342))</f>
        <v>0</v>
      </c>
      <c r="BJ342" s="1126">
        <f>'ANSP Capex'!BH338*IF($I342="",(1+INDEX($I$41:$I$42,MATCH($F342,$F$41:$F$42,0))),(1+$I342))</f>
        <v>28</v>
      </c>
      <c r="BK342" s="1126">
        <f>'ANSP Capex'!BI338*IF($I342="",(1+INDEX($I$41:$I$42,MATCH($F342,$F$41:$F$42,0))),(1+$I342))</f>
        <v>0</v>
      </c>
      <c r="BL342" s="1126">
        <f>'ANSP Capex'!BJ338*IF($I342="",(1+INDEX($I$41:$I$42,MATCH($F342,$F$41:$F$42,0))),(1+$I342))</f>
        <v>0</v>
      </c>
    </row>
    <row r="343" spans="2:64" outlineLevel="1">
      <c r="C343" s="1083" t="str">
        <f>'ANSP Capex'!C339</f>
        <v>Conference Centre Wi-FI &amp; UPS</v>
      </c>
      <c r="D343" s="1083" t="str">
        <f>'ANSP Capex'!D339</f>
        <v>Conference Centre Wi-FI &amp; UPS</v>
      </c>
      <c r="E343" s="1083" t="str">
        <f>'ANSP Capex'!E339</f>
        <v>S033</v>
      </c>
      <c r="F343" s="1083" t="str">
        <f>'ANSP Capex'!F339</f>
        <v>2021-2024</v>
      </c>
      <c r="G343" s="1101">
        <f t="shared" si="32"/>
        <v>28</v>
      </c>
      <c r="H343" s="1083" t="str">
        <f>'ANSP Capex'!H339</f>
        <v>€'000</v>
      </c>
      <c r="I343" s="829"/>
      <c r="J343" s="1097">
        <f>'ANSP Capex'!I339</f>
        <v>5</v>
      </c>
      <c r="K343" s="1124">
        <v>0</v>
      </c>
      <c r="L343" s="1098">
        <f t="shared" si="33"/>
        <v>60</v>
      </c>
      <c r="M343" s="153">
        <f t="shared" si="34"/>
        <v>0.2</v>
      </c>
      <c r="N343" s="1099"/>
      <c r="O343" s="1100">
        <f>'ANSP Capex'!M339</f>
        <v>0</v>
      </c>
      <c r="P343" s="1101">
        <f>IF($BH343=0,0,IF(SUM($O343:O343)&lt;($L343-12),12,$L343-SUM($O343:O343)))</f>
        <v>0</v>
      </c>
      <c r="Q343" s="1101">
        <f>IF($BH343=0,0,IF(SUM($O343:P343)&lt;($L343-12),12,$L343-SUM($O343:P343)))</f>
        <v>0</v>
      </c>
      <c r="R343" s="1101">
        <f>IF($BH343=0,0,IF(SUM($O343:Q343)&lt;($L343-12),12,$L343-SUM($O343:Q343)))</f>
        <v>0</v>
      </c>
      <c r="S343" s="1101">
        <f>IF($BH343=0,0,IF(SUM($O343:R343)&lt;($L343-12),12,$L343-SUM($O343:R343)))</f>
        <v>0</v>
      </c>
      <c r="U343" s="1100"/>
      <c r="V343" s="1100">
        <f>'ANSP Capex'!T339</f>
        <v>4.5</v>
      </c>
      <c r="W343" s="1101">
        <f>IF($BI343=0,0,IF(SUM($U343:V343)&lt;($L343-12),12,$L343-SUM($U343:V343)))</f>
        <v>12</v>
      </c>
      <c r="X343" s="1101">
        <f>IF($BI343=0,0,IF(SUM($U343:W343)&lt;($L343-12),12,$L343-SUM($U343:W343)))</f>
        <v>12</v>
      </c>
      <c r="Y343" s="1101">
        <f>IF($BI343=0,0,IF(SUM($U343:X343)&lt;($L343-12),12,$L343-SUM($U343:X343)))</f>
        <v>12</v>
      </c>
      <c r="AA343" s="1100"/>
      <c r="AB343" s="1100"/>
      <c r="AC343" s="1100">
        <f>'ANSP Capex'!AA339</f>
        <v>12</v>
      </c>
      <c r="AD343" s="1101">
        <f>IF($BJ343=0,0,IF(SUM($AA343:AC343)&lt;($L343-12),12,$L343-SUM($AA343:AC343)))</f>
        <v>12</v>
      </c>
      <c r="AE343" s="1101">
        <f>IF($BJ343=0,0,IF(SUM($AA343:AD343)&lt;($L343-12),12,$L343-SUM($AA343:AD343)))</f>
        <v>12</v>
      </c>
      <c r="AG343" s="1100"/>
      <c r="AH343" s="1100"/>
      <c r="AI343" s="1100"/>
      <c r="AJ343" s="1100">
        <f>'ANSP Capex'!AH339</f>
        <v>0</v>
      </c>
      <c r="AK343" s="1101">
        <f>IF($BK343=0,0,IF(SUM($AG343:AJ343)&lt;($L343-12),12,$L343-SUM($AG343:AJ343)))</f>
        <v>0</v>
      </c>
      <c r="AM343" s="1100"/>
      <c r="AN343" s="1100"/>
      <c r="AO343" s="1100"/>
      <c r="AP343" s="1100"/>
      <c r="AQ343" s="1100">
        <f>'ANSP Capex'!AO339</f>
        <v>0</v>
      </c>
      <c r="AS343" s="153">
        <f t="shared" si="35"/>
        <v>0</v>
      </c>
      <c r="AT343" s="153">
        <f t="shared" si="36"/>
        <v>0.375</v>
      </c>
      <c r="AU343" s="153">
        <f t="shared" si="37"/>
        <v>1</v>
      </c>
      <c r="AV343" s="153">
        <f t="shared" si="38"/>
        <v>0</v>
      </c>
      <c r="AW343" s="153">
        <f t="shared" si="39"/>
        <v>0</v>
      </c>
      <c r="AX343" s="153"/>
      <c r="AY343" s="1543">
        <f>'ANSP Capex'!AW339</f>
        <v>0.73</v>
      </c>
      <c r="AZ343" s="1102"/>
      <c r="BA343" s="1543">
        <f>'ANSP Capex'!AY339</f>
        <v>0.15</v>
      </c>
      <c r="BC343" s="1126"/>
      <c r="BD343" s="1126"/>
      <c r="BE343" s="1126"/>
      <c r="BF343" s="1126"/>
      <c r="BG343" s="1126"/>
      <c r="BH343" s="1126">
        <f>'ANSP Capex'!BF339*IF($I343="",(1+INDEX($I$41:$I$42,MATCH($F343,$F$41:$F$42,0))),(1+$I343))</f>
        <v>0</v>
      </c>
      <c r="BI343" s="1126">
        <f>'ANSP Capex'!BG339*IF($I343="",(1+INDEX($I$41:$I$42,MATCH($F343,$F$41:$F$42,0))),(1+$I343))</f>
        <v>18.666666666666668</v>
      </c>
      <c r="BJ343" s="1126">
        <f>'ANSP Capex'!BH339*IF($I343="",(1+INDEX($I$41:$I$42,MATCH($F343,$F$41:$F$42,0))),(1+$I343))</f>
        <v>9.3333333333333339</v>
      </c>
      <c r="BK343" s="1126">
        <f>'ANSP Capex'!BI339*IF($I343="",(1+INDEX($I$41:$I$42,MATCH($F343,$F$41:$F$42,0))),(1+$I343))</f>
        <v>0</v>
      </c>
      <c r="BL343" s="1126">
        <f>'ANSP Capex'!BJ339*IF($I343="",(1+INDEX($I$41:$I$42,MATCH($F343,$F$41:$F$42,0))),(1+$I343))</f>
        <v>0</v>
      </c>
    </row>
    <row r="344" spans="2:64" outlineLevel="1">
      <c r="C344" s="1083" t="str">
        <f>'ANSP Capex'!C340</f>
        <v>Mechanical and Electrical Requirements</v>
      </c>
      <c r="D344" s="1083" t="str">
        <f>'ANSP Capex'!D340</f>
        <v>Mechanical and Electrical Requirements</v>
      </c>
      <c r="E344" s="1083" t="str">
        <f>'ANSP Capex'!E340</f>
        <v>S022</v>
      </c>
      <c r="F344" s="1083" t="str">
        <f>'ANSP Capex'!F340</f>
        <v>2021-2024</v>
      </c>
      <c r="G344" s="1101">
        <f t="shared" si="32"/>
        <v>22.010400000000004</v>
      </c>
      <c r="H344" s="1083" t="str">
        <f>'ANSP Capex'!H340</f>
        <v>€'000</v>
      </c>
      <c r="I344" s="829"/>
      <c r="J344" s="1097">
        <f>'ANSP Capex'!I340</f>
        <v>8</v>
      </c>
      <c r="K344" s="1124">
        <v>0</v>
      </c>
      <c r="L344" s="1098">
        <f t="shared" si="33"/>
        <v>96</v>
      </c>
      <c r="M344" s="153">
        <f t="shared" si="34"/>
        <v>0.125</v>
      </c>
      <c r="N344" s="1099"/>
      <c r="O344" s="1100">
        <f>'ANSP Capex'!M340</f>
        <v>0</v>
      </c>
      <c r="P344" s="1101">
        <f>IF($BH344=0,0,IF(SUM($O344:O344)&lt;($L344-12),12,$L344-SUM($O344:O344)))</f>
        <v>0</v>
      </c>
      <c r="Q344" s="1101">
        <f>IF($BH344=0,0,IF(SUM($O344:P344)&lt;($L344-12),12,$L344-SUM($O344:P344)))</f>
        <v>0</v>
      </c>
      <c r="R344" s="1101">
        <f>IF($BH344=0,0,IF(SUM($O344:Q344)&lt;($L344-12),12,$L344-SUM($O344:Q344)))</f>
        <v>0</v>
      </c>
      <c r="S344" s="1101">
        <f>IF($BH344=0,0,IF(SUM($O344:R344)&lt;($L344-12),12,$L344-SUM($O344:R344)))</f>
        <v>0</v>
      </c>
      <c r="U344" s="1100"/>
      <c r="V344" s="1100">
        <f>'ANSP Capex'!T340</f>
        <v>0</v>
      </c>
      <c r="W344" s="1101">
        <f>IF($BI344=0,0,IF(SUM($U344:V344)&lt;($L344-12),12,$L344-SUM($U344:V344)))</f>
        <v>0</v>
      </c>
      <c r="X344" s="1101">
        <f>IF($BI344=0,0,IF(SUM($U344:W344)&lt;($L344-12),12,$L344-SUM($U344:W344)))</f>
        <v>0</v>
      </c>
      <c r="Y344" s="1101">
        <f>IF($BI344=0,0,IF(SUM($U344:X344)&lt;($L344-12),12,$L344-SUM($U344:X344)))</f>
        <v>0</v>
      </c>
      <c r="AA344" s="1100"/>
      <c r="AB344" s="1100"/>
      <c r="AC344" s="1100">
        <f>'ANSP Capex'!AA340</f>
        <v>12</v>
      </c>
      <c r="AD344" s="1101">
        <f>IF($BJ344=0,0,IF(SUM($AA344:AC344)&lt;($L344-12),12,$L344-SUM($AA344:AC344)))</f>
        <v>12</v>
      </c>
      <c r="AE344" s="1101">
        <f>IF($BJ344=0,0,IF(SUM($AA344:AD344)&lt;($L344-12),12,$L344-SUM($AA344:AD344)))</f>
        <v>12</v>
      </c>
      <c r="AG344" s="1100"/>
      <c r="AH344" s="1100"/>
      <c r="AI344" s="1100"/>
      <c r="AJ344" s="1100">
        <f>'ANSP Capex'!AH340</f>
        <v>0</v>
      </c>
      <c r="AK344" s="1101">
        <f>IF($BK344=0,0,IF(SUM($AG344:AJ344)&lt;($L344-12),12,$L344-SUM($AG344:AJ344)))</f>
        <v>0</v>
      </c>
      <c r="AM344" s="1100"/>
      <c r="AN344" s="1100"/>
      <c r="AO344" s="1100"/>
      <c r="AP344" s="1100"/>
      <c r="AQ344" s="1100">
        <f>'ANSP Capex'!AO340</f>
        <v>0</v>
      </c>
      <c r="AS344" s="153">
        <f t="shared" si="35"/>
        <v>0</v>
      </c>
      <c r="AT344" s="153">
        <f t="shared" si="36"/>
        <v>0</v>
      </c>
      <c r="AU344" s="153">
        <f t="shared" si="37"/>
        <v>1</v>
      </c>
      <c r="AV344" s="153">
        <f t="shared" si="38"/>
        <v>0</v>
      </c>
      <c r="AW344" s="153">
        <f t="shared" si="39"/>
        <v>0</v>
      </c>
      <c r="AX344" s="153"/>
      <c r="AY344" s="1543">
        <f>'ANSP Capex'!AW340</f>
        <v>0.75</v>
      </c>
      <c r="AZ344" s="1102"/>
      <c r="BA344" s="1543">
        <f>'ANSP Capex'!AY340</f>
        <v>0.25</v>
      </c>
      <c r="BC344" s="1126"/>
      <c r="BD344" s="1126"/>
      <c r="BE344" s="1126"/>
      <c r="BF344" s="1126"/>
      <c r="BG344" s="1126"/>
      <c r="BH344" s="1126">
        <f>'ANSP Capex'!BF340*IF($I344="",(1+INDEX($I$41:$I$42,MATCH($F344,$F$41:$F$42,0))),(1+$I344))</f>
        <v>0</v>
      </c>
      <c r="BI344" s="1126">
        <f>'ANSP Capex'!BG340*IF($I344="",(1+INDEX($I$41:$I$42,MATCH($F344,$F$41:$F$42,0))),(1+$I344))</f>
        <v>0</v>
      </c>
      <c r="BJ344" s="1126">
        <f>'ANSP Capex'!BH340*IF($I344="",(1+INDEX($I$41:$I$42,MATCH($F344,$F$41:$F$42,0))),(1+$I344))</f>
        <v>22.010400000000004</v>
      </c>
      <c r="BK344" s="1126">
        <f>'ANSP Capex'!BI340*IF($I344="",(1+INDEX($I$41:$I$42,MATCH($F344,$F$41:$F$42,0))),(1+$I344))</f>
        <v>0</v>
      </c>
      <c r="BL344" s="1126">
        <f>'ANSP Capex'!BJ340*IF($I344="",(1+INDEX($I$41:$I$42,MATCH($F344,$F$41:$F$42,0))),(1+$I344))</f>
        <v>0</v>
      </c>
    </row>
    <row r="345" spans="2:64" outlineLevel="1">
      <c r="C345" s="1083" t="str">
        <f>'ANSP Capex'!C341</f>
        <v>Controller Pilot Data Linking (CPDLC) SITA Ground Station expansion</v>
      </c>
      <c r="D345" s="1083" t="str">
        <f>'ANSP Capex'!D341</f>
        <v>Controller Pilot Data Linking (CPDLC) SITA Ground Station expansion</v>
      </c>
      <c r="E345" s="1083" t="str">
        <f>'ANSP Capex'!E341</f>
        <v>Q009</v>
      </c>
      <c r="F345" s="1083" t="str">
        <f>'ANSP Capex'!F341</f>
        <v>2021-2024</v>
      </c>
      <c r="G345" s="1101">
        <f t="shared" si="32"/>
        <v>20</v>
      </c>
      <c r="H345" s="1083" t="str">
        <f>'ANSP Capex'!H341</f>
        <v>€'000</v>
      </c>
      <c r="I345" s="829"/>
      <c r="J345" s="1097">
        <f>'ANSP Capex'!I341</f>
        <v>8</v>
      </c>
      <c r="K345" s="1124">
        <v>0</v>
      </c>
      <c r="L345" s="1098">
        <f t="shared" si="33"/>
        <v>96</v>
      </c>
      <c r="M345" s="153">
        <f t="shared" si="34"/>
        <v>0.125</v>
      </c>
      <c r="N345" s="1099"/>
      <c r="O345" s="1100">
        <f>'ANSP Capex'!M341</f>
        <v>0</v>
      </c>
      <c r="P345" s="1101">
        <f>IF($BH345=0,0,IF(SUM($O345:O345)&lt;($L345-12),12,$L345-SUM($O345:O345)))</f>
        <v>0</v>
      </c>
      <c r="Q345" s="1101">
        <f>IF($BH345=0,0,IF(SUM($O345:P345)&lt;($L345-12),12,$L345-SUM($O345:P345)))</f>
        <v>0</v>
      </c>
      <c r="R345" s="1101">
        <f>IF($BH345=0,0,IF(SUM($O345:Q345)&lt;($L345-12),12,$L345-SUM($O345:Q345)))</f>
        <v>0</v>
      </c>
      <c r="S345" s="1101">
        <f>IF($BH345=0,0,IF(SUM($O345:R345)&lt;($L345-12),12,$L345-SUM($O345:R345)))</f>
        <v>0</v>
      </c>
      <c r="U345" s="1100"/>
      <c r="V345" s="1100">
        <f>'ANSP Capex'!T341</f>
        <v>0</v>
      </c>
      <c r="W345" s="1101">
        <f>IF($BI345=0,0,IF(SUM($U345:V345)&lt;($L345-12),12,$L345-SUM($U345:V345)))</f>
        <v>0</v>
      </c>
      <c r="X345" s="1101">
        <f>IF($BI345=0,0,IF(SUM($U345:W345)&lt;($L345-12),12,$L345-SUM($U345:W345)))</f>
        <v>0</v>
      </c>
      <c r="Y345" s="1101">
        <f>IF($BI345=0,0,IF(SUM($U345:X345)&lt;($L345-12),12,$L345-SUM($U345:X345)))</f>
        <v>0</v>
      </c>
      <c r="AA345" s="1100"/>
      <c r="AB345" s="1100"/>
      <c r="AC345" s="1100">
        <f>'ANSP Capex'!AA341</f>
        <v>6</v>
      </c>
      <c r="AD345" s="1101">
        <f>IF($BJ345=0,0,IF(SUM($AA345:AC345)&lt;($L345-12),12,$L345-SUM($AA345:AC345)))</f>
        <v>12</v>
      </c>
      <c r="AE345" s="1101">
        <f>IF($BJ345=0,0,IF(SUM($AA345:AD345)&lt;($L345-12),12,$L345-SUM($AA345:AD345)))</f>
        <v>12</v>
      </c>
      <c r="AG345" s="1100"/>
      <c r="AH345" s="1100"/>
      <c r="AI345" s="1100"/>
      <c r="AJ345" s="1100">
        <f>'ANSP Capex'!AH341</f>
        <v>0</v>
      </c>
      <c r="AK345" s="1101">
        <f>IF($BK345=0,0,IF(SUM($AG345:AJ345)&lt;($L345-12),12,$L345-SUM($AG345:AJ345)))</f>
        <v>0</v>
      </c>
      <c r="AM345" s="1100"/>
      <c r="AN345" s="1100"/>
      <c r="AO345" s="1100"/>
      <c r="AP345" s="1100"/>
      <c r="AQ345" s="1100">
        <f>'ANSP Capex'!AO341</f>
        <v>0</v>
      </c>
      <c r="AS345" s="153">
        <f t="shared" si="35"/>
        <v>0</v>
      </c>
      <c r="AT345" s="153">
        <f t="shared" si="36"/>
        <v>0</v>
      </c>
      <c r="AU345" s="153">
        <f t="shared" si="37"/>
        <v>0.5</v>
      </c>
      <c r="AV345" s="153">
        <f t="shared" si="38"/>
        <v>0</v>
      </c>
      <c r="AW345" s="153">
        <f t="shared" si="39"/>
        <v>0</v>
      </c>
      <c r="AX345" s="153"/>
      <c r="AY345" s="1543">
        <f>'ANSP Capex'!AW341</f>
        <v>1</v>
      </c>
      <c r="AZ345" s="1102"/>
      <c r="BA345" s="1543">
        <f>'ANSP Capex'!AY341</f>
        <v>0</v>
      </c>
      <c r="BC345" s="1126"/>
      <c r="BD345" s="1126"/>
      <c r="BE345" s="1126"/>
      <c r="BF345" s="1126"/>
      <c r="BG345" s="1126"/>
      <c r="BH345" s="1126">
        <f>'ANSP Capex'!BF341*IF($I345="",(1+INDEX($I$41:$I$42,MATCH($F345,$F$41:$F$42,0))),(1+$I345))</f>
        <v>0</v>
      </c>
      <c r="BI345" s="1126">
        <f>'ANSP Capex'!BG341*IF($I345="",(1+INDEX($I$41:$I$42,MATCH($F345,$F$41:$F$42,0))),(1+$I345))</f>
        <v>0</v>
      </c>
      <c r="BJ345" s="1126">
        <f>'ANSP Capex'!BH341*IF($I345="",(1+INDEX($I$41:$I$42,MATCH($F345,$F$41:$F$42,0))),(1+$I345))</f>
        <v>20</v>
      </c>
      <c r="BK345" s="1126">
        <f>'ANSP Capex'!BI341*IF($I345="",(1+INDEX($I$41:$I$42,MATCH($F345,$F$41:$F$42,0))),(1+$I345))</f>
        <v>0</v>
      </c>
      <c r="BL345" s="1126">
        <f>'ANSP Capex'!BJ341*IF($I345="",(1+INDEX($I$41:$I$42,MATCH($F345,$F$41:$F$42,0))),(1+$I345))</f>
        <v>0</v>
      </c>
    </row>
    <row r="346" spans="2:64" outlineLevel="1">
      <c r="C346" s="1083" t="str">
        <f>'ANSP Capex'!C342</f>
        <v>Piloting New Technology</v>
      </c>
      <c r="D346" s="1083" t="str">
        <f>'ANSP Capex'!D342</f>
        <v>Piloting New Technology</v>
      </c>
      <c r="E346" s="1083" t="str">
        <f>'ANSP Capex'!E342</f>
        <v>L016</v>
      </c>
      <c r="F346" s="1083" t="str">
        <f>'ANSP Capex'!F342</f>
        <v>2021-2024</v>
      </c>
      <c r="G346" s="1101">
        <f t="shared" si="32"/>
        <v>18.5504</v>
      </c>
      <c r="H346" s="1083" t="str">
        <f>'ANSP Capex'!H342</f>
        <v>€'000</v>
      </c>
      <c r="I346" s="829"/>
      <c r="J346" s="1097">
        <f>'ANSP Capex'!I342</f>
        <v>3</v>
      </c>
      <c r="K346" s="1124">
        <v>0</v>
      </c>
      <c r="L346" s="1098">
        <f t="shared" si="33"/>
        <v>36</v>
      </c>
      <c r="M346" s="153">
        <f t="shared" si="34"/>
        <v>0.33333333333333331</v>
      </c>
      <c r="N346" s="1099"/>
      <c r="O346" s="1100">
        <f>'ANSP Capex'!M342</f>
        <v>0</v>
      </c>
      <c r="P346" s="1101">
        <f>IF($BH346=0,0,IF(SUM($O346:O346)&lt;($L346-12),12,$L346-SUM($O346:O346)))</f>
        <v>0</v>
      </c>
      <c r="Q346" s="1101">
        <f>IF($BH346=0,0,IF(SUM($O346:P346)&lt;($L346-12),12,$L346-SUM($O346:P346)))</f>
        <v>0</v>
      </c>
      <c r="R346" s="1101">
        <f>IF($BH346=0,0,IF(SUM($O346:Q346)&lt;($L346-12),12,$L346-SUM($O346:Q346)))</f>
        <v>0</v>
      </c>
      <c r="S346" s="1101">
        <f>IF($BH346=0,0,IF(SUM($O346:R346)&lt;($L346-12),12,$L346-SUM($O346:R346)))</f>
        <v>0</v>
      </c>
      <c r="U346" s="1100"/>
      <c r="V346" s="1100">
        <f>'ANSP Capex'!T342</f>
        <v>0</v>
      </c>
      <c r="W346" s="1101">
        <f>IF($BI346=0,0,IF(SUM($U346:V346)&lt;($L346-12),12,$L346-SUM($U346:V346)))</f>
        <v>0</v>
      </c>
      <c r="X346" s="1101">
        <f>IF($BI346=0,0,IF(SUM($U346:W346)&lt;($L346-12),12,$L346-SUM($U346:W346)))</f>
        <v>0</v>
      </c>
      <c r="Y346" s="1101">
        <f>IF($BI346=0,0,IF(SUM($U346:X346)&lt;($L346-12),12,$L346-SUM($U346:X346)))</f>
        <v>0</v>
      </c>
      <c r="AA346" s="1100"/>
      <c r="AB346" s="1100"/>
      <c r="AC346" s="1100">
        <f>'ANSP Capex'!AA342</f>
        <v>0</v>
      </c>
      <c r="AD346" s="1101">
        <f>IF($BJ346=0,0,IF(SUM($AA346:AC346)&lt;($L346-12),12,$L346-SUM($AA346:AC346)))</f>
        <v>0</v>
      </c>
      <c r="AE346" s="1101">
        <f>IF($BJ346=0,0,IF(SUM($AA346:AD346)&lt;($L346-12),12,$L346-SUM($AA346:AD346)))</f>
        <v>0</v>
      </c>
      <c r="AG346" s="1100"/>
      <c r="AH346" s="1100"/>
      <c r="AI346" s="1100"/>
      <c r="AJ346" s="1100">
        <f>'ANSP Capex'!AH342</f>
        <v>12</v>
      </c>
      <c r="AK346" s="1101">
        <f>IF($BK346=0,0,IF(SUM($AG346:AJ346)&lt;($L346-12),12,$L346-SUM($AG346:AJ346)))</f>
        <v>12</v>
      </c>
      <c r="AM346" s="1100"/>
      <c r="AN346" s="1100"/>
      <c r="AO346" s="1100"/>
      <c r="AP346" s="1100"/>
      <c r="AQ346" s="1100">
        <f>'ANSP Capex'!AO342</f>
        <v>0</v>
      </c>
      <c r="AS346" s="153">
        <f t="shared" si="35"/>
        <v>0</v>
      </c>
      <c r="AT346" s="153">
        <f t="shared" si="36"/>
        <v>0</v>
      </c>
      <c r="AU346" s="153">
        <f t="shared" si="37"/>
        <v>0</v>
      </c>
      <c r="AV346" s="153">
        <f t="shared" si="38"/>
        <v>1</v>
      </c>
      <c r="AW346" s="153">
        <f t="shared" si="39"/>
        <v>0</v>
      </c>
      <c r="AX346" s="153"/>
      <c r="AY346" s="1543">
        <f>'ANSP Capex'!AW342</f>
        <v>0.75</v>
      </c>
      <c r="AZ346" s="1102"/>
      <c r="BA346" s="1543">
        <f>'ANSP Capex'!AY342</f>
        <v>0.25</v>
      </c>
      <c r="BC346" s="1126"/>
      <c r="BD346" s="1126"/>
      <c r="BE346" s="1126"/>
      <c r="BF346" s="1126"/>
      <c r="BG346" s="1126"/>
      <c r="BH346" s="1126">
        <f>'ANSP Capex'!BF342*IF($I346="",(1+INDEX($I$41:$I$42,MATCH($F346,$F$41:$F$42,0))),(1+$I346))</f>
        <v>0</v>
      </c>
      <c r="BI346" s="1126">
        <f>'ANSP Capex'!BG342*IF($I346="",(1+INDEX($I$41:$I$42,MATCH($F346,$F$41:$F$42,0))),(1+$I346))</f>
        <v>0</v>
      </c>
      <c r="BJ346" s="1126">
        <f>'ANSP Capex'!BH342*IF($I346="",(1+INDEX($I$41:$I$42,MATCH($F346,$F$41:$F$42,0))),(1+$I346))</f>
        <v>0</v>
      </c>
      <c r="BK346" s="1126">
        <f>'ANSP Capex'!BI342*IF($I346="",(1+INDEX($I$41:$I$42,MATCH($F346,$F$41:$F$42,0))),(1+$I346))</f>
        <v>18.5504</v>
      </c>
      <c r="BL346" s="1126">
        <f>'ANSP Capex'!BJ342*IF($I346="",(1+INDEX($I$41:$I$42,MATCH($F346,$F$41:$F$42,0))),(1+$I346))</f>
        <v>0</v>
      </c>
    </row>
    <row r="347" spans="2:64">
      <c r="BC347" s="1084"/>
      <c r="BD347" s="1084"/>
      <c r="BE347" s="1084"/>
      <c r="BF347" s="1084"/>
      <c r="BG347" s="1084"/>
      <c r="BH347" s="1084"/>
      <c r="BI347" s="1084"/>
      <c r="BJ347" s="1084"/>
      <c r="BK347" s="1084"/>
      <c r="BL347" s="1084"/>
    </row>
    <row r="348" spans="2:64">
      <c r="C348" s="1104" t="s">
        <v>12</v>
      </c>
      <c r="H348" s="1104" t="s">
        <v>29</v>
      </c>
      <c r="I348" s="1104"/>
      <c r="U348" s="1099"/>
      <c r="V348" s="1099"/>
      <c r="W348" s="1099"/>
      <c r="X348" s="1099"/>
      <c r="Y348" s="1099"/>
      <c r="BC348" s="1105"/>
      <c r="BD348" s="1105"/>
      <c r="BE348" s="1105"/>
      <c r="BF348" s="1105"/>
      <c r="BG348" s="1105"/>
      <c r="BH348" s="1105">
        <f t="shared" ref="BH348:BL348" si="40">SUM(BH49:BH346)</f>
        <v>15298.329229999996</v>
      </c>
      <c r="BI348" s="1105">
        <f>SUM(BI49:BI346)</f>
        <v>57423.040460857941</v>
      </c>
      <c r="BJ348" s="1105">
        <f t="shared" si="40"/>
        <v>31548.846899469994</v>
      </c>
      <c r="BK348" s="1105">
        <f t="shared" si="40"/>
        <v>24094.407323739601</v>
      </c>
      <c r="BL348" s="1105">
        <f t="shared" si="40"/>
        <v>12532.766223600589</v>
      </c>
    </row>
    <row r="349" spans="2:64">
      <c r="C349" s="1104" t="s">
        <v>726</v>
      </c>
      <c r="H349" s="1104" t="s">
        <v>29</v>
      </c>
      <c r="I349" s="1104"/>
      <c r="U349" s="1099"/>
      <c r="V349" s="1099"/>
      <c r="W349" s="1099"/>
      <c r="X349" s="1099"/>
      <c r="Y349" s="1099"/>
      <c r="BC349" s="1105"/>
      <c r="BD349" s="1105"/>
      <c r="BE349" s="1105"/>
      <c r="BF349" s="1105"/>
      <c r="BG349" s="1105"/>
      <c r="BH349" s="1105">
        <f>SUMPRODUCT(BH$49:BH$346,AS$49:AS$346)</f>
        <v>2017.6650549999977</v>
      </c>
      <c r="BI349" s="1105">
        <f>SUMPRODUCT(BI$49:BI$346,AT$49:AT$346)</f>
        <v>27218.159678597807</v>
      </c>
      <c r="BJ349" s="1105">
        <f>SUMPRODUCT(BJ$49:BJ$346,AU$49:AU$346)</f>
        <v>16609.716363652497</v>
      </c>
      <c r="BK349" s="1105">
        <f>SUMPRODUCT(BK$49:BK$346,AV$49:AV$346)</f>
        <v>13776.73767816936</v>
      </c>
      <c r="BL349" s="1105">
        <f>SUMPRODUCT(BL$49:BL$346,AW$49:AW$346)</f>
        <v>6792.0321396005875</v>
      </c>
    </row>
    <row r="350" spans="2:64">
      <c r="BC350" s="1084"/>
      <c r="BD350" s="1084"/>
      <c r="BE350" s="1084"/>
      <c r="BF350" s="1084"/>
      <c r="BG350" s="1084"/>
      <c r="BH350" s="1084"/>
      <c r="BI350" s="1084"/>
      <c r="BJ350" s="1084"/>
      <c r="BK350" s="1084"/>
      <c r="BL350" s="1084"/>
    </row>
    <row r="351" spans="2:64" ht="13.5" thickBot="1">
      <c r="B351" s="1091" t="s">
        <v>31</v>
      </c>
      <c r="C351" s="1091"/>
      <c r="D351" s="1106"/>
      <c r="E351" s="1106"/>
      <c r="F351" s="1106"/>
      <c r="G351" s="1106"/>
      <c r="H351" s="1106"/>
      <c r="I351" s="1106"/>
      <c r="J351" s="1106"/>
      <c r="K351" s="1106"/>
      <c r="L351" s="1106"/>
      <c r="M351" s="1106"/>
      <c r="N351" s="1106"/>
      <c r="O351" s="1106"/>
      <c r="P351" s="1106"/>
      <c r="Q351" s="1091"/>
      <c r="R351" s="1091"/>
      <c r="S351" s="1091"/>
      <c r="T351" s="1091"/>
      <c r="U351" s="1091"/>
      <c r="V351" s="1091"/>
      <c r="W351" s="1091"/>
      <c r="X351" s="1091"/>
      <c r="Y351" s="1091"/>
      <c r="Z351" s="1091"/>
      <c r="AA351" s="1091"/>
      <c r="AB351" s="1091"/>
      <c r="AC351" s="1091"/>
      <c r="AD351" s="1091"/>
      <c r="AE351" s="1091"/>
      <c r="AF351" s="1091"/>
      <c r="AG351" s="1091"/>
      <c r="AH351" s="1091"/>
      <c r="AI351" s="1091"/>
      <c r="AJ351" s="1091"/>
      <c r="AK351" s="1091"/>
      <c r="AL351" s="1091"/>
      <c r="AM351" s="1091"/>
      <c r="AN351" s="1091"/>
      <c r="AO351" s="1091"/>
      <c r="AP351" s="1091"/>
      <c r="AQ351" s="1106"/>
      <c r="AR351" s="1106"/>
      <c r="AS351" s="1106"/>
      <c r="AT351" s="1106"/>
      <c r="AU351" s="1106"/>
      <c r="AV351" s="1106"/>
      <c r="AW351" s="1106"/>
      <c r="AX351" s="1106"/>
      <c r="AY351" s="1106"/>
      <c r="AZ351" s="1106"/>
      <c r="BA351" s="1106"/>
      <c r="BB351" s="1106"/>
      <c r="BC351" s="1107"/>
      <c r="BD351" s="1107"/>
      <c r="BE351" s="1107"/>
      <c r="BF351" s="1107"/>
      <c r="BG351" s="1107"/>
      <c r="BH351" s="1107"/>
      <c r="BI351" s="1107"/>
      <c r="BJ351" s="1107"/>
      <c r="BK351" s="1107"/>
      <c r="BL351" s="1107"/>
    </row>
    <row r="352" spans="2:64" hidden="1" outlineLevel="1">
      <c r="B352" s="1094"/>
      <c r="C352" s="1071" t="str">
        <f>C49</f>
        <v>N004 - CEROC Buildings</v>
      </c>
      <c r="D352" s="1071" t="str">
        <f>D49</f>
        <v>CEROC</v>
      </c>
      <c r="E352" s="1071" t="str">
        <f>E49</f>
        <v>N0040001</v>
      </c>
      <c r="F352" s="1125">
        <f>F49</f>
        <v>2020</v>
      </c>
      <c r="H352" s="1071" t="s">
        <v>29</v>
      </c>
      <c r="J352" s="1125"/>
      <c r="BB352" s="1108"/>
      <c r="BC352" s="1109"/>
      <c r="BD352" s="1109"/>
      <c r="BE352" s="1109"/>
      <c r="BF352" s="1585"/>
      <c r="BG352" s="1109"/>
      <c r="BH352" s="1109">
        <f>IF($L49=0,0,(($BH49*O49)+($BI49*U49)+($BJ49*AA49)+($BK49*AG49)+($BL49*AM49))/$L49)</f>
        <v>10.056534999999998</v>
      </c>
      <c r="BI352" s="1109">
        <f>IF($L49=0,0,(($BH49*P49)+($BI49*V49)+($BJ49*AB49)+($BK49*AH49)+($BL49*AN49))/$L49)</f>
        <v>120.67844850000002</v>
      </c>
      <c r="BJ352" s="1109">
        <f>IF($L49=0,0,(($BH49*Q49)+($BI49*W49)+($BJ49*AC49)+($BK49*AI49)+($BL49*AO49))/$L49)</f>
        <v>120.67844850000002</v>
      </c>
      <c r="BK352" s="1109">
        <f>IF($L49=0,0,(($BH49*R49)+($BI49*X49)+($BJ49*AD49)+($BK49*AJ49)+($BL49*AP49))/$L49)</f>
        <v>120.67844850000002</v>
      </c>
      <c r="BL352" s="1109">
        <f>IF($L49=0,0,(($BH49*S49)+($BI49*Y49)+($BJ49*AE49)+($BK49*AK49)+($BL49*AQ49))/$L49)</f>
        <v>120.67844850000002</v>
      </c>
    </row>
    <row r="353" spans="2:64" hidden="1" outlineLevel="1">
      <c r="B353" s="1094"/>
      <c r="C353" s="1071" t="str">
        <f t="shared" ref="C353:F353" si="41">C50</f>
        <v>N004 - CEROC Network Servers</v>
      </c>
      <c r="D353" s="1071" t="str">
        <f t="shared" si="41"/>
        <v>CEROC</v>
      </c>
      <c r="E353" s="1071" t="str">
        <f t="shared" si="41"/>
        <v>N0040002</v>
      </c>
      <c r="F353" s="1125">
        <f t="shared" si="41"/>
        <v>2020</v>
      </c>
      <c r="H353" s="1071" t="s">
        <v>29</v>
      </c>
      <c r="J353" s="1125"/>
      <c r="BB353" s="1108"/>
      <c r="BC353" s="1109"/>
      <c r="BD353" s="1109"/>
      <c r="BE353" s="1109"/>
      <c r="BF353" s="1585"/>
      <c r="BG353" s="1109"/>
      <c r="BH353" s="1109">
        <f t="shared" ref="BH353:BL353" si="42">IF($L50=0,0,(($BH50*O50)+($BI50*U50)+($BJ50*AA50)+($BK50*AG50)+($BL50*AM50))/$L50)</f>
        <v>6.0297299999999998</v>
      </c>
      <c r="BI353" s="1109">
        <f t="shared" si="42"/>
        <v>72.356738750000005</v>
      </c>
      <c r="BJ353" s="1109">
        <f t="shared" si="42"/>
        <v>72.356738750000005</v>
      </c>
      <c r="BK353" s="1109">
        <f t="shared" si="42"/>
        <v>72.356738750000005</v>
      </c>
      <c r="BL353" s="1109">
        <f t="shared" si="42"/>
        <v>72.356738750000005</v>
      </c>
    </row>
    <row r="354" spans="2:64" hidden="1" outlineLevel="1">
      <c r="B354" s="1094"/>
      <c r="C354" s="1071" t="str">
        <f t="shared" ref="C354:F354" si="43">C51</f>
        <v>N004 - CEROC ATC Systems</v>
      </c>
      <c r="D354" s="1071" t="str">
        <f t="shared" si="43"/>
        <v>CEROC</v>
      </c>
      <c r="E354" s="1071" t="str">
        <f t="shared" si="43"/>
        <v>N0040003</v>
      </c>
      <c r="F354" s="1125">
        <f t="shared" si="43"/>
        <v>2020</v>
      </c>
      <c r="H354" s="1071" t="s">
        <v>29</v>
      </c>
      <c r="J354" s="1125"/>
      <c r="BB354" s="1108"/>
      <c r="BC354" s="1109"/>
      <c r="BD354" s="1109"/>
      <c r="BE354" s="1109"/>
      <c r="BF354" s="1585"/>
      <c r="BG354" s="1109"/>
      <c r="BH354" s="1109">
        <f t="shared" ref="BH354:BL354" si="44">IF($L51=0,0,(($BH51*O51)+($BI51*U51)+($BJ51*AA51)+($BK51*AG51)+($BL51*AM51))/$L51)</f>
        <v>32.967660000000009</v>
      </c>
      <c r="BI354" s="1109">
        <f t="shared" si="44"/>
        <v>395.61192</v>
      </c>
      <c r="BJ354" s="1109">
        <f t="shared" si="44"/>
        <v>395.61192</v>
      </c>
      <c r="BK354" s="1109">
        <f t="shared" si="44"/>
        <v>395.61192</v>
      </c>
      <c r="BL354" s="1109">
        <f t="shared" si="44"/>
        <v>395.61192</v>
      </c>
    </row>
    <row r="355" spans="2:64" hidden="1" outlineLevel="1">
      <c r="B355" s="1094"/>
      <c r="C355" s="1071" t="str">
        <f t="shared" ref="C355:F355" si="45">C52</f>
        <v>N004 - CEROC Voice Comm System</v>
      </c>
      <c r="D355" s="1071" t="str">
        <f t="shared" si="45"/>
        <v>CEROC</v>
      </c>
      <c r="E355" s="1071" t="str">
        <f t="shared" si="45"/>
        <v>N0040004</v>
      </c>
      <c r="F355" s="1125">
        <f t="shared" si="45"/>
        <v>2020</v>
      </c>
      <c r="H355" s="1071" t="s">
        <v>29</v>
      </c>
      <c r="J355" s="1125"/>
      <c r="BB355" s="1108"/>
      <c r="BC355" s="1109"/>
      <c r="BD355" s="1109"/>
      <c r="BE355" s="1109"/>
      <c r="BF355" s="1585"/>
      <c r="BG355" s="1109"/>
      <c r="BH355" s="1109">
        <f t="shared" ref="BH355:BL355" si="46">IF($L52=0,0,(($BH52*O52)+($BI52*U52)+($BJ52*AA52)+($BK52*AG52)+($BL52*AM52))/$L52)</f>
        <v>21.963449999999998</v>
      </c>
      <c r="BI355" s="1109">
        <f t="shared" si="46"/>
        <v>263.56145750000002</v>
      </c>
      <c r="BJ355" s="1109">
        <f t="shared" si="46"/>
        <v>263.56145750000002</v>
      </c>
      <c r="BK355" s="1109">
        <f t="shared" si="46"/>
        <v>263.56145750000002</v>
      </c>
      <c r="BL355" s="1109">
        <f t="shared" si="46"/>
        <v>263.56145750000002</v>
      </c>
    </row>
    <row r="356" spans="2:64" hidden="1" outlineLevel="1">
      <c r="B356" s="1094"/>
      <c r="C356" s="1071" t="str">
        <f t="shared" ref="C356:F356" si="47">C53</f>
        <v>N004 - CEROC Reserve Voice Com System</v>
      </c>
      <c r="D356" s="1071" t="str">
        <f t="shared" si="47"/>
        <v>CEROC</v>
      </c>
      <c r="E356" s="1071" t="str">
        <f t="shared" si="47"/>
        <v>N0040005</v>
      </c>
      <c r="F356" s="1125">
        <f t="shared" si="47"/>
        <v>2020</v>
      </c>
      <c r="H356" s="1071" t="s">
        <v>29</v>
      </c>
      <c r="J356" s="1125"/>
      <c r="BB356" s="1108"/>
      <c r="BC356" s="1109"/>
      <c r="BD356" s="1109"/>
      <c r="BE356" s="1109"/>
      <c r="BF356" s="1585"/>
      <c r="BG356" s="1109"/>
      <c r="BH356" s="1109">
        <f t="shared" ref="BH356:BL356" si="48">IF($L53=0,0,(($BH53*O53)+($BI53*U53)+($BJ53*AA53)+($BK53*AG53)+($BL53*AM53))/$L53)</f>
        <v>8.1554400000000005</v>
      </c>
      <c r="BI356" s="1109">
        <f t="shared" si="48"/>
        <v>97.865245000000002</v>
      </c>
      <c r="BJ356" s="1109">
        <f t="shared" si="48"/>
        <v>97.865245000000002</v>
      </c>
      <c r="BK356" s="1109">
        <f t="shared" si="48"/>
        <v>97.865245000000002</v>
      </c>
      <c r="BL356" s="1109">
        <f t="shared" si="48"/>
        <v>97.865245000000002</v>
      </c>
    </row>
    <row r="357" spans="2:64" hidden="1" outlineLevel="1">
      <c r="B357" s="1094"/>
      <c r="C357" s="1071" t="str">
        <f t="shared" ref="C357:F357" si="49">C54</f>
        <v>N004 CEROC Voice Comm Recorder</v>
      </c>
      <c r="D357" s="1071" t="str">
        <f t="shared" si="49"/>
        <v>CEROC</v>
      </c>
      <c r="E357" s="1071" t="str">
        <f t="shared" si="49"/>
        <v>N0040006</v>
      </c>
      <c r="F357" s="1125">
        <f t="shared" si="49"/>
        <v>2020</v>
      </c>
      <c r="H357" s="1071" t="s">
        <v>29</v>
      </c>
      <c r="J357" s="1125"/>
      <c r="BB357" s="1108"/>
      <c r="BC357" s="1109"/>
      <c r="BD357" s="1109"/>
      <c r="BE357" s="1109"/>
      <c r="BF357" s="1585"/>
      <c r="BG357" s="1109"/>
      <c r="BH357" s="1109">
        <f t="shared" ref="BH357:BL357" si="50">IF($L54=0,0,(($BH54*O54)+($BI54*U54)+($BJ54*AA54)+($BK54*AG54)+($BL54*AM54))/$L54)</f>
        <v>2.7476599999999998</v>
      </c>
      <c r="BI357" s="1109">
        <f t="shared" si="50"/>
        <v>32.971943750000001</v>
      </c>
      <c r="BJ357" s="1109">
        <f t="shared" si="50"/>
        <v>32.971943750000001</v>
      </c>
      <c r="BK357" s="1109">
        <f t="shared" si="50"/>
        <v>32.971943750000001</v>
      </c>
      <c r="BL357" s="1109">
        <f t="shared" si="50"/>
        <v>32.971943750000001</v>
      </c>
    </row>
    <row r="358" spans="2:64" hidden="1" outlineLevel="1">
      <c r="B358" s="1094"/>
      <c r="C358" s="1071" t="str">
        <f t="shared" ref="C358:F358" si="51">C55</f>
        <v>N004 - CEROC PABX</v>
      </c>
      <c r="D358" s="1071" t="str">
        <f t="shared" si="51"/>
        <v>CEROC</v>
      </c>
      <c r="E358" s="1071" t="str">
        <f t="shared" si="51"/>
        <v>N0040007</v>
      </c>
      <c r="F358" s="1125">
        <f t="shared" si="51"/>
        <v>2020</v>
      </c>
      <c r="H358" s="1071" t="s">
        <v>29</v>
      </c>
      <c r="J358" s="1125"/>
      <c r="BB358" s="1108"/>
      <c r="BC358" s="1109"/>
      <c r="BD358" s="1109"/>
      <c r="BE358" s="1109"/>
      <c r="BF358" s="1585"/>
      <c r="BG358" s="1109"/>
      <c r="BH358" s="1109">
        <f t="shared" ref="BH358:BL358" si="52">IF($L55=0,0,(($BH55*O55)+($BI55*U55)+($BJ55*AA55)+($BK55*AG55)+($BL55*AM55))/$L55)</f>
        <v>0.94108666666666663</v>
      </c>
      <c r="BI358" s="1109">
        <f t="shared" si="52"/>
        <v>11.292999999999999</v>
      </c>
      <c r="BJ358" s="1109">
        <f t="shared" si="52"/>
        <v>11.292999999999999</v>
      </c>
      <c r="BK358" s="1109">
        <f t="shared" si="52"/>
        <v>11.292999999999999</v>
      </c>
      <c r="BL358" s="1109">
        <f t="shared" si="52"/>
        <v>11.292999999999999</v>
      </c>
    </row>
    <row r="359" spans="2:64" hidden="1" outlineLevel="1">
      <c r="B359" s="1094"/>
      <c r="C359" s="1071" t="str">
        <f t="shared" ref="C359:F359" si="53">C56</f>
        <v>N004-CEROC Centralised Monitor Monitoring</v>
      </c>
      <c r="D359" s="1071" t="str">
        <f t="shared" si="53"/>
        <v>CEROC</v>
      </c>
      <c r="E359" s="1071" t="str">
        <f t="shared" si="53"/>
        <v>N0040008</v>
      </c>
      <c r="F359" s="1125">
        <f t="shared" si="53"/>
        <v>2020</v>
      </c>
      <c r="H359" s="1071" t="s">
        <v>29</v>
      </c>
      <c r="J359" s="1125"/>
      <c r="BB359" s="1108"/>
      <c r="BC359" s="1109"/>
      <c r="BD359" s="1109"/>
      <c r="BE359" s="1109"/>
      <c r="BF359" s="1585"/>
      <c r="BG359" s="1109"/>
      <c r="BH359" s="1109">
        <f t="shared" ref="BH359:BL359" si="54">IF($L56=0,0,(($BH56*O56)+($BI56*U56)+($BJ56*AA56)+($BK56*AG56)+($BL56*AM56))/$L56)</f>
        <v>4.1030299999999995</v>
      </c>
      <c r="BI359" s="1109">
        <f t="shared" si="54"/>
        <v>49.236368750000004</v>
      </c>
      <c r="BJ359" s="1109">
        <f t="shared" si="54"/>
        <v>49.236368750000004</v>
      </c>
      <c r="BK359" s="1109">
        <f t="shared" si="54"/>
        <v>49.236368750000004</v>
      </c>
      <c r="BL359" s="1109">
        <f t="shared" si="54"/>
        <v>49.236368750000004</v>
      </c>
    </row>
    <row r="360" spans="2:64" hidden="1" outlineLevel="1">
      <c r="B360" s="1094"/>
      <c r="C360" s="1071" t="str">
        <f t="shared" ref="C360:F360" si="55">C57</f>
        <v>Q001-CEROC Servers Workstation</v>
      </c>
      <c r="D360" s="1071" t="str">
        <f t="shared" si="55"/>
        <v>CEROC</v>
      </c>
      <c r="E360" s="1071" t="str">
        <f t="shared" si="55"/>
        <v>Q0010007</v>
      </c>
      <c r="F360" s="1125">
        <f t="shared" si="55"/>
        <v>2020</v>
      </c>
      <c r="H360" s="1071" t="s">
        <v>29</v>
      </c>
      <c r="J360" s="1125"/>
      <c r="BB360" s="1108"/>
      <c r="BC360" s="1109"/>
      <c r="BD360" s="1109"/>
      <c r="BE360" s="1109"/>
      <c r="BF360" s="1585"/>
      <c r="BG360" s="1109"/>
      <c r="BH360" s="1109">
        <f t="shared" ref="BH360:BL360" si="56">IF($L57=0,0,(($BH57*O57)+($BI57*U57)+($BJ57*AA57)+($BK57*AG57)+($BL57*AM57))/$L57)</f>
        <v>1.8746099999999999</v>
      </c>
      <c r="BI360" s="1109">
        <f t="shared" si="56"/>
        <v>22.495286250000003</v>
      </c>
      <c r="BJ360" s="1109">
        <f t="shared" si="56"/>
        <v>22.495286250000003</v>
      </c>
      <c r="BK360" s="1109">
        <f t="shared" si="56"/>
        <v>22.495286250000003</v>
      </c>
      <c r="BL360" s="1109">
        <f t="shared" si="56"/>
        <v>22.495286250000003</v>
      </c>
    </row>
    <row r="361" spans="2:64" hidden="1" outlineLevel="1">
      <c r="B361" s="1094"/>
      <c r="C361" s="1071" t="str">
        <f t="shared" ref="C361:F361" si="57">C58</f>
        <v>Q001-CEROC Network Replacement</v>
      </c>
      <c r="D361" s="1071" t="str">
        <f t="shared" si="57"/>
        <v>CEROC</v>
      </c>
      <c r="E361" s="1071" t="str">
        <f t="shared" si="57"/>
        <v>Q0010008</v>
      </c>
      <c r="F361" s="1125">
        <f t="shared" si="57"/>
        <v>2020</v>
      </c>
      <c r="H361" s="1071" t="s">
        <v>29</v>
      </c>
      <c r="J361" s="1125"/>
      <c r="BB361" s="1108"/>
      <c r="BC361" s="1109"/>
      <c r="BD361" s="1109"/>
      <c r="BE361" s="1109"/>
      <c r="BF361" s="1585"/>
      <c r="BG361" s="1109"/>
      <c r="BH361" s="1109">
        <f t="shared" ref="BH361:BL361" si="58">IF($L58=0,0,(($BH58*O58)+($BI58*U58)+($BJ58*AA58)+($BK58*AG58)+($BL58*AM58))/$L58)</f>
        <v>0.11992000000000001</v>
      </c>
      <c r="BI361" s="1109">
        <f t="shared" si="58"/>
        <v>1.4390050000000001</v>
      </c>
      <c r="BJ361" s="1109">
        <f t="shared" si="58"/>
        <v>1.4390050000000001</v>
      </c>
      <c r="BK361" s="1109">
        <f t="shared" si="58"/>
        <v>1.4390050000000001</v>
      </c>
      <c r="BL361" s="1109">
        <f t="shared" si="58"/>
        <v>1.4390050000000001</v>
      </c>
    </row>
    <row r="362" spans="2:64" hidden="1" outlineLevel="1">
      <c r="B362" s="1094"/>
      <c r="C362" s="1071" t="str">
        <f t="shared" ref="C362:F362" si="59">C59</f>
        <v>Q007 Nokia MNATP CEROC</v>
      </c>
      <c r="D362" s="1071" t="str">
        <f t="shared" si="59"/>
        <v>CEROC</v>
      </c>
      <c r="E362" s="1071" t="str">
        <f t="shared" si="59"/>
        <v>Q0070001</v>
      </c>
      <c r="F362" s="1125">
        <f t="shared" si="59"/>
        <v>2020</v>
      </c>
      <c r="H362" s="1071" t="s">
        <v>29</v>
      </c>
      <c r="J362" s="1125"/>
      <c r="BB362" s="1108"/>
      <c r="BC362" s="1109"/>
      <c r="BD362" s="1109"/>
      <c r="BE362" s="1109"/>
      <c r="BF362" s="1585"/>
      <c r="BG362" s="1109"/>
      <c r="BH362" s="1109">
        <f t="shared" ref="BH362:BL362" si="60">IF($L59=0,0,(($BH59*O59)+($BI59*U59)+($BJ59*AA59)+($BK59*AG59)+($BL59*AM59))/$L59)</f>
        <v>10.93135</v>
      </c>
      <c r="BI362" s="1109">
        <f t="shared" si="60"/>
        <v>131.17614</v>
      </c>
      <c r="BJ362" s="1109">
        <f t="shared" si="60"/>
        <v>131.17614</v>
      </c>
      <c r="BK362" s="1109">
        <f t="shared" si="60"/>
        <v>131.17614</v>
      </c>
      <c r="BL362" s="1109">
        <f t="shared" si="60"/>
        <v>131.17614</v>
      </c>
    </row>
    <row r="363" spans="2:64" hidden="1" outlineLevel="1">
      <c r="B363" s="1094"/>
      <c r="C363" s="1071" t="str">
        <f t="shared" ref="C363:F363" si="61">C60</f>
        <v>Q029 - CEROC IT Equipment</v>
      </c>
      <c r="D363" s="1071" t="str">
        <f t="shared" si="61"/>
        <v>CEROC</v>
      </c>
      <c r="E363" s="1071" t="str">
        <f t="shared" si="61"/>
        <v>Q0290001</v>
      </c>
      <c r="F363" s="1125">
        <f t="shared" si="61"/>
        <v>2020</v>
      </c>
      <c r="H363" s="1071" t="s">
        <v>29</v>
      </c>
      <c r="J363" s="1125"/>
      <c r="BB363" s="1108"/>
      <c r="BC363" s="1109"/>
      <c r="BD363" s="1109"/>
      <c r="BE363" s="1109"/>
      <c r="BF363" s="1585"/>
      <c r="BG363" s="1109"/>
      <c r="BH363" s="1109">
        <f t="shared" ref="BH363:BL363" si="62">IF($L60=0,0,(($BH60*O60)+($BI60*U60)+($BJ60*AA60)+($BK60*AG60)+($BL60*AM60))/$L60)</f>
        <v>1.8108399999999996</v>
      </c>
      <c r="BI363" s="1109">
        <f t="shared" si="62"/>
        <v>21.142790270270268</v>
      </c>
      <c r="BJ363" s="1109">
        <f t="shared" si="62"/>
        <v>21.142790270270268</v>
      </c>
      <c r="BK363" s="1109">
        <f t="shared" si="62"/>
        <v>21.093849459459459</v>
      </c>
      <c r="BL363" s="1109">
        <f t="shared" si="62"/>
        <v>0</v>
      </c>
    </row>
    <row r="364" spans="2:64" hidden="1" outlineLevel="1">
      <c r="B364" s="1094"/>
      <c r="C364" s="1071" t="str">
        <f t="shared" ref="C364:F364" si="63">C61</f>
        <v>Q029 -CEROC  Photocopier</v>
      </c>
      <c r="D364" s="1071" t="str">
        <f t="shared" si="63"/>
        <v>CEROC</v>
      </c>
      <c r="E364" s="1071" t="str">
        <f t="shared" si="63"/>
        <v>Q0290002</v>
      </c>
      <c r="F364" s="1125">
        <f t="shared" si="63"/>
        <v>2020</v>
      </c>
      <c r="H364" s="1071" t="s">
        <v>29</v>
      </c>
      <c r="J364" s="1125"/>
      <c r="BB364" s="1108"/>
      <c r="BC364" s="1109"/>
      <c r="BD364" s="1109"/>
      <c r="BE364" s="1109"/>
      <c r="BF364" s="1585"/>
      <c r="BG364" s="1109"/>
      <c r="BH364" s="1109">
        <f t="shared" ref="BH364:BL364" si="64">IF($L61=0,0,(($BH61*O61)+($BI61*U61)+($BJ61*AA61)+($BK61*AG61)+($BL61*AM61))/$L61)</f>
        <v>8.1100000000000005E-2</v>
      </c>
      <c r="BI364" s="1109">
        <f t="shared" si="64"/>
        <v>0.97315000000000007</v>
      </c>
      <c r="BJ364" s="1109">
        <f t="shared" si="64"/>
        <v>0.97315000000000007</v>
      </c>
      <c r="BK364" s="1109">
        <f t="shared" si="64"/>
        <v>0.97315000000000007</v>
      </c>
      <c r="BL364" s="1109">
        <f t="shared" si="64"/>
        <v>0.97315000000000007</v>
      </c>
    </row>
    <row r="365" spans="2:64" hidden="1" outlineLevel="1">
      <c r="B365" s="1094"/>
      <c r="C365" s="1071" t="str">
        <f t="shared" ref="C365:F365" si="65">C62</f>
        <v>Rosslare VHF - Cabins &amp; Civils Q015</v>
      </c>
      <c r="D365" s="1071" t="str">
        <f t="shared" si="65"/>
        <v>Rosslare VHF - Cabins &amp; Civils Q015</v>
      </c>
      <c r="E365" s="1071" t="str">
        <f t="shared" si="65"/>
        <v>q0150001</v>
      </c>
      <c r="F365" s="1125">
        <f t="shared" si="65"/>
        <v>2020</v>
      </c>
      <c r="H365" s="1071" t="s">
        <v>29</v>
      </c>
      <c r="J365" s="1125"/>
      <c r="BB365" s="1108"/>
      <c r="BC365" s="1109"/>
      <c r="BD365" s="1109"/>
      <c r="BE365" s="1109"/>
      <c r="BF365" s="1585"/>
      <c r="BG365" s="1109"/>
      <c r="BH365" s="1109">
        <f t="shared" ref="BH365:BL365" si="66">IF($L62=0,0,(($BH62*O62)+($BI62*U62)+($BJ62*AA62)+($BK62*AG62)+($BL62*AM62))/$L62)</f>
        <v>14.5274</v>
      </c>
      <c r="BI365" s="1109">
        <f t="shared" si="66"/>
        <v>43.582197499999999</v>
      </c>
      <c r="BJ365" s="1109">
        <f t="shared" si="66"/>
        <v>43.582197499999999</v>
      </c>
      <c r="BK365" s="1109">
        <f t="shared" si="66"/>
        <v>43.582197499999999</v>
      </c>
      <c r="BL365" s="1109">
        <f t="shared" si="66"/>
        <v>43.582197499999999</v>
      </c>
    </row>
    <row r="366" spans="2:64" hidden="1" outlineLevel="1">
      <c r="B366" s="1094"/>
      <c r="C366" s="1071" t="str">
        <f t="shared" ref="C366:F366" si="67">C63</f>
        <v>Q001- Coopans Hardware network</v>
      </c>
      <c r="D366" s="1071" t="str">
        <f t="shared" si="67"/>
        <v>Coopans Hardware network</v>
      </c>
      <c r="E366" s="1071" t="str">
        <f t="shared" si="67"/>
        <v>Q0010006</v>
      </c>
      <c r="F366" s="1125">
        <f t="shared" si="67"/>
        <v>2020</v>
      </c>
      <c r="H366" s="1071" t="s">
        <v>29</v>
      </c>
      <c r="J366" s="1125"/>
      <c r="BB366" s="1108"/>
      <c r="BC366" s="1109"/>
      <c r="BD366" s="1109"/>
      <c r="BE366" s="1109"/>
      <c r="BF366" s="1585"/>
      <c r="BG366" s="1109"/>
      <c r="BH366" s="1109">
        <f t="shared" ref="BH366:BL366" si="68">IF($L63=0,0,(($BH63*O63)+($BI63*U63)+($BJ63*AA63)+($BK63*AG63)+($BL63*AM63))/$L63)</f>
        <v>35.706769999999999</v>
      </c>
      <c r="BI366" s="1109">
        <f t="shared" si="68"/>
        <v>38.9528325</v>
      </c>
      <c r="BJ366" s="1109">
        <f t="shared" si="68"/>
        <v>38.9528325</v>
      </c>
      <c r="BK366" s="1109">
        <f t="shared" si="68"/>
        <v>38.9528325</v>
      </c>
      <c r="BL366" s="1109">
        <f t="shared" si="68"/>
        <v>38.9528325</v>
      </c>
    </row>
    <row r="367" spans="2:64" hidden="1" outlineLevel="1">
      <c r="B367" s="1094"/>
      <c r="C367" s="1071" t="str">
        <f t="shared" ref="C367:F367" si="69">C64</f>
        <v>P009 - New South East VHF Site</v>
      </c>
      <c r="D367" s="1071" t="str">
        <f t="shared" si="69"/>
        <v>New South East VHF Site</v>
      </c>
      <c r="E367" s="1071" t="str">
        <f t="shared" si="69"/>
        <v>P0090001</v>
      </c>
      <c r="F367" s="1125">
        <f t="shared" si="69"/>
        <v>2020</v>
      </c>
      <c r="H367" s="1071" t="s">
        <v>29</v>
      </c>
      <c r="J367" s="1125"/>
      <c r="BB367" s="1108"/>
      <c r="BC367" s="1109"/>
      <c r="BD367" s="1109"/>
      <c r="BE367" s="1109"/>
      <c r="BF367" s="1585"/>
      <c r="BG367" s="1109"/>
      <c r="BH367" s="1109">
        <f t="shared" ref="BH367:BL367" si="70">IF($L64=0,0,(($BH64*O64)+($BI64*U64)+($BJ64*AA64)+($BK64*AG64)+($BL64*AM64))/$L64)</f>
        <v>12.910600000000001</v>
      </c>
      <c r="BI367" s="1109">
        <f t="shared" si="70"/>
        <v>38.731749999999998</v>
      </c>
      <c r="BJ367" s="1109">
        <f t="shared" si="70"/>
        <v>38.731749999999998</v>
      </c>
      <c r="BK367" s="1109">
        <f t="shared" si="70"/>
        <v>38.731749999999998</v>
      </c>
      <c r="BL367" s="1109">
        <f t="shared" si="70"/>
        <v>38.731749999999998</v>
      </c>
    </row>
    <row r="368" spans="2:64" hidden="1" outlineLevel="1">
      <c r="B368" s="1094"/>
      <c r="C368" s="1071" t="str">
        <f t="shared" ref="C368:F368" si="71">C65</f>
        <v>T024 - UPS System Woodcock</v>
      </c>
      <c r="D368" s="1071" t="str">
        <f t="shared" si="71"/>
        <v>UPS System</v>
      </c>
      <c r="E368" s="1071" t="str">
        <f t="shared" si="71"/>
        <v>T0240005</v>
      </c>
      <c r="F368" s="1125">
        <f t="shared" si="71"/>
        <v>2020</v>
      </c>
      <c r="H368" s="1071" t="s">
        <v>29</v>
      </c>
      <c r="J368" s="1125"/>
      <c r="BB368" s="1108"/>
      <c r="BC368" s="1109"/>
      <c r="BD368" s="1109"/>
      <c r="BE368" s="1109"/>
      <c r="BF368" s="1585"/>
      <c r="BG368" s="1109"/>
      <c r="BH368" s="1109">
        <f t="shared" ref="BH368:BL368" si="72">IF($L65=0,0,(($BH65*O65)+($BI65*U65)+($BJ65*AA65)+($BK65*AG65)+($BL65*AM65))/$L65)</f>
        <v>1.8444200000000002</v>
      </c>
      <c r="BI368" s="1109">
        <f t="shared" si="72"/>
        <v>5.7234699999999998</v>
      </c>
      <c r="BJ368" s="1109">
        <f t="shared" si="72"/>
        <v>5.7234699999999998</v>
      </c>
      <c r="BK368" s="1109">
        <f t="shared" si="72"/>
        <v>5.7234699999999998</v>
      </c>
      <c r="BL368" s="1109">
        <f t="shared" si="72"/>
        <v>5.7234699999999998</v>
      </c>
    </row>
    <row r="369" spans="2:64" hidden="1" outlineLevel="1">
      <c r="B369" s="1094"/>
      <c r="C369" s="1071" t="str">
        <f t="shared" ref="C369:F369" si="73">C66</f>
        <v>T024 -UPS System Shannon Tower</v>
      </c>
      <c r="D369" s="1071" t="str">
        <f t="shared" si="73"/>
        <v>UPS System</v>
      </c>
      <c r="E369" s="1071" t="str">
        <f t="shared" si="73"/>
        <v>T0240007</v>
      </c>
      <c r="F369" s="1125">
        <f t="shared" si="73"/>
        <v>2020</v>
      </c>
      <c r="H369" s="1071" t="s">
        <v>29</v>
      </c>
      <c r="J369" s="1125"/>
      <c r="BB369" s="1108"/>
      <c r="BC369" s="1109"/>
      <c r="BD369" s="1109"/>
      <c r="BE369" s="1109"/>
      <c r="BF369" s="1585"/>
      <c r="BG369" s="1109"/>
      <c r="BH369" s="1109">
        <f t="shared" ref="BH369:BL369" si="74">IF($L66=0,0,(($BH66*O66)+($BI66*U66)+($BJ66*AA66)+($BK66*AG66)+($BL66*AM66))/$L66)</f>
        <v>2.36978</v>
      </c>
      <c r="BI369" s="1109">
        <f t="shared" si="74"/>
        <v>4.0625</v>
      </c>
      <c r="BJ369" s="1109">
        <f t="shared" si="74"/>
        <v>4.0625</v>
      </c>
      <c r="BK369" s="1109">
        <f t="shared" si="74"/>
        <v>4.0625</v>
      </c>
      <c r="BL369" s="1109">
        <f t="shared" si="74"/>
        <v>4.0625</v>
      </c>
    </row>
    <row r="370" spans="2:64" hidden="1" outlineLevel="1">
      <c r="B370" s="1094"/>
      <c r="C370" s="1071" t="str">
        <f t="shared" ref="C370:F370" si="75">C67</f>
        <v>T024 -UPS System Shannon Radar</v>
      </c>
      <c r="D370" s="1071" t="str">
        <f t="shared" si="75"/>
        <v>UPS System</v>
      </c>
      <c r="E370" s="1071" t="str">
        <f t="shared" si="75"/>
        <v>T0240006</v>
      </c>
      <c r="F370" s="1125">
        <f t="shared" si="75"/>
        <v>2020</v>
      </c>
      <c r="H370" s="1071" t="s">
        <v>29</v>
      </c>
      <c r="J370" s="1125"/>
      <c r="BB370" s="1108"/>
      <c r="BC370" s="1109"/>
      <c r="BD370" s="1109"/>
      <c r="BE370" s="1109"/>
      <c r="BF370" s="1585"/>
      <c r="BG370" s="1109"/>
      <c r="BH370" s="1109">
        <f t="shared" ref="BH370:BL370" si="76">IF($L67=0,0,(($BH67*O67)+($BI67*U67)+($BJ67*AA67)+($BK67*AG67)+($BL67*AM67))/$L67)</f>
        <v>2.7300000000000004</v>
      </c>
      <c r="BI370" s="1109">
        <f t="shared" si="76"/>
        <v>5.4599587500000011</v>
      </c>
      <c r="BJ370" s="1109">
        <f t="shared" si="76"/>
        <v>5.4599587500000011</v>
      </c>
      <c r="BK370" s="1109">
        <f t="shared" si="76"/>
        <v>5.4599587500000011</v>
      </c>
      <c r="BL370" s="1109">
        <f t="shared" si="76"/>
        <v>5.4599587500000011</v>
      </c>
    </row>
    <row r="371" spans="2:64" hidden="1" outlineLevel="1">
      <c r="B371" s="1094"/>
      <c r="C371" s="1071" t="str">
        <f t="shared" ref="C371:F371" si="77">C68</f>
        <v>T024 - UPS System Cork</v>
      </c>
      <c r="D371" s="1071" t="str">
        <f t="shared" si="77"/>
        <v>UPS System</v>
      </c>
      <c r="E371" s="1071" t="str">
        <f t="shared" si="77"/>
        <v>T0240008</v>
      </c>
      <c r="F371" s="1125">
        <f t="shared" si="77"/>
        <v>2020</v>
      </c>
      <c r="H371" s="1071" t="s">
        <v>29</v>
      </c>
      <c r="J371" s="1125"/>
      <c r="BB371" s="1108"/>
      <c r="BC371" s="1109"/>
      <c r="BD371" s="1109"/>
      <c r="BE371" s="1109"/>
      <c r="BF371" s="1585"/>
      <c r="BG371" s="1109"/>
      <c r="BH371" s="1109">
        <f t="shared" ref="BH371:BL371" si="78">IF($L68=0,0,(($BH68*O68)+($BI68*U68)+($BJ68*AA68)+($BK68*AG68)+($BL68*AM68))/$L68)</f>
        <v>2.7300000000000004</v>
      </c>
      <c r="BI371" s="1109">
        <f t="shared" si="78"/>
        <v>5.4599587500000011</v>
      </c>
      <c r="BJ371" s="1109">
        <f t="shared" si="78"/>
        <v>5.4599587500000011</v>
      </c>
      <c r="BK371" s="1109">
        <f t="shared" si="78"/>
        <v>5.4599587500000011</v>
      </c>
      <c r="BL371" s="1109">
        <f t="shared" si="78"/>
        <v>5.4599587500000011</v>
      </c>
    </row>
    <row r="372" spans="2:64" hidden="1" outlineLevel="1">
      <c r="B372" s="1094"/>
      <c r="C372" s="1071" t="str">
        <f t="shared" ref="C372:F372" si="79">C69</f>
        <v>S025 MICROSOFT SQL SERVER - HQ</v>
      </c>
      <c r="D372" s="1071" t="str">
        <f t="shared" si="79"/>
        <v>IT Network</v>
      </c>
      <c r="E372" s="1071" t="str">
        <f t="shared" si="79"/>
        <v>S0250002</v>
      </c>
      <c r="F372" s="1125">
        <f t="shared" si="79"/>
        <v>2020</v>
      </c>
      <c r="H372" s="1071" t="s">
        <v>29</v>
      </c>
      <c r="J372" s="1125"/>
      <c r="BB372" s="1108"/>
      <c r="BC372" s="1109"/>
      <c r="BD372" s="1109"/>
      <c r="BE372" s="1109"/>
      <c r="BF372" s="1585"/>
      <c r="BG372" s="1109"/>
      <c r="BH372" s="1109">
        <f t="shared" ref="BH372:BL372" si="80">IF($L69=0,0,(($BH69*O69)+($BI69*U69)+($BJ69*AA69)+($BK69*AG69)+($BL69*AM69))/$L69)</f>
        <v>3.2859499999999997</v>
      </c>
      <c r="BI372" s="1109">
        <f t="shared" si="80"/>
        <v>7.6730886486486476</v>
      </c>
      <c r="BJ372" s="1109">
        <f t="shared" si="80"/>
        <v>7.6730886486486476</v>
      </c>
      <c r="BK372" s="1109">
        <f t="shared" si="80"/>
        <v>5.0265627027027033</v>
      </c>
      <c r="BL372" s="1109">
        <f t="shared" si="80"/>
        <v>0</v>
      </c>
    </row>
    <row r="373" spans="2:64" hidden="1" outlineLevel="1">
      <c r="B373" s="1094"/>
      <c r="C373" s="1071" t="str">
        <f t="shared" ref="C373:F373" si="81">C70</f>
        <v>S025 DATACENTRE LICENSES - HQ</v>
      </c>
      <c r="D373" s="1071" t="str">
        <f t="shared" si="81"/>
        <v>IT Network</v>
      </c>
      <c r="E373" s="1071" t="str">
        <f t="shared" si="81"/>
        <v>S0250004</v>
      </c>
      <c r="F373" s="1125">
        <f t="shared" si="81"/>
        <v>2020</v>
      </c>
      <c r="H373" s="1071" t="s">
        <v>29</v>
      </c>
      <c r="J373" s="1125"/>
      <c r="BB373" s="1108"/>
      <c r="BC373" s="1109"/>
      <c r="BD373" s="1109"/>
      <c r="BE373" s="1109"/>
      <c r="BF373" s="1585"/>
      <c r="BG373" s="1109"/>
      <c r="BH373" s="1109">
        <f t="shared" ref="BH373:BL373" si="82">IF($L70=0,0,(($BH70*O70)+($BI70*U70)+($BJ70*AA70)+($BK70*AG70)+($BL70*AM70))/$L70)</f>
        <v>2.2068099999999995</v>
      </c>
      <c r="BI373" s="1109">
        <f t="shared" si="82"/>
        <v>6.6204566666666658</v>
      </c>
      <c r="BJ373" s="1109">
        <f t="shared" si="82"/>
        <v>6.6204566666666658</v>
      </c>
      <c r="BK373" s="1109">
        <f t="shared" si="82"/>
        <v>4.4136466666666658</v>
      </c>
      <c r="BL373" s="1109">
        <f t="shared" si="82"/>
        <v>0</v>
      </c>
    </row>
    <row r="374" spans="2:64" hidden="1" outlineLevel="1">
      <c r="B374" s="1094"/>
      <c r="C374" s="1071" t="str">
        <f t="shared" ref="C374:F374" si="83">C71</f>
        <v>S025 SUPPORT VMWARE VS 7 - HQ</v>
      </c>
      <c r="D374" s="1071" t="str">
        <f t="shared" si="83"/>
        <v>IT Network</v>
      </c>
      <c r="E374" s="1071" t="str">
        <f t="shared" si="83"/>
        <v>S0250006</v>
      </c>
      <c r="F374" s="1125">
        <f t="shared" si="83"/>
        <v>2020</v>
      </c>
      <c r="H374" s="1071" t="s">
        <v>29</v>
      </c>
      <c r="J374" s="1125"/>
      <c r="BB374" s="1108"/>
      <c r="BC374" s="1109"/>
      <c r="BD374" s="1109"/>
      <c r="BE374" s="1109"/>
      <c r="BF374" s="1585"/>
      <c r="BG374" s="1109"/>
      <c r="BH374" s="1109">
        <f t="shared" ref="BH374:BL374" si="84">IF($L71=0,0,(($BH71*O71)+($BI71*U71)+($BJ71*AA71)+($BK71*AG71)+($BL71*AM71))/$L71)</f>
        <v>0.188</v>
      </c>
      <c r="BI374" s="1109">
        <f t="shared" si="84"/>
        <v>2.1949686486486484</v>
      </c>
      <c r="BJ374" s="1109">
        <f t="shared" si="84"/>
        <v>2.1949686486486484</v>
      </c>
      <c r="BK374" s="1109">
        <f t="shared" si="84"/>
        <v>2.1898827027027026</v>
      </c>
      <c r="BL374" s="1109">
        <f t="shared" si="84"/>
        <v>0</v>
      </c>
    </row>
    <row r="375" spans="2:64" hidden="1" outlineLevel="1">
      <c r="B375" s="1094"/>
      <c r="C375" s="1071" t="str">
        <f t="shared" ref="C375:F375" si="85">C72</f>
        <v>S025 MICROSOFT SQL SERVER -BCY</v>
      </c>
      <c r="D375" s="1071" t="str">
        <f t="shared" si="85"/>
        <v>IT Network</v>
      </c>
      <c r="E375" s="1071" t="str">
        <f t="shared" si="85"/>
        <v>S0250003</v>
      </c>
      <c r="F375" s="1125">
        <f t="shared" si="85"/>
        <v>2020</v>
      </c>
      <c r="H375" s="1071" t="s">
        <v>29</v>
      </c>
      <c r="J375" s="1125"/>
      <c r="BB375" s="1108"/>
      <c r="BC375" s="1109"/>
      <c r="BD375" s="1109"/>
      <c r="BE375" s="1109"/>
      <c r="BF375" s="1585"/>
      <c r="BG375" s="1109"/>
      <c r="BH375" s="1109">
        <f t="shared" ref="BH375:BL375" si="86">IF($L72=0,0,(($BH72*O72)+($BI72*U72)+($BJ72*AA72)+($BK72*AG72)+($BL72*AM72))/$L72)</f>
        <v>6.3711000000000011</v>
      </c>
      <c r="BI375" s="1109">
        <f t="shared" si="86"/>
        <v>14.877411891891892</v>
      </c>
      <c r="BJ375" s="1109">
        <f t="shared" si="86"/>
        <v>14.877411891891892</v>
      </c>
      <c r="BK375" s="1109">
        <f t="shared" si="86"/>
        <v>9.7460962162162161</v>
      </c>
      <c r="BL375" s="1109">
        <f t="shared" si="86"/>
        <v>0</v>
      </c>
    </row>
    <row r="376" spans="2:64" hidden="1" outlineLevel="1">
      <c r="B376" s="1094"/>
      <c r="C376" s="1071" t="str">
        <f t="shared" ref="C376:F376" si="87">C73</f>
        <v>S025 DATACENTRE LICENSES - BCY</v>
      </c>
      <c r="D376" s="1071" t="str">
        <f t="shared" si="87"/>
        <v>IT Network</v>
      </c>
      <c r="E376" s="1071" t="str">
        <f t="shared" si="87"/>
        <v>S0250005</v>
      </c>
      <c r="F376" s="1125">
        <f t="shared" si="87"/>
        <v>2020</v>
      </c>
      <c r="H376" s="1071" t="s">
        <v>29</v>
      </c>
      <c r="J376" s="1125"/>
      <c r="BB376" s="1108"/>
      <c r="BC376" s="1109"/>
      <c r="BD376" s="1109"/>
      <c r="BE376" s="1109"/>
      <c r="BF376" s="1585"/>
      <c r="BG376" s="1109"/>
      <c r="BH376" s="1109">
        <f t="shared" ref="BH376:BL376" si="88">IF($L73=0,0,(($BH73*O73)+($BI73*U73)+($BJ73*AA73)+($BK73*AG73)+($BL73*AM73))/$L73)</f>
        <v>4.2788100000000009</v>
      </c>
      <c r="BI376" s="1109">
        <f t="shared" si="88"/>
        <v>12.836456666666669</v>
      </c>
      <c r="BJ376" s="1109">
        <f t="shared" si="88"/>
        <v>12.836456666666669</v>
      </c>
      <c r="BK376" s="1109">
        <f t="shared" si="88"/>
        <v>8.5576466666666668</v>
      </c>
      <c r="BL376" s="1109">
        <f t="shared" si="88"/>
        <v>0</v>
      </c>
    </row>
    <row r="377" spans="2:64" hidden="1" outlineLevel="1">
      <c r="B377" s="1094"/>
      <c r="C377" s="1071" t="str">
        <f t="shared" ref="C377:F377" si="89">C74</f>
        <v>S025 SUPPORT VMWARE VS 7 - BCY</v>
      </c>
      <c r="D377" s="1071" t="str">
        <f t="shared" si="89"/>
        <v>IT Network</v>
      </c>
      <c r="E377" s="1071" t="str">
        <f t="shared" si="89"/>
        <v>S0250007</v>
      </c>
      <c r="F377" s="1125">
        <f t="shared" si="89"/>
        <v>2020</v>
      </c>
      <c r="H377" s="1071" t="s">
        <v>29</v>
      </c>
      <c r="J377" s="1125"/>
      <c r="BB377" s="1108"/>
      <c r="BC377" s="1109"/>
      <c r="BD377" s="1109"/>
      <c r="BE377" s="1109"/>
      <c r="BF377" s="1585"/>
      <c r="BG377" s="1109"/>
      <c r="BH377" s="1109">
        <f t="shared" ref="BH377:BL377" si="90">IF($L74=0,0,(($BH74*O74)+($BI74*U74)+($BJ74*AA74)+($BK74*AG74)+($BL74*AM74))/$L74)</f>
        <v>0.36451</v>
      </c>
      <c r="BI377" s="1109">
        <f t="shared" si="90"/>
        <v>4.2558421621621623</v>
      </c>
      <c r="BJ377" s="1109">
        <f t="shared" si="90"/>
        <v>4.2558421621621623</v>
      </c>
      <c r="BK377" s="1109">
        <f t="shared" si="90"/>
        <v>4.2459856756756755</v>
      </c>
      <c r="BL377" s="1109">
        <f t="shared" si="90"/>
        <v>0</v>
      </c>
    </row>
    <row r="378" spans="2:64" hidden="1" outlineLevel="1">
      <c r="B378" s="1094"/>
      <c r="C378" s="1071" t="str">
        <f t="shared" ref="C378:F378" si="91">C75</f>
        <v>S024 - AGILE HPE ARUBA BCY</v>
      </c>
      <c r="D378" s="1071" t="str">
        <f t="shared" si="91"/>
        <v>AGILE HPE ARUBA</v>
      </c>
      <c r="E378" s="1071" t="str">
        <f t="shared" si="91"/>
        <v>S0240005</v>
      </c>
      <c r="F378" s="1125">
        <f t="shared" si="91"/>
        <v>2020</v>
      </c>
      <c r="H378" s="1071" t="s">
        <v>29</v>
      </c>
      <c r="J378" s="1125"/>
      <c r="BB378" s="1108"/>
      <c r="BC378" s="1109"/>
      <c r="BD378" s="1109"/>
      <c r="BE378" s="1109"/>
      <c r="BF378" s="1585"/>
      <c r="BG378" s="1109"/>
      <c r="BH378" s="1109">
        <f t="shared" ref="BH378:BL378" si="92">IF($L75=0,0,(($BH75*O75)+($BI75*U75)+($BJ75*AA75)+($BK75*AG75)+($BL75*AM75))/$L75)</f>
        <v>3.6213799999999998</v>
      </c>
      <c r="BI378" s="1109">
        <f t="shared" si="92"/>
        <v>6.2081166666666663</v>
      </c>
      <c r="BJ378" s="1109">
        <f t="shared" si="92"/>
        <v>6.2081166666666663</v>
      </c>
      <c r="BK378" s="1109">
        <f t="shared" si="92"/>
        <v>2.5867366666666656</v>
      </c>
      <c r="BL378" s="1109">
        <f t="shared" si="92"/>
        <v>0</v>
      </c>
    </row>
    <row r="379" spans="2:64" hidden="1" outlineLevel="1">
      <c r="B379" s="1094"/>
      <c r="C379" s="1071" t="str">
        <f t="shared" ref="C379:F379" si="93">C76</f>
        <v>S024 - AGILE HPE ARUBA DAP</v>
      </c>
      <c r="D379" s="1071" t="str">
        <f t="shared" si="93"/>
        <v>AGILE HPE ARUBA</v>
      </c>
      <c r="E379" s="1071" t="str">
        <f t="shared" si="93"/>
        <v>S0240009</v>
      </c>
      <c r="F379" s="1125">
        <f t="shared" si="93"/>
        <v>2020</v>
      </c>
      <c r="H379" s="1071" t="s">
        <v>29</v>
      </c>
      <c r="J379" s="1125"/>
      <c r="BB379" s="1108"/>
      <c r="BC379" s="1109"/>
      <c r="BD379" s="1109"/>
      <c r="BE379" s="1109"/>
      <c r="BF379" s="1585"/>
      <c r="BG379" s="1109"/>
      <c r="BH379" s="1109">
        <f t="shared" ref="BH379:BL379" si="94">IF($L76=0,0,(($BH76*O76)+($BI76*U76)+($BJ76*AA76)+($BK76*AG76)+($BL76*AM76))/$L76)</f>
        <v>4.4734900000000009</v>
      </c>
      <c r="BI379" s="1109">
        <f t="shared" si="94"/>
        <v>7.6688499999999999</v>
      </c>
      <c r="BJ379" s="1109">
        <f t="shared" si="94"/>
        <v>7.6688499999999999</v>
      </c>
      <c r="BK379" s="1109">
        <f t="shared" si="94"/>
        <v>3.19536</v>
      </c>
      <c r="BL379" s="1109">
        <f t="shared" si="94"/>
        <v>0</v>
      </c>
    </row>
    <row r="380" spans="2:64" hidden="1" outlineLevel="1">
      <c r="B380" s="1094"/>
      <c r="C380" s="1071" t="str">
        <f t="shared" ref="C380:F380" si="95">C77</f>
        <v>S024 - AGILE HPE ARUBA HQ</v>
      </c>
      <c r="D380" s="1071" t="str">
        <f t="shared" si="95"/>
        <v>AGILE HPE ARUBA</v>
      </c>
      <c r="E380" s="1071" t="str">
        <f t="shared" si="95"/>
        <v>S0240008</v>
      </c>
      <c r="F380" s="1125">
        <f t="shared" si="95"/>
        <v>2020</v>
      </c>
      <c r="H380" s="1071" t="s">
        <v>29</v>
      </c>
      <c r="J380" s="1125"/>
      <c r="BB380" s="1108"/>
      <c r="BC380" s="1109"/>
      <c r="BD380" s="1109"/>
      <c r="BE380" s="1109"/>
      <c r="BF380" s="1585"/>
      <c r="BG380" s="1109"/>
      <c r="BH380" s="1109">
        <f t="shared" ref="BH380:BL380" si="96">IF($L77=0,0,(($BH77*O77)+($BI77*U77)+($BJ77*AA77)+($BK77*AG77)+($BL77*AM77))/$L77)</f>
        <v>4.1068299999999995</v>
      </c>
      <c r="BI380" s="1109">
        <f t="shared" si="96"/>
        <v>7.040306666666666</v>
      </c>
      <c r="BJ380" s="1109">
        <f t="shared" si="96"/>
        <v>7.040306666666666</v>
      </c>
      <c r="BK380" s="1109">
        <f t="shared" si="96"/>
        <v>2.9334766666666656</v>
      </c>
      <c r="BL380" s="1109">
        <f t="shared" si="96"/>
        <v>0</v>
      </c>
    </row>
    <row r="381" spans="2:64" hidden="1" outlineLevel="1">
      <c r="B381" s="1094"/>
      <c r="C381" s="1071" t="str">
        <f t="shared" ref="C381:F381" si="97">C78</f>
        <v>S024 - AGILE HPE ARUBA SHN</v>
      </c>
      <c r="D381" s="1071" t="str">
        <f t="shared" si="97"/>
        <v>AGILE HPE ARUBA</v>
      </c>
      <c r="E381" s="1071" t="str">
        <f t="shared" si="97"/>
        <v>S0240006</v>
      </c>
      <c r="F381" s="1125">
        <f t="shared" si="97"/>
        <v>2020</v>
      </c>
      <c r="H381" s="1071" t="s">
        <v>29</v>
      </c>
      <c r="J381" s="1125"/>
      <c r="BB381" s="1108"/>
      <c r="BC381" s="1109"/>
      <c r="BD381" s="1109"/>
      <c r="BE381" s="1109"/>
      <c r="BF381" s="1585"/>
      <c r="BG381" s="1109"/>
      <c r="BH381" s="1109">
        <f t="shared" ref="BH381:BL381" si="98">IF($L78=0,0,(($BH78*O78)+($BI78*U78)+($BJ78*AA78)+($BK78*AG78)+($BL78*AM78))/$L78)</f>
        <v>0.78105999999999975</v>
      </c>
      <c r="BI381" s="1109">
        <f t="shared" si="98"/>
        <v>1.3390066666666667</v>
      </c>
      <c r="BJ381" s="1109">
        <f t="shared" si="98"/>
        <v>1.3390066666666667</v>
      </c>
      <c r="BK381" s="1109">
        <f t="shared" si="98"/>
        <v>0.55794666666666659</v>
      </c>
      <c r="BL381" s="1109">
        <f t="shared" si="98"/>
        <v>0</v>
      </c>
    </row>
    <row r="382" spans="2:64" hidden="1" outlineLevel="1">
      <c r="B382" s="1094"/>
      <c r="C382" s="1071" t="str">
        <f t="shared" ref="C382:F382" si="99">C79</f>
        <v>S024 - AGILE HPE ARUBA Cork</v>
      </c>
      <c r="D382" s="1071" t="str">
        <f t="shared" si="99"/>
        <v>AGILE HPE ARUBA</v>
      </c>
      <c r="E382" s="1071" t="str">
        <f t="shared" si="99"/>
        <v>S0240010</v>
      </c>
      <c r="F382" s="1125">
        <f t="shared" si="99"/>
        <v>2020</v>
      </c>
      <c r="H382" s="1071" t="s">
        <v>29</v>
      </c>
      <c r="J382" s="1125"/>
      <c r="BB382" s="1108"/>
      <c r="BC382" s="1109"/>
      <c r="BD382" s="1109"/>
      <c r="BE382" s="1109"/>
      <c r="BF382" s="1585"/>
      <c r="BG382" s="1109"/>
      <c r="BH382" s="1109">
        <f t="shared" ref="BH382:BL382" si="100">IF($L79=0,0,(($BH79*O79)+($BI79*U79)+($BJ79*AA79)+($BK79*AG79)+($BL79*AM79))/$L79)</f>
        <v>0.78105999999999975</v>
      </c>
      <c r="BI382" s="1109">
        <f t="shared" si="100"/>
        <v>1.3390066666666667</v>
      </c>
      <c r="BJ382" s="1109">
        <f t="shared" si="100"/>
        <v>1.3390066666666667</v>
      </c>
      <c r="BK382" s="1109">
        <f t="shared" si="100"/>
        <v>0.55794666666666659</v>
      </c>
      <c r="BL382" s="1109">
        <f t="shared" si="100"/>
        <v>0</v>
      </c>
    </row>
    <row r="383" spans="2:64" hidden="1" outlineLevel="1">
      <c r="B383" s="1094"/>
      <c r="C383" s="1071" t="str">
        <f t="shared" ref="C383:F383" si="101">C80</f>
        <v>N008 - RAPS-SMD SENSOR MONITOR &amp; Analysis</v>
      </c>
      <c r="D383" s="1071" t="str">
        <f t="shared" si="101"/>
        <v>RAPS-SMD SENSOR MONITOR &amp; Analysis</v>
      </c>
      <c r="E383" s="1071" t="str">
        <f t="shared" si="101"/>
        <v>N0080007</v>
      </c>
      <c r="F383" s="1125">
        <f t="shared" si="101"/>
        <v>2020</v>
      </c>
      <c r="H383" s="1071" t="s">
        <v>29</v>
      </c>
      <c r="J383" s="1125"/>
      <c r="BB383" s="1108"/>
      <c r="BC383" s="1109"/>
      <c r="BD383" s="1109"/>
      <c r="BE383" s="1109"/>
      <c r="BF383" s="1585"/>
      <c r="BG383" s="1109"/>
      <c r="BH383" s="1109">
        <f t="shared" ref="BH383:BL383" si="102">IF($L80=0,0,(($BH80*O80)+($BI80*U80)+($BJ80*AA80)+($BK80*AG80)+($BL80*AM80))/$L80)</f>
        <v>8.5333600000000001</v>
      </c>
      <c r="BI383" s="1109">
        <f t="shared" si="102"/>
        <v>12.8</v>
      </c>
      <c r="BJ383" s="1109">
        <f t="shared" si="102"/>
        <v>12.8</v>
      </c>
      <c r="BK383" s="1109">
        <f t="shared" si="102"/>
        <v>12.8</v>
      </c>
      <c r="BL383" s="1109">
        <f t="shared" si="102"/>
        <v>12.8</v>
      </c>
    </row>
    <row r="384" spans="2:64" hidden="1" outlineLevel="1">
      <c r="B384" s="1094"/>
      <c r="C384" s="1071" t="str">
        <f t="shared" ref="C384:F384" si="103">C81</f>
        <v>T017 - OPTIPLEX5060 W20007783</v>
      </c>
      <c r="D384" s="1071" t="str">
        <f t="shared" si="103"/>
        <v>IT Equipment</v>
      </c>
      <c r="E384" s="1071" t="str">
        <f t="shared" si="103"/>
        <v>T0170203</v>
      </c>
      <c r="F384" s="1125">
        <f t="shared" si="103"/>
        <v>2020</v>
      </c>
      <c r="H384" s="1071" t="s">
        <v>29</v>
      </c>
      <c r="J384" s="1125"/>
      <c r="BB384" s="1108"/>
      <c r="BC384" s="1109"/>
      <c r="BD384" s="1109"/>
      <c r="BE384" s="1109"/>
      <c r="BF384" s="1585"/>
      <c r="BG384" s="1109"/>
      <c r="BH384" s="1109">
        <f t="shared" ref="BH384:BL384" si="104">IF($L81=0,0,(($BH81*O81)+($BI81*U81)+($BJ81*AA81)+($BK81*AG81)+($BL81*AM81))/$L81)</f>
        <v>0.11668999999999999</v>
      </c>
      <c r="BI384" s="1109">
        <f t="shared" si="104"/>
        <v>0.19999999999999998</v>
      </c>
      <c r="BJ384" s="1109">
        <f t="shared" si="104"/>
        <v>0.19999999999999998</v>
      </c>
      <c r="BK384" s="1109">
        <f t="shared" si="104"/>
        <v>8.3309999999999995E-2</v>
      </c>
      <c r="BL384" s="1109">
        <f t="shared" si="104"/>
        <v>0</v>
      </c>
    </row>
    <row r="385" spans="2:64" hidden="1" outlineLevel="1">
      <c r="B385" s="1094"/>
      <c r="C385" s="1071" t="str">
        <f t="shared" ref="C385:F385" si="105">C82</f>
        <v>T017 - OPTIPLEX5060 W20007913</v>
      </c>
      <c r="D385" s="1071" t="str">
        <f t="shared" si="105"/>
        <v>IT Equipment</v>
      </c>
      <c r="E385" s="1071" t="str">
        <f t="shared" si="105"/>
        <v>T0170211</v>
      </c>
      <c r="F385" s="1125">
        <f t="shared" si="105"/>
        <v>2020</v>
      </c>
      <c r="H385" s="1071" t="s">
        <v>29</v>
      </c>
      <c r="J385" s="1125"/>
      <c r="BB385" s="1108"/>
      <c r="BC385" s="1109"/>
      <c r="BD385" s="1109"/>
      <c r="BE385" s="1109"/>
      <c r="BF385" s="1585"/>
      <c r="BG385" s="1109"/>
      <c r="BH385" s="1109">
        <f t="shared" ref="BH385:BL385" si="106">IF($L82=0,0,(($BH82*O82)+($BI82*U82)+($BJ82*AA82)+($BK82*AG82)+($BL82*AM82))/$L82)</f>
        <v>0.11668999999999999</v>
      </c>
      <c r="BI385" s="1109">
        <f t="shared" si="106"/>
        <v>0.19999999999999998</v>
      </c>
      <c r="BJ385" s="1109">
        <f t="shared" si="106"/>
        <v>0.19999999999999998</v>
      </c>
      <c r="BK385" s="1109">
        <f t="shared" si="106"/>
        <v>8.3309999999999995E-2</v>
      </c>
      <c r="BL385" s="1109">
        <f t="shared" si="106"/>
        <v>0</v>
      </c>
    </row>
    <row r="386" spans="2:64" hidden="1" outlineLevel="1">
      <c r="B386" s="1094"/>
      <c r="C386" s="1071" t="str">
        <f t="shared" ref="C386:F386" si="107">C83</f>
        <v>T017 - TOSHIBA X20 W20008068</v>
      </c>
      <c r="D386" s="1071" t="str">
        <f t="shared" si="107"/>
        <v>IT Equipment</v>
      </c>
      <c r="E386" s="1071" t="str">
        <f t="shared" si="107"/>
        <v>T0170213</v>
      </c>
      <c r="F386" s="1125">
        <f t="shared" si="107"/>
        <v>2020</v>
      </c>
      <c r="H386" s="1071" t="s">
        <v>29</v>
      </c>
      <c r="J386" s="1125"/>
      <c r="BB386" s="1108"/>
      <c r="BC386" s="1109"/>
      <c r="BD386" s="1109"/>
      <c r="BE386" s="1109"/>
      <c r="BF386" s="1585"/>
      <c r="BG386" s="1109"/>
      <c r="BH386" s="1109">
        <f t="shared" ref="BH386:BL386" si="108">IF($L83=0,0,(($BH83*O83)+($BI83*U83)+($BJ83*AA83)+($BK83*AG83)+($BL83*AM83))/$L83)</f>
        <v>0.17513999999999999</v>
      </c>
      <c r="BI386" s="1109">
        <f t="shared" si="108"/>
        <v>0.29208972972972974</v>
      </c>
      <c r="BJ386" s="1109">
        <f t="shared" si="108"/>
        <v>0.29208972972972974</v>
      </c>
      <c r="BK386" s="1109">
        <f t="shared" si="108"/>
        <v>0.14129054054054055</v>
      </c>
      <c r="BL386" s="1109">
        <f t="shared" si="108"/>
        <v>0</v>
      </c>
    </row>
    <row r="387" spans="2:64" hidden="1" outlineLevel="1">
      <c r="B387" s="1094"/>
      <c r="C387" s="1071" t="str">
        <f t="shared" ref="C387:F387" si="109">C84</f>
        <v>T017 - TOSHIBA X20 W20008012</v>
      </c>
      <c r="D387" s="1071" t="str">
        <f t="shared" si="109"/>
        <v>IT Equipment</v>
      </c>
      <c r="E387" s="1071" t="str">
        <f t="shared" si="109"/>
        <v>T0170235</v>
      </c>
      <c r="F387" s="1125">
        <f t="shared" si="109"/>
        <v>2020</v>
      </c>
      <c r="H387" s="1071" t="s">
        <v>29</v>
      </c>
      <c r="J387" s="1125"/>
      <c r="BB387" s="1108"/>
      <c r="BC387" s="1109"/>
      <c r="BD387" s="1109"/>
      <c r="BE387" s="1109"/>
      <c r="BF387" s="1585"/>
      <c r="BG387" s="1109"/>
      <c r="BH387" s="1109">
        <f t="shared" ref="BH387:BL387" si="110">IF($L84=0,0,(($BH84*O84)+($BI84*U84)+($BJ84*AA84)+($BK84*AG84)+($BL84*AM84))/$L84)</f>
        <v>0.29291000000000006</v>
      </c>
      <c r="BI387" s="1109">
        <f t="shared" si="110"/>
        <v>0.50213666666666668</v>
      </c>
      <c r="BJ387" s="1109">
        <f t="shared" si="110"/>
        <v>0.50213666666666668</v>
      </c>
      <c r="BK387" s="1109">
        <f t="shared" si="110"/>
        <v>0.20922666666666673</v>
      </c>
      <c r="BL387" s="1109">
        <f t="shared" si="110"/>
        <v>0</v>
      </c>
    </row>
    <row r="388" spans="2:64" hidden="1" outlineLevel="1">
      <c r="B388" s="1094"/>
      <c r="C388" s="1071" t="str">
        <f t="shared" ref="C388:F388" si="111">C85</f>
        <v>T017 - HP G7 CORE W20008095</v>
      </c>
      <c r="D388" s="1071" t="str">
        <f t="shared" si="111"/>
        <v>IT Equipment</v>
      </c>
      <c r="E388" s="1071" t="str">
        <f t="shared" si="111"/>
        <v>T0170249</v>
      </c>
      <c r="F388" s="1125">
        <f t="shared" si="111"/>
        <v>2020</v>
      </c>
      <c r="H388" s="1071" t="s">
        <v>29</v>
      </c>
      <c r="J388" s="1125"/>
      <c r="BB388" s="1108"/>
      <c r="BC388" s="1109"/>
      <c r="BD388" s="1109"/>
      <c r="BE388" s="1109"/>
      <c r="BF388" s="1585"/>
      <c r="BG388" s="1109"/>
      <c r="BH388" s="1109">
        <f t="shared" ref="BH388:BL388" si="112">IF($L85=0,0,(($BH85*O85)+($BI85*U85)+($BJ85*AA85)+($BK85*AG85)+($BL85*AM85))/$L85)</f>
        <v>0.13515999999999997</v>
      </c>
      <c r="BI388" s="1109">
        <f t="shared" si="112"/>
        <v>0.23166666666666666</v>
      </c>
      <c r="BJ388" s="1109">
        <f t="shared" si="112"/>
        <v>0.23166666666666666</v>
      </c>
      <c r="BK388" s="1109">
        <f t="shared" si="112"/>
        <v>9.6506666666666685E-2</v>
      </c>
      <c r="BL388" s="1109">
        <f t="shared" si="112"/>
        <v>0</v>
      </c>
    </row>
    <row r="389" spans="2:64" hidden="1" outlineLevel="1">
      <c r="B389" s="1094"/>
      <c r="C389" s="1071" t="str">
        <f t="shared" ref="C389:F389" si="113">C86</f>
        <v>T017 - TOSHIBA W20008013</v>
      </c>
      <c r="D389" s="1071" t="str">
        <f t="shared" si="113"/>
        <v>IT Equipment</v>
      </c>
      <c r="E389" s="1071" t="str">
        <f t="shared" si="113"/>
        <v>T0170258</v>
      </c>
      <c r="F389" s="1125">
        <f t="shared" si="113"/>
        <v>2020</v>
      </c>
      <c r="H389" s="1071" t="s">
        <v>29</v>
      </c>
      <c r="J389" s="1125"/>
      <c r="BB389" s="1108"/>
      <c r="BC389" s="1109"/>
      <c r="BD389" s="1109"/>
      <c r="BE389" s="1109"/>
      <c r="BF389" s="1585"/>
      <c r="BG389" s="1109"/>
      <c r="BH389" s="1109">
        <f t="shared" ref="BH389:BL389" si="114">IF($L86=0,0,(($BH86*O86)+($BI86*U86)+($BJ86*AA86)+($BK86*AG86)+($BL86*AM86))/$L86)</f>
        <v>0.40798000000000001</v>
      </c>
      <c r="BI389" s="1109">
        <f t="shared" si="114"/>
        <v>0.50213666666666668</v>
      </c>
      <c r="BJ389" s="1109">
        <f t="shared" si="114"/>
        <v>0.50213666666666668</v>
      </c>
      <c r="BK389" s="1109">
        <f t="shared" si="114"/>
        <v>9.4156666666666805E-2</v>
      </c>
      <c r="BL389" s="1109">
        <f t="shared" si="114"/>
        <v>0</v>
      </c>
    </row>
    <row r="390" spans="2:64" hidden="1" outlineLevel="1">
      <c r="B390" s="1094"/>
      <c r="C390" s="1071" t="str">
        <f t="shared" ref="C390:F390" si="115">C87</f>
        <v>T017 - TOSHIBA W20008083</v>
      </c>
      <c r="D390" s="1071" t="str">
        <f t="shared" si="115"/>
        <v>IT Equipment</v>
      </c>
      <c r="E390" s="1071" t="str">
        <f t="shared" si="115"/>
        <v>T0170260</v>
      </c>
      <c r="F390" s="1125">
        <f t="shared" si="115"/>
        <v>2020</v>
      </c>
      <c r="H390" s="1071" t="s">
        <v>29</v>
      </c>
      <c r="J390" s="1125"/>
      <c r="BB390" s="1108"/>
      <c r="BC390" s="1109"/>
      <c r="BD390" s="1109"/>
      <c r="BE390" s="1109"/>
      <c r="BF390" s="1585"/>
      <c r="BG390" s="1109"/>
      <c r="BH390" s="1109">
        <f t="shared" ref="BH390:BL390" si="116">IF($L87=0,0,(($BH87*O87)+($BI87*U87)+($BJ87*AA87)+($BK87*AG87)+($BL87*AM87))/$L87)</f>
        <v>0.25019999999999998</v>
      </c>
      <c r="BI390" s="1109">
        <f t="shared" si="116"/>
        <v>0.29208972972972974</v>
      </c>
      <c r="BJ390" s="1109">
        <f t="shared" si="116"/>
        <v>0.29208972972972974</v>
      </c>
      <c r="BK390" s="1109">
        <f t="shared" si="116"/>
        <v>6.6230540540540478E-2</v>
      </c>
      <c r="BL390" s="1109">
        <f t="shared" si="116"/>
        <v>0</v>
      </c>
    </row>
    <row r="391" spans="2:64" hidden="1" outlineLevel="1">
      <c r="B391" s="1094"/>
      <c r="C391" s="1071" t="str">
        <f t="shared" ref="C391:F391" si="117">C88</f>
        <v>T017 - TOSHIBA W20008068</v>
      </c>
      <c r="D391" s="1071" t="str">
        <f t="shared" si="117"/>
        <v>IT Equipment</v>
      </c>
      <c r="E391" s="1071" t="str">
        <f t="shared" si="117"/>
        <v>T0170261</v>
      </c>
      <c r="F391" s="1125">
        <f t="shared" si="117"/>
        <v>2020</v>
      </c>
      <c r="H391" s="1071" t="s">
        <v>29</v>
      </c>
      <c r="J391" s="1125"/>
      <c r="BB391" s="1108"/>
      <c r="BC391" s="1109"/>
      <c r="BD391" s="1109"/>
      <c r="BE391" s="1109"/>
      <c r="BF391" s="1585"/>
      <c r="BG391" s="1109"/>
      <c r="BH391" s="1109">
        <f t="shared" ref="BH391:BL391" si="118">IF($L88=0,0,(($BH88*O88)+($BI88*U88)+($BJ88*AA88)+($BK88*AG88)+($BL88*AM88))/$L88)</f>
        <v>0.11781000000000003</v>
      </c>
      <c r="BI391" s="1109">
        <f t="shared" si="118"/>
        <v>0.20193333333333335</v>
      </c>
      <c r="BJ391" s="1109">
        <f t="shared" si="118"/>
        <v>0.20193333333333335</v>
      </c>
      <c r="BK391" s="1109">
        <f t="shared" si="118"/>
        <v>8.41233333333333E-2</v>
      </c>
      <c r="BL391" s="1109">
        <f t="shared" si="118"/>
        <v>0</v>
      </c>
    </row>
    <row r="392" spans="2:64" hidden="1" outlineLevel="1">
      <c r="B392" s="1094"/>
      <c r="C392" s="1071" t="str">
        <f t="shared" ref="C392:F392" si="119">C89</f>
        <v>T017 - TOSHIBA W20008069</v>
      </c>
      <c r="D392" s="1071" t="str">
        <f t="shared" si="119"/>
        <v>IT Equipment</v>
      </c>
      <c r="E392" s="1071" t="str">
        <f t="shared" si="119"/>
        <v>T0170262</v>
      </c>
      <c r="F392" s="1125">
        <f t="shared" si="119"/>
        <v>2020</v>
      </c>
      <c r="H392" s="1071" t="s">
        <v>29</v>
      </c>
      <c r="J392" s="1125"/>
      <c r="BB392" s="1108"/>
      <c r="BC392" s="1109"/>
      <c r="BD392" s="1109"/>
      <c r="BE392" s="1109"/>
      <c r="BF392" s="1585"/>
      <c r="BG392" s="1109"/>
      <c r="BH392" s="1109">
        <f t="shared" ref="BH392:BL392" si="120">IF($L89=0,0,(($BH89*O89)+($BI89*U89)+($BJ89*AA89)+($BK89*AG89)+($BL89*AM89))/$L89)</f>
        <v>0.11781000000000003</v>
      </c>
      <c r="BI392" s="1109">
        <f t="shared" si="120"/>
        <v>0.20193333333333335</v>
      </c>
      <c r="BJ392" s="1109">
        <f t="shared" si="120"/>
        <v>0.20193333333333335</v>
      </c>
      <c r="BK392" s="1109">
        <f t="shared" si="120"/>
        <v>8.41233333333333E-2</v>
      </c>
      <c r="BL392" s="1109">
        <f t="shared" si="120"/>
        <v>0</v>
      </c>
    </row>
    <row r="393" spans="2:64" hidden="1" outlineLevel="1">
      <c r="B393" s="1094"/>
      <c r="C393" s="1071" t="str">
        <f t="shared" ref="C393:F393" si="121">C90</f>
        <v>T017 - TOSHIBA W20008081</v>
      </c>
      <c r="D393" s="1071" t="str">
        <f t="shared" si="121"/>
        <v>IT Equipment</v>
      </c>
      <c r="E393" s="1071" t="str">
        <f t="shared" si="121"/>
        <v>T0170273</v>
      </c>
      <c r="F393" s="1125">
        <f t="shared" si="121"/>
        <v>2020</v>
      </c>
      <c r="H393" s="1071" t="s">
        <v>29</v>
      </c>
      <c r="J393" s="1125"/>
      <c r="BB393" s="1108"/>
      <c r="BC393" s="1109"/>
      <c r="BD393" s="1109"/>
      <c r="BE393" s="1109"/>
      <c r="BF393" s="1585"/>
      <c r="BG393" s="1109"/>
      <c r="BH393" s="1109">
        <f t="shared" ref="BH393:BL393" si="122">IF($L90=0,0,(($BH90*O90)+($BI90*U90)+($BJ90*AA90)+($BK90*AG90)+($BL90*AM90))/$L90)</f>
        <v>0.11781000000000003</v>
      </c>
      <c r="BI393" s="1109">
        <f t="shared" si="122"/>
        <v>0.20193333333333335</v>
      </c>
      <c r="BJ393" s="1109">
        <f t="shared" si="122"/>
        <v>0.20193333333333335</v>
      </c>
      <c r="BK393" s="1109">
        <f t="shared" si="122"/>
        <v>8.41233333333333E-2</v>
      </c>
      <c r="BL393" s="1109">
        <f t="shared" si="122"/>
        <v>0</v>
      </c>
    </row>
    <row r="394" spans="2:64" hidden="1" outlineLevel="1">
      <c r="B394" s="1094"/>
      <c r="C394" s="1071" t="str">
        <f t="shared" ref="C394:F394" si="123">C91</f>
        <v>T017 - TOSHIBA W20008077</v>
      </c>
      <c r="D394" s="1071" t="str">
        <f t="shared" si="123"/>
        <v>IT Equipment</v>
      </c>
      <c r="E394" s="1071" t="str">
        <f t="shared" si="123"/>
        <v>T0170291</v>
      </c>
      <c r="F394" s="1125">
        <f t="shared" si="123"/>
        <v>2020</v>
      </c>
      <c r="H394" s="1071" t="s">
        <v>29</v>
      </c>
      <c r="J394" s="1125"/>
      <c r="BB394" s="1108"/>
      <c r="BC394" s="1109"/>
      <c r="BD394" s="1109"/>
      <c r="BE394" s="1109"/>
      <c r="BF394" s="1585"/>
      <c r="BG394" s="1109"/>
      <c r="BH394" s="1109">
        <f t="shared" ref="BH394:BL394" si="124">IF($L91=0,0,(($BH91*O91)+($BI91*U91)+($BJ91*AA91)+($BK91*AG91)+($BL91*AM91))/$L91)</f>
        <v>0</v>
      </c>
      <c r="BI394" s="1109">
        <f t="shared" si="124"/>
        <v>0.29208972972972974</v>
      </c>
      <c r="BJ394" s="1109">
        <f t="shared" si="124"/>
        <v>0.29208972972972974</v>
      </c>
      <c r="BK394" s="1109">
        <f t="shared" si="124"/>
        <v>0.29208972972972974</v>
      </c>
      <c r="BL394" s="1109">
        <f t="shared" si="124"/>
        <v>2.4340810810810812E-2</v>
      </c>
    </row>
    <row r="395" spans="2:64" hidden="1" outlineLevel="1">
      <c r="B395" s="1094"/>
      <c r="C395" s="1071" t="str">
        <f t="shared" ref="C395:F395" si="125">C92</f>
        <v>T017 - W20008077</v>
      </c>
      <c r="D395" s="1071" t="str">
        <f t="shared" si="125"/>
        <v>IT Equipment</v>
      </c>
      <c r="E395" s="1071" t="str">
        <f t="shared" si="125"/>
        <v>T0170292</v>
      </c>
      <c r="F395" s="1125">
        <f t="shared" si="125"/>
        <v>2020</v>
      </c>
      <c r="H395" s="1071" t="s">
        <v>29</v>
      </c>
      <c r="J395" s="1125"/>
      <c r="BB395" s="1108"/>
      <c r="BC395" s="1109"/>
      <c r="BD395" s="1109"/>
      <c r="BE395" s="1109"/>
      <c r="BF395" s="1585"/>
      <c r="BG395" s="1109"/>
      <c r="BH395" s="1109">
        <f t="shared" ref="BH395:BL395" si="126">IF($L92=0,0,(($BH92*O92)+($BI92*U92)+($BJ92*AA92)+($BK92*AG92)+($BL92*AM92))/$L92)</f>
        <v>0.11781000000000003</v>
      </c>
      <c r="BI395" s="1109">
        <f t="shared" si="126"/>
        <v>0.20193333333333335</v>
      </c>
      <c r="BJ395" s="1109">
        <f t="shared" si="126"/>
        <v>0.20193333333333335</v>
      </c>
      <c r="BK395" s="1109">
        <f t="shared" si="126"/>
        <v>8.41233333333333E-2</v>
      </c>
      <c r="BL395" s="1109">
        <f t="shared" si="126"/>
        <v>0</v>
      </c>
    </row>
    <row r="396" spans="2:64" hidden="1" outlineLevel="1">
      <c r="B396" s="1094"/>
      <c r="C396" s="1071" t="str">
        <f t="shared" ref="C396:F396" si="127">C93</f>
        <v>T017 - TOSHIBA W20008083</v>
      </c>
      <c r="D396" s="1071" t="str">
        <f t="shared" si="127"/>
        <v>IT Equipment</v>
      </c>
      <c r="E396" s="1071" t="str">
        <f t="shared" si="127"/>
        <v>T0170294</v>
      </c>
      <c r="F396" s="1125">
        <f t="shared" si="127"/>
        <v>2020</v>
      </c>
      <c r="H396" s="1071" t="s">
        <v>29</v>
      </c>
      <c r="J396" s="1125"/>
      <c r="BB396" s="1108"/>
      <c r="BC396" s="1109"/>
      <c r="BD396" s="1109"/>
      <c r="BE396" s="1109"/>
      <c r="BF396" s="1585"/>
      <c r="BG396" s="1109"/>
      <c r="BH396" s="1109">
        <f t="shared" ref="BH396:BL396" si="128">IF($L93=0,0,(($BH93*O93)+($BI93*U93)+($BJ93*AA93)+($BK93*AG93)+($BL93*AM93))/$L93)</f>
        <v>0.11781000000000003</v>
      </c>
      <c r="BI396" s="1109">
        <f t="shared" si="128"/>
        <v>0.20193333333333335</v>
      </c>
      <c r="BJ396" s="1109">
        <f t="shared" si="128"/>
        <v>0.20193333333333335</v>
      </c>
      <c r="BK396" s="1109">
        <f t="shared" si="128"/>
        <v>8.41233333333333E-2</v>
      </c>
      <c r="BL396" s="1109">
        <f t="shared" si="128"/>
        <v>0</v>
      </c>
    </row>
    <row r="397" spans="2:64" hidden="1" outlineLevel="1">
      <c r="B397" s="1094"/>
      <c r="C397" s="1071" t="str">
        <f t="shared" ref="C397:F397" si="129">C94</f>
        <v>T017 - OPTIPLEX5060 W20007867</v>
      </c>
      <c r="D397" s="1071" t="str">
        <f t="shared" si="129"/>
        <v>IT Equipment</v>
      </c>
      <c r="E397" s="1071" t="str">
        <f t="shared" si="129"/>
        <v>T0170205</v>
      </c>
      <c r="F397" s="1125">
        <f t="shared" si="129"/>
        <v>2020</v>
      </c>
      <c r="H397" s="1071" t="s">
        <v>29</v>
      </c>
      <c r="J397" s="1125"/>
      <c r="BB397" s="1108"/>
      <c r="BC397" s="1109"/>
      <c r="BD397" s="1109"/>
      <c r="BE397" s="1109"/>
      <c r="BF397" s="1585"/>
      <c r="BG397" s="1109"/>
      <c r="BH397" s="1109">
        <f t="shared" ref="BH397:BL397" si="130">IF($L94=0,0,(($BH94*O94)+($BI94*U94)+($BJ94*AA94)+($BK94*AG94)+($BL94*AM94))/$L94)</f>
        <v>0.11668999999999999</v>
      </c>
      <c r="BI397" s="1109">
        <f t="shared" si="130"/>
        <v>0.19999999999999998</v>
      </c>
      <c r="BJ397" s="1109">
        <f t="shared" si="130"/>
        <v>0.19999999999999998</v>
      </c>
      <c r="BK397" s="1109">
        <f t="shared" si="130"/>
        <v>8.3309999999999995E-2</v>
      </c>
      <c r="BL397" s="1109">
        <f t="shared" si="130"/>
        <v>0</v>
      </c>
    </row>
    <row r="398" spans="2:64" hidden="1" outlineLevel="1">
      <c r="B398" s="1094"/>
      <c r="C398" s="1071" t="str">
        <f t="shared" ref="C398:F398" si="131">C95</f>
        <v>T017 - OPTIPLEX5060 W20007900</v>
      </c>
      <c r="D398" s="1071" t="str">
        <f t="shared" si="131"/>
        <v>IT Equipment</v>
      </c>
      <c r="E398" s="1071" t="str">
        <f t="shared" si="131"/>
        <v>T0170206</v>
      </c>
      <c r="F398" s="1125">
        <f t="shared" si="131"/>
        <v>2020</v>
      </c>
      <c r="H398" s="1071" t="s">
        <v>29</v>
      </c>
      <c r="J398" s="1125"/>
      <c r="BB398" s="1108"/>
      <c r="BC398" s="1109"/>
      <c r="BD398" s="1109"/>
      <c r="BE398" s="1109"/>
      <c r="BF398" s="1585"/>
      <c r="BG398" s="1109"/>
      <c r="BH398" s="1109">
        <f t="shared" ref="BH398:BL398" si="132">IF($L95=0,0,(($BH95*O95)+($BI95*U95)+($BJ95*AA95)+($BK95*AG95)+($BL95*AM95))/$L95)</f>
        <v>0.11668999999999999</v>
      </c>
      <c r="BI398" s="1109">
        <f t="shared" si="132"/>
        <v>0.19999999999999998</v>
      </c>
      <c r="BJ398" s="1109">
        <f t="shared" si="132"/>
        <v>0.19999999999999998</v>
      </c>
      <c r="BK398" s="1109">
        <f t="shared" si="132"/>
        <v>8.3309999999999995E-2</v>
      </c>
      <c r="BL398" s="1109">
        <f t="shared" si="132"/>
        <v>0</v>
      </c>
    </row>
    <row r="399" spans="2:64" hidden="1" outlineLevel="1">
      <c r="B399" s="1094"/>
      <c r="C399" s="1071" t="str">
        <f t="shared" ref="C399:F399" si="133">C96</f>
        <v>T017 - OPTIPLEX5060 W20007906</v>
      </c>
      <c r="D399" s="1071" t="str">
        <f t="shared" si="133"/>
        <v>IT Equipment</v>
      </c>
      <c r="E399" s="1071" t="str">
        <f t="shared" si="133"/>
        <v>T0170209</v>
      </c>
      <c r="F399" s="1125">
        <f t="shared" si="133"/>
        <v>2020</v>
      </c>
      <c r="H399" s="1071" t="s">
        <v>29</v>
      </c>
      <c r="J399" s="1125"/>
      <c r="BB399" s="1108"/>
      <c r="BC399" s="1109"/>
      <c r="BD399" s="1109"/>
      <c r="BE399" s="1109"/>
      <c r="BF399" s="1585"/>
      <c r="BG399" s="1109"/>
      <c r="BH399" s="1109">
        <f t="shared" ref="BH399:BL399" si="134">IF($L96=0,0,(($BH96*O96)+($BI96*U96)+($BJ96*AA96)+($BK96*AG96)+($BL96*AM96))/$L96)</f>
        <v>0.11668999999999999</v>
      </c>
      <c r="BI399" s="1109">
        <f t="shared" si="134"/>
        <v>0.19999999999999998</v>
      </c>
      <c r="BJ399" s="1109">
        <f t="shared" si="134"/>
        <v>0.19999999999999998</v>
      </c>
      <c r="BK399" s="1109">
        <f t="shared" si="134"/>
        <v>8.3309999999999995E-2</v>
      </c>
      <c r="BL399" s="1109">
        <f t="shared" si="134"/>
        <v>0</v>
      </c>
    </row>
    <row r="400" spans="2:64" hidden="1" outlineLevel="1">
      <c r="B400" s="1094"/>
      <c r="C400" s="1071" t="str">
        <f t="shared" ref="C400:F400" si="135">C97</f>
        <v>T017 - TOSHIBA X20 W20008070</v>
      </c>
      <c r="D400" s="1071" t="str">
        <f t="shared" si="135"/>
        <v>IT Equipment</v>
      </c>
      <c r="E400" s="1071" t="str">
        <f t="shared" si="135"/>
        <v>T0170215</v>
      </c>
      <c r="F400" s="1125">
        <f t="shared" si="135"/>
        <v>2020</v>
      </c>
      <c r="H400" s="1071" t="s">
        <v>29</v>
      </c>
      <c r="J400" s="1125"/>
      <c r="BB400" s="1108"/>
      <c r="BC400" s="1109"/>
      <c r="BD400" s="1109"/>
      <c r="BE400" s="1109"/>
      <c r="BF400" s="1585"/>
      <c r="BG400" s="1109"/>
      <c r="BH400" s="1109">
        <f t="shared" ref="BH400:BL400" si="136">IF($L97=0,0,(($BH97*O97)+($BI97*U97)+($BJ97*AA97)+($BK97*AG97)+($BL97*AM97))/$L97)</f>
        <v>0.17513999999999999</v>
      </c>
      <c r="BI400" s="1109">
        <f t="shared" si="136"/>
        <v>0.29208972972972974</v>
      </c>
      <c r="BJ400" s="1109">
        <f t="shared" si="136"/>
        <v>0.29208972972972974</v>
      </c>
      <c r="BK400" s="1109">
        <f t="shared" si="136"/>
        <v>0.14129054054054055</v>
      </c>
      <c r="BL400" s="1109">
        <f t="shared" si="136"/>
        <v>0</v>
      </c>
    </row>
    <row r="401" spans="2:64" hidden="1" outlineLevel="1">
      <c r="B401" s="1094"/>
      <c r="C401" s="1071" t="str">
        <f t="shared" ref="C401:F401" si="137">C98</f>
        <v>T017 - TOSHIBA X20 W20008085</v>
      </c>
      <c r="D401" s="1071" t="str">
        <f t="shared" si="137"/>
        <v>IT Equipment</v>
      </c>
      <c r="E401" s="1071" t="str">
        <f t="shared" si="137"/>
        <v>T0170226</v>
      </c>
      <c r="F401" s="1125">
        <f t="shared" si="137"/>
        <v>2020</v>
      </c>
      <c r="H401" s="1071" t="s">
        <v>29</v>
      </c>
      <c r="J401" s="1125"/>
      <c r="BB401" s="1108"/>
      <c r="BC401" s="1109"/>
      <c r="BD401" s="1109"/>
      <c r="BE401" s="1109"/>
      <c r="BF401" s="1585"/>
      <c r="BG401" s="1109"/>
      <c r="BH401" s="1109">
        <f t="shared" ref="BH401:BL401" si="138">IF($L98=0,0,(($BH98*O98)+($BI98*U98)+($BJ98*AA98)+($BK98*AG98)+($BL98*AM98))/$L98)</f>
        <v>0.17513999999999999</v>
      </c>
      <c r="BI401" s="1109">
        <f t="shared" si="138"/>
        <v>0.29208972972972974</v>
      </c>
      <c r="BJ401" s="1109">
        <f t="shared" si="138"/>
        <v>0.29208972972972974</v>
      </c>
      <c r="BK401" s="1109">
        <f t="shared" si="138"/>
        <v>0.14129054054054055</v>
      </c>
      <c r="BL401" s="1109">
        <f t="shared" si="138"/>
        <v>0</v>
      </c>
    </row>
    <row r="402" spans="2:64" hidden="1" outlineLevel="1">
      <c r="B402" s="1094"/>
      <c r="C402" s="1071" t="str">
        <f t="shared" ref="C402:F402" si="139">C99</f>
        <v>T017 - TOSHIBA X20 W20008008</v>
      </c>
      <c r="D402" s="1071" t="str">
        <f t="shared" si="139"/>
        <v>IT Equipment</v>
      </c>
      <c r="E402" s="1071" t="str">
        <f t="shared" si="139"/>
        <v>T0170231</v>
      </c>
      <c r="F402" s="1125">
        <f t="shared" si="139"/>
        <v>2020</v>
      </c>
      <c r="H402" s="1071" t="s">
        <v>29</v>
      </c>
      <c r="J402" s="1125"/>
      <c r="BB402" s="1108"/>
      <c r="BC402" s="1109"/>
      <c r="BD402" s="1109"/>
      <c r="BE402" s="1109"/>
      <c r="BF402" s="1585"/>
      <c r="BG402" s="1109"/>
      <c r="BH402" s="1109">
        <f t="shared" ref="BH402:BL402" si="140">IF($L99=0,0,(($BH99*O99)+($BI99*U99)+($BJ99*AA99)+($BK99*AG99)+($BL99*AM99))/$L99)</f>
        <v>0.29291000000000006</v>
      </c>
      <c r="BI402" s="1109">
        <f t="shared" si="140"/>
        <v>0.50213666666666668</v>
      </c>
      <c r="BJ402" s="1109">
        <f t="shared" si="140"/>
        <v>0.50213666666666668</v>
      </c>
      <c r="BK402" s="1109">
        <f t="shared" si="140"/>
        <v>0.20922666666666673</v>
      </c>
      <c r="BL402" s="1109">
        <f t="shared" si="140"/>
        <v>0</v>
      </c>
    </row>
    <row r="403" spans="2:64" hidden="1" outlineLevel="1">
      <c r="B403" s="1094"/>
      <c r="C403" s="1071" t="str">
        <f t="shared" ref="C403:F403" si="141">C100</f>
        <v>T017 - TOSHIBA X20 W20008009</v>
      </c>
      <c r="D403" s="1071" t="str">
        <f t="shared" si="141"/>
        <v>IT Equipment</v>
      </c>
      <c r="E403" s="1071" t="str">
        <f t="shared" si="141"/>
        <v>T0170232</v>
      </c>
      <c r="F403" s="1125">
        <f t="shared" si="141"/>
        <v>2020</v>
      </c>
      <c r="H403" s="1071" t="s">
        <v>29</v>
      </c>
      <c r="J403" s="1125"/>
      <c r="BB403" s="1108"/>
      <c r="BC403" s="1109"/>
      <c r="BD403" s="1109"/>
      <c r="BE403" s="1109"/>
      <c r="BF403" s="1585"/>
      <c r="BG403" s="1109"/>
      <c r="BH403" s="1109">
        <f t="shared" ref="BH403:BL403" si="142">IF($L100=0,0,(($BH100*O100)+($BI100*U100)+($BJ100*AA100)+($BK100*AG100)+($BL100*AM100))/$L100)</f>
        <v>0.29291000000000006</v>
      </c>
      <c r="BI403" s="1109">
        <f t="shared" si="142"/>
        <v>0.50213666666666668</v>
      </c>
      <c r="BJ403" s="1109">
        <f t="shared" si="142"/>
        <v>0.50213666666666668</v>
      </c>
      <c r="BK403" s="1109">
        <f t="shared" si="142"/>
        <v>0.20922666666666673</v>
      </c>
      <c r="BL403" s="1109">
        <f t="shared" si="142"/>
        <v>0</v>
      </c>
    </row>
    <row r="404" spans="2:64" hidden="1" outlineLevel="1">
      <c r="B404" s="1094"/>
      <c r="C404" s="1071" t="str">
        <f t="shared" ref="C404:F404" si="143">C101</f>
        <v>T017 - TOSHIBA X20 W20008011</v>
      </c>
      <c r="D404" s="1071" t="str">
        <f t="shared" si="143"/>
        <v>IT Equipment</v>
      </c>
      <c r="E404" s="1071" t="str">
        <f t="shared" si="143"/>
        <v>T0170234</v>
      </c>
      <c r="F404" s="1125">
        <f t="shared" si="143"/>
        <v>2020</v>
      </c>
      <c r="H404" s="1071" t="s">
        <v>29</v>
      </c>
      <c r="J404" s="1125"/>
      <c r="BB404" s="1108"/>
      <c r="BC404" s="1109"/>
      <c r="BD404" s="1109"/>
      <c r="BE404" s="1109"/>
      <c r="BF404" s="1585"/>
      <c r="BG404" s="1109"/>
      <c r="BH404" s="1109">
        <f t="shared" ref="BH404:BL404" si="144">IF($L101=0,0,(($BH101*O101)+($BI101*U101)+($BJ101*AA101)+($BK101*AG101)+($BL101*AM101))/$L101)</f>
        <v>0.29291000000000006</v>
      </c>
      <c r="BI404" s="1109">
        <f t="shared" si="144"/>
        <v>0.50213666666666668</v>
      </c>
      <c r="BJ404" s="1109">
        <f t="shared" si="144"/>
        <v>0.50213666666666668</v>
      </c>
      <c r="BK404" s="1109">
        <f t="shared" si="144"/>
        <v>0.20922666666666673</v>
      </c>
      <c r="BL404" s="1109">
        <f t="shared" si="144"/>
        <v>0</v>
      </c>
    </row>
    <row r="405" spans="2:64" hidden="1" outlineLevel="1">
      <c r="B405" s="1094"/>
      <c r="C405" s="1071" t="str">
        <f t="shared" ref="C405:F405" si="145">C102</f>
        <v>T017 - TOSHIBA X20 W20008014</v>
      </c>
      <c r="D405" s="1071" t="str">
        <f t="shared" si="145"/>
        <v>IT Equipment</v>
      </c>
      <c r="E405" s="1071" t="str">
        <f t="shared" si="145"/>
        <v>T0170236</v>
      </c>
      <c r="F405" s="1125">
        <f t="shared" si="145"/>
        <v>2020</v>
      </c>
      <c r="H405" s="1071" t="s">
        <v>29</v>
      </c>
      <c r="J405" s="1125"/>
      <c r="BB405" s="1108"/>
      <c r="BC405" s="1109"/>
      <c r="BD405" s="1109"/>
      <c r="BE405" s="1109"/>
      <c r="BF405" s="1585"/>
      <c r="BG405" s="1109"/>
      <c r="BH405" s="1109">
        <f t="shared" ref="BH405:BL405" si="146">IF($L102=0,0,(($BH102*O102)+($BI102*U102)+($BJ102*AA102)+($BK102*AG102)+($BL102*AM102))/$L102)</f>
        <v>0.29291000000000006</v>
      </c>
      <c r="BI405" s="1109">
        <f t="shared" si="146"/>
        <v>0.50213666666666668</v>
      </c>
      <c r="BJ405" s="1109">
        <f t="shared" si="146"/>
        <v>0.50213666666666668</v>
      </c>
      <c r="BK405" s="1109">
        <f t="shared" si="146"/>
        <v>0.20922666666666673</v>
      </c>
      <c r="BL405" s="1109">
        <f t="shared" si="146"/>
        <v>0</v>
      </c>
    </row>
    <row r="406" spans="2:64" hidden="1" outlineLevel="1">
      <c r="B406" s="1094"/>
      <c r="C406" s="1071" t="str">
        <f t="shared" ref="C406:F406" si="147">C103</f>
        <v>T017 - TOSHIBA X20 W20008015</v>
      </c>
      <c r="D406" s="1071" t="str">
        <f t="shared" si="147"/>
        <v>IT Equipment</v>
      </c>
      <c r="E406" s="1071" t="str">
        <f t="shared" si="147"/>
        <v>T0170237</v>
      </c>
      <c r="F406" s="1125">
        <f t="shared" si="147"/>
        <v>2020</v>
      </c>
      <c r="H406" s="1071" t="s">
        <v>29</v>
      </c>
      <c r="J406" s="1125"/>
      <c r="BB406" s="1108"/>
      <c r="BC406" s="1109"/>
      <c r="BD406" s="1109"/>
      <c r="BE406" s="1109"/>
      <c r="BF406" s="1585"/>
      <c r="BG406" s="1109"/>
      <c r="BH406" s="1109">
        <f t="shared" ref="BH406:BL406" si="148">IF($L103=0,0,(($BH103*O103)+($BI103*U103)+($BJ103*AA103)+($BK103*AG103)+($BL103*AM103))/$L103)</f>
        <v>0.29291000000000006</v>
      </c>
      <c r="BI406" s="1109">
        <f t="shared" si="148"/>
        <v>0.50213666666666668</v>
      </c>
      <c r="BJ406" s="1109">
        <f t="shared" si="148"/>
        <v>0.50213666666666668</v>
      </c>
      <c r="BK406" s="1109">
        <f t="shared" si="148"/>
        <v>0.20922666666666673</v>
      </c>
      <c r="BL406" s="1109">
        <f t="shared" si="148"/>
        <v>0</v>
      </c>
    </row>
    <row r="407" spans="2:64" hidden="1" outlineLevel="1">
      <c r="B407" s="1094"/>
      <c r="C407" s="1071" t="str">
        <f t="shared" ref="C407:F407" si="149">C104</f>
        <v>T017 - TOSHIBA X20 W20008020</v>
      </c>
      <c r="D407" s="1071" t="str">
        <f t="shared" si="149"/>
        <v>IT Equipment</v>
      </c>
      <c r="E407" s="1071" t="str">
        <f t="shared" si="149"/>
        <v>T0170242</v>
      </c>
      <c r="F407" s="1125">
        <f t="shared" si="149"/>
        <v>2020</v>
      </c>
      <c r="H407" s="1071" t="s">
        <v>29</v>
      </c>
      <c r="J407" s="1125"/>
      <c r="BB407" s="1108"/>
      <c r="BC407" s="1109"/>
      <c r="BD407" s="1109"/>
      <c r="BE407" s="1109"/>
      <c r="BF407" s="1585"/>
      <c r="BG407" s="1109"/>
      <c r="BH407" s="1109">
        <f t="shared" ref="BH407:BL407" si="150">IF($L104=0,0,(($BH104*O104)+($BI104*U104)+($BJ104*AA104)+($BK104*AG104)+($BL104*AM104))/$L104)</f>
        <v>0.29291000000000006</v>
      </c>
      <c r="BI407" s="1109">
        <f t="shared" si="150"/>
        <v>0.50213666666666668</v>
      </c>
      <c r="BJ407" s="1109">
        <f t="shared" si="150"/>
        <v>0.50213666666666668</v>
      </c>
      <c r="BK407" s="1109">
        <f t="shared" si="150"/>
        <v>0.20922666666666673</v>
      </c>
      <c r="BL407" s="1109">
        <f t="shared" si="150"/>
        <v>0</v>
      </c>
    </row>
    <row r="408" spans="2:64" hidden="1" outlineLevel="1">
      <c r="B408" s="1094"/>
      <c r="C408" s="1071" t="str">
        <f t="shared" ref="C408:F408" si="151">C105</f>
        <v>T017 - TOSHIBA X20 W20008023</v>
      </c>
      <c r="D408" s="1071" t="str">
        <f t="shared" si="151"/>
        <v>IT Equipment</v>
      </c>
      <c r="E408" s="1071" t="str">
        <f t="shared" si="151"/>
        <v>T0170245</v>
      </c>
      <c r="F408" s="1125">
        <f t="shared" si="151"/>
        <v>2020</v>
      </c>
      <c r="H408" s="1071" t="s">
        <v>29</v>
      </c>
      <c r="J408" s="1125"/>
      <c r="BB408" s="1108"/>
      <c r="BC408" s="1109"/>
      <c r="BD408" s="1109"/>
      <c r="BE408" s="1109"/>
      <c r="BF408" s="1585"/>
      <c r="BG408" s="1109"/>
      <c r="BH408" s="1109">
        <f t="shared" ref="BH408:BL408" si="152">IF($L105=0,0,(($BH105*O105)+($BI105*U105)+($BJ105*AA105)+($BK105*AG105)+($BL105*AM105))/$L105)</f>
        <v>0.29291000000000006</v>
      </c>
      <c r="BI408" s="1109">
        <f t="shared" si="152"/>
        <v>0.50213666666666668</v>
      </c>
      <c r="BJ408" s="1109">
        <f t="shared" si="152"/>
        <v>0.50213666666666668</v>
      </c>
      <c r="BK408" s="1109">
        <f t="shared" si="152"/>
        <v>0.20922666666666673</v>
      </c>
      <c r="BL408" s="1109">
        <f t="shared" si="152"/>
        <v>0</v>
      </c>
    </row>
    <row r="409" spans="2:64" hidden="1" outlineLevel="1">
      <c r="B409" s="1094"/>
      <c r="C409" s="1071" t="str">
        <f t="shared" ref="C409:F409" si="153">C106</f>
        <v>T017 - TOSHIBA X20 W20008024</v>
      </c>
      <c r="D409" s="1071" t="str">
        <f t="shared" si="153"/>
        <v>IT Equipment</v>
      </c>
      <c r="E409" s="1071" t="str">
        <f t="shared" si="153"/>
        <v>T0170246</v>
      </c>
      <c r="F409" s="1125">
        <f t="shared" si="153"/>
        <v>2020</v>
      </c>
      <c r="H409" s="1071" t="s">
        <v>29</v>
      </c>
      <c r="J409" s="1125"/>
      <c r="BB409" s="1108"/>
      <c r="BC409" s="1109"/>
      <c r="BD409" s="1109"/>
      <c r="BE409" s="1109"/>
      <c r="BF409" s="1585"/>
      <c r="BG409" s="1109"/>
      <c r="BH409" s="1109">
        <f t="shared" ref="BH409:BL409" si="154">IF($L106=0,0,(($BH106*O106)+($BI106*U106)+($BJ106*AA106)+($BK106*AG106)+($BL106*AM106))/$L106)</f>
        <v>0.29291000000000006</v>
      </c>
      <c r="BI409" s="1109">
        <f t="shared" si="154"/>
        <v>0.50213666666666668</v>
      </c>
      <c r="BJ409" s="1109">
        <f t="shared" si="154"/>
        <v>0.50213666666666668</v>
      </c>
      <c r="BK409" s="1109">
        <f t="shared" si="154"/>
        <v>0.20922666666666673</v>
      </c>
      <c r="BL409" s="1109">
        <f t="shared" si="154"/>
        <v>0</v>
      </c>
    </row>
    <row r="410" spans="2:64" hidden="1" outlineLevel="1">
      <c r="B410" s="1094"/>
      <c r="C410" s="1071" t="str">
        <f t="shared" ref="C410:F410" si="155">C107</f>
        <v>T017 - TOSHIBA X20 W20008025</v>
      </c>
      <c r="D410" s="1071" t="str">
        <f t="shared" si="155"/>
        <v>IT Equipment</v>
      </c>
      <c r="E410" s="1071" t="str">
        <f t="shared" si="155"/>
        <v>T0170247</v>
      </c>
      <c r="F410" s="1125">
        <f t="shared" si="155"/>
        <v>2020</v>
      </c>
      <c r="H410" s="1071" t="s">
        <v>29</v>
      </c>
      <c r="J410" s="1125"/>
      <c r="BB410" s="1108"/>
      <c r="BC410" s="1109"/>
      <c r="BD410" s="1109"/>
      <c r="BE410" s="1109"/>
      <c r="BF410" s="1585"/>
      <c r="BG410" s="1109"/>
      <c r="BH410" s="1109">
        <f t="shared" ref="BH410:BL410" si="156">IF($L107=0,0,(($BH107*O107)+($BI107*U107)+($BJ107*AA107)+($BK107*AG107)+($BL107*AM107))/$L107)</f>
        <v>0.29291000000000006</v>
      </c>
      <c r="BI410" s="1109">
        <f t="shared" si="156"/>
        <v>0.50213666666666668</v>
      </c>
      <c r="BJ410" s="1109">
        <f t="shared" si="156"/>
        <v>0.50213666666666668</v>
      </c>
      <c r="BK410" s="1109">
        <f t="shared" si="156"/>
        <v>0.20922666666666673</v>
      </c>
      <c r="BL410" s="1109">
        <f t="shared" si="156"/>
        <v>0</v>
      </c>
    </row>
    <row r="411" spans="2:64" hidden="1" outlineLevel="1">
      <c r="B411" s="1094"/>
      <c r="C411" s="1071" t="str">
        <f t="shared" ref="C411:F411" si="157">C108</f>
        <v>T017 - HP G7 CORE W20008096</v>
      </c>
      <c r="D411" s="1071" t="str">
        <f t="shared" si="157"/>
        <v>IT Equipment</v>
      </c>
      <c r="E411" s="1071" t="str">
        <f t="shared" si="157"/>
        <v>T0170248</v>
      </c>
      <c r="F411" s="1125">
        <f t="shared" si="157"/>
        <v>2020</v>
      </c>
      <c r="H411" s="1071" t="s">
        <v>29</v>
      </c>
      <c r="J411" s="1125"/>
      <c r="BB411" s="1108"/>
      <c r="BC411" s="1109"/>
      <c r="BD411" s="1109"/>
      <c r="BE411" s="1109"/>
      <c r="BF411" s="1585"/>
      <c r="BG411" s="1109"/>
      <c r="BH411" s="1109">
        <f t="shared" ref="BH411:BL411" si="158">IF($L108=0,0,(($BH108*O108)+($BI108*U108)+($BJ108*AA108)+($BK108*AG108)+($BL108*AM108))/$L108)</f>
        <v>0.13515999999999997</v>
      </c>
      <c r="BI411" s="1109">
        <f t="shared" si="158"/>
        <v>0.23166666666666666</v>
      </c>
      <c r="BJ411" s="1109">
        <f t="shared" si="158"/>
        <v>0.23166666666666666</v>
      </c>
      <c r="BK411" s="1109">
        <f t="shared" si="158"/>
        <v>9.6506666666666685E-2</v>
      </c>
      <c r="BL411" s="1109">
        <f t="shared" si="158"/>
        <v>0</v>
      </c>
    </row>
    <row r="412" spans="2:64" hidden="1" outlineLevel="1">
      <c r="B412" s="1094"/>
      <c r="C412" s="1071" t="str">
        <f t="shared" ref="C412:F412" si="159">C109</f>
        <v>T017 - HP G7 CORE W20008098</v>
      </c>
      <c r="D412" s="1071" t="str">
        <f t="shared" si="159"/>
        <v>IT Equipment</v>
      </c>
      <c r="E412" s="1071" t="str">
        <f t="shared" si="159"/>
        <v>T0170250</v>
      </c>
      <c r="F412" s="1125">
        <f t="shared" si="159"/>
        <v>2020</v>
      </c>
      <c r="H412" s="1071" t="s">
        <v>29</v>
      </c>
      <c r="J412" s="1125"/>
      <c r="BB412" s="1108"/>
      <c r="BC412" s="1109"/>
      <c r="BD412" s="1109"/>
      <c r="BE412" s="1109"/>
      <c r="BF412" s="1585"/>
      <c r="BG412" s="1109"/>
      <c r="BH412" s="1109">
        <f t="shared" ref="BH412:BL412" si="160">IF($L109=0,0,(($BH109*O109)+($BI109*U109)+($BJ109*AA109)+($BK109*AG109)+($BL109*AM109))/$L109)</f>
        <v>0.13515999999999997</v>
      </c>
      <c r="BI412" s="1109">
        <f t="shared" si="160"/>
        <v>0.23166666666666666</v>
      </c>
      <c r="BJ412" s="1109">
        <f t="shared" si="160"/>
        <v>0.23166666666666666</v>
      </c>
      <c r="BK412" s="1109">
        <f t="shared" si="160"/>
        <v>9.6506666666666685E-2</v>
      </c>
      <c r="BL412" s="1109">
        <f t="shared" si="160"/>
        <v>0</v>
      </c>
    </row>
    <row r="413" spans="2:64" hidden="1" outlineLevel="1">
      <c r="B413" s="1094"/>
      <c r="C413" s="1071" t="str">
        <f t="shared" ref="C413:F413" si="161">C110</f>
        <v>T017 - LAPTOP W20007815</v>
      </c>
      <c r="D413" s="1071" t="str">
        <f t="shared" si="161"/>
        <v>IT Equipment</v>
      </c>
      <c r="E413" s="1071" t="str">
        <f t="shared" si="161"/>
        <v>T0170253</v>
      </c>
      <c r="F413" s="1125">
        <f t="shared" si="161"/>
        <v>2020</v>
      </c>
      <c r="H413" s="1071" t="s">
        <v>29</v>
      </c>
      <c r="J413" s="1125"/>
      <c r="BB413" s="1108"/>
      <c r="BC413" s="1109"/>
      <c r="BD413" s="1109"/>
      <c r="BE413" s="1109"/>
      <c r="BF413" s="1585"/>
      <c r="BG413" s="1109"/>
      <c r="BH413" s="1109">
        <f t="shared" ref="BH413:BL413" si="162">IF($L110=0,0,(($BH110*O110)+($BI110*U110)+($BJ110*AA110)+($BK110*AG110)+($BL110*AM110))/$L110)</f>
        <v>0.50212999999999997</v>
      </c>
      <c r="BI413" s="1109">
        <f t="shared" si="162"/>
        <v>0.50213666666666668</v>
      </c>
      <c r="BJ413" s="1109">
        <f t="shared" si="162"/>
        <v>0.50213666666666668</v>
      </c>
      <c r="BK413" s="1109">
        <f t="shared" si="162"/>
        <v>6.6666666667480098E-6</v>
      </c>
      <c r="BL413" s="1109">
        <f t="shared" si="162"/>
        <v>0</v>
      </c>
    </row>
    <row r="414" spans="2:64" hidden="1" outlineLevel="1">
      <c r="B414" s="1094"/>
      <c r="C414" s="1071" t="str">
        <f t="shared" ref="C414:F414" si="163">C111</f>
        <v>T017 - OPTIPLEX5060 W20007883</v>
      </c>
      <c r="D414" s="1071" t="str">
        <f t="shared" si="163"/>
        <v>IT Equipment</v>
      </c>
      <c r="E414" s="1071" t="str">
        <f t="shared" si="163"/>
        <v>T0170254</v>
      </c>
      <c r="F414" s="1125">
        <f t="shared" si="163"/>
        <v>2020</v>
      </c>
      <c r="H414" s="1071" t="s">
        <v>29</v>
      </c>
      <c r="J414" s="1125"/>
      <c r="BB414" s="1108"/>
      <c r="BC414" s="1109"/>
      <c r="BD414" s="1109"/>
      <c r="BE414" s="1109"/>
      <c r="BF414" s="1585"/>
      <c r="BG414" s="1109"/>
      <c r="BH414" s="1109">
        <f t="shared" ref="BH414:BL414" si="164">IF($L111=0,0,(($BH111*O111)+($BI111*U111)+($BJ111*AA111)+($BK111*AG111)+($BL111*AM111))/$L111)</f>
        <v>0.20003999999999994</v>
      </c>
      <c r="BI414" s="1109">
        <f t="shared" si="164"/>
        <v>0.19999999999999998</v>
      </c>
      <c r="BJ414" s="1109">
        <f t="shared" si="164"/>
        <v>0.19996000000000003</v>
      </c>
      <c r="BK414" s="1109">
        <f t="shared" si="164"/>
        <v>0</v>
      </c>
      <c r="BL414" s="1109">
        <f t="shared" si="164"/>
        <v>0</v>
      </c>
    </row>
    <row r="415" spans="2:64" hidden="1" outlineLevel="1">
      <c r="B415" s="1094"/>
      <c r="C415" s="1071" t="str">
        <f t="shared" ref="C415:F415" si="165">C112</f>
        <v>T017 - OPTIPLEX5060 W20007917</v>
      </c>
      <c r="D415" s="1071" t="str">
        <f t="shared" si="165"/>
        <v>IT Equipment</v>
      </c>
      <c r="E415" s="1071" t="str">
        <f t="shared" si="165"/>
        <v>T0170256</v>
      </c>
      <c r="F415" s="1125">
        <f t="shared" si="165"/>
        <v>2020</v>
      </c>
      <c r="H415" s="1071" t="s">
        <v>29</v>
      </c>
      <c r="J415" s="1125"/>
      <c r="BB415" s="1108"/>
      <c r="BC415" s="1109"/>
      <c r="BD415" s="1109"/>
      <c r="BE415" s="1109"/>
      <c r="BF415" s="1585"/>
      <c r="BG415" s="1109"/>
      <c r="BH415" s="1109">
        <f t="shared" ref="BH415:BL415" si="166">IF($L112=0,0,(($BH112*O112)+($BI112*U112)+($BJ112*AA112)+($BK112*AG112)+($BL112*AM112))/$L112)</f>
        <v>0.20003999999999994</v>
      </c>
      <c r="BI415" s="1109">
        <f t="shared" si="166"/>
        <v>0.19999999999999998</v>
      </c>
      <c r="BJ415" s="1109">
        <f t="shared" si="166"/>
        <v>0.19996000000000003</v>
      </c>
      <c r="BK415" s="1109">
        <f t="shared" si="166"/>
        <v>0</v>
      </c>
      <c r="BL415" s="1109">
        <f t="shared" si="166"/>
        <v>0</v>
      </c>
    </row>
    <row r="416" spans="2:64" hidden="1" outlineLevel="1">
      <c r="B416" s="1094"/>
      <c r="C416" s="1071" t="str">
        <f t="shared" ref="C416:F416" si="167">C113</f>
        <v>T017 - TOSHIBA W20008070</v>
      </c>
      <c r="D416" s="1071" t="str">
        <f t="shared" si="167"/>
        <v>IT Equipment</v>
      </c>
      <c r="E416" s="1071" t="str">
        <f t="shared" si="167"/>
        <v>T0170263</v>
      </c>
      <c r="F416" s="1125">
        <f t="shared" si="167"/>
        <v>2020</v>
      </c>
      <c r="H416" s="1071" t="s">
        <v>29</v>
      </c>
      <c r="J416" s="1125"/>
      <c r="BB416" s="1108"/>
      <c r="BC416" s="1109"/>
      <c r="BD416" s="1109"/>
      <c r="BE416" s="1109"/>
      <c r="BF416" s="1585"/>
      <c r="BG416" s="1109"/>
      <c r="BH416" s="1109">
        <f t="shared" ref="BH416:BL416" si="168">IF($L113=0,0,(($BH113*O113)+($BI113*U113)+($BJ113*AA113)+($BK113*AG113)+($BL113*AM113))/$L113)</f>
        <v>0.11781000000000003</v>
      </c>
      <c r="BI416" s="1109">
        <f t="shared" si="168"/>
        <v>0.20193333333333335</v>
      </c>
      <c r="BJ416" s="1109">
        <f t="shared" si="168"/>
        <v>0.20193333333333335</v>
      </c>
      <c r="BK416" s="1109">
        <f t="shared" si="168"/>
        <v>8.41233333333333E-2</v>
      </c>
      <c r="BL416" s="1109">
        <f t="shared" si="168"/>
        <v>0</v>
      </c>
    </row>
    <row r="417" spans="2:64" hidden="1" outlineLevel="1">
      <c r="B417" s="1094"/>
      <c r="C417" s="1071" t="str">
        <f t="shared" ref="C417:F417" si="169">C114</f>
        <v>T017 - TOSHIBA W20008085</v>
      </c>
      <c r="D417" s="1071" t="str">
        <f t="shared" si="169"/>
        <v>IT Equipment</v>
      </c>
      <c r="E417" s="1071" t="str">
        <f t="shared" si="169"/>
        <v>T0170274</v>
      </c>
      <c r="F417" s="1125">
        <f t="shared" si="169"/>
        <v>2020</v>
      </c>
      <c r="H417" s="1071" t="s">
        <v>29</v>
      </c>
      <c r="J417" s="1125"/>
      <c r="BB417" s="1108"/>
      <c r="BC417" s="1109"/>
      <c r="BD417" s="1109"/>
      <c r="BE417" s="1109"/>
      <c r="BF417" s="1585"/>
      <c r="BG417" s="1109"/>
      <c r="BH417" s="1109">
        <f t="shared" ref="BH417:BL417" si="170">IF($L114=0,0,(($BH114*O114)+($BI114*U114)+($BJ114*AA114)+($BK114*AG114)+($BL114*AM114))/$L114)</f>
        <v>0.11781000000000003</v>
      </c>
      <c r="BI417" s="1109">
        <f t="shared" si="170"/>
        <v>0.20193333333333335</v>
      </c>
      <c r="BJ417" s="1109">
        <f t="shared" si="170"/>
        <v>0.20193333333333335</v>
      </c>
      <c r="BK417" s="1109">
        <f t="shared" si="170"/>
        <v>8.41233333333333E-2</v>
      </c>
      <c r="BL417" s="1109">
        <f t="shared" si="170"/>
        <v>0</v>
      </c>
    </row>
    <row r="418" spans="2:64" hidden="1" outlineLevel="1">
      <c r="B418" s="1094"/>
      <c r="C418" s="1071" t="str">
        <f t="shared" ref="C418:F418" si="171">C115</f>
        <v>T017 - HP250G7 CORE W20008093</v>
      </c>
      <c r="D418" s="1071" t="str">
        <f t="shared" si="171"/>
        <v>IT Equipment</v>
      </c>
      <c r="E418" s="1071" t="str">
        <f t="shared" si="171"/>
        <v>T0170278</v>
      </c>
      <c r="F418" s="1125">
        <f t="shared" si="171"/>
        <v>2020</v>
      </c>
      <c r="H418" s="1071" t="s">
        <v>29</v>
      </c>
      <c r="J418" s="1125"/>
      <c r="BB418" s="1108"/>
      <c r="BC418" s="1109"/>
      <c r="BD418" s="1109"/>
      <c r="BE418" s="1109"/>
      <c r="BF418" s="1585"/>
      <c r="BG418" s="1109"/>
      <c r="BH418" s="1109">
        <f t="shared" ref="BH418:BL418" si="172">IF($L115=0,0,(($BH115*O115)+($BI115*U115)+($BJ115*AA115)+($BK115*AG115)+($BL115*AM115))/$L115)</f>
        <v>0.19306999999999996</v>
      </c>
      <c r="BI418" s="1109">
        <f t="shared" si="172"/>
        <v>0.23166666666666666</v>
      </c>
      <c r="BJ418" s="1109">
        <f t="shared" si="172"/>
        <v>0.23166666666666666</v>
      </c>
      <c r="BK418" s="1109">
        <f t="shared" si="172"/>
        <v>3.8596666666666724E-2</v>
      </c>
      <c r="BL418" s="1109">
        <f t="shared" si="172"/>
        <v>0</v>
      </c>
    </row>
    <row r="419" spans="2:64" hidden="1" outlineLevel="1">
      <c r="B419" s="1094"/>
      <c r="C419" s="1071" t="str">
        <f t="shared" ref="C419:F419" si="173">C116</f>
        <v>T017 - HP250G7 CORE W20008097</v>
      </c>
      <c r="D419" s="1071" t="str">
        <f t="shared" si="173"/>
        <v>IT Equipment</v>
      </c>
      <c r="E419" s="1071" t="str">
        <f t="shared" si="173"/>
        <v>T0170280</v>
      </c>
      <c r="F419" s="1125">
        <f t="shared" si="173"/>
        <v>2020</v>
      </c>
      <c r="H419" s="1071" t="s">
        <v>29</v>
      </c>
      <c r="J419" s="1125"/>
      <c r="BB419" s="1108"/>
      <c r="BC419" s="1109"/>
      <c r="BD419" s="1109"/>
      <c r="BE419" s="1109"/>
      <c r="BF419" s="1585"/>
      <c r="BG419" s="1109"/>
      <c r="BH419" s="1109">
        <f t="shared" ref="BH419:BL419" si="174">IF($L116=0,0,(($BH116*O116)+($BI116*U116)+($BJ116*AA116)+($BK116*AG116)+($BL116*AM116))/$L116)</f>
        <v>0.19306999999999996</v>
      </c>
      <c r="BI419" s="1109">
        <f t="shared" si="174"/>
        <v>0.23166666666666666</v>
      </c>
      <c r="BJ419" s="1109">
        <f t="shared" si="174"/>
        <v>0.23166666666666666</v>
      </c>
      <c r="BK419" s="1109">
        <f t="shared" si="174"/>
        <v>3.8596666666666724E-2</v>
      </c>
      <c r="BL419" s="1109">
        <f t="shared" si="174"/>
        <v>0</v>
      </c>
    </row>
    <row r="420" spans="2:64" hidden="1" outlineLevel="1">
      <c r="B420" s="1094"/>
      <c r="C420" s="1071" t="str">
        <f t="shared" ref="C420:F420" si="175">C117</f>
        <v>T017 - HP250G7 CORE W20008100</v>
      </c>
      <c r="D420" s="1071" t="str">
        <f t="shared" si="175"/>
        <v>IT Equipment</v>
      </c>
      <c r="E420" s="1071" t="str">
        <f t="shared" si="175"/>
        <v>T0170281</v>
      </c>
      <c r="F420" s="1125">
        <f t="shared" si="175"/>
        <v>2020</v>
      </c>
      <c r="H420" s="1071" t="s">
        <v>29</v>
      </c>
      <c r="J420" s="1125"/>
      <c r="BB420" s="1108"/>
      <c r="BC420" s="1109"/>
      <c r="BD420" s="1109"/>
      <c r="BE420" s="1109"/>
      <c r="BF420" s="1585"/>
      <c r="BG420" s="1109"/>
      <c r="BH420" s="1109">
        <f t="shared" ref="BH420:BL420" si="176">IF($L117=0,0,(($BH117*O117)+($BI117*U117)+($BJ117*AA117)+($BK117*AG117)+($BL117*AM117))/$L117)</f>
        <v>0.19306999999999996</v>
      </c>
      <c r="BI420" s="1109">
        <f t="shared" si="176"/>
        <v>0.23166666666666666</v>
      </c>
      <c r="BJ420" s="1109">
        <f t="shared" si="176"/>
        <v>0.23166666666666666</v>
      </c>
      <c r="BK420" s="1109">
        <f t="shared" si="176"/>
        <v>3.8596666666666724E-2</v>
      </c>
      <c r="BL420" s="1109">
        <f t="shared" si="176"/>
        <v>0</v>
      </c>
    </row>
    <row r="421" spans="2:64" hidden="1" outlineLevel="1">
      <c r="B421" s="1094"/>
      <c r="C421" s="1071" t="str">
        <f t="shared" ref="C421:F421" si="177">C118</f>
        <v>T017 - HP250G7 CORE W20008091</v>
      </c>
      <c r="D421" s="1071" t="str">
        <f t="shared" si="177"/>
        <v>IT Equipment</v>
      </c>
      <c r="E421" s="1071" t="str">
        <f t="shared" si="177"/>
        <v>T0170282</v>
      </c>
      <c r="F421" s="1125">
        <f t="shared" si="177"/>
        <v>2020</v>
      </c>
      <c r="H421" s="1071" t="s">
        <v>29</v>
      </c>
      <c r="J421" s="1125"/>
      <c r="BB421" s="1108"/>
      <c r="BC421" s="1109"/>
      <c r="BD421" s="1109"/>
      <c r="BE421" s="1109"/>
      <c r="BF421" s="1585"/>
      <c r="BG421" s="1109"/>
      <c r="BH421" s="1109">
        <f t="shared" ref="BH421:BL421" si="178">IF($L118=0,0,(($BH118*O118)+($BI118*U118)+($BJ118*AA118)+($BK118*AG118)+($BL118*AM118))/$L118)</f>
        <v>0.13515999999999997</v>
      </c>
      <c r="BI421" s="1109">
        <f t="shared" si="178"/>
        <v>0.23166666666666666</v>
      </c>
      <c r="BJ421" s="1109">
        <f t="shared" si="178"/>
        <v>0.23166666666666666</v>
      </c>
      <c r="BK421" s="1109">
        <f t="shared" si="178"/>
        <v>9.6506666666666685E-2</v>
      </c>
      <c r="BL421" s="1109">
        <f t="shared" si="178"/>
        <v>0</v>
      </c>
    </row>
    <row r="422" spans="2:64" hidden="1" outlineLevel="1">
      <c r="B422" s="1094"/>
      <c r="C422" s="1071" t="str">
        <f t="shared" ref="C422:F422" si="179">C119</f>
        <v>T017 - HP250G7 CORE W20008096</v>
      </c>
      <c r="D422" s="1071" t="str">
        <f t="shared" si="179"/>
        <v>IT Equipment</v>
      </c>
      <c r="E422" s="1071" t="str">
        <f t="shared" si="179"/>
        <v>T0170283</v>
      </c>
      <c r="F422" s="1125">
        <f t="shared" si="179"/>
        <v>2020</v>
      </c>
      <c r="H422" s="1071" t="s">
        <v>29</v>
      </c>
      <c r="J422" s="1125"/>
      <c r="BB422" s="1108"/>
      <c r="BC422" s="1109"/>
      <c r="BD422" s="1109"/>
      <c r="BE422" s="1109"/>
      <c r="BF422" s="1585"/>
      <c r="BG422" s="1109"/>
      <c r="BH422" s="1109">
        <f t="shared" ref="BH422:BL422" si="180">IF($L119=0,0,(($BH119*O119)+($BI119*U119)+($BJ119*AA119)+($BK119*AG119)+($BL119*AM119))/$L119)</f>
        <v>0.13515999999999997</v>
      </c>
      <c r="BI422" s="1109">
        <f t="shared" si="180"/>
        <v>0.23166666666666666</v>
      </c>
      <c r="BJ422" s="1109">
        <f t="shared" si="180"/>
        <v>0.23166666666666666</v>
      </c>
      <c r="BK422" s="1109">
        <f t="shared" si="180"/>
        <v>9.6506666666666685E-2</v>
      </c>
      <c r="BL422" s="1109">
        <f t="shared" si="180"/>
        <v>0</v>
      </c>
    </row>
    <row r="423" spans="2:64" hidden="1" outlineLevel="1">
      <c r="B423" s="1094"/>
      <c r="C423" s="1071" t="str">
        <f t="shared" ref="C423:F423" si="181">C120</f>
        <v>T017 - HP250G7 COREW20008098</v>
      </c>
      <c r="D423" s="1071" t="str">
        <f t="shared" si="181"/>
        <v>IT Equipment</v>
      </c>
      <c r="E423" s="1071" t="str">
        <f t="shared" si="181"/>
        <v>T0170284</v>
      </c>
      <c r="F423" s="1125">
        <f t="shared" si="181"/>
        <v>2020</v>
      </c>
      <c r="H423" s="1071" t="s">
        <v>29</v>
      </c>
      <c r="J423" s="1125"/>
      <c r="BB423" s="1108"/>
      <c r="BC423" s="1109"/>
      <c r="BD423" s="1109"/>
      <c r="BE423" s="1109"/>
      <c r="BF423" s="1585"/>
      <c r="BG423" s="1109"/>
      <c r="BH423" s="1109">
        <f t="shared" ref="BH423:BL423" si="182">IF($L120=0,0,(($BH120*O120)+($BI120*U120)+($BJ120*AA120)+($BK120*AG120)+($BL120*AM120))/$L120)</f>
        <v>0.13515999999999997</v>
      </c>
      <c r="BI423" s="1109">
        <f t="shared" si="182"/>
        <v>0.23166666666666666</v>
      </c>
      <c r="BJ423" s="1109">
        <f t="shared" si="182"/>
        <v>0.23166666666666666</v>
      </c>
      <c r="BK423" s="1109">
        <f t="shared" si="182"/>
        <v>9.6506666666666685E-2</v>
      </c>
      <c r="BL423" s="1109">
        <f t="shared" si="182"/>
        <v>0</v>
      </c>
    </row>
    <row r="424" spans="2:64" hidden="1" outlineLevel="1">
      <c r="B424" s="1094"/>
      <c r="C424" s="1071" t="str">
        <f t="shared" ref="C424:F424" si="183">C121</f>
        <v>T017 - OPTIPLEX5060 W20007909</v>
      </c>
      <c r="D424" s="1071" t="str">
        <f t="shared" si="183"/>
        <v>IT Equipment</v>
      </c>
      <c r="E424" s="1071" t="str">
        <f t="shared" si="183"/>
        <v>T0170290</v>
      </c>
      <c r="F424" s="1125">
        <f t="shared" si="183"/>
        <v>2020</v>
      </c>
      <c r="H424" s="1071" t="s">
        <v>29</v>
      </c>
      <c r="J424" s="1125"/>
      <c r="BB424" s="1108"/>
      <c r="BC424" s="1109"/>
      <c r="BD424" s="1109"/>
      <c r="BE424" s="1109"/>
      <c r="BF424" s="1585"/>
      <c r="BG424" s="1109"/>
      <c r="BH424" s="1109">
        <f t="shared" ref="BH424:BL424" si="184">IF($L121=0,0,(($BH121*O121)+($BI121*U121)+($BJ121*AA121)+($BK121*AG121)+($BL121*AM121))/$L121)</f>
        <v>0.20003999999999994</v>
      </c>
      <c r="BI424" s="1109">
        <f t="shared" si="184"/>
        <v>0.19999999999999998</v>
      </c>
      <c r="BJ424" s="1109">
        <f t="shared" si="184"/>
        <v>0.19996000000000003</v>
      </c>
      <c r="BK424" s="1109">
        <f t="shared" si="184"/>
        <v>0</v>
      </c>
      <c r="BL424" s="1109">
        <f t="shared" si="184"/>
        <v>0</v>
      </c>
    </row>
    <row r="425" spans="2:64" hidden="1" outlineLevel="1">
      <c r="B425" s="1094"/>
      <c r="C425" s="1071" t="str">
        <f t="shared" ref="C425:F425" si="185">C122</f>
        <v>T018 - MACBOOK PRO</v>
      </c>
      <c r="D425" s="1071" t="str">
        <f t="shared" si="185"/>
        <v>IT Equipment</v>
      </c>
      <c r="E425" s="1071" t="str">
        <f t="shared" si="185"/>
        <v>T0180061</v>
      </c>
      <c r="F425" s="1125">
        <f t="shared" si="185"/>
        <v>2020</v>
      </c>
      <c r="H425" s="1071" t="s">
        <v>29</v>
      </c>
      <c r="J425" s="1125"/>
      <c r="BB425" s="1108"/>
      <c r="BC425" s="1109"/>
      <c r="BD425" s="1109"/>
      <c r="BE425" s="1109"/>
      <c r="BF425" s="1585"/>
      <c r="BG425" s="1109"/>
      <c r="BH425" s="1109">
        <f t="shared" ref="BH425:BL425" si="186">IF($L122=0,0,(($BH122*O122)+($BI122*U122)+($BJ122*AA122)+($BK122*AG122)+($BL122*AM122))/$L122)</f>
        <v>0.34370999999999996</v>
      </c>
      <c r="BI425" s="1109">
        <f t="shared" si="186"/>
        <v>0.45827999999999997</v>
      </c>
      <c r="BJ425" s="1109">
        <f t="shared" si="186"/>
        <v>0.45827999999999997</v>
      </c>
      <c r="BK425" s="1109">
        <f t="shared" si="186"/>
        <v>0.11456999999999999</v>
      </c>
      <c r="BL425" s="1109">
        <f t="shared" si="186"/>
        <v>0</v>
      </c>
    </row>
    <row r="426" spans="2:64" hidden="1" outlineLevel="1">
      <c r="B426" s="1094"/>
      <c r="C426" s="1071" t="str">
        <f t="shared" ref="C426:F426" si="187">C123</f>
        <v>T018 - LOGITECH GROUP VIDEO HQ</v>
      </c>
      <c r="D426" s="1071" t="str">
        <f t="shared" si="187"/>
        <v>IT Equipment</v>
      </c>
      <c r="E426" s="1071" t="str">
        <f t="shared" si="187"/>
        <v>T0180064</v>
      </c>
      <c r="F426" s="1125">
        <f t="shared" si="187"/>
        <v>2020</v>
      </c>
      <c r="H426" s="1071" t="s">
        <v>29</v>
      </c>
      <c r="J426" s="1125"/>
      <c r="BB426" s="1108"/>
      <c r="BC426" s="1109"/>
      <c r="BD426" s="1109"/>
      <c r="BE426" s="1109"/>
      <c r="BF426" s="1585"/>
      <c r="BG426" s="1109"/>
      <c r="BH426" s="1109">
        <f t="shared" ref="BH426:BL426" si="188">IF($L123=0,0,(($BH123*O123)+($BI123*U123)+($BJ123*AA123)+($BK123*AG123)+($BL123*AM123))/$L123)</f>
        <v>0.22475999999999999</v>
      </c>
      <c r="BI426" s="1109">
        <f t="shared" si="188"/>
        <v>0.89900000000000013</v>
      </c>
      <c r="BJ426" s="1109">
        <f t="shared" si="188"/>
        <v>0.89900000000000013</v>
      </c>
      <c r="BK426" s="1109">
        <f t="shared" si="188"/>
        <v>0.67424000000000006</v>
      </c>
      <c r="BL426" s="1109">
        <f t="shared" si="188"/>
        <v>0</v>
      </c>
    </row>
    <row r="427" spans="2:64" hidden="1" outlineLevel="1">
      <c r="B427" s="1094"/>
      <c r="C427" s="1071" t="str">
        <f t="shared" ref="C427:F427" si="189">C124</f>
        <v>T017 - X20 LAPTOPS W20007838</v>
      </c>
      <c r="D427" s="1071" t="str">
        <f t="shared" si="189"/>
        <v>IT Equipment</v>
      </c>
      <c r="E427" s="1071" t="str">
        <f t="shared" si="189"/>
        <v>T0170204</v>
      </c>
      <c r="F427" s="1125">
        <f t="shared" si="189"/>
        <v>2020</v>
      </c>
      <c r="H427" s="1071" t="s">
        <v>29</v>
      </c>
      <c r="J427" s="1125"/>
      <c r="BB427" s="1108"/>
      <c r="BC427" s="1109"/>
      <c r="BD427" s="1109"/>
      <c r="BE427" s="1109"/>
      <c r="BF427" s="1585"/>
      <c r="BG427" s="1109"/>
      <c r="BH427" s="1109">
        <f t="shared" ref="BH427:BL427" si="190">IF($L124=0,0,(($BH124*O124)+($BI124*U124)+($BJ124*AA124)+($BK124*AG124)+($BL124*AM124))/$L124)</f>
        <v>0.29291000000000006</v>
      </c>
      <c r="BI427" s="1109">
        <f t="shared" si="190"/>
        <v>0.50213666666666668</v>
      </c>
      <c r="BJ427" s="1109">
        <f t="shared" si="190"/>
        <v>0.50213666666666668</v>
      </c>
      <c r="BK427" s="1109">
        <f t="shared" si="190"/>
        <v>0.20922666666666673</v>
      </c>
      <c r="BL427" s="1109">
        <f t="shared" si="190"/>
        <v>0</v>
      </c>
    </row>
    <row r="428" spans="2:64" hidden="1" outlineLevel="1">
      <c r="B428" s="1094"/>
      <c r="C428" s="1071" t="str">
        <f t="shared" ref="C428:F428" si="191">C125</f>
        <v>T017 - TOSHIBA X20 W20008071</v>
      </c>
      <c r="D428" s="1071" t="str">
        <f t="shared" si="191"/>
        <v>IT Equipment</v>
      </c>
      <c r="E428" s="1071" t="str">
        <f t="shared" si="191"/>
        <v>T0170216</v>
      </c>
      <c r="F428" s="1125">
        <f t="shared" si="191"/>
        <v>2020</v>
      </c>
      <c r="H428" s="1071" t="s">
        <v>29</v>
      </c>
      <c r="J428" s="1125"/>
      <c r="BB428" s="1108"/>
      <c r="BC428" s="1109"/>
      <c r="BD428" s="1109"/>
      <c r="BE428" s="1109"/>
      <c r="BF428" s="1585"/>
      <c r="BG428" s="1109"/>
      <c r="BH428" s="1109">
        <f t="shared" ref="BH428:BL428" si="192">IF($L125=0,0,(($BH125*O125)+($BI125*U125)+($BJ125*AA125)+($BK125*AG125)+($BL125*AM125))/$L125)</f>
        <v>0.17513999999999999</v>
      </c>
      <c r="BI428" s="1109">
        <f t="shared" si="192"/>
        <v>0.29208972972972974</v>
      </c>
      <c r="BJ428" s="1109">
        <f t="shared" si="192"/>
        <v>0.29208972972972974</v>
      </c>
      <c r="BK428" s="1109">
        <f t="shared" si="192"/>
        <v>0.14129054054054055</v>
      </c>
      <c r="BL428" s="1109">
        <f t="shared" si="192"/>
        <v>0</v>
      </c>
    </row>
    <row r="429" spans="2:64" hidden="1" outlineLevel="1">
      <c r="B429" s="1094"/>
      <c r="C429" s="1071" t="str">
        <f t="shared" ref="C429:F429" si="193">C126</f>
        <v>T017 - TOSHIBA X20 W20008072</v>
      </c>
      <c r="D429" s="1071" t="str">
        <f t="shared" si="193"/>
        <v>IT Equipment</v>
      </c>
      <c r="E429" s="1071" t="str">
        <f t="shared" si="193"/>
        <v>T0170217</v>
      </c>
      <c r="F429" s="1125">
        <f t="shared" si="193"/>
        <v>2020</v>
      </c>
      <c r="H429" s="1071" t="s">
        <v>29</v>
      </c>
      <c r="J429" s="1125"/>
      <c r="BB429" s="1108"/>
      <c r="BC429" s="1109"/>
      <c r="BD429" s="1109"/>
      <c r="BE429" s="1109"/>
      <c r="BF429" s="1585"/>
      <c r="BG429" s="1109"/>
      <c r="BH429" s="1109">
        <f t="shared" ref="BH429:BL429" si="194">IF($L126=0,0,(($BH126*O126)+($BI126*U126)+($BJ126*AA126)+($BK126*AG126)+($BL126*AM126))/$L126)</f>
        <v>0.17513999999999999</v>
      </c>
      <c r="BI429" s="1109">
        <f t="shared" si="194"/>
        <v>0.29208972972972974</v>
      </c>
      <c r="BJ429" s="1109">
        <f t="shared" si="194"/>
        <v>0.29208972972972974</v>
      </c>
      <c r="BK429" s="1109">
        <f t="shared" si="194"/>
        <v>0.14129054054054055</v>
      </c>
      <c r="BL429" s="1109">
        <f t="shared" si="194"/>
        <v>0</v>
      </c>
    </row>
    <row r="430" spans="2:64" hidden="1" outlineLevel="1">
      <c r="B430" s="1094"/>
      <c r="C430" s="1071" t="str">
        <f t="shared" ref="C430:F430" si="195">C127</f>
        <v>T017 - TOSHIBA X20 W20008079</v>
      </c>
      <c r="D430" s="1071" t="str">
        <f t="shared" si="195"/>
        <v>IT Equipment</v>
      </c>
      <c r="E430" s="1071" t="str">
        <f t="shared" si="195"/>
        <v>T0170223</v>
      </c>
      <c r="F430" s="1125">
        <f t="shared" si="195"/>
        <v>2020</v>
      </c>
      <c r="H430" s="1071" t="s">
        <v>29</v>
      </c>
      <c r="J430" s="1125"/>
      <c r="BB430" s="1108"/>
      <c r="BC430" s="1109"/>
      <c r="BD430" s="1109"/>
      <c r="BE430" s="1109"/>
      <c r="BF430" s="1585"/>
      <c r="BG430" s="1109"/>
      <c r="BH430" s="1109">
        <f t="shared" ref="BH430:BL430" si="196">IF($L127=0,0,(($BH127*O127)+($BI127*U127)+($BJ127*AA127)+($BK127*AG127)+($BL127*AM127))/$L127)</f>
        <v>0.17513999999999999</v>
      </c>
      <c r="BI430" s="1109">
        <f t="shared" si="196"/>
        <v>0.29208972972972974</v>
      </c>
      <c r="BJ430" s="1109">
        <f t="shared" si="196"/>
        <v>0.29208972972972974</v>
      </c>
      <c r="BK430" s="1109">
        <f t="shared" si="196"/>
        <v>0.14129054054054055</v>
      </c>
      <c r="BL430" s="1109">
        <f t="shared" si="196"/>
        <v>0</v>
      </c>
    </row>
    <row r="431" spans="2:64" hidden="1" outlineLevel="1">
      <c r="B431" s="1094"/>
      <c r="C431" s="1071" t="str">
        <f t="shared" ref="C431:F431" si="197">C128</f>
        <v>T017 - TOSHIBA X20 W20008018</v>
      </c>
      <c r="D431" s="1071" t="str">
        <f t="shared" si="197"/>
        <v>IT Equipment</v>
      </c>
      <c r="E431" s="1071" t="str">
        <f t="shared" si="197"/>
        <v>T0170240</v>
      </c>
      <c r="F431" s="1125">
        <f t="shared" si="197"/>
        <v>2020</v>
      </c>
      <c r="H431" s="1071" t="s">
        <v>29</v>
      </c>
      <c r="J431" s="1125"/>
      <c r="BB431" s="1108"/>
      <c r="BC431" s="1109"/>
      <c r="BD431" s="1109"/>
      <c r="BE431" s="1109"/>
      <c r="BF431" s="1585"/>
      <c r="BG431" s="1109"/>
      <c r="BH431" s="1109">
        <f t="shared" ref="BH431:BL431" si="198">IF($L128=0,0,(($BH128*O128)+($BI128*U128)+($BJ128*AA128)+($BK128*AG128)+($BL128*AM128))/$L128)</f>
        <v>0.29291000000000006</v>
      </c>
      <c r="BI431" s="1109">
        <f t="shared" si="198"/>
        <v>0.50213666666666668</v>
      </c>
      <c r="BJ431" s="1109">
        <f t="shared" si="198"/>
        <v>0.50213666666666668</v>
      </c>
      <c r="BK431" s="1109">
        <f t="shared" si="198"/>
        <v>0.20922666666666673</v>
      </c>
      <c r="BL431" s="1109">
        <f t="shared" si="198"/>
        <v>0</v>
      </c>
    </row>
    <row r="432" spans="2:64" hidden="1" outlineLevel="1">
      <c r="B432" s="1094"/>
      <c r="C432" s="1071" t="str">
        <f t="shared" ref="C432:F432" si="199">C129</f>
        <v>T017 - HP G7 CORE W20008101</v>
      </c>
      <c r="D432" s="1071" t="str">
        <f t="shared" si="199"/>
        <v>IT Equipment</v>
      </c>
      <c r="E432" s="1071" t="str">
        <f t="shared" si="199"/>
        <v>T0170251</v>
      </c>
      <c r="F432" s="1125">
        <f t="shared" si="199"/>
        <v>2020</v>
      </c>
      <c r="H432" s="1071" t="s">
        <v>29</v>
      </c>
      <c r="J432" s="1125"/>
      <c r="BB432" s="1108"/>
      <c r="BC432" s="1109"/>
      <c r="BD432" s="1109"/>
      <c r="BE432" s="1109"/>
      <c r="BF432" s="1585"/>
      <c r="BG432" s="1109"/>
      <c r="BH432" s="1109">
        <f t="shared" ref="BH432:BL432" si="200">IF($L129=0,0,(($BH129*O129)+($BI129*U129)+($BJ129*AA129)+($BK129*AG129)+($BL129*AM129))/$L129)</f>
        <v>0.13515999999999997</v>
      </c>
      <c r="BI432" s="1109">
        <f t="shared" si="200"/>
        <v>0.23166666666666666</v>
      </c>
      <c r="BJ432" s="1109">
        <f t="shared" si="200"/>
        <v>0.23166666666666666</v>
      </c>
      <c r="BK432" s="1109">
        <f t="shared" si="200"/>
        <v>9.6506666666666685E-2</v>
      </c>
      <c r="BL432" s="1109">
        <f t="shared" si="200"/>
        <v>0</v>
      </c>
    </row>
    <row r="433" spans="2:64" hidden="1" outlineLevel="1">
      <c r="B433" s="1094"/>
      <c r="C433" s="1071" t="str">
        <f t="shared" ref="C433:F433" si="201">C130</f>
        <v>T017 - OPTIPLEX5060 W20007744</v>
      </c>
      <c r="D433" s="1071" t="str">
        <f t="shared" si="201"/>
        <v>IT Equipment</v>
      </c>
      <c r="E433" s="1071" t="str">
        <f t="shared" si="201"/>
        <v>T0170252</v>
      </c>
      <c r="F433" s="1125">
        <f t="shared" si="201"/>
        <v>2020</v>
      </c>
      <c r="H433" s="1071" t="s">
        <v>29</v>
      </c>
      <c r="J433" s="1125"/>
      <c r="BB433" s="1108"/>
      <c r="BC433" s="1109"/>
      <c r="BD433" s="1109"/>
      <c r="BE433" s="1109"/>
      <c r="BF433" s="1585"/>
      <c r="BG433" s="1109"/>
      <c r="BH433" s="1109">
        <f t="shared" ref="BH433:BL433" si="202">IF($L130=0,0,(($BH130*O130)+($BI130*U130)+($BJ130*AA130)+($BK130*AG130)+($BL130*AM130))/$L130)</f>
        <v>0.20003999999999994</v>
      </c>
      <c r="BI433" s="1109">
        <f t="shared" si="202"/>
        <v>0.19999999999999998</v>
      </c>
      <c r="BJ433" s="1109">
        <f t="shared" si="202"/>
        <v>0.19996000000000003</v>
      </c>
      <c r="BK433" s="1109">
        <f t="shared" si="202"/>
        <v>0</v>
      </c>
      <c r="BL433" s="1109">
        <f t="shared" si="202"/>
        <v>0</v>
      </c>
    </row>
    <row r="434" spans="2:64" hidden="1" outlineLevel="1">
      <c r="B434" s="1094"/>
      <c r="C434" s="1071" t="str">
        <f t="shared" ref="C434:F434" si="203">C131</f>
        <v>T017 - TOSHIBA W20008071</v>
      </c>
      <c r="D434" s="1071" t="str">
        <f t="shared" si="203"/>
        <v>IT Equipment</v>
      </c>
      <c r="E434" s="1071" t="str">
        <f t="shared" si="203"/>
        <v>T0170264</v>
      </c>
      <c r="F434" s="1125">
        <f t="shared" si="203"/>
        <v>2020</v>
      </c>
      <c r="H434" s="1071" t="s">
        <v>29</v>
      </c>
      <c r="J434" s="1125"/>
      <c r="BB434" s="1108"/>
      <c r="BC434" s="1109"/>
      <c r="BD434" s="1109"/>
      <c r="BE434" s="1109"/>
      <c r="BF434" s="1585"/>
      <c r="BG434" s="1109"/>
      <c r="BH434" s="1109">
        <f t="shared" ref="BH434:BL434" si="204">IF($L131=0,0,(($BH131*O131)+($BI131*U131)+($BJ131*AA131)+($BK131*AG131)+($BL131*AM131))/$L131)</f>
        <v>0.11781000000000003</v>
      </c>
      <c r="BI434" s="1109">
        <f t="shared" si="204"/>
        <v>0.20193333333333335</v>
      </c>
      <c r="BJ434" s="1109">
        <f t="shared" si="204"/>
        <v>0.20193333333333335</v>
      </c>
      <c r="BK434" s="1109">
        <f t="shared" si="204"/>
        <v>8.41233333333333E-2</v>
      </c>
      <c r="BL434" s="1109">
        <f t="shared" si="204"/>
        <v>0</v>
      </c>
    </row>
    <row r="435" spans="2:64" hidden="1" outlineLevel="1">
      <c r="B435" s="1094"/>
      <c r="C435" s="1071" t="str">
        <f t="shared" ref="C435:F435" si="205">C132</f>
        <v>T017 - TOSHIBA W20008072</v>
      </c>
      <c r="D435" s="1071" t="str">
        <f t="shared" si="205"/>
        <v>IT Equipment</v>
      </c>
      <c r="E435" s="1071" t="str">
        <f t="shared" si="205"/>
        <v>T0170265</v>
      </c>
      <c r="F435" s="1125">
        <f t="shared" si="205"/>
        <v>2020</v>
      </c>
      <c r="H435" s="1071" t="s">
        <v>29</v>
      </c>
      <c r="J435" s="1125"/>
      <c r="BB435" s="1108"/>
      <c r="BC435" s="1109"/>
      <c r="BD435" s="1109"/>
      <c r="BE435" s="1109"/>
      <c r="BF435" s="1585"/>
      <c r="BG435" s="1109"/>
      <c r="BH435" s="1109">
        <f t="shared" ref="BH435:BL435" si="206">IF($L132=0,0,(($BH132*O132)+($BI132*U132)+($BJ132*AA132)+($BK132*AG132)+($BL132*AM132))/$L132)</f>
        <v>0.11781000000000003</v>
      </c>
      <c r="BI435" s="1109">
        <f t="shared" si="206"/>
        <v>0.20193333333333335</v>
      </c>
      <c r="BJ435" s="1109">
        <f t="shared" si="206"/>
        <v>0.20193333333333335</v>
      </c>
      <c r="BK435" s="1109">
        <f t="shared" si="206"/>
        <v>8.41233333333333E-2</v>
      </c>
      <c r="BL435" s="1109">
        <f t="shared" si="206"/>
        <v>0</v>
      </c>
    </row>
    <row r="436" spans="2:64" hidden="1" outlineLevel="1">
      <c r="B436" s="1094"/>
      <c r="C436" s="1071" t="str">
        <f t="shared" ref="C436:F436" si="207">C133</f>
        <v>T017 - TOSHIBA W20008079</v>
      </c>
      <c r="D436" s="1071" t="str">
        <f t="shared" si="207"/>
        <v>IT Equipment</v>
      </c>
      <c r="E436" s="1071" t="str">
        <f t="shared" si="207"/>
        <v>T0170271</v>
      </c>
      <c r="F436" s="1125">
        <f t="shared" si="207"/>
        <v>2020</v>
      </c>
      <c r="H436" s="1071" t="s">
        <v>29</v>
      </c>
      <c r="J436" s="1125"/>
      <c r="BB436" s="1108"/>
      <c r="BC436" s="1109"/>
      <c r="BD436" s="1109"/>
      <c r="BE436" s="1109"/>
      <c r="BF436" s="1585"/>
      <c r="BG436" s="1109"/>
      <c r="BH436" s="1109">
        <f t="shared" ref="BH436:BL436" si="208">IF($L133=0,0,(($BH133*O133)+($BI133*U133)+($BJ133*AA133)+($BK133*AG133)+($BL133*AM133))/$L133)</f>
        <v>0.11781000000000003</v>
      </c>
      <c r="BI436" s="1109">
        <f t="shared" si="208"/>
        <v>0.20193333333333335</v>
      </c>
      <c r="BJ436" s="1109">
        <f t="shared" si="208"/>
        <v>0.20193333333333335</v>
      </c>
      <c r="BK436" s="1109">
        <f t="shared" si="208"/>
        <v>8.41233333333333E-2</v>
      </c>
      <c r="BL436" s="1109">
        <f t="shared" si="208"/>
        <v>0</v>
      </c>
    </row>
    <row r="437" spans="2:64" hidden="1" outlineLevel="1">
      <c r="B437" s="1094"/>
      <c r="C437" s="1071" t="str">
        <f t="shared" ref="C437:F437" si="209">C134</f>
        <v>T017 - HP250G7 CORE W20008101</v>
      </c>
      <c r="D437" s="1071" t="str">
        <f t="shared" si="209"/>
        <v>IT Equipment</v>
      </c>
      <c r="E437" s="1071" t="str">
        <f t="shared" si="209"/>
        <v>T0170286</v>
      </c>
      <c r="F437" s="1125">
        <f t="shared" si="209"/>
        <v>2020</v>
      </c>
      <c r="H437" s="1071" t="s">
        <v>29</v>
      </c>
      <c r="J437" s="1125"/>
      <c r="BB437" s="1108"/>
      <c r="BC437" s="1109"/>
      <c r="BD437" s="1109"/>
      <c r="BE437" s="1109"/>
      <c r="BF437" s="1585"/>
      <c r="BG437" s="1109"/>
      <c r="BH437" s="1109">
        <f t="shared" ref="BH437:BL437" si="210">IF($L134=0,0,(($BH134*O134)+($BI134*U134)+($BJ134*AA134)+($BK134*AG134)+($BL134*AM134))/$L134)</f>
        <v>0.13515999999999997</v>
      </c>
      <c r="BI437" s="1109">
        <f t="shared" si="210"/>
        <v>0.23166666666666666</v>
      </c>
      <c r="BJ437" s="1109">
        <f t="shared" si="210"/>
        <v>0.23166666666666666</v>
      </c>
      <c r="BK437" s="1109">
        <f t="shared" si="210"/>
        <v>9.6506666666666685E-2</v>
      </c>
      <c r="BL437" s="1109">
        <f t="shared" si="210"/>
        <v>0</v>
      </c>
    </row>
    <row r="438" spans="2:64" hidden="1" outlineLevel="1">
      <c r="B438" s="1094"/>
      <c r="C438" s="1071" t="str">
        <f t="shared" ref="C438:F438" si="211">C135</f>
        <v>T017 - HP250G7 CORE W20008103</v>
      </c>
      <c r="D438" s="1071" t="str">
        <f t="shared" si="211"/>
        <v>IT Equipment</v>
      </c>
      <c r="E438" s="1071" t="str">
        <f t="shared" si="211"/>
        <v>T0170288</v>
      </c>
      <c r="F438" s="1125">
        <f t="shared" si="211"/>
        <v>2020</v>
      </c>
      <c r="H438" s="1071" t="s">
        <v>29</v>
      </c>
      <c r="J438" s="1125"/>
      <c r="BB438" s="1108"/>
      <c r="BC438" s="1109"/>
      <c r="BD438" s="1109"/>
      <c r="BE438" s="1109"/>
      <c r="BF438" s="1585"/>
      <c r="BG438" s="1109"/>
      <c r="BH438" s="1109">
        <f t="shared" ref="BH438:BL438" si="212">IF($L135=0,0,(($BH135*O135)+($BI135*U135)+($BJ135*AA135)+($BK135*AG135)+($BL135*AM135))/$L135)</f>
        <v>0.13515999999999997</v>
      </c>
      <c r="BI438" s="1109">
        <f t="shared" si="212"/>
        <v>0.23166666666666666</v>
      </c>
      <c r="BJ438" s="1109">
        <f t="shared" si="212"/>
        <v>0.23166666666666666</v>
      </c>
      <c r="BK438" s="1109">
        <f t="shared" si="212"/>
        <v>9.6506666666666685E-2</v>
      </c>
      <c r="BL438" s="1109">
        <f t="shared" si="212"/>
        <v>0</v>
      </c>
    </row>
    <row r="439" spans="2:64" hidden="1" outlineLevel="1">
      <c r="B439" s="1094"/>
      <c r="C439" s="1071" t="str">
        <f t="shared" ref="C439:F439" si="213">C136</f>
        <v>T017 - OPTIPLEX5060 W20007789</v>
      </c>
      <c r="D439" s="1071" t="str">
        <f t="shared" si="213"/>
        <v>IT Equipment</v>
      </c>
      <c r="E439" s="1071" t="str">
        <f t="shared" si="213"/>
        <v>T0170289</v>
      </c>
      <c r="F439" s="1125">
        <f t="shared" si="213"/>
        <v>2020</v>
      </c>
      <c r="H439" s="1071" t="s">
        <v>29</v>
      </c>
      <c r="J439" s="1125"/>
      <c r="BB439" s="1108"/>
      <c r="BC439" s="1109"/>
      <c r="BD439" s="1109"/>
      <c r="BE439" s="1109"/>
      <c r="BF439" s="1585"/>
      <c r="BG439" s="1109"/>
      <c r="BH439" s="1109">
        <f t="shared" ref="BH439:BL439" si="214">IF($L136=0,0,(($BH136*O136)+($BI136*U136)+($BJ136*AA136)+($BK136*AG136)+($BL136*AM136))/$L136)</f>
        <v>0.20003999999999994</v>
      </c>
      <c r="BI439" s="1109">
        <f t="shared" si="214"/>
        <v>0.19999999999999998</v>
      </c>
      <c r="BJ439" s="1109">
        <f t="shared" si="214"/>
        <v>0.19996000000000003</v>
      </c>
      <c r="BK439" s="1109">
        <f t="shared" si="214"/>
        <v>0</v>
      </c>
      <c r="BL439" s="1109">
        <f t="shared" si="214"/>
        <v>0</v>
      </c>
    </row>
    <row r="440" spans="2:64" hidden="1" outlineLevel="1">
      <c r="B440" s="1094"/>
      <c r="C440" s="1071" t="str">
        <f t="shared" ref="C440:F440" si="215">C137</f>
        <v>T017 - QUEST W20007746</v>
      </c>
      <c r="D440" s="1071" t="str">
        <f t="shared" si="215"/>
        <v>IT Equipment</v>
      </c>
      <c r="E440" s="1071" t="str">
        <f t="shared" si="215"/>
        <v>T0170295</v>
      </c>
      <c r="F440" s="1125">
        <f t="shared" si="215"/>
        <v>2020</v>
      </c>
      <c r="H440" s="1071" t="s">
        <v>29</v>
      </c>
      <c r="J440" s="1125"/>
      <c r="BB440" s="1108"/>
      <c r="BC440" s="1109"/>
      <c r="BD440" s="1109"/>
      <c r="BE440" s="1109"/>
      <c r="BF440" s="1585"/>
      <c r="BG440" s="1109"/>
      <c r="BH440" s="1109">
        <f t="shared" ref="BH440:BL440" si="216">IF($L137=0,0,(($BH137*O137)+($BI137*U137)+($BJ137*AA137)+($BK137*AG137)+($BL137*AM137))/$L137)</f>
        <v>7.4270000000000003E-2</v>
      </c>
      <c r="BI440" s="1109">
        <f t="shared" si="216"/>
        <v>0.89125333333333345</v>
      </c>
      <c r="BJ440" s="1109">
        <f t="shared" si="216"/>
        <v>0.89125333333333345</v>
      </c>
      <c r="BK440" s="1109">
        <f t="shared" si="216"/>
        <v>0.81698333333333339</v>
      </c>
      <c r="BL440" s="1109">
        <f t="shared" si="216"/>
        <v>0</v>
      </c>
    </row>
    <row r="441" spans="2:64" hidden="1" outlineLevel="1">
      <c r="B441" s="1094"/>
      <c r="C441" s="1071" t="str">
        <f t="shared" ref="C441:F441" si="217">C138</f>
        <v>T018 - HP COLOR LASERJET BCY</v>
      </c>
      <c r="D441" s="1071" t="str">
        <f t="shared" si="217"/>
        <v>IT Equipment</v>
      </c>
      <c r="E441" s="1071" t="str">
        <f t="shared" si="217"/>
        <v>T0180063</v>
      </c>
      <c r="F441" s="1125">
        <f t="shared" si="217"/>
        <v>2020</v>
      </c>
      <c r="H441" s="1071" t="s">
        <v>29</v>
      </c>
      <c r="J441" s="1125"/>
      <c r="BB441" s="1108"/>
      <c r="BC441" s="1109"/>
      <c r="BD441" s="1109"/>
      <c r="BE441" s="1109"/>
      <c r="BF441" s="1585"/>
      <c r="BG441" s="1109"/>
      <c r="BH441" s="1109">
        <f t="shared" ref="BH441:BL441" si="218">IF($L138=0,0,(($BH138*O138)+($BI138*U138)+($BJ138*AA138)+($BK138*AG138)+($BL138*AM138))/$L138)</f>
        <v>0.38751000000000002</v>
      </c>
      <c r="BI441" s="1109">
        <f t="shared" si="218"/>
        <v>1.55</v>
      </c>
      <c r="BJ441" s="1109">
        <f t="shared" si="218"/>
        <v>1.55</v>
      </c>
      <c r="BK441" s="1109">
        <f t="shared" si="218"/>
        <v>1.1624900000000002</v>
      </c>
      <c r="BL441" s="1109">
        <f t="shared" si="218"/>
        <v>0</v>
      </c>
    </row>
    <row r="442" spans="2:64" hidden="1" outlineLevel="1">
      <c r="B442" s="1094"/>
      <c r="C442" s="1071" t="str">
        <f t="shared" ref="C442:F442" si="219">C139</f>
        <v>T017 - TOSHIBA X20 W20008075</v>
      </c>
      <c r="D442" s="1071" t="str">
        <f t="shared" si="219"/>
        <v>IT Equipment</v>
      </c>
      <c r="E442" s="1071" t="str">
        <f t="shared" si="219"/>
        <v>T0170220</v>
      </c>
      <c r="F442" s="1125">
        <f t="shared" si="219"/>
        <v>2020</v>
      </c>
      <c r="H442" s="1071" t="s">
        <v>29</v>
      </c>
      <c r="J442" s="1125"/>
      <c r="BB442" s="1108"/>
      <c r="BC442" s="1109"/>
      <c r="BD442" s="1109"/>
      <c r="BE442" s="1109"/>
      <c r="BF442" s="1585"/>
      <c r="BG442" s="1109"/>
      <c r="BH442" s="1109">
        <f t="shared" ref="BH442:BL442" si="220">IF($L139=0,0,(($BH139*O139)+($BI139*U139)+($BJ139*AA139)+($BK139*AG139)+($BL139*AM139))/$L139)</f>
        <v>0.17513999999999999</v>
      </c>
      <c r="BI442" s="1109">
        <f t="shared" si="220"/>
        <v>0.29208972972972974</v>
      </c>
      <c r="BJ442" s="1109">
        <f t="shared" si="220"/>
        <v>0.29208972972972974</v>
      </c>
      <c r="BK442" s="1109">
        <f t="shared" si="220"/>
        <v>0.14129054054054055</v>
      </c>
      <c r="BL442" s="1109">
        <f t="shared" si="220"/>
        <v>0</v>
      </c>
    </row>
    <row r="443" spans="2:64" hidden="1" outlineLevel="1">
      <c r="B443" s="1094"/>
      <c r="C443" s="1071" t="str">
        <f t="shared" ref="C443:F443" si="221">C140</f>
        <v>T017 - TOSHIBA X20 W20008017</v>
      </c>
      <c r="D443" s="1071" t="str">
        <f t="shared" si="221"/>
        <v>IT Equipment</v>
      </c>
      <c r="E443" s="1071" t="str">
        <f t="shared" si="221"/>
        <v>T0170239</v>
      </c>
      <c r="F443" s="1125">
        <f t="shared" si="221"/>
        <v>2020</v>
      </c>
      <c r="H443" s="1071" t="s">
        <v>29</v>
      </c>
      <c r="J443" s="1125"/>
      <c r="BB443" s="1108"/>
      <c r="BC443" s="1109"/>
      <c r="BD443" s="1109"/>
      <c r="BE443" s="1109"/>
      <c r="BF443" s="1585"/>
      <c r="BG443" s="1109"/>
      <c r="BH443" s="1109">
        <f t="shared" ref="BH443:BL443" si="222">IF($L140=0,0,(($BH140*O140)+($BI140*U140)+($BJ140*AA140)+($BK140*AG140)+($BL140*AM140))/$L140)</f>
        <v>0.29291000000000006</v>
      </c>
      <c r="BI443" s="1109">
        <f t="shared" si="222"/>
        <v>0.50213666666666668</v>
      </c>
      <c r="BJ443" s="1109">
        <f t="shared" si="222"/>
        <v>0.50213666666666668</v>
      </c>
      <c r="BK443" s="1109">
        <f t="shared" si="222"/>
        <v>0.20922666666666673</v>
      </c>
      <c r="BL443" s="1109">
        <f t="shared" si="222"/>
        <v>0</v>
      </c>
    </row>
    <row r="444" spans="2:64" hidden="1" outlineLevel="1">
      <c r="B444" s="1094"/>
      <c r="C444" s="1071" t="str">
        <f t="shared" ref="C444:F444" si="223">C141</f>
        <v>T017 - TOSHIBA W20008075</v>
      </c>
      <c r="D444" s="1071" t="str">
        <f t="shared" si="223"/>
        <v>IT Equipment</v>
      </c>
      <c r="E444" s="1071" t="str">
        <f t="shared" si="223"/>
        <v>T0170268</v>
      </c>
      <c r="F444" s="1125">
        <f t="shared" si="223"/>
        <v>2020</v>
      </c>
      <c r="H444" s="1071" t="s">
        <v>29</v>
      </c>
      <c r="J444" s="1125"/>
      <c r="BB444" s="1108"/>
      <c r="BC444" s="1109"/>
      <c r="BD444" s="1109"/>
      <c r="BE444" s="1109"/>
      <c r="BF444" s="1585"/>
      <c r="BG444" s="1109"/>
      <c r="BH444" s="1109">
        <f t="shared" ref="BH444:BL444" si="224">IF($L141=0,0,(($BH141*O141)+($BI141*U141)+($BJ141*AA141)+($BK141*AG141)+($BL141*AM141))/$L141)</f>
        <v>0.11781000000000003</v>
      </c>
      <c r="BI444" s="1109">
        <f t="shared" si="224"/>
        <v>0.20193333333333335</v>
      </c>
      <c r="BJ444" s="1109">
        <f t="shared" si="224"/>
        <v>0.20193333333333335</v>
      </c>
      <c r="BK444" s="1109">
        <f t="shared" si="224"/>
        <v>8.41233333333333E-2</v>
      </c>
      <c r="BL444" s="1109">
        <f t="shared" si="224"/>
        <v>0</v>
      </c>
    </row>
    <row r="445" spans="2:64" hidden="1" outlineLevel="1">
      <c r="B445" s="1094"/>
      <c r="C445" s="1071" t="str">
        <f t="shared" ref="C445:F445" si="225">C142</f>
        <v>T022 - DAAMS OMP PACKAGE</v>
      </c>
      <c r="D445" s="1071" t="str">
        <f t="shared" si="225"/>
        <v>DAAMS OMP PACKAGE</v>
      </c>
      <c r="E445" s="1071" t="str">
        <f t="shared" si="225"/>
        <v>T0220001</v>
      </c>
      <c r="F445" s="1125">
        <f t="shared" si="225"/>
        <v>2020</v>
      </c>
      <c r="H445" s="1071" t="s">
        <v>29</v>
      </c>
      <c r="J445" s="1125"/>
      <c r="BB445" s="1108"/>
      <c r="BC445" s="1109"/>
      <c r="BD445" s="1109"/>
      <c r="BE445" s="1109"/>
      <c r="BF445" s="1585"/>
      <c r="BG445" s="1109"/>
      <c r="BH445" s="1109">
        <f t="shared" ref="BH445:BL445" si="226">IF($L142=0,0,(($BH142*O142)+($BI142*U142)+($BJ142*AA142)+($BK142*AG142)+($BL142*AM142))/$L142)</f>
        <v>6.6666800000000004</v>
      </c>
      <c r="BI445" s="1109">
        <f t="shared" si="226"/>
        <v>20</v>
      </c>
      <c r="BJ445" s="1109">
        <f t="shared" si="226"/>
        <v>20</v>
      </c>
      <c r="BK445" s="1109">
        <f t="shared" si="226"/>
        <v>13.333319999999999</v>
      </c>
      <c r="BL445" s="1109">
        <f t="shared" si="226"/>
        <v>0</v>
      </c>
    </row>
    <row r="446" spans="2:64" hidden="1" outlineLevel="1">
      <c r="B446" s="1094"/>
      <c r="C446" s="1071" t="str">
        <f t="shared" ref="C446:F446" si="227">C143</f>
        <v>S024 - BCY ITRoom Upgrades</v>
      </c>
      <c r="D446" s="1071" t="str">
        <f t="shared" si="227"/>
        <v>IT Room Upgrades</v>
      </c>
      <c r="E446" s="1071" t="str">
        <f t="shared" si="227"/>
        <v>S0240011</v>
      </c>
      <c r="F446" s="1125">
        <f t="shared" si="227"/>
        <v>2020</v>
      </c>
      <c r="H446" s="1071" t="s">
        <v>29</v>
      </c>
      <c r="J446" s="1125"/>
      <c r="BB446" s="1108"/>
      <c r="BC446" s="1109"/>
      <c r="BD446" s="1109"/>
      <c r="BE446" s="1109"/>
      <c r="BF446" s="1585"/>
      <c r="BG446" s="1109"/>
      <c r="BH446" s="1109">
        <f t="shared" ref="BH446:BL446" si="228">IF($L143=0,0,(($BH143*O143)+($BI143*U143)+($BJ143*AA143)+($BK143*AG143)+($BL143*AM143))/$L143)</f>
        <v>0.91413</v>
      </c>
      <c r="BI446" s="1109">
        <f t="shared" si="228"/>
        <v>10.96956</v>
      </c>
      <c r="BJ446" s="1109">
        <f t="shared" si="228"/>
        <v>10.96956</v>
      </c>
      <c r="BK446" s="1109">
        <f t="shared" si="228"/>
        <v>10.96956</v>
      </c>
      <c r="BL446" s="1109">
        <f t="shared" si="228"/>
        <v>10.96956</v>
      </c>
    </row>
    <row r="447" spans="2:64" hidden="1" outlineLevel="1">
      <c r="B447" s="1094"/>
      <c r="C447" s="1071" t="str">
        <f t="shared" ref="C447:F447" si="229">C144</f>
        <v>T019 - 2 Servers BCY</v>
      </c>
      <c r="D447" s="1071" t="str">
        <f t="shared" si="229"/>
        <v>IT Servers</v>
      </c>
      <c r="E447" s="1071" t="str">
        <f t="shared" si="229"/>
        <v>T0190003</v>
      </c>
      <c r="F447" s="1125">
        <f t="shared" si="229"/>
        <v>2020</v>
      </c>
      <c r="H447" s="1071" t="s">
        <v>29</v>
      </c>
      <c r="J447" s="1125"/>
      <c r="BB447" s="1108"/>
      <c r="BC447" s="1109"/>
      <c r="BD447" s="1109"/>
      <c r="BE447" s="1109"/>
      <c r="BF447" s="1585"/>
      <c r="BG447" s="1109"/>
      <c r="BH447" s="1109">
        <f t="shared" ref="BH447:BL447" si="230">IF($L144=0,0,(($BH144*O144)+($BI144*U144)+($BJ144*AA144)+($BK144*AG144)+($BL144*AM144))/$L144)</f>
        <v>16.286279999999998</v>
      </c>
      <c r="BI447" s="1109">
        <f t="shared" si="230"/>
        <v>16.286259999999999</v>
      </c>
      <c r="BJ447" s="1109">
        <f t="shared" si="230"/>
        <v>16.286239999999999</v>
      </c>
      <c r="BK447" s="1109">
        <f t="shared" si="230"/>
        <v>0</v>
      </c>
      <c r="BL447" s="1109">
        <f t="shared" si="230"/>
        <v>0</v>
      </c>
    </row>
    <row r="448" spans="2:64" hidden="1" outlineLevel="1">
      <c r="B448" s="1094"/>
      <c r="C448" s="1071" t="str">
        <f t="shared" ref="C448:F448" si="231">C145</f>
        <v>T019 - 1 Server SHN</v>
      </c>
      <c r="D448" s="1071" t="str">
        <f t="shared" si="231"/>
        <v>IT Servers</v>
      </c>
      <c r="E448" s="1071" t="str">
        <f t="shared" si="231"/>
        <v>T0190004</v>
      </c>
      <c r="F448" s="1125">
        <f t="shared" si="231"/>
        <v>2020</v>
      </c>
      <c r="H448" s="1071" t="s">
        <v>29</v>
      </c>
      <c r="J448" s="1125"/>
      <c r="BB448" s="1108"/>
      <c r="BC448" s="1109"/>
      <c r="BD448" s="1109"/>
      <c r="BE448" s="1109"/>
      <c r="BF448" s="1585"/>
      <c r="BG448" s="1109"/>
      <c r="BH448" s="1109">
        <f t="shared" ref="BH448:BL448" si="232">IF($L145=0,0,(($BH145*O145)+($BI145*U145)+($BJ145*AA145)+($BK145*AG145)+($BL145*AM145))/$L145)</f>
        <v>0.50036000000000003</v>
      </c>
      <c r="BI448" s="1109">
        <f t="shared" si="232"/>
        <v>0.85775999999999997</v>
      </c>
      <c r="BJ448" s="1109">
        <f t="shared" si="232"/>
        <v>0.85775999999999997</v>
      </c>
      <c r="BK448" s="1109">
        <f t="shared" si="232"/>
        <v>0.3574</v>
      </c>
      <c r="BL448" s="1109">
        <f t="shared" si="232"/>
        <v>0</v>
      </c>
    </row>
    <row r="449" spans="2:64" hidden="1" outlineLevel="1">
      <c r="B449" s="1094"/>
      <c r="C449" s="1071" t="str">
        <f t="shared" ref="C449:F449" si="233">C146</f>
        <v>P003 - RBS Radios Rosslare</v>
      </c>
      <c r="D449" s="1071" t="str">
        <f t="shared" si="233"/>
        <v>RBS Radios Rosslare</v>
      </c>
      <c r="E449" s="1071" t="str">
        <f t="shared" si="233"/>
        <v>P0030002</v>
      </c>
      <c r="F449" s="1125">
        <f t="shared" si="233"/>
        <v>2020</v>
      </c>
      <c r="H449" s="1071" t="s">
        <v>29</v>
      </c>
      <c r="J449" s="1125"/>
      <c r="BB449" s="1108"/>
      <c r="BC449" s="1109"/>
      <c r="BD449" s="1109"/>
      <c r="BE449" s="1109"/>
      <c r="BF449" s="1585"/>
      <c r="BG449" s="1109"/>
      <c r="BH449" s="1109">
        <f t="shared" ref="BH449:BL449" si="234">IF($L146=0,0,(($BH146*O146)+($BI146*U146)+($BJ146*AA146)+($BK146*AG146)+($BL146*AM146))/$L146)</f>
        <v>1.3784799999999999</v>
      </c>
      <c r="BI449" s="1109">
        <f t="shared" si="234"/>
        <v>4.1354049999999996</v>
      </c>
      <c r="BJ449" s="1109">
        <f t="shared" si="234"/>
        <v>4.1354049999999996</v>
      </c>
      <c r="BK449" s="1109">
        <f t="shared" si="234"/>
        <v>4.1354049999999996</v>
      </c>
      <c r="BL449" s="1109">
        <f t="shared" si="234"/>
        <v>4.1354049999999996</v>
      </c>
    </row>
    <row r="450" spans="2:64" hidden="1" outlineLevel="1">
      <c r="B450" s="1094"/>
      <c r="C450" s="1071" t="str">
        <f t="shared" ref="C450:F450" si="235">C147</f>
        <v>Q027 HQ ICT Room Upgrades</v>
      </c>
      <c r="D450" s="1071" t="str">
        <f t="shared" si="235"/>
        <v>ICT Room Upgrades</v>
      </c>
      <c r="E450" s="1071" t="str">
        <f t="shared" si="235"/>
        <v>Q0270010</v>
      </c>
      <c r="F450" s="1125">
        <f t="shared" si="235"/>
        <v>2020</v>
      </c>
      <c r="H450" s="1071" t="s">
        <v>29</v>
      </c>
      <c r="J450" s="1125"/>
      <c r="BB450" s="1108"/>
      <c r="BC450" s="1109"/>
      <c r="BD450" s="1109"/>
      <c r="BE450" s="1109"/>
      <c r="BF450" s="1585"/>
      <c r="BG450" s="1109"/>
      <c r="BH450" s="1109">
        <f t="shared" ref="BH450:BL450" si="236">IF($L147=0,0,(($BH147*O147)+($BI147*U147)+($BJ147*AA147)+($BK147*AG147)+($BL147*AM147))/$L147)</f>
        <v>5.0743200000000002</v>
      </c>
      <c r="BI450" s="1109">
        <f t="shared" si="236"/>
        <v>5.0743266666666669</v>
      </c>
      <c r="BJ450" s="1109">
        <f t="shared" si="236"/>
        <v>5.0743266666666669</v>
      </c>
      <c r="BK450" s="1109">
        <f t="shared" si="236"/>
        <v>6.6666666673931761E-6</v>
      </c>
      <c r="BL450" s="1109">
        <f t="shared" si="236"/>
        <v>0</v>
      </c>
    </row>
    <row r="451" spans="2:64" hidden="1" outlineLevel="1">
      <c r="B451" s="1094"/>
      <c r="C451" s="1071" t="str">
        <f t="shared" ref="C451:F451" si="237">C148</f>
        <v>Q027 BCY ICT Room Upgrades</v>
      </c>
      <c r="D451" s="1071" t="str">
        <f t="shared" si="237"/>
        <v>ICT Room Upgrades</v>
      </c>
      <c r="E451" s="1071" t="str">
        <f t="shared" si="237"/>
        <v>Q0270009</v>
      </c>
      <c r="F451" s="1125">
        <f t="shared" si="237"/>
        <v>2020</v>
      </c>
      <c r="H451" s="1071" t="s">
        <v>29</v>
      </c>
      <c r="J451" s="1125"/>
      <c r="BB451" s="1108"/>
      <c r="BC451" s="1109"/>
      <c r="BD451" s="1109"/>
      <c r="BE451" s="1109"/>
      <c r="BF451" s="1585"/>
      <c r="BG451" s="1109"/>
      <c r="BH451" s="1109">
        <f t="shared" ref="BH451:BL451" si="238">IF($L148=0,0,(($BH148*O148)+($BI148*U148)+($BJ148*AA148)+($BK148*AG148)+($BL148*AM148))/$L148)</f>
        <v>5.1155399999999993</v>
      </c>
      <c r="BI451" s="1109">
        <f t="shared" si="238"/>
        <v>5.5805533333333335</v>
      </c>
      <c r="BJ451" s="1109">
        <f t="shared" si="238"/>
        <v>5.5805533333333335</v>
      </c>
      <c r="BK451" s="1109">
        <f t="shared" si="238"/>
        <v>0.46501333333333406</v>
      </c>
      <c r="BL451" s="1109">
        <f t="shared" si="238"/>
        <v>0</v>
      </c>
    </row>
    <row r="452" spans="2:64" hidden="1" outlineLevel="1">
      <c r="B452" s="1094"/>
      <c r="C452" s="1071" t="str">
        <f t="shared" ref="C452:F452" si="239">C149</f>
        <v>S004 - NRT2</v>
      </c>
      <c r="D452" s="1071" t="str">
        <f t="shared" si="239"/>
        <v>NRT2</v>
      </c>
      <c r="E452" s="1071" t="str">
        <f t="shared" si="239"/>
        <v>S0040015</v>
      </c>
      <c r="F452" s="1125">
        <f t="shared" si="239"/>
        <v>2020</v>
      </c>
      <c r="H452" s="1071" t="s">
        <v>29</v>
      </c>
      <c r="J452" s="1125"/>
      <c r="BB452" s="1108"/>
      <c r="BC452" s="1109"/>
      <c r="BD452" s="1109"/>
      <c r="BE452" s="1109"/>
      <c r="BF452" s="1585"/>
      <c r="BG452" s="1109"/>
      <c r="BH452" s="1109">
        <f t="shared" ref="BH452:BL452" si="240">IF($L149=0,0,(($BH149*O149)+($BI149*U149)+($BJ149*AA149)+($BK149*AG149)+($BL149*AM149))/$L149)</f>
        <v>1.0425800000000001</v>
      </c>
      <c r="BI452" s="1109">
        <f t="shared" si="240"/>
        <v>1.1374</v>
      </c>
      <c r="BJ452" s="1109">
        <f t="shared" si="240"/>
        <v>1.1374</v>
      </c>
      <c r="BK452" s="1109">
        <f t="shared" si="240"/>
        <v>1.1374</v>
      </c>
      <c r="BL452" s="1109">
        <f t="shared" si="240"/>
        <v>1.1374</v>
      </c>
    </row>
    <row r="453" spans="2:64" hidden="1" outlineLevel="1">
      <c r="B453" s="1094"/>
      <c r="C453" s="1071" t="str">
        <f t="shared" ref="C453:F453" si="241">C150</f>
        <v>S004 - NRT2</v>
      </c>
      <c r="D453" s="1071" t="str">
        <f t="shared" si="241"/>
        <v>NRT2</v>
      </c>
      <c r="E453" s="1071" t="str">
        <f t="shared" si="241"/>
        <v>S0040014</v>
      </c>
      <c r="F453" s="1125">
        <f t="shared" si="241"/>
        <v>2020</v>
      </c>
      <c r="H453" s="1071" t="s">
        <v>29</v>
      </c>
      <c r="J453" s="1125"/>
      <c r="BB453" s="1108"/>
      <c r="BC453" s="1109"/>
      <c r="BD453" s="1109"/>
      <c r="BE453" s="1109"/>
      <c r="BF453" s="1585"/>
      <c r="BG453" s="1109"/>
      <c r="BH453" s="1109">
        <f t="shared" ref="BH453:BL453" si="242">IF($L150=0,0,(($BH150*O150)+($BI150*U150)+($BJ150*AA150)+($BK150*AG150)+($BL150*AM150))/$L150)</f>
        <v>2.08527</v>
      </c>
      <c r="BI453" s="1109">
        <f t="shared" si="242"/>
        <v>2.2747999999999999</v>
      </c>
      <c r="BJ453" s="1109">
        <f t="shared" si="242"/>
        <v>2.2747999999999999</v>
      </c>
      <c r="BK453" s="1109">
        <f t="shared" si="242"/>
        <v>2.2747999999999999</v>
      </c>
      <c r="BL453" s="1109">
        <f t="shared" si="242"/>
        <v>2.2747999999999999</v>
      </c>
    </row>
    <row r="454" spans="2:64" hidden="1" outlineLevel="1">
      <c r="B454" s="1094"/>
      <c r="C454" s="1071" t="str">
        <f t="shared" ref="C454:F454" si="243">C151</f>
        <v>T013 - KF73875 FF AVIOR ELBRUS HBACK OPERATOR x2</v>
      </c>
      <c r="D454" s="1071" t="str">
        <f t="shared" si="243"/>
        <v>Office Equipment</v>
      </c>
      <c r="E454" s="1071" t="str">
        <f t="shared" si="243"/>
        <v>t0130005</v>
      </c>
      <c r="F454" s="1125">
        <f t="shared" si="243"/>
        <v>2020</v>
      </c>
      <c r="H454" s="1071" t="s">
        <v>29</v>
      </c>
      <c r="J454" s="1125"/>
      <c r="BB454" s="1108"/>
      <c r="BC454" s="1109"/>
      <c r="BD454" s="1109"/>
      <c r="BE454" s="1109"/>
      <c r="BF454" s="1585"/>
      <c r="BG454" s="1109"/>
      <c r="BH454" s="1109">
        <f t="shared" ref="BH454:BL454" si="244">IF($L151=0,0,(($BH151*O151)+($BI151*U151)+($BJ151*AA151)+($BK151*AG151)+($BL151*AM151))/$L151)</f>
        <v>0.126</v>
      </c>
      <c r="BI454" s="1109">
        <f t="shared" si="244"/>
        <v>0.16800000000000001</v>
      </c>
      <c r="BJ454" s="1109">
        <f t="shared" si="244"/>
        <v>0.16800000000000001</v>
      </c>
      <c r="BK454" s="1109">
        <f t="shared" si="244"/>
        <v>0.16800000000000001</v>
      </c>
      <c r="BL454" s="1109">
        <f t="shared" si="244"/>
        <v>0.16800000000000001</v>
      </c>
    </row>
    <row r="455" spans="2:64" hidden="1" outlineLevel="1">
      <c r="B455" s="1094"/>
      <c r="C455" s="1071" t="str">
        <f t="shared" ref="C455:F455" si="245">C152</f>
        <v>T013 - OFFICE CHAIRS SHEFFIELD GREY x2</v>
      </c>
      <c r="D455" s="1071" t="str">
        <f t="shared" si="245"/>
        <v>Office Equipment</v>
      </c>
      <c r="E455" s="1071" t="str">
        <f t="shared" si="245"/>
        <v>T0130004</v>
      </c>
      <c r="F455" s="1125">
        <f t="shared" si="245"/>
        <v>2020</v>
      </c>
      <c r="H455" s="1071" t="s">
        <v>29</v>
      </c>
      <c r="J455" s="1125"/>
      <c r="BB455" s="1108"/>
      <c r="BC455" s="1109"/>
      <c r="BD455" s="1109"/>
      <c r="BE455" s="1109"/>
      <c r="BF455" s="1585"/>
      <c r="BG455" s="1109"/>
      <c r="BH455" s="1109">
        <f t="shared" ref="BH455:BL455" si="246">IF($L152=0,0,(($BH152*O152)+($BI152*U152)+($BJ152*AA152)+($BK152*AG152)+($BL152*AM152))/$L152)</f>
        <v>0.1827</v>
      </c>
      <c r="BI455" s="1109">
        <f t="shared" si="246"/>
        <v>0.24359999999999998</v>
      </c>
      <c r="BJ455" s="1109">
        <f t="shared" si="246"/>
        <v>0.24359999999999998</v>
      </c>
      <c r="BK455" s="1109">
        <f t="shared" si="246"/>
        <v>0.24359999999999998</v>
      </c>
      <c r="BL455" s="1109">
        <f t="shared" si="246"/>
        <v>0.24359999999999998</v>
      </c>
    </row>
    <row r="456" spans="2:64" hidden="1" outlineLevel="1">
      <c r="B456" s="1094"/>
      <c r="C456" s="1071" t="str">
        <f t="shared" ref="C456:F456" si="247">C153</f>
        <v>New Dublin Tower - Building</v>
      </c>
      <c r="D456" s="1071" t="str">
        <f t="shared" si="247"/>
        <v>New Dublin Tower</v>
      </c>
      <c r="E456" s="1071" t="str">
        <f t="shared" si="247"/>
        <v>R034</v>
      </c>
      <c r="F456" s="1125" t="str">
        <f t="shared" si="247"/>
        <v>2021-2024</v>
      </c>
      <c r="H456" s="1071" t="s">
        <v>29</v>
      </c>
      <c r="J456" s="1125"/>
      <c r="BB456" s="1108"/>
      <c r="BC456" s="1109"/>
      <c r="BD456" s="1109"/>
      <c r="BE456" s="1109"/>
      <c r="BF456" s="1585"/>
      <c r="BG456" s="1109"/>
      <c r="BH456" s="1109">
        <f t="shared" ref="BH456:BL456" si="248">IF($L153=0,0,(($BH153*O153)+($BI153*U153)+($BJ153*AA153)+($BK153*AG153)+($BL153*AM153))/$L153)</f>
        <v>0</v>
      </c>
      <c r="BI456" s="1109">
        <f t="shared" si="248"/>
        <v>454.90783124999996</v>
      </c>
      <c r="BJ456" s="1109">
        <f t="shared" si="248"/>
        <v>909.81566249999992</v>
      </c>
      <c r="BK456" s="1109">
        <f t="shared" si="248"/>
        <v>909.81566249999992</v>
      </c>
      <c r="BL456" s="1109">
        <f t="shared" si="248"/>
        <v>909.81566249999992</v>
      </c>
    </row>
    <row r="457" spans="2:64" hidden="1" outlineLevel="1">
      <c r="B457" s="1094"/>
      <c r="C457" s="1071" t="str">
        <f t="shared" ref="C457:F457" si="249">C154</f>
        <v>New Dublin Tower Equipment</v>
      </c>
      <c r="D457" s="1071" t="str">
        <f t="shared" si="249"/>
        <v>New Dublin Tower</v>
      </c>
      <c r="E457" s="1071" t="str">
        <f t="shared" si="249"/>
        <v>R035</v>
      </c>
      <c r="F457" s="1125" t="str">
        <f t="shared" si="249"/>
        <v>2021-2024</v>
      </c>
      <c r="H457" s="1071" t="s">
        <v>29</v>
      </c>
      <c r="J457" s="1125"/>
      <c r="BB457" s="1108"/>
      <c r="BC457" s="1109"/>
      <c r="BD457" s="1109"/>
      <c r="BE457" s="1109"/>
      <c r="BF457" s="1585"/>
      <c r="BG457" s="1109"/>
      <c r="BH457" s="1109">
        <f t="shared" ref="BH457:BL457" si="250">IF($L154=0,0,(($BH154*O154)+($BI154*U154)+($BJ154*AA154)+($BK154*AG154)+($BL154*AM154))/$L154)</f>
        <v>0</v>
      </c>
      <c r="BI457" s="1109">
        <f t="shared" si="250"/>
        <v>0</v>
      </c>
      <c r="BJ457" s="1109">
        <f t="shared" si="250"/>
        <v>0</v>
      </c>
      <c r="BK457" s="1109">
        <f t="shared" si="250"/>
        <v>0</v>
      </c>
      <c r="BL457" s="1109">
        <f t="shared" si="250"/>
        <v>0</v>
      </c>
    </row>
    <row r="458" spans="2:64" hidden="1" outlineLevel="1">
      <c r="B458" s="1094"/>
      <c r="C458" s="1071" t="str">
        <f t="shared" ref="C458:F458" si="251">C155</f>
        <v>New Dublin Tower Equipment - Contingency</v>
      </c>
      <c r="D458" s="1071" t="str">
        <f t="shared" si="251"/>
        <v>New Dublin Tower</v>
      </c>
      <c r="E458" s="1071" t="str">
        <f t="shared" si="251"/>
        <v>R035A</v>
      </c>
      <c r="F458" s="1125" t="str">
        <f t="shared" si="251"/>
        <v>2021-2024</v>
      </c>
      <c r="H458" s="1071" t="s">
        <v>29</v>
      </c>
      <c r="J458" s="1125"/>
      <c r="BB458" s="1108"/>
      <c r="BC458" s="1109"/>
      <c r="BD458" s="1109"/>
      <c r="BE458" s="1109"/>
      <c r="BF458" s="1585"/>
      <c r="BG458" s="1109"/>
      <c r="BH458" s="1109">
        <f t="shared" ref="BH458:BL458" si="252">IF($L155=0,0,(($BH155*O155)+($BI155*U155)+($BJ155*AA155)+($BK155*AG155)+($BL155*AM155))/$L155)</f>
        <v>0</v>
      </c>
      <c r="BI458" s="1109">
        <f t="shared" si="252"/>
        <v>1.0921875000000001</v>
      </c>
      <c r="BJ458" s="1109">
        <f t="shared" si="252"/>
        <v>2.1843750000000002</v>
      </c>
      <c r="BK458" s="1109">
        <f t="shared" si="252"/>
        <v>2.1843750000000002</v>
      </c>
      <c r="BL458" s="1109">
        <f t="shared" si="252"/>
        <v>2.1843750000000002</v>
      </c>
    </row>
    <row r="459" spans="2:64" hidden="1" outlineLevel="1">
      <c r="B459" s="1094"/>
      <c r="C459" s="1071" t="str">
        <f t="shared" ref="C459:F459" si="253">C156</f>
        <v>New Dublin Tower Equipment - Airspace redesign etc.</v>
      </c>
      <c r="D459" s="1071" t="str">
        <f t="shared" si="253"/>
        <v>New Dublin Tower</v>
      </c>
      <c r="E459" s="1071" t="str">
        <f t="shared" si="253"/>
        <v>R035A</v>
      </c>
      <c r="F459" s="1125" t="str">
        <f t="shared" si="253"/>
        <v>2021-2024</v>
      </c>
      <c r="H459" s="1071" t="s">
        <v>29</v>
      </c>
      <c r="J459" s="1125"/>
      <c r="BB459" s="1108"/>
      <c r="BC459" s="1109"/>
      <c r="BD459" s="1109"/>
      <c r="BE459" s="1109"/>
      <c r="BF459" s="1585"/>
      <c r="BG459" s="1109"/>
      <c r="BH459" s="1109">
        <f t="shared" ref="BH459:BL459" si="254">IF($L156=0,0,(($BH156*O156)+($BI156*U156)+($BJ156*AA156)+($BK156*AG156)+($BL156*AM156))/$L156)</f>
        <v>0</v>
      </c>
      <c r="BI459" s="1109">
        <f t="shared" si="254"/>
        <v>0</v>
      </c>
      <c r="BJ459" s="1109">
        <f t="shared" si="254"/>
        <v>109.984453125</v>
      </c>
      <c r="BK459" s="1109">
        <f t="shared" si="254"/>
        <v>219.96890625</v>
      </c>
      <c r="BL459" s="1109">
        <f t="shared" si="254"/>
        <v>219.96890625</v>
      </c>
    </row>
    <row r="460" spans="2:64" hidden="1" outlineLevel="1">
      <c r="B460" s="1094"/>
      <c r="C460" s="1071" t="str">
        <f t="shared" ref="C460:F460" si="255">C157</f>
        <v>New Dublin Tower Equipment - Communications Installations</v>
      </c>
      <c r="D460" s="1071" t="str">
        <f t="shared" si="255"/>
        <v>New Dublin Tower</v>
      </c>
      <c r="E460" s="1071" t="str">
        <f t="shared" si="255"/>
        <v>R035A</v>
      </c>
      <c r="F460" s="1125" t="str">
        <f t="shared" si="255"/>
        <v>2021-2024</v>
      </c>
      <c r="H460" s="1071" t="s">
        <v>29</v>
      </c>
      <c r="J460" s="1125"/>
      <c r="BB460" s="1108"/>
      <c r="BC460" s="1109"/>
      <c r="BD460" s="1109"/>
      <c r="BE460" s="1109"/>
      <c r="BF460" s="1585"/>
      <c r="BG460" s="1109"/>
      <c r="BH460" s="1109">
        <f t="shared" ref="BH460:BL460" si="256">IF($L157=0,0,(($BH157*O157)+($BI157*U157)+($BJ157*AA157)+($BK157*AG157)+($BL157*AM157))/$L157)</f>
        <v>0</v>
      </c>
      <c r="BI460" s="1109">
        <f t="shared" si="256"/>
        <v>146.02814406250002</v>
      </c>
      <c r="BJ460" s="1109">
        <f t="shared" si="256"/>
        <v>292.05628812500004</v>
      </c>
      <c r="BK460" s="1109">
        <f t="shared" si="256"/>
        <v>292.05628812500004</v>
      </c>
      <c r="BL460" s="1109">
        <f t="shared" si="256"/>
        <v>292.05628812500004</v>
      </c>
    </row>
    <row r="461" spans="2:64" hidden="1" outlineLevel="1">
      <c r="B461" s="1094"/>
      <c r="C461" s="1071" t="str">
        <f t="shared" ref="C461:F461" si="257">C158</f>
        <v>New Dublin Tower Equipment - IATS</v>
      </c>
      <c r="D461" s="1071" t="str">
        <f t="shared" si="257"/>
        <v>New Dublin Tower</v>
      </c>
      <c r="E461" s="1071" t="str">
        <f t="shared" si="257"/>
        <v>R035A</v>
      </c>
      <c r="F461" s="1125" t="str">
        <f t="shared" si="257"/>
        <v>2021-2024</v>
      </c>
      <c r="H461" s="1071" t="s">
        <v>29</v>
      </c>
      <c r="J461" s="1125"/>
      <c r="BB461" s="1108"/>
      <c r="BC461" s="1109"/>
      <c r="BD461" s="1109"/>
      <c r="BE461" s="1109"/>
      <c r="BF461" s="1585"/>
      <c r="BG461" s="1109"/>
      <c r="BH461" s="1109">
        <f t="shared" ref="BH461:BL461" si="258">IF($L158=0,0,(($BH158*O158)+($BI158*U158)+($BJ158*AA158)+($BK158*AG158)+($BL158*AM158))/$L158)</f>
        <v>0</v>
      </c>
      <c r="BI461" s="1109">
        <f t="shared" si="258"/>
        <v>164.84667718750001</v>
      </c>
      <c r="BJ461" s="1109">
        <f t="shared" si="258"/>
        <v>369.06518531250003</v>
      </c>
      <c r="BK461" s="1109">
        <f t="shared" si="258"/>
        <v>408.43701625</v>
      </c>
      <c r="BL461" s="1109">
        <f t="shared" si="258"/>
        <v>408.43701625</v>
      </c>
    </row>
    <row r="462" spans="2:64" hidden="1" outlineLevel="1">
      <c r="B462" s="1094"/>
      <c r="C462" s="1071" t="str">
        <f t="shared" ref="C462:F462" si="259">C159</f>
        <v>New Dublin Tower Equipment - Safety Case</v>
      </c>
      <c r="D462" s="1071" t="str">
        <f t="shared" si="259"/>
        <v>New Dublin Tower</v>
      </c>
      <c r="E462" s="1071" t="str">
        <f t="shared" si="259"/>
        <v>R035A</v>
      </c>
      <c r="F462" s="1125" t="str">
        <f t="shared" si="259"/>
        <v>2021-2024</v>
      </c>
      <c r="H462" s="1071" t="s">
        <v>29</v>
      </c>
      <c r="J462" s="1125"/>
      <c r="BB462" s="1108"/>
      <c r="BC462" s="1109"/>
      <c r="BD462" s="1109"/>
      <c r="BE462" s="1109"/>
      <c r="BF462" s="1585"/>
      <c r="BG462" s="1109"/>
      <c r="BH462" s="1109">
        <f t="shared" ref="BH462:BL462" si="260">IF($L159=0,0,(($BH159*O159)+($BI159*U159)+($BJ159*AA159)+($BK159*AG159)+($BL159*AM159))/$L159)</f>
        <v>0</v>
      </c>
      <c r="BI462" s="1109">
        <f t="shared" si="260"/>
        <v>34.932499999999997</v>
      </c>
      <c r="BJ462" s="1109">
        <f t="shared" si="260"/>
        <v>69.864999999999995</v>
      </c>
      <c r="BK462" s="1109">
        <f t="shared" si="260"/>
        <v>69.864999999999995</v>
      </c>
      <c r="BL462" s="1109">
        <f t="shared" si="260"/>
        <v>69.864999999999995</v>
      </c>
    </row>
    <row r="463" spans="2:64" hidden="1" outlineLevel="1">
      <c r="B463" s="1094"/>
      <c r="C463" s="1071" t="str">
        <f t="shared" ref="C463:F463" si="261">C160</f>
        <v>New Dublin Tower Equipment - ILS/IRVR Systems</v>
      </c>
      <c r="D463" s="1071" t="str">
        <f t="shared" si="261"/>
        <v>New Dublin Tower</v>
      </c>
      <c r="E463" s="1071" t="str">
        <f t="shared" si="261"/>
        <v>R035A</v>
      </c>
      <c r="F463" s="1125" t="str">
        <f t="shared" si="261"/>
        <v>2021-2024</v>
      </c>
      <c r="H463" s="1071" t="s">
        <v>29</v>
      </c>
      <c r="J463" s="1125"/>
      <c r="BB463" s="1108"/>
      <c r="BC463" s="1109"/>
      <c r="BD463" s="1109"/>
      <c r="BE463" s="1109"/>
      <c r="BF463" s="1585"/>
      <c r="BG463" s="1109"/>
      <c r="BH463" s="1109">
        <f t="shared" ref="BH463:BL463" si="262">IF($L160=0,0,(($BH160*O160)+($BI160*U160)+($BJ160*AA160)+($BK160*AG160)+($BL160*AM160))/$L160)</f>
        <v>0</v>
      </c>
      <c r="BI463" s="1109">
        <f t="shared" si="262"/>
        <v>0</v>
      </c>
      <c r="BJ463" s="1109">
        <f t="shared" si="262"/>
        <v>94.587167500000007</v>
      </c>
      <c r="BK463" s="1109">
        <f t="shared" si="262"/>
        <v>189.17433500000001</v>
      </c>
      <c r="BL463" s="1109">
        <f t="shared" si="262"/>
        <v>189.17433500000001</v>
      </c>
    </row>
    <row r="464" spans="2:64" hidden="1" outlineLevel="1">
      <c r="B464" s="1094"/>
      <c r="C464" s="1071" t="str">
        <f t="shared" ref="C464:F464" si="263">C161</f>
        <v>New Dublin Tower Equipment - Replacement ASMGCS &amp; GMR Tower</v>
      </c>
      <c r="D464" s="1071" t="str">
        <f t="shared" si="263"/>
        <v>New Dublin Tower</v>
      </c>
      <c r="E464" s="1071" t="str">
        <f t="shared" si="263"/>
        <v>R035A</v>
      </c>
      <c r="F464" s="1125" t="str">
        <f t="shared" si="263"/>
        <v>2021-2024</v>
      </c>
      <c r="H464" s="1071" t="s">
        <v>29</v>
      </c>
      <c r="J464" s="1125"/>
      <c r="BB464" s="1108"/>
      <c r="BC464" s="1109"/>
      <c r="BD464" s="1109"/>
      <c r="BE464" s="1109"/>
      <c r="BF464" s="1585"/>
      <c r="BG464" s="1109"/>
      <c r="BH464" s="1109">
        <f t="shared" ref="BH464:BL464" si="264">IF($L161=0,0,(($BH161*O161)+($BI161*U161)+($BJ161*AA161)+($BK161*AG161)+($BL161*AM161))/$L161)</f>
        <v>0</v>
      </c>
      <c r="BI464" s="1109">
        <f t="shared" si="264"/>
        <v>0</v>
      </c>
      <c r="BJ464" s="1109">
        <f t="shared" si="264"/>
        <v>0</v>
      </c>
      <c r="BK464" s="1109">
        <f t="shared" si="264"/>
        <v>114.58875</v>
      </c>
      <c r="BL464" s="1109">
        <f t="shared" si="264"/>
        <v>114.58875</v>
      </c>
    </row>
    <row r="465" spans="2:64" hidden="1" outlineLevel="1">
      <c r="B465" s="1094"/>
      <c r="C465" s="1071" t="str">
        <f t="shared" ref="C465:F465" si="265">C162</f>
        <v>New Dublin Tower Equipment - Infrastructure Changes (50% runway)</v>
      </c>
      <c r="D465" s="1071" t="str">
        <f t="shared" si="265"/>
        <v>New Dublin Tower</v>
      </c>
      <c r="E465" s="1071" t="str">
        <f t="shared" si="265"/>
        <v>R035A</v>
      </c>
      <c r="F465" s="1125" t="str">
        <f t="shared" si="265"/>
        <v>2021-2024</v>
      </c>
      <c r="H465" s="1071" t="s">
        <v>29</v>
      </c>
      <c r="J465" s="1125"/>
      <c r="BB465" s="1108"/>
      <c r="BC465" s="1109"/>
      <c r="BD465" s="1109"/>
      <c r="BE465" s="1109"/>
      <c r="BF465" s="1585"/>
      <c r="BG465" s="1109"/>
      <c r="BH465" s="1109">
        <f t="shared" ref="BH465:BL465" si="266">IF($L162=0,0,(($BH162*O162)+($BI162*U162)+($BJ162*AA162)+($BK162*AG162)+($BL162*AM162))/$L162)</f>
        <v>0</v>
      </c>
      <c r="BI465" s="1109">
        <f t="shared" si="266"/>
        <v>75.342425700401989</v>
      </c>
      <c r="BJ465" s="1109">
        <f t="shared" si="266"/>
        <v>150.68485140080398</v>
      </c>
      <c r="BK465" s="1109">
        <f t="shared" si="266"/>
        <v>150.68485140080398</v>
      </c>
      <c r="BL465" s="1109">
        <f t="shared" si="266"/>
        <v>150.68485140080398</v>
      </c>
    </row>
    <row r="466" spans="2:64" hidden="1" outlineLevel="1">
      <c r="B466" s="1094"/>
      <c r="C466" s="1071" t="str">
        <f t="shared" ref="C466:F466" si="267">C163</f>
        <v>New Dublin Tower Equipment - IAA Networks</v>
      </c>
      <c r="D466" s="1071" t="str">
        <f t="shared" si="267"/>
        <v>New Dublin Tower</v>
      </c>
      <c r="E466" s="1071" t="str">
        <f t="shared" si="267"/>
        <v>R035A</v>
      </c>
      <c r="F466" s="1125" t="str">
        <f t="shared" si="267"/>
        <v>2021-2024</v>
      </c>
      <c r="H466" s="1071" t="s">
        <v>29</v>
      </c>
      <c r="J466" s="1125"/>
      <c r="BB466" s="1108"/>
      <c r="BC466" s="1109"/>
      <c r="BD466" s="1109"/>
      <c r="BE466" s="1109"/>
      <c r="BF466" s="1585"/>
      <c r="BG466" s="1109"/>
      <c r="BH466" s="1109">
        <f t="shared" ref="BH466:BL466" si="268">IF($L163=0,0,(($BH163*O163)+($BI163*U163)+($BJ163*AA163)+($BK163*AG163)+($BL163*AM163))/$L163)</f>
        <v>0</v>
      </c>
      <c r="BI466" s="1109">
        <f t="shared" si="268"/>
        <v>36.552869374999993</v>
      </c>
      <c r="BJ466" s="1109">
        <f t="shared" si="268"/>
        <v>73.105738749999986</v>
      </c>
      <c r="BK466" s="1109">
        <f t="shared" si="268"/>
        <v>73.105738749999986</v>
      </c>
      <c r="BL466" s="1109">
        <f t="shared" si="268"/>
        <v>73.105738749999986</v>
      </c>
    </row>
    <row r="467" spans="2:64" hidden="1" outlineLevel="1">
      <c r="B467" s="1094"/>
      <c r="C467" s="1071" t="str">
        <f t="shared" ref="C467:F467" si="269">C164</f>
        <v>New Dublin Tower Equipment - ICT</v>
      </c>
      <c r="D467" s="1071" t="str">
        <f t="shared" si="269"/>
        <v>New Dublin Tower</v>
      </c>
      <c r="E467" s="1071" t="str">
        <f t="shared" si="269"/>
        <v>R035A</v>
      </c>
      <c r="F467" s="1125" t="str">
        <f t="shared" si="269"/>
        <v>2021-2024</v>
      </c>
      <c r="H467" s="1071" t="s">
        <v>29</v>
      </c>
      <c r="J467" s="1125"/>
      <c r="BB467" s="1108"/>
      <c r="BC467" s="1109"/>
      <c r="BD467" s="1109"/>
      <c r="BE467" s="1109"/>
      <c r="BF467" s="1585"/>
      <c r="BG467" s="1109"/>
      <c r="BH467" s="1109">
        <f t="shared" ref="BH467:BL467" si="270">IF($L164=0,0,(($BH164*O164)+($BI164*U164)+($BJ164*AA164)+($BK164*AG164)+($BL164*AM164))/$L164)</f>
        <v>0</v>
      </c>
      <c r="BI467" s="1109">
        <f t="shared" si="270"/>
        <v>0</v>
      </c>
      <c r="BJ467" s="1109">
        <f t="shared" si="270"/>
        <v>0</v>
      </c>
      <c r="BK467" s="1109">
        <f t="shared" si="270"/>
        <v>0</v>
      </c>
      <c r="BL467" s="1109">
        <f t="shared" si="270"/>
        <v>0</v>
      </c>
    </row>
    <row r="468" spans="2:64" hidden="1" outlineLevel="1">
      <c r="B468" s="1094"/>
      <c r="C468" s="1071" t="str">
        <f t="shared" ref="C468:F468" si="271">C165</f>
        <v>New Dublin Tower Equipment - Changes to Centralised Monitoring</v>
      </c>
      <c r="D468" s="1071" t="str">
        <f t="shared" si="271"/>
        <v>New Dublin Tower</v>
      </c>
      <c r="E468" s="1071" t="str">
        <f t="shared" si="271"/>
        <v>R035A</v>
      </c>
      <c r="F468" s="1125" t="str">
        <f t="shared" si="271"/>
        <v>2021-2024</v>
      </c>
      <c r="H468" s="1071" t="s">
        <v>29</v>
      </c>
      <c r="J468" s="1125"/>
      <c r="BB468" s="1108"/>
      <c r="BC468" s="1109"/>
      <c r="BD468" s="1109"/>
      <c r="BE468" s="1109"/>
      <c r="BF468" s="1585"/>
      <c r="BG468" s="1109"/>
      <c r="BH468" s="1109">
        <f t="shared" ref="BH468:BL468" si="272">IF($L165=0,0,(($BH165*O165)+($BI165*U165)+($BJ165*AA165)+($BK165*AG165)+($BL165*AM165))/$L165)</f>
        <v>0</v>
      </c>
      <c r="BI468" s="1109">
        <f t="shared" si="272"/>
        <v>15.568831874999999</v>
      </c>
      <c r="BJ468" s="1109">
        <f t="shared" si="272"/>
        <v>32.075163749999994</v>
      </c>
      <c r="BK468" s="1109">
        <f t="shared" si="272"/>
        <v>33.012663749999994</v>
      </c>
      <c r="BL468" s="1109">
        <f t="shared" si="272"/>
        <v>33.012663749999994</v>
      </c>
    </row>
    <row r="469" spans="2:64" hidden="1" outlineLevel="1">
      <c r="B469" s="1094"/>
      <c r="C469" s="1071" t="str">
        <f t="shared" ref="C469:F469" si="273">C166</f>
        <v>New Dublin Tower Equipment - M&amp;E/UPS/Cabling/Power</v>
      </c>
      <c r="D469" s="1071" t="str">
        <f t="shared" si="273"/>
        <v>New Dublin Tower</v>
      </c>
      <c r="E469" s="1071" t="str">
        <f t="shared" si="273"/>
        <v>R035A</v>
      </c>
      <c r="F469" s="1125" t="str">
        <f t="shared" si="273"/>
        <v>2021-2024</v>
      </c>
      <c r="H469" s="1071" t="s">
        <v>29</v>
      </c>
      <c r="J469" s="1125"/>
      <c r="BB469" s="1108"/>
      <c r="BC469" s="1109"/>
      <c r="BD469" s="1109"/>
      <c r="BE469" s="1109"/>
      <c r="BF469" s="1585"/>
      <c r="BG469" s="1109"/>
      <c r="BH469" s="1109">
        <f t="shared" ref="BH469:BL469" si="274">IF($L166=0,0,(($BH166*O166)+($BI166*U166)+($BJ166*AA166)+($BK166*AG166)+($BL166*AM166))/$L166)</f>
        <v>0</v>
      </c>
      <c r="BI469" s="1109">
        <f t="shared" si="274"/>
        <v>17.629356875000003</v>
      </c>
      <c r="BJ469" s="1109">
        <f t="shared" si="274"/>
        <v>35.258713750000005</v>
      </c>
      <c r="BK469" s="1109">
        <f t="shared" si="274"/>
        <v>35.258713750000005</v>
      </c>
      <c r="BL469" s="1109">
        <f t="shared" si="274"/>
        <v>35.258713750000005</v>
      </c>
    </row>
    <row r="470" spans="2:64" hidden="1" outlineLevel="1">
      <c r="B470" s="1094"/>
      <c r="C470" s="1071" t="str">
        <f t="shared" ref="C470:F470" si="275">C167</f>
        <v>COOPANS Build 3 Dublin</v>
      </c>
      <c r="D470" s="1071" t="str">
        <f t="shared" si="275"/>
        <v>COOPANS</v>
      </c>
      <c r="E470" s="1071" t="str">
        <f t="shared" si="275"/>
        <v>L001A</v>
      </c>
      <c r="F470" s="1125" t="str">
        <f t="shared" si="275"/>
        <v>2021-2024</v>
      </c>
      <c r="H470" s="1071" t="s">
        <v>29</v>
      </c>
      <c r="J470" s="1125"/>
      <c r="BB470" s="1108"/>
      <c r="BC470" s="1109"/>
      <c r="BD470" s="1109"/>
      <c r="BE470" s="1109"/>
      <c r="BF470" s="1585"/>
      <c r="BG470" s="1109"/>
      <c r="BH470" s="1109">
        <f t="shared" ref="BH470:BL470" si="276">IF($L167=0,0,(($BH167*O167)+($BI167*U167)+($BJ167*AA167)+($BK167*AG167)+($BL167*AM167))/$L167)</f>
        <v>0</v>
      </c>
      <c r="BI470" s="1109">
        <f t="shared" si="276"/>
        <v>19.58117229564365</v>
      </c>
      <c r="BJ470" s="1109">
        <f t="shared" si="276"/>
        <v>39.162344591287329</v>
      </c>
      <c r="BK470" s="1109">
        <f t="shared" si="276"/>
        <v>39.162344591287329</v>
      </c>
      <c r="BL470" s="1109">
        <f t="shared" si="276"/>
        <v>39.162344591287329</v>
      </c>
    </row>
    <row r="471" spans="2:64" hidden="1" outlineLevel="1">
      <c r="B471" s="1094"/>
      <c r="C471" s="1071" t="str">
        <f t="shared" ref="C471:F471" si="277">C168</f>
        <v>COOPANS Build 3 Shannon</v>
      </c>
      <c r="D471" s="1071" t="str">
        <f t="shared" si="277"/>
        <v>COOPANS</v>
      </c>
      <c r="E471" s="1071" t="str">
        <f t="shared" si="277"/>
        <v>L001A</v>
      </c>
      <c r="F471" s="1125" t="str">
        <f t="shared" si="277"/>
        <v>2021-2024</v>
      </c>
      <c r="H471" s="1071" t="s">
        <v>29</v>
      </c>
      <c r="J471" s="1125"/>
      <c r="BB471" s="1108"/>
      <c r="BC471" s="1109"/>
      <c r="BD471" s="1109"/>
      <c r="BE471" s="1109"/>
      <c r="BF471" s="1585"/>
      <c r="BG471" s="1109"/>
      <c r="BH471" s="1109">
        <f t="shared" ref="BH471:BL471" si="278">IF($L168=0,0,(($BH168*O168)+($BI168*U168)+($BJ168*AA168)+($BK168*AG168)+($BL168*AM168))/$L168)</f>
        <v>0</v>
      </c>
      <c r="BI471" s="1109">
        <f t="shared" si="278"/>
        <v>36.365034263338195</v>
      </c>
      <c r="BJ471" s="1109">
        <f t="shared" si="278"/>
        <v>72.730068526676376</v>
      </c>
      <c r="BK471" s="1109">
        <f t="shared" si="278"/>
        <v>72.730068526676376</v>
      </c>
      <c r="BL471" s="1109">
        <f t="shared" si="278"/>
        <v>72.730068526676376</v>
      </c>
    </row>
    <row r="472" spans="2:64" hidden="1" outlineLevel="1">
      <c r="B472" s="1094"/>
      <c r="C472" s="1071" t="str">
        <f t="shared" ref="C472:F472" si="279">C169</f>
        <v>COOPANS Build 3.6 Onwards Dublin</v>
      </c>
      <c r="D472" s="1071" t="str">
        <f t="shared" si="279"/>
        <v>COOPANS</v>
      </c>
      <c r="E472" s="1071" t="str">
        <f t="shared" si="279"/>
        <v>R001</v>
      </c>
      <c r="F472" s="1125" t="str">
        <f t="shared" si="279"/>
        <v>2021-2024</v>
      </c>
      <c r="H472" s="1071" t="s">
        <v>29</v>
      </c>
      <c r="J472" s="1125"/>
      <c r="BB472" s="1108"/>
      <c r="BC472" s="1109"/>
      <c r="BD472" s="1109"/>
      <c r="BE472" s="1109"/>
      <c r="BF472" s="1585"/>
      <c r="BG472" s="1109"/>
      <c r="BH472" s="1109">
        <f t="shared" ref="BH472:BL472" si="280">IF($L169=0,0,(($BH169*O169)+($BI169*U169)+($BJ169*AA169)+($BK169*AG169)+($BL169*AM169))/$L169)</f>
        <v>0</v>
      </c>
      <c r="BI472" s="1109">
        <f t="shared" si="280"/>
        <v>46.081103428169371</v>
      </c>
      <c r="BJ472" s="1109">
        <f t="shared" si="280"/>
        <v>163.75634388154677</v>
      </c>
      <c r="BK472" s="1109">
        <f t="shared" si="280"/>
        <v>216.17710991189429</v>
      </c>
      <c r="BL472" s="1109">
        <f t="shared" si="280"/>
        <v>216.17710991189429</v>
      </c>
    </row>
    <row r="473" spans="2:64" hidden="1" outlineLevel="1">
      <c r="B473" s="1094"/>
      <c r="C473" s="1071" t="str">
        <f t="shared" ref="C473:F473" si="281">C170</f>
        <v>COOPANS Build 3.6 Onwards Shannon</v>
      </c>
      <c r="D473" s="1071" t="str">
        <f t="shared" si="281"/>
        <v>COOPANS</v>
      </c>
      <c r="E473" s="1071" t="str">
        <f t="shared" si="281"/>
        <v>R001A</v>
      </c>
      <c r="F473" s="1125" t="str">
        <f t="shared" si="281"/>
        <v>2021-2024</v>
      </c>
      <c r="H473" s="1071" t="s">
        <v>29</v>
      </c>
      <c r="J473" s="1125"/>
      <c r="BB473" s="1108"/>
      <c r="BC473" s="1109"/>
      <c r="BD473" s="1109"/>
      <c r="BE473" s="1109"/>
      <c r="BF473" s="1585"/>
      <c r="BG473" s="1109"/>
      <c r="BH473" s="1109">
        <f t="shared" ref="BH473:BL473" si="282">IF($L170=0,0,(($BH170*O170)+($BI170*U170)+($BJ170*AA170)+($BK170*AG170)+($BL170*AM170))/$L170)</f>
        <v>0</v>
      </c>
      <c r="BI473" s="1109">
        <f t="shared" si="282"/>
        <v>85.57919208088596</v>
      </c>
      <c r="BJ473" s="1109">
        <f t="shared" si="282"/>
        <v>304.11892435144392</v>
      </c>
      <c r="BK473" s="1109">
        <f t="shared" si="282"/>
        <v>401.47177555066082</v>
      </c>
      <c r="BL473" s="1109">
        <f t="shared" si="282"/>
        <v>401.47177555066082</v>
      </c>
    </row>
    <row r="474" spans="2:64" hidden="1" outlineLevel="1">
      <c r="B474" s="1094"/>
      <c r="C474" s="1071" t="str">
        <f t="shared" ref="C474:F474" si="283">C171</f>
        <v>COOPANS 2019 Roadmap Builds</v>
      </c>
      <c r="D474" s="1071" t="str">
        <f t="shared" si="283"/>
        <v>COOPANS</v>
      </c>
      <c r="E474" s="1071" t="str">
        <f t="shared" si="283"/>
        <v>U002</v>
      </c>
      <c r="F474" s="1125" t="str">
        <f t="shared" si="283"/>
        <v>2021-2024</v>
      </c>
      <c r="H474" s="1071" t="s">
        <v>29</v>
      </c>
      <c r="J474" s="1125"/>
      <c r="BB474" s="1108"/>
      <c r="BC474" s="1109"/>
      <c r="BD474" s="1109"/>
      <c r="BE474" s="1109"/>
      <c r="BF474" s="1585"/>
      <c r="BG474" s="1109"/>
      <c r="BH474" s="1109">
        <f t="shared" ref="BH474:BL474" si="284">IF($L171=0,0,(($BH171*O171)+($BI171*U171)+($BJ171*AA171)+($BK171*AG171)+($BL171*AM171))/$L171)</f>
        <v>0</v>
      </c>
      <c r="BI474" s="1109">
        <f t="shared" si="284"/>
        <v>0</v>
      </c>
      <c r="BJ474" s="1109">
        <f t="shared" si="284"/>
        <v>0</v>
      </c>
      <c r="BK474" s="1109">
        <f t="shared" si="284"/>
        <v>0</v>
      </c>
      <c r="BL474" s="1109">
        <f t="shared" si="284"/>
        <v>0</v>
      </c>
    </row>
    <row r="475" spans="2:64" hidden="1" outlineLevel="1">
      <c r="B475" s="1094"/>
      <c r="C475" s="1071" t="str">
        <f t="shared" ref="C475:F475" si="285">C172</f>
        <v>COOPANS 2019 Roadmap Builds Dub</v>
      </c>
      <c r="D475" s="1071" t="str">
        <f t="shared" si="285"/>
        <v>COOPANS</v>
      </c>
      <c r="E475" s="1071" t="str">
        <f t="shared" si="285"/>
        <v>U002A</v>
      </c>
      <c r="F475" s="1125" t="str">
        <f t="shared" si="285"/>
        <v>2021-2024</v>
      </c>
      <c r="H475" s="1071" t="s">
        <v>29</v>
      </c>
      <c r="J475" s="1125"/>
      <c r="BB475" s="1108"/>
      <c r="BC475" s="1109"/>
      <c r="BD475" s="1109"/>
      <c r="BE475" s="1109"/>
      <c r="BF475" s="1585"/>
      <c r="BG475" s="1109"/>
      <c r="BH475" s="1109">
        <f t="shared" ref="BH475:BL475" si="286">IF($L172=0,0,(($BH172*O172)+($BI172*U172)+($BJ172*AA172)+($BK172*AG172)+($BL172*AM172))/$L172)</f>
        <v>0</v>
      </c>
      <c r="BI475" s="1109">
        <f t="shared" si="286"/>
        <v>0</v>
      </c>
      <c r="BJ475" s="1109">
        <f t="shared" si="286"/>
        <v>0</v>
      </c>
      <c r="BK475" s="1109">
        <f t="shared" si="286"/>
        <v>16.129466470876164</v>
      </c>
      <c r="BL475" s="1109">
        <f t="shared" si="286"/>
        <v>64.517865883504655</v>
      </c>
    </row>
    <row r="476" spans="2:64" hidden="1" outlineLevel="1">
      <c r="B476" s="1094"/>
      <c r="C476" s="1071" t="str">
        <f t="shared" ref="C476:F476" si="287">C173</f>
        <v>COOPANS 2019 Roadmap Builds Shn</v>
      </c>
      <c r="D476" s="1071" t="str">
        <f t="shared" si="287"/>
        <v>COOPANS</v>
      </c>
      <c r="E476" s="1071" t="str">
        <f t="shared" si="287"/>
        <v>U002A</v>
      </c>
      <c r="F476" s="1125" t="str">
        <f t="shared" si="287"/>
        <v>2021-2024</v>
      </c>
      <c r="H476" s="1071" t="s">
        <v>29</v>
      </c>
      <c r="J476" s="1125"/>
      <c r="BB476" s="1108"/>
      <c r="BC476" s="1109"/>
      <c r="BD476" s="1109"/>
      <c r="BE476" s="1109"/>
      <c r="BF476" s="1585"/>
      <c r="BG476" s="1109"/>
      <c r="BH476" s="1109">
        <f t="shared" ref="BH476:BL476" si="288">IF($L173=0,0,(($BH173*O173)+($BI173*U173)+($BJ173*AA173)+($BK173*AG173)+($BL173*AM173))/$L173)</f>
        <v>0</v>
      </c>
      <c r="BI476" s="1109">
        <f t="shared" si="288"/>
        <v>0</v>
      </c>
      <c r="BJ476" s="1109">
        <f t="shared" si="288"/>
        <v>0</v>
      </c>
      <c r="BK476" s="1109">
        <f t="shared" si="288"/>
        <v>0</v>
      </c>
      <c r="BL476" s="1109">
        <f t="shared" si="288"/>
        <v>119.8188937836515</v>
      </c>
    </row>
    <row r="477" spans="2:64" hidden="1" outlineLevel="1">
      <c r="B477" s="1094"/>
      <c r="C477" s="1071" t="str">
        <f t="shared" ref="C477:F477" si="289">C174</f>
        <v>SWIM Enabling project</v>
      </c>
      <c r="D477" s="1071" t="str">
        <f t="shared" si="289"/>
        <v>COOPANS</v>
      </c>
      <c r="E477" s="1071" t="str">
        <f t="shared" si="289"/>
        <v>S001</v>
      </c>
      <c r="F477" s="1125" t="str">
        <f t="shared" si="289"/>
        <v>2021-2024</v>
      </c>
      <c r="H477" s="1071" t="s">
        <v>29</v>
      </c>
      <c r="J477" s="1125"/>
      <c r="BB477" s="1108"/>
      <c r="BC477" s="1109"/>
      <c r="BD477" s="1109"/>
      <c r="BE477" s="1109"/>
      <c r="BF477" s="1585"/>
      <c r="BG477" s="1109"/>
      <c r="BH477" s="1109">
        <f t="shared" ref="BH477:BL477" si="290">IF($L174=0,0,(($BH174*O174)+($BI174*U174)+($BJ174*AA174)+($BK174*AG174)+($BL174*AM174))/$L174)</f>
        <v>0</v>
      </c>
      <c r="BI477" s="1109">
        <f t="shared" si="290"/>
        <v>0</v>
      </c>
      <c r="BJ477" s="1109">
        <f t="shared" si="290"/>
        <v>0</v>
      </c>
      <c r="BK477" s="1109">
        <f t="shared" si="290"/>
        <v>0</v>
      </c>
      <c r="BL477" s="1109">
        <f t="shared" si="290"/>
        <v>27.650513950073428</v>
      </c>
    </row>
    <row r="478" spans="2:64" hidden="1" outlineLevel="1">
      <c r="B478" s="1094"/>
      <c r="C478" s="1071" t="str">
        <f t="shared" ref="C478:F478" si="291">C175</f>
        <v>Emergency Air Situation Display System (DUB)</v>
      </c>
      <c r="D478" s="1071" t="str">
        <f t="shared" si="291"/>
        <v>Emergency Air Situation Display System</v>
      </c>
      <c r="E478" s="1071" t="str">
        <f t="shared" si="291"/>
        <v>U003</v>
      </c>
      <c r="F478" s="1125" t="str">
        <f t="shared" si="291"/>
        <v>2021-2024</v>
      </c>
      <c r="H478" s="1071" t="s">
        <v>29</v>
      </c>
      <c r="J478" s="1125"/>
      <c r="BB478" s="1108"/>
      <c r="BC478" s="1109"/>
      <c r="BD478" s="1109"/>
      <c r="BE478" s="1109"/>
      <c r="BF478" s="1585"/>
      <c r="BG478" s="1109"/>
      <c r="BH478" s="1109">
        <f t="shared" ref="BH478:BL478" si="292">IF($L175=0,0,(($BH175*O175)+($BI175*U175)+($BJ175*AA175)+($BK175*AG175)+($BL175*AM175))/$L175)</f>
        <v>0</v>
      </c>
      <c r="BI478" s="1109">
        <f t="shared" si="292"/>
        <v>0</v>
      </c>
      <c r="BJ478" s="1109">
        <f t="shared" si="292"/>
        <v>0</v>
      </c>
      <c r="BK478" s="1109">
        <f t="shared" si="292"/>
        <v>157.5</v>
      </c>
      <c r="BL478" s="1109">
        <f t="shared" si="292"/>
        <v>210</v>
      </c>
    </row>
    <row r="479" spans="2:64" hidden="1" outlineLevel="1">
      <c r="B479" s="1094"/>
      <c r="C479" s="1071" t="str">
        <f t="shared" ref="C479:F479" si="293">C176</f>
        <v>Emergency Air Situation Display System (SHN)</v>
      </c>
      <c r="D479" s="1071" t="str">
        <f t="shared" si="293"/>
        <v>Emergency Air Situation Display System</v>
      </c>
      <c r="E479" s="1071" t="str">
        <f t="shared" si="293"/>
        <v>U003A</v>
      </c>
      <c r="F479" s="1125" t="str">
        <f t="shared" si="293"/>
        <v>2021-2024</v>
      </c>
      <c r="H479" s="1071" t="s">
        <v>29</v>
      </c>
      <c r="J479" s="1125"/>
      <c r="BB479" s="1108"/>
      <c r="BC479" s="1109"/>
      <c r="BD479" s="1109"/>
      <c r="BE479" s="1109"/>
      <c r="BF479" s="1585"/>
      <c r="BG479" s="1109"/>
      <c r="BH479" s="1109">
        <f t="shared" ref="BH479:BL479" si="294">IF($L176=0,0,(($BH176*O176)+($BI176*U176)+($BJ176*AA176)+($BK176*AG176)+($BL176*AM176))/$L176)</f>
        <v>0</v>
      </c>
      <c r="BI479" s="1109">
        <f t="shared" si="294"/>
        <v>0</v>
      </c>
      <c r="BJ479" s="1109">
        <f t="shared" si="294"/>
        <v>97.5</v>
      </c>
      <c r="BK479" s="1109">
        <f t="shared" si="294"/>
        <v>390</v>
      </c>
      <c r="BL479" s="1109">
        <f t="shared" si="294"/>
        <v>390</v>
      </c>
    </row>
    <row r="480" spans="2:64" hidden="1" outlineLevel="1">
      <c r="B480" s="1094"/>
      <c r="C480" s="1071" t="str">
        <f t="shared" ref="C480:F480" si="295">C177</f>
        <v>Emergency Air Situation Display System Simulator (SHN)</v>
      </c>
      <c r="D480" s="1071" t="str">
        <f t="shared" si="295"/>
        <v>Emergency Air Situation Display System</v>
      </c>
      <c r="E480" s="1071" t="str">
        <f t="shared" si="295"/>
        <v>U003A</v>
      </c>
      <c r="F480" s="1125" t="str">
        <f t="shared" si="295"/>
        <v>2021-2024</v>
      </c>
      <c r="H480" s="1071" t="s">
        <v>29</v>
      </c>
      <c r="J480" s="1125"/>
      <c r="BB480" s="1108"/>
      <c r="BC480" s="1109"/>
      <c r="BD480" s="1109"/>
      <c r="BE480" s="1109"/>
      <c r="BF480" s="1585"/>
      <c r="BG480" s="1109"/>
      <c r="BH480" s="1109">
        <f t="shared" ref="BH480:BL480" si="296">IF($L177=0,0,(($BH177*O177)+($BI177*U177)+($BJ177*AA177)+($BK177*AG177)+($BL177*AM177))/$L177)</f>
        <v>0</v>
      </c>
      <c r="BI480" s="1109">
        <f t="shared" si="296"/>
        <v>0</v>
      </c>
      <c r="BJ480" s="1109">
        <f t="shared" si="296"/>
        <v>18.75</v>
      </c>
      <c r="BK480" s="1109">
        <f t="shared" si="296"/>
        <v>75</v>
      </c>
      <c r="BL480" s="1109">
        <f t="shared" si="296"/>
        <v>75</v>
      </c>
    </row>
    <row r="481" spans="2:64" hidden="1" outlineLevel="1">
      <c r="B481" s="1094"/>
      <c r="C481" s="1071" t="str">
        <f t="shared" ref="C481:F481" si="297">C178</f>
        <v>Emergency Air Situation Display System Simulator (DUB)</v>
      </c>
      <c r="D481" s="1071" t="str">
        <f t="shared" si="297"/>
        <v>Emergency Air Situation Display System</v>
      </c>
      <c r="E481" s="1071" t="str">
        <f t="shared" si="297"/>
        <v>U003A</v>
      </c>
      <c r="F481" s="1125" t="str">
        <f t="shared" si="297"/>
        <v>2021-2024</v>
      </c>
      <c r="H481" s="1071" t="s">
        <v>29</v>
      </c>
      <c r="J481" s="1125"/>
      <c r="BB481" s="1108"/>
      <c r="BC481" s="1109"/>
      <c r="BD481" s="1109"/>
      <c r="BE481" s="1109"/>
      <c r="BF481" s="1585"/>
      <c r="BG481" s="1109"/>
      <c r="BH481" s="1109">
        <f t="shared" ref="BH481:BL481" si="298">IF($L178=0,0,(($BH178*O178)+($BI178*U178)+($BJ178*AA178)+($BK178*AG178)+($BL178*AM178))/$L178)</f>
        <v>0</v>
      </c>
      <c r="BI481" s="1109">
        <f t="shared" si="298"/>
        <v>0</v>
      </c>
      <c r="BJ481" s="1109">
        <f t="shared" si="298"/>
        <v>0</v>
      </c>
      <c r="BK481" s="1109">
        <f t="shared" si="298"/>
        <v>56.25</v>
      </c>
      <c r="BL481" s="1109">
        <f t="shared" si="298"/>
        <v>75</v>
      </c>
    </row>
    <row r="482" spans="2:64" hidden="1" outlineLevel="1">
      <c r="B482" s="1094"/>
      <c r="C482" s="1071" t="str">
        <f t="shared" ref="C482:F482" si="299">C179</f>
        <v>NAV Aids Replacement Programme</v>
      </c>
      <c r="D482" s="1071" t="str">
        <f t="shared" si="299"/>
        <v>NAV Aids Replacement Programme</v>
      </c>
      <c r="E482" s="1071" t="str">
        <f t="shared" si="299"/>
        <v>R005</v>
      </c>
      <c r="F482" s="1125" t="str">
        <f t="shared" si="299"/>
        <v>2021-2024</v>
      </c>
      <c r="H482" s="1071" t="s">
        <v>29</v>
      </c>
      <c r="J482" s="1125"/>
      <c r="BB482" s="1108"/>
      <c r="BC482" s="1109"/>
      <c r="BD482" s="1109"/>
      <c r="BE482" s="1109"/>
      <c r="BF482" s="1585"/>
      <c r="BG482" s="1109"/>
      <c r="BH482" s="1109">
        <f t="shared" ref="BH482:BL482" si="300">IF($L179=0,0,(($BH179*O179)+($BI179*U179)+($BJ179*AA179)+($BK179*AG179)+($BL179*AM179))/$L179)</f>
        <v>0</v>
      </c>
      <c r="BI482" s="1109">
        <f t="shared" si="300"/>
        <v>0</v>
      </c>
      <c r="BJ482" s="1109">
        <f t="shared" si="300"/>
        <v>0</v>
      </c>
      <c r="BK482" s="1109">
        <f t="shared" si="300"/>
        <v>0</v>
      </c>
      <c r="BL482" s="1109">
        <f t="shared" si="300"/>
        <v>0</v>
      </c>
    </row>
    <row r="483" spans="2:64" hidden="1" outlineLevel="1">
      <c r="B483" s="1094"/>
      <c r="C483" s="1071" t="str">
        <f t="shared" ref="C483:F483" si="301">C180</f>
        <v>NAV Aids Replacement Programme Dublin ILS (3rd)</v>
      </c>
      <c r="D483" s="1071" t="str">
        <f t="shared" si="301"/>
        <v>NAV Aids Replacement Programme</v>
      </c>
      <c r="E483" s="1071" t="str">
        <f t="shared" si="301"/>
        <v>R005A</v>
      </c>
      <c r="F483" s="1125" t="str">
        <f t="shared" si="301"/>
        <v>2021-2024</v>
      </c>
      <c r="H483" s="1071" t="s">
        <v>29</v>
      </c>
      <c r="J483" s="1125"/>
      <c r="BB483" s="1108"/>
      <c r="BC483" s="1109"/>
      <c r="BD483" s="1109"/>
      <c r="BE483" s="1109"/>
      <c r="BF483" s="1585"/>
      <c r="BG483" s="1109"/>
      <c r="BH483" s="1109">
        <f t="shared" ref="BH483:BL483" si="302">IF($L180=0,0,(($BH180*O180)+($BI180*U180)+($BJ180*AA180)+($BK180*AG180)+($BL180*AM180))/$L180)</f>
        <v>0</v>
      </c>
      <c r="BI483" s="1109">
        <f t="shared" si="302"/>
        <v>0</v>
      </c>
      <c r="BJ483" s="1109">
        <f t="shared" si="302"/>
        <v>0</v>
      </c>
      <c r="BK483" s="1109">
        <f t="shared" si="302"/>
        <v>0</v>
      </c>
      <c r="BL483" s="1109">
        <f t="shared" si="302"/>
        <v>46.484269000000005</v>
      </c>
    </row>
    <row r="484" spans="2:64" hidden="1" outlineLevel="1">
      <c r="B484" s="1094"/>
      <c r="C484" s="1071" t="str">
        <f t="shared" ref="C484:F484" si="303">C181</f>
        <v>NAV Aids Replacement Programme Shannon ILS (1st)</v>
      </c>
      <c r="D484" s="1071" t="str">
        <f t="shared" si="303"/>
        <v>NAV Aids Replacement Programme</v>
      </c>
      <c r="E484" s="1071" t="str">
        <f t="shared" si="303"/>
        <v>R005A</v>
      </c>
      <c r="F484" s="1125" t="str">
        <f t="shared" si="303"/>
        <v>2021-2024</v>
      </c>
      <c r="H484" s="1071" t="s">
        <v>29</v>
      </c>
      <c r="J484" s="1125"/>
      <c r="BB484" s="1108"/>
      <c r="BC484" s="1109"/>
      <c r="BD484" s="1109"/>
      <c r="BE484" s="1109"/>
      <c r="BF484" s="1585"/>
      <c r="BG484" s="1109"/>
      <c r="BH484" s="1109">
        <f t="shared" ref="BH484:BL484" si="304">IF($L181=0,0,(($BH181*O181)+($BI181*U181)+($BJ181*AA181)+($BK181*AG181)+($BL181*AM181))/$L181)</f>
        <v>0</v>
      </c>
      <c r="BI484" s="1109">
        <f t="shared" si="304"/>
        <v>0</v>
      </c>
      <c r="BJ484" s="1109">
        <f t="shared" si="304"/>
        <v>22.833333333333332</v>
      </c>
      <c r="BK484" s="1109">
        <f t="shared" si="304"/>
        <v>91.333333333333329</v>
      </c>
      <c r="BL484" s="1109">
        <f t="shared" si="304"/>
        <v>91.333333333333329</v>
      </c>
    </row>
    <row r="485" spans="2:64" hidden="1" outlineLevel="1">
      <c r="B485" s="1094"/>
      <c r="C485" s="1071" t="str">
        <f t="shared" ref="C485:F485" si="305">C182</f>
        <v>NAV Aids Replacement Programme Cork ILS (2nd)</v>
      </c>
      <c r="D485" s="1071" t="str">
        <f t="shared" si="305"/>
        <v>NAV Aids Replacement Programme</v>
      </c>
      <c r="E485" s="1071" t="str">
        <f t="shared" si="305"/>
        <v>R005A</v>
      </c>
      <c r="F485" s="1125" t="str">
        <f t="shared" si="305"/>
        <v>2021-2024</v>
      </c>
      <c r="H485" s="1071" t="s">
        <v>29</v>
      </c>
      <c r="J485" s="1125"/>
      <c r="BB485" s="1108"/>
      <c r="BC485" s="1109"/>
      <c r="BD485" s="1109"/>
      <c r="BE485" s="1109"/>
      <c r="BF485" s="1585"/>
      <c r="BG485" s="1109"/>
      <c r="BH485" s="1109">
        <f t="shared" ref="BH485:BL485" si="306">IF($L182=0,0,(($BH182*O182)+($BI182*U182)+($BJ182*AA182)+($BK182*AG182)+($BL182*AM182))/$L182)</f>
        <v>0</v>
      </c>
      <c r="BI485" s="1109">
        <f t="shared" si="306"/>
        <v>0</v>
      </c>
      <c r="BJ485" s="1109">
        <f t="shared" si="306"/>
        <v>0</v>
      </c>
      <c r="BK485" s="1109">
        <f t="shared" si="306"/>
        <v>34.166666666666664</v>
      </c>
      <c r="BL485" s="1109">
        <f t="shared" si="306"/>
        <v>136.66666666666666</v>
      </c>
    </row>
    <row r="486" spans="2:64" hidden="1" outlineLevel="1">
      <c r="B486" s="1094"/>
      <c r="C486" s="1071" t="str">
        <f t="shared" ref="C486:F486" si="307">C183</f>
        <v>NAV Aids Replacement Programme Dublin IRVR</v>
      </c>
      <c r="D486" s="1071" t="str">
        <f t="shared" si="307"/>
        <v>NAV Aids Replacement Programme</v>
      </c>
      <c r="E486" s="1071" t="str">
        <f t="shared" si="307"/>
        <v>R005A</v>
      </c>
      <c r="F486" s="1125" t="str">
        <f t="shared" si="307"/>
        <v>2021-2024</v>
      </c>
      <c r="H486" s="1071" t="s">
        <v>29</v>
      </c>
      <c r="J486" s="1125"/>
      <c r="BB486" s="1108"/>
      <c r="BC486" s="1109"/>
      <c r="BD486" s="1109"/>
      <c r="BE486" s="1109"/>
      <c r="BF486" s="1585"/>
      <c r="BG486" s="1109"/>
      <c r="BH486" s="1109">
        <f t="shared" ref="BH486:BL486" si="308">IF($L183=0,0,(($BH183*O183)+($BI183*U183)+($BJ183*AA183)+($BK183*AG183)+($BL183*AM183))/$L183)</f>
        <v>0</v>
      </c>
      <c r="BI486" s="1109">
        <f t="shared" si="308"/>
        <v>8.3985950000000003</v>
      </c>
      <c r="BJ486" s="1109">
        <f t="shared" si="308"/>
        <v>33.594380000000001</v>
      </c>
      <c r="BK486" s="1109">
        <f t="shared" si="308"/>
        <v>33.594380000000001</v>
      </c>
      <c r="BL486" s="1109">
        <f t="shared" si="308"/>
        <v>33.594380000000001</v>
      </c>
    </row>
    <row r="487" spans="2:64" hidden="1" outlineLevel="1">
      <c r="B487" s="1094"/>
      <c r="C487" s="1071" t="str">
        <f t="shared" ref="C487:F487" si="309">C184</f>
        <v>NAV Aids Replacement Programme Shannon IRVR</v>
      </c>
      <c r="D487" s="1071" t="str">
        <f t="shared" si="309"/>
        <v>NAV Aids Replacement Programme</v>
      </c>
      <c r="E487" s="1071" t="str">
        <f t="shared" si="309"/>
        <v>R005A</v>
      </c>
      <c r="F487" s="1125" t="str">
        <f t="shared" si="309"/>
        <v>2021-2024</v>
      </c>
      <c r="H487" s="1071" t="s">
        <v>29</v>
      </c>
      <c r="J487" s="1125"/>
      <c r="BB487" s="1108"/>
      <c r="BC487" s="1109"/>
      <c r="BD487" s="1109"/>
      <c r="BE487" s="1109"/>
      <c r="BF487" s="1585"/>
      <c r="BG487" s="1109"/>
      <c r="BH487" s="1109">
        <f t="shared" ref="BH487:BL487" si="310">IF($L184=0,0,(($BH184*O184)+($BI184*U184)+($BJ184*AA184)+($BK184*AG184)+($BL184*AM184))/$L184)</f>
        <v>0</v>
      </c>
      <c r="BI487" s="1109">
        <f t="shared" si="310"/>
        <v>0</v>
      </c>
      <c r="BJ487" s="1109">
        <f t="shared" si="310"/>
        <v>17.318209333333336</v>
      </c>
      <c r="BK487" s="1109">
        <f t="shared" si="310"/>
        <v>17.318209333333336</v>
      </c>
      <c r="BL487" s="1109">
        <f t="shared" si="310"/>
        <v>17.318209333333336</v>
      </c>
    </row>
    <row r="488" spans="2:64" hidden="1" outlineLevel="1">
      <c r="B488" s="1094"/>
      <c r="C488" s="1071" t="str">
        <f t="shared" ref="C488:F488" si="311">C185</f>
        <v>NAV Aids Replacement Programme Cork IRVR</v>
      </c>
      <c r="D488" s="1071" t="str">
        <f t="shared" si="311"/>
        <v>NAV Aids Replacement Programme</v>
      </c>
      <c r="E488" s="1071" t="str">
        <f t="shared" si="311"/>
        <v>R005A</v>
      </c>
      <c r="F488" s="1125" t="str">
        <f t="shared" si="311"/>
        <v>2021-2024</v>
      </c>
      <c r="H488" s="1071" t="s">
        <v>29</v>
      </c>
      <c r="J488" s="1125"/>
      <c r="BB488" s="1108"/>
      <c r="BC488" s="1109"/>
      <c r="BD488" s="1109"/>
      <c r="BE488" s="1109"/>
      <c r="BF488" s="1585"/>
      <c r="BG488" s="1109"/>
      <c r="BH488" s="1109">
        <f t="shared" ref="BH488:BL488" si="312">IF($L185=0,0,(($BH185*O185)+($BI185*U185)+($BJ185*AA185)+($BK185*AG185)+($BL185*AM185))/$L185)</f>
        <v>0</v>
      </c>
      <c r="BI488" s="1109">
        <f t="shared" si="312"/>
        <v>0</v>
      </c>
      <c r="BJ488" s="1109">
        <f t="shared" si="312"/>
        <v>14.302820000000001</v>
      </c>
      <c r="BK488" s="1109">
        <f t="shared" si="312"/>
        <v>19.07042666666667</v>
      </c>
      <c r="BL488" s="1109">
        <f t="shared" si="312"/>
        <v>19.07042666666667</v>
      </c>
    </row>
    <row r="489" spans="2:64" hidden="1" outlineLevel="1">
      <c r="B489" s="1094"/>
      <c r="C489" s="1071" t="str">
        <f t="shared" ref="C489:F489" si="313">C186</f>
        <v>Plant &amp; Equipment upgrades (Chillers, AC etc.)</v>
      </c>
      <c r="D489" s="1071" t="str">
        <f t="shared" si="313"/>
        <v>Plant &amp; Equipment upgrades</v>
      </c>
      <c r="E489" s="1071" t="str">
        <f t="shared" si="313"/>
        <v>RP3-PROP-3</v>
      </c>
      <c r="F489" s="1125" t="str">
        <f t="shared" si="313"/>
        <v>2021-2024</v>
      </c>
      <c r="H489" s="1071" t="s">
        <v>29</v>
      </c>
      <c r="J489" s="1125"/>
      <c r="BB489" s="1108"/>
      <c r="BC489" s="1109"/>
      <c r="BD489" s="1109"/>
      <c r="BE489" s="1109"/>
      <c r="BF489" s="1585"/>
      <c r="BG489" s="1109"/>
      <c r="BH489" s="1109">
        <f t="shared" ref="BH489:BL489" si="314">IF($L186=0,0,(($BH186*O186)+($BI186*U186)+($BJ186*AA186)+($BK186*AG186)+($BL186*AM186))/$L186)</f>
        <v>0</v>
      </c>
      <c r="BI489" s="1109">
        <f t="shared" si="314"/>
        <v>0</v>
      </c>
      <c r="BJ489" s="1109">
        <f t="shared" si="314"/>
        <v>0</v>
      </c>
      <c r="BK489" s="1109">
        <f t="shared" si="314"/>
        <v>0</v>
      </c>
      <c r="BL489" s="1109">
        <f t="shared" si="314"/>
        <v>0</v>
      </c>
    </row>
    <row r="490" spans="2:64" hidden="1" outlineLevel="1">
      <c r="B490" s="1094"/>
      <c r="C490" s="1071" t="str">
        <f t="shared" ref="C490:F490" si="315">C187</f>
        <v>Plant &amp; Equipment upgrades Shannon En Route</v>
      </c>
      <c r="D490" s="1071" t="str">
        <f t="shared" si="315"/>
        <v>Plant &amp; Equipment upgrades</v>
      </c>
      <c r="E490" s="1071" t="str">
        <f t="shared" si="315"/>
        <v>RP3-PROP-3</v>
      </c>
      <c r="F490" s="1125" t="str">
        <f t="shared" si="315"/>
        <v>2021-2024</v>
      </c>
      <c r="H490" s="1071" t="s">
        <v>29</v>
      </c>
      <c r="J490" s="1125"/>
      <c r="BB490" s="1108"/>
      <c r="BC490" s="1109"/>
      <c r="BD490" s="1109"/>
      <c r="BE490" s="1109"/>
      <c r="BF490" s="1585"/>
      <c r="BG490" s="1109"/>
      <c r="BH490" s="1109">
        <f t="shared" ref="BH490:BL490" si="316">IF($L187=0,0,(($BH187*O187)+($BI187*U187)+($BJ187*AA187)+($BK187*AG187)+($BL187*AM187))/$L187)</f>
        <v>0</v>
      </c>
      <c r="BI490" s="1109">
        <f t="shared" si="316"/>
        <v>0</v>
      </c>
      <c r="BJ490" s="1109">
        <f t="shared" si="316"/>
        <v>0</v>
      </c>
      <c r="BK490" s="1109">
        <f t="shared" si="316"/>
        <v>99.066666666666663</v>
      </c>
      <c r="BL490" s="1109">
        <f t="shared" si="316"/>
        <v>99.066666666666663</v>
      </c>
    </row>
    <row r="491" spans="2:64" hidden="1" outlineLevel="1">
      <c r="B491" s="1094"/>
      <c r="C491" s="1071" t="str">
        <f t="shared" ref="C491:F491" si="317">C188</f>
        <v>Plant &amp; Equipment upgrades Shannon Joint</v>
      </c>
      <c r="D491" s="1071" t="str">
        <f t="shared" si="317"/>
        <v>Plant &amp; Equipment upgrades</v>
      </c>
      <c r="E491" s="1071" t="str">
        <f t="shared" si="317"/>
        <v>RP3-PROP-3</v>
      </c>
      <c r="F491" s="1125" t="str">
        <f t="shared" si="317"/>
        <v>2021-2024</v>
      </c>
      <c r="H491" s="1071" t="s">
        <v>29</v>
      </c>
      <c r="J491" s="1125"/>
      <c r="BB491" s="1108"/>
      <c r="BC491" s="1109"/>
      <c r="BD491" s="1109"/>
      <c r="BE491" s="1109"/>
      <c r="BF491" s="1585"/>
      <c r="BG491" s="1109"/>
      <c r="BH491" s="1109">
        <f t="shared" ref="BH491:BL491" si="318">IF($L188=0,0,(($BH188*O188)+($BI188*U188)+($BJ188*AA188)+($BK188*AG188)+($BL188*AM188))/$L188)</f>
        <v>0</v>
      </c>
      <c r="BI491" s="1109">
        <f t="shared" si="318"/>
        <v>0</v>
      </c>
      <c r="BJ491" s="1109">
        <f t="shared" si="318"/>
        <v>1</v>
      </c>
      <c r="BK491" s="1109">
        <f t="shared" si="318"/>
        <v>4</v>
      </c>
      <c r="BL491" s="1109">
        <f t="shared" si="318"/>
        <v>16.399999999999999</v>
      </c>
    </row>
    <row r="492" spans="2:64" hidden="1" outlineLevel="1">
      <c r="B492" s="1094"/>
      <c r="C492" s="1071" t="str">
        <f t="shared" ref="C492:F492" si="319">C189</f>
        <v>Plant &amp; Equipment upgrades Shannon Terminal</v>
      </c>
      <c r="D492" s="1071" t="str">
        <f t="shared" si="319"/>
        <v>Plant &amp; Equipment upgrades</v>
      </c>
      <c r="E492" s="1071" t="str">
        <f t="shared" si="319"/>
        <v>RP3-PROP-3</v>
      </c>
      <c r="F492" s="1125" t="str">
        <f t="shared" si="319"/>
        <v>2021-2024</v>
      </c>
      <c r="H492" s="1071" t="s">
        <v>29</v>
      </c>
      <c r="J492" s="1125"/>
      <c r="BB492" s="1108"/>
      <c r="BC492" s="1109"/>
      <c r="BD492" s="1109"/>
      <c r="BE492" s="1109"/>
      <c r="BF492" s="1585"/>
      <c r="BG492" s="1109"/>
      <c r="BH492" s="1109">
        <f t="shared" ref="BH492:BL492" si="320">IF($L189=0,0,(($BH189*O189)+($BI189*U189)+($BJ189*AA189)+($BK189*AG189)+($BL189*AM189))/$L189)</f>
        <v>0</v>
      </c>
      <c r="BI492" s="1109">
        <f t="shared" si="320"/>
        <v>0</v>
      </c>
      <c r="BJ492" s="1109">
        <f t="shared" si="320"/>
        <v>0</v>
      </c>
      <c r="BK492" s="1109">
        <f t="shared" si="320"/>
        <v>41.333333333333336</v>
      </c>
      <c r="BL492" s="1109">
        <f t="shared" si="320"/>
        <v>41.333333333333336</v>
      </c>
    </row>
    <row r="493" spans="2:64" hidden="1" outlineLevel="1">
      <c r="B493" s="1094"/>
      <c r="C493" s="1071" t="str">
        <f t="shared" ref="C493:F493" si="321">C190</f>
        <v>Plant &amp; Equipment upgrades Dublin Joint</v>
      </c>
      <c r="D493" s="1071" t="str">
        <f t="shared" si="321"/>
        <v>Plant &amp; Equipment upgrades</v>
      </c>
      <c r="E493" s="1071" t="str">
        <f t="shared" si="321"/>
        <v>RP3-PROP-3</v>
      </c>
      <c r="F493" s="1125" t="str">
        <f t="shared" si="321"/>
        <v>2021-2024</v>
      </c>
      <c r="H493" s="1071" t="s">
        <v>29</v>
      </c>
      <c r="J493" s="1125"/>
      <c r="BB493" s="1108"/>
      <c r="BC493" s="1109"/>
      <c r="BD493" s="1109"/>
      <c r="BE493" s="1109"/>
      <c r="BF493" s="1585"/>
      <c r="BG493" s="1109"/>
      <c r="BH493" s="1109">
        <f t="shared" ref="BH493:BL493" si="322">IF($L190=0,0,(($BH190*O190)+($BI190*U190)+($BJ190*AA190)+($BK190*AG190)+($BL190*AM190))/$L190)</f>
        <v>0</v>
      </c>
      <c r="BI493" s="1109">
        <f t="shared" si="322"/>
        <v>0</v>
      </c>
      <c r="BJ493" s="1109">
        <f t="shared" si="322"/>
        <v>0</v>
      </c>
      <c r="BK493" s="1109">
        <f t="shared" si="322"/>
        <v>86.8</v>
      </c>
      <c r="BL493" s="1109">
        <f t="shared" si="322"/>
        <v>86.8</v>
      </c>
    </row>
    <row r="494" spans="2:64" hidden="1" outlineLevel="1">
      <c r="B494" s="1094"/>
      <c r="C494" s="1071" t="str">
        <f t="shared" ref="C494:F494" si="323">C191</f>
        <v>Plant &amp; Equipment upgrades Cork Terminal</v>
      </c>
      <c r="D494" s="1071" t="str">
        <f t="shared" si="323"/>
        <v>Plant &amp; Equipment upgrades</v>
      </c>
      <c r="E494" s="1071" t="str">
        <f t="shared" si="323"/>
        <v>RP3-PROP-3</v>
      </c>
      <c r="F494" s="1125" t="str">
        <f t="shared" si="323"/>
        <v>2021-2024</v>
      </c>
      <c r="H494" s="1071" t="s">
        <v>29</v>
      </c>
      <c r="J494" s="1125"/>
      <c r="BB494" s="1108"/>
      <c r="BC494" s="1109"/>
      <c r="BD494" s="1109"/>
      <c r="BE494" s="1109"/>
      <c r="BF494" s="1585"/>
      <c r="BG494" s="1109"/>
      <c r="BH494" s="1109">
        <f t="shared" ref="BH494:BL494" si="324">IF($L191=0,0,(($BH191*O191)+($BI191*U191)+($BJ191*AA191)+($BK191*AG191)+($BL191*AM191))/$L191)</f>
        <v>0</v>
      </c>
      <c r="BI494" s="1109">
        <f t="shared" si="324"/>
        <v>0</v>
      </c>
      <c r="BJ494" s="1109">
        <f t="shared" si="324"/>
        <v>0</v>
      </c>
      <c r="BK494" s="1109">
        <f t="shared" si="324"/>
        <v>0</v>
      </c>
      <c r="BL494" s="1109">
        <f t="shared" si="324"/>
        <v>6.2</v>
      </c>
    </row>
    <row r="495" spans="2:64" hidden="1" outlineLevel="1">
      <c r="B495" s="1094"/>
      <c r="C495" s="1071" t="str">
        <f t="shared" ref="C495:F495" si="325">C192</f>
        <v>Plant &amp; Equipment upgrades HQ Joint</v>
      </c>
      <c r="D495" s="1071" t="str">
        <f t="shared" si="325"/>
        <v>Plant &amp; Equipment upgrades</v>
      </c>
      <c r="E495" s="1071" t="str">
        <f t="shared" si="325"/>
        <v>RP3-PROP-3</v>
      </c>
      <c r="F495" s="1125" t="str">
        <f t="shared" si="325"/>
        <v>2021-2024</v>
      </c>
      <c r="H495" s="1071" t="s">
        <v>29</v>
      </c>
      <c r="J495" s="1125"/>
      <c r="BB495" s="1108"/>
      <c r="BC495" s="1109"/>
      <c r="BD495" s="1109"/>
      <c r="BE495" s="1109"/>
      <c r="BF495" s="1585"/>
      <c r="BG495" s="1109"/>
      <c r="BH495" s="1109">
        <f t="shared" ref="BH495:BL495" si="326">IF($L192=0,0,(($BH192*O192)+($BI192*U192)+($BJ192*AA192)+($BK192*AG192)+($BL192*AM192))/$L192)</f>
        <v>0</v>
      </c>
      <c r="BI495" s="1109">
        <f t="shared" si="326"/>
        <v>0</v>
      </c>
      <c r="BJ495" s="1109">
        <f t="shared" si="326"/>
        <v>0</v>
      </c>
      <c r="BK495" s="1109">
        <f t="shared" si="326"/>
        <v>31</v>
      </c>
      <c r="BL495" s="1109">
        <f t="shared" si="326"/>
        <v>124</v>
      </c>
    </row>
    <row r="496" spans="2:64" hidden="1" outlineLevel="1">
      <c r="B496" s="1094"/>
      <c r="C496" s="1071" t="str">
        <f t="shared" ref="C496:F496" si="327">C193</f>
        <v>Climate action plan</v>
      </c>
      <c r="D496" s="1071" t="str">
        <f t="shared" si="327"/>
        <v>Climate action plan</v>
      </c>
      <c r="E496" s="1071" t="str">
        <f t="shared" si="327"/>
        <v>U011</v>
      </c>
      <c r="F496" s="1125" t="str">
        <f t="shared" si="327"/>
        <v>2021-2024</v>
      </c>
      <c r="H496" s="1071" t="s">
        <v>29</v>
      </c>
      <c r="J496" s="1125"/>
      <c r="BB496" s="1108"/>
      <c r="BC496" s="1109"/>
      <c r="BD496" s="1109"/>
      <c r="BE496" s="1109"/>
      <c r="BF496" s="1585"/>
      <c r="BG496" s="1109"/>
      <c r="BH496" s="1109">
        <f t="shared" ref="BH496:BL496" si="328">IF($L193=0,0,(($BH193*O193)+($BI193*U193)+($BJ193*AA193)+($BK193*AG193)+($BL193*AM193))/$L193)</f>
        <v>0</v>
      </c>
      <c r="BI496" s="1109">
        <f t="shared" si="328"/>
        <v>9.3333333333333339</v>
      </c>
      <c r="BJ496" s="1109">
        <f t="shared" si="328"/>
        <v>42.666666666666664</v>
      </c>
      <c r="BK496" s="1109">
        <f t="shared" si="328"/>
        <v>152</v>
      </c>
      <c r="BL496" s="1109">
        <f t="shared" si="328"/>
        <v>282.66666666666669</v>
      </c>
    </row>
    <row r="497" spans="2:64" hidden="1" outlineLevel="1">
      <c r="B497" s="1094"/>
      <c r="C497" s="1071" t="str">
        <f t="shared" ref="C497:F497" si="329">C194</f>
        <v>RADAR Overhaul - Woodcock Hill</v>
      </c>
      <c r="D497" s="1071" t="str">
        <f t="shared" si="329"/>
        <v>RADAR Overhaul</v>
      </c>
      <c r="E497" s="1071" t="str">
        <f t="shared" si="329"/>
        <v>RP3-SURV-1</v>
      </c>
      <c r="F497" s="1125" t="str">
        <f t="shared" si="329"/>
        <v>2021-2024</v>
      </c>
      <c r="H497" s="1071" t="s">
        <v>29</v>
      </c>
      <c r="J497" s="1125"/>
      <c r="BB497" s="1108"/>
      <c r="BC497" s="1109"/>
      <c r="BD497" s="1109"/>
      <c r="BE497" s="1109"/>
      <c r="BF497" s="1585"/>
      <c r="BG497" s="1109"/>
      <c r="BH497" s="1109">
        <f t="shared" ref="BH497:BL497" si="330">IF($L194=0,0,(($BH194*O194)+($BI194*U194)+($BJ194*AA194)+($BK194*AG194)+($BL194*AM194))/$L194)</f>
        <v>0</v>
      </c>
      <c r="BI497" s="1109">
        <f t="shared" si="330"/>
        <v>0</v>
      </c>
      <c r="BJ497" s="1109">
        <f t="shared" si="330"/>
        <v>0</v>
      </c>
      <c r="BK497" s="1109">
        <f t="shared" si="330"/>
        <v>33.333333333333336</v>
      </c>
      <c r="BL497" s="1109">
        <f t="shared" si="330"/>
        <v>133.33333333333334</v>
      </c>
    </row>
    <row r="498" spans="2:64" hidden="1" outlineLevel="1">
      <c r="B498" s="1094"/>
      <c r="C498" s="1071" t="str">
        <f t="shared" ref="C498:F498" si="331">C195</f>
        <v>RADAR Overhaul - MT Gabriel 1 &amp; 2</v>
      </c>
      <c r="D498" s="1071" t="str">
        <f t="shared" si="331"/>
        <v>RADAR Overhaul</v>
      </c>
      <c r="E498" s="1071" t="str">
        <f t="shared" si="331"/>
        <v>RP3-SURV-1</v>
      </c>
      <c r="F498" s="1125" t="str">
        <f t="shared" si="331"/>
        <v>2021-2024</v>
      </c>
      <c r="H498" s="1071" t="s">
        <v>29</v>
      </c>
      <c r="J498" s="1125"/>
      <c r="BB498" s="1108"/>
      <c r="BC498" s="1109"/>
      <c r="BD498" s="1109"/>
      <c r="BE498" s="1109"/>
      <c r="BF498" s="1585"/>
      <c r="BG498" s="1109"/>
      <c r="BH498" s="1109">
        <f t="shared" ref="BH498:BL498" si="332">IF($L195=0,0,(($BH195*O195)+($BI195*U195)+($BJ195*AA195)+($BK195*AG195)+($BL195*AM195))/$L195)</f>
        <v>0</v>
      </c>
      <c r="BI498" s="1109">
        <f t="shared" si="332"/>
        <v>0</v>
      </c>
      <c r="BJ498" s="1109">
        <f t="shared" si="332"/>
        <v>0</v>
      </c>
      <c r="BK498" s="1109">
        <f t="shared" si="332"/>
        <v>0</v>
      </c>
      <c r="BL498" s="1109">
        <f t="shared" si="332"/>
        <v>33.333333333333336</v>
      </c>
    </row>
    <row r="499" spans="2:64" hidden="1" outlineLevel="1">
      <c r="B499" s="1094"/>
      <c r="C499" s="1071" t="str">
        <f t="shared" ref="C499:F499" si="333">C196</f>
        <v>Voice Communication Switch</v>
      </c>
      <c r="D499" s="1071" t="str">
        <f t="shared" si="333"/>
        <v>VOIP Switch</v>
      </c>
      <c r="E499" s="1071" t="str">
        <f t="shared" si="333"/>
        <v>S005</v>
      </c>
      <c r="F499" s="1125" t="str">
        <f t="shared" si="333"/>
        <v>2021-2024</v>
      </c>
      <c r="H499" s="1071" t="s">
        <v>29</v>
      </c>
      <c r="J499" s="1125"/>
      <c r="BB499" s="1108"/>
      <c r="BC499" s="1109"/>
      <c r="BD499" s="1109"/>
      <c r="BE499" s="1109"/>
      <c r="BF499" s="1585"/>
      <c r="BG499" s="1109"/>
      <c r="BH499" s="1109">
        <f t="shared" ref="BH499:BL499" si="334">IF($L196=0,0,(($BH196*O196)+($BI196*U196)+($BJ196*AA196)+($BK196*AG196)+($BL196*AM196))/$L196)</f>
        <v>0</v>
      </c>
      <c r="BI499" s="1109">
        <f t="shared" si="334"/>
        <v>0</v>
      </c>
      <c r="BJ499" s="1109">
        <f t="shared" si="334"/>
        <v>0</v>
      </c>
      <c r="BK499" s="1109">
        <f t="shared" si="334"/>
        <v>0</v>
      </c>
      <c r="BL499" s="1109">
        <f t="shared" si="334"/>
        <v>0</v>
      </c>
    </row>
    <row r="500" spans="2:64" hidden="1" outlineLevel="1">
      <c r="B500" s="1094"/>
      <c r="C500" s="1071" t="str">
        <f t="shared" ref="C500:F500" si="335">C197</f>
        <v>VOIP Switch CRK</v>
      </c>
      <c r="D500" s="1071" t="str">
        <f t="shared" si="335"/>
        <v>VOIP Switch</v>
      </c>
      <c r="E500" s="1071" t="str">
        <f t="shared" si="335"/>
        <v>S005A</v>
      </c>
      <c r="F500" s="1125" t="str">
        <f t="shared" si="335"/>
        <v>2021-2024</v>
      </c>
      <c r="H500" s="1071" t="s">
        <v>29</v>
      </c>
      <c r="J500" s="1125"/>
      <c r="BB500" s="1108"/>
      <c r="BC500" s="1109"/>
      <c r="BD500" s="1109"/>
      <c r="BE500" s="1109"/>
      <c r="BF500" s="1585"/>
      <c r="BG500" s="1109"/>
      <c r="BH500" s="1109">
        <f t="shared" ref="BH500:BL500" si="336">IF($L197=0,0,(($BH197*O197)+($BI197*U197)+($BJ197*AA197)+($BK197*AG197)+($BL197*AM197))/$L197)</f>
        <v>0</v>
      </c>
      <c r="BI500" s="1109">
        <f t="shared" si="336"/>
        <v>0</v>
      </c>
      <c r="BJ500" s="1109">
        <f t="shared" si="336"/>
        <v>9.93276185625</v>
      </c>
      <c r="BK500" s="1109">
        <f t="shared" si="336"/>
        <v>39.731047425</v>
      </c>
      <c r="BL500" s="1109">
        <f t="shared" si="336"/>
        <v>39.731047425</v>
      </c>
    </row>
    <row r="501" spans="2:64" hidden="1" outlineLevel="1">
      <c r="B501" s="1094"/>
      <c r="C501" s="1071" t="str">
        <f t="shared" ref="C501:F501" si="337">C198</f>
        <v>VOIP Switch DUB</v>
      </c>
      <c r="D501" s="1071" t="str">
        <f t="shared" si="337"/>
        <v>VOIP Switch</v>
      </c>
      <c r="E501" s="1071" t="str">
        <f t="shared" si="337"/>
        <v>S005A</v>
      </c>
      <c r="F501" s="1125" t="str">
        <f t="shared" si="337"/>
        <v>2021-2024</v>
      </c>
      <c r="H501" s="1071" t="s">
        <v>29</v>
      </c>
      <c r="J501" s="1125"/>
      <c r="BB501" s="1108"/>
      <c r="BC501" s="1109"/>
      <c r="BD501" s="1109"/>
      <c r="BE501" s="1109"/>
      <c r="BF501" s="1585"/>
      <c r="BG501" s="1109"/>
      <c r="BH501" s="1109">
        <f t="shared" ref="BH501:BL501" si="338">IF($L198=0,0,(($BH198*O198)+($BI198*U198)+($BJ198*AA198)+($BK198*AG198)+($BL198*AM198))/$L198)</f>
        <v>0</v>
      </c>
      <c r="BI501" s="1109">
        <f t="shared" si="338"/>
        <v>33.796760893750005</v>
      </c>
      <c r="BJ501" s="1109">
        <f t="shared" si="338"/>
        <v>135.18704357500002</v>
      </c>
      <c r="BK501" s="1109">
        <f t="shared" si="338"/>
        <v>135.18704357500002</v>
      </c>
      <c r="BL501" s="1109">
        <f t="shared" si="338"/>
        <v>135.18704357500002</v>
      </c>
    </row>
    <row r="502" spans="2:64" hidden="1" outlineLevel="1">
      <c r="B502" s="1094"/>
      <c r="C502" s="1071" t="str">
        <f t="shared" ref="C502:F502" si="339">C199</f>
        <v>VOIP Switch Ballycasey Main</v>
      </c>
      <c r="D502" s="1071" t="str">
        <f t="shared" si="339"/>
        <v>VOIP Switch</v>
      </c>
      <c r="E502" s="1071" t="str">
        <f t="shared" si="339"/>
        <v>S005A</v>
      </c>
      <c r="F502" s="1125" t="str">
        <f t="shared" si="339"/>
        <v>2021-2024</v>
      </c>
      <c r="H502" s="1071" t="s">
        <v>29</v>
      </c>
      <c r="J502" s="1125"/>
      <c r="BB502" s="1108"/>
      <c r="BC502" s="1109"/>
      <c r="BD502" s="1109"/>
      <c r="BE502" s="1109"/>
      <c r="BF502" s="1585"/>
      <c r="BG502" s="1109"/>
      <c r="BH502" s="1109">
        <f t="shared" ref="BH502:BL502" si="340">IF($L199=0,0,(($BH199*O199)+($BI199*U199)+($BJ199*AA199)+($BK199*AG199)+($BL199*AM199))/$L199)</f>
        <v>0</v>
      </c>
      <c r="BI502" s="1109">
        <f t="shared" si="340"/>
        <v>0</v>
      </c>
      <c r="BJ502" s="1109">
        <f t="shared" si="340"/>
        <v>0</v>
      </c>
      <c r="BK502" s="1109">
        <f t="shared" si="340"/>
        <v>0</v>
      </c>
      <c r="BL502" s="1109">
        <f t="shared" si="340"/>
        <v>33.736475000000006</v>
      </c>
    </row>
    <row r="503" spans="2:64" hidden="1" outlineLevel="1">
      <c r="B503" s="1094"/>
      <c r="C503" s="1071" t="str">
        <f t="shared" ref="C503:F503" si="341">C200</f>
        <v>VOIP Switch STBU</v>
      </c>
      <c r="D503" s="1071" t="str">
        <f t="shared" si="341"/>
        <v>VOIP Switch</v>
      </c>
      <c r="E503" s="1071" t="str">
        <f t="shared" si="341"/>
        <v>S005A</v>
      </c>
      <c r="F503" s="1125" t="str">
        <f t="shared" si="341"/>
        <v>2021-2024</v>
      </c>
      <c r="H503" s="1071" t="s">
        <v>29</v>
      </c>
      <c r="J503" s="1125"/>
      <c r="BB503" s="1108"/>
      <c r="BC503" s="1109"/>
      <c r="BD503" s="1109"/>
      <c r="BE503" s="1109"/>
      <c r="BF503" s="1585"/>
      <c r="BG503" s="1109"/>
      <c r="BH503" s="1109">
        <f t="shared" ref="BH503:BL503" si="342">IF($L200=0,0,(($BH200*O200)+($BI200*U200)+($BJ200*AA200)+($BK200*AG200)+($BL200*AM200))/$L200)</f>
        <v>0</v>
      </c>
      <c r="BI503" s="1109">
        <f t="shared" si="342"/>
        <v>0</v>
      </c>
      <c r="BJ503" s="1109">
        <f t="shared" si="342"/>
        <v>0</v>
      </c>
      <c r="BK503" s="1109">
        <f t="shared" si="342"/>
        <v>7.5</v>
      </c>
      <c r="BL503" s="1109">
        <f t="shared" si="342"/>
        <v>30</v>
      </c>
    </row>
    <row r="504" spans="2:64" hidden="1" outlineLevel="1">
      <c r="B504" s="1094"/>
      <c r="C504" s="1071" t="str">
        <f t="shared" ref="C504:F504" si="343">C201</f>
        <v>VOIP Test &amp; backup Ballycasey</v>
      </c>
      <c r="D504" s="1071" t="str">
        <f t="shared" si="343"/>
        <v>VOIP Switch</v>
      </c>
      <c r="E504" s="1071" t="str">
        <f t="shared" si="343"/>
        <v>S005A</v>
      </c>
      <c r="F504" s="1125" t="str">
        <f t="shared" si="343"/>
        <v>2021-2024</v>
      </c>
      <c r="H504" s="1071" t="s">
        <v>29</v>
      </c>
      <c r="J504" s="1125"/>
      <c r="BB504" s="1108"/>
      <c r="BC504" s="1109"/>
      <c r="BD504" s="1109"/>
      <c r="BE504" s="1109"/>
      <c r="BF504" s="1585"/>
      <c r="BG504" s="1109"/>
      <c r="BH504" s="1109">
        <f t="shared" ref="BH504:BL504" si="344">IF($L201=0,0,(($BH201*O201)+($BI201*U201)+($BJ201*AA201)+($BK201*AG201)+($BL201*AM201))/$L201)</f>
        <v>0</v>
      </c>
      <c r="BI504" s="1109">
        <f t="shared" si="344"/>
        <v>0</v>
      </c>
      <c r="BJ504" s="1109">
        <f t="shared" si="344"/>
        <v>0</v>
      </c>
      <c r="BK504" s="1109">
        <f t="shared" si="344"/>
        <v>13.3575</v>
      </c>
      <c r="BL504" s="1109">
        <f t="shared" si="344"/>
        <v>53.43</v>
      </c>
    </row>
    <row r="505" spans="2:64" hidden="1" outlineLevel="1">
      <c r="B505" s="1094"/>
      <c r="C505" s="1071" t="str">
        <f t="shared" ref="C505:F505" si="345">C202</f>
        <v>North Dublin Radar Building</v>
      </c>
      <c r="D505" s="1071" t="str">
        <f t="shared" si="345"/>
        <v>North Dublin Radar Building</v>
      </c>
      <c r="E505" s="1071" t="str">
        <f t="shared" si="345"/>
        <v>T006</v>
      </c>
      <c r="F505" s="1125" t="str">
        <f t="shared" si="345"/>
        <v>2021-2024</v>
      </c>
      <c r="H505" s="1071" t="s">
        <v>29</v>
      </c>
      <c r="J505" s="1125"/>
      <c r="BB505" s="1108"/>
      <c r="BC505" s="1109"/>
      <c r="BD505" s="1109"/>
      <c r="BE505" s="1109"/>
      <c r="BF505" s="1585"/>
      <c r="BG505" s="1109"/>
      <c r="BH505" s="1109">
        <f t="shared" ref="BH505:BL505" si="346">IF($L202=0,0,(($BH202*O202)+($BI202*U202)+($BJ202*AA202)+($BK202*AG202)+($BL202*AM202))/$L202)</f>
        <v>0</v>
      </c>
      <c r="BI505" s="1109">
        <f t="shared" si="346"/>
        <v>0</v>
      </c>
      <c r="BJ505" s="1109">
        <f t="shared" si="346"/>
        <v>52.2</v>
      </c>
      <c r="BK505" s="1109">
        <f t="shared" si="346"/>
        <v>69.599999999999994</v>
      </c>
      <c r="BL505" s="1109">
        <f t="shared" si="346"/>
        <v>69.599999999999994</v>
      </c>
    </row>
    <row r="506" spans="2:64" hidden="1" outlineLevel="1">
      <c r="B506" s="1094"/>
      <c r="C506" s="1071" t="str">
        <f t="shared" ref="C506:F506" si="347">C203</f>
        <v>Structural Upgrades Dublin ACC</v>
      </c>
      <c r="D506" s="1071" t="str">
        <f t="shared" si="347"/>
        <v>Structural Upgrades</v>
      </c>
      <c r="E506" s="1071" t="str">
        <f t="shared" si="347"/>
        <v>RP3-PROP-4</v>
      </c>
      <c r="F506" s="1125" t="str">
        <f t="shared" si="347"/>
        <v>2021-2024</v>
      </c>
      <c r="H506" s="1071" t="s">
        <v>29</v>
      </c>
      <c r="J506" s="1125"/>
      <c r="BB506" s="1108"/>
      <c r="BC506" s="1109"/>
      <c r="BD506" s="1109"/>
      <c r="BE506" s="1109"/>
      <c r="BF506" s="1585"/>
      <c r="BG506" s="1109"/>
      <c r="BH506" s="1109">
        <f t="shared" ref="BH506:BL506" si="348">IF($L203=0,0,(($BH203*O203)+($BI203*U203)+($BJ203*AA203)+($BK203*AG203)+($BL203*AM203))/$L203)</f>
        <v>0</v>
      </c>
      <c r="BI506" s="1109">
        <f t="shared" si="348"/>
        <v>0</v>
      </c>
      <c r="BJ506" s="1109">
        <f t="shared" si="348"/>
        <v>0</v>
      </c>
      <c r="BK506" s="1109">
        <f t="shared" si="348"/>
        <v>0</v>
      </c>
      <c r="BL506" s="1109">
        <f t="shared" si="348"/>
        <v>77.5</v>
      </c>
    </row>
    <row r="507" spans="2:64" hidden="1" outlineLevel="1">
      <c r="B507" s="1094"/>
      <c r="C507" s="1071" t="str">
        <f t="shared" ref="C507:F507" si="349">C204</f>
        <v>Structural Upgrades Ballycasey ACC</v>
      </c>
      <c r="D507" s="1071" t="str">
        <f t="shared" si="349"/>
        <v>Structural Upgrades</v>
      </c>
      <c r="E507" s="1071" t="str">
        <f t="shared" si="349"/>
        <v>RP3-PROP-4</v>
      </c>
      <c r="F507" s="1125" t="str">
        <f t="shared" si="349"/>
        <v>2021-2024</v>
      </c>
      <c r="H507" s="1071" t="s">
        <v>29</v>
      </c>
      <c r="J507" s="1125"/>
      <c r="BB507" s="1108"/>
      <c r="BC507" s="1109"/>
      <c r="BD507" s="1109"/>
      <c r="BE507" s="1109"/>
      <c r="BF507" s="1585"/>
      <c r="BG507" s="1109"/>
      <c r="BH507" s="1109">
        <f t="shared" ref="BH507:BL507" si="350">IF($L204=0,0,(($BH204*O204)+($BI204*U204)+($BJ204*AA204)+($BK204*AG204)+($BL204*AM204))/$L204)</f>
        <v>0</v>
      </c>
      <c r="BI507" s="1109">
        <f t="shared" si="350"/>
        <v>0</v>
      </c>
      <c r="BJ507" s="1109">
        <f t="shared" si="350"/>
        <v>9.3000000000000007</v>
      </c>
      <c r="BK507" s="1109">
        <f t="shared" si="350"/>
        <v>37.200000000000003</v>
      </c>
      <c r="BL507" s="1109">
        <f t="shared" si="350"/>
        <v>37.200000000000003</v>
      </c>
    </row>
    <row r="508" spans="2:64" hidden="1" outlineLevel="1">
      <c r="B508" s="1094"/>
      <c r="C508" s="1071" t="str">
        <f t="shared" ref="C508:F508" si="351">C205</f>
        <v>Structural Upgrades Shannon Air Traffic Control Tower</v>
      </c>
      <c r="D508" s="1071" t="str">
        <f t="shared" si="351"/>
        <v>Structural Upgrades</v>
      </c>
      <c r="E508" s="1071" t="str">
        <f t="shared" si="351"/>
        <v>RP3-PROP-4</v>
      </c>
      <c r="F508" s="1125" t="str">
        <f t="shared" si="351"/>
        <v>2021-2024</v>
      </c>
      <c r="H508" s="1071" t="s">
        <v>29</v>
      </c>
      <c r="J508" s="1125"/>
      <c r="BB508" s="1108"/>
      <c r="BC508" s="1109"/>
      <c r="BD508" s="1109"/>
      <c r="BE508" s="1109"/>
      <c r="BF508" s="1585"/>
      <c r="BG508" s="1109"/>
      <c r="BH508" s="1109">
        <f t="shared" ref="BH508:BL508" si="352">IF($L205=0,0,(($BH205*O205)+($BI205*U205)+($BJ205*AA205)+($BK205*AG205)+($BL205*AM205))/$L205)</f>
        <v>0</v>
      </c>
      <c r="BI508" s="1109">
        <f t="shared" si="352"/>
        <v>0</v>
      </c>
      <c r="BJ508" s="1109">
        <f t="shared" si="352"/>
        <v>0</v>
      </c>
      <c r="BK508" s="1109">
        <f t="shared" si="352"/>
        <v>15.5</v>
      </c>
      <c r="BL508" s="1109">
        <f t="shared" si="352"/>
        <v>15.5</v>
      </c>
    </row>
    <row r="509" spans="2:64" hidden="1" outlineLevel="1">
      <c r="B509" s="1094"/>
      <c r="C509" s="1071" t="str">
        <f t="shared" ref="C509:F509" si="353">C206</f>
        <v>Restrucuring IT Costs ANSP</v>
      </c>
      <c r="D509" s="1071" t="str">
        <f t="shared" si="353"/>
        <v>Restrucuring IT Costs ANSP</v>
      </c>
      <c r="E509" s="1071" t="str">
        <f t="shared" si="353"/>
        <v>U022</v>
      </c>
      <c r="F509" s="1125" t="str">
        <f t="shared" si="353"/>
        <v>2021-2024</v>
      </c>
      <c r="H509" s="1071" t="s">
        <v>29</v>
      </c>
      <c r="J509" s="1125"/>
      <c r="BB509" s="1108"/>
      <c r="BC509" s="1109"/>
      <c r="BD509" s="1109"/>
      <c r="BE509" s="1109"/>
      <c r="BF509" s="1585"/>
      <c r="BG509" s="1109"/>
      <c r="BH509" s="1109">
        <f>IF($L206=0,0,(($BH206*O206)+($BI206*U206)+($BJ206*AA206)+($BK206*AG206)+($BL206*AM206))/$L206)</f>
        <v>0</v>
      </c>
      <c r="BI509" s="1109">
        <f t="shared" ref="BI509:BL509" si="354">IF($L206=0,0,(($BH206*P206)+($BI206*V206)+($BJ206*AB206)+($BK206*AH206)+($BL206*AN206))/$L206)</f>
        <v>0</v>
      </c>
      <c r="BJ509" s="1109">
        <f t="shared" si="354"/>
        <v>492.8</v>
      </c>
      <c r="BK509" s="1109">
        <f t="shared" si="354"/>
        <v>492.8</v>
      </c>
      <c r="BL509" s="1109">
        <f t="shared" si="354"/>
        <v>492.8</v>
      </c>
    </row>
    <row r="510" spans="2:64" hidden="1" outlineLevel="1">
      <c r="B510" s="1094"/>
      <c r="C510" s="1071" t="str">
        <f t="shared" ref="C510:F510" si="355">C207</f>
        <v>Conditional Surveys</v>
      </c>
      <c r="D510" s="1071" t="str">
        <f t="shared" si="355"/>
        <v>Conditional Surveys</v>
      </c>
      <c r="E510" s="1071" t="str">
        <f t="shared" si="355"/>
        <v>RP3-PROP-1</v>
      </c>
      <c r="F510" s="1125" t="str">
        <f t="shared" si="355"/>
        <v>2021-2024</v>
      </c>
      <c r="H510" s="1071" t="s">
        <v>29</v>
      </c>
      <c r="J510" s="1125"/>
      <c r="BB510" s="1108"/>
      <c r="BC510" s="1109"/>
      <c r="BD510" s="1109"/>
      <c r="BE510" s="1109"/>
      <c r="BF510" s="1585"/>
      <c r="BG510" s="1109"/>
      <c r="BH510" s="1109">
        <f t="shared" ref="BH510:BL510" si="356">IF($L207=0,0,(($BH207*O207)+($BI207*U207)+($BJ207*AA207)+($BK207*AG207)+($BL207*AM207))/$L207)</f>
        <v>0</v>
      </c>
      <c r="BI510" s="1109">
        <f t="shared" si="356"/>
        <v>0</v>
      </c>
      <c r="BJ510" s="1109">
        <f t="shared" si="356"/>
        <v>0</v>
      </c>
      <c r="BK510" s="1109">
        <f t="shared" si="356"/>
        <v>0</v>
      </c>
      <c r="BL510" s="1109">
        <f t="shared" si="356"/>
        <v>0</v>
      </c>
    </row>
    <row r="511" spans="2:64" hidden="1" outlineLevel="1">
      <c r="B511" s="1094"/>
      <c r="C511" s="1071" t="str">
        <f t="shared" ref="C511:F511" si="357">C208</f>
        <v>Conditional Surveys Shannon En Route</v>
      </c>
      <c r="D511" s="1071" t="str">
        <f t="shared" si="357"/>
        <v>Conditional Surveys</v>
      </c>
      <c r="E511" s="1071" t="str">
        <f t="shared" si="357"/>
        <v>RP3-PROP-1</v>
      </c>
      <c r="F511" s="1125" t="str">
        <f t="shared" si="357"/>
        <v>2021-2024</v>
      </c>
      <c r="H511" s="1071" t="s">
        <v>29</v>
      </c>
      <c r="J511" s="1125"/>
      <c r="BB511" s="1108"/>
      <c r="BC511" s="1109"/>
      <c r="BD511" s="1109"/>
      <c r="BE511" s="1109"/>
      <c r="BF511" s="1585"/>
      <c r="BG511" s="1109"/>
      <c r="BH511" s="1109">
        <f t="shared" ref="BH511:BL511" si="358">IF($L208=0,0,(($BH208*O208)+($BI208*U208)+($BJ208*AA208)+($BK208*AG208)+($BL208*AM208))/$L208)</f>
        <v>0</v>
      </c>
      <c r="BI511" s="1109">
        <f t="shared" si="358"/>
        <v>6.7782500000000008</v>
      </c>
      <c r="BJ511" s="1109">
        <f t="shared" si="358"/>
        <v>41.476000000000006</v>
      </c>
      <c r="BK511" s="1109">
        <f t="shared" si="358"/>
        <v>61.976000000000006</v>
      </c>
      <c r="BL511" s="1109">
        <f t="shared" si="358"/>
        <v>62.638500000000008</v>
      </c>
    </row>
    <row r="512" spans="2:64" hidden="1" outlineLevel="1">
      <c r="B512" s="1094"/>
      <c r="C512" s="1071" t="str">
        <f t="shared" ref="C512:F512" si="359">C209</f>
        <v>Conditional Surveys Shannon Joint</v>
      </c>
      <c r="D512" s="1071" t="str">
        <f t="shared" si="359"/>
        <v>Conditional Surveys</v>
      </c>
      <c r="E512" s="1071" t="str">
        <f t="shared" si="359"/>
        <v>RP3-PROP-1</v>
      </c>
      <c r="F512" s="1125" t="str">
        <f t="shared" si="359"/>
        <v>2021-2024</v>
      </c>
      <c r="H512" s="1071" t="s">
        <v>29</v>
      </c>
      <c r="J512" s="1125"/>
      <c r="BB512" s="1108"/>
      <c r="BC512" s="1109"/>
      <c r="BD512" s="1109"/>
      <c r="BE512" s="1109"/>
      <c r="BF512" s="1585"/>
      <c r="BG512" s="1109"/>
      <c r="BH512" s="1109">
        <f t="shared" ref="BH512:BL512" si="360">IF($L209=0,0,(($BH209*O209)+($BI209*U209)+($BJ209*AA209)+($BK209*AG209)+($BL209*AM209))/$L209)</f>
        <v>0</v>
      </c>
      <c r="BI512" s="1109">
        <f t="shared" si="360"/>
        <v>0</v>
      </c>
      <c r="BJ512" s="1109">
        <f t="shared" si="360"/>
        <v>0</v>
      </c>
      <c r="BK512" s="1109">
        <f t="shared" si="360"/>
        <v>0.27500000000000002</v>
      </c>
      <c r="BL512" s="1109">
        <f t="shared" si="360"/>
        <v>3.1</v>
      </c>
    </row>
    <row r="513" spans="2:64" hidden="1" outlineLevel="1">
      <c r="B513" s="1094"/>
      <c r="C513" s="1071" t="str">
        <f t="shared" ref="C513:F513" si="361">C210</f>
        <v>Conditional Surveys Shannon Terminal</v>
      </c>
      <c r="D513" s="1071" t="str">
        <f t="shared" si="361"/>
        <v>Conditional Surveys</v>
      </c>
      <c r="E513" s="1071" t="str">
        <f t="shared" si="361"/>
        <v>RP3-PROP-1</v>
      </c>
      <c r="F513" s="1125" t="str">
        <f t="shared" si="361"/>
        <v>2021-2024</v>
      </c>
      <c r="H513" s="1071" t="s">
        <v>29</v>
      </c>
      <c r="J513" s="1125"/>
      <c r="BB513" s="1108"/>
      <c r="BC513" s="1109"/>
      <c r="BD513" s="1109"/>
      <c r="BE513" s="1109"/>
      <c r="BF513" s="1585"/>
      <c r="BG513" s="1109"/>
      <c r="BH513" s="1109">
        <f t="shared" ref="BH513:BL513" si="362">IF($L210=0,0,(($BH210*O210)+($BI210*U210)+($BJ210*AA210)+($BK210*AG210)+($BL210*AM210))/$L210)</f>
        <v>0</v>
      </c>
      <c r="BI513" s="1109">
        <f t="shared" si="362"/>
        <v>0</v>
      </c>
      <c r="BJ513" s="1109">
        <f t="shared" si="362"/>
        <v>11.541</v>
      </c>
      <c r="BK513" s="1109">
        <f t="shared" si="362"/>
        <v>29.388000000000002</v>
      </c>
      <c r="BL513" s="1109">
        <f t="shared" si="362"/>
        <v>29.388000000000002</v>
      </c>
    </row>
    <row r="514" spans="2:64" hidden="1" outlineLevel="1">
      <c r="B514" s="1094"/>
      <c r="C514" s="1071" t="str">
        <f t="shared" ref="C514:F514" si="363">C211</f>
        <v>Conditional Surveys Dublin Joint</v>
      </c>
      <c r="D514" s="1071" t="str">
        <f t="shared" si="363"/>
        <v>Conditional Surveys</v>
      </c>
      <c r="E514" s="1071" t="str">
        <f t="shared" si="363"/>
        <v>RP3-PROP-1</v>
      </c>
      <c r="F514" s="1125" t="str">
        <f t="shared" si="363"/>
        <v>2021-2024</v>
      </c>
      <c r="H514" s="1071" t="s">
        <v>29</v>
      </c>
      <c r="J514" s="1125"/>
      <c r="BB514" s="1108"/>
      <c r="BC514" s="1109"/>
      <c r="BD514" s="1109"/>
      <c r="BE514" s="1109"/>
      <c r="BF514" s="1585"/>
      <c r="BG514" s="1109"/>
      <c r="BH514" s="1109">
        <f t="shared" ref="BH514:BL514" si="364">IF($L211=0,0,(($BH211*O211)+($BI211*U211)+($BJ211*AA211)+($BK211*AG211)+($BL211*AM211))/$L211)</f>
        <v>0</v>
      </c>
      <c r="BI514" s="1109">
        <f t="shared" si="364"/>
        <v>0</v>
      </c>
      <c r="BJ514" s="1109">
        <f t="shared" si="364"/>
        <v>1.55</v>
      </c>
      <c r="BK514" s="1109">
        <f t="shared" si="364"/>
        <v>3.1</v>
      </c>
      <c r="BL514" s="1109">
        <f t="shared" si="364"/>
        <v>4.1500000000000004</v>
      </c>
    </row>
    <row r="515" spans="2:64" hidden="1" outlineLevel="1">
      <c r="B515" s="1094"/>
      <c r="C515" s="1071" t="str">
        <f t="shared" ref="C515:F515" si="365">C212</f>
        <v>Conditional Surveys Cork Terminal</v>
      </c>
      <c r="D515" s="1071" t="str">
        <f t="shared" si="365"/>
        <v>Conditional Surveys</v>
      </c>
      <c r="E515" s="1071" t="str">
        <f t="shared" si="365"/>
        <v>RP3-PROP-1</v>
      </c>
      <c r="F515" s="1125" t="str">
        <f t="shared" si="365"/>
        <v>2021-2024</v>
      </c>
      <c r="H515" s="1071" t="s">
        <v>29</v>
      </c>
      <c r="J515" s="1125"/>
      <c r="BB515" s="1108"/>
      <c r="BC515" s="1109"/>
      <c r="BD515" s="1109"/>
      <c r="BE515" s="1109"/>
      <c r="BF515" s="1585"/>
      <c r="BG515" s="1109"/>
      <c r="BH515" s="1109">
        <f t="shared" ref="BH515:BL515" si="366">IF($L212=0,0,(($BH212*O212)+($BI212*U212)+($BJ212*AA212)+($BK212*AG212)+($BL212*AM212))/$L212)</f>
        <v>0</v>
      </c>
      <c r="BI515" s="1109">
        <f t="shared" si="366"/>
        <v>0</v>
      </c>
      <c r="BJ515" s="1109">
        <f t="shared" si="366"/>
        <v>0</v>
      </c>
      <c r="BK515" s="1109">
        <f t="shared" si="366"/>
        <v>1.7437499999999999</v>
      </c>
      <c r="BL515" s="1109">
        <f t="shared" si="366"/>
        <v>4.6500000000000004</v>
      </c>
    </row>
    <row r="516" spans="2:64" hidden="1" outlineLevel="1">
      <c r="B516" s="1094"/>
      <c r="C516" s="1071" t="str">
        <f t="shared" ref="C516:F516" si="367">C213</f>
        <v>Replacement Dublin 2 RADAR Existing</v>
      </c>
      <c r="D516" s="1071" t="str">
        <f t="shared" si="367"/>
        <v>Replacement Dublin 2 RADAR</v>
      </c>
      <c r="E516" s="1071" t="str">
        <f t="shared" si="367"/>
        <v>Q012</v>
      </c>
      <c r="F516" s="1125" t="str">
        <f t="shared" si="367"/>
        <v>2021-2024</v>
      </c>
      <c r="H516" s="1071" t="s">
        <v>29</v>
      </c>
      <c r="J516" s="1125"/>
      <c r="BB516" s="1108"/>
      <c r="BC516" s="1109"/>
      <c r="BD516" s="1109"/>
      <c r="BE516" s="1109"/>
      <c r="BF516" s="1585"/>
      <c r="BG516" s="1109"/>
      <c r="BH516" s="1109">
        <f t="shared" ref="BH516:BL516" si="368">IF($L213=0,0,(($BH213*O213)+($BI213*U213)+($BJ213*AA213)+($BK213*AG213)+($BL213*AM213))/$L213)</f>
        <v>0</v>
      </c>
      <c r="BI516" s="1109">
        <f t="shared" si="368"/>
        <v>0</v>
      </c>
      <c r="BJ516" s="1109">
        <f t="shared" si="368"/>
        <v>0</v>
      </c>
      <c r="BK516" s="1109">
        <f t="shared" si="368"/>
        <v>0</v>
      </c>
      <c r="BL516" s="1109">
        <f t="shared" si="368"/>
        <v>0</v>
      </c>
    </row>
    <row r="517" spans="2:64" hidden="1" outlineLevel="1">
      <c r="B517" s="1094"/>
      <c r="C517" s="1071" t="str">
        <f t="shared" ref="C517:F517" si="369">C214</f>
        <v>Replacement Dublin 2 RADAR New (Phase 2)</v>
      </c>
      <c r="D517" s="1071" t="str">
        <f t="shared" si="369"/>
        <v>Replacement Dublin 2 RADAR</v>
      </c>
      <c r="E517" s="1071" t="str">
        <f t="shared" si="369"/>
        <v>Q012A</v>
      </c>
      <c r="F517" s="1125" t="str">
        <f t="shared" si="369"/>
        <v>2021-2024</v>
      </c>
      <c r="H517" s="1071" t="s">
        <v>29</v>
      </c>
      <c r="J517" s="1125"/>
      <c r="BB517" s="1108"/>
      <c r="BC517" s="1109"/>
      <c r="BD517" s="1109"/>
      <c r="BE517" s="1109"/>
      <c r="BF517" s="1585"/>
      <c r="BG517" s="1109"/>
      <c r="BH517" s="1109">
        <f t="shared" ref="BH517:BL517" si="370">IF($L214=0,0,(($BH214*O214)+($BI214*U214)+($BJ214*AA214)+($BK214*AG214)+($BL214*AM214))/$L214)</f>
        <v>0</v>
      </c>
      <c r="BI517" s="1109">
        <f t="shared" si="370"/>
        <v>0</v>
      </c>
      <c r="BJ517" s="1109">
        <f t="shared" si="370"/>
        <v>32.98446666666667</v>
      </c>
      <c r="BK517" s="1109">
        <f t="shared" si="370"/>
        <v>131.93786666666668</v>
      </c>
      <c r="BL517" s="1109">
        <f t="shared" si="370"/>
        <v>131.93786666666668</v>
      </c>
    </row>
    <row r="518" spans="2:64" hidden="1" outlineLevel="1">
      <c r="B518" s="1094"/>
      <c r="C518" s="1071" t="str">
        <f t="shared" ref="C518:F518" si="371">C215</f>
        <v>Cork ATC Building Upgrade</v>
      </c>
      <c r="D518" s="1071" t="str">
        <f t="shared" si="371"/>
        <v>Cork ATC Building Upgrade</v>
      </c>
      <c r="E518" s="1071" t="str">
        <f t="shared" si="371"/>
        <v>U016</v>
      </c>
      <c r="F518" s="1125" t="str">
        <f t="shared" si="371"/>
        <v>2021-2024</v>
      </c>
      <c r="H518" s="1071" t="s">
        <v>29</v>
      </c>
      <c r="J518" s="1125"/>
      <c r="BB518" s="1108"/>
      <c r="BC518" s="1109"/>
      <c r="BD518" s="1109"/>
      <c r="BE518" s="1109"/>
      <c r="BF518" s="1585"/>
      <c r="BG518" s="1109"/>
      <c r="BH518" s="1109">
        <f t="shared" ref="BH518:BL518" si="372">IF($L215=0,0,(($BH215*O215)+($BI215*U215)+($BJ215*AA215)+($BK215*AG215)+($BL215*AM215))/$L215)</f>
        <v>0</v>
      </c>
      <c r="BI518" s="1109">
        <f t="shared" si="372"/>
        <v>0</v>
      </c>
      <c r="BJ518" s="1109">
        <f t="shared" si="372"/>
        <v>0</v>
      </c>
      <c r="BK518" s="1109">
        <f t="shared" si="372"/>
        <v>0</v>
      </c>
      <c r="BL518" s="1109">
        <f t="shared" si="372"/>
        <v>55.8</v>
      </c>
    </row>
    <row r="519" spans="2:64" hidden="1" outlineLevel="1">
      <c r="B519" s="1094"/>
      <c r="C519" s="1071" t="str">
        <f t="shared" ref="C519:F519" si="373">C216</f>
        <v>Energy Management Upgrades</v>
      </c>
      <c r="D519" s="1071" t="str">
        <f t="shared" si="373"/>
        <v>Energy Management Upgrades</v>
      </c>
      <c r="E519" s="1071" t="str">
        <f t="shared" si="373"/>
        <v>T007</v>
      </c>
      <c r="F519" s="1125" t="str">
        <f t="shared" si="373"/>
        <v>2021-2024</v>
      </c>
      <c r="H519" s="1071" t="s">
        <v>29</v>
      </c>
      <c r="J519" s="1125"/>
      <c r="BB519" s="1108"/>
      <c r="BC519" s="1109"/>
      <c r="BD519" s="1109"/>
      <c r="BE519" s="1109"/>
      <c r="BF519" s="1585"/>
      <c r="BG519" s="1109"/>
      <c r="BH519" s="1109">
        <f t="shared" ref="BH519:BL519" si="374">IF($L216=0,0,(($BH216*O216)+($BI216*U216)+($BJ216*AA216)+($BK216*AG216)+($BL216*AM216))/$L216)</f>
        <v>0</v>
      </c>
      <c r="BI519" s="1109">
        <f t="shared" si="374"/>
        <v>0</v>
      </c>
      <c r="BJ519" s="1109">
        <f t="shared" si="374"/>
        <v>0</v>
      </c>
      <c r="BK519" s="1109">
        <f t="shared" si="374"/>
        <v>0</v>
      </c>
      <c r="BL519" s="1109">
        <f t="shared" si="374"/>
        <v>0</v>
      </c>
    </row>
    <row r="520" spans="2:64" hidden="1" outlineLevel="1">
      <c r="B520" s="1094"/>
      <c r="C520" s="1071" t="str">
        <f t="shared" ref="C520:F520" si="375">C217</f>
        <v>Energy Management Upgrades Dublin</v>
      </c>
      <c r="D520" s="1071" t="str">
        <f t="shared" si="375"/>
        <v>Energy Management Upgrades</v>
      </c>
      <c r="E520" s="1071" t="str">
        <f t="shared" si="375"/>
        <v>T007A</v>
      </c>
      <c r="F520" s="1125" t="str">
        <f t="shared" si="375"/>
        <v>2021-2024</v>
      </c>
      <c r="H520" s="1071" t="s">
        <v>29</v>
      </c>
      <c r="J520" s="1125"/>
      <c r="BB520" s="1108"/>
      <c r="BC520" s="1109"/>
      <c r="BD520" s="1109"/>
      <c r="BE520" s="1109"/>
      <c r="BF520" s="1585"/>
      <c r="BG520" s="1109"/>
      <c r="BH520" s="1109">
        <f t="shared" ref="BH520:BL520" si="376">IF($L217=0,0,(($BH217*O217)+($BI217*U217)+($BJ217*AA217)+($BK217*AG217)+($BL217*AM217))/$L217)</f>
        <v>0</v>
      </c>
      <c r="BI520" s="1109">
        <f t="shared" si="376"/>
        <v>23.981688888888893</v>
      </c>
      <c r="BJ520" s="1109">
        <f t="shared" si="376"/>
        <v>65.603377777777808</v>
      </c>
      <c r="BK520" s="1109">
        <f t="shared" si="376"/>
        <v>67.118933333333374</v>
      </c>
      <c r="BL520" s="1109">
        <f t="shared" si="376"/>
        <v>67.118933333333374</v>
      </c>
    </row>
    <row r="521" spans="2:64" hidden="1" outlineLevel="1">
      <c r="B521" s="1094"/>
      <c r="C521" s="1071" t="str">
        <f t="shared" ref="C521:F521" si="377">C218</f>
        <v>Energy Management Upgrades Shannon</v>
      </c>
      <c r="D521" s="1071" t="str">
        <f t="shared" si="377"/>
        <v>Energy Management Upgrades</v>
      </c>
      <c r="E521" s="1071" t="str">
        <f t="shared" si="377"/>
        <v>T007A</v>
      </c>
      <c r="F521" s="1125" t="str">
        <f t="shared" si="377"/>
        <v>2021-2024</v>
      </c>
      <c r="H521" s="1071" t="s">
        <v>29</v>
      </c>
      <c r="J521" s="1125"/>
      <c r="BB521" s="1108"/>
      <c r="BC521" s="1109"/>
      <c r="BD521" s="1109"/>
      <c r="BE521" s="1109"/>
      <c r="BF521" s="1585"/>
      <c r="BG521" s="1109"/>
      <c r="BH521" s="1109">
        <f t="shared" ref="BH521:BL521" si="378">IF($L218=0,0,(($BH218*O218)+($BI218*U218)+($BJ218*AA218)+($BK218*AG218)+($BL218*AM218))/$L218)</f>
        <v>0</v>
      </c>
      <c r="BI521" s="1109">
        <f t="shared" si="378"/>
        <v>15.253333333333336</v>
      </c>
      <c r="BJ521" s="1109">
        <f t="shared" si="378"/>
        <v>33.173333333333339</v>
      </c>
      <c r="BK521" s="1109">
        <f t="shared" si="378"/>
        <v>33.173333333333339</v>
      </c>
      <c r="BL521" s="1109">
        <f t="shared" si="378"/>
        <v>33.173333333333339</v>
      </c>
    </row>
    <row r="522" spans="2:64" hidden="1" outlineLevel="1">
      <c r="B522" s="1094"/>
      <c r="C522" s="1071" t="str">
        <f t="shared" ref="C522:F522" si="379">C219</f>
        <v>Energy Management Upgrades Cork</v>
      </c>
      <c r="D522" s="1071" t="str">
        <f t="shared" si="379"/>
        <v>Energy Management Upgrades</v>
      </c>
      <c r="E522" s="1071" t="str">
        <f t="shared" si="379"/>
        <v>T007A</v>
      </c>
      <c r="F522" s="1125" t="str">
        <f t="shared" si="379"/>
        <v>2021-2024</v>
      </c>
      <c r="H522" s="1071" t="s">
        <v>29</v>
      </c>
      <c r="J522" s="1125"/>
      <c r="BB522" s="1108"/>
      <c r="BC522" s="1109"/>
      <c r="BD522" s="1109"/>
      <c r="BE522" s="1109"/>
      <c r="BF522" s="1585"/>
      <c r="BG522" s="1109"/>
      <c r="BH522" s="1109">
        <f t="shared" ref="BH522:BL522" si="380">IF($L219=0,0,(($BH219*O219)+($BI219*U219)+($BJ219*AA219)+($BK219*AG219)+($BL219*AM219))/$L219)</f>
        <v>0</v>
      </c>
      <c r="BI522" s="1109">
        <f t="shared" si="380"/>
        <v>0.92000000000000015</v>
      </c>
      <c r="BJ522" s="1109">
        <f t="shared" si="380"/>
        <v>4.8000000000000007</v>
      </c>
      <c r="BK522" s="1109">
        <f t="shared" si="380"/>
        <v>4.8000000000000007</v>
      </c>
      <c r="BL522" s="1109">
        <f t="shared" si="380"/>
        <v>4.8000000000000007</v>
      </c>
    </row>
    <row r="523" spans="2:64" hidden="1" outlineLevel="1">
      <c r="B523" s="1094"/>
      <c r="C523" s="1071" t="str">
        <f t="shared" ref="C523:F523" si="381">C220</f>
        <v>National Security System Network</v>
      </c>
      <c r="D523" s="1071" t="str">
        <f t="shared" si="381"/>
        <v>National Security System Network</v>
      </c>
      <c r="E523" s="1071" t="str">
        <f t="shared" si="381"/>
        <v>U013</v>
      </c>
      <c r="F523" s="1125" t="str">
        <f t="shared" si="381"/>
        <v>2021-2024</v>
      </c>
      <c r="H523" s="1071" t="s">
        <v>29</v>
      </c>
      <c r="J523" s="1125"/>
      <c r="BB523" s="1108"/>
      <c r="BC523" s="1109"/>
      <c r="BD523" s="1109"/>
      <c r="BE523" s="1109"/>
      <c r="BF523" s="1585"/>
      <c r="BG523" s="1109"/>
      <c r="BH523" s="1109">
        <f t="shared" ref="BH523:BL523" si="382">IF($L220=0,0,(($BH220*O220)+($BI220*U220)+($BJ220*AA220)+($BK220*AG220)+($BL220*AM220))/$L220)</f>
        <v>0</v>
      </c>
      <c r="BI523" s="1109">
        <f t="shared" si="382"/>
        <v>0</v>
      </c>
      <c r="BJ523" s="1109">
        <f t="shared" si="382"/>
        <v>29.0625</v>
      </c>
      <c r="BK523" s="1109">
        <f t="shared" si="382"/>
        <v>106.5625</v>
      </c>
      <c r="BL523" s="1109">
        <f t="shared" si="382"/>
        <v>155</v>
      </c>
    </row>
    <row r="524" spans="2:64" hidden="1" outlineLevel="1">
      <c r="B524" s="1094"/>
      <c r="C524" s="1071" t="str">
        <f t="shared" ref="C524:F524" si="383">C221</f>
        <v>Replacement Airfield Cabling</v>
      </c>
      <c r="D524" s="1071" t="str">
        <f t="shared" si="383"/>
        <v>Replacement Airfield Cabling</v>
      </c>
      <c r="E524" s="1071" t="str">
        <f t="shared" si="383"/>
        <v>R006</v>
      </c>
      <c r="F524" s="1125" t="str">
        <f t="shared" si="383"/>
        <v>2021-2024</v>
      </c>
      <c r="H524" s="1071" t="s">
        <v>29</v>
      </c>
      <c r="J524" s="1125"/>
      <c r="BB524" s="1108"/>
      <c r="BC524" s="1109"/>
      <c r="BD524" s="1109"/>
      <c r="BE524" s="1109"/>
      <c r="BF524" s="1585"/>
      <c r="BG524" s="1109"/>
      <c r="BH524" s="1109">
        <f t="shared" ref="BH524:BL524" si="384">IF($L221=0,0,(($BH221*O221)+($BI221*U221)+($BJ221*AA221)+($BK221*AG221)+($BL221*AM221))/$L221)</f>
        <v>0</v>
      </c>
      <c r="BI524" s="1109">
        <f t="shared" si="384"/>
        <v>0</v>
      </c>
      <c r="BJ524" s="1109">
        <f t="shared" si="384"/>
        <v>0</v>
      </c>
      <c r="BK524" s="1109">
        <f t="shared" si="384"/>
        <v>0</v>
      </c>
      <c r="BL524" s="1109">
        <f t="shared" si="384"/>
        <v>0</v>
      </c>
    </row>
    <row r="525" spans="2:64" hidden="1" outlineLevel="1">
      <c r="B525" s="1094"/>
      <c r="C525" s="1071" t="str">
        <f t="shared" ref="C525:F525" si="385">C222</f>
        <v>Replacement Airfield Cabling Dublin</v>
      </c>
      <c r="D525" s="1071" t="str">
        <f t="shared" si="385"/>
        <v>Replacement Airfield Cabling</v>
      </c>
      <c r="E525" s="1071" t="str">
        <f t="shared" si="385"/>
        <v>R006A</v>
      </c>
      <c r="F525" s="1125" t="str">
        <f t="shared" si="385"/>
        <v>2021-2024</v>
      </c>
      <c r="H525" s="1071" t="s">
        <v>29</v>
      </c>
      <c r="J525" s="1125"/>
      <c r="BB525" s="1108"/>
      <c r="BC525" s="1109"/>
      <c r="BD525" s="1109"/>
      <c r="BE525" s="1109"/>
      <c r="BF525" s="1585"/>
      <c r="BG525" s="1109"/>
      <c r="BH525" s="1109">
        <f t="shared" ref="BH525:BL525" si="386">IF($L222=0,0,(($BH222*O222)+($BI222*U222)+($BJ222*AA222)+($BK222*AG222)+($BL222*AM222))/$L222)</f>
        <v>0</v>
      </c>
      <c r="BI525" s="1109">
        <f t="shared" si="386"/>
        <v>0</v>
      </c>
      <c r="BJ525" s="1109">
        <f t="shared" si="386"/>
        <v>0</v>
      </c>
      <c r="BK525" s="1109">
        <f t="shared" si="386"/>
        <v>5.0999999999999996</v>
      </c>
      <c r="BL525" s="1109">
        <f t="shared" si="386"/>
        <v>20.399999999999999</v>
      </c>
    </row>
    <row r="526" spans="2:64" hidden="1" outlineLevel="1">
      <c r="B526" s="1094"/>
      <c r="C526" s="1071" t="str">
        <f t="shared" ref="C526:F526" si="387">C223</f>
        <v>Replacement Airfield Cabling Shannon</v>
      </c>
      <c r="D526" s="1071" t="str">
        <f t="shared" si="387"/>
        <v>Replacement Airfield Cabling</v>
      </c>
      <c r="E526" s="1071" t="str">
        <f t="shared" si="387"/>
        <v>R006A</v>
      </c>
      <c r="F526" s="1125" t="str">
        <f t="shared" si="387"/>
        <v>2021-2024</v>
      </c>
      <c r="H526" s="1071" t="s">
        <v>29</v>
      </c>
      <c r="J526" s="1125"/>
      <c r="BB526" s="1108"/>
      <c r="BC526" s="1109"/>
      <c r="BD526" s="1109"/>
      <c r="BE526" s="1109"/>
      <c r="BF526" s="1585"/>
      <c r="BG526" s="1109"/>
      <c r="BH526" s="1109">
        <f t="shared" ref="BH526:BL526" si="388">IF($L223=0,0,(($BH223*O223)+($BI223*U223)+($BJ223*AA223)+($BK223*AG223)+($BL223*AM223))/$L223)</f>
        <v>0</v>
      </c>
      <c r="BI526" s="1109">
        <f t="shared" si="388"/>
        <v>0</v>
      </c>
      <c r="BJ526" s="1109">
        <f t="shared" si="388"/>
        <v>27.702872000000003</v>
      </c>
      <c r="BK526" s="1109">
        <f t="shared" si="388"/>
        <v>36.702871999999999</v>
      </c>
      <c r="BL526" s="1109">
        <f t="shared" si="388"/>
        <v>36.702871999999999</v>
      </c>
    </row>
    <row r="527" spans="2:64" hidden="1" outlineLevel="1">
      <c r="B527" s="1094"/>
      <c r="C527" s="1071" t="str">
        <f t="shared" ref="C527:F527" si="389">C224</f>
        <v>Replacement Airfield Cabling Cork</v>
      </c>
      <c r="D527" s="1071" t="str">
        <f t="shared" si="389"/>
        <v>Replacement Airfield Cabling</v>
      </c>
      <c r="E527" s="1071" t="str">
        <f t="shared" si="389"/>
        <v>R006A</v>
      </c>
      <c r="F527" s="1125" t="str">
        <f t="shared" si="389"/>
        <v>2021-2024</v>
      </c>
      <c r="H527" s="1071" t="s">
        <v>29</v>
      </c>
      <c r="J527" s="1125"/>
      <c r="BB527" s="1108"/>
      <c r="BC527" s="1109"/>
      <c r="BD527" s="1109"/>
      <c r="BE527" s="1109"/>
      <c r="BF527" s="1585"/>
      <c r="BG527" s="1109"/>
      <c r="BH527" s="1109">
        <f t="shared" ref="BH527:BL527" si="390">IF($L224=0,0,(($BH224*O224)+($BI224*U224)+($BJ224*AA224)+($BK224*AG224)+($BL224*AM224))/$L224)</f>
        <v>0</v>
      </c>
      <c r="BI527" s="1109">
        <f t="shared" si="390"/>
        <v>0</v>
      </c>
      <c r="BJ527" s="1109">
        <f t="shared" si="390"/>
        <v>5</v>
      </c>
      <c r="BK527" s="1109">
        <f t="shared" si="390"/>
        <v>20</v>
      </c>
      <c r="BL527" s="1109">
        <f t="shared" si="390"/>
        <v>20</v>
      </c>
    </row>
    <row r="528" spans="2:64" hidden="1" outlineLevel="1">
      <c r="B528" s="1094"/>
      <c r="C528" s="1071" t="str">
        <f t="shared" ref="C528:F528" si="391">C225</f>
        <v>VHF Replacement Programme</v>
      </c>
      <c r="D528" s="1071" t="str">
        <f t="shared" si="391"/>
        <v>VHF Replacement Programme</v>
      </c>
      <c r="E528" s="1071" t="str">
        <f t="shared" si="391"/>
        <v>Q006</v>
      </c>
      <c r="F528" s="1125" t="str">
        <f t="shared" si="391"/>
        <v>2021-2024</v>
      </c>
      <c r="H528" s="1071" t="s">
        <v>29</v>
      </c>
      <c r="J528" s="1125"/>
      <c r="BB528" s="1108"/>
      <c r="BC528" s="1109"/>
      <c r="BD528" s="1109"/>
      <c r="BE528" s="1109"/>
      <c r="BF528" s="1585"/>
      <c r="BG528" s="1109"/>
      <c r="BH528" s="1109">
        <f t="shared" ref="BH528:BL528" si="392">IF($L225=0,0,(($BH225*O225)+($BI225*U225)+($BJ225*AA225)+($BK225*AG225)+($BL225*AM225))/$L225)</f>
        <v>0</v>
      </c>
      <c r="BI528" s="1109">
        <f t="shared" si="392"/>
        <v>0</v>
      </c>
      <c r="BJ528" s="1109">
        <f t="shared" si="392"/>
        <v>0</v>
      </c>
      <c r="BK528" s="1109">
        <f t="shared" si="392"/>
        <v>0</v>
      </c>
      <c r="BL528" s="1109">
        <f t="shared" si="392"/>
        <v>0</v>
      </c>
    </row>
    <row r="529" spans="2:64" hidden="1" outlineLevel="1">
      <c r="B529" s="1094"/>
      <c r="C529" s="1071" t="str">
        <f t="shared" ref="C529:F529" si="393">C226</f>
        <v>VHF Replacement Dublin</v>
      </c>
      <c r="D529" s="1071" t="str">
        <f t="shared" si="393"/>
        <v>VHF Replacement Programme</v>
      </c>
      <c r="E529" s="1071" t="str">
        <f t="shared" si="393"/>
        <v>Q006A</v>
      </c>
      <c r="F529" s="1125" t="str">
        <f t="shared" si="393"/>
        <v>2021-2024</v>
      </c>
      <c r="H529" s="1071" t="s">
        <v>29</v>
      </c>
      <c r="J529" s="1125"/>
      <c r="BB529" s="1108"/>
      <c r="BC529" s="1109"/>
      <c r="BD529" s="1109"/>
      <c r="BE529" s="1109"/>
      <c r="BF529" s="1585"/>
      <c r="BG529" s="1109"/>
      <c r="BH529" s="1109">
        <f t="shared" ref="BH529:BL529" si="394">IF($L226=0,0,(($BH226*O226)+($BI226*U226)+($BJ226*AA226)+($BK226*AG226)+($BL226*AM226))/$L226)</f>
        <v>0</v>
      </c>
      <c r="BI529" s="1109">
        <f t="shared" si="394"/>
        <v>10.428641000000001</v>
      </c>
      <c r="BJ529" s="1109">
        <f t="shared" si="394"/>
        <v>20.857282000000001</v>
      </c>
      <c r="BK529" s="1109">
        <f t="shared" si="394"/>
        <v>20.857282000000001</v>
      </c>
      <c r="BL529" s="1109">
        <f t="shared" si="394"/>
        <v>20.857282000000001</v>
      </c>
    </row>
    <row r="530" spans="2:64" hidden="1" outlineLevel="1">
      <c r="B530" s="1094"/>
      <c r="C530" s="1071" t="str">
        <f t="shared" ref="C530:F530" si="395">C227</f>
        <v>VHF Replacement Shannon</v>
      </c>
      <c r="D530" s="1071" t="str">
        <f t="shared" si="395"/>
        <v>VHF Replacement Programme</v>
      </c>
      <c r="E530" s="1071" t="str">
        <f t="shared" si="395"/>
        <v>Q006A</v>
      </c>
      <c r="F530" s="1125" t="str">
        <f t="shared" si="395"/>
        <v>2021-2024</v>
      </c>
      <c r="H530" s="1071" t="s">
        <v>29</v>
      </c>
      <c r="J530" s="1125"/>
      <c r="BB530" s="1108"/>
      <c r="BC530" s="1109"/>
      <c r="BD530" s="1109"/>
      <c r="BE530" s="1109"/>
      <c r="BF530" s="1585"/>
      <c r="BG530" s="1109"/>
      <c r="BH530" s="1109">
        <f t="shared" ref="BH530:BL530" si="396">IF($L227=0,0,(($BH227*O227)+($BI227*U227)+($BJ227*AA227)+($BK227*AG227)+($BL227*AM227))/$L227)</f>
        <v>0</v>
      </c>
      <c r="BI530" s="1109">
        <f t="shared" si="396"/>
        <v>0</v>
      </c>
      <c r="BJ530" s="1109">
        <f t="shared" si="396"/>
        <v>0</v>
      </c>
      <c r="BK530" s="1109">
        <f t="shared" si="396"/>
        <v>26.5</v>
      </c>
      <c r="BL530" s="1109">
        <f t="shared" si="396"/>
        <v>53</v>
      </c>
    </row>
    <row r="531" spans="2:64" hidden="1" outlineLevel="1">
      <c r="B531" s="1094"/>
      <c r="C531" s="1071" t="str">
        <f t="shared" ref="C531:F531" si="397">C228</f>
        <v>VHF Replacement Cork</v>
      </c>
      <c r="D531" s="1071" t="str">
        <f t="shared" si="397"/>
        <v>VHF Replacement Programme</v>
      </c>
      <c r="E531" s="1071" t="str">
        <f t="shared" si="397"/>
        <v>Q006A</v>
      </c>
      <c r="F531" s="1125" t="str">
        <f t="shared" si="397"/>
        <v>2021-2024</v>
      </c>
      <c r="H531" s="1071" t="s">
        <v>29</v>
      </c>
      <c r="J531" s="1125"/>
      <c r="BB531" s="1108"/>
      <c r="BC531" s="1109"/>
      <c r="BD531" s="1109"/>
      <c r="BE531" s="1109"/>
      <c r="BF531" s="1585"/>
      <c r="BG531" s="1109"/>
      <c r="BH531" s="1109">
        <f t="shared" ref="BH531:BL531" si="398">IF($L228=0,0,(($BH228*O228)+($BI228*U228)+($BJ228*AA228)+($BK228*AG228)+($BL228*AM228))/$L228)</f>
        <v>0</v>
      </c>
      <c r="BI531" s="1109">
        <f t="shared" si="398"/>
        <v>0</v>
      </c>
      <c r="BJ531" s="1109">
        <f t="shared" si="398"/>
        <v>30</v>
      </c>
      <c r="BK531" s="1109">
        <f t="shared" si="398"/>
        <v>30</v>
      </c>
      <c r="BL531" s="1109">
        <f t="shared" si="398"/>
        <v>30</v>
      </c>
    </row>
    <row r="532" spans="2:64" hidden="1" outlineLevel="1">
      <c r="B532" s="1094"/>
      <c r="C532" s="1071" t="str">
        <f t="shared" ref="C532:F532" si="399">C229</f>
        <v>VHF Replacement Remote Sites</v>
      </c>
      <c r="D532" s="1071" t="str">
        <f t="shared" si="399"/>
        <v>VHF Replacement Programme</v>
      </c>
      <c r="E532" s="1071" t="str">
        <f t="shared" si="399"/>
        <v>Q006A</v>
      </c>
      <c r="F532" s="1125" t="str">
        <f t="shared" si="399"/>
        <v>2021-2024</v>
      </c>
      <c r="H532" s="1071" t="s">
        <v>29</v>
      </c>
      <c r="J532" s="1125"/>
      <c r="BB532" s="1108"/>
      <c r="BC532" s="1109"/>
      <c r="BD532" s="1109"/>
      <c r="BE532" s="1109"/>
      <c r="BF532" s="1585"/>
      <c r="BG532" s="1109"/>
      <c r="BH532" s="1109">
        <f t="shared" ref="BH532:BL532" si="400">IF($L229=0,0,(($BH229*O229)+($BI229*U229)+($BJ229*AA229)+($BK229*AG229)+($BL229*AM229))/$L229)</f>
        <v>0</v>
      </c>
      <c r="BI532" s="1109">
        <f t="shared" si="400"/>
        <v>0</v>
      </c>
      <c r="BJ532" s="1109">
        <f t="shared" si="400"/>
        <v>21</v>
      </c>
      <c r="BK532" s="1109">
        <f t="shared" si="400"/>
        <v>51</v>
      </c>
      <c r="BL532" s="1109">
        <f t="shared" si="400"/>
        <v>78</v>
      </c>
    </row>
    <row r="533" spans="2:64" hidden="1" outlineLevel="1">
      <c r="B533" s="1094"/>
      <c r="C533" s="1071" t="str">
        <f t="shared" ref="C533:F533" si="401">C230</f>
        <v>Met Server  SHN</v>
      </c>
      <c r="D533" s="1071" t="str">
        <f t="shared" si="401"/>
        <v>Met Server</v>
      </c>
      <c r="E533" s="1071" t="str">
        <f t="shared" si="401"/>
        <v>R016A</v>
      </c>
      <c r="F533" s="1125" t="str">
        <f t="shared" si="401"/>
        <v>2021-2024</v>
      </c>
      <c r="H533" s="1071" t="s">
        <v>29</v>
      </c>
      <c r="J533" s="1125"/>
      <c r="BB533" s="1108"/>
      <c r="BC533" s="1109"/>
      <c r="BD533" s="1109"/>
      <c r="BE533" s="1109"/>
      <c r="BF533" s="1585"/>
      <c r="BG533" s="1109"/>
      <c r="BH533" s="1109">
        <f t="shared" ref="BH533:BL533" si="402">IF($L230=0,0,(($BH230*O230)+($BI230*U230)+($BJ230*AA230)+($BK230*AG230)+($BL230*AM230))/$L230)</f>
        <v>0</v>
      </c>
      <c r="BI533" s="1109">
        <f t="shared" si="402"/>
        <v>0</v>
      </c>
      <c r="BJ533" s="1109">
        <f t="shared" si="402"/>
        <v>22.213785000000001</v>
      </c>
      <c r="BK533" s="1109">
        <f t="shared" si="402"/>
        <v>88.855140000000006</v>
      </c>
      <c r="BL533" s="1109">
        <f t="shared" si="402"/>
        <v>88.855140000000006</v>
      </c>
    </row>
    <row r="534" spans="2:64" hidden="1" outlineLevel="1">
      <c r="B534" s="1094"/>
      <c r="C534" s="1071" t="str">
        <f t="shared" ref="C534:F534" si="403">C231</f>
        <v>Met Server  DUB</v>
      </c>
      <c r="D534" s="1071" t="str">
        <f t="shared" si="403"/>
        <v>Met Server</v>
      </c>
      <c r="E534" s="1071" t="str">
        <f t="shared" si="403"/>
        <v>R016A</v>
      </c>
      <c r="F534" s="1125" t="str">
        <f t="shared" si="403"/>
        <v>2021-2024</v>
      </c>
      <c r="H534" s="1071" t="s">
        <v>29</v>
      </c>
      <c r="J534" s="1125"/>
      <c r="BB534" s="1108"/>
      <c r="BC534" s="1109"/>
      <c r="BD534" s="1109"/>
      <c r="BE534" s="1109"/>
      <c r="BF534" s="1585"/>
      <c r="BG534" s="1109"/>
      <c r="BH534" s="1109">
        <f t="shared" ref="BH534:BL534" si="404">IF($L231=0,0,(($BH231*O231)+($BI231*U231)+($BJ231*AA231)+($BK231*AG231)+($BL231*AM231))/$L231)</f>
        <v>0</v>
      </c>
      <c r="BI534" s="1109">
        <f t="shared" si="404"/>
        <v>22.213785000000001</v>
      </c>
      <c r="BJ534" s="1109">
        <f t="shared" si="404"/>
        <v>88.855140000000006</v>
      </c>
      <c r="BK534" s="1109">
        <f t="shared" si="404"/>
        <v>88.855140000000006</v>
      </c>
      <c r="BL534" s="1109">
        <f t="shared" si="404"/>
        <v>88.855140000000006</v>
      </c>
    </row>
    <row r="535" spans="2:64" hidden="1" outlineLevel="1">
      <c r="B535" s="1094"/>
      <c r="C535" s="1071" t="str">
        <f t="shared" ref="C535:F535" si="405">C232</f>
        <v>Fire Safey Upgrade Works</v>
      </c>
      <c r="D535" s="1071" t="str">
        <f t="shared" si="405"/>
        <v>Fire Safey Upgrade Works</v>
      </c>
      <c r="E535" s="1071" t="str">
        <f t="shared" si="405"/>
        <v>T008</v>
      </c>
      <c r="F535" s="1125" t="str">
        <f t="shared" si="405"/>
        <v>2021-2024</v>
      </c>
      <c r="H535" s="1071" t="s">
        <v>29</v>
      </c>
      <c r="J535" s="1125"/>
      <c r="BB535" s="1108"/>
      <c r="BC535" s="1109"/>
      <c r="BD535" s="1109"/>
      <c r="BE535" s="1109"/>
      <c r="BF535" s="1585"/>
      <c r="BG535" s="1109"/>
      <c r="BH535" s="1109">
        <f t="shared" ref="BH535:BL535" si="406">IF($L232=0,0,(($BH232*O232)+($BI232*U232)+($BJ232*AA232)+($BK232*AG232)+($BL232*AM232))/$L232)</f>
        <v>0</v>
      </c>
      <c r="BI535" s="1109">
        <f t="shared" si="406"/>
        <v>0</v>
      </c>
      <c r="BJ535" s="1109">
        <f t="shared" si="406"/>
        <v>0</v>
      </c>
      <c r="BK535" s="1109">
        <f t="shared" si="406"/>
        <v>0</v>
      </c>
      <c r="BL535" s="1109">
        <f t="shared" si="406"/>
        <v>0</v>
      </c>
    </row>
    <row r="536" spans="2:64" hidden="1" outlineLevel="1">
      <c r="B536" s="1094"/>
      <c r="C536" s="1071" t="str">
        <f t="shared" ref="C536:F536" si="407">C233</f>
        <v>Fire Safey Upgrade Works Dublin</v>
      </c>
      <c r="D536" s="1071" t="str">
        <f t="shared" si="407"/>
        <v>Fire Safey Upgrade Works</v>
      </c>
      <c r="E536" s="1071" t="str">
        <f t="shared" si="407"/>
        <v>T008A</v>
      </c>
      <c r="F536" s="1125" t="str">
        <f t="shared" si="407"/>
        <v>2021-2024</v>
      </c>
      <c r="H536" s="1071" t="s">
        <v>29</v>
      </c>
      <c r="J536" s="1125"/>
      <c r="BB536" s="1108"/>
      <c r="BC536" s="1109"/>
      <c r="BD536" s="1109"/>
      <c r="BE536" s="1109"/>
      <c r="BF536" s="1585"/>
      <c r="BG536" s="1109"/>
      <c r="BH536" s="1109">
        <f t="shared" ref="BH536:BL536" si="408">IF($L233=0,0,(($BH233*O233)+($BI233*U233)+($BJ233*AA233)+($BK233*AG233)+($BL233*AM233))/$L233)</f>
        <v>0</v>
      </c>
      <c r="BI536" s="1109">
        <f t="shared" si="408"/>
        <v>44.527337239657406</v>
      </c>
      <c r="BJ536" s="1109">
        <f t="shared" si="408"/>
        <v>174.12511631954322</v>
      </c>
      <c r="BK536" s="1109">
        <f t="shared" si="408"/>
        <v>180.01511631954321</v>
      </c>
      <c r="BL536" s="1109">
        <f t="shared" si="408"/>
        <v>180.01511631954321</v>
      </c>
    </row>
    <row r="537" spans="2:64" hidden="1" outlineLevel="1">
      <c r="B537" s="1094"/>
      <c r="C537" s="1071" t="str">
        <f t="shared" ref="C537:F537" si="409">C234</f>
        <v>Fire Safey Upgrade Works Shannon</v>
      </c>
      <c r="D537" s="1071" t="str">
        <f t="shared" si="409"/>
        <v>Fire Safey Upgrade Works</v>
      </c>
      <c r="E537" s="1071" t="str">
        <f t="shared" si="409"/>
        <v>T008A</v>
      </c>
      <c r="F537" s="1125" t="str">
        <f t="shared" si="409"/>
        <v>2021-2024</v>
      </c>
      <c r="H537" s="1071" t="s">
        <v>29</v>
      </c>
      <c r="J537" s="1125"/>
      <c r="BB537" s="1108"/>
      <c r="BC537" s="1109"/>
      <c r="BD537" s="1109"/>
      <c r="BE537" s="1109"/>
      <c r="BF537" s="1585"/>
      <c r="BG537" s="1109"/>
      <c r="BH537" s="1109">
        <f t="shared" ref="BH537:BL537" si="410">IF($L234=0,0,(($BH234*O234)+($BI234*U234)+($BJ234*AA234)+($BK234*AG234)+($BL234*AM234))/$L234)</f>
        <v>0</v>
      </c>
      <c r="BI537" s="1109">
        <f t="shared" si="410"/>
        <v>37.349415075025327</v>
      </c>
      <c r="BJ537" s="1109">
        <f t="shared" si="410"/>
        <v>49.799220100033764</v>
      </c>
      <c r="BK537" s="1109">
        <f t="shared" si="410"/>
        <v>49.799220100033764</v>
      </c>
      <c r="BL537" s="1109">
        <f t="shared" si="410"/>
        <v>49.799220100033764</v>
      </c>
    </row>
    <row r="538" spans="2:64" hidden="1" outlineLevel="1">
      <c r="B538" s="1094"/>
      <c r="C538" s="1071" t="str">
        <f t="shared" ref="C538:F538" si="411">C235</f>
        <v>Fire Safey Upgrade Works Cork</v>
      </c>
      <c r="D538" s="1071" t="str">
        <f t="shared" si="411"/>
        <v>Fire Safey Upgrade Works</v>
      </c>
      <c r="E538" s="1071" t="str">
        <f t="shared" si="411"/>
        <v>T008A</v>
      </c>
      <c r="F538" s="1125" t="str">
        <f t="shared" si="411"/>
        <v>2021-2024</v>
      </c>
      <c r="H538" s="1071" t="s">
        <v>29</v>
      </c>
      <c r="J538" s="1125"/>
      <c r="BB538" s="1108"/>
      <c r="BC538" s="1109"/>
      <c r="BD538" s="1109"/>
      <c r="BE538" s="1109"/>
      <c r="BF538" s="1585"/>
      <c r="BG538" s="1109"/>
      <c r="BH538" s="1109">
        <f t="shared" ref="BH538:BL538" si="412">IF($L235=0,0,(($BH235*O235)+($BI235*U235)+($BJ235*AA235)+($BK235*AG235)+($BL235*AM235))/$L235)</f>
        <v>0</v>
      </c>
      <c r="BI538" s="1109">
        <f t="shared" si="412"/>
        <v>4.0615032688852963</v>
      </c>
      <c r="BJ538" s="1109">
        <f t="shared" si="412"/>
        <v>19.926013075541185</v>
      </c>
      <c r="BK538" s="1109">
        <f t="shared" si="412"/>
        <v>19.926013075541185</v>
      </c>
      <c r="BL538" s="1109">
        <f t="shared" si="412"/>
        <v>19.926013075541185</v>
      </c>
    </row>
    <row r="539" spans="2:64" hidden="1" outlineLevel="1">
      <c r="B539" s="1094"/>
      <c r="C539" s="1071" t="str">
        <f t="shared" ref="C539:F539" si="413">C236</f>
        <v>IT Other Projects</v>
      </c>
      <c r="D539" s="1071" t="str">
        <f t="shared" si="413"/>
        <v>IT Other Projects</v>
      </c>
      <c r="E539" s="1071" t="str">
        <f t="shared" si="413"/>
        <v>RP3-ICTS-1</v>
      </c>
      <c r="F539" s="1125" t="str">
        <f t="shared" si="413"/>
        <v>2021-2024</v>
      </c>
      <c r="H539" s="1071" t="s">
        <v>29</v>
      </c>
      <c r="J539" s="1125"/>
      <c r="BB539" s="1108"/>
      <c r="BC539" s="1109"/>
      <c r="BD539" s="1109"/>
      <c r="BE539" s="1109"/>
      <c r="BF539" s="1585"/>
      <c r="BG539" s="1109"/>
      <c r="BH539" s="1109">
        <f t="shared" ref="BH539:BL539" si="414">IF($L236=0,0,(($BH236*O236)+($BI236*U236)+($BJ236*AA236)+($BK236*AG236)+($BL236*AM236))/$L236)</f>
        <v>0</v>
      </c>
      <c r="BI539" s="1109">
        <f t="shared" si="414"/>
        <v>0</v>
      </c>
      <c r="BJ539" s="1109">
        <f t="shared" si="414"/>
        <v>9.375</v>
      </c>
      <c r="BK539" s="1109">
        <f t="shared" si="414"/>
        <v>68.75</v>
      </c>
      <c r="BL539" s="1109">
        <f t="shared" si="414"/>
        <v>132.5</v>
      </c>
    </row>
    <row r="540" spans="2:64" hidden="1" outlineLevel="1">
      <c r="B540" s="1094"/>
      <c r="C540" s="1071" t="str">
        <f t="shared" ref="C540:F540" si="415">C237</f>
        <v>Barco Screen Replacement - BCY</v>
      </c>
      <c r="D540" s="1071" t="str">
        <f t="shared" si="415"/>
        <v>Barco Screen Replacement</v>
      </c>
      <c r="E540" s="1071" t="str">
        <f t="shared" si="415"/>
        <v>RP3-SURV-4</v>
      </c>
      <c r="F540" s="1125" t="str">
        <f t="shared" si="415"/>
        <v>2021-2024</v>
      </c>
      <c r="H540" s="1071" t="s">
        <v>29</v>
      </c>
      <c r="J540" s="1125"/>
      <c r="BB540" s="1108"/>
      <c r="BC540" s="1109"/>
      <c r="BD540" s="1109"/>
      <c r="BE540" s="1109"/>
      <c r="BF540" s="1585"/>
      <c r="BG540" s="1109"/>
      <c r="BH540" s="1109">
        <f t="shared" ref="BH540:BL540" si="416">IF($L237=0,0,(($BH237*O237)+($BI237*U237)+($BJ237*AA237)+($BK237*AG237)+($BL237*AM237))/$L237)</f>
        <v>0</v>
      </c>
      <c r="BI540" s="1109">
        <f t="shared" si="416"/>
        <v>0</v>
      </c>
      <c r="BJ540" s="1109">
        <f t="shared" si="416"/>
        <v>0</v>
      </c>
      <c r="BK540" s="1109">
        <f t="shared" si="416"/>
        <v>24.375</v>
      </c>
      <c r="BL540" s="1109">
        <f t="shared" si="416"/>
        <v>97.5</v>
      </c>
    </row>
    <row r="541" spans="2:64" hidden="1" outlineLevel="1">
      <c r="B541" s="1094"/>
      <c r="C541" s="1071" t="str">
        <f t="shared" ref="C541:F541" si="417">C238</f>
        <v>Barco Screen Replacement - DAP</v>
      </c>
      <c r="D541" s="1071" t="str">
        <f t="shared" si="417"/>
        <v>Barco Screen Replacement</v>
      </c>
      <c r="E541" s="1071" t="str">
        <f t="shared" si="417"/>
        <v>RP3-SURV-4</v>
      </c>
      <c r="F541" s="1125" t="str">
        <f t="shared" si="417"/>
        <v>2021-2024</v>
      </c>
      <c r="H541" s="1071" t="s">
        <v>29</v>
      </c>
      <c r="J541" s="1125"/>
      <c r="BB541" s="1108"/>
      <c r="BC541" s="1109"/>
      <c r="BD541" s="1109"/>
      <c r="BE541" s="1109"/>
      <c r="BF541" s="1585"/>
      <c r="BG541" s="1109"/>
      <c r="BH541" s="1109">
        <f t="shared" ref="BH541:BL541" si="418">IF($L238=0,0,(($BH238*O238)+($BI238*U238)+($BJ238*AA238)+($BK238*AG238)+($BL238*AM238))/$L238)</f>
        <v>0</v>
      </c>
      <c r="BI541" s="1109">
        <f t="shared" si="418"/>
        <v>0</v>
      </c>
      <c r="BJ541" s="1109">
        <f t="shared" si="418"/>
        <v>0</v>
      </c>
      <c r="BK541" s="1109">
        <f t="shared" si="418"/>
        <v>0</v>
      </c>
      <c r="BL541" s="1109">
        <f t="shared" si="418"/>
        <v>13.125</v>
      </c>
    </row>
    <row r="542" spans="2:64" hidden="1" outlineLevel="1">
      <c r="B542" s="1094"/>
      <c r="C542" s="1071" t="str">
        <f t="shared" ref="C542:F542" si="419">C239</f>
        <v>Security Upgrades</v>
      </c>
      <c r="D542" s="1071" t="str">
        <f t="shared" si="419"/>
        <v>Security Upgrades</v>
      </c>
      <c r="E542" s="1071" t="str">
        <f t="shared" si="419"/>
        <v>RP3-PROP-2</v>
      </c>
      <c r="F542" s="1125" t="str">
        <f t="shared" si="419"/>
        <v>2021-2024</v>
      </c>
      <c r="H542" s="1071" t="s">
        <v>29</v>
      </c>
      <c r="J542" s="1125"/>
      <c r="BB542" s="1108"/>
      <c r="BC542" s="1109"/>
      <c r="BD542" s="1109"/>
      <c r="BE542" s="1109"/>
      <c r="BF542" s="1585"/>
      <c r="BG542" s="1109"/>
      <c r="BH542" s="1109">
        <f t="shared" ref="BH542:BL542" si="420">IF($L239=0,0,(($BH239*O239)+($BI239*U239)+($BJ239*AA239)+($BK239*AG239)+($BL239*AM239))/$L239)</f>
        <v>0</v>
      </c>
      <c r="BI542" s="1109">
        <f t="shared" si="420"/>
        <v>0</v>
      </c>
      <c r="BJ542" s="1109">
        <f t="shared" si="420"/>
        <v>0</v>
      </c>
      <c r="BK542" s="1109">
        <f t="shared" si="420"/>
        <v>0</v>
      </c>
      <c r="BL542" s="1109">
        <f t="shared" si="420"/>
        <v>0</v>
      </c>
    </row>
    <row r="543" spans="2:64" hidden="1" outlineLevel="1">
      <c r="B543" s="1094"/>
      <c r="C543" s="1071" t="str">
        <f t="shared" ref="C543:F543" si="421">C240</f>
        <v>Security Upgrades Shannon En Route</v>
      </c>
      <c r="D543" s="1071" t="str">
        <f t="shared" si="421"/>
        <v>Security Upgrades</v>
      </c>
      <c r="E543" s="1071" t="str">
        <f t="shared" si="421"/>
        <v>RP3-PROP-2</v>
      </c>
      <c r="F543" s="1125" t="str">
        <f t="shared" si="421"/>
        <v>2021-2024</v>
      </c>
      <c r="H543" s="1071" t="s">
        <v>29</v>
      </c>
      <c r="J543" s="1125"/>
      <c r="BB543" s="1108"/>
      <c r="BC543" s="1109"/>
      <c r="BD543" s="1109"/>
      <c r="BE543" s="1109"/>
      <c r="BF543" s="1585"/>
      <c r="BG543" s="1109"/>
      <c r="BH543" s="1109">
        <f t="shared" ref="BH543:BL543" si="422">IF($L240=0,0,(($BH240*O240)+($BI240*U240)+($BJ240*AA240)+($BK240*AG240)+($BL240*AM240))/$L240)</f>
        <v>0</v>
      </c>
      <c r="BI543" s="1109">
        <f t="shared" si="422"/>
        <v>2.46</v>
      </c>
      <c r="BJ543" s="1109">
        <f t="shared" si="422"/>
        <v>12.540000000000001</v>
      </c>
      <c r="BK543" s="1109">
        <f t="shared" si="422"/>
        <v>26.040000000000003</v>
      </c>
      <c r="BL543" s="1109">
        <f t="shared" si="422"/>
        <v>26.040000000000003</v>
      </c>
    </row>
    <row r="544" spans="2:64" hidden="1" outlineLevel="1">
      <c r="B544" s="1094"/>
      <c r="C544" s="1071" t="str">
        <f t="shared" ref="C544:F544" si="423">C241</f>
        <v>Security Upgrades Shannon Joint</v>
      </c>
      <c r="D544" s="1071" t="str">
        <f t="shared" si="423"/>
        <v>Security Upgrades</v>
      </c>
      <c r="E544" s="1071" t="str">
        <f t="shared" si="423"/>
        <v>RP3-PROP-2</v>
      </c>
      <c r="F544" s="1125" t="str">
        <f t="shared" si="423"/>
        <v>2021-2024</v>
      </c>
      <c r="H544" s="1071" t="s">
        <v>29</v>
      </c>
      <c r="J544" s="1125"/>
      <c r="BB544" s="1108"/>
      <c r="BC544" s="1109"/>
      <c r="BD544" s="1109"/>
      <c r="BE544" s="1109"/>
      <c r="BF544" s="1585"/>
      <c r="BG544" s="1109"/>
      <c r="BH544" s="1109">
        <f t="shared" ref="BH544:BL544" si="424">IF($L241=0,0,(($BH241*O241)+($BI241*U241)+($BJ241*AA241)+($BK241*AG241)+($BL241*AM241))/$L241)</f>
        <v>0</v>
      </c>
      <c r="BI544" s="1109">
        <f t="shared" si="424"/>
        <v>4.0444879999999994</v>
      </c>
      <c r="BJ544" s="1109">
        <f t="shared" si="424"/>
        <v>14.079975999999998</v>
      </c>
      <c r="BK544" s="1109">
        <f t="shared" si="424"/>
        <v>21.054976000000003</v>
      </c>
      <c r="BL544" s="1109">
        <f t="shared" si="424"/>
        <v>41.204976000000002</v>
      </c>
    </row>
    <row r="545" spans="2:64" hidden="1" outlineLevel="1">
      <c r="B545" s="1094"/>
      <c r="C545" s="1071" t="str">
        <f t="shared" ref="C545:F545" si="425">C242</f>
        <v>Security Upgrades Dublin Joint</v>
      </c>
      <c r="D545" s="1071" t="str">
        <f t="shared" si="425"/>
        <v>Security Upgrades</v>
      </c>
      <c r="E545" s="1071" t="str">
        <f t="shared" si="425"/>
        <v>RP3-PROP-2</v>
      </c>
      <c r="F545" s="1125" t="str">
        <f t="shared" si="425"/>
        <v>2021-2024</v>
      </c>
      <c r="H545" s="1071" t="s">
        <v>29</v>
      </c>
      <c r="J545" s="1125"/>
      <c r="BB545" s="1108"/>
      <c r="BC545" s="1109"/>
      <c r="BD545" s="1109"/>
      <c r="BE545" s="1109"/>
      <c r="BF545" s="1585"/>
      <c r="BG545" s="1109"/>
      <c r="BH545" s="1109">
        <f t="shared" ref="BH545:BL545" si="426">IF($L242=0,0,(($BH242*O242)+($BI242*U242)+($BJ242*AA242)+($BK242*AG242)+($BL242*AM242))/$L242)</f>
        <v>0</v>
      </c>
      <c r="BI545" s="1109">
        <f t="shared" si="426"/>
        <v>2.7750516000000003</v>
      </c>
      <c r="BJ545" s="1109">
        <f t="shared" si="426"/>
        <v>14.169206400000002</v>
      </c>
      <c r="BK545" s="1109">
        <f t="shared" si="426"/>
        <v>24.864206400000004</v>
      </c>
      <c r="BL545" s="1109">
        <f t="shared" si="426"/>
        <v>33.234206399999998</v>
      </c>
    </row>
    <row r="546" spans="2:64" hidden="1" outlineLevel="1">
      <c r="B546" s="1094"/>
      <c r="C546" s="1071" t="str">
        <f t="shared" ref="C546:F546" si="427">C243</f>
        <v>Security Upgrades Dublin Terminal</v>
      </c>
      <c r="D546" s="1071" t="str">
        <f t="shared" si="427"/>
        <v>Security Upgrades</v>
      </c>
      <c r="E546" s="1071" t="str">
        <f t="shared" si="427"/>
        <v>RP3-PROP-2</v>
      </c>
      <c r="F546" s="1125" t="str">
        <f t="shared" si="427"/>
        <v>2021-2024</v>
      </c>
      <c r="H546" s="1071" t="s">
        <v>29</v>
      </c>
      <c r="J546" s="1125"/>
      <c r="BB546" s="1108"/>
      <c r="BC546" s="1109"/>
      <c r="BD546" s="1109"/>
      <c r="BE546" s="1109"/>
      <c r="BF546" s="1585"/>
      <c r="BG546" s="1109"/>
      <c r="BH546" s="1109">
        <f t="shared" ref="BH546:BL546" si="428">IF($L243=0,0,(($BH243*O243)+($BI243*U243)+($BJ243*AA243)+($BK243*AG243)+($BL243*AM243))/$L243)</f>
        <v>0</v>
      </c>
      <c r="BI546" s="1109">
        <f t="shared" si="428"/>
        <v>0.7</v>
      </c>
      <c r="BJ546" s="1109">
        <f t="shared" si="428"/>
        <v>4.2570000000000006</v>
      </c>
      <c r="BK546" s="1109">
        <f t="shared" si="428"/>
        <v>8.6280000000000019</v>
      </c>
      <c r="BL546" s="1109">
        <f t="shared" si="428"/>
        <v>8.6280000000000019</v>
      </c>
    </row>
    <row r="547" spans="2:64" hidden="1" outlineLevel="1">
      <c r="B547" s="1094"/>
      <c r="C547" s="1071" t="str">
        <f t="shared" ref="C547:F547" si="429">C244</f>
        <v>Security Upgrades Cork Terminal</v>
      </c>
      <c r="D547" s="1071" t="str">
        <f t="shared" si="429"/>
        <v>Security Upgrades</v>
      </c>
      <c r="E547" s="1071" t="str">
        <f t="shared" si="429"/>
        <v>RP3-PROP-2</v>
      </c>
      <c r="F547" s="1125" t="str">
        <f t="shared" si="429"/>
        <v>2021-2024</v>
      </c>
      <c r="H547" s="1071" t="s">
        <v>29</v>
      </c>
      <c r="J547" s="1125"/>
      <c r="BB547" s="1108"/>
      <c r="BC547" s="1109"/>
      <c r="BD547" s="1109"/>
      <c r="BE547" s="1109"/>
      <c r="BF547" s="1585"/>
      <c r="BG547" s="1109"/>
      <c r="BH547" s="1109">
        <f t="shared" ref="BH547:BL547" si="430">IF($L244=0,0,(($BH244*O244)+($BI244*U244)+($BJ244*AA244)+($BK244*AG244)+($BL244*AM244))/$L244)</f>
        <v>0</v>
      </c>
      <c r="BI547" s="1109">
        <f t="shared" si="430"/>
        <v>0.40299999999999997</v>
      </c>
      <c r="BJ547" s="1109">
        <f t="shared" si="430"/>
        <v>2.3620000000000001</v>
      </c>
      <c r="BK547" s="1109">
        <f t="shared" si="430"/>
        <v>4.6120000000000001</v>
      </c>
      <c r="BL547" s="1109">
        <f t="shared" si="430"/>
        <v>4.6120000000000001</v>
      </c>
    </row>
    <row r="548" spans="2:64" hidden="1" outlineLevel="1">
      <c r="B548" s="1094"/>
      <c r="C548" s="1071" t="str">
        <f t="shared" ref="C548:F548" si="431">C245</f>
        <v>Security Upgrades HQ Joint</v>
      </c>
      <c r="D548" s="1071" t="str">
        <f t="shared" si="431"/>
        <v>Security Upgrades</v>
      </c>
      <c r="E548" s="1071" t="str">
        <f t="shared" si="431"/>
        <v>RP3-PROP-2</v>
      </c>
      <c r="F548" s="1125" t="str">
        <f t="shared" si="431"/>
        <v>2021-2024</v>
      </c>
      <c r="H548" s="1071" t="s">
        <v>29</v>
      </c>
      <c r="J548" s="1125"/>
      <c r="BB548" s="1108"/>
      <c r="BC548" s="1109"/>
      <c r="BD548" s="1109"/>
      <c r="BE548" s="1109"/>
      <c r="BF548" s="1585"/>
      <c r="BG548" s="1109"/>
      <c r="BH548" s="1109">
        <f t="shared" ref="BH548:BL548" si="432">IF($L245=0,0,(($BH245*O245)+($BI245*U245)+($BJ245*AA245)+($BK245*AG245)+($BL245*AM245))/$L245)</f>
        <v>0</v>
      </c>
      <c r="BI548" s="1109">
        <f t="shared" si="432"/>
        <v>0</v>
      </c>
      <c r="BJ548" s="1109">
        <f t="shared" si="432"/>
        <v>0</v>
      </c>
      <c r="BK548" s="1109">
        <f t="shared" si="432"/>
        <v>6.2</v>
      </c>
      <c r="BL548" s="1109">
        <f t="shared" si="432"/>
        <v>6.2</v>
      </c>
    </row>
    <row r="549" spans="2:64" hidden="1" outlineLevel="1">
      <c r="B549" s="1094"/>
      <c r="C549" s="1071" t="str">
        <f t="shared" ref="C549:F549" si="433">C246</f>
        <v>Rostering project</v>
      </c>
      <c r="D549" s="1071" t="str">
        <f t="shared" si="433"/>
        <v>Rostering project</v>
      </c>
      <c r="E549" s="1071" t="str">
        <f t="shared" si="433"/>
        <v>S027</v>
      </c>
      <c r="F549" s="1125" t="str">
        <f t="shared" si="433"/>
        <v>2021-2024</v>
      </c>
      <c r="H549" s="1071" t="s">
        <v>29</v>
      </c>
      <c r="J549" s="1125"/>
      <c r="BB549" s="1108"/>
      <c r="BC549" s="1109"/>
      <c r="BD549" s="1109"/>
      <c r="BE549" s="1109"/>
      <c r="BF549" s="1585"/>
      <c r="BG549" s="1109"/>
      <c r="BH549" s="1109">
        <f t="shared" ref="BH549:BL549" si="434">IF($L246=0,0,(($BH246*O246)+($BI246*U246)+($BJ246*AA246)+($BK246*AG246)+($BL246*AM246))/$L246)</f>
        <v>0</v>
      </c>
      <c r="BI549" s="1109">
        <f t="shared" si="434"/>
        <v>0</v>
      </c>
      <c r="BJ549" s="1109">
        <f t="shared" si="434"/>
        <v>65</v>
      </c>
      <c r="BK549" s="1109">
        <f t="shared" si="434"/>
        <v>130</v>
      </c>
      <c r="BL549" s="1109">
        <f t="shared" si="434"/>
        <v>130</v>
      </c>
    </row>
    <row r="550" spans="2:64" hidden="1" outlineLevel="1">
      <c r="B550" s="1094"/>
      <c r="C550" s="1071" t="str">
        <f t="shared" ref="C550:F550" si="435">C247</f>
        <v>New Tower Simulator Dublin IATS</v>
      </c>
      <c r="D550" s="1071" t="str">
        <f t="shared" si="435"/>
        <v>New Tower Simulator Dublin IATS</v>
      </c>
      <c r="E550" s="1071" t="str">
        <f t="shared" si="435"/>
        <v>R017</v>
      </c>
      <c r="F550" s="1125" t="str">
        <f t="shared" si="435"/>
        <v>2021-2024</v>
      </c>
      <c r="H550" s="1071" t="s">
        <v>29</v>
      </c>
      <c r="J550" s="1125"/>
      <c r="BB550" s="1108"/>
      <c r="BC550" s="1109"/>
      <c r="BD550" s="1109"/>
      <c r="BE550" s="1109"/>
      <c r="BF550" s="1585"/>
      <c r="BG550" s="1109"/>
      <c r="BH550" s="1109">
        <f t="shared" ref="BH550:BL550" si="436">IF($L247=0,0,(($BH247*O247)+($BI247*U247)+($BJ247*AA247)+($BK247*AG247)+($BL247*AM247))/$L247)</f>
        <v>0</v>
      </c>
      <c r="BI550" s="1109">
        <f t="shared" si="436"/>
        <v>0</v>
      </c>
      <c r="BJ550" s="1109">
        <f t="shared" si="436"/>
        <v>0</v>
      </c>
      <c r="BK550" s="1109">
        <f t="shared" si="436"/>
        <v>0</v>
      </c>
      <c r="BL550" s="1109">
        <f t="shared" si="436"/>
        <v>25</v>
      </c>
    </row>
    <row r="551" spans="2:64" hidden="1" outlineLevel="1">
      <c r="B551" s="1094"/>
      <c r="C551" s="1071" t="str">
        <f t="shared" ref="C551:F551" si="437">C248</f>
        <v>EDISON Core Network &amp; Cyber Security</v>
      </c>
      <c r="D551" s="1071" t="str">
        <f t="shared" si="437"/>
        <v>EDISON Core Network &amp; Cyber Security</v>
      </c>
      <c r="E551" s="1071" t="str">
        <f t="shared" si="437"/>
        <v>S007</v>
      </c>
      <c r="F551" s="1125" t="str">
        <f t="shared" si="437"/>
        <v>2021-2024</v>
      </c>
      <c r="H551" s="1071" t="s">
        <v>29</v>
      </c>
      <c r="J551" s="1125"/>
      <c r="BB551" s="1108"/>
      <c r="BC551" s="1109"/>
      <c r="BD551" s="1109"/>
      <c r="BE551" s="1109"/>
      <c r="BF551" s="1585"/>
      <c r="BG551" s="1109"/>
      <c r="BH551" s="1109">
        <f t="shared" ref="BH551:BL551" si="438">IF($L248=0,0,(($BH248*O248)+($BI248*U248)+($BJ248*AA248)+($BK248*AG248)+($BL248*AM248))/$L248)</f>
        <v>0</v>
      </c>
      <c r="BI551" s="1109">
        <f t="shared" si="438"/>
        <v>0</v>
      </c>
      <c r="BJ551" s="1109">
        <f t="shared" si="438"/>
        <v>49.623906000000012</v>
      </c>
      <c r="BK551" s="1109">
        <f t="shared" si="438"/>
        <v>99.247812000000025</v>
      </c>
      <c r="BL551" s="1109">
        <f t="shared" si="438"/>
        <v>99.247812000000025</v>
      </c>
    </row>
    <row r="552" spans="2:64" hidden="1" outlineLevel="1">
      <c r="B552" s="1094"/>
      <c r="C552" s="1071" t="str">
        <f t="shared" ref="C552:F552" si="439">C249</f>
        <v>Chiller and AHU Replacement Dublin</v>
      </c>
      <c r="D552" s="1071" t="str">
        <f t="shared" si="439"/>
        <v>Chiller and AHU Replacement Dublin</v>
      </c>
      <c r="E552" s="1071" t="str">
        <f t="shared" si="439"/>
        <v>T014</v>
      </c>
      <c r="F552" s="1125" t="str">
        <f t="shared" si="439"/>
        <v>2021-2024</v>
      </c>
      <c r="H552" s="1071" t="s">
        <v>29</v>
      </c>
      <c r="J552" s="1125"/>
      <c r="BB552" s="1108"/>
      <c r="BC552" s="1109"/>
      <c r="BD552" s="1109"/>
      <c r="BE552" s="1109"/>
      <c r="BF552" s="1585"/>
      <c r="BG552" s="1109"/>
      <c r="BH552" s="1109">
        <f t="shared" ref="BH552:BL552" si="440">IF($L249=0,0,(($BH249*O249)+($BI249*U249)+($BJ249*AA249)+($BK249*AG249)+($BL249*AM249))/$L249)</f>
        <v>0</v>
      </c>
      <c r="BI552" s="1109">
        <f t="shared" si="440"/>
        <v>11.417389333333336</v>
      </c>
      <c r="BJ552" s="1109">
        <f t="shared" si="440"/>
        <v>50.034778666666675</v>
      </c>
      <c r="BK552" s="1109">
        <f t="shared" si="440"/>
        <v>50.034778666666675</v>
      </c>
      <c r="BL552" s="1109">
        <f t="shared" si="440"/>
        <v>50.034778666666675</v>
      </c>
    </row>
    <row r="553" spans="2:64" hidden="1" outlineLevel="1">
      <c r="B553" s="1094"/>
      <c r="C553" s="1071" t="str">
        <f t="shared" ref="C553:F553" si="441">C250</f>
        <v>U023 2.6 GHz Filters (SHN)</v>
      </c>
      <c r="D553" s="1071" t="str">
        <f t="shared" si="441"/>
        <v>U023 2.6 GHz Filters</v>
      </c>
      <c r="E553" s="1071" t="str">
        <f t="shared" si="441"/>
        <v>U023</v>
      </c>
      <c r="F553" s="1125" t="str">
        <f t="shared" si="441"/>
        <v>2021-2024</v>
      </c>
      <c r="H553" s="1071" t="s">
        <v>29</v>
      </c>
      <c r="J553" s="1125"/>
      <c r="BB553" s="1108"/>
      <c r="BC553" s="1109"/>
      <c r="BD553" s="1109"/>
      <c r="BE553" s="1109"/>
      <c r="BF553" s="1585"/>
      <c r="BG553" s="1109"/>
      <c r="BH553" s="1109">
        <f t="shared" ref="BH553:BL553" si="442">IF($L250=0,0,(($BH250*O250)+($BI250*U250)+($BJ250*AA250)+($BK250*AG250)+($BL250*AM250))/$L250)</f>
        <v>0</v>
      </c>
      <c r="BI553" s="1109">
        <f t="shared" si="442"/>
        <v>7.5</v>
      </c>
      <c r="BJ553" s="1109">
        <f t="shared" si="442"/>
        <v>30</v>
      </c>
      <c r="BK553" s="1109">
        <f t="shared" si="442"/>
        <v>30</v>
      </c>
      <c r="BL553" s="1109">
        <f t="shared" si="442"/>
        <v>30</v>
      </c>
    </row>
    <row r="554" spans="2:64" hidden="1" outlineLevel="1">
      <c r="B554" s="1094"/>
      <c r="C554" s="1071" t="str">
        <f t="shared" ref="C554:F554" si="443">C251</f>
        <v>U023 2.6 GHz Filters (CRK)</v>
      </c>
      <c r="D554" s="1071" t="str">
        <f t="shared" si="443"/>
        <v>U023 2.6 GHz Filters</v>
      </c>
      <c r="E554" s="1071" t="str">
        <f t="shared" si="443"/>
        <v>U023A</v>
      </c>
      <c r="F554" s="1125" t="str">
        <f t="shared" si="443"/>
        <v>2021-2024</v>
      </c>
      <c r="H554" s="1071" t="s">
        <v>29</v>
      </c>
      <c r="J554" s="1125"/>
      <c r="BB554" s="1108"/>
      <c r="BC554" s="1109"/>
      <c r="BD554" s="1109"/>
      <c r="BE554" s="1109"/>
      <c r="BF554" s="1585"/>
      <c r="BG554" s="1109"/>
      <c r="BH554" s="1109">
        <f t="shared" ref="BH554:BL554" si="444">IF($L251=0,0,(($BH251*O251)+($BI251*U251)+($BJ251*AA251)+($BK251*AG251)+($BL251*AM251))/$L251)</f>
        <v>0</v>
      </c>
      <c r="BI554" s="1109">
        <f t="shared" si="444"/>
        <v>7.5</v>
      </c>
      <c r="BJ554" s="1109">
        <f t="shared" si="444"/>
        <v>30</v>
      </c>
      <c r="BK554" s="1109">
        <f t="shared" si="444"/>
        <v>30</v>
      </c>
      <c r="BL554" s="1109">
        <f t="shared" si="444"/>
        <v>30</v>
      </c>
    </row>
    <row r="555" spans="2:64" hidden="1" outlineLevel="1">
      <c r="B555" s="1094"/>
      <c r="C555" s="1071" t="str">
        <f t="shared" ref="C555:F555" si="445">C252</f>
        <v>U023 2.6 GHz Filters (DUB)</v>
      </c>
      <c r="D555" s="1071" t="str">
        <f t="shared" si="445"/>
        <v>U023 2.6 GHz Filters</v>
      </c>
      <c r="E555" s="1071" t="str">
        <f t="shared" si="445"/>
        <v>U023A</v>
      </c>
      <c r="F555" s="1125" t="str">
        <f t="shared" si="445"/>
        <v>2021-2024</v>
      </c>
      <c r="H555" s="1071" t="s">
        <v>29</v>
      </c>
      <c r="J555" s="1125"/>
      <c r="BB555" s="1108"/>
      <c r="BC555" s="1109"/>
      <c r="BD555" s="1109"/>
      <c r="BE555" s="1109"/>
      <c r="BF555" s="1585"/>
      <c r="BG555" s="1109"/>
      <c r="BH555" s="1109">
        <f t="shared" ref="BH555:BL555" si="446">IF($L252=0,0,(($BH252*O252)+($BI252*U252)+($BJ252*AA252)+($BK252*AG252)+($BL252*AM252))/$L252)</f>
        <v>0</v>
      </c>
      <c r="BI555" s="1109">
        <f t="shared" si="446"/>
        <v>0</v>
      </c>
      <c r="BJ555" s="1109">
        <f t="shared" si="446"/>
        <v>30</v>
      </c>
      <c r="BK555" s="1109">
        <f t="shared" si="446"/>
        <v>30</v>
      </c>
      <c r="BL555" s="1109">
        <f t="shared" si="446"/>
        <v>30</v>
      </c>
    </row>
    <row r="556" spans="2:64" hidden="1" outlineLevel="1">
      <c r="B556" s="1094"/>
      <c r="C556" s="1071" t="str">
        <f t="shared" ref="C556:F556" si="447">C253</f>
        <v>SIEM &amp; SOC Software</v>
      </c>
      <c r="D556" s="1071" t="str">
        <f t="shared" si="447"/>
        <v>SIEM &amp; SOC Software</v>
      </c>
      <c r="E556" s="1071" t="str">
        <f t="shared" si="447"/>
        <v>U019</v>
      </c>
      <c r="F556" s="1125" t="str">
        <f t="shared" si="447"/>
        <v>2021-2024</v>
      </c>
      <c r="H556" s="1071" t="s">
        <v>29</v>
      </c>
      <c r="J556" s="1125"/>
      <c r="BB556" s="1108"/>
      <c r="BC556" s="1109"/>
      <c r="BD556" s="1109"/>
      <c r="BE556" s="1109"/>
      <c r="BF556" s="1585"/>
      <c r="BG556" s="1109"/>
      <c r="BH556" s="1109">
        <f t="shared" ref="BH556:BL556" si="448">IF($L253=0,0,(($BH253*O253)+($BI253*U253)+($BJ253*AA253)+($BK253*AG253)+($BL253*AM253))/$L253)</f>
        <v>0</v>
      </c>
      <c r="BI556" s="1109">
        <f t="shared" si="448"/>
        <v>0</v>
      </c>
      <c r="BJ556" s="1109">
        <f t="shared" si="448"/>
        <v>80</v>
      </c>
      <c r="BK556" s="1109">
        <f t="shared" si="448"/>
        <v>106.66666666666667</v>
      </c>
      <c r="BL556" s="1109">
        <f t="shared" si="448"/>
        <v>133.33333333333334</v>
      </c>
    </row>
    <row r="557" spans="2:64" hidden="1" outlineLevel="1">
      <c r="B557" s="1094"/>
      <c r="C557" s="1071" t="str">
        <f t="shared" ref="C557:F557" si="449">C254</f>
        <v>Aireon Infrastructure</v>
      </c>
      <c r="D557" s="1071" t="str">
        <f t="shared" si="449"/>
        <v>Aireon Infrastructure</v>
      </c>
      <c r="E557" s="1071" t="str">
        <f t="shared" si="449"/>
        <v>Q002</v>
      </c>
      <c r="F557" s="1125" t="str">
        <f t="shared" si="449"/>
        <v>2021-2024</v>
      </c>
      <c r="H557" s="1071" t="s">
        <v>29</v>
      </c>
      <c r="J557" s="1125"/>
      <c r="BB557" s="1108"/>
      <c r="BC557" s="1109"/>
      <c r="BD557" s="1109"/>
      <c r="BE557" s="1109"/>
      <c r="BF557" s="1585"/>
      <c r="BG557" s="1109"/>
      <c r="BH557" s="1109">
        <f t="shared" ref="BH557:BL557" si="450">IF($L254=0,0,(($BH254*O254)+($BI254*U254)+($BJ254*AA254)+($BK254*AG254)+($BL254*AM254))/$L254)</f>
        <v>0</v>
      </c>
      <c r="BI557" s="1109">
        <f t="shared" si="450"/>
        <v>4.5</v>
      </c>
      <c r="BJ557" s="1109">
        <f t="shared" si="450"/>
        <v>24.30833475</v>
      </c>
      <c r="BK557" s="1109">
        <f t="shared" si="450"/>
        <v>79.233339000000001</v>
      </c>
      <c r="BL557" s="1109">
        <f t="shared" si="450"/>
        <v>79.233339000000001</v>
      </c>
    </row>
    <row r="558" spans="2:64" hidden="1" outlineLevel="1">
      <c r="B558" s="1094"/>
      <c r="C558" s="1071" t="str">
        <f t="shared" ref="C558:F558" si="451">C255</f>
        <v>Fire supression system</v>
      </c>
      <c r="D558" s="1071" t="str">
        <f t="shared" si="451"/>
        <v>Fire supression system</v>
      </c>
      <c r="E558" s="1071" t="str">
        <f t="shared" si="451"/>
        <v>U015</v>
      </c>
      <c r="F558" s="1125" t="str">
        <f t="shared" si="451"/>
        <v>2021-2024</v>
      </c>
      <c r="H558" s="1071" t="s">
        <v>29</v>
      </c>
      <c r="J558" s="1125"/>
      <c r="BB558" s="1108"/>
      <c r="BC558" s="1109"/>
      <c r="BD558" s="1109"/>
      <c r="BE558" s="1109"/>
      <c r="BF558" s="1585"/>
      <c r="BG558" s="1109"/>
      <c r="BH558" s="1109">
        <f t="shared" ref="BH558:BL558" si="452">IF($L255=0,0,(($BH255*O255)+($BI255*U255)+($BJ255*AA255)+($BK255*AG255)+($BL255*AM255))/$L255)</f>
        <v>0</v>
      </c>
      <c r="BI558" s="1109">
        <f t="shared" si="452"/>
        <v>0</v>
      </c>
      <c r="BJ558" s="1109">
        <f t="shared" si="452"/>
        <v>0</v>
      </c>
      <c r="BK558" s="1109">
        <f t="shared" si="452"/>
        <v>0</v>
      </c>
      <c r="BL558" s="1109">
        <f t="shared" si="452"/>
        <v>0</v>
      </c>
    </row>
    <row r="559" spans="2:64" hidden="1" outlineLevel="1">
      <c r="B559" s="1094"/>
      <c r="C559" s="1071" t="str">
        <f t="shared" ref="C559:F559" si="453">C256</f>
        <v>Fire suppression system - Woodcock Hill</v>
      </c>
      <c r="D559" s="1071" t="str">
        <f t="shared" si="453"/>
        <v>Fire supression system</v>
      </c>
      <c r="E559" s="1071" t="str">
        <f t="shared" si="453"/>
        <v>U015A</v>
      </c>
      <c r="F559" s="1125" t="str">
        <f t="shared" si="453"/>
        <v>2021-2024</v>
      </c>
      <c r="H559" s="1071" t="s">
        <v>29</v>
      </c>
      <c r="J559" s="1125"/>
      <c r="BB559" s="1108"/>
      <c r="BC559" s="1109"/>
      <c r="BD559" s="1109"/>
      <c r="BE559" s="1109"/>
      <c r="BF559" s="1585"/>
      <c r="BG559" s="1109"/>
      <c r="BH559" s="1109">
        <f t="shared" ref="BH559:BL559" si="454">IF($L256=0,0,(($BH256*O256)+($BI256*U256)+($BJ256*AA256)+($BK256*AG256)+($BL256*AM256))/$L256)</f>
        <v>0</v>
      </c>
      <c r="BI559" s="1109">
        <f t="shared" si="454"/>
        <v>0.46666666666666667</v>
      </c>
      <c r="BJ559" s="1109">
        <f t="shared" si="454"/>
        <v>8.2666666666666675</v>
      </c>
      <c r="BK559" s="1109">
        <f t="shared" si="454"/>
        <v>8.2666666666666675</v>
      </c>
      <c r="BL559" s="1109">
        <f t="shared" si="454"/>
        <v>8.2666666666666675</v>
      </c>
    </row>
    <row r="560" spans="2:64" hidden="1" outlineLevel="1">
      <c r="B560" s="1094"/>
      <c r="C560" s="1071" t="str">
        <f t="shared" ref="C560:F560" si="455">C257</f>
        <v>Fire suppression system - Mt Gabriel</v>
      </c>
      <c r="D560" s="1071" t="str">
        <f t="shared" si="455"/>
        <v>Fire supression system</v>
      </c>
      <c r="E560" s="1071" t="str">
        <f t="shared" si="455"/>
        <v>U015A</v>
      </c>
      <c r="F560" s="1125" t="str">
        <f t="shared" si="455"/>
        <v>2021-2024</v>
      </c>
      <c r="H560" s="1071" t="s">
        <v>29</v>
      </c>
      <c r="J560" s="1125"/>
      <c r="BB560" s="1108"/>
      <c r="BC560" s="1109"/>
      <c r="BD560" s="1109"/>
      <c r="BE560" s="1109"/>
      <c r="BF560" s="1585"/>
      <c r="BG560" s="1109"/>
      <c r="BH560" s="1109">
        <f t="shared" ref="BH560:BL560" si="456">IF($L257=0,0,(($BH257*O257)+($BI257*U257)+($BJ257*AA257)+($BK257*AG257)+($BL257*AM257))/$L257)</f>
        <v>0</v>
      </c>
      <c r="BI560" s="1109">
        <f t="shared" si="456"/>
        <v>0.46666666666666667</v>
      </c>
      <c r="BJ560" s="1109">
        <f t="shared" si="456"/>
        <v>8.2666666666666675</v>
      </c>
      <c r="BK560" s="1109">
        <f t="shared" si="456"/>
        <v>8.2666666666666675</v>
      </c>
      <c r="BL560" s="1109">
        <f t="shared" si="456"/>
        <v>8.2666666666666675</v>
      </c>
    </row>
    <row r="561" spans="2:64" hidden="1" outlineLevel="1">
      <c r="B561" s="1094"/>
      <c r="C561" s="1071" t="str">
        <f t="shared" ref="C561:F561" si="457">C258</f>
        <v>Fire suppression system - Dooncarton</v>
      </c>
      <c r="D561" s="1071" t="str">
        <f t="shared" si="457"/>
        <v>Fire supression system</v>
      </c>
      <c r="E561" s="1071" t="str">
        <f t="shared" si="457"/>
        <v>U015A</v>
      </c>
      <c r="F561" s="1125" t="str">
        <f t="shared" si="457"/>
        <v>2021-2024</v>
      </c>
      <c r="H561" s="1071" t="s">
        <v>29</v>
      </c>
      <c r="J561" s="1125"/>
      <c r="BB561" s="1108"/>
      <c r="BC561" s="1109"/>
      <c r="BD561" s="1109"/>
      <c r="BE561" s="1109"/>
      <c r="BF561" s="1585"/>
      <c r="BG561" s="1109"/>
      <c r="BH561" s="1109">
        <f t="shared" ref="BH561:BL561" si="458">IF($L258=0,0,(($BH258*O258)+($BI258*U258)+($BJ258*AA258)+($BK258*AG258)+($BL258*AM258))/$L258)</f>
        <v>0</v>
      </c>
      <c r="BI561" s="1109">
        <f t="shared" si="458"/>
        <v>0.23333333333333334</v>
      </c>
      <c r="BJ561" s="1109">
        <f t="shared" si="458"/>
        <v>4.1333333333333337</v>
      </c>
      <c r="BK561" s="1109">
        <f t="shared" si="458"/>
        <v>4.1333333333333337</v>
      </c>
      <c r="BL561" s="1109">
        <f t="shared" si="458"/>
        <v>4.1333333333333337</v>
      </c>
    </row>
    <row r="562" spans="2:64" hidden="1" outlineLevel="1">
      <c r="B562" s="1094"/>
      <c r="C562" s="1071" t="str">
        <f t="shared" ref="C562:F562" si="459">C259</f>
        <v>Fire suppression system - Malin Head</v>
      </c>
      <c r="D562" s="1071" t="str">
        <f t="shared" si="459"/>
        <v>Fire supression system</v>
      </c>
      <c r="E562" s="1071" t="str">
        <f t="shared" si="459"/>
        <v>U015A</v>
      </c>
      <c r="F562" s="1125" t="str">
        <f t="shared" si="459"/>
        <v>2021-2024</v>
      </c>
      <c r="H562" s="1071" t="s">
        <v>29</v>
      </c>
      <c r="J562" s="1125"/>
      <c r="BB562" s="1108"/>
      <c r="BC562" s="1109"/>
      <c r="BD562" s="1109"/>
      <c r="BE562" s="1109"/>
      <c r="BF562" s="1585"/>
      <c r="BG562" s="1109"/>
      <c r="BH562" s="1109">
        <f t="shared" ref="BH562:BL562" si="460">IF($L259=0,0,(($BH259*O259)+($BI259*U259)+($BJ259*AA259)+($BK259*AG259)+($BL259*AM259))/$L259)</f>
        <v>0</v>
      </c>
      <c r="BI562" s="1109">
        <f t="shared" si="460"/>
        <v>2.0666666666666669</v>
      </c>
      <c r="BJ562" s="1109">
        <f t="shared" si="460"/>
        <v>4.1333333333333337</v>
      </c>
      <c r="BK562" s="1109">
        <f t="shared" si="460"/>
        <v>4.1333333333333337</v>
      </c>
      <c r="BL562" s="1109">
        <f t="shared" si="460"/>
        <v>4.1333333333333337</v>
      </c>
    </row>
    <row r="563" spans="2:64" hidden="1" outlineLevel="1">
      <c r="B563" s="1094"/>
      <c r="C563" s="1071" t="str">
        <f t="shared" ref="C563:F563" si="461">C260</f>
        <v>Fire suppression system - Shannon Radar</v>
      </c>
      <c r="D563" s="1071" t="str">
        <f t="shared" si="461"/>
        <v>Fire supression system</v>
      </c>
      <c r="E563" s="1071" t="str">
        <f t="shared" si="461"/>
        <v>U015A</v>
      </c>
      <c r="F563" s="1125" t="str">
        <f t="shared" si="461"/>
        <v>2021-2024</v>
      </c>
      <c r="H563" s="1071" t="s">
        <v>29</v>
      </c>
      <c r="J563" s="1125"/>
      <c r="BB563" s="1108"/>
      <c r="BC563" s="1109"/>
      <c r="BD563" s="1109"/>
      <c r="BE563" s="1109"/>
      <c r="BF563" s="1585"/>
      <c r="BG563" s="1109"/>
      <c r="BH563" s="1109">
        <f t="shared" ref="BH563:BL563" si="462">IF($L260=0,0,(($BH260*O260)+($BI260*U260)+($BJ260*AA260)+($BK260*AG260)+($BL260*AM260))/$L260)</f>
        <v>0</v>
      </c>
      <c r="BI563" s="1109">
        <f t="shared" si="462"/>
        <v>2.0666666666666669</v>
      </c>
      <c r="BJ563" s="1109">
        <f t="shared" si="462"/>
        <v>4.1333333333333337</v>
      </c>
      <c r="BK563" s="1109">
        <f t="shared" si="462"/>
        <v>4.1333333333333337</v>
      </c>
      <c r="BL563" s="1109">
        <f t="shared" si="462"/>
        <v>4.1333333333333337</v>
      </c>
    </row>
    <row r="564" spans="2:64" hidden="1" outlineLevel="1">
      <c r="B564" s="1094"/>
      <c r="C564" s="1071" t="str">
        <f t="shared" ref="C564:F564" si="463">C261</f>
        <v>Fire suppression system - Dublin Radar</v>
      </c>
      <c r="D564" s="1071" t="str">
        <f t="shared" si="463"/>
        <v>Fire supression system</v>
      </c>
      <c r="E564" s="1071" t="str">
        <f t="shared" si="463"/>
        <v>U015A</v>
      </c>
      <c r="F564" s="1125" t="str">
        <f t="shared" si="463"/>
        <v>2021-2024</v>
      </c>
      <c r="H564" s="1071" t="s">
        <v>29</v>
      </c>
      <c r="J564" s="1125"/>
      <c r="BB564" s="1108"/>
      <c r="BC564" s="1109"/>
      <c r="BD564" s="1109"/>
      <c r="BE564" s="1109"/>
      <c r="BF564" s="1585"/>
      <c r="BG564" s="1109"/>
      <c r="BH564" s="1109">
        <f t="shared" ref="BH564:BL564" si="464">IF($L261=0,0,(($BH261*O261)+($BI261*U261)+($BJ261*AA261)+($BK261*AG261)+($BL261*AM261))/$L261)</f>
        <v>0</v>
      </c>
      <c r="BI564" s="1109">
        <f t="shared" si="464"/>
        <v>0</v>
      </c>
      <c r="BJ564" s="1109">
        <f t="shared" si="464"/>
        <v>0</v>
      </c>
      <c r="BK564" s="1109">
        <f t="shared" si="464"/>
        <v>1.0333333333333334</v>
      </c>
      <c r="BL564" s="1109">
        <f t="shared" si="464"/>
        <v>5.4</v>
      </c>
    </row>
    <row r="565" spans="2:64" hidden="1" outlineLevel="1">
      <c r="B565" s="1094"/>
      <c r="C565" s="1071" t="str">
        <f t="shared" ref="C565:F565" si="465">C262</f>
        <v>Cyber Security / Management</v>
      </c>
      <c r="D565" s="1071" t="str">
        <f t="shared" si="465"/>
        <v>Cyber Security / Management</v>
      </c>
      <c r="E565" s="1071" t="str">
        <f t="shared" si="465"/>
        <v>T001</v>
      </c>
      <c r="F565" s="1125" t="str">
        <f t="shared" si="465"/>
        <v>2021-2024</v>
      </c>
      <c r="H565" s="1071" t="s">
        <v>29</v>
      </c>
      <c r="J565" s="1125"/>
      <c r="BB565" s="1108"/>
      <c r="BC565" s="1109"/>
      <c r="BD565" s="1109"/>
      <c r="BE565" s="1109"/>
      <c r="BF565" s="1585"/>
      <c r="BG565" s="1109"/>
      <c r="BH565" s="1109">
        <f t="shared" ref="BH565:BL565" si="466">IF($L262=0,0,(($BH262*O262)+($BI262*U262)+($BJ262*AA262)+($BK262*AG262)+($BL262*AM262))/$L262)</f>
        <v>0</v>
      </c>
      <c r="BI565" s="1109">
        <f t="shared" si="466"/>
        <v>0</v>
      </c>
      <c r="BJ565" s="1109">
        <f t="shared" si="466"/>
        <v>0</v>
      </c>
      <c r="BK565" s="1109">
        <f t="shared" si="466"/>
        <v>69.498500000000007</v>
      </c>
      <c r="BL565" s="1109">
        <f t="shared" si="466"/>
        <v>69.498500000000007</v>
      </c>
    </row>
    <row r="566" spans="2:64" hidden="1" outlineLevel="1">
      <c r="B566" s="1094"/>
      <c r="C566" s="1071" t="str">
        <f t="shared" ref="C566:F566" si="467">C263</f>
        <v>ICT Infrastructure</v>
      </c>
      <c r="D566" s="1071" t="str">
        <f t="shared" si="467"/>
        <v>ICT Infrastructure</v>
      </c>
      <c r="E566" s="1071" t="str">
        <f t="shared" si="467"/>
        <v>U020</v>
      </c>
      <c r="F566" s="1125" t="str">
        <f t="shared" si="467"/>
        <v>2021-2024</v>
      </c>
      <c r="H566" s="1071" t="s">
        <v>29</v>
      </c>
      <c r="J566" s="1125"/>
      <c r="BB566" s="1108"/>
      <c r="BC566" s="1109"/>
      <c r="BD566" s="1109"/>
      <c r="BE566" s="1109"/>
      <c r="BF566" s="1585"/>
      <c r="BG566" s="1109"/>
      <c r="BH566" s="1109">
        <f t="shared" ref="BH566:BL566" si="468">IF($L263=0,0,(($BH263*O263)+($BI263*U263)+($BJ263*AA263)+($BK263*AG263)+($BL263*AM263))/$L263)</f>
        <v>0</v>
      </c>
      <c r="BI566" s="1109">
        <f t="shared" si="468"/>
        <v>0</v>
      </c>
      <c r="BJ566" s="1109">
        <f t="shared" si="468"/>
        <v>73.333333333333329</v>
      </c>
      <c r="BK566" s="1109">
        <f t="shared" si="468"/>
        <v>113.33333333333334</v>
      </c>
      <c r="BL566" s="1109">
        <f t="shared" si="468"/>
        <v>153.33333333333334</v>
      </c>
    </row>
    <row r="567" spans="2:64" hidden="1" outlineLevel="1">
      <c r="B567" s="1094"/>
      <c r="C567" s="1071" t="str">
        <f t="shared" ref="C567:F567" si="469">C264</f>
        <v>Upgrades to cable ducting - remote sites</v>
      </c>
      <c r="D567" s="1071" t="str">
        <f t="shared" si="469"/>
        <v>Upgrades to cable ducting</v>
      </c>
      <c r="E567" s="1071" t="str">
        <f t="shared" si="469"/>
        <v>R007</v>
      </c>
      <c r="F567" s="1125" t="str">
        <f t="shared" si="469"/>
        <v>2021-2024</v>
      </c>
      <c r="H567" s="1071" t="s">
        <v>29</v>
      </c>
      <c r="J567" s="1125"/>
      <c r="BB567" s="1108"/>
      <c r="BC567" s="1109"/>
      <c r="BD567" s="1109"/>
      <c r="BE567" s="1109"/>
      <c r="BF567" s="1585"/>
      <c r="BG567" s="1109"/>
      <c r="BH567" s="1109">
        <f t="shared" ref="BH567:BL567" si="470">IF($L264=0,0,(($BH264*O264)+($BI264*U264)+($BJ264*AA264)+($BK264*AG264)+($BL264*AM264))/$L264)</f>
        <v>0</v>
      </c>
      <c r="BI567" s="1109">
        <f t="shared" si="470"/>
        <v>0</v>
      </c>
      <c r="BJ567" s="1109">
        <f t="shared" si="470"/>
        <v>0</v>
      </c>
      <c r="BK567" s="1109">
        <f t="shared" si="470"/>
        <v>0</v>
      </c>
      <c r="BL567" s="1109">
        <f t="shared" si="470"/>
        <v>0</v>
      </c>
    </row>
    <row r="568" spans="2:64" hidden="1" outlineLevel="1">
      <c r="B568" s="1094"/>
      <c r="C568" s="1071" t="str">
        <f t="shared" ref="C568:F568" si="471">C265</f>
        <v>Upgrades to cable ducting Woodcock Hill</v>
      </c>
      <c r="D568" s="1071" t="str">
        <f t="shared" si="471"/>
        <v>Upgrades to cable ducting</v>
      </c>
      <c r="E568" s="1071" t="str">
        <f t="shared" si="471"/>
        <v>R007A</v>
      </c>
      <c r="F568" s="1125" t="str">
        <f t="shared" si="471"/>
        <v>2021-2024</v>
      </c>
      <c r="H568" s="1071" t="s">
        <v>29</v>
      </c>
      <c r="J568" s="1125"/>
      <c r="BB568" s="1108"/>
      <c r="BC568" s="1109"/>
      <c r="BD568" s="1109"/>
      <c r="BE568" s="1109"/>
      <c r="BF568" s="1585"/>
      <c r="BG568" s="1109"/>
      <c r="BH568" s="1109">
        <f t="shared" ref="BH568:BL568" si="472">IF($L265=0,0,(($BH265*O265)+($BI265*U265)+($BJ265*AA265)+($BK265*AG265)+($BL265*AM265))/$L265)</f>
        <v>0</v>
      </c>
      <c r="BI568" s="1109">
        <f t="shared" si="472"/>
        <v>9.1903598000000013</v>
      </c>
      <c r="BJ568" s="1109">
        <f t="shared" si="472"/>
        <v>18.380719600000003</v>
      </c>
      <c r="BK568" s="1109">
        <f t="shared" si="472"/>
        <v>18.380719600000003</v>
      </c>
      <c r="BL568" s="1109">
        <f t="shared" si="472"/>
        <v>18.380719600000003</v>
      </c>
    </row>
    <row r="569" spans="2:64" hidden="1" outlineLevel="1">
      <c r="B569" s="1094"/>
      <c r="C569" s="1071" t="str">
        <f t="shared" ref="C569:F569" si="473">C266</f>
        <v>Upgrades to cable ducting Other remote sites</v>
      </c>
      <c r="D569" s="1071" t="str">
        <f t="shared" si="473"/>
        <v>Upgrades to cable ducting</v>
      </c>
      <c r="E569" s="1071" t="str">
        <f t="shared" si="473"/>
        <v>R007A</v>
      </c>
      <c r="F569" s="1125" t="str">
        <f t="shared" si="473"/>
        <v>2021-2024</v>
      </c>
      <c r="H569" s="1071" t="s">
        <v>29</v>
      </c>
      <c r="J569" s="1125"/>
      <c r="BB569" s="1108"/>
      <c r="BC569" s="1109"/>
      <c r="BD569" s="1109"/>
      <c r="BE569" s="1109"/>
      <c r="BF569" s="1585"/>
      <c r="BG569" s="1109"/>
      <c r="BH569" s="1109">
        <f t="shared" ref="BH569:BL569" si="474">IF($L266=0,0,(($BH266*O266)+($BI266*U266)+($BJ266*AA266)+($BK266*AG266)+($BL266*AM266))/$L266)</f>
        <v>0</v>
      </c>
      <c r="BI569" s="1109">
        <f t="shared" si="474"/>
        <v>2.1</v>
      </c>
      <c r="BJ569" s="1109">
        <f t="shared" si="474"/>
        <v>4.2</v>
      </c>
      <c r="BK569" s="1109">
        <f t="shared" si="474"/>
        <v>4.2</v>
      </c>
      <c r="BL569" s="1109">
        <f t="shared" si="474"/>
        <v>4.2</v>
      </c>
    </row>
    <row r="570" spans="2:64" hidden="1" outlineLevel="1">
      <c r="B570" s="1094"/>
      <c r="C570" s="1071" t="str">
        <f t="shared" ref="C570:F570" si="475">C267</f>
        <v>IAA Smart Messenger (AFTN/SMHS) &amp; ROFDS Contingency</v>
      </c>
      <c r="D570" s="1071" t="str">
        <f t="shared" si="475"/>
        <v>IAA Smart Messenger</v>
      </c>
      <c r="E570" s="1071" t="str">
        <f t="shared" si="475"/>
        <v>U005</v>
      </c>
      <c r="F570" s="1125" t="str">
        <f t="shared" si="475"/>
        <v>2021-2024</v>
      </c>
      <c r="H570" s="1071" t="s">
        <v>29</v>
      </c>
      <c r="J570" s="1125"/>
      <c r="BB570" s="1108"/>
      <c r="BC570" s="1109"/>
      <c r="BD570" s="1109"/>
      <c r="BE570" s="1109"/>
      <c r="BF570" s="1585"/>
      <c r="BG570" s="1109"/>
      <c r="BH570" s="1109">
        <f t="shared" ref="BH570:BL570" si="476">IF($L267=0,0,(($BH267*O267)+($BI267*U267)+($BJ267*AA267)+($BK267*AG267)+($BL267*AM267))/$L267)</f>
        <v>0</v>
      </c>
      <c r="BI570" s="1109">
        <f t="shared" si="476"/>
        <v>0</v>
      </c>
      <c r="BJ570" s="1109">
        <f t="shared" si="476"/>
        <v>0</v>
      </c>
      <c r="BK570" s="1109">
        <f t="shared" si="476"/>
        <v>0</v>
      </c>
      <c r="BL570" s="1109">
        <f t="shared" si="476"/>
        <v>0</v>
      </c>
    </row>
    <row r="571" spans="2:64" hidden="1" outlineLevel="1">
      <c r="B571" s="1094"/>
      <c r="C571" s="1071" t="str">
        <f t="shared" ref="C571:F571" si="477">C268</f>
        <v>IAA Smart Messenger (AFTN/SMHS)</v>
      </c>
      <c r="D571" s="1071" t="str">
        <f t="shared" si="477"/>
        <v>IAA Smart Messenger</v>
      </c>
      <c r="E571" s="1071" t="str">
        <f t="shared" si="477"/>
        <v>U005A</v>
      </c>
      <c r="F571" s="1125" t="str">
        <f t="shared" si="477"/>
        <v>2021-2024</v>
      </c>
      <c r="H571" s="1071" t="s">
        <v>29</v>
      </c>
      <c r="J571" s="1125"/>
      <c r="BB571" s="1108"/>
      <c r="BC571" s="1109"/>
      <c r="BD571" s="1109"/>
      <c r="BE571" s="1109"/>
      <c r="BF571" s="1585"/>
      <c r="BG571" s="1109"/>
      <c r="BH571" s="1109">
        <f t="shared" ref="BH571:BL571" si="478">IF($L268=0,0,(($BH268*O268)+($BI268*U268)+($BJ268*AA268)+($BK268*AG268)+($BL268*AM268))/$L268)</f>
        <v>0</v>
      </c>
      <c r="BI571" s="1109">
        <f t="shared" si="478"/>
        <v>0</v>
      </c>
      <c r="BJ571" s="1109">
        <f t="shared" si="478"/>
        <v>0</v>
      </c>
      <c r="BK571" s="1109">
        <f t="shared" si="478"/>
        <v>50</v>
      </c>
      <c r="BL571" s="1109">
        <f t="shared" si="478"/>
        <v>50</v>
      </c>
    </row>
    <row r="572" spans="2:64" hidden="1" outlineLevel="1">
      <c r="B572" s="1094"/>
      <c r="C572" s="1071" t="str">
        <f t="shared" ref="C572:F572" si="479">C269</f>
        <v>BMS Upgrade Dublin / Ballycasey</v>
      </c>
      <c r="D572" s="1071" t="str">
        <f t="shared" si="479"/>
        <v>BMS Upgrade</v>
      </c>
      <c r="E572" s="1071" t="str">
        <f t="shared" si="479"/>
        <v>T010</v>
      </c>
      <c r="F572" s="1125" t="str">
        <f t="shared" si="479"/>
        <v>2021-2024</v>
      </c>
      <c r="H572" s="1071" t="s">
        <v>29</v>
      </c>
      <c r="J572" s="1125"/>
      <c r="BB572" s="1108"/>
      <c r="BC572" s="1109"/>
      <c r="BD572" s="1109"/>
      <c r="BE572" s="1109"/>
      <c r="BF572" s="1585"/>
      <c r="BG572" s="1109"/>
      <c r="BH572" s="1109">
        <f t="shared" ref="BH572:BL572" si="480">IF($L269=0,0,(($BH269*O269)+($BI269*U269)+($BJ269*AA269)+($BK269*AG269)+($BL269*AM269))/$L269)</f>
        <v>0</v>
      </c>
      <c r="BI572" s="1109">
        <f t="shared" si="480"/>
        <v>0</v>
      </c>
      <c r="BJ572" s="1109">
        <f t="shared" si="480"/>
        <v>0</v>
      </c>
      <c r="BK572" s="1109">
        <f t="shared" si="480"/>
        <v>0</v>
      </c>
      <c r="BL572" s="1109">
        <f t="shared" si="480"/>
        <v>0</v>
      </c>
    </row>
    <row r="573" spans="2:64" hidden="1" outlineLevel="1">
      <c r="B573" s="1094"/>
      <c r="C573" s="1071" t="str">
        <f t="shared" ref="C573:F573" si="481">C270</f>
        <v>BMS Upgrade Dublin</v>
      </c>
      <c r="D573" s="1071" t="str">
        <f t="shared" si="481"/>
        <v>BMS Upgrade</v>
      </c>
      <c r="E573" s="1071" t="str">
        <f t="shared" si="481"/>
        <v>T010A</v>
      </c>
      <c r="F573" s="1125" t="str">
        <f t="shared" si="481"/>
        <v>2021-2024</v>
      </c>
      <c r="H573" s="1071" t="s">
        <v>29</v>
      </c>
      <c r="J573" s="1125"/>
      <c r="BB573" s="1108"/>
      <c r="BC573" s="1109"/>
      <c r="BD573" s="1109"/>
      <c r="BE573" s="1109"/>
      <c r="BF573" s="1585"/>
      <c r="BG573" s="1109"/>
      <c r="BH573" s="1109">
        <f t="shared" ref="BH573:BL573" si="482">IF($L270=0,0,(($BH270*O270)+($BI270*U270)+($BJ270*AA270)+($BK270*AG270)+($BL270*AM270))/$L270)</f>
        <v>0</v>
      </c>
      <c r="BI573" s="1109">
        <f t="shared" si="482"/>
        <v>0</v>
      </c>
      <c r="BJ573" s="1109">
        <f t="shared" si="482"/>
        <v>6.25</v>
      </c>
      <c r="BK573" s="1109">
        <f t="shared" si="482"/>
        <v>25</v>
      </c>
      <c r="BL573" s="1109">
        <f t="shared" si="482"/>
        <v>25</v>
      </c>
    </row>
    <row r="574" spans="2:64" hidden="1" outlineLevel="1">
      <c r="B574" s="1094"/>
      <c r="C574" s="1071" t="str">
        <f t="shared" ref="C574:F574" si="483">C271</f>
        <v>BMS Upgrade Ballycasey</v>
      </c>
      <c r="D574" s="1071" t="str">
        <f t="shared" si="483"/>
        <v>BMS Upgrade</v>
      </c>
      <c r="E574" s="1071" t="str">
        <f t="shared" si="483"/>
        <v>T010A</v>
      </c>
      <c r="F574" s="1125" t="str">
        <f t="shared" si="483"/>
        <v>2021-2024</v>
      </c>
      <c r="H574" s="1071" t="s">
        <v>29</v>
      </c>
      <c r="J574" s="1125"/>
      <c r="BB574" s="1108"/>
      <c r="BC574" s="1109"/>
      <c r="BD574" s="1109"/>
      <c r="BE574" s="1109"/>
      <c r="BF574" s="1585"/>
      <c r="BG574" s="1109"/>
      <c r="BH574" s="1109">
        <f t="shared" ref="BH574:BL574" si="484">IF($L271=0,0,(($BH271*O271)+($BI271*U271)+($BJ271*AA271)+($BK271*AG271)+($BL271*AM271))/$L271)</f>
        <v>0</v>
      </c>
      <c r="BI574" s="1109">
        <f t="shared" si="484"/>
        <v>0</v>
      </c>
      <c r="BJ574" s="1109">
        <f t="shared" si="484"/>
        <v>0</v>
      </c>
      <c r="BK574" s="1109">
        <f t="shared" si="484"/>
        <v>6.25</v>
      </c>
      <c r="BL574" s="1109">
        <f t="shared" si="484"/>
        <v>25</v>
      </c>
    </row>
    <row r="575" spans="2:64" hidden="1" outlineLevel="1">
      <c r="B575" s="1094"/>
      <c r="C575" s="1071" t="str">
        <f t="shared" ref="C575:F575" si="485">C272</f>
        <v>ARTAS Upgrade</v>
      </c>
      <c r="D575" s="1071" t="str">
        <f t="shared" si="485"/>
        <v>ARTAS Upgrade</v>
      </c>
      <c r="E575" s="1071" t="str">
        <f t="shared" si="485"/>
        <v>RP3-SURV-2</v>
      </c>
      <c r="F575" s="1125" t="str">
        <f t="shared" si="485"/>
        <v>2021-2024</v>
      </c>
      <c r="H575" s="1071" t="s">
        <v>29</v>
      </c>
      <c r="J575" s="1125"/>
      <c r="BB575" s="1108"/>
      <c r="BC575" s="1109"/>
      <c r="BD575" s="1109"/>
      <c r="BE575" s="1109"/>
      <c r="BF575" s="1585"/>
      <c r="BG575" s="1109"/>
      <c r="BH575" s="1109">
        <f t="shared" ref="BH575:BL575" si="486">IF($L272=0,0,(($BH272*O272)+($BI272*U272)+($BJ272*AA272)+($BK272*AG272)+($BL272*AM272))/$L272)</f>
        <v>0</v>
      </c>
      <c r="BI575" s="1109">
        <f t="shared" si="486"/>
        <v>0</v>
      </c>
      <c r="BJ575" s="1109">
        <f t="shared" si="486"/>
        <v>6.25</v>
      </c>
      <c r="BK575" s="1109">
        <f t="shared" si="486"/>
        <v>31.25</v>
      </c>
      <c r="BL575" s="1109">
        <f t="shared" si="486"/>
        <v>50</v>
      </c>
    </row>
    <row r="576" spans="2:64" hidden="1" outlineLevel="1">
      <c r="B576" s="1094"/>
      <c r="C576" s="1071" t="str">
        <f t="shared" ref="C576:F576" si="487">C273</f>
        <v>Frequency Expnasion Programme (Knock, Kerry &amp; Dublin)</v>
      </c>
      <c r="D576" s="1071" t="str">
        <f t="shared" si="487"/>
        <v>Frequency Expnasion Programme</v>
      </c>
      <c r="E576" s="1071" t="str">
        <f t="shared" si="487"/>
        <v>R009</v>
      </c>
      <c r="F576" s="1125" t="str">
        <f t="shared" si="487"/>
        <v>2021-2024</v>
      </c>
      <c r="H576" s="1071" t="s">
        <v>29</v>
      </c>
      <c r="J576" s="1125"/>
      <c r="BB576" s="1108"/>
      <c r="BC576" s="1109"/>
      <c r="BD576" s="1109"/>
      <c r="BE576" s="1109"/>
      <c r="BF576" s="1585"/>
      <c r="BG576" s="1109"/>
      <c r="BH576" s="1109">
        <f t="shared" ref="BH576:BL576" si="488">IF($L273=0,0,(($BH273*O273)+($BI273*U273)+($BJ273*AA273)+($BK273*AG273)+($BL273*AM273))/$L273)</f>
        <v>0</v>
      </c>
      <c r="BI576" s="1109">
        <f t="shared" si="488"/>
        <v>0</v>
      </c>
      <c r="BJ576" s="1109">
        <f t="shared" si="488"/>
        <v>0</v>
      </c>
      <c r="BK576" s="1109">
        <f t="shared" si="488"/>
        <v>0</v>
      </c>
      <c r="BL576" s="1109">
        <f t="shared" si="488"/>
        <v>0</v>
      </c>
    </row>
    <row r="577" spans="2:64" hidden="1" outlineLevel="1">
      <c r="B577" s="1094"/>
      <c r="C577" s="1071" t="str">
        <f t="shared" ref="C577:F577" si="489">C274</f>
        <v>Frequency Expnasion Programme  Dublin</v>
      </c>
      <c r="D577" s="1071" t="str">
        <f t="shared" si="489"/>
        <v>Frequency Expnasion Programme</v>
      </c>
      <c r="E577" s="1071" t="str">
        <f t="shared" si="489"/>
        <v>R009A</v>
      </c>
      <c r="F577" s="1125" t="str">
        <f t="shared" si="489"/>
        <v>2021-2024</v>
      </c>
      <c r="H577" s="1071" t="s">
        <v>29</v>
      </c>
      <c r="J577" s="1125"/>
      <c r="BB577" s="1108"/>
      <c r="BC577" s="1109"/>
      <c r="BD577" s="1109"/>
      <c r="BE577" s="1109"/>
      <c r="BF577" s="1585"/>
      <c r="BG577" s="1109"/>
      <c r="BH577" s="1109">
        <f t="shared" ref="BH577:BL577" si="490">IF($L274=0,0,(($BH274*O274)+($BI274*U274)+($BJ274*AA274)+($BK274*AG274)+($BL274*AM274))/$L274)</f>
        <v>0</v>
      </c>
      <c r="BI577" s="1109">
        <f t="shared" si="490"/>
        <v>7.1000000000000005</v>
      </c>
      <c r="BJ577" s="1109">
        <f t="shared" si="490"/>
        <v>14.200000000000001</v>
      </c>
      <c r="BK577" s="1109">
        <f t="shared" si="490"/>
        <v>14.200000000000001</v>
      </c>
      <c r="BL577" s="1109">
        <f t="shared" si="490"/>
        <v>14.200000000000001</v>
      </c>
    </row>
    <row r="578" spans="2:64" hidden="1" outlineLevel="1">
      <c r="B578" s="1094"/>
      <c r="C578" s="1071" t="str">
        <f t="shared" ref="C578:F578" si="491">C275</f>
        <v>Frequency Expnasion Programme Knock</v>
      </c>
      <c r="D578" s="1071" t="str">
        <f t="shared" si="491"/>
        <v>Frequency Expnasion Programme</v>
      </c>
      <c r="E578" s="1071" t="str">
        <f t="shared" si="491"/>
        <v>R009A</v>
      </c>
      <c r="F578" s="1125" t="str">
        <f t="shared" si="491"/>
        <v>2021-2024</v>
      </c>
      <c r="H578" s="1071" t="s">
        <v>29</v>
      </c>
      <c r="J578" s="1125"/>
      <c r="BB578" s="1108"/>
      <c r="BC578" s="1109"/>
      <c r="BD578" s="1109"/>
      <c r="BE578" s="1109"/>
      <c r="BF578" s="1585"/>
      <c r="BG578" s="1109"/>
      <c r="BH578" s="1109">
        <f t="shared" ref="BH578:BL578" si="492">IF($L275=0,0,(($BH275*O275)+($BI275*U275)+($BJ275*AA275)+($BK275*AG275)+($BL275*AM275))/$L275)</f>
        <v>0</v>
      </c>
      <c r="BI578" s="1109">
        <f t="shared" si="492"/>
        <v>0</v>
      </c>
      <c r="BJ578" s="1109">
        <f t="shared" si="492"/>
        <v>0</v>
      </c>
      <c r="BK578" s="1109">
        <f t="shared" si="492"/>
        <v>7.5</v>
      </c>
      <c r="BL578" s="1109">
        <f t="shared" si="492"/>
        <v>10</v>
      </c>
    </row>
    <row r="579" spans="2:64" hidden="1" outlineLevel="1">
      <c r="B579" s="1094"/>
      <c r="C579" s="1071" t="str">
        <f t="shared" ref="C579:F579" si="493">C276</f>
        <v>Frequency Expnasion Programme Shannon (Woodcock Hill, Dooncarton, Glc)</v>
      </c>
      <c r="D579" s="1071" t="str">
        <f t="shared" si="493"/>
        <v>Frequency Expnasion Programme</v>
      </c>
      <c r="E579" s="1071" t="str">
        <f t="shared" si="493"/>
        <v>R009A</v>
      </c>
      <c r="F579" s="1125" t="str">
        <f t="shared" si="493"/>
        <v>2021-2024</v>
      </c>
      <c r="H579" s="1071" t="s">
        <v>29</v>
      </c>
      <c r="J579" s="1125"/>
      <c r="BB579" s="1108"/>
      <c r="BC579" s="1109"/>
      <c r="BD579" s="1109"/>
      <c r="BE579" s="1109"/>
      <c r="BF579" s="1585"/>
      <c r="BG579" s="1109"/>
      <c r="BH579" s="1109">
        <f t="shared" ref="BH579:BL579" si="494">IF($L276=0,0,(($BH276*O276)+($BI276*U276)+($BJ276*AA276)+($BK276*AG276)+($BL276*AM276))/$L276)</f>
        <v>0</v>
      </c>
      <c r="BI579" s="1109">
        <f t="shared" si="494"/>
        <v>2.0537810000000003</v>
      </c>
      <c r="BJ579" s="1109">
        <f t="shared" si="494"/>
        <v>10.590124000000001</v>
      </c>
      <c r="BK579" s="1109">
        <f t="shared" si="494"/>
        <v>17.715123999999999</v>
      </c>
      <c r="BL579" s="1109">
        <f t="shared" si="494"/>
        <v>17.715123999999999</v>
      </c>
    </row>
    <row r="580" spans="2:64" hidden="1" outlineLevel="1">
      <c r="B580" s="1094"/>
      <c r="C580" s="1071" t="str">
        <f t="shared" ref="C580:F580" si="495">C277</f>
        <v>UPS System Replacement SHN/DUB</v>
      </c>
      <c r="D580" s="1071" t="str">
        <f t="shared" si="495"/>
        <v>UPS System Replacement</v>
      </c>
      <c r="E580" s="1071" t="str">
        <f t="shared" si="495"/>
        <v>S012</v>
      </c>
      <c r="F580" s="1125" t="str">
        <f t="shared" si="495"/>
        <v>2021-2024</v>
      </c>
      <c r="H580" s="1071" t="s">
        <v>29</v>
      </c>
      <c r="J580" s="1125"/>
      <c r="BB580" s="1108"/>
      <c r="BC580" s="1109"/>
      <c r="BD580" s="1109"/>
      <c r="BE580" s="1109"/>
      <c r="BF580" s="1585"/>
      <c r="BG580" s="1109"/>
      <c r="BH580" s="1109">
        <f t="shared" ref="BH580:BL580" si="496">IF($L277=0,0,(($BH277*O277)+($BI277*U277)+($BJ277*AA277)+($BK277*AG277)+($BL277*AM277))/$L277)</f>
        <v>0</v>
      </c>
      <c r="BI580" s="1109">
        <f t="shared" si="496"/>
        <v>0</v>
      </c>
      <c r="BJ580" s="1109">
        <f t="shared" si="496"/>
        <v>0</v>
      </c>
      <c r="BK580" s="1109">
        <f t="shared" si="496"/>
        <v>0</v>
      </c>
      <c r="BL580" s="1109">
        <f t="shared" si="496"/>
        <v>0</v>
      </c>
    </row>
    <row r="581" spans="2:64" hidden="1" outlineLevel="1">
      <c r="B581" s="1094"/>
      <c r="C581" s="1071" t="str">
        <f t="shared" ref="C581:F581" si="497">C278</f>
        <v>UPS System Replacement DUB</v>
      </c>
      <c r="D581" s="1071" t="str">
        <f t="shared" si="497"/>
        <v>UPS System Replacement</v>
      </c>
      <c r="E581" s="1071" t="str">
        <f t="shared" si="497"/>
        <v>S012A</v>
      </c>
      <c r="F581" s="1125" t="str">
        <f t="shared" si="497"/>
        <v>2021-2024</v>
      </c>
      <c r="H581" s="1071" t="s">
        <v>29</v>
      </c>
      <c r="J581" s="1125"/>
      <c r="BB581" s="1108"/>
      <c r="BC581" s="1109"/>
      <c r="BD581" s="1109"/>
      <c r="BE581" s="1109"/>
      <c r="BF581" s="1585"/>
      <c r="BG581" s="1109"/>
      <c r="BH581" s="1109">
        <f t="shared" ref="BH581:BL581" si="498">IF($L278=0,0,(($BH278*O278)+($BI278*U278)+($BJ278*AA278)+($BK278*AG278)+($BL278*AM278))/$L278)</f>
        <v>0</v>
      </c>
      <c r="BI581" s="1109">
        <f t="shared" si="498"/>
        <v>10.756062</v>
      </c>
      <c r="BJ581" s="1109">
        <f t="shared" si="498"/>
        <v>21.512124</v>
      </c>
      <c r="BK581" s="1109">
        <f t="shared" si="498"/>
        <v>21.512124</v>
      </c>
      <c r="BL581" s="1109">
        <f t="shared" si="498"/>
        <v>21.512124</v>
      </c>
    </row>
    <row r="582" spans="2:64" hidden="1" outlineLevel="1">
      <c r="B582" s="1094"/>
      <c r="C582" s="1071" t="str">
        <f t="shared" ref="C582:F582" si="499">C279</f>
        <v>UPS System Replacement SHN</v>
      </c>
      <c r="D582" s="1071" t="str">
        <f t="shared" si="499"/>
        <v>UPS System Replacement</v>
      </c>
      <c r="E582" s="1071" t="str">
        <f t="shared" si="499"/>
        <v>S012A</v>
      </c>
      <c r="F582" s="1125" t="str">
        <f t="shared" si="499"/>
        <v>2021-2024</v>
      </c>
      <c r="H582" s="1071" t="s">
        <v>29</v>
      </c>
      <c r="J582" s="1125"/>
      <c r="BB582" s="1108"/>
      <c r="BC582" s="1109"/>
      <c r="BD582" s="1109"/>
      <c r="BE582" s="1109"/>
      <c r="BF582" s="1585"/>
      <c r="BG582" s="1109"/>
      <c r="BH582" s="1109">
        <f t="shared" ref="BH582:BL582" si="500">IF($L279=0,0,(($BH279*O279)+($BI279*U279)+($BJ279*AA279)+($BK279*AG279)+($BL279*AM279))/$L279)</f>
        <v>0</v>
      </c>
      <c r="BI582" s="1109">
        <f t="shared" si="500"/>
        <v>10</v>
      </c>
      <c r="BJ582" s="1109">
        <f t="shared" si="500"/>
        <v>20</v>
      </c>
      <c r="BK582" s="1109">
        <f t="shared" si="500"/>
        <v>20</v>
      </c>
      <c r="BL582" s="1109">
        <f t="shared" si="500"/>
        <v>20</v>
      </c>
    </row>
    <row r="583" spans="2:64" hidden="1" outlineLevel="1">
      <c r="B583" s="1094"/>
      <c r="C583" s="1071" t="str">
        <f t="shared" ref="C583:F583" si="501">C280</f>
        <v>Remote Power Management</v>
      </c>
      <c r="D583" s="1071" t="str">
        <f t="shared" si="501"/>
        <v>Remote Power Management</v>
      </c>
      <c r="E583" s="1071" t="str">
        <f t="shared" si="501"/>
        <v>R012</v>
      </c>
      <c r="F583" s="1125" t="str">
        <f t="shared" si="501"/>
        <v>2021-2024</v>
      </c>
      <c r="H583" s="1071" t="s">
        <v>29</v>
      </c>
      <c r="J583" s="1125"/>
      <c r="BB583" s="1108"/>
      <c r="BC583" s="1109"/>
      <c r="BD583" s="1109"/>
      <c r="BE583" s="1109"/>
      <c r="BF583" s="1585"/>
      <c r="BG583" s="1109"/>
      <c r="BH583" s="1109">
        <f t="shared" ref="BH583:BL583" si="502">IF($L280=0,0,(($BH280*O280)+($BI280*U280)+($BJ280*AA280)+($BK280*AG280)+($BL280*AM280))/$L280)</f>
        <v>0</v>
      </c>
      <c r="BI583" s="1109">
        <f t="shared" si="502"/>
        <v>0</v>
      </c>
      <c r="BJ583" s="1109">
        <f t="shared" si="502"/>
        <v>0</v>
      </c>
      <c r="BK583" s="1109">
        <f t="shared" si="502"/>
        <v>10.2752625</v>
      </c>
      <c r="BL583" s="1109">
        <f t="shared" si="502"/>
        <v>41.101050000000001</v>
      </c>
    </row>
    <row r="584" spans="2:64" hidden="1" outlineLevel="1">
      <c r="B584" s="1094"/>
      <c r="C584" s="1071" t="str">
        <f t="shared" ref="C584:F584" si="503">C281</f>
        <v>A-SMGCS Enhancements</v>
      </c>
      <c r="D584" s="1071" t="str">
        <f t="shared" si="503"/>
        <v>A-SMGCS Enhancements</v>
      </c>
      <c r="E584" s="1071" t="str">
        <f t="shared" si="503"/>
        <v>R015</v>
      </c>
      <c r="F584" s="1125" t="str">
        <f t="shared" si="503"/>
        <v>2021-2024</v>
      </c>
      <c r="H584" s="1071" t="s">
        <v>29</v>
      </c>
      <c r="J584" s="1125"/>
      <c r="BB584" s="1108"/>
      <c r="BC584" s="1109"/>
      <c r="BD584" s="1109"/>
      <c r="BE584" s="1109"/>
      <c r="BF584" s="1585"/>
      <c r="BG584" s="1109"/>
      <c r="BH584" s="1109">
        <f t="shared" ref="BH584:BL584" si="504">IF($L281=0,0,(($BH281*O281)+($BI281*U281)+($BJ281*AA281)+($BK281*AG281)+($BL281*AM281))/$L281)</f>
        <v>0</v>
      </c>
      <c r="BI584" s="1109">
        <f t="shared" si="504"/>
        <v>6.4169412499999998</v>
      </c>
      <c r="BJ584" s="1109">
        <f t="shared" si="504"/>
        <v>25.667764999999999</v>
      </c>
      <c r="BK584" s="1109">
        <f t="shared" si="504"/>
        <v>40.667765000000003</v>
      </c>
      <c r="BL584" s="1109">
        <f t="shared" si="504"/>
        <v>40.667764999999996</v>
      </c>
    </row>
    <row r="585" spans="2:64" hidden="1" outlineLevel="1">
      <c r="B585" s="1094"/>
      <c r="C585" s="1071" t="str">
        <f t="shared" ref="C585:F585" si="505">C282</f>
        <v>LAN &amp; WAN Cybersecurity</v>
      </c>
      <c r="D585" s="1071" t="str">
        <f t="shared" si="505"/>
        <v>LAN &amp; WAN Cybersecurity</v>
      </c>
      <c r="E585" s="1071" t="str">
        <f t="shared" si="505"/>
        <v>V006</v>
      </c>
      <c r="F585" s="1125" t="str">
        <f t="shared" si="505"/>
        <v>2021-2024</v>
      </c>
      <c r="H585" s="1071" t="s">
        <v>29</v>
      </c>
      <c r="J585" s="1125"/>
      <c r="BB585" s="1108"/>
      <c r="BC585" s="1109"/>
      <c r="BD585" s="1109"/>
      <c r="BE585" s="1109"/>
      <c r="BF585" s="1585"/>
      <c r="BG585" s="1109"/>
      <c r="BH585" s="1109">
        <f t="shared" ref="BH585:BL585" si="506">IF($L282=0,0,(($BH282*O282)+($BI282*U282)+($BJ282*AA282)+($BK282*AG282)+($BL282*AM282))/$L282)</f>
        <v>0</v>
      </c>
      <c r="BI585" s="1109">
        <f t="shared" si="506"/>
        <v>0</v>
      </c>
      <c r="BJ585" s="1109">
        <f t="shared" si="506"/>
        <v>0</v>
      </c>
      <c r="BK585" s="1109">
        <f t="shared" si="506"/>
        <v>0</v>
      </c>
      <c r="BL585" s="1109">
        <f t="shared" si="506"/>
        <v>0</v>
      </c>
    </row>
    <row r="586" spans="2:64" hidden="1" outlineLevel="1">
      <c r="B586" s="1094"/>
      <c r="C586" s="1071" t="str">
        <f t="shared" ref="C586:F586" si="507">C283</f>
        <v>LAN &amp; WAN Cybersecurity HQ</v>
      </c>
      <c r="D586" s="1071" t="str">
        <f t="shared" si="507"/>
        <v>LAN &amp; WAN Cybersecurity</v>
      </c>
      <c r="E586" s="1071" t="str">
        <f t="shared" si="507"/>
        <v>V006A</v>
      </c>
      <c r="F586" s="1125" t="str">
        <f t="shared" si="507"/>
        <v>2021-2024</v>
      </c>
      <c r="H586" s="1071" t="s">
        <v>29</v>
      </c>
      <c r="J586" s="1125"/>
      <c r="BB586" s="1108"/>
      <c r="BC586" s="1109"/>
      <c r="BD586" s="1109"/>
      <c r="BE586" s="1109"/>
      <c r="BF586" s="1585"/>
      <c r="BG586" s="1109"/>
      <c r="BH586" s="1109">
        <f t="shared" ref="BH586:BL586" si="508">IF($L283=0,0,(($BH283*O283)+($BI283*U283)+($BJ283*AA283)+($BK283*AG283)+($BL283*AM283))/$L283)</f>
        <v>0</v>
      </c>
      <c r="BI586" s="1109">
        <f t="shared" si="508"/>
        <v>0</v>
      </c>
      <c r="BJ586" s="1109">
        <f t="shared" si="508"/>
        <v>30.333333333333332</v>
      </c>
      <c r="BK586" s="1109">
        <f t="shared" si="508"/>
        <v>60.666666666666664</v>
      </c>
      <c r="BL586" s="1109">
        <f t="shared" si="508"/>
        <v>60.666666666666664</v>
      </c>
    </row>
    <row r="587" spans="2:64" hidden="1" outlineLevel="1">
      <c r="B587" s="1094"/>
      <c r="C587" s="1071" t="str">
        <f t="shared" ref="C587:F587" si="509">C284</f>
        <v>LAN &amp; WAN Cybersecurity SHN</v>
      </c>
      <c r="D587" s="1071" t="str">
        <f t="shared" si="509"/>
        <v>LAN &amp; WAN Cybersecurity</v>
      </c>
      <c r="E587" s="1071" t="str">
        <f t="shared" si="509"/>
        <v>V006A</v>
      </c>
      <c r="F587" s="1125" t="str">
        <f t="shared" si="509"/>
        <v>2021-2024</v>
      </c>
      <c r="H587" s="1071" t="s">
        <v>29</v>
      </c>
      <c r="J587" s="1125"/>
      <c r="BB587" s="1108"/>
      <c r="BC587" s="1109"/>
      <c r="BD587" s="1109"/>
      <c r="BE587" s="1109"/>
      <c r="BF587" s="1585"/>
      <c r="BG587" s="1109"/>
      <c r="BH587" s="1109">
        <f t="shared" ref="BH587:BL587" si="510">IF($L284=0,0,(($BH284*O284)+($BI284*U284)+($BJ284*AA284)+($BK284*AG284)+($BL284*AM284))/$L284)</f>
        <v>0</v>
      </c>
      <c r="BI587" s="1109">
        <f t="shared" si="510"/>
        <v>0</v>
      </c>
      <c r="BJ587" s="1109">
        <f t="shared" si="510"/>
        <v>16.333333333333332</v>
      </c>
      <c r="BK587" s="1109">
        <f t="shared" si="510"/>
        <v>32.666666666666664</v>
      </c>
      <c r="BL587" s="1109">
        <f t="shared" si="510"/>
        <v>32.666666666666664</v>
      </c>
    </row>
    <row r="588" spans="2:64" hidden="1" outlineLevel="1">
      <c r="B588" s="1094"/>
      <c r="C588" s="1071" t="str">
        <f t="shared" ref="C588:F588" si="511">C285</f>
        <v>Hardware &amp; Software Provision</v>
      </c>
      <c r="D588" s="1071" t="str">
        <f t="shared" si="511"/>
        <v>Hardware &amp; Software Provision</v>
      </c>
      <c r="E588" s="1071" t="str">
        <f t="shared" si="511"/>
        <v>T018</v>
      </c>
      <c r="F588" s="1125" t="str">
        <f t="shared" si="511"/>
        <v>2021-2024</v>
      </c>
      <c r="H588" s="1071" t="s">
        <v>29</v>
      </c>
      <c r="J588" s="1125"/>
      <c r="BB588" s="1108"/>
      <c r="BC588" s="1109"/>
      <c r="BD588" s="1109"/>
      <c r="BE588" s="1109"/>
      <c r="BF588" s="1585"/>
      <c r="BG588" s="1109"/>
      <c r="BH588" s="1109">
        <f t="shared" ref="BH588:BL588" si="512">IF($L285=0,0,(($BH285*O285)+($BI285*U285)+($BJ285*AA285)+($BK285*AG285)+($BL285*AM285))/$L285)</f>
        <v>0</v>
      </c>
      <c r="BI588" s="1109">
        <f t="shared" si="512"/>
        <v>0</v>
      </c>
      <c r="BJ588" s="1109">
        <f t="shared" si="512"/>
        <v>0</v>
      </c>
      <c r="BK588" s="1109">
        <f t="shared" si="512"/>
        <v>0</v>
      </c>
      <c r="BL588" s="1109">
        <f t="shared" si="512"/>
        <v>0</v>
      </c>
    </row>
    <row r="589" spans="2:64" hidden="1" outlineLevel="1">
      <c r="B589" s="1094"/>
      <c r="C589" s="1071" t="str">
        <f t="shared" ref="C589:F589" si="513">C286</f>
        <v>HW/SW Provision HQ - OTHER</v>
      </c>
      <c r="D589" s="1071" t="str">
        <f t="shared" si="513"/>
        <v>Hardware &amp; Software Provision</v>
      </c>
      <c r="E589" s="1071" t="str">
        <f t="shared" si="513"/>
        <v>T018A</v>
      </c>
      <c r="F589" s="1125" t="str">
        <f t="shared" si="513"/>
        <v>2021-2024</v>
      </c>
      <c r="H589" s="1071" t="s">
        <v>29</v>
      </c>
      <c r="J589" s="1125"/>
      <c r="BB589" s="1108"/>
      <c r="BC589" s="1109"/>
      <c r="BD589" s="1109"/>
      <c r="BE589" s="1109"/>
      <c r="BF589" s="1585"/>
      <c r="BG589" s="1109"/>
      <c r="BH589" s="1109">
        <f t="shared" ref="BH589:BL589" si="514">IF($L286=0,0,(($BH286*O286)+($BI286*U286)+($BJ286*AA286)+($BK286*AG286)+($BL286*AM286))/$L286)</f>
        <v>0</v>
      </c>
      <c r="BI589" s="1109">
        <f t="shared" si="514"/>
        <v>1.4582117849999996</v>
      </c>
      <c r="BJ589" s="1109">
        <f t="shared" si="514"/>
        <v>1.9442823799999995</v>
      </c>
      <c r="BK589" s="1109">
        <f t="shared" si="514"/>
        <v>1.9442823799999995</v>
      </c>
      <c r="BL589" s="1109">
        <f t="shared" si="514"/>
        <v>0.48607059499999988</v>
      </c>
    </row>
    <row r="590" spans="2:64" hidden="1" outlineLevel="1">
      <c r="B590" s="1094"/>
      <c r="C590" s="1071" t="str">
        <f t="shared" ref="C590:F590" si="515">C287</f>
        <v>HW/SW Provision DUB</v>
      </c>
      <c r="D590" s="1071" t="str">
        <f t="shared" si="515"/>
        <v>Hardware &amp; Software Provision</v>
      </c>
      <c r="E590" s="1071" t="str">
        <f t="shared" si="515"/>
        <v>T018A</v>
      </c>
      <c r="F590" s="1125" t="str">
        <f t="shared" si="515"/>
        <v>2021-2024</v>
      </c>
      <c r="H590" s="1071" t="s">
        <v>29</v>
      </c>
      <c r="J590" s="1125"/>
      <c r="BB590" s="1108"/>
      <c r="BC590" s="1109"/>
      <c r="BD590" s="1109"/>
      <c r="BE590" s="1109"/>
      <c r="BF590" s="1585"/>
      <c r="BG590" s="1109"/>
      <c r="BH590" s="1109">
        <f t="shared" ref="BH590:BL590" si="516">IF($L287=0,0,(($BH287*O287)+($BI287*U287)+($BJ287*AA287)+($BK287*AG287)+($BL287*AM287))/$L287)</f>
        <v>0</v>
      </c>
      <c r="BI590" s="1109">
        <f t="shared" si="516"/>
        <v>1.4582117849999996</v>
      </c>
      <c r="BJ590" s="1109">
        <f t="shared" si="516"/>
        <v>1.9442823799999995</v>
      </c>
      <c r="BK590" s="1109">
        <f t="shared" si="516"/>
        <v>1.9442823799999995</v>
      </c>
      <c r="BL590" s="1109">
        <f t="shared" si="516"/>
        <v>0.48607059499999988</v>
      </c>
    </row>
    <row r="591" spans="2:64" hidden="1" outlineLevel="1">
      <c r="B591" s="1094"/>
      <c r="C591" s="1071" t="str">
        <f t="shared" ref="C591:F591" si="517">C288</f>
        <v>HW/SW Provision SHN</v>
      </c>
      <c r="D591" s="1071" t="str">
        <f t="shared" si="517"/>
        <v>Hardware &amp; Software Provision</v>
      </c>
      <c r="E591" s="1071" t="str">
        <f t="shared" si="517"/>
        <v>T018A</v>
      </c>
      <c r="F591" s="1125" t="str">
        <f t="shared" si="517"/>
        <v>2021-2024</v>
      </c>
      <c r="H591" s="1071" t="s">
        <v>29</v>
      </c>
      <c r="J591" s="1125"/>
      <c r="BB591" s="1108"/>
      <c r="BC591" s="1109"/>
      <c r="BD591" s="1109"/>
      <c r="BE591" s="1109"/>
      <c r="BF591" s="1585"/>
      <c r="BG591" s="1109"/>
      <c r="BH591" s="1109">
        <f t="shared" ref="BH591:BL591" si="518">IF($L288=0,0,(($BH288*O288)+($BI288*U288)+($BJ288*AA288)+($BK288*AG288)+($BL288*AM288))/$L288)</f>
        <v>0</v>
      </c>
      <c r="BI591" s="1109">
        <f t="shared" si="518"/>
        <v>1.4582117849999996</v>
      </c>
      <c r="BJ591" s="1109">
        <f t="shared" si="518"/>
        <v>1.9442823799999995</v>
      </c>
      <c r="BK591" s="1109">
        <f t="shared" si="518"/>
        <v>1.9442823799999995</v>
      </c>
      <c r="BL591" s="1109">
        <f t="shared" si="518"/>
        <v>0.48607059499999988</v>
      </c>
    </row>
    <row r="592" spans="2:64" hidden="1" outlineLevel="1">
      <c r="B592" s="1094"/>
      <c r="C592" s="1071" t="str">
        <f t="shared" ref="C592:F592" si="519">C289</f>
        <v>HW/SW Provision</v>
      </c>
      <c r="D592" s="1071" t="str">
        <f t="shared" si="519"/>
        <v>Hardware &amp; Software Provision</v>
      </c>
      <c r="E592" s="1071" t="str">
        <f t="shared" si="519"/>
        <v>V004</v>
      </c>
      <c r="F592" s="1125" t="str">
        <f t="shared" si="519"/>
        <v>2021-2024</v>
      </c>
      <c r="H592" s="1071" t="s">
        <v>29</v>
      </c>
      <c r="J592" s="1125"/>
      <c r="BB592" s="1108"/>
      <c r="BC592" s="1109"/>
      <c r="BD592" s="1109"/>
      <c r="BE592" s="1109"/>
      <c r="BF592" s="1585"/>
      <c r="BG592" s="1109"/>
      <c r="BH592" s="1109">
        <f t="shared" ref="BH592:BL592" si="520">IF($L289=0,0,(($BH289*O289)+($BI289*U289)+($BJ289*AA289)+($BK289*AG289)+($BL289*AM289))/$L289)</f>
        <v>0</v>
      </c>
      <c r="BI592" s="1109">
        <f t="shared" si="520"/>
        <v>0</v>
      </c>
      <c r="BJ592" s="1109">
        <f t="shared" si="520"/>
        <v>0</v>
      </c>
      <c r="BK592" s="1109">
        <f t="shared" si="520"/>
        <v>0</v>
      </c>
      <c r="BL592" s="1109">
        <f t="shared" si="520"/>
        <v>0</v>
      </c>
    </row>
    <row r="593" spans="2:64" hidden="1" outlineLevel="1">
      <c r="B593" s="1094"/>
      <c r="C593" s="1071" t="str">
        <f t="shared" ref="C593:F593" si="521">C290</f>
        <v>HW/SW Provision HQ - OTHER</v>
      </c>
      <c r="D593" s="1071" t="str">
        <f t="shared" si="521"/>
        <v>Hardware &amp; Software Provision</v>
      </c>
      <c r="E593" s="1071" t="str">
        <f t="shared" si="521"/>
        <v>V004A</v>
      </c>
      <c r="F593" s="1125" t="str">
        <f t="shared" si="521"/>
        <v>2021-2024</v>
      </c>
      <c r="H593" s="1071" t="s">
        <v>29</v>
      </c>
      <c r="J593" s="1125"/>
      <c r="BB593" s="1108"/>
      <c r="BC593" s="1109"/>
      <c r="BD593" s="1109"/>
      <c r="BE593" s="1109"/>
      <c r="BF593" s="1585"/>
      <c r="BG593" s="1109"/>
      <c r="BH593" s="1109">
        <f t="shared" ref="BH593:BL593" si="522">IF($L290=0,0,(($BH290*O290)+($BI290*U290)+($BJ290*AA290)+($BK290*AG290)+($BL290*AM290))/$L290)</f>
        <v>0</v>
      </c>
      <c r="BI593" s="1109">
        <f t="shared" si="522"/>
        <v>7.2916666666666652</v>
      </c>
      <c r="BJ593" s="1109">
        <f t="shared" si="522"/>
        <v>18.958333333333329</v>
      </c>
      <c r="BK593" s="1109">
        <f t="shared" si="522"/>
        <v>30.625</v>
      </c>
      <c r="BL593" s="1109">
        <f t="shared" si="522"/>
        <v>35</v>
      </c>
    </row>
    <row r="594" spans="2:64" hidden="1" outlineLevel="1">
      <c r="B594" s="1094"/>
      <c r="C594" s="1071" t="str">
        <f t="shared" ref="C594:F594" si="523">C291</f>
        <v>HW/SW Provision DUB</v>
      </c>
      <c r="D594" s="1071" t="str">
        <f t="shared" si="523"/>
        <v>Hardware &amp; Software Provision</v>
      </c>
      <c r="E594" s="1071" t="str">
        <f t="shared" si="523"/>
        <v>V004A</v>
      </c>
      <c r="F594" s="1125" t="str">
        <f t="shared" si="523"/>
        <v>2021-2024</v>
      </c>
      <c r="H594" s="1071" t="s">
        <v>29</v>
      </c>
      <c r="J594" s="1125"/>
      <c r="BB594" s="1108"/>
      <c r="BC594" s="1109"/>
      <c r="BD594" s="1109"/>
      <c r="BE594" s="1109"/>
      <c r="BF594" s="1585"/>
      <c r="BG594" s="1109"/>
      <c r="BH594" s="1109">
        <f t="shared" ref="BH594:BL594" si="524">IF($L291=0,0,(($BH291*O291)+($BI291*U291)+($BJ291*AA291)+($BK291*AG291)+($BL291*AM291))/$L291)</f>
        <v>0</v>
      </c>
      <c r="BI594" s="1109">
        <f t="shared" si="524"/>
        <v>3.125</v>
      </c>
      <c r="BJ594" s="1109">
        <f t="shared" si="524"/>
        <v>8.125</v>
      </c>
      <c r="BK594" s="1109">
        <f t="shared" si="524"/>
        <v>13.125</v>
      </c>
      <c r="BL594" s="1109">
        <f t="shared" si="524"/>
        <v>15</v>
      </c>
    </row>
    <row r="595" spans="2:64" hidden="1" outlineLevel="1">
      <c r="B595" s="1094"/>
      <c r="C595" s="1071" t="str">
        <f t="shared" ref="C595:F595" si="525">C292</f>
        <v>HW/SW Provision SHN</v>
      </c>
      <c r="D595" s="1071" t="str">
        <f t="shared" si="525"/>
        <v>Hardware &amp; Software Provision</v>
      </c>
      <c r="E595" s="1071" t="str">
        <f t="shared" si="525"/>
        <v>V004A</v>
      </c>
      <c r="F595" s="1125" t="str">
        <f t="shared" si="525"/>
        <v>2021-2024</v>
      </c>
      <c r="H595" s="1071" t="s">
        <v>29</v>
      </c>
      <c r="J595" s="1125"/>
      <c r="BB595" s="1108"/>
      <c r="BC595" s="1109"/>
      <c r="BD595" s="1109"/>
      <c r="BE595" s="1109"/>
      <c r="BF595" s="1585"/>
      <c r="BG595" s="1109"/>
      <c r="BH595" s="1109">
        <f t="shared" ref="BH595:BL595" si="526">IF($L292=0,0,(($BH292*O292)+($BI292*U292)+($BJ292*AA292)+($BK292*AG292)+($BL292*AM292))/$L292)</f>
        <v>0</v>
      </c>
      <c r="BI595" s="1109">
        <f t="shared" si="526"/>
        <v>3.125</v>
      </c>
      <c r="BJ595" s="1109">
        <f t="shared" si="526"/>
        <v>8.125</v>
      </c>
      <c r="BK595" s="1109">
        <f t="shared" si="526"/>
        <v>13.125</v>
      </c>
      <c r="BL595" s="1109">
        <f t="shared" si="526"/>
        <v>15</v>
      </c>
    </row>
    <row r="596" spans="2:64" hidden="1" outlineLevel="1">
      <c r="B596" s="1094"/>
      <c r="C596" s="1071" t="str">
        <f t="shared" ref="C596:F596" si="527">C293</f>
        <v>Automated Dependent Surveillance Broadcast Evaluation (ADS-B)</v>
      </c>
      <c r="D596" s="1071" t="str">
        <f t="shared" si="527"/>
        <v>Automated Dependent Surveillance Broadcast Evaluation (ADS-B)</v>
      </c>
      <c r="E596" s="1071" t="str">
        <f t="shared" si="527"/>
        <v>K010</v>
      </c>
      <c r="F596" s="1125" t="str">
        <f t="shared" si="527"/>
        <v>2021-2024</v>
      </c>
      <c r="H596" s="1071" t="s">
        <v>29</v>
      </c>
      <c r="J596" s="1125"/>
      <c r="BB596" s="1108"/>
      <c r="BC596" s="1109"/>
      <c r="BD596" s="1109"/>
      <c r="BE596" s="1109"/>
      <c r="BF596" s="1585"/>
      <c r="BG596" s="1109"/>
      <c r="BH596" s="1109">
        <f t="shared" ref="BH596:BL596" si="528">IF($L293=0,0,(($BH293*O293)+($BI293*U293)+($BJ293*AA293)+($BK293*AG293)+($BL293*AM293))/$L293)</f>
        <v>0</v>
      </c>
      <c r="BI596" s="1109">
        <f t="shared" si="528"/>
        <v>0</v>
      </c>
      <c r="BJ596" s="1109">
        <f t="shared" si="528"/>
        <v>8.3592127500000011</v>
      </c>
      <c r="BK596" s="1109">
        <f t="shared" si="528"/>
        <v>33.436851000000004</v>
      </c>
      <c r="BL596" s="1109">
        <f t="shared" si="528"/>
        <v>33.436851000000004</v>
      </c>
    </row>
    <row r="597" spans="2:64" hidden="1" outlineLevel="1">
      <c r="B597" s="1094"/>
      <c r="C597" s="1071" t="str">
        <f t="shared" ref="C597:F597" si="529">C294</f>
        <v>Off the Glass Recording for VCCS Touchscreens</v>
      </c>
      <c r="D597" s="1071" t="str">
        <f t="shared" si="529"/>
        <v>Off the Glass Recording</v>
      </c>
      <c r="E597" s="1071" t="str">
        <f t="shared" si="529"/>
        <v>P004</v>
      </c>
      <c r="F597" s="1125" t="str">
        <f t="shared" si="529"/>
        <v>2021-2024</v>
      </c>
      <c r="H597" s="1071" t="s">
        <v>29</v>
      </c>
      <c r="J597" s="1125"/>
      <c r="BB597" s="1108"/>
      <c r="BC597" s="1109"/>
      <c r="BD597" s="1109"/>
      <c r="BE597" s="1109"/>
      <c r="BF597" s="1585"/>
      <c r="BG597" s="1109"/>
      <c r="BH597" s="1109">
        <f t="shared" ref="BH597:BL597" si="530">IF($L294=0,0,(($BH294*O294)+($BI294*U294)+($BJ294*AA294)+($BK294*AG294)+($BL294*AM294))/$L294)</f>
        <v>0</v>
      </c>
      <c r="BI597" s="1109">
        <f t="shared" si="530"/>
        <v>0</v>
      </c>
      <c r="BJ597" s="1109">
        <f t="shared" si="530"/>
        <v>0</v>
      </c>
      <c r="BK597" s="1109">
        <f t="shared" si="530"/>
        <v>0</v>
      </c>
      <c r="BL597" s="1109">
        <f t="shared" si="530"/>
        <v>0</v>
      </c>
    </row>
    <row r="598" spans="2:64" hidden="1" outlineLevel="1">
      <c r="B598" s="1094"/>
      <c r="C598" s="1071" t="str">
        <f t="shared" ref="C598:F598" si="531">C295</f>
        <v>Off Glass Recording VCCS Dublin</v>
      </c>
      <c r="D598" s="1071" t="str">
        <f t="shared" si="531"/>
        <v>Off the Glass Recording</v>
      </c>
      <c r="E598" s="1071" t="str">
        <f t="shared" si="531"/>
        <v>P004A</v>
      </c>
      <c r="F598" s="1125" t="str">
        <f t="shared" si="531"/>
        <v>2021-2024</v>
      </c>
      <c r="H598" s="1071" t="s">
        <v>29</v>
      </c>
      <c r="J598" s="1125"/>
      <c r="BB598" s="1108"/>
      <c r="BC598" s="1109"/>
      <c r="BD598" s="1109"/>
      <c r="BE598" s="1109"/>
      <c r="BF598" s="1585"/>
      <c r="BG598" s="1109"/>
      <c r="BH598" s="1109">
        <f t="shared" ref="BH598:BL598" si="532">IF($L295=0,0,(($BH295*O295)+($BI295*U295)+($BJ295*AA295)+($BK295*AG295)+($BL295*AM295))/$L295)</f>
        <v>0</v>
      </c>
      <c r="BI598" s="1109">
        <f t="shared" si="532"/>
        <v>16.1202425</v>
      </c>
      <c r="BJ598" s="1109">
        <f t="shared" si="532"/>
        <v>32.240485</v>
      </c>
      <c r="BK598" s="1109">
        <f t="shared" si="532"/>
        <v>32.240485</v>
      </c>
      <c r="BL598" s="1109">
        <f t="shared" si="532"/>
        <v>32.240485</v>
      </c>
    </row>
    <row r="599" spans="2:64" hidden="1" outlineLevel="1">
      <c r="B599" s="1094"/>
      <c r="C599" s="1071" t="str">
        <f t="shared" ref="C599:F599" si="533">C296</f>
        <v>Cessation of E1 Crcuits and Migration to IP (ERIN etc)</v>
      </c>
      <c r="D599" s="1071" t="str">
        <f t="shared" si="533"/>
        <v>Cessation of E1 Crcuits and Migration to IP (ERIN etc)</v>
      </c>
      <c r="E599" s="1071" t="str">
        <f t="shared" si="533"/>
        <v>V008</v>
      </c>
      <c r="F599" s="1125" t="str">
        <f t="shared" si="533"/>
        <v>2021-2024</v>
      </c>
      <c r="H599" s="1071" t="s">
        <v>29</v>
      </c>
      <c r="J599" s="1125"/>
      <c r="BB599" s="1108"/>
      <c r="BC599" s="1109"/>
      <c r="BD599" s="1109"/>
      <c r="BE599" s="1109"/>
      <c r="BF599" s="1585"/>
      <c r="BG599" s="1109"/>
      <c r="BH599" s="1109">
        <f t="shared" ref="BH599:BL599" si="534">IF($L296=0,0,(($BH296*O296)+($BI296*U296)+($BJ296*AA296)+($BK296*AG296)+($BL296*AM296))/$L296)</f>
        <v>0</v>
      </c>
      <c r="BI599" s="1109">
        <f t="shared" si="534"/>
        <v>0</v>
      </c>
      <c r="BJ599" s="1109">
        <f t="shared" si="534"/>
        <v>0</v>
      </c>
      <c r="BK599" s="1109">
        <f t="shared" si="534"/>
        <v>30</v>
      </c>
      <c r="BL599" s="1109">
        <f t="shared" si="534"/>
        <v>30</v>
      </c>
    </row>
    <row r="600" spans="2:64" hidden="1" outlineLevel="1">
      <c r="B600" s="1094"/>
      <c r="C600" s="1071" t="str">
        <f t="shared" ref="C600:F600" si="535">C297</f>
        <v>Generator Replacement Programmes</v>
      </c>
      <c r="D600" s="1071" t="str">
        <f t="shared" si="535"/>
        <v>Generator Replacement Programmes</v>
      </c>
      <c r="E600" s="1071" t="str">
        <f t="shared" si="535"/>
        <v>RP3-SURV-3</v>
      </c>
      <c r="F600" s="1125" t="str">
        <f t="shared" si="535"/>
        <v>2021-2024</v>
      </c>
      <c r="H600" s="1071" t="s">
        <v>29</v>
      </c>
      <c r="J600" s="1125"/>
      <c r="BB600" s="1108"/>
      <c r="BC600" s="1109"/>
      <c r="BD600" s="1109"/>
      <c r="BE600" s="1109"/>
      <c r="BF600" s="1585"/>
      <c r="BG600" s="1109"/>
      <c r="BH600" s="1109">
        <f t="shared" ref="BH600:BL600" si="536">IF($L297=0,0,(($BH297*O297)+($BI297*U297)+($BJ297*AA297)+($BK297*AG297)+($BL297*AM297))/$L297)</f>
        <v>0</v>
      </c>
      <c r="BI600" s="1109">
        <f t="shared" si="536"/>
        <v>0</v>
      </c>
      <c r="BJ600" s="1109">
        <f t="shared" si="536"/>
        <v>0</v>
      </c>
      <c r="BK600" s="1109">
        <f t="shared" si="536"/>
        <v>0</v>
      </c>
      <c r="BL600" s="1109">
        <f t="shared" si="536"/>
        <v>0</v>
      </c>
    </row>
    <row r="601" spans="2:64" hidden="1" outlineLevel="1">
      <c r="B601" s="1094"/>
      <c r="C601" s="1071" t="str">
        <f t="shared" ref="C601:F601" si="537">C298</f>
        <v>Generator Replacements Shannon Remote Sites</v>
      </c>
      <c r="D601" s="1071" t="str">
        <f t="shared" si="537"/>
        <v>Generator Replacement Programmes</v>
      </c>
      <c r="E601" s="1071" t="str">
        <f t="shared" si="537"/>
        <v>RP3-SURV-3</v>
      </c>
      <c r="F601" s="1125" t="str">
        <f t="shared" si="537"/>
        <v>2021-2024</v>
      </c>
      <c r="H601" s="1071" t="s">
        <v>29</v>
      </c>
      <c r="J601" s="1125"/>
      <c r="BB601" s="1108"/>
      <c r="BC601" s="1109"/>
      <c r="BD601" s="1109"/>
      <c r="BE601" s="1109"/>
      <c r="BF601" s="1585"/>
      <c r="BG601" s="1109"/>
      <c r="BH601" s="1109">
        <f t="shared" ref="BH601:BL601" si="538">IF($L298=0,0,(($BH298*O298)+($BI298*U298)+($BJ298*AA298)+($BK298*AG298)+($BL298*AM298))/$L298)</f>
        <v>0</v>
      </c>
      <c r="BI601" s="1109">
        <f t="shared" si="538"/>
        <v>0</v>
      </c>
      <c r="BJ601" s="1109">
        <f t="shared" si="538"/>
        <v>3.75</v>
      </c>
      <c r="BK601" s="1109">
        <f t="shared" si="538"/>
        <v>18.75</v>
      </c>
      <c r="BL601" s="1109">
        <f t="shared" si="538"/>
        <v>30</v>
      </c>
    </row>
    <row r="602" spans="2:64" hidden="1" outlineLevel="1">
      <c r="B602" s="1094"/>
      <c r="C602" s="1071" t="str">
        <f t="shared" ref="C602:F602" si="539">C299</f>
        <v>Software Licencing</v>
      </c>
      <c r="D602" s="1071" t="str">
        <f t="shared" si="539"/>
        <v>Software Licencing</v>
      </c>
      <c r="E602" s="1071" t="str">
        <f t="shared" si="539"/>
        <v>V005</v>
      </c>
      <c r="F602" s="1125" t="str">
        <f t="shared" si="539"/>
        <v>2021-2024</v>
      </c>
      <c r="H602" s="1071" t="s">
        <v>29</v>
      </c>
      <c r="J602" s="1125"/>
      <c r="BB602" s="1108"/>
      <c r="BC602" s="1109"/>
      <c r="BD602" s="1109"/>
      <c r="BE602" s="1109"/>
      <c r="BF602" s="1585"/>
      <c r="BG602" s="1109"/>
      <c r="BH602" s="1109">
        <f t="shared" ref="BH602:BL602" si="540">IF($L299=0,0,(($BH299*O299)+($BI299*U299)+($BJ299*AA299)+($BK299*AG299)+($BL299*AM299))/$L299)</f>
        <v>0</v>
      </c>
      <c r="BI602" s="1109">
        <f t="shared" si="540"/>
        <v>0</v>
      </c>
      <c r="BJ602" s="1109">
        <f t="shared" si="540"/>
        <v>0</v>
      </c>
      <c r="BK602" s="1109">
        <f t="shared" si="540"/>
        <v>0</v>
      </c>
      <c r="BL602" s="1109">
        <f t="shared" si="540"/>
        <v>0</v>
      </c>
    </row>
    <row r="603" spans="2:64" hidden="1" outlineLevel="1">
      <c r="B603" s="1094"/>
      <c r="C603" s="1071" t="str">
        <f t="shared" ref="C603:F603" si="541">C300</f>
        <v>Software Licencing HQ</v>
      </c>
      <c r="D603" s="1071" t="str">
        <f t="shared" si="541"/>
        <v>Software Licencing</v>
      </c>
      <c r="E603" s="1071" t="str">
        <f t="shared" si="541"/>
        <v>V005A</v>
      </c>
      <c r="F603" s="1125" t="str">
        <f t="shared" si="541"/>
        <v>2021-2024</v>
      </c>
      <c r="H603" s="1071" t="s">
        <v>29</v>
      </c>
      <c r="J603" s="1125"/>
      <c r="BB603" s="1108"/>
      <c r="BC603" s="1109"/>
      <c r="BD603" s="1109"/>
      <c r="BE603" s="1109"/>
      <c r="BF603" s="1585"/>
      <c r="BG603" s="1109"/>
      <c r="BH603" s="1109">
        <f t="shared" ref="BH603:BL603" si="542">IF($L300=0,0,(($BH300*O300)+($BI300*U300)+($BJ300*AA300)+($BK300*AG300)+($BL300*AM300))/$L300)</f>
        <v>0</v>
      </c>
      <c r="BI603" s="1109">
        <f t="shared" si="542"/>
        <v>10</v>
      </c>
      <c r="BJ603" s="1109">
        <f t="shared" si="542"/>
        <v>35</v>
      </c>
      <c r="BK603" s="1109">
        <f t="shared" si="542"/>
        <v>40</v>
      </c>
      <c r="BL603" s="1109">
        <f t="shared" si="542"/>
        <v>30</v>
      </c>
    </row>
    <row r="604" spans="2:64" hidden="1" outlineLevel="1">
      <c r="B604" s="1094"/>
      <c r="C604" s="1071" t="str">
        <f t="shared" ref="C604:F604" si="543">C301</f>
        <v>Software Licencing SHN</v>
      </c>
      <c r="D604" s="1071" t="str">
        <f t="shared" si="543"/>
        <v>Software Licencing</v>
      </c>
      <c r="E604" s="1071" t="str">
        <f t="shared" si="543"/>
        <v>V005A</v>
      </c>
      <c r="F604" s="1125" t="str">
        <f t="shared" si="543"/>
        <v>2021-2024</v>
      </c>
      <c r="H604" s="1071" t="s">
        <v>29</v>
      </c>
      <c r="J604" s="1125"/>
      <c r="BB604" s="1108"/>
      <c r="BC604" s="1109"/>
      <c r="BD604" s="1109"/>
      <c r="BE604" s="1109"/>
      <c r="BF604" s="1585"/>
      <c r="BG604" s="1109"/>
      <c r="BH604" s="1109">
        <f t="shared" ref="BH604:BL604" si="544">IF($L301=0,0,(($BH301*O301)+($BI301*U301)+($BJ301*AA301)+($BK301*AG301)+($BL301*AM301))/$L301)</f>
        <v>0</v>
      </c>
      <c r="BI604" s="1109">
        <f t="shared" si="544"/>
        <v>10</v>
      </c>
      <c r="BJ604" s="1109">
        <f t="shared" si="544"/>
        <v>35</v>
      </c>
      <c r="BK604" s="1109">
        <f t="shared" si="544"/>
        <v>40</v>
      </c>
      <c r="BL604" s="1109">
        <f t="shared" si="544"/>
        <v>30</v>
      </c>
    </row>
    <row r="605" spans="2:64" hidden="1" outlineLevel="1">
      <c r="B605" s="1094"/>
      <c r="C605" s="1071" t="str">
        <f t="shared" ref="C605:F605" si="545">C302</f>
        <v>PC / Laptop Replacements</v>
      </c>
      <c r="D605" s="1071" t="str">
        <f t="shared" si="545"/>
        <v>PC / Laptops</v>
      </c>
      <c r="E605" s="1071" t="str">
        <f t="shared" si="545"/>
        <v>T017</v>
      </c>
      <c r="F605" s="1125" t="str">
        <f t="shared" si="545"/>
        <v>2021-2024</v>
      </c>
      <c r="H605" s="1071" t="s">
        <v>29</v>
      </c>
      <c r="J605" s="1125"/>
      <c r="BB605" s="1108"/>
      <c r="BC605" s="1109"/>
      <c r="BD605" s="1109"/>
      <c r="BE605" s="1109"/>
      <c r="BF605" s="1585"/>
      <c r="BG605" s="1109"/>
      <c r="BH605" s="1109">
        <f t="shared" ref="BH605:BL605" si="546">IF($L302=0,0,(($BH302*O302)+($BI302*U302)+($BJ302*AA302)+($BK302*AG302)+($BL302*AM302))/$L302)</f>
        <v>0</v>
      </c>
      <c r="BI605" s="1109">
        <f t="shared" si="546"/>
        <v>0</v>
      </c>
      <c r="BJ605" s="1109">
        <f t="shared" si="546"/>
        <v>0</v>
      </c>
      <c r="BK605" s="1109">
        <f t="shared" si="546"/>
        <v>0</v>
      </c>
      <c r="BL605" s="1109">
        <f t="shared" si="546"/>
        <v>0</v>
      </c>
    </row>
    <row r="606" spans="2:64" hidden="1" outlineLevel="1">
      <c r="B606" s="1094"/>
      <c r="C606" s="1071" t="str">
        <f t="shared" ref="C606:F606" si="547">C303</f>
        <v>PC/Laptops HQ - OTHER</v>
      </c>
      <c r="D606" s="1071" t="str">
        <f t="shared" si="547"/>
        <v>PC / Laptops</v>
      </c>
      <c r="E606" s="1071" t="str">
        <f t="shared" si="547"/>
        <v>T017A</v>
      </c>
      <c r="F606" s="1125" t="str">
        <f t="shared" si="547"/>
        <v>2021-2024</v>
      </c>
      <c r="H606" s="1071" t="s">
        <v>29</v>
      </c>
      <c r="J606" s="1125"/>
      <c r="BB606" s="1108"/>
      <c r="BC606" s="1109"/>
      <c r="BD606" s="1109"/>
      <c r="BE606" s="1109"/>
      <c r="BF606" s="1585"/>
      <c r="BG606" s="1109"/>
      <c r="BH606" s="1109">
        <f t="shared" ref="BH606:BL606" si="548">IF($L303=0,0,(($BH303*O303)+($BI303*U303)+($BJ303*AA303)+($BK303*AG303)+($BL303*AM303))/$L303)</f>
        <v>0</v>
      </c>
      <c r="BI606" s="1109">
        <f t="shared" si="548"/>
        <v>2.9332919999999749</v>
      </c>
      <c r="BJ606" s="1109">
        <f t="shared" si="548"/>
        <v>3.9110559999999666</v>
      </c>
      <c r="BK606" s="1109">
        <f t="shared" si="548"/>
        <v>3.9110559999999666</v>
      </c>
      <c r="BL606" s="1109">
        <f t="shared" si="548"/>
        <v>0.97776399999999164</v>
      </c>
    </row>
    <row r="607" spans="2:64" hidden="1" outlineLevel="1">
      <c r="B607" s="1094"/>
      <c r="C607" s="1071" t="str">
        <f t="shared" ref="C607:F607" si="549">C304</f>
        <v>PC/Laptops DUB</v>
      </c>
      <c r="D607" s="1071" t="str">
        <f t="shared" si="549"/>
        <v>PC / Laptops</v>
      </c>
      <c r="E607" s="1071" t="str">
        <f t="shared" si="549"/>
        <v>T017A</v>
      </c>
      <c r="F607" s="1125" t="str">
        <f t="shared" si="549"/>
        <v>2021-2024</v>
      </c>
      <c r="H607" s="1071" t="s">
        <v>29</v>
      </c>
      <c r="J607" s="1125"/>
      <c r="BB607" s="1108"/>
      <c r="BC607" s="1109"/>
      <c r="BD607" s="1109"/>
      <c r="BE607" s="1109"/>
      <c r="BF607" s="1585"/>
      <c r="BG607" s="1109"/>
      <c r="BH607" s="1109">
        <f t="shared" ref="BH607:BL607" si="550">IF($L304=0,0,(($BH304*O304)+($BI304*U304)+($BJ304*AA304)+($BK304*AG304)+($BL304*AM304))/$L304)</f>
        <v>0</v>
      </c>
      <c r="BI607" s="1109">
        <f t="shared" si="550"/>
        <v>0</v>
      </c>
      <c r="BJ607" s="1109">
        <f t="shared" si="550"/>
        <v>0</v>
      </c>
      <c r="BK607" s="1109">
        <f t="shared" si="550"/>
        <v>0</v>
      </c>
      <c r="BL607" s="1109">
        <f t="shared" si="550"/>
        <v>0</v>
      </c>
    </row>
    <row r="608" spans="2:64" hidden="1" outlineLevel="1">
      <c r="B608" s="1094"/>
      <c r="C608" s="1071" t="str">
        <f t="shared" ref="C608:F608" si="551">C305</f>
        <v>PC/Laptops SHN</v>
      </c>
      <c r="D608" s="1071" t="str">
        <f t="shared" si="551"/>
        <v>PC / Laptops</v>
      </c>
      <c r="E608" s="1071" t="str">
        <f t="shared" si="551"/>
        <v>T017A</v>
      </c>
      <c r="F608" s="1125" t="str">
        <f t="shared" si="551"/>
        <v>2021-2024</v>
      </c>
      <c r="H608" s="1071" t="s">
        <v>29</v>
      </c>
      <c r="J608" s="1125"/>
      <c r="BB608" s="1108"/>
      <c r="BC608" s="1109"/>
      <c r="BD608" s="1109"/>
      <c r="BE608" s="1109"/>
      <c r="BF608" s="1585"/>
      <c r="BG608" s="1109"/>
      <c r="BH608" s="1109">
        <f t="shared" ref="BH608:BL608" si="552">IF($L305=0,0,(($BH305*O305)+($BI305*U305)+($BJ305*AA305)+($BK305*AG305)+($BL305*AM305))/$L305)</f>
        <v>0</v>
      </c>
      <c r="BI608" s="1109">
        <f t="shared" si="552"/>
        <v>0</v>
      </c>
      <c r="BJ608" s="1109">
        <f t="shared" si="552"/>
        <v>0</v>
      </c>
      <c r="BK608" s="1109">
        <f t="shared" si="552"/>
        <v>0</v>
      </c>
      <c r="BL608" s="1109">
        <f t="shared" si="552"/>
        <v>0</v>
      </c>
    </row>
    <row r="609" spans="2:64" hidden="1" outlineLevel="1">
      <c r="B609" s="1094"/>
      <c r="C609" s="1071" t="str">
        <f t="shared" ref="C609:F609" si="553">C306</f>
        <v>PC/Laptop Replacements</v>
      </c>
      <c r="D609" s="1071" t="str">
        <f t="shared" si="553"/>
        <v>PC / Laptops</v>
      </c>
      <c r="E609" s="1071" t="str">
        <f t="shared" si="553"/>
        <v>V003</v>
      </c>
      <c r="F609" s="1125" t="str">
        <f t="shared" si="553"/>
        <v>2021-2024</v>
      </c>
      <c r="H609" s="1071" t="s">
        <v>29</v>
      </c>
      <c r="J609" s="1125"/>
      <c r="BB609" s="1108"/>
      <c r="BC609" s="1109"/>
      <c r="BD609" s="1109"/>
      <c r="BE609" s="1109"/>
      <c r="BF609" s="1585"/>
      <c r="BG609" s="1109"/>
      <c r="BH609" s="1109">
        <f t="shared" ref="BH609:BL609" si="554">IF($L306=0,0,(($BH306*O306)+($BI306*U306)+($BJ306*AA306)+($BK306*AG306)+($BL306*AM306))/$L306)</f>
        <v>0</v>
      </c>
      <c r="BI609" s="1109">
        <f t="shared" si="554"/>
        <v>0</v>
      </c>
      <c r="BJ609" s="1109">
        <f t="shared" si="554"/>
        <v>0</v>
      </c>
      <c r="BK609" s="1109">
        <f t="shared" si="554"/>
        <v>0</v>
      </c>
      <c r="BL609" s="1109">
        <f t="shared" si="554"/>
        <v>0</v>
      </c>
    </row>
    <row r="610" spans="2:64" hidden="1" outlineLevel="1">
      <c r="B610" s="1094"/>
      <c r="C610" s="1071" t="str">
        <f t="shared" ref="C610:F610" si="555">C307</f>
        <v>PC/Laptops HQ - OTHER</v>
      </c>
      <c r="D610" s="1071" t="str">
        <f t="shared" si="555"/>
        <v>PC / Laptops</v>
      </c>
      <c r="E610" s="1071" t="str">
        <f t="shared" si="555"/>
        <v>V003A</v>
      </c>
      <c r="F610" s="1125" t="str">
        <f t="shared" si="555"/>
        <v>2021-2024</v>
      </c>
      <c r="H610" s="1071" t="s">
        <v>29</v>
      </c>
      <c r="J610" s="1125"/>
      <c r="BB610" s="1108"/>
      <c r="BC610" s="1109"/>
      <c r="BD610" s="1109"/>
      <c r="BE610" s="1109"/>
      <c r="BF610" s="1585"/>
      <c r="BG610" s="1109"/>
      <c r="BH610" s="1109">
        <f t="shared" ref="BH610:BL610" si="556">IF($L307=0,0,(($BH307*O307)+($BI307*U307)+($BJ307*AA307)+($BK307*AG307)+($BL307*AM307))/$L307)</f>
        <v>0</v>
      </c>
      <c r="BI610" s="1109">
        <f t="shared" si="556"/>
        <v>5.8333333333333348</v>
      </c>
      <c r="BJ610" s="1109">
        <f t="shared" si="556"/>
        <v>15.16666666666667</v>
      </c>
      <c r="BK610" s="1109">
        <f t="shared" si="556"/>
        <v>24.500000000000007</v>
      </c>
      <c r="BL610" s="1109">
        <f t="shared" si="556"/>
        <v>28.000000000000007</v>
      </c>
    </row>
    <row r="611" spans="2:64" hidden="1" outlineLevel="1">
      <c r="B611" s="1094"/>
      <c r="C611" s="1071" t="str">
        <f t="shared" ref="C611:F611" si="557">C308</f>
        <v>PC/Laptops DUB</v>
      </c>
      <c r="D611" s="1071" t="str">
        <f t="shared" si="557"/>
        <v>PC / Laptops</v>
      </c>
      <c r="E611" s="1071" t="str">
        <f t="shared" si="557"/>
        <v>V003A</v>
      </c>
      <c r="F611" s="1125" t="str">
        <f t="shared" si="557"/>
        <v>2021-2024</v>
      </c>
      <c r="H611" s="1071" t="s">
        <v>29</v>
      </c>
      <c r="J611" s="1125"/>
      <c r="BB611" s="1108"/>
      <c r="BC611" s="1109"/>
      <c r="BD611" s="1109"/>
      <c r="BE611" s="1109"/>
      <c r="BF611" s="1585"/>
      <c r="BG611" s="1109"/>
      <c r="BH611" s="1109">
        <f t="shared" ref="BH611:BL611" si="558">IF($L308=0,0,(($BH308*O308)+($BI308*U308)+($BJ308*AA308)+($BK308*AG308)+($BL308*AM308))/$L308)</f>
        <v>0</v>
      </c>
      <c r="BI611" s="1109">
        <f t="shared" si="558"/>
        <v>2.4999999999999991</v>
      </c>
      <c r="BJ611" s="1109">
        <f t="shared" si="558"/>
        <v>6.5</v>
      </c>
      <c r="BK611" s="1109">
        <f t="shared" si="558"/>
        <v>10.5</v>
      </c>
      <c r="BL611" s="1109">
        <f t="shared" si="558"/>
        <v>12</v>
      </c>
    </row>
    <row r="612" spans="2:64" hidden="1" outlineLevel="1">
      <c r="B612" s="1094"/>
      <c r="C612" s="1071" t="str">
        <f t="shared" ref="C612:F612" si="559">C309</f>
        <v>PC/Laptops SHN</v>
      </c>
      <c r="D612" s="1071" t="str">
        <f t="shared" si="559"/>
        <v>PC / Laptops</v>
      </c>
      <c r="E612" s="1071" t="str">
        <f t="shared" si="559"/>
        <v>V003A</v>
      </c>
      <c r="F612" s="1125" t="str">
        <f t="shared" si="559"/>
        <v>2021-2024</v>
      </c>
      <c r="H612" s="1071" t="s">
        <v>29</v>
      </c>
      <c r="J612" s="1125"/>
      <c r="BB612" s="1108"/>
      <c r="BC612" s="1109"/>
      <c r="BD612" s="1109"/>
      <c r="BE612" s="1109"/>
      <c r="BF612" s="1585"/>
      <c r="BG612" s="1109"/>
      <c r="BH612" s="1109">
        <f t="shared" ref="BH612:BL612" si="560">IF($L309=0,0,(($BH309*O309)+($BI309*U309)+($BJ309*AA309)+($BK309*AG309)+($BL309*AM309))/$L309)</f>
        <v>0</v>
      </c>
      <c r="BI612" s="1109">
        <f t="shared" si="560"/>
        <v>2.4999999999999991</v>
      </c>
      <c r="BJ612" s="1109">
        <f t="shared" si="560"/>
        <v>6.5</v>
      </c>
      <c r="BK612" s="1109">
        <f t="shared" si="560"/>
        <v>10.5</v>
      </c>
      <c r="BL612" s="1109">
        <f t="shared" si="560"/>
        <v>12</v>
      </c>
    </row>
    <row r="613" spans="2:64" hidden="1" outlineLevel="1">
      <c r="B613" s="1094"/>
      <c r="C613" s="1071" t="str">
        <f t="shared" ref="C613:F613" si="561">C310</f>
        <v>Upgrades and Contingency IAA Net</v>
      </c>
      <c r="D613" s="1071" t="str">
        <f t="shared" si="561"/>
        <v>Upgrades and Contingency IAA Net</v>
      </c>
      <c r="E613" s="1071" t="str">
        <f t="shared" si="561"/>
        <v>S002</v>
      </c>
      <c r="F613" s="1125" t="str">
        <f t="shared" si="561"/>
        <v>2021-2024</v>
      </c>
      <c r="H613" s="1071" t="s">
        <v>29</v>
      </c>
      <c r="J613" s="1125"/>
      <c r="BB613" s="1108"/>
      <c r="BC613" s="1109"/>
      <c r="BD613" s="1109"/>
      <c r="BE613" s="1109"/>
      <c r="BF613" s="1585"/>
      <c r="BG613" s="1109"/>
      <c r="BH613" s="1109">
        <f t="shared" ref="BH613:BL613" si="562">IF($L310=0,0,(($BH310*O310)+($BI310*U310)+($BJ310*AA310)+($BK310*AG310)+($BL310*AM310))/$L310)</f>
        <v>0</v>
      </c>
      <c r="BI613" s="1109">
        <f t="shared" si="562"/>
        <v>0</v>
      </c>
      <c r="BJ613" s="1109">
        <f t="shared" si="562"/>
        <v>5</v>
      </c>
      <c r="BK613" s="1109">
        <f t="shared" si="562"/>
        <v>20</v>
      </c>
      <c r="BL613" s="1109">
        <f t="shared" si="562"/>
        <v>20</v>
      </c>
    </row>
    <row r="614" spans="2:64" hidden="1" outlineLevel="1">
      <c r="B614" s="1094"/>
      <c r="C614" s="1071" t="str">
        <f t="shared" ref="C614:F614" si="563">C311</f>
        <v>New En Route Contingency Facility</v>
      </c>
      <c r="D614" s="1071" t="str">
        <f t="shared" si="563"/>
        <v>New En Route Contingency Facility</v>
      </c>
      <c r="E614" s="1071" t="str">
        <f t="shared" si="563"/>
        <v>N004</v>
      </c>
      <c r="F614" s="1125" t="str">
        <f t="shared" si="563"/>
        <v>2021-2024</v>
      </c>
      <c r="H614" s="1071" t="s">
        <v>29</v>
      </c>
      <c r="J614" s="1125"/>
      <c r="BB614" s="1108"/>
      <c r="BC614" s="1109"/>
      <c r="BD614" s="1109"/>
      <c r="BE614" s="1109"/>
      <c r="BF614" s="1585"/>
      <c r="BG614" s="1109"/>
      <c r="BH614" s="1109">
        <f t="shared" ref="BH614:BL614" si="564">IF($L311=0,0,(($BH311*O311)+($BI311*U311)+($BJ311*AA311)+($BK311*AG311)+($BL311*AM311))/$L311)</f>
        <v>0</v>
      </c>
      <c r="BI614" s="1109">
        <f t="shared" si="564"/>
        <v>0</v>
      </c>
      <c r="BJ614" s="1109">
        <f t="shared" si="564"/>
        <v>0</v>
      </c>
      <c r="BK614" s="1109">
        <f t="shared" si="564"/>
        <v>0</v>
      </c>
      <c r="BL614" s="1109">
        <f t="shared" si="564"/>
        <v>0</v>
      </c>
    </row>
    <row r="615" spans="2:64" hidden="1" outlineLevel="1">
      <c r="B615" s="1094"/>
      <c r="C615" s="1071" t="str">
        <f t="shared" ref="C615:F615" si="565">C312</f>
        <v>New En Route Contingency Facility - ATM Equipment</v>
      </c>
      <c r="D615" s="1071" t="str">
        <f t="shared" si="565"/>
        <v>New En Route Contingency Facility</v>
      </c>
      <c r="E615" s="1071" t="str">
        <f t="shared" si="565"/>
        <v>N004A</v>
      </c>
      <c r="F615" s="1125" t="str">
        <f t="shared" si="565"/>
        <v>2021-2024</v>
      </c>
      <c r="H615" s="1071" t="s">
        <v>29</v>
      </c>
      <c r="J615" s="1125"/>
      <c r="BB615" s="1108"/>
      <c r="BC615" s="1109"/>
      <c r="BD615" s="1109"/>
      <c r="BE615" s="1109"/>
      <c r="BF615" s="1585"/>
      <c r="BG615" s="1109"/>
      <c r="BH615" s="1109">
        <f t="shared" ref="BH615:BL615" si="566">IF($L312=0,0,(($BH312*O312)+($BI312*U312)+($BJ312*AA312)+($BK312*AG312)+($BL312*AM312))/$L312)</f>
        <v>0</v>
      </c>
      <c r="BI615" s="1109">
        <f t="shared" si="566"/>
        <v>0</v>
      </c>
      <c r="BJ615" s="1109">
        <f t="shared" si="566"/>
        <v>4.9577765000001071</v>
      </c>
      <c r="BK615" s="1109">
        <f t="shared" si="566"/>
        <v>19.831106000000428</v>
      </c>
      <c r="BL615" s="1109">
        <f t="shared" si="566"/>
        <v>19.831106000000428</v>
      </c>
    </row>
    <row r="616" spans="2:64" hidden="1" outlineLevel="1">
      <c r="B616" s="1094"/>
      <c r="C616" s="1071" t="str">
        <f t="shared" ref="C616:F616" si="567">C313</f>
        <v>New En Route Contingency Facility - Building</v>
      </c>
      <c r="D616" s="1071" t="str">
        <f t="shared" si="567"/>
        <v>New En Route Contingency Facility</v>
      </c>
      <c r="E616" s="1071" t="str">
        <f t="shared" si="567"/>
        <v>N004A</v>
      </c>
      <c r="F616" s="1125" t="str">
        <f t="shared" si="567"/>
        <v>2021-2024</v>
      </c>
      <c r="H616" s="1071" t="s">
        <v>29</v>
      </c>
      <c r="J616" s="1125"/>
      <c r="BB616" s="1108"/>
      <c r="BC616" s="1109"/>
      <c r="BD616" s="1109"/>
      <c r="BE616" s="1109"/>
      <c r="BF616" s="1585"/>
      <c r="BG616" s="1109"/>
      <c r="BH616" s="1109">
        <f t="shared" ref="BH616:BL616" si="568">IF($L313=0,0,(($BH313*O313)+($BI313*U313)+($BJ313*AA313)+($BK313*AG313)+($BL313*AM313))/$L313)</f>
        <v>0</v>
      </c>
      <c r="BI616" s="1109">
        <f t="shared" si="568"/>
        <v>0</v>
      </c>
      <c r="BJ616" s="1109">
        <f t="shared" si="568"/>
        <v>0</v>
      </c>
      <c r="BK616" s="1109">
        <f t="shared" si="568"/>
        <v>0</v>
      </c>
      <c r="BL616" s="1109">
        <f t="shared" si="568"/>
        <v>0</v>
      </c>
    </row>
    <row r="617" spans="2:64" hidden="1" outlineLevel="1">
      <c r="B617" s="1094"/>
      <c r="C617" s="1071" t="str">
        <f t="shared" ref="C617:F617" si="569">C314</f>
        <v>Shannon Tower MEP</v>
      </c>
      <c r="D617" s="1071" t="str">
        <f t="shared" si="569"/>
        <v>Shannon Tower MEP</v>
      </c>
      <c r="E617" s="1071" t="str">
        <f t="shared" si="569"/>
        <v>J004A</v>
      </c>
      <c r="F617" s="1125" t="str">
        <f t="shared" si="569"/>
        <v>2021-2024</v>
      </c>
      <c r="H617" s="1071" t="s">
        <v>29</v>
      </c>
      <c r="J617" s="1125"/>
      <c r="BB617" s="1108"/>
      <c r="BC617" s="1109"/>
      <c r="BD617" s="1109"/>
      <c r="BE617" s="1109"/>
      <c r="BF617" s="1585"/>
      <c r="BG617" s="1109"/>
      <c r="BH617" s="1109">
        <f t="shared" ref="BH617:BL617" si="570">IF($L314=0,0,(($BH314*O314)+($BI314*U314)+($BJ314*AA314)+($BK314*AG314)+($BL314*AM314))/$L314)</f>
        <v>0</v>
      </c>
      <c r="BI617" s="1109">
        <f t="shared" si="570"/>
        <v>7.6654905000000255</v>
      </c>
      <c r="BJ617" s="1109">
        <f t="shared" si="570"/>
        <v>15.330981000000051</v>
      </c>
      <c r="BK617" s="1109">
        <f t="shared" si="570"/>
        <v>15.330981000000051</v>
      </c>
      <c r="BL617" s="1109">
        <f t="shared" si="570"/>
        <v>15.330981000000051</v>
      </c>
    </row>
    <row r="618" spans="2:64" hidden="1" outlineLevel="1">
      <c r="C618" s="1071" t="str">
        <f t="shared" ref="C618:F618" si="571">C315</f>
        <v>UMT Drone Protection System</v>
      </c>
      <c r="D618" s="1071" t="str">
        <f t="shared" si="571"/>
        <v>UMT Drone Protection System</v>
      </c>
      <c r="E618" s="1071" t="str">
        <f t="shared" si="571"/>
        <v>RP3-FDPS-2</v>
      </c>
      <c r="F618" s="1125" t="str">
        <f t="shared" si="571"/>
        <v>2021-2024</v>
      </c>
      <c r="H618" s="1071" t="s">
        <v>29</v>
      </c>
      <c r="J618" s="1125"/>
      <c r="BB618" s="1108"/>
      <c r="BC618" s="1109"/>
      <c r="BD618" s="1109"/>
      <c r="BE618" s="1109"/>
      <c r="BF618" s="1585"/>
      <c r="BG618" s="1109"/>
      <c r="BH618" s="1109">
        <f t="shared" ref="BH618:BL618" si="572">IF($L315=0,0,(($BH315*O315)+($BI315*U315)+($BJ315*AA315)+($BK315*AG315)+($BL315*AM315))/$L315)</f>
        <v>0</v>
      </c>
      <c r="BI618" s="1109">
        <f t="shared" si="572"/>
        <v>0</v>
      </c>
      <c r="BJ618" s="1109">
        <f t="shared" si="572"/>
        <v>0</v>
      </c>
      <c r="BK618" s="1109">
        <f t="shared" si="572"/>
        <v>0</v>
      </c>
      <c r="BL618" s="1109">
        <f t="shared" si="572"/>
        <v>11.25</v>
      </c>
    </row>
    <row r="619" spans="2:64" hidden="1" outlineLevel="1">
      <c r="C619" s="1071" t="str">
        <f t="shared" ref="C619:F619" si="573">C316</f>
        <v>Enhancements to Financial Management Systems</v>
      </c>
      <c r="D619" s="1071" t="str">
        <f t="shared" si="573"/>
        <v>Enhancements to Financial Management Systems</v>
      </c>
      <c r="E619" s="1071" t="str">
        <f t="shared" si="573"/>
        <v>Q019</v>
      </c>
      <c r="F619" s="1125" t="str">
        <f t="shared" si="573"/>
        <v>2021-2024</v>
      </c>
      <c r="H619" s="1071" t="s">
        <v>29</v>
      </c>
      <c r="J619" s="1125"/>
      <c r="BB619" s="1108"/>
      <c r="BC619" s="1109"/>
      <c r="BD619" s="1109"/>
      <c r="BE619" s="1109"/>
      <c r="BF619" s="1585"/>
      <c r="BG619" s="1109"/>
      <c r="BH619" s="1109">
        <f t="shared" ref="BH619:BL619" si="574">IF($L316=0,0,(($BH316*O316)+($BI316*U316)+($BJ316*AA316)+($BK316*AG316)+($BL316*AM316))/$L316)</f>
        <v>0</v>
      </c>
      <c r="BI619" s="1109">
        <f t="shared" si="574"/>
        <v>0</v>
      </c>
      <c r="BJ619" s="1109">
        <f t="shared" si="574"/>
        <v>0</v>
      </c>
      <c r="BK619" s="1109">
        <f t="shared" si="574"/>
        <v>15</v>
      </c>
      <c r="BL619" s="1109">
        <f t="shared" si="574"/>
        <v>15</v>
      </c>
    </row>
    <row r="620" spans="2:64" hidden="1" outlineLevel="1">
      <c r="C620" s="1071" t="str">
        <f t="shared" ref="C620:F620" si="575">C317</f>
        <v>Quadrant Roof-Light in Dublin ACC</v>
      </c>
      <c r="D620" s="1071" t="str">
        <f t="shared" si="575"/>
        <v>Quadrant Roof-Light in Dublin ACC</v>
      </c>
      <c r="E620" s="1071" t="str">
        <f t="shared" si="575"/>
        <v>S020</v>
      </c>
      <c r="F620" s="1125" t="str">
        <f t="shared" si="575"/>
        <v>2021-2024</v>
      </c>
      <c r="H620" s="1071" t="s">
        <v>29</v>
      </c>
      <c r="J620" s="1125"/>
      <c r="BB620" s="1108"/>
      <c r="BC620" s="1109"/>
      <c r="BD620" s="1109"/>
      <c r="BE620" s="1109"/>
      <c r="BF620" s="1585"/>
      <c r="BG620" s="1109"/>
      <c r="BH620" s="1109">
        <f t="shared" ref="BH620:BL620" si="576">IF($L317=0,0,(($BH317*O317)+($BI317*U317)+($BJ317*AA317)+($BK317*AG317)+($BL317*AM317))/$L317)</f>
        <v>0</v>
      </c>
      <c r="BI620" s="1109">
        <f t="shared" si="576"/>
        <v>0</v>
      </c>
      <c r="BJ620" s="1109">
        <f t="shared" si="576"/>
        <v>4.16</v>
      </c>
      <c r="BK620" s="1109">
        <f t="shared" si="576"/>
        <v>4.16</v>
      </c>
      <c r="BL620" s="1109">
        <f t="shared" si="576"/>
        <v>4.16</v>
      </c>
    </row>
    <row r="621" spans="2:64" hidden="1" outlineLevel="1">
      <c r="C621" s="1071" t="str">
        <f t="shared" ref="C621:F621" si="577">C318</f>
        <v>Generator replacement project</v>
      </c>
      <c r="D621" s="1071" t="str">
        <f t="shared" si="577"/>
        <v>Generator replacement project</v>
      </c>
      <c r="E621" s="1071" t="str">
        <f t="shared" si="577"/>
        <v>U010</v>
      </c>
      <c r="F621" s="1125" t="str">
        <f t="shared" si="577"/>
        <v>2021-2024</v>
      </c>
      <c r="H621" s="1071" t="s">
        <v>29</v>
      </c>
      <c r="J621" s="1125"/>
      <c r="BB621" s="1108"/>
      <c r="BC621" s="1109"/>
      <c r="BD621" s="1109"/>
      <c r="BE621" s="1109"/>
      <c r="BF621" s="1585"/>
      <c r="BG621" s="1109"/>
      <c r="BH621" s="1109">
        <f t="shared" ref="BH621:BL621" si="578">IF($L318=0,0,(($BH318*O318)+($BI318*U318)+($BJ318*AA318)+($BK318*AG318)+($BL318*AM318))/$L318)</f>
        <v>0</v>
      </c>
      <c r="BI621" s="1109">
        <f t="shared" si="578"/>
        <v>2.875</v>
      </c>
      <c r="BJ621" s="1109">
        <f t="shared" si="578"/>
        <v>11.5</v>
      </c>
      <c r="BK621" s="1109">
        <f t="shared" si="578"/>
        <v>11.5</v>
      </c>
      <c r="BL621" s="1109">
        <f t="shared" si="578"/>
        <v>11.5</v>
      </c>
    </row>
    <row r="622" spans="2:64" hidden="1" outlineLevel="1">
      <c r="C622" s="1071" t="str">
        <f t="shared" ref="C622:F622" si="579">C319</f>
        <v>Replacement of COOPANS Hardware</v>
      </c>
      <c r="D622" s="1071" t="str">
        <f t="shared" si="579"/>
        <v>COOPANS Hardware</v>
      </c>
      <c r="E622" s="1071" t="str">
        <f t="shared" si="579"/>
        <v>Q001</v>
      </c>
      <c r="F622" s="1125" t="str">
        <f t="shared" si="579"/>
        <v>2021-2024</v>
      </c>
      <c r="H622" s="1071" t="s">
        <v>29</v>
      </c>
      <c r="J622" s="1125"/>
      <c r="BB622" s="1108"/>
      <c r="BC622" s="1109"/>
      <c r="BD622" s="1109"/>
      <c r="BE622" s="1109"/>
      <c r="BF622" s="1585"/>
      <c r="BG622" s="1109"/>
      <c r="BH622" s="1109">
        <f t="shared" ref="BH622:BL622" si="580">IF($L319=0,0,(($BH319*O319)+($BI319*U319)+($BJ319*AA319)+($BK319*AG319)+($BL319*AM319))/$L319)</f>
        <v>0</v>
      </c>
      <c r="BI622" s="1109">
        <f t="shared" si="580"/>
        <v>0</v>
      </c>
      <c r="BJ622" s="1109">
        <f t="shared" si="580"/>
        <v>0</v>
      </c>
      <c r="BK622" s="1109">
        <f t="shared" si="580"/>
        <v>0</v>
      </c>
      <c r="BL622" s="1109">
        <f t="shared" si="580"/>
        <v>0</v>
      </c>
    </row>
    <row r="623" spans="2:64" hidden="1" outlineLevel="1">
      <c r="C623" s="1071" t="str">
        <f t="shared" ref="C623:F623" si="581">C320</f>
        <v>COOPANS HARDWARE Shannon</v>
      </c>
      <c r="D623" s="1071" t="str">
        <f t="shared" si="581"/>
        <v>COOPANS Hardware</v>
      </c>
      <c r="E623" s="1071" t="str">
        <f t="shared" si="581"/>
        <v>Q001A</v>
      </c>
      <c r="F623" s="1125" t="str">
        <f t="shared" si="581"/>
        <v>2021-2024</v>
      </c>
      <c r="H623" s="1071" t="s">
        <v>29</v>
      </c>
      <c r="J623" s="1125"/>
      <c r="BB623" s="1108"/>
      <c r="BC623" s="1109"/>
      <c r="BD623" s="1109"/>
      <c r="BE623" s="1109"/>
      <c r="BF623" s="1585"/>
      <c r="BG623" s="1109"/>
      <c r="BH623" s="1109">
        <f t="shared" ref="BH623:BL623" si="582">IF($L320=0,0,(($BH320*O320)+($BI320*U320)+($BJ320*AA320)+($BK320*AG320)+($BL320*AM320))/$L320)</f>
        <v>0</v>
      </c>
      <c r="BI623" s="1109">
        <f t="shared" si="582"/>
        <v>3.8633998730158901</v>
      </c>
      <c r="BJ623" s="1109">
        <f t="shared" si="582"/>
        <v>5.1133998730158901</v>
      </c>
      <c r="BK623" s="1109">
        <f t="shared" si="582"/>
        <v>5.1133998730158901</v>
      </c>
      <c r="BL623" s="1109">
        <f t="shared" si="582"/>
        <v>5.1133998730158901</v>
      </c>
    </row>
    <row r="624" spans="2:64" hidden="1" outlineLevel="1">
      <c r="C624" s="1071" t="str">
        <f t="shared" ref="C624:F624" si="583">C321</f>
        <v>COOPANS HARDWARE Dublin</v>
      </c>
      <c r="D624" s="1071" t="str">
        <f t="shared" si="583"/>
        <v>COOPANS Hardware</v>
      </c>
      <c r="E624" s="1071" t="str">
        <f t="shared" si="583"/>
        <v>Q001A</v>
      </c>
      <c r="F624" s="1125" t="str">
        <f t="shared" si="583"/>
        <v>2021-2024</v>
      </c>
      <c r="H624" s="1071" t="s">
        <v>29</v>
      </c>
      <c r="J624" s="1125"/>
      <c r="BB624" s="1108"/>
      <c r="BC624" s="1109"/>
      <c r="BD624" s="1109"/>
      <c r="BE624" s="1109"/>
      <c r="BF624" s="1585"/>
      <c r="BG624" s="1109"/>
      <c r="BH624" s="1109">
        <f t="shared" ref="BH624:BL624" si="584">IF($L321=0,0,(($BH321*O321)+($BI321*U321)+($BJ321*AA321)+($BK321*AG321)+($BL321*AM321))/$L321)</f>
        <v>0</v>
      </c>
      <c r="BI624" s="1109">
        <f t="shared" si="584"/>
        <v>3.75</v>
      </c>
      <c r="BJ624" s="1109">
        <f t="shared" si="584"/>
        <v>5</v>
      </c>
      <c r="BK624" s="1109">
        <f t="shared" si="584"/>
        <v>5</v>
      </c>
      <c r="BL624" s="1109">
        <f t="shared" si="584"/>
        <v>5</v>
      </c>
    </row>
    <row r="625" spans="3:64" hidden="1" outlineLevel="1">
      <c r="C625" s="1071" t="str">
        <f t="shared" ref="C625:F625" si="585">C322</f>
        <v>PABX Infrastructure Upgrade BCY/CRK</v>
      </c>
      <c r="D625" s="1071" t="str">
        <f t="shared" si="585"/>
        <v>PABX Infrastructure Upgrade BCY/CRK</v>
      </c>
      <c r="E625" s="1071" t="str">
        <f t="shared" si="585"/>
        <v>S009</v>
      </c>
      <c r="F625" s="1125" t="str">
        <f t="shared" si="585"/>
        <v>2021-2024</v>
      </c>
      <c r="H625" s="1071" t="s">
        <v>29</v>
      </c>
      <c r="J625" s="1125"/>
      <c r="BB625" s="1108"/>
      <c r="BC625" s="1109"/>
      <c r="BD625" s="1109"/>
      <c r="BE625" s="1109"/>
      <c r="BF625" s="1585"/>
      <c r="BG625" s="1109"/>
      <c r="BH625" s="1109">
        <f t="shared" ref="BH625:BL625" si="586">IF($L322=0,0,(($BH322*O322)+($BI322*U322)+($BJ322*AA322)+($BK322*AG322)+($BL322*AM322))/$L322)</f>
        <v>0</v>
      </c>
      <c r="BI625" s="1109">
        <f t="shared" si="586"/>
        <v>0</v>
      </c>
      <c r="BJ625" s="1109">
        <f t="shared" si="586"/>
        <v>1.6666666666666667</v>
      </c>
      <c r="BK625" s="1109">
        <f t="shared" si="586"/>
        <v>6.666666666666667</v>
      </c>
      <c r="BL625" s="1109">
        <f t="shared" si="586"/>
        <v>6.666666666666667</v>
      </c>
    </row>
    <row r="626" spans="3:64" hidden="1" outlineLevel="1">
      <c r="C626" s="1071" t="str">
        <f t="shared" ref="C626:F626" si="587">C323</f>
        <v>Test Equipment</v>
      </c>
      <c r="D626" s="1071" t="str">
        <f t="shared" si="587"/>
        <v>Test Equipment</v>
      </c>
      <c r="E626" s="1071" t="str">
        <f t="shared" si="587"/>
        <v>T003</v>
      </c>
      <c r="F626" s="1125" t="str">
        <f t="shared" si="587"/>
        <v>2021-2024</v>
      </c>
      <c r="H626" s="1071" t="s">
        <v>29</v>
      </c>
      <c r="J626" s="1125"/>
      <c r="BB626" s="1108"/>
      <c r="BC626" s="1109"/>
      <c r="BD626" s="1109"/>
      <c r="BE626" s="1109"/>
      <c r="BF626" s="1585"/>
      <c r="BG626" s="1109"/>
      <c r="BH626" s="1109">
        <f t="shared" ref="BH626:BL626" si="588">IF($L323=0,0,(($BH323*O323)+($BI323*U323)+($BJ323*AA323)+($BK323*AG323)+($BL323*AM323))/$L323)</f>
        <v>0</v>
      </c>
      <c r="BI626" s="1109">
        <f t="shared" si="588"/>
        <v>4</v>
      </c>
      <c r="BJ626" s="1109">
        <f t="shared" si="588"/>
        <v>16</v>
      </c>
      <c r="BK626" s="1109">
        <f t="shared" si="588"/>
        <v>16</v>
      </c>
      <c r="BL626" s="1109">
        <f t="shared" si="588"/>
        <v>16</v>
      </c>
    </row>
    <row r="627" spans="3:64" hidden="1" outlineLevel="1">
      <c r="C627" s="1071" t="str">
        <f t="shared" ref="C627:F627" si="589">C324</f>
        <v>Multifunctional Devices - Network Printers</v>
      </c>
      <c r="D627" s="1071" t="str">
        <f t="shared" si="589"/>
        <v>Multifunctional Devices - Network Printers</v>
      </c>
      <c r="E627" s="1071" t="str">
        <f t="shared" si="589"/>
        <v>U017</v>
      </c>
      <c r="F627" s="1125" t="str">
        <f t="shared" si="589"/>
        <v>2021-2024</v>
      </c>
      <c r="H627" s="1071" t="s">
        <v>29</v>
      </c>
      <c r="J627" s="1125"/>
      <c r="BB627" s="1108"/>
      <c r="BC627" s="1109"/>
      <c r="BD627" s="1109"/>
      <c r="BE627" s="1109"/>
      <c r="BF627" s="1585"/>
      <c r="BG627" s="1109"/>
      <c r="BH627" s="1109">
        <f t="shared" ref="BH627:BL627" si="590">IF($L324=0,0,(($BH324*O324)+($BI324*U324)+($BJ324*AA324)+($BK324*AG324)+($BL324*AM324))/$L324)</f>
        <v>0</v>
      </c>
      <c r="BI627" s="1109">
        <f t="shared" si="590"/>
        <v>3</v>
      </c>
      <c r="BJ627" s="1109">
        <f t="shared" si="590"/>
        <v>15</v>
      </c>
      <c r="BK627" s="1109">
        <f t="shared" si="590"/>
        <v>16</v>
      </c>
      <c r="BL627" s="1109">
        <f t="shared" si="590"/>
        <v>16</v>
      </c>
    </row>
    <row r="628" spans="3:64" hidden="1" outlineLevel="1">
      <c r="C628" s="1071" t="str">
        <f t="shared" ref="C628:F628" si="591">C325</f>
        <v>Virtual Environment Server Replacements</v>
      </c>
      <c r="D628" s="1071" t="str">
        <f t="shared" si="591"/>
        <v>Virtual Environment Server Replacements</v>
      </c>
      <c r="E628" s="1071" t="str">
        <f t="shared" si="591"/>
        <v>U018</v>
      </c>
      <c r="F628" s="1125" t="str">
        <f t="shared" si="591"/>
        <v>2021-2024</v>
      </c>
      <c r="H628" s="1071" t="s">
        <v>29</v>
      </c>
      <c r="J628" s="1125"/>
      <c r="BB628" s="1108"/>
      <c r="BC628" s="1109"/>
      <c r="BD628" s="1109"/>
      <c r="BE628" s="1109"/>
      <c r="BF628" s="1585"/>
      <c r="BG628" s="1109"/>
      <c r="BH628" s="1109">
        <f t="shared" ref="BH628:BL628" si="592">IF($L325=0,0,(($BH325*O325)+($BI325*U325)+($BJ325*AA325)+($BK325*AG325)+($BL325*AM325))/$L325)</f>
        <v>0</v>
      </c>
      <c r="BI628" s="1109">
        <f t="shared" si="592"/>
        <v>5</v>
      </c>
      <c r="BJ628" s="1109">
        <f t="shared" si="592"/>
        <v>25</v>
      </c>
      <c r="BK628" s="1109">
        <f t="shared" si="592"/>
        <v>26.666666666666668</v>
      </c>
      <c r="BL628" s="1109">
        <f t="shared" si="592"/>
        <v>21.666666666666668</v>
      </c>
    </row>
    <row r="629" spans="3:64" hidden="1" outlineLevel="1">
      <c r="C629" s="1071" t="str">
        <f t="shared" ref="C629:F629" si="593">C326</f>
        <v>Server Replacements</v>
      </c>
      <c r="D629" s="1071" t="str">
        <f t="shared" si="593"/>
        <v>Server Replacements</v>
      </c>
      <c r="E629" s="1071" t="str">
        <f t="shared" si="593"/>
        <v>T019</v>
      </c>
      <c r="F629" s="1125" t="str">
        <f t="shared" si="593"/>
        <v>2021-2024</v>
      </c>
      <c r="H629" s="1071" t="s">
        <v>29</v>
      </c>
      <c r="J629" s="1125"/>
      <c r="BB629" s="1108"/>
      <c r="BC629" s="1109"/>
      <c r="BD629" s="1109"/>
      <c r="BE629" s="1109"/>
      <c r="BF629" s="1585"/>
      <c r="BG629" s="1109"/>
      <c r="BH629" s="1109">
        <f t="shared" ref="BH629:BL629" si="594">IF($L326=0,0,(($BH326*O326)+($BI326*U326)+($BJ326*AA326)+($BK326*AG326)+($BL326*AM326))/$L326)</f>
        <v>0</v>
      </c>
      <c r="BI629" s="1109">
        <f t="shared" si="594"/>
        <v>0</v>
      </c>
      <c r="BJ629" s="1109">
        <f t="shared" si="594"/>
        <v>0</v>
      </c>
      <c r="BK629" s="1109">
        <f t="shared" si="594"/>
        <v>0</v>
      </c>
      <c r="BL629" s="1109">
        <f t="shared" si="594"/>
        <v>0</v>
      </c>
    </row>
    <row r="630" spans="3:64" hidden="1" outlineLevel="1">
      <c r="C630" s="1071" t="str">
        <f t="shared" ref="C630:F630" si="595">C327</f>
        <v>Server Replacements HQ</v>
      </c>
      <c r="D630" s="1071" t="str">
        <f t="shared" si="595"/>
        <v>Server Replacements</v>
      </c>
      <c r="E630" s="1071" t="str">
        <f t="shared" si="595"/>
        <v>T019A</v>
      </c>
      <c r="F630" s="1125" t="str">
        <f t="shared" si="595"/>
        <v>2021-2024</v>
      </c>
      <c r="H630" s="1071" t="s">
        <v>29</v>
      </c>
      <c r="J630" s="1125"/>
      <c r="BB630" s="1108"/>
      <c r="BC630" s="1109"/>
      <c r="BD630" s="1109"/>
      <c r="BE630" s="1109"/>
      <c r="BF630" s="1585"/>
      <c r="BG630" s="1109"/>
      <c r="BH630" s="1109">
        <f t="shared" ref="BH630:BL630" si="596">IF($L327=0,0,(($BH327*O327)+($BI327*U327)+($BJ327*AA327)+($BK327*AG327)+($BL327*AM327))/$L327)</f>
        <v>0</v>
      </c>
      <c r="BI630" s="1109">
        <f t="shared" si="596"/>
        <v>6.6181333333333328</v>
      </c>
      <c r="BJ630" s="1109">
        <f t="shared" si="596"/>
        <v>26.472533333333331</v>
      </c>
      <c r="BK630" s="1109">
        <f t="shared" si="596"/>
        <v>26.472533333333331</v>
      </c>
      <c r="BL630" s="1109">
        <f t="shared" si="596"/>
        <v>19.854399999999998</v>
      </c>
    </row>
    <row r="631" spans="3:64" hidden="1" outlineLevel="1">
      <c r="C631" s="1071" t="str">
        <f t="shared" ref="C631:F631" si="597">C328</f>
        <v>Server Replacements BCY</v>
      </c>
      <c r="D631" s="1071" t="str">
        <f t="shared" si="597"/>
        <v>Server Replacements</v>
      </c>
      <c r="E631" s="1071" t="str">
        <f t="shared" si="597"/>
        <v>T019A</v>
      </c>
      <c r="F631" s="1125" t="str">
        <f t="shared" si="597"/>
        <v>2021-2024</v>
      </c>
      <c r="H631" s="1071" t="s">
        <v>29</v>
      </c>
      <c r="J631" s="1125"/>
      <c r="BB631" s="1108"/>
      <c r="BC631" s="1109"/>
      <c r="BD631" s="1109"/>
      <c r="BE631" s="1109"/>
      <c r="BF631" s="1585"/>
      <c r="BG631" s="1109"/>
      <c r="BH631" s="1109">
        <f t="shared" ref="BH631:BL631" si="598">IF($L328=0,0,(($BH328*O328)+($BI328*U328)+($BJ328*AA328)+($BK328*AG328)+($BL328*AM328))/$L328)</f>
        <v>0</v>
      </c>
      <c r="BI631" s="1109">
        <f t="shared" si="598"/>
        <v>0</v>
      </c>
      <c r="BJ631" s="1109">
        <f t="shared" si="598"/>
        <v>0</v>
      </c>
      <c r="BK631" s="1109">
        <f t="shared" si="598"/>
        <v>0</v>
      </c>
      <c r="BL631" s="1109">
        <f t="shared" si="598"/>
        <v>0</v>
      </c>
    </row>
    <row r="632" spans="3:64" hidden="1" outlineLevel="1">
      <c r="C632" s="1071" t="str">
        <f t="shared" ref="C632:F632" si="599">C329</f>
        <v>Essential Security Upgrades</v>
      </c>
      <c r="D632" s="1071" t="str">
        <f t="shared" si="599"/>
        <v>Essential Security Upgrades</v>
      </c>
      <c r="E632" s="1071" t="str">
        <f t="shared" si="599"/>
        <v>T009</v>
      </c>
      <c r="F632" s="1125" t="str">
        <f t="shared" si="599"/>
        <v>2021-2024</v>
      </c>
      <c r="H632" s="1071" t="s">
        <v>29</v>
      </c>
      <c r="J632" s="1125"/>
      <c r="BB632" s="1108"/>
      <c r="BC632" s="1109"/>
      <c r="BD632" s="1109"/>
      <c r="BE632" s="1109"/>
      <c r="BF632" s="1585"/>
      <c r="BG632" s="1109"/>
      <c r="BH632" s="1109">
        <f t="shared" ref="BH632:BL632" si="600">IF($L329=0,0,(($BH329*O329)+($BI329*U329)+($BJ329*AA329)+($BK329*AG329)+($BL329*AM329))/$L329)</f>
        <v>0</v>
      </c>
      <c r="BI632" s="1109">
        <f t="shared" si="600"/>
        <v>0</v>
      </c>
      <c r="BJ632" s="1109">
        <f t="shared" si="600"/>
        <v>0</v>
      </c>
      <c r="BK632" s="1109">
        <f t="shared" si="600"/>
        <v>0</v>
      </c>
      <c r="BL632" s="1109">
        <f t="shared" si="600"/>
        <v>0</v>
      </c>
    </row>
    <row r="633" spans="3:64" hidden="1" outlineLevel="1">
      <c r="C633" s="1071" t="str">
        <f t="shared" ref="C633:F633" si="601">C330</f>
        <v>Essential Security Upgrades DUB</v>
      </c>
      <c r="D633" s="1071" t="str">
        <f t="shared" si="601"/>
        <v>Essential Security Upgrades</v>
      </c>
      <c r="E633" s="1071" t="str">
        <f t="shared" si="601"/>
        <v>T009A</v>
      </c>
      <c r="F633" s="1125" t="str">
        <f t="shared" si="601"/>
        <v>2021-2024</v>
      </c>
      <c r="H633" s="1071" t="s">
        <v>29</v>
      </c>
      <c r="J633" s="1125"/>
      <c r="BB633" s="1108"/>
      <c r="BC633" s="1109"/>
      <c r="BD633" s="1109"/>
      <c r="BE633" s="1109"/>
      <c r="BF633" s="1585"/>
      <c r="BG633" s="1109"/>
      <c r="BH633" s="1109">
        <f t="shared" ref="BH633:BL633" si="602">IF($L330=0,0,(($BH330*O330)+($BI330*U330)+($BJ330*AA330)+($BK330*AG330)+($BL330*AM330))/$L330)</f>
        <v>0</v>
      </c>
      <c r="BI633" s="1109">
        <f t="shared" si="602"/>
        <v>2.9956000000000005</v>
      </c>
      <c r="BJ633" s="1109">
        <f t="shared" si="602"/>
        <v>5.991200000000001</v>
      </c>
      <c r="BK633" s="1109">
        <f t="shared" si="602"/>
        <v>5.991200000000001</v>
      </c>
      <c r="BL633" s="1109">
        <f t="shared" si="602"/>
        <v>5.991200000000001</v>
      </c>
    </row>
    <row r="634" spans="3:64" hidden="1" outlineLevel="1">
      <c r="C634" s="1071" t="str">
        <f t="shared" ref="C634:F634" si="603">C331</f>
        <v>Essential Security Upgrades Cork</v>
      </c>
      <c r="D634" s="1071" t="str">
        <f t="shared" si="603"/>
        <v>Essential Security Upgrades</v>
      </c>
      <c r="E634" s="1071" t="str">
        <f t="shared" si="603"/>
        <v>T009A</v>
      </c>
      <c r="F634" s="1125" t="str">
        <f t="shared" si="603"/>
        <v>2021-2024</v>
      </c>
      <c r="H634" s="1071" t="s">
        <v>29</v>
      </c>
      <c r="J634" s="1125"/>
      <c r="BB634" s="1108"/>
      <c r="BC634" s="1109"/>
      <c r="BD634" s="1109"/>
      <c r="BE634" s="1109"/>
      <c r="BF634" s="1585"/>
      <c r="BG634" s="1109"/>
      <c r="BH634" s="1109">
        <f t="shared" ref="BH634:BL634" si="604">IF($L331=0,0,(($BH331*O331)+($BI331*U331)+($BJ331*AA331)+($BK331*AG331)+($BL331*AM331))/$L331)</f>
        <v>0</v>
      </c>
      <c r="BI634" s="1109">
        <f t="shared" si="604"/>
        <v>0</v>
      </c>
      <c r="BJ634" s="1109">
        <f t="shared" si="604"/>
        <v>0</v>
      </c>
      <c r="BK634" s="1109">
        <f t="shared" si="604"/>
        <v>0</v>
      </c>
      <c r="BL634" s="1109">
        <f t="shared" si="604"/>
        <v>0</v>
      </c>
    </row>
    <row r="635" spans="3:64" hidden="1" outlineLevel="1">
      <c r="C635" s="1071" t="str">
        <f t="shared" ref="C635:F635" si="605">C332</f>
        <v>Essential Security Upgrades SHN</v>
      </c>
      <c r="D635" s="1071" t="str">
        <f t="shared" si="605"/>
        <v>Essential Security Upgrades</v>
      </c>
      <c r="E635" s="1071" t="str">
        <f t="shared" si="605"/>
        <v>T009A</v>
      </c>
      <c r="F635" s="1125" t="str">
        <f t="shared" si="605"/>
        <v>2021-2024</v>
      </c>
      <c r="H635" s="1071" t="s">
        <v>29</v>
      </c>
      <c r="J635" s="1125"/>
      <c r="BB635" s="1108"/>
      <c r="BC635" s="1109"/>
      <c r="BD635" s="1109"/>
      <c r="BE635" s="1109"/>
      <c r="BF635" s="1585"/>
      <c r="BG635" s="1109"/>
      <c r="BH635" s="1109">
        <f t="shared" ref="BH635:BL635" si="606">IF($L332=0,0,(($BH332*O332)+($BI332*U332)+($BJ332*AA332)+($BK332*AG332)+($BL332*AM332))/$L332)</f>
        <v>0</v>
      </c>
      <c r="BI635" s="1109">
        <f t="shared" si="606"/>
        <v>4.4215200000000001</v>
      </c>
      <c r="BJ635" s="1109">
        <f t="shared" si="606"/>
        <v>8.8430400000000002</v>
      </c>
      <c r="BK635" s="1109">
        <f t="shared" si="606"/>
        <v>8.8430400000000002</v>
      </c>
      <c r="BL635" s="1109">
        <f t="shared" si="606"/>
        <v>8.8430400000000002</v>
      </c>
    </row>
    <row r="636" spans="3:64" hidden="1" outlineLevel="1">
      <c r="C636" s="1071" t="str">
        <f t="shared" ref="C636:F636" si="607">C333</f>
        <v>Network test equipment</v>
      </c>
      <c r="D636" s="1071" t="str">
        <f t="shared" si="607"/>
        <v>Network test equipment</v>
      </c>
      <c r="E636" s="1071" t="str">
        <f t="shared" si="607"/>
        <v>U009</v>
      </c>
      <c r="F636" s="1125" t="str">
        <f t="shared" si="607"/>
        <v>2021-2024</v>
      </c>
      <c r="H636" s="1071" t="s">
        <v>29</v>
      </c>
      <c r="J636" s="1125"/>
      <c r="BB636" s="1108"/>
      <c r="BC636" s="1109"/>
      <c r="BD636" s="1109"/>
      <c r="BE636" s="1109"/>
      <c r="BF636" s="1585"/>
      <c r="BG636" s="1109"/>
      <c r="BH636" s="1109">
        <f t="shared" ref="BH636:BL636" si="608">IF($L333=0,0,(($BH333*O333)+($BI333*U333)+($BJ333*AA333)+($BK333*AG333)+($BL333*AM333))/$L333)</f>
        <v>0</v>
      </c>
      <c r="BI636" s="1109">
        <f t="shared" si="608"/>
        <v>0</v>
      </c>
      <c r="BJ636" s="1109">
        <f t="shared" si="608"/>
        <v>0</v>
      </c>
      <c r="BK636" s="1109">
        <f t="shared" si="608"/>
        <v>3.6</v>
      </c>
      <c r="BL636" s="1109">
        <f t="shared" si="608"/>
        <v>14.4</v>
      </c>
    </row>
    <row r="637" spans="3:64" hidden="1" outlineLevel="1">
      <c r="C637" s="1071" t="str">
        <f t="shared" ref="C637:F637" si="609">C334</f>
        <v>Audio visual rooms</v>
      </c>
      <c r="D637" s="1071" t="str">
        <f t="shared" si="609"/>
        <v>Audio visual rooms</v>
      </c>
      <c r="E637" s="1071" t="str">
        <f t="shared" si="609"/>
        <v>S026</v>
      </c>
      <c r="F637" s="1125" t="str">
        <f t="shared" si="609"/>
        <v>2021-2024</v>
      </c>
      <c r="H637" s="1071" t="s">
        <v>29</v>
      </c>
      <c r="J637" s="1125"/>
      <c r="BB637" s="1108"/>
      <c r="BC637" s="1109"/>
      <c r="BD637" s="1109"/>
      <c r="BE637" s="1109"/>
      <c r="BF637" s="1585"/>
      <c r="BG637" s="1109"/>
      <c r="BH637" s="1109">
        <f t="shared" ref="BH637:BL637" si="610">IF($L334=0,0,(($BH334*O334)+($BI334*U334)+($BJ334*AA334)+($BK334*AG334)+($BL334*AM334))/$L334)</f>
        <v>0</v>
      </c>
      <c r="BI637" s="1109">
        <f t="shared" si="610"/>
        <v>6</v>
      </c>
      <c r="BJ637" s="1109">
        <f t="shared" si="610"/>
        <v>24</v>
      </c>
      <c r="BK637" s="1109">
        <f t="shared" si="610"/>
        <v>24</v>
      </c>
      <c r="BL637" s="1109">
        <f t="shared" si="610"/>
        <v>18</v>
      </c>
    </row>
    <row r="638" spans="3:64" hidden="1" outlineLevel="1">
      <c r="C638" s="1071" t="str">
        <f t="shared" ref="C638:F638" si="611">C335</f>
        <v>Migration of FMTP from IPv4 to IPv6</v>
      </c>
      <c r="D638" s="1071" t="str">
        <f t="shared" si="611"/>
        <v>Migration of FMTP from IPv4 to IPv6</v>
      </c>
      <c r="E638" s="1071" t="str">
        <f t="shared" si="611"/>
        <v>Q004</v>
      </c>
      <c r="F638" s="1125" t="str">
        <f t="shared" si="611"/>
        <v>2021-2024</v>
      </c>
      <c r="H638" s="1071" t="s">
        <v>29</v>
      </c>
      <c r="J638" s="1125"/>
      <c r="BB638" s="1108"/>
      <c r="BC638" s="1109"/>
      <c r="BD638" s="1109"/>
      <c r="BE638" s="1109"/>
      <c r="BF638" s="1585"/>
      <c r="BG638" s="1109"/>
      <c r="BH638" s="1109">
        <f t="shared" ref="BH638:BL638" si="612">IF($L335=0,0,(($BH335*O335)+($BI335*U335)+($BJ335*AA335)+($BK335*AG335)+($BL335*AM335))/$L335)</f>
        <v>0</v>
      </c>
      <c r="BI638" s="1109">
        <f t="shared" si="612"/>
        <v>2.0951737500000003</v>
      </c>
      <c r="BJ638" s="1109">
        <f t="shared" si="612"/>
        <v>8.3806950000000011</v>
      </c>
      <c r="BK638" s="1109">
        <f t="shared" si="612"/>
        <v>8.3806950000000011</v>
      </c>
      <c r="BL638" s="1109">
        <f t="shared" si="612"/>
        <v>8.3806950000000011</v>
      </c>
    </row>
    <row r="639" spans="3:64" hidden="1" outlineLevel="1">
      <c r="C639" s="1071" t="str">
        <f t="shared" ref="C639:F639" si="613">C336</f>
        <v>PABX Infrastructure</v>
      </c>
      <c r="D639" s="1071" t="str">
        <f t="shared" si="613"/>
        <v>PABX Infrastructure</v>
      </c>
      <c r="E639" s="1071" t="str">
        <f t="shared" si="613"/>
        <v>P005</v>
      </c>
      <c r="F639" s="1125" t="str">
        <f t="shared" si="613"/>
        <v>2021-2024</v>
      </c>
      <c r="H639" s="1071" t="s">
        <v>29</v>
      </c>
      <c r="J639" s="1125"/>
      <c r="BB639" s="1108"/>
      <c r="BC639" s="1109"/>
      <c r="BD639" s="1109"/>
      <c r="BE639" s="1109"/>
      <c r="BF639" s="1585"/>
      <c r="BG639" s="1109"/>
      <c r="BH639" s="1109">
        <f t="shared" ref="BH639:BL639" si="614">IF($L336=0,0,(($BH336*O336)+($BI336*U336)+($BJ336*AA336)+($BK336*AG336)+($BL336*AM336))/$L336)</f>
        <v>0</v>
      </c>
      <c r="BI639" s="1109">
        <f t="shared" si="614"/>
        <v>2.719897</v>
      </c>
      <c r="BJ639" s="1109">
        <f t="shared" si="614"/>
        <v>5.439794</v>
      </c>
      <c r="BK639" s="1109">
        <f t="shared" si="614"/>
        <v>5.439794</v>
      </c>
      <c r="BL639" s="1109">
        <f t="shared" si="614"/>
        <v>5.439794</v>
      </c>
    </row>
    <row r="640" spans="3:64" hidden="1" outlineLevel="1">
      <c r="C640" s="1071" t="str">
        <f t="shared" ref="C640:F640" si="615">C337</f>
        <v>Gerator Upgrade Programme</v>
      </c>
      <c r="D640" s="1071" t="str">
        <f t="shared" si="615"/>
        <v>Gerator Upgrade Programme</v>
      </c>
      <c r="E640" s="1071" t="str">
        <f t="shared" si="615"/>
        <v>T004</v>
      </c>
      <c r="F640" s="1125" t="str">
        <f t="shared" si="615"/>
        <v>2021-2024</v>
      </c>
      <c r="H640" s="1071" t="s">
        <v>29</v>
      </c>
      <c r="J640" s="1125"/>
      <c r="BB640" s="1108"/>
      <c r="BC640" s="1109"/>
      <c r="BD640" s="1109"/>
      <c r="BE640" s="1109"/>
      <c r="BF640" s="1585"/>
      <c r="BG640" s="1109"/>
      <c r="BH640" s="1109">
        <f t="shared" ref="BH640:BL640" si="616">IF($L337=0,0,(($BH337*O337)+($BI337*U337)+($BJ337*AA337)+($BK337*AG337)+($BL337*AM337))/$L337)</f>
        <v>0</v>
      </c>
      <c r="BI640" s="1109">
        <f t="shared" si="616"/>
        <v>0</v>
      </c>
      <c r="BJ640" s="1109">
        <f t="shared" si="616"/>
        <v>0</v>
      </c>
      <c r="BK640" s="1109">
        <f t="shared" si="616"/>
        <v>0</v>
      </c>
      <c r="BL640" s="1109">
        <f t="shared" si="616"/>
        <v>0</v>
      </c>
    </row>
    <row r="641" spans="3:64" hidden="1" outlineLevel="1">
      <c r="C641" s="1071" t="str">
        <f t="shared" ref="C641:F641" si="617">C338</f>
        <v>Gerator Upgrade Programme - Woodcock Hill</v>
      </c>
      <c r="D641" s="1071" t="str">
        <f t="shared" si="617"/>
        <v>Gerator Upgrade Programme</v>
      </c>
      <c r="E641" s="1071" t="str">
        <f t="shared" si="617"/>
        <v>T004A</v>
      </c>
      <c r="F641" s="1125" t="str">
        <f t="shared" si="617"/>
        <v>2021-2024</v>
      </c>
      <c r="H641" s="1071" t="s">
        <v>29</v>
      </c>
      <c r="J641" s="1125"/>
      <c r="BB641" s="1108"/>
      <c r="BC641" s="1109"/>
      <c r="BD641" s="1109"/>
      <c r="BE641" s="1109"/>
      <c r="BF641" s="1585"/>
      <c r="BG641" s="1109"/>
      <c r="BH641" s="1109">
        <f t="shared" ref="BH641:BL641" si="618">IF($L338=0,0,(($BH338*O338)+($BI338*U338)+($BJ338*AA338)+($BK338*AG338)+($BL338*AM338))/$L338)</f>
        <v>0</v>
      </c>
      <c r="BI641" s="1109">
        <f t="shared" si="618"/>
        <v>0</v>
      </c>
      <c r="BJ641" s="1109">
        <f t="shared" si="618"/>
        <v>8</v>
      </c>
      <c r="BK641" s="1109">
        <f t="shared" si="618"/>
        <v>8</v>
      </c>
      <c r="BL641" s="1109">
        <f t="shared" si="618"/>
        <v>8</v>
      </c>
    </row>
    <row r="642" spans="3:64" hidden="1" outlineLevel="1">
      <c r="C642" s="1071" t="str">
        <f t="shared" ref="C642:F642" si="619">C339</f>
        <v>Test Equipment for Navigational Aid Systems</v>
      </c>
      <c r="D642" s="1071" t="str">
        <f t="shared" si="619"/>
        <v>Nav Aids Equipment</v>
      </c>
      <c r="E642" s="1071" t="str">
        <f t="shared" si="619"/>
        <v>S004</v>
      </c>
      <c r="F642" s="1125" t="str">
        <f t="shared" si="619"/>
        <v>2021-2024</v>
      </c>
      <c r="H642" s="1071" t="s">
        <v>29</v>
      </c>
      <c r="J642" s="1125"/>
      <c r="BB642" s="1108"/>
      <c r="BC642" s="1109"/>
      <c r="BD642" s="1109"/>
      <c r="BE642" s="1109"/>
      <c r="BF642" s="1585"/>
      <c r="BG642" s="1109"/>
      <c r="BH642" s="1109">
        <f t="shared" ref="BH642:BL642" si="620">IF($L339=0,0,(($BH339*O339)+($BI339*U339)+($BJ339*AA339)+($BK339*AG339)+($BL339*AM339))/$L339)</f>
        <v>0</v>
      </c>
      <c r="BI642" s="1109">
        <f t="shared" si="620"/>
        <v>0</v>
      </c>
      <c r="BJ642" s="1109">
        <f t="shared" si="620"/>
        <v>0</v>
      </c>
      <c r="BK642" s="1109">
        <f t="shared" si="620"/>
        <v>0</v>
      </c>
      <c r="BL642" s="1109">
        <f t="shared" si="620"/>
        <v>0</v>
      </c>
    </row>
    <row r="643" spans="3:64" hidden="1" outlineLevel="1">
      <c r="C643" s="1071" t="str">
        <f t="shared" ref="C643:F643" si="621">C340</f>
        <v>Nav Aids Equipment Dublin</v>
      </c>
      <c r="D643" s="1071" t="str">
        <f t="shared" si="621"/>
        <v>Nav Aids Equipment</v>
      </c>
      <c r="E643" s="1071" t="str">
        <f t="shared" si="621"/>
        <v>S004A</v>
      </c>
      <c r="F643" s="1125" t="str">
        <f t="shared" si="621"/>
        <v>2021-2024</v>
      </c>
      <c r="H643" s="1071" t="s">
        <v>29</v>
      </c>
      <c r="J643" s="1125"/>
      <c r="BB643" s="1108"/>
      <c r="BC643" s="1109"/>
      <c r="BD643" s="1109"/>
      <c r="BE643" s="1109"/>
      <c r="BF643" s="1585"/>
      <c r="BG643" s="1109"/>
      <c r="BH643" s="1109">
        <f t="shared" ref="BH643:BL643" si="622">IF($L340=0,0,(($BH340*O340)+($BI340*U340)+($BJ340*AA340)+($BK340*AG340)+($BL340*AM340))/$L340)</f>
        <v>0</v>
      </c>
      <c r="BI643" s="1109">
        <f t="shared" si="622"/>
        <v>0.94781499999999885</v>
      </c>
      <c r="BJ643" s="1109">
        <f t="shared" si="622"/>
        <v>3.7912599999999954</v>
      </c>
      <c r="BK643" s="1109">
        <f t="shared" si="622"/>
        <v>3.7912599999999954</v>
      </c>
      <c r="BL643" s="1109">
        <f t="shared" si="622"/>
        <v>3.7912599999999954</v>
      </c>
    </row>
    <row r="644" spans="3:64" hidden="1" outlineLevel="1">
      <c r="C644" s="1071" t="str">
        <f t="shared" ref="C644:F644" si="623">C341</f>
        <v>Nav Aids Equipment Cork</v>
      </c>
      <c r="D644" s="1071" t="str">
        <f t="shared" si="623"/>
        <v>Nav Aids Equipment</v>
      </c>
      <c r="E644" s="1071" t="str">
        <f t="shared" si="623"/>
        <v>S004A</v>
      </c>
      <c r="F644" s="1125" t="str">
        <f t="shared" si="623"/>
        <v>2021-2024</v>
      </c>
      <c r="H644" s="1071" t="s">
        <v>29</v>
      </c>
      <c r="J644" s="1125"/>
      <c r="BB644" s="1108"/>
      <c r="BC644" s="1109"/>
      <c r="BD644" s="1109"/>
      <c r="BE644" s="1109"/>
      <c r="BF644" s="1585"/>
      <c r="BG644" s="1109"/>
      <c r="BH644" s="1109">
        <f t="shared" ref="BH644:BL644" si="624">IF($L341=0,0,(($BH341*O341)+($BI341*U341)+($BJ341*AA341)+($BK341*AG341)+($BL341*AM341))/$L341)</f>
        <v>0</v>
      </c>
      <c r="BI644" s="1109">
        <f t="shared" si="624"/>
        <v>0</v>
      </c>
      <c r="BJ644" s="1109">
        <f t="shared" si="624"/>
        <v>0</v>
      </c>
      <c r="BK644" s="1109">
        <f t="shared" si="624"/>
        <v>0</v>
      </c>
      <c r="BL644" s="1109">
        <f t="shared" si="624"/>
        <v>0</v>
      </c>
    </row>
    <row r="645" spans="3:64" hidden="1" outlineLevel="1">
      <c r="C645" s="1071" t="str">
        <f t="shared" ref="C645:F645" si="625">C342</f>
        <v>Nav Aids Equipment Shannon</v>
      </c>
      <c r="D645" s="1071" t="str">
        <f t="shared" si="625"/>
        <v>Nav Aids Equipment</v>
      </c>
      <c r="E645" s="1071" t="str">
        <f t="shared" si="625"/>
        <v>S004A</v>
      </c>
      <c r="F645" s="1125" t="str">
        <f t="shared" si="625"/>
        <v>2021-2024</v>
      </c>
      <c r="H645" s="1071" t="s">
        <v>29</v>
      </c>
      <c r="J645" s="1125"/>
      <c r="BB645" s="1108"/>
      <c r="BC645" s="1109"/>
      <c r="BD645" s="1109"/>
      <c r="BE645" s="1109"/>
      <c r="BF645" s="1585"/>
      <c r="BG645" s="1109"/>
      <c r="BH645" s="1109">
        <f t="shared" ref="BH645:BL645" si="626">IF($L342=0,0,(($BH342*O342)+($BI342*U342)+($BJ342*AA342)+($BK342*AG342)+($BL342*AM342))/$L342)</f>
        <v>0</v>
      </c>
      <c r="BI645" s="1109">
        <f t="shared" si="626"/>
        <v>0</v>
      </c>
      <c r="BJ645" s="1109">
        <f t="shared" si="626"/>
        <v>0.875</v>
      </c>
      <c r="BK645" s="1109">
        <f t="shared" si="626"/>
        <v>3.5</v>
      </c>
      <c r="BL645" s="1109">
        <f t="shared" si="626"/>
        <v>3.5</v>
      </c>
    </row>
    <row r="646" spans="3:64" hidden="1" outlineLevel="1">
      <c r="C646" s="1071" t="str">
        <f t="shared" ref="C646:F646" si="627">C343</f>
        <v>Conference Centre Wi-FI &amp; UPS</v>
      </c>
      <c r="D646" s="1071" t="str">
        <f t="shared" si="627"/>
        <v>Conference Centre Wi-FI &amp; UPS</v>
      </c>
      <c r="E646" s="1071" t="str">
        <f t="shared" si="627"/>
        <v>S033</v>
      </c>
      <c r="F646" s="1125" t="str">
        <f t="shared" si="627"/>
        <v>2021-2024</v>
      </c>
      <c r="H646" s="1071" t="s">
        <v>29</v>
      </c>
      <c r="J646" s="1125"/>
      <c r="BB646" s="1108"/>
      <c r="BC646" s="1109"/>
      <c r="BD646" s="1109"/>
      <c r="BE646" s="1109"/>
      <c r="BF646" s="1585"/>
      <c r="BG646" s="1109"/>
      <c r="BH646" s="1109">
        <f t="shared" ref="BH646:BL646" si="628">IF($L343=0,0,(($BH343*O343)+($BI343*U343)+($BJ343*AA343)+($BK343*AG343)+($BL343*AM343))/$L343)</f>
        <v>0</v>
      </c>
      <c r="BI646" s="1109">
        <f t="shared" si="628"/>
        <v>1.4</v>
      </c>
      <c r="BJ646" s="1109">
        <f t="shared" si="628"/>
        <v>5.6</v>
      </c>
      <c r="BK646" s="1109">
        <f t="shared" si="628"/>
        <v>5.6</v>
      </c>
      <c r="BL646" s="1109">
        <f t="shared" si="628"/>
        <v>5.6</v>
      </c>
    </row>
    <row r="647" spans="3:64" hidden="1" outlineLevel="1">
      <c r="C647" s="1071" t="str">
        <f t="shared" ref="C647:F647" si="629">C344</f>
        <v>Mechanical and Electrical Requirements</v>
      </c>
      <c r="D647" s="1071" t="str">
        <f t="shared" si="629"/>
        <v>Mechanical and Electrical Requirements</v>
      </c>
      <c r="E647" s="1071" t="str">
        <f t="shared" si="629"/>
        <v>S022</v>
      </c>
      <c r="F647" s="1125" t="str">
        <f t="shared" si="629"/>
        <v>2021-2024</v>
      </c>
      <c r="H647" s="1071" t="s">
        <v>29</v>
      </c>
      <c r="J647" s="1125"/>
      <c r="BB647" s="1108"/>
      <c r="BC647" s="1109"/>
      <c r="BD647" s="1109"/>
      <c r="BE647" s="1109"/>
      <c r="BF647" s="1585"/>
      <c r="BG647" s="1109"/>
      <c r="BH647" s="1109">
        <f t="shared" ref="BH647:BL647" si="630">IF($L344=0,0,(($BH344*O344)+($BI344*U344)+($BJ344*AA344)+($BK344*AG344)+($BL344*AM344))/$L344)</f>
        <v>0</v>
      </c>
      <c r="BI647" s="1109">
        <f t="shared" si="630"/>
        <v>0</v>
      </c>
      <c r="BJ647" s="1109">
        <f t="shared" si="630"/>
        <v>2.7513000000000005</v>
      </c>
      <c r="BK647" s="1109">
        <f t="shared" si="630"/>
        <v>2.7513000000000005</v>
      </c>
      <c r="BL647" s="1109">
        <f t="shared" si="630"/>
        <v>2.7513000000000005</v>
      </c>
    </row>
    <row r="648" spans="3:64" hidden="1" outlineLevel="1">
      <c r="C648" s="1071" t="str">
        <f t="shared" ref="C648:F648" si="631">C345</f>
        <v>Controller Pilot Data Linking (CPDLC) SITA Ground Station expansion</v>
      </c>
      <c r="D648" s="1071" t="str">
        <f t="shared" si="631"/>
        <v>Controller Pilot Data Linking (CPDLC) SITA Ground Station expansion</v>
      </c>
      <c r="E648" s="1071" t="str">
        <f t="shared" si="631"/>
        <v>Q009</v>
      </c>
      <c r="F648" s="1125" t="str">
        <f t="shared" si="631"/>
        <v>2021-2024</v>
      </c>
      <c r="H648" s="1071" t="s">
        <v>29</v>
      </c>
      <c r="J648" s="1125"/>
      <c r="BB648" s="1108"/>
      <c r="BC648" s="1109"/>
      <c r="BD648" s="1109"/>
      <c r="BE648" s="1109"/>
      <c r="BF648" s="1585"/>
      <c r="BG648" s="1109"/>
      <c r="BH648" s="1109">
        <f t="shared" ref="BH648:BL648" si="632">IF($L345=0,0,(($BH345*O345)+($BI345*U345)+($BJ345*AA345)+($BK345*AG345)+($BL345*AM345))/$L345)</f>
        <v>0</v>
      </c>
      <c r="BI648" s="1109">
        <f t="shared" si="632"/>
        <v>0</v>
      </c>
      <c r="BJ648" s="1109">
        <f t="shared" si="632"/>
        <v>1.25</v>
      </c>
      <c r="BK648" s="1109">
        <f t="shared" si="632"/>
        <v>2.5</v>
      </c>
      <c r="BL648" s="1109">
        <f t="shared" si="632"/>
        <v>2.5</v>
      </c>
    </row>
    <row r="649" spans="3:64" hidden="1" outlineLevel="1">
      <c r="C649" s="1071" t="str">
        <f t="shared" ref="C649:F649" si="633">C346</f>
        <v>Piloting New Technology</v>
      </c>
      <c r="D649" s="1071" t="str">
        <f t="shared" si="633"/>
        <v>Piloting New Technology</v>
      </c>
      <c r="E649" s="1071" t="str">
        <f t="shared" si="633"/>
        <v>L016</v>
      </c>
      <c r="F649" s="1125" t="str">
        <f t="shared" si="633"/>
        <v>2021-2024</v>
      </c>
      <c r="H649" s="1071" t="s">
        <v>29</v>
      </c>
      <c r="J649" s="1125"/>
      <c r="BB649" s="1108"/>
      <c r="BC649" s="1109"/>
      <c r="BD649" s="1109"/>
      <c r="BE649" s="1109"/>
      <c r="BF649" s="1585"/>
      <c r="BG649" s="1109"/>
      <c r="BH649" s="1109">
        <f t="shared" ref="BH649:BL649" si="634">IF($L346=0,0,(($BH346*O346)+($BI346*U346)+($BJ346*AA346)+($BK346*AG346)+($BL346*AM346))/$L346)</f>
        <v>0</v>
      </c>
      <c r="BI649" s="1109">
        <f t="shared" si="634"/>
        <v>0</v>
      </c>
      <c r="BJ649" s="1109">
        <f t="shared" si="634"/>
        <v>0</v>
      </c>
      <c r="BK649" s="1109">
        <f t="shared" si="634"/>
        <v>6.1834666666666669</v>
      </c>
      <c r="BL649" s="1109">
        <f t="shared" si="634"/>
        <v>6.1834666666666669</v>
      </c>
    </row>
    <row r="650" spans="3:64" ht="10.15" customHeight="1" collapsed="1">
      <c r="C650" s="1110"/>
      <c r="D650" s="1110"/>
      <c r="E650" s="1110"/>
      <c r="F650" s="1110"/>
      <c r="G650" s="1110"/>
      <c r="H650" s="1110"/>
      <c r="I650" s="1110"/>
      <c r="J650" s="1110"/>
      <c r="K650" s="1110"/>
      <c r="L650" s="1110"/>
      <c r="M650" s="1110"/>
      <c r="N650" s="1110"/>
      <c r="O650" s="1110"/>
      <c r="P650" s="1110"/>
      <c r="Q650" s="1110"/>
      <c r="R650" s="1110"/>
      <c r="S650" s="1110"/>
      <c r="T650" s="1110"/>
      <c r="U650" s="1110"/>
      <c r="V650" s="1110"/>
      <c r="W650" s="1110"/>
      <c r="X650" s="1110"/>
      <c r="Y650" s="1110"/>
      <c r="Z650" s="1110"/>
      <c r="AA650" s="1110"/>
      <c r="AB650" s="1110"/>
      <c r="AC650" s="1110"/>
      <c r="AD650" s="1110"/>
      <c r="AE650" s="1110"/>
      <c r="AF650" s="1110"/>
      <c r="AG650" s="1110"/>
      <c r="AH650" s="1110"/>
      <c r="AI650" s="1110"/>
      <c r="AJ650" s="1110"/>
      <c r="AK650" s="1110"/>
      <c r="AL650" s="1110"/>
      <c r="AM650" s="1110"/>
      <c r="AN650" s="1110"/>
      <c r="AO650" s="1110"/>
      <c r="AP650" s="1110"/>
      <c r="AQ650" s="1110"/>
      <c r="AR650" s="1110"/>
      <c r="AS650" s="1110"/>
      <c r="AT650" s="1110"/>
      <c r="AU650" s="1110"/>
      <c r="AV650" s="1110"/>
      <c r="AW650" s="1110"/>
      <c r="AX650" s="1110"/>
      <c r="AY650" s="1110"/>
      <c r="AZ650" s="1110"/>
      <c r="BA650" s="1110"/>
      <c r="BB650" s="1110"/>
      <c r="BC650" s="1111"/>
      <c r="BD650" s="1111"/>
      <c r="BE650" s="1111"/>
      <c r="BF650" s="1111"/>
      <c r="BG650" s="1111"/>
      <c r="BH650" s="1111"/>
      <c r="BI650" s="1111"/>
      <c r="BJ650" s="1111"/>
      <c r="BK650" s="1111"/>
      <c r="BL650" s="1111"/>
    </row>
    <row r="651" spans="3:64">
      <c r="C651" s="1206" t="s">
        <v>727</v>
      </c>
      <c r="H651" s="1104" t="s">
        <v>29</v>
      </c>
      <c r="I651" s="1104"/>
      <c r="BC651" s="1105"/>
      <c r="BD651" s="1105"/>
      <c r="BE651" s="1105"/>
      <c r="BF651" s="1105"/>
      <c r="BG651" s="1105"/>
      <c r="BH651" s="1105">
        <f>SUMPRODUCT(BH$49:BH$346,AS$49:AS$346,$M$49:$M$346)</f>
        <v>264.86566166666677</v>
      </c>
      <c r="BI651" s="1105">
        <f>SUMPRODUCT(BI$49:BI$346,AT$49:AT$346,$M$49:$M$346)</f>
        <v>1570.9222412209954</v>
      </c>
      <c r="BJ651" s="1105">
        <f>SUMPRODUCT(BJ$49:BJ$346,AU$49:AU$346,$M$49:$M$346)</f>
        <v>1959.0629807065627</v>
      </c>
      <c r="BK651" s="1105">
        <f>SUMPRODUCT(BK$49:BK$346,AV$49:AV$346,$M$49:$M$346)</f>
        <v>1361.7445847711697</v>
      </c>
      <c r="BL651" s="1105">
        <f>SUMPRODUCT(BL$49:BL$346,AW$49:AW$346,$M$49:$M$346)</f>
        <v>541.10875795007348</v>
      </c>
    </row>
    <row r="652" spans="3:64">
      <c r="C652" s="1206" t="s">
        <v>728</v>
      </c>
      <c r="H652" s="1104" t="s">
        <v>29</v>
      </c>
      <c r="I652" s="1104"/>
      <c r="BC652" s="1105"/>
      <c r="BD652" s="1105"/>
      <c r="BE652" s="1105"/>
      <c r="BF652" s="1105"/>
      <c r="BG652" s="1105"/>
      <c r="BH652" s="1105">
        <f>BH653-BH651</f>
        <v>0</v>
      </c>
      <c r="BI652" s="1105">
        <f>BI653-BI651</f>
        <v>1535.3159951891873</v>
      </c>
      <c r="BJ652" s="1105">
        <f>BJ653-BJ651</f>
        <v>5011.0849110973741</v>
      </c>
      <c r="BK652" s="1105">
        <f>BK653-BK651</f>
        <v>8429.9415605416343</v>
      </c>
      <c r="BL652" s="1105">
        <f>BL653-BL651</f>
        <v>10656.445208654088</v>
      </c>
    </row>
    <row r="653" spans="3:64">
      <c r="C653" s="1206" t="s">
        <v>729</v>
      </c>
      <c r="D653" s="1206"/>
      <c r="H653" s="1104" t="s">
        <v>29</v>
      </c>
      <c r="I653" s="1104"/>
      <c r="BC653" s="1105"/>
      <c r="BD653" s="1105"/>
      <c r="BE653" s="1105"/>
      <c r="BF653" s="1105"/>
      <c r="BG653" s="1105"/>
      <c r="BH653" s="1105">
        <f>SUM(BH352:BH649)</f>
        <v>264.86566166666671</v>
      </c>
      <c r="BI653" s="1105">
        <f>SUM(BI352:BI649)</f>
        <v>3106.2382364101827</v>
      </c>
      <c r="BJ653" s="1105">
        <f>SUM(BJ352:BJ649)</f>
        <v>6970.1478918039365</v>
      </c>
      <c r="BK653" s="1105">
        <f>SUM(BK352:BK649)</f>
        <v>9791.686145312804</v>
      </c>
      <c r="BL653" s="1105">
        <f>SUM(BL352:BL649)</f>
        <v>11197.55396660416</v>
      </c>
    </row>
    <row r="654" spans="3:64">
      <c r="C654" s="1206" t="s">
        <v>730</v>
      </c>
      <c r="D654" s="1206"/>
      <c r="F654" s="1203"/>
      <c r="H654" s="1104" t="s">
        <v>29</v>
      </c>
      <c r="I654" s="1104"/>
      <c r="BC654" s="1105"/>
      <c r="BD654" s="1105"/>
      <c r="BE654" s="1105"/>
      <c r="BF654" s="1105"/>
      <c r="BG654" s="1105"/>
      <c r="BH654" s="1105">
        <f t="shared" ref="BH654:BL654" si="635">BH15</f>
        <v>8550.5722256201316</v>
      </c>
      <c r="BI654" s="1105">
        <f t="shared" si="635"/>
        <v>7980.2620400368105</v>
      </c>
      <c r="BJ654" s="1105">
        <f t="shared" si="635"/>
        <v>6432.2138783700902</v>
      </c>
      <c r="BK654" s="1105">
        <f t="shared" si="635"/>
        <v>4529.4260649534535</v>
      </c>
      <c r="BL654" s="1105">
        <f t="shared" si="635"/>
        <v>2415.1777417867866</v>
      </c>
    </row>
    <row r="655" spans="3:64">
      <c r="C655" s="1206" t="s">
        <v>731</v>
      </c>
      <c r="D655" s="1206"/>
      <c r="H655" s="1104" t="s">
        <v>29</v>
      </c>
      <c r="I655" s="1104"/>
      <c r="BC655" s="1105"/>
      <c r="BD655" s="1105"/>
      <c r="BE655" s="1105"/>
      <c r="BF655" s="1105"/>
      <c r="BG655" s="1105"/>
      <c r="BH655" s="1105">
        <f>SUM(BH653:BH654)</f>
        <v>8815.4378872867983</v>
      </c>
      <c r="BI655" s="1105">
        <f t="shared" ref="BI655:BL655" si="636">SUM(BI653:BI654)</f>
        <v>11086.500276446994</v>
      </c>
      <c r="BJ655" s="1105">
        <f t="shared" si="636"/>
        <v>13402.361770174026</v>
      </c>
      <c r="BK655" s="1105">
        <f t="shared" si="636"/>
        <v>14321.112210266258</v>
      </c>
      <c r="BL655" s="1105">
        <f t="shared" si="636"/>
        <v>13612.731708390947</v>
      </c>
    </row>
    <row r="656" spans="3:64">
      <c r="C656" s="1104"/>
      <c r="H656" s="1104"/>
      <c r="I656" s="1104"/>
      <c r="BC656" s="1105"/>
      <c r="BD656" s="1105"/>
      <c r="BE656" s="1105"/>
      <c r="BF656" s="1105"/>
      <c r="BG656" s="1105"/>
      <c r="BH656" s="1105"/>
      <c r="BI656" s="1105"/>
      <c r="BJ656" s="1105"/>
      <c r="BK656" s="1105"/>
      <c r="BL656" s="1105"/>
    </row>
    <row r="657" spans="2:64" ht="13.5" thickBot="1">
      <c r="B657" s="1091" t="s">
        <v>732</v>
      </c>
      <c r="C657" s="1091"/>
      <c r="D657" s="1091"/>
      <c r="E657" s="1091"/>
      <c r="F657" s="1091"/>
      <c r="G657" s="1091"/>
      <c r="H657" s="1091"/>
      <c r="I657" s="1091"/>
      <c r="J657" s="1091"/>
      <c r="K657" s="1091"/>
      <c r="L657" s="1091"/>
      <c r="M657" s="1091"/>
      <c r="N657" s="1091"/>
      <c r="O657" s="1091"/>
      <c r="P657" s="1091"/>
      <c r="Q657" s="1091"/>
      <c r="R657" s="1091"/>
      <c r="S657" s="1091"/>
      <c r="T657" s="1091"/>
      <c r="U657" s="1091"/>
      <c r="V657" s="1091"/>
      <c r="W657" s="1091"/>
      <c r="X657" s="1091"/>
      <c r="Y657" s="1091"/>
      <c r="Z657" s="1091"/>
      <c r="AA657" s="1091"/>
      <c r="AB657" s="1091"/>
      <c r="AC657" s="1091"/>
      <c r="AD657" s="1091"/>
      <c r="AE657" s="1091"/>
      <c r="AF657" s="1091"/>
      <c r="AG657" s="1091"/>
      <c r="AH657" s="1091"/>
      <c r="AI657" s="1091"/>
      <c r="AJ657" s="1091"/>
      <c r="AK657" s="1091"/>
      <c r="AL657" s="1091"/>
      <c r="AM657" s="1091"/>
      <c r="AN657" s="1091"/>
      <c r="AO657" s="1091"/>
      <c r="AP657" s="1091"/>
      <c r="AQ657" s="1091"/>
      <c r="AR657" s="1091"/>
      <c r="AS657" s="1091"/>
      <c r="AT657" s="1091"/>
      <c r="AU657" s="1091"/>
      <c r="AV657" s="1091"/>
      <c r="AW657" s="1091"/>
      <c r="AX657" s="1091"/>
      <c r="AY657" s="1091"/>
      <c r="AZ657" s="1091"/>
      <c r="BA657" s="1091"/>
      <c r="BB657" s="1091"/>
      <c r="BC657" s="1091"/>
      <c r="BD657" s="1091"/>
      <c r="BE657" s="1091"/>
      <c r="BF657" s="1091"/>
      <c r="BG657" s="1091"/>
      <c r="BH657" s="1091"/>
      <c r="BI657" s="1091"/>
      <c r="BJ657" s="1091"/>
      <c r="BK657" s="1091"/>
      <c r="BL657" s="1091"/>
    </row>
    <row r="658" spans="2:64">
      <c r="C658" s="1207" t="s">
        <v>733</v>
      </c>
      <c r="H658" s="1104" t="s">
        <v>29</v>
      </c>
      <c r="BC658" s="1071"/>
      <c r="BD658" s="1071"/>
      <c r="BE658" s="1071"/>
      <c r="BF658" s="1071"/>
      <c r="BG658" s="1071"/>
      <c r="BH658" s="1211">
        <f>((BG660-BH654-BH652)+BG660)/2</f>
        <v>19189.437760687535</v>
      </c>
      <c r="BI658" s="1211">
        <f>((BH660-BI654-BI652)+BH660)/2</f>
        <v>25189.826198597806</v>
      </c>
      <c r="BJ658" s="1211">
        <f>((BI660-BJ654-BJ652)+BI660)/2</f>
        <v>70562.506005888019</v>
      </c>
      <c r="BK658" s="1211">
        <f>((BJ660-BK654-BK652)+BJ660)/2</f>
        <v>87950.956717170164</v>
      </c>
      <c r="BL658" s="1211">
        <f>((BK660-BL654-BL652)+BK660)/2</f>
        <v>97668.124168170616</v>
      </c>
    </row>
    <row r="659" spans="2:64">
      <c r="C659" s="1104" t="s">
        <v>734</v>
      </c>
      <c r="H659" s="1104" t="s">
        <v>29</v>
      </c>
      <c r="I659" s="1104"/>
      <c r="BC659" s="1105"/>
      <c r="BD659" s="1105"/>
      <c r="BE659" s="1105"/>
      <c r="BF659" s="1105"/>
      <c r="BG659" s="1105"/>
      <c r="BH659" s="1116">
        <f>BH658+BH349-BH651</f>
        <v>20942.237154020866</v>
      </c>
      <c r="BI659" s="1116">
        <f>BI658+BI349-BI651</f>
        <v>50837.06363597462</v>
      </c>
      <c r="BJ659" s="1116">
        <f>BJ658+BJ349-BJ651</f>
        <v>85213.159388833956</v>
      </c>
      <c r="BK659" s="1116">
        <f>BK658+BK349-BK651</f>
        <v>100365.94981056836</v>
      </c>
      <c r="BL659" s="1116">
        <f>BL658+BL349-BL651</f>
        <v>103919.04754982113</v>
      </c>
    </row>
    <row r="660" spans="2:64">
      <c r="C660" s="1104" t="s">
        <v>735</v>
      </c>
      <c r="H660" s="1104" t="s">
        <v>29</v>
      </c>
      <c r="I660" s="1104"/>
      <c r="BC660" s="1105"/>
      <c r="BD660" s="1105"/>
      <c r="BE660" s="1105"/>
      <c r="BF660" s="1105"/>
      <c r="BG660" s="1105">
        <f>BG18</f>
        <v>23464.723873497602</v>
      </c>
      <c r="BH660" s="1105">
        <f>BG660+BH348-BH655</f>
        <v>29947.615216210805</v>
      </c>
      <c r="BI660" s="1105">
        <f>BH660+BI348-BI655</f>
        <v>76284.155400621748</v>
      </c>
      <c r="BJ660" s="1105">
        <f>BI660+BJ348-BJ655</f>
        <v>94430.640529917713</v>
      </c>
      <c r="BK660" s="1105">
        <f>BJ660+BK348-BK655</f>
        <v>104203.93564339104</v>
      </c>
      <c r="BL660" s="1105">
        <f>BK660+BL348-BL655</f>
        <v>103123.97015860068</v>
      </c>
    </row>
    <row r="661" spans="2:64">
      <c r="C661" s="1104"/>
      <c r="H661" s="1104"/>
      <c r="I661" s="1104"/>
      <c r="BC661" s="1105"/>
      <c r="BD661" s="1105"/>
      <c r="BE661" s="1105"/>
      <c r="BF661" s="1105"/>
      <c r="BG661" s="1582" t="s">
        <v>737</v>
      </c>
      <c r="BH661" s="1583">
        <f>BG660+BH348-BH655-BH660</f>
        <v>0</v>
      </c>
      <c r="BI661" s="1583">
        <f t="shared" ref="BI661:BL661" si="637">BH660+BI348-BI655-BI660</f>
        <v>0</v>
      </c>
      <c r="BJ661" s="1583">
        <f t="shared" si="637"/>
        <v>0</v>
      </c>
      <c r="BK661" s="1583">
        <f t="shared" si="637"/>
        <v>0</v>
      </c>
      <c r="BL661" s="1584">
        <f t="shared" si="637"/>
        <v>0</v>
      </c>
    </row>
    <row r="662" spans="2:64" ht="13.5" thickBot="1">
      <c r="B662" s="1091" t="s">
        <v>743</v>
      </c>
      <c r="C662" s="1091"/>
      <c r="D662" s="1137" t="s">
        <v>749</v>
      </c>
      <c r="E662" s="1106"/>
      <c r="F662" s="1106"/>
      <c r="G662" s="1106"/>
      <c r="H662" s="1106"/>
      <c r="I662" s="1106"/>
      <c r="J662" s="1106"/>
      <c r="K662" s="1106"/>
      <c r="L662" s="1106"/>
      <c r="M662" s="1106"/>
      <c r="N662" s="1106"/>
      <c r="O662" s="1137" t="s">
        <v>750</v>
      </c>
      <c r="P662" s="1091"/>
      <c r="Q662" s="1091"/>
      <c r="R662" s="1091"/>
      <c r="S662" s="1091"/>
      <c r="T662" s="1091"/>
      <c r="U662" s="1137" t="s">
        <v>751</v>
      </c>
      <c r="V662" s="1091"/>
      <c r="W662" s="1091"/>
      <c r="X662" s="1091"/>
      <c r="Y662" s="1091"/>
      <c r="Z662" s="1091"/>
      <c r="AA662" s="1091"/>
      <c r="AB662" s="1091"/>
      <c r="AC662" s="1091"/>
      <c r="AD662" s="1091"/>
      <c r="AE662" s="1091"/>
      <c r="AF662" s="1091"/>
      <c r="AG662" s="1091"/>
      <c r="AH662" s="1091"/>
      <c r="AI662" s="1091"/>
      <c r="AJ662" s="1091"/>
      <c r="AK662" s="1091"/>
      <c r="AL662" s="1091"/>
      <c r="AM662" s="1091"/>
      <c r="AN662" s="1091"/>
      <c r="AO662" s="1106"/>
      <c r="AP662" s="1106"/>
      <c r="AQ662" s="1106"/>
      <c r="AR662" s="1106"/>
      <c r="AS662" s="1106"/>
      <c r="AT662" s="1106"/>
      <c r="AU662" s="1106"/>
      <c r="AV662" s="1106"/>
      <c r="AW662" s="1106"/>
      <c r="AX662" s="1106"/>
      <c r="AY662" s="1106"/>
      <c r="AZ662" s="1106"/>
      <c r="BA662" s="1107"/>
      <c r="BB662" s="1107"/>
      <c r="BC662" s="1107"/>
      <c r="BD662" s="1107"/>
      <c r="BE662" s="1107"/>
      <c r="BF662" s="1107"/>
      <c r="BG662" s="1107"/>
      <c r="BH662" s="1107"/>
      <c r="BI662" s="1107"/>
      <c r="BJ662" s="1107"/>
      <c r="BK662" s="1107"/>
      <c r="BL662" s="1107"/>
    </row>
    <row r="663" spans="2:64" hidden="1" outlineLevel="1">
      <c r="C663" s="1071" t="s">
        <v>497</v>
      </c>
      <c r="D663" s="1071" t="str">
        <f t="shared" ref="D663:F690" si="638">INDEX(D$347:D$645,MATCH($C663,$C$347:$C$645,0))</f>
        <v>Replacement Dublin 2 RADAR</v>
      </c>
      <c r="E663" s="1071" t="str">
        <f t="shared" si="638"/>
        <v>Q012</v>
      </c>
      <c r="F663" s="1071" t="str">
        <f t="shared" si="638"/>
        <v>2021-2024</v>
      </c>
      <c r="H663" s="1071" t="s">
        <v>29</v>
      </c>
      <c r="O663" s="1138">
        <v>0</v>
      </c>
      <c r="P663" s="1138">
        <v>0</v>
      </c>
      <c r="Q663" s="1138">
        <v>0</v>
      </c>
      <c r="R663" s="1138">
        <v>0</v>
      </c>
      <c r="S663" s="1138">
        <v>0</v>
      </c>
      <c r="U663" s="153">
        <f>IFERROR(INDEX(BH$352:BH$649,MATCH($C663,$C$352:$C$649,0))/INDEX('ANSP Capex'!BF$348:BF$645,MATCH($C663,'ANSP Capex'!$C$348:$C$645,0)),0)</f>
        <v>0</v>
      </c>
      <c r="V663" s="153">
        <f>IFERROR(INDEX(BI$352:BI$649,MATCH($C663,$C$352:$C$649,0))/INDEX('ANSP Capex'!BG$348:BG$645,MATCH($C663,'ANSP Capex'!$C$348:$C$645,0)),0)</f>
        <v>0</v>
      </c>
      <c r="W663" s="153">
        <f>IFERROR(INDEX(BJ$352:BJ$649,MATCH($C663,$C$352:$C$649,0))/INDEX('ANSP Capex'!BH$348:BH$645,MATCH($C663,'ANSP Capex'!$C$348:$C$645,0)),0)</f>
        <v>0</v>
      </c>
      <c r="X663" s="153">
        <f>IFERROR(INDEX(BK$352:BK$649,MATCH($C663,$C$352:$C$649,0))/INDEX('ANSP Capex'!BI$348:BI$645,MATCH($C663,'ANSP Capex'!$C$348:$C$645,0)),0)</f>
        <v>0</v>
      </c>
      <c r="Y663" s="153">
        <f>IFERROR(INDEX(BL$352:BL$649,MATCH($C663,$C$352:$C$649,0))/INDEX('ANSP Capex'!BJ$348:BJ$645,MATCH($C663,'ANSP Capex'!$C$348:$C$645,0)),0)</f>
        <v>0</v>
      </c>
      <c r="AY663" s="1545">
        <f t="shared" ref="AY663:AY690" si="639">INDEX(AY$45:AY$342,MATCH($C663,$C$45:$C$342,0))</f>
        <v>0.75</v>
      </c>
      <c r="BA663" s="1545">
        <f t="shared" ref="BA663:BA690" si="640">INDEX(BA$45:BA$342,MATCH($C663,$C$45:$C$342,0))</f>
        <v>0.25</v>
      </c>
      <c r="BC663" s="1071"/>
      <c r="BD663" s="1071"/>
      <c r="BE663" s="1084"/>
      <c r="BF663" s="1071"/>
      <c r="BG663" s="1071"/>
      <c r="BH663" s="210">
        <f>U663*'ANSP Capex'!BF659+(100*('ANSP WACC (CAR)'!$F$26-'ANSP WACC'!$F$26)*O663)</f>
        <v>0</v>
      </c>
      <c r="BI663" s="210">
        <f>V663*'ANSP Capex'!BG659+(100*('ANSP WACC (CAR)'!$F$26-'ANSP WACC'!$F$26)*P663)</f>
        <v>0</v>
      </c>
      <c r="BJ663" s="210">
        <f>W663*'ANSP Capex'!BH659+(100*('ANSP WACC (CAR)'!$F$26-'ANSP WACC'!$F$26)*Q663)</f>
        <v>0</v>
      </c>
      <c r="BK663" s="210">
        <f>X663*'ANSP Capex'!BI659+(100*('ANSP WACC (CAR)'!$F$26-'ANSP WACC'!$F$26)*R663)</f>
        <v>0</v>
      </c>
      <c r="BL663" s="210">
        <f>Y663*'ANSP Capex'!BJ659+(100*('ANSP WACC (CAR)'!$F$26-'ANSP WACC'!$F$26)*S663)</f>
        <v>0</v>
      </c>
    </row>
    <row r="664" spans="2:64" hidden="1" outlineLevel="1">
      <c r="C664" s="1071" t="s">
        <v>500</v>
      </c>
      <c r="D664" s="1071" t="str">
        <f t="shared" si="638"/>
        <v>Replacement Dublin 2 RADAR</v>
      </c>
      <c r="E664" s="1071" t="str">
        <f t="shared" si="638"/>
        <v>Q012A</v>
      </c>
      <c r="F664" s="1071" t="str">
        <f t="shared" si="638"/>
        <v>2021-2024</v>
      </c>
      <c r="H664" s="1071" t="s">
        <v>29</v>
      </c>
      <c r="O664" s="1138">
        <v>0</v>
      </c>
      <c r="P664" s="1138">
        <v>0</v>
      </c>
      <c r="Q664" s="1138">
        <v>0</v>
      </c>
      <c r="R664" s="1138">
        <v>3.9767891863184994</v>
      </c>
      <c r="S664" s="1138">
        <v>3.9767891863184994</v>
      </c>
      <c r="U664" s="153">
        <f>IFERROR(INDEX(BH$352:BH$649,MATCH($C664,$C$352:$C$649,0))/INDEX('ANSP Capex'!BF$348:BF$645,MATCH($C664,'ANSP Capex'!$C$348:$C$645,0)),0)</f>
        <v>0</v>
      </c>
      <c r="V664" s="153">
        <f>IFERROR(INDEX(BI$352:BI$649,MATCH($C664,$C$352:$C$649,0))/INDEX('ANSP Capex'!BG$348:BG$645,MATCH($C664,'ANSP Capex'!$C$348:$C$645,0)),0)</f>
        <v>0</v>
      </c>
      <c r="W664" s="153">
        <f>IFERROR(INDEX(BJ$352:BJ$649,MATCH($C664,$C$352:$C$649,0))/INDEX('ANSP Capex'!BH$348:BH$645,MATCH($C664,'ANSP Capex'!$C$348:$C$645,0)),0)</f>
        <v>0.42666666666666669</v>
      </c>
      <c r="X664" s="153">
        <f>IFERROR(INDEX(BK$352:BK$649,MATCH($C664,$C$352:$C$649,0))/INDEX('ANSP Capex'!BI$348:BI$645,MATCH($C664,'ANSP Capex'!$C$348:$C$645,0)),0)</f>
        <v>0.42666666666666669</v>
      </c>
      <c r="Y664" s="153">
        <f>IFERROR(INDEX(BL$352:BL$649,MATCH($C664,$C$352:$C$649,0))/INDEX('ANSP Capex'!BJ$348:BJ$645,MATCH($C664,'ANSP Capex'!$C$348:$C$645,0)),0)</f>
        <v>0.42666666666666669</v>
      </c>
      <c r="AY664" s="1545">
        <f t="shared" si="639"/>
        <v>0.75</v>
      </c>
      <c r="BA664" s="1545">
        <f t="shared" si="640"/>
        <v>0.25</v>
      </c>
      <c r="BC664" s="1071"/>
      <c r="BD664" s="1071"/>
      <c r="BE664" s="1084"/>
      <c r="BF664" s="1071"/>
      <c r="BG664" s="1071"/>
      <c r="BH664" s="210">
        <f>U664*'ANSP Capex'!BF660+(100*('ANSP WACC (CAR)'!$F$26-'ANSP WACC'!$F$26)*O664)</f>
        <v>0</v>
      </c>
      <c r="BI664" s="210">
        <f>V664*'ANSP Capex'!BG660+(100*('ANSP WACC (CAR)'!$F$26-'ANSP WACC'!$F$26)*P664)</f>
        <v>0</v>
      </c>
      <c r="BJ664" s="210">
        <f>W664*'ANSP Capex'!BH660+(100*('ANSP WACC (CAR)'!$F$26-'ANSP WACC'!$F$26)*Q664)</f>
        <v>0</v>
      </c>
      <c r="BK664" s="210">
        <f>X664*'ANSP Capex'!BI660+(100*('ANSP WACC (CAR)'!$F$26-'ANSP WACC'!$F$26)*R664)</f>
        <v>20.017525516575034</v>
      </c>
      <c r="BL664" s="210">
        <f>Y664*'ANSP Capex'!BJ660+(100*('ANSP WACC (CAR)'!$F$26-'ANSP WACC'!$F$26)*S664)</f>
        <v>20.017525516575034</v>
      </c>
    </row>
    <row r="665" spans="2:64" hidden="1" outlineLevel="1">
      <c r="C665" s="1071" t="s">
        <v>482</v>
      </c>
      <c r="D665" s="1071" t="str">
        <f t="shared" si="638"/>
        <v>North Dublin Radar Building</v>
      </c>
      <c r="E665" s="1071" t="str">
        <f t="shared" si="638"/>
        <v>T006</v>
      </c>
      <c r="F665" s="1071" t="str">
        <f t="shared" si="638"/>
        <v>2021-2024</v>
      </c>
      <c r="H665" s="1071" t="s">
        <v>29</v>
      </c>
      <c r="O665" s="1138">
        <v>0</v>
      </c>
      <c r="P665" s="1138">
        <v>0</v>
      </c>
      <c r="Q665" s="1138">
        <v>0</v>
      </c>
      <c r="R665" s="1138">
        <v>3.3530314078573067</v>
      </c>
      <c r="S665" s="1138">
        <v>3.3530314078573067</v>
      </c>
      <c r="U665" s="153">
        <f>IFERROR(INDEX(BH$352:BH$649,MATCH($C665,$C$352:$C$649,0))/INDEX('ANSP Capex'!BF$348:BF$645,MATCH($C665,'ANSP Capex'!$C$348:$C$645,0)),0)</f>
        <v>0</v>
      </c>
      <c r="V665" s="153">
        <f>IFERROR(INDEX(BI$352:BI$649,MATCH($C665,$C$352:$C$649,0))/INDEX('ANSP Capex'!BG$348:BG$645,MATCH($C665,'ANSP Capex'!$C$348:$C$645,0)),0)</f>
        <v>0</v>
      </c>
      <c r="W665" s="153">
        <f>IFERROR(INDEX(BJ$352:BJ$649,MATCH($C665,$C$352:$C$649,0))/INDEX('ANSP Capex'!BH$348:BH$645,MATCH($C665,'ANSP Capex'!$C$348:$C$645,0)),0)</f>
        <v>0.24000000000000002</v>
      </c>
      <c r="X665" s="153">
        <f>IFERROR(INDEX(BK$352:BK$649,MATCH($C665,$C$352:$C$649,0))/INDEX('ANSP Capex'!BI$348:BI$645,MATCH($C665,'ANSP Capex'!$C$348:$C$645,0)),0)</f>
        <v>0.24</v>
      </c>
      <c r="Y665" s="153">
        <f>IFERROR(INDEX(BL$352:BL$649,MATCH($C665,$C$352:$C$649,0))/INDEX('ANSP Capex'!BJ$348:BJ$645,MATCH($C665,'ANSP Capex'!$C$348:$C$645,0)),0)</f>
        <v>0.24</v>
      </c>
      <c r="AY665" s="1545">
        <f t="shared" si="639"/>
        <v>0.75</v>
      </c>
      <c r="BA665" s="1545">
        <f t="shared" si="640"/>
        <v>0.25</v>
      </c>
      <c r="BC665" s="1071"/>
      <c r="BD665" s="1071"/>
      <c r="BE665" s="1084"/>
      <c r="BF665" s="1071"/>
      <c r="BG665" s="1071"/>
      <c r="BH665" s="210">
        <f>U665*'ANSP Capex'!BF661+(100*('ANSP WACC (CAR)'!$F$26-'ANSP WACC'!$F$26)*O665)</f>
        <v>0</v>
      </c>
      <c r="BI665" s="210">
        <f>V665*'ANSP Capex'!BG661+(100*('ANSP WACC (CAR)'!$F$26-'ANSP WACC'!$F$26)*P665)</f>
        <v>0</v>
      </c>
      <c r="BJ665" s="210">
        <f>W665*'ANSP Capex'!BH661+(100*('ANSP WACC (CAR)'!$F$26-'ANSP WACC'!$F$26)*Q665)</f>
        <v>0</v>
      </c>
      <c r="BK665" s="210">
        <f>X665*'ANSP Capex'!BI661+(100*('ANSP WACC (CAR)'!$F$26-'ANSP WACC'!$F$26)*R665)</f>
        <v>2.1718171552003507</v>
      </c>
      <c r="BL665" s="210">
        <f>Y665*'ANSP Capex'!BJ661+(100*('ANSP WACC (CAR)'!$F$26-'ANSP WACC'!$F$26)*S665)</f>
        <v>2.1718171552003507</v>
      </c>
    </row>
    <row r="666" spans="2:64" hidden="1" outlineLevel="1">
      <c r="C666" s="1071" t="s">
        <v>450</v>
      </c>
      <c r="D666" s="1071" t="str">
        <f t="shared" si="638"/>
        <v>NAV Aids Replacement Programme</v>
      </c>
      <c r="E666" s="1071" t="str">
        <f t="shared" si="638"/>
        <v>R005</v>
      </c>
      <c r="F666" s="1071" t="str">
        <f t="shared" si="638"/>
        <v>2021-2024</v>
      </c>
      <c r="H666" s="1071" t="s">
        <v>29</v>
      </c>
      <c r="O666" s="1138">
        <v>0</v>
      </c>
      <c r="P666" s="1138">
        <v>0</v>
      </c>
      <c r="Q666" s="1138">
        <v>0</v>
      </c>
      <c r="R666" s="1138">
        <v>0</v>
      </c>
      <c r="S666" s="1138">
        <v>0</v>
      </c>
      <c r="U666" s="153">
        <f>IFERROR(INDEX(BH$352:BH$649,MATCH($C666,$C$352:$C$649,0))/INDEX('ANSP Capex'!BF$348:BF$645,MATCH($C666,'ANSP Capex'!$C$348:$C$645,0)),0)</f>
        <v>0</v>
      </c>
      <c r="V666" s="153">
        <f>IFERROR(INDEX(BI$352:BI$649,MATCH($C666,$C$352:$C$649,0))/INDEX('ANSP Capex'!BG$348:BG$645,MATCH($C666,'ANSP Capex'!$C$348:$C$645,0)),0)</f>
        <v>0</v>
      </c>
      <c r="W666" s="153">
        <f>IFERROR(INDEX(BJ$352:BJ$649,MATCH($C666,$C$352:$C$649,0))/INDEX('ANSP Capex'!BH$348:BH$645,MATCH($C666,'ANSP Capex'!$C$348:$C$645,0)),0)</f>
        <v>0</v>
      </c>
      <c r="X666" s="153">
        <f>IFERROR(INDEX(BK$352:BK$649,MATCH($C666,$C$352:$C$649,0))/INDEX('ANSP Capex'!BI$348:BI$645,MATCH($C666,'ANSP Capex'!$C$348:$C$645,0)),0)</f>
        <v>0</v>
      </c>
      <c r="Y666" s="153">
        <f>IFERROR(INDEX(BL$352:BL$649,MATCH($C666,$C$352:$C$649,0))/INDEX('ANSP Capex'!BJ$348:BJ$645,MATCH($C666,'ANSP Capex'!$C$348:$C$645,0)),0)</f>
        <v>0</v>
      </c>
      <c r="AY666" s="1545">
        <f t="shared" si="639"/>
        <v>0</v>
      </c>
      <c r="BA666" s="1545">
        <f t="shared" si="640"/>
        <v>0</v>
      </c>
      <c r="BC666" s="1071"/>
      <c r="BD666" s="1071"/>
      <c r="BE666" s="1084"/>
      <c r="BF666" s="1071"/>
      <c r="BG666" s="1071"/>
      <c r="BH666" s="210">
        <f>U666*'ANSP Capex'!BF662+(100*('ANSP WACC (CAR)'!$F$26-'ANSP WACC'!$F$26)*O666)</f>
        <v>0</v>
      </c>
      <c r="BI666" s="210">
        <f>V666*'ANSP Capex'!BG662+(100*('ANSP WACC (CAR)'!$F$26-'ANSP WACC'!$F$26)*P666)</f>
        <v>0</v>
      </c>
      <c r="BJ666" s="210">
        <f>W666*'ANSP Capex'!BH662+(100*('ANSP WACC (CAR)'!$F$26-'ANSP WACC'!$F$26)*Q666)</f>
        <v>0</v>
      </c>
      <c r="BK666" s="210">
        <f>X666*'ANSP Capex'!BI662+(100*('ANSP WACC (CAR)'!$F$26-'ANSP WACC'!$F$26)*R666)</f>
        <v>0</v>
      </c>
      <c r="BL666" s="210">
        <f>Y666*'ANSP Capex'!BJ662+(100*('ANSP WACC (CAR)'!$F$26-'ANSP WACC'!$F$26)*S666)</f>
        <v>0</v>
      </c>
    </row>
    <row r="667" spans="2:64" hidden="1" outlineLevel="1">
      <c r="C667" s="1071" t="s">
        <v>452</v>
      </c>
      <c r="D667" s="1071" t="str">
        <f t="shared" si="638"/>
        <v>NAV Aids Replacement Programme</v>
      </c>
      <c r="E667" s="1071" t="str">
        <f t="shared" si="638"/>
        <v>R005A</v>
      </c>
      <c r="F667" s="1071" t="str">
        <f t="shared" si="638"/>
        <v>2021-2024</v>
      </c>
      <c r="H667" s="1071" t="s">
        <v>29</v>
      </c>
      <c r="O667" s="1138">
        <v>0</v>
      </c>
      <c r="P667" s="1138">
        <v>0</v>
      </c>
      <c r="Q667" s="1138">
        <v>0</v>
      </c>
      <c r="R667" s="1138">
        <v>0</v>
      </c>
      <c r="S667" s="1138">
        <v>0</v>
      </c>
      <c r="U667" s="153">
        <f>IFERROR(INDEX(BH$352:BH$649,MATCH($C667,$C$352:$C$649,0))/INDEX('ANSP Capex'!BF$348:BF$645,MATCH($C667,'ANSP Capex'!$C$348:$C$645,0)),0)</f>
        <v>0</v>
      </c>
      <c r="V667" s="153">
        <f>IFERROR(INDEX(BI$352:BI$649,MATCH($C667,$C$352:$C$649,0))/INDEX('ANSP Capex'!BG$348:BG$645,MATCH($C667,'ANSP Capex'!$C$348:$C$645,0)),0)</f>
        <v>0</v>
      </c>
      <c r="W667" s="153">
        <f>IFERROR(INDEX(BJ$352:BJ$649,MATCH($C667,$C$352:$C$649,0))/INDEX('ANSP Capex'!BH$348:BH$645,MATCH($C667,'ANSP Capex'!$C$348:$C$645,0)),0)</f>
        <v>0</v>
      </c>
      <c r="X667" s="153">
        <f>IFERROR(INDEX(BK$352:BK$649,MATCH($C667,$C$352:$C$649,0))/INDEX('ANSP Capex'!BI$348:BI$645,MATCH($C667,'ANSP Capex'!$C$348:$C$645,0)),0)</f>
        <v>0</v>
      </c>
      <c r="Y667" s="153">
        <f>IFERROR(INDEX(BL$352:BL$649,MATCH($C667,$C$352:$C$649,0))/INDEX('ANSP Capex'!BJ$348:BJ$645,MATCH($C667,'ANSP Capex'!$C$348:$C$645,0)),0)</f>
        <v>0.53333333333333333</v>
      </c>
      <c r="AY667" s="1545">
        <f t="shared" si="639"/>
        <v>0</v>
      </c>
      <c r="BA667" s="1545">
        <f t="shared" si="640"/>
        <v>1</v>
      </c>
      <c r="BC667" s="1071"/>
      <c r="BD667" s="1071"/>
      <c r="BE667" s="1084"/>
      <c r="BF667" s="1071"/>
      <c r="BG667" s="1071"/>
      <c r="BH667" s="210">
        <f>U667*'ANSP Capex'!BF663+(100*('ANSP WACC (CAR)'!$F$26-'ANSP WACC'!$F$26)*O667)</f>
        <v>0</v>
      </c>
      <c r="BI667" s="210">
        <f>V667*'ANSP Capex'!BG663+(100*('ANSP WACC (CAR)'!$F$26-'ANSP WACC'!$F$26)*P667)</f>
        <v>0</v>
      </c>
      <c r="BJ667" s="210">
        <f>W667*'ANSP Capex'!BH663+(100*('ANSP WACC (CAR)'!$F$26-'ANSP WACC'!$F$26)*Q667)</f>
        <v>0</v>
      </c>
      <c r="BK667" s="210">
        <f>X667*'ANSP Capex'!BI663+(100*('ANSP WACC (CAR)'!$F$26-'ANSP WACC'!$F$26)*R667)</f>
        <v>0</v>
      </c>
      <c r="BL667" s="210">
        <f>Y667*'ANSP Capex'!BJ663+(100*('ANSP WACC (CAR)'!$F$26-'ANSP WACC'!$F$26)*S667)</f>
        <v>0</v>
      </c>
    </row>
    <row r="668" spans="2:64" hidden="1" outlineLevel="1">
      <c r="C668" s="1071" t="s">
        <v>454</v>
      </c>
      <c r="D668" s="1071" t="str">
        <f t="shared" si="638"/>
        <v>NAV Aids Replacement Programme</v>
      </c>
      <c r="E668" s="1071" t="str">
        <f t="shared" si="638"/>
        <v>R005A</v>
      </c>
      <c r="F668" s="1071" t="str">
        <f t="shared" si="638"/>
        <v>2021-2024</v>
      </c>
      <c r="H668" s="1071" t="s">
        <v>29</v>
      </c>
      <c r="O668" s="1138">
        <v>0</v>
      </c>
      <c r="P668" s="1138">
        <v>0</v>
      </c>
      <c r="Q668" s="1138">
        <v>0</v>
      </c>
      <c r="R668" s="1138">
        <v>1.4440191438356196</v>
      </c>
      <c r="S668" s="1138">
        <v>1.4679237671232923</v>
      </c>
      <c r="U668" s="153">
        <f>IFERROR(INDEX(BH$352:BH$649,MATCH($C668,$C$352:$C$649,0))/INDEX('ANSP Capex'!BF$348:BF$645,MATCH($C668,'ANSP Capex'!$C$348:$C$645,0)),0)</f>
        <v>0</v>
      </c>
      <c r="V668" s="153">
        <f>IFERROR(INDEX(BI$352:BI$649,MATCH($C668,$C$352:$C$649,0))/INDEX('ANSP Capex'!BG$348:BG$645,MATCH($C668,'ANSP Capex'!$C$348:$C$645,0)),0)</f>
        <v>0</v>
      </c>
      <c r="W668" s="153">
        <f>IFERROR(INDEX(BJ$352:BJ$649,MATCH($C668,$C$352:$C$649,0))/INDEX('ANSP Capex'!BH$348:BH$645,MATCH($C668,'ANSP Capex'!$C$348:$C$645,0)),0)</f>
        <v>0.53333333333333333</v>
      </c>
      <c r="X668" s="153">
        <f>IFERROR(INDEX(BK$352:BK$649,MATCH($C668,$C$352:$C$649,0))/INDEX('ANSP Capex'!BI$348:BI$645,MATCH($C668,'ANSP Capex'!$C$348:$C$645,0)),0)</f>
        <v>0.53333333333333333</v>
      </c>
      <c r="Y668" s="153">
        <f>IFERROR(INDEX(BL$352:BL$649,MATCH($C668,$C$352:$C$649,0))/INDEX('ANSP Capex'!BJ$348:BJ$645,MATCH($C668,'ANSP Capex'!$C$348:$C$645,0)),0)</f>
        <v>0.53333333333333333</v>
      </c>
      <c r="AY668" s="1545">
        <f t="shared" si="639"/>
        <v>0</v>
      </c>
      <c r="BA668" s="1545">
        <f t="shared" si="640"/>
        <v>1</v>
      </c>
      <c r="BC668" s="1071"/>
      <c r="BD668" s="1071"/>
      <c r="BE668" s="1084"/>
      <c r="BF668" s="1071"/>
      <c r="BG668" s="1071"/>
      <c r="BH668" s="210">
        <f>U668*'ANSP Capex'!BF664+(100*('ANSP WACC (CAR)'!$F$26-'ANSP WACC'!$F$26)*O668)</f>
        <v>0</v>
      </c>
      <c r="BI668" s="210">
        <f>V668*'ANSP Capex'!BG664+(100*('ANSP WACC (CAR)'!$F$26-'ANSP WACC'!$F$26)*P668)</f>
        <v>0</v>
      </c>
      <c r="BJ668" s="210">
        <f>W668*'ANSP Capex'!BH664+(100*('ANSP WACC (CAR)'!$F$26-'ANSP WACC'!$F$26)*Q668)</f>
        <v>0</v>
      </c>
      <c r="BK668" s="210">
        <f>X668*'ANSP Capex'!BI664+(100*('ANSP WACC (CAR)'!$F$26-'ANSP WACC'!$F$26)*R668)</f>
        <v>3.8241179255035935</v>
      </c>
      <c r="BL668" s="210">
        <f>Y668*'ANSP Capex'!BJ664+(100*('ANSP WACC (CAR)'!$F$26-'ANSP WACC'!$F$26)*S668)</f>
        <v>3.889245520202425</v>
      </c>
    </row>
    <row r="669" spans="2:64" hidden="1" outlineLevel="1">
      <c r="C669" s="1071" t="s">
        <v>455</v>
      </c>
      <c r="D669" s="1071" t="str">
        <f t="shared" si="638"/>
        <v>NAV Aids Replacement Programme</v>
      </c>
      <c r="E669" s="1071" t="str">
        <f t="shared" si="638"/>
        <v>R005A</v>
      </c>
      <c r="F669" s="1071" t="str">
        <f t="shared" si="638"/>
        <v>2021-2024</v>
      </c>
      <c r="H669" s="1071" t="s">
        <v>29</v>
      </c>
      <c r="O669" s="1138">
        <v>0</v>
      </c>
      <c r="P669" s="1138">
        <v>0</v>
      </c>
      <c r="Q669" s="1138">
        <v>0</v>
      </c>
      <c r="R669" s="1138">
        <v>0</v>
      </c>
      <c r="S669" s="1138">
        <v>3.0504171232876507</v>
      </c>
      <c r="U669" s="153">
        <f>IFERROR(INDEX(BH$352:BH$649,MATCH($C669,$C$352:$C$649,0))/INDEX('ANSP Capex'!BF$348:BF$645,MATCH($C669,'ANSP Capex'!$C$348:$C$645,0)),0)</f>
        <v>0</v>
      </c>
      <c r="V669" s="153">
        <f>IFERROR(INDEX(BI$352:BI$649,MATCH($C669,$C$352:$C$649,0))/INDEX('ANSP Capex'!BG$348:BG$645,MATCH($C669,'ANSP Capex'!$C$348:$C$645,0)),0)</f>
        <v>0</v>
      </c>
      <c r="W669" s="153">
        <f>IFERROR(INDEX(BJ$352:BJ$649,MATCH($C669,$C$352:$C$649,0))/INDEX('ANSP Capex'!BH$348:BH$645,MATCH($C669,'ANSP Capex'!$C$348:$C$645,0)),0)</f>
        <v>0</v>
      </c>
      <c r="X669" s="153">
        <f>IFERROR(INDEX(BK$352:BK$649,MATCH($C669,$C$352:$C$649,0))/INDEX('ANSP Capex'!BI$348:BI$645,MATCH($C669,'ANSP Capex'!$C$348:$C$645,0)),0)</f>
        <v>0.53333333333333333</v>
      </c>
      <c r="Y669" s="153">
        <f>IFERROR(INDEX(BL$352:BL$649,MATCH($C669,$C$352:$C$649,0))/INDEX('ANSP Capex'!BJ$348:BJ$645,MATCH($C669,'ANSP Capex'!$C$348:$C$645,0)),0)</f>
        <v>0.53333333333333333</v>
      </c>
      <c r="AY669" s="1545">
        <f t="shared" si="639"/>
        <v>0</v>
      </c>
      <c r="BA669" s="1545">
        <f t="shared" si="640"/>
        <v>1</v>
      </c>
      <c r="BC669" s="1071"/>
      <c r="BD669" s="1071"/>
      <c r="BE669" s="1084"/>
      <c r="BF669" s="1071"/>
      <c r="BG669" s="1071"/>
      <c r="BH669" s="210">
        <f>U669*'ANSP Capex'!BF665+(100*('ANSP WACC (CAR)'!$F$26-'ANSP WACC'!$F$26)*O669)</f>
        <v>0</v>
      </c>
      <c r="BI669" s="210">
        <f>V669*'ANSP Capex'!BG665+(100*('ANSP WACC (CAR)'!$F$26-'ANSP WACC'!$F$26)*P669)</f>
        <v>0</v>
      </c>
      <c r="BJ669" s="210">
        <f>W669*'ANSP Capex'!BH665+(100*('ANSP WACC (CAR)'!$F$26-'ANSP WACC'!$F$26)*Q669)</f>
        <v>0</v>
      </c>
      <c r="BK669" s="210">
        <f>X669*'ANSP Capex'!BI665+(100*('ANSP WACC (CAR)'!$F$26-'ANSP WACC'!$F$26)*R669)</f>
        <v>0</v>
      </c>
      <c r="BL669" s="210">
        <f>Y669*'ANSP Capex'!BJ665+(100*('ANSP WACC (CAR)'!$F$26-'ANSP WACC'!$F$26)*S669)</f>
        <v>8.2344639602406939</v>
      </c>
    </row>
    <row r="670" spans="2:64" hidden="1" outlineLevel="1">
      <c r="C670" s="1071" t="s">
        <v>456</v>
      </c>
      <c r="D670" s="1071" t="str">
        <f t="shared" si="638"/>
        <v>NAV Aids Replacement Programme</v>
      </c>
      <c r="E670" s="1071" t="str">
        <f t="shared" si="638"/>
        <v>R005A</v>
      </c>
      <c r="F670" s="1071" t="str">
        <f t="shared" si="638"/>
        <v>2021-2024</v>
      </c>
      <c r="H670" s="1071" t="s">
        <v>29</v>
      </c>
      <c r="O670" s="1138">
        <v>0</v>
      </c>
      <c r="P670" s="1138">
        <v>0</v>
      </c>
      <c r="Q670" s="1138">
        <v>0.37296820605993619</v>
      </c>
      <c r="R670" s="1138">
        <v>0.37296820605993619</v>
      </c>
      <c r="S670" s="1138">
        <v>0.37296820605993619</v>
      </c>
      <c r="U670" s="153">
        <f>IFERROR(INDEX(BH$352:BH$649,MATCH($C670,$C$352:$C$649,0))/INDEX('ANSP Capex'!BF$348:BF$645,MATCH($C670,'ANSP Capex'!$C$348:$C$645,0)),0)</f>
        <v>0</v>
      </c>
      <c r="V670" s="153">
        <f>IFERROR(INDEX(BI$352:BI$649,MATCH($C670,$C$352:$C$649,0))/INDEX('ANSP Capex'!BG$348:BG$645,MATCH($C670,'ANSP Capex'!$C$348:$C$645,0)),0)</f>
        <v>0.53333333333333333</v>
      </c>
      <c r="W670" s="153">
        <f>IFERROR(INDEX(BJ$352:BJ$649,MATCH($C670,$C$352:$C$649,0))/INDEX('ANSP Capex'!BH$348:BH$645,MATCH($C670,'ANSP Capex'!$C$348:$C$645,0)),0)</f>
        <v>0.53333333333333333</v>
      </c>
      <c r="X670" s="153">
        <f>IFERROR(INDEX(BK$352:BK$649,MATCH($C670,$C$352:$C$649,0))/INDEX('ANSP Capex'!BI$348:BI$645,MATCH($C670,'ANSP Capex'!$C$348:$C$645,0)),0)</f>
        <v>0.53333333333333333</v>
      </c>
      <c r="Y670" s="153">
        <f>IFERROR(INDEX(BL$352:BL$649,MATCH($C670,$C$352:$C$649,0))/INDEX('ANSP Capex'!BJ$348:BJ$645,MATCH($C670,'ANSP Capex'!$C$348:$C$645,0)),0)</f>
        <v>0.53333333333333333</v>
      </c>
      <c r="AY670" s="1545">
        <f t="shared" si="639"/>
        <v>0</v>
      </c>
      <c r="BA670" s="1545">
        <f t="shared" si="640"/>
        <v>1</v>
      </c>
      <c r="BC670" s="1071"/>
      <c r="BD670" s="1071"/>
      <c r="BE670" s="1084"/>
      <c r="BF670" s="1071"/>
      <c r="BG670" s="1071"/>
      <c r="BH670" s="210">
        <f>U670*'ANSP Capex'!BF666+(100*('ANSP WACC (CAR)'!$F$26-'ANSP WACC'!$F$26)*O670)</f>
        <v>0</v>
      </c>
      <c r="BI670" s="210">
        <f>V670*'ANSP Capex'!BG666+(100*('ANSP WACC (CAR)'!$F$26-'ANSP WACC'!$F$26)*P670)</f>
        <v>0</v>
      </c>
      <c r="BJ670" s="210">
        <f>W670*'ANSP Capex'!BH666+(100*('ANSP WACC (CAR)'!$F$26-'ANSP WACC'!$F$26)*Q670)</f>
        <v>0.96560907132685281</v>
      </c>
      <c r="BK670" s="210">
        <f>X670*'ANSP Capex'!BI666+(100*('ANSP WACC (CAR)'!$F$26-'ANSP WACC'!$F$26)*R670)</f>
        <v>0.96560907132685281</v>
      </c>
      <c r="BL670" s="210">
        <f>Y670*'ANSP Capex'!BJ666+(100*('ANSP WACC (CAR)'!$F$26-'ANSP WACC'!$F$26)*S670)</f>
        <v>0.96560907132685281</v>
      </c>
    </row>
    <row r="671" spans="2:64" hidden="1" outlineLevel="1">
      <c r="C671" s="1071" t="s">
        <v>457</v>
      </c>
      <c r="D671" s="1071" t="str">
        <f t="shared" si="638"/>
        <v>NAV Aids Replacement Programme</v>
      </c>
      <c r="E671" s="1071" t="str">
        <f t="shared" si="638"/>
        <v>R005A</v>
      </c>
      <c r="F671" s="1071" t="str">
        <f t="shared" si="638"/>
        <v>2021-2024</v>
      </c>
      <c r="H671" s="1071" t="s">
        <v>29</v>
      </c>
      <c r="O671" s="1138">
        <v>0</v>
      </c>
      <c r="P671" s="1138">
        <v>0</v>
      </c>
      <c r="Q671" s="1138">
        <v>0.20493046263570466</v>
      </c>
      <c r="R671" s="1138">
        <v>0.27324061684760614</v>
      </c>
      <c r="S671" s="1138">
        <v>0.27324061684760614</v>
      </c>
      <c r="U671" s="153">
        <f>IFERROR(INDEX(BH$352:BH$649,MATCH($C671,$C$352:$C$649,0))/INDEX('ANSP Capex'!BF$348:BF$645,MATCH($C671,'ANSP Capex'!$C$348:$C$645,0)),0)</f>
        <v>0</v>
      </c>
      <c r="V671" s="153">
        <f>IFERROR(INDEX(BI$352:BI$649,MATCH($C671,$C$352:$C$649,0))/INDEX('ANSP Capex'!BG$348:BG$645,MATCH($C671,'ANSP Capex'!$C$348:$C$645,0)),0)</f>
        <v>0</v>
      </c>
      <c r="W671" s="153">
        <f>IFERROR(INDEX(BJ$352:BJ$649,MATCH($C671,$C$352:$C$649,0))/INDEX('ANSP Capex'!BH$348:BH$645,MATCH($C671,'ANSP Capex'!$C$348:$C$645,0)),0)</f>
        <v>0.53333333333333333</v>
      </c>
      <c r="X671" s="153">
        <f>IFERROR(INDEX(BK$352:BK$649,MATCH($C671,$C$352:$C$649,0))/INDEX('ANSP Capex'!BI$348:BI$645,MATCH($C671,'ANSP Capex'!$C$348:$C$645,0)),0)</f>
        <v>0.53333333333333333</v>
      </c>
      <c r="Y671" s="153">
        <f>IFERROR(INDEX(BL$352:BL$649,MATCH($C671,$C$352:$C$649,0))/INDEX('ANSP Capex'!BJ$348:BJ$645,MATCH($C671,'ANSP Capex'!$C$348:$C$645,0)),0)</f>
        <v>0.53333333333333333</v>
      </c>
      <c r="AY671" s="1545">
        <f t="shared" si="639"/>
        <v>0</v>
      </c>
      <c r="BA671" s="1545">
        <f t="shared" si="640"/>
        <v>1</v>
      </c>
      <c r="BC671" s="1071"/>
      <c r="BD671" s="1071"/>
      <c r="BE671" s="1084"/>
      <c r="BF671" s="1071"/>
      <c r="BG671" s="1071"/>
      <c r="BH671" s="210">
        <f>U671*'ANSP Capex'!BF667+(100*('ANSP WACC (CAR)'!$F$26-'ANSP WACC'!$F$26)*O671)</f>
        <v>0</v>
      </c>
      <c r="BI671" s="210">
        <f>V671*'ANSP Capex'!BG667+(100*('ANSP WACC (CAR)'!$F$26-'ANSP WACC'!$F$26)*P671)</f>
        <v>0</v>
      </c>
      <c r="BJ671" s="210">
        <f>W671*'ANSP Capex'!BH667+(100*('ANSP WACC (CAR)'!$F$26-'ANSP WACC'!$F$26)*Q671)</f>
        <v>0.53056188301596185</v>
      </c>
      <c r="BK671" s="210">
        <f>X671*'ANSP Capex'!BI667+(100*('ANSP WACC (CAR)'!$F$26-'ANSP WACC'!$F$26)*R671)</f>
        <v>0.70741584402128255</v>
      </c>
      <c r="BL671" s="210">
        <f>Y671*'ANSP Capex'!BJ667+(100*('ANSP WACC (CAR)'!$F$26-'ANSP WACC'!$F$26)*S671)</f>
        <v>0.70741584402128255</v>
      </c>
    </row>
    <row r="672" spans="2:64" hidden="1" outlineLevel="1">
      <c r="C672" s="1071" t="s">
        <v>458</v>
      </c>
      <c r="D672" s="1071" t="str">
        <f t="shared" si="638"/>
        <v>NAV Aids Replacement Programme</v>
      </c>
      <c r="E672" s="1071" t="str">
        <f t="shared" si="638"/>
        <v>R005A</v>
      </c>
      <c r="F672" s="1071" t="str">
        <f t="shared" si="638"/>
        <v>2021-2024</v>
      </c>
      <c r="H672" s="1071" t="s">
        <v>29</v>
      </c>
      <c r="O672" s="1138">
        <v>0</v>
      </c>
      <c r="P672" s="1138">
        <v>0</v>
      </c>
      <c r="Q672" s="1138">
        <v>0.19388303987328936</v>
      </c>
      <c r="R672" s="1138">
        <v>0.38776607974657873</v>
      </c>
      <c r="S672" s="1138">
        <v>0.38776607974657873</v>
      </c>
      <c r="U672" s="153">
        <f>IFERROR(INDEX(BH$352:BH$649,MATCH($C672,$C$352:$C$649,0))/INDEX('ANSP Capex'!BF$348:BF$645,MATCH($C672,'ANSP Capex'!$C$348:$C$645,0)),0)</f>
        <v>0</v>
      </c>
      <c r="V672" s="153">
        <f>IFERROR(INDEX(BI$352:BI$649,MATCH($C672,$C$352:$C$649,0))/INDEX('ANSP Capex'!BG$348:BG$645,MATCH($C672,'ANSP Capex'!$C$348:$C$645,0)),0)</f>
        <v>0</v>
      </c>
      <c r="W672" s="153">
        <f>IFERROR(INDEX(BJ$352:BJ$649,MATCH($C672,$C$352:$C$649,0))/INDEX('ANSP Capex'!BH$348:BH$645,MATCH($C672,'ANSP Capex'!$C$348:$C$645,0)),0)</f>
        <v>0.53333333333333344</v>
      </c>
      <c r="X672" s="153">
        <f>IFERROR(INDEX(BK$352:BK$649,MATCH($C672,$C$352:$C$649,0))/INDEX('ANSP Capex'!BI$348:BI$645,MATCH($C672,'ANSP Capex'!$C$348:$C$645,0)),0)</f>
        <v>0.53333333333333344</v>
      </c>
      <c r="Y672" s="153">
        <f>IFERROR(INDEX(BL$352:BL$649,MATCH($C672,$C$352:$C$649,0))/INDEX('ANSP Capex'!BJ$348:BJ$645,MATCH($C672,'ANSP Capex'!$C$348:$C$645,0)),0)</f>
        <v>0.53333333333333344</v>
      </c>
      <c r="AY672" s="1545">
        <f t="shared" si="639"/>
        <v>0</v>
      </c>
      <c r="BA672" s="1545">
        <f t="shared" si="640"/>
        <v>1</v>
      </c>
      <c r="BC672" s="1071"/>
      <c r="BD672" s="1071"/>
      <c r="BE672" s="1084"/>
      <c r="BF672" s="1071"/>
      <c r="BG672" s="1071"/>
      <c r="BH672" s="210">
        <f>U672*'ANSP Capex'!BF668+(100*('ANSP WACC (CAR)'!$F$26-'ANSP WACC'!$F$26)*O672)</f>
        <v>0</v>
      </c>
      <c r="BI672" s="210">
        <f>V672*'ANSP Capex'!BG668+(100*('ANSP WACC (CAR)'!$F$26-'ANSP WACC'!$F$26)*P672)</f>
        <v>0</v>
      </c>
      <c r="BJ672" s="210">
        <f>W672*'ANSP Capex'!BH668+(100*('ANSP WACC (CAR)'!$F$26-'ANSP WACC'!$F$26)*Q672)</f>
        <v>0.50595865764163306</v>
      </c>
      <c r="BK672" s="210">
        <f>X672*'ANSP Capex'!BI668+(100*('ANSP WACC (CAR)'!$F$26-'ANSP WACC'!$F$26)*R672)</f>
        <v>1.0119173152832661</v>
      </c>
      <c r="BL672" s="210">
        <f>Y672*'ANSP Capex'!BJ668+(100*('ANSP WACC (CAR)'!$F$26-'ANSP WACC'!$F$26)*S672)</f>
        <v>1.0119173152832661</v>
      </c>
    </row>
    <row r="673" spans="3:64" hidden="1" outlineLevel="1">
      <c r="C673" s="1071" t="s">
        <v>412</v>
      </c>
      <c r="D673" s="1071" t="str">
        <f t="shared" si="638"/>
        <v>New Dublin Tower</v>
      </c>
      <c r="E673" s="1071" t="str">
        <f t="shared" si="638"/>
        <v>R034</v>
      </c>
      <c r="F673" s="1071" t="str">
        <f t="shared" si="638"/>
        <v>2021-2024</v>
      </c>
      <c r="H673" s="1071" t="s">
        <v>29</v>
      </c>
      <c r="O673" s="1138">
        <v>0</v>
      </c>
      <c r="P673" s="1138">
        <v>4.2539266039025678</v>
      </c>
      <c r="Q673" s="1138">
        <v>8.5078532078051357</v>
      </c>
      <c r="R673" s="1138">
        <v>7.0898776731709372</v>
      </c>
      <c r="S673" s="1138">
        <v>8.5078532078051357</v>
      </c>
      <c r="U673" s="153">
        <f>IFERROR(INDEX(BH$352:BH$649,MATCH($C673,$C$352:$C$649,0))/INDEX('ANSP Capex'!BF$348:BF$645,MATCH($C673,'ANSP Capex'!$C$348:$C$645,0)),0)</f>
        <v>0</v>
      </c>
      <c r="V673" s="153">
        <f>IFERROR(INDEX(BI$352:BI$649,MATCH($C673,$C$352:$C$649,0))/INDEX('ANSP Capex'!BG$348:BG$645,MATCH($C673,'ANSP Capex'!$C$348:$C$645,0)),0)</f>
        <v>0.5</v>
      </c>
      <c r="W673" s="153">
        <f>IFERROR(INDEX(BJ$352:BJ$649,MATCH($C673,$C$352:$C$649,0))/INDEX('ANSP Capex'!BH$348:BH$645,MATCH($C673,'ANSP Capex'!$C$348:$C$645,0)),0)</f>
        <v>0.5</v>
      </c>
      <c r="X673" s="153">
        <f>IFERROR(INDEX(BK$352:BK$649,MATCH($C673,$C$352:$C$649,0))/INDEX('ANSP Capex'!BI$348:BI$645,MATCH($C673,'ANSP Capex'!$C$348:$C$645,0)),0)</f>
        <v>0.5</v>
      </c>
      <c r="Y673" s="153">
        <f>IFERROR(INDEX(BL$352:BL$649,MATCH($C673,$C$352:$C$649,0))/INDEX('ANSP Capex'!BJ$348:BJ$645,MATCH($C673,'ANSP Capex'!$C$348:$C$645,0)),0)</f>
        <v>0.5</v>
      </c>
      <c r="AY673" s="1545">
        <f t="shared" si="639"/>
        <v>0</v>
      </c>
      <c r="BA673" s="1545">
        <f t="shared" si="640"/>
        <v>1</v>
      </c>
      <c r="BC673" s="1071"/>
      <c r="BD673" s="1071"/>
      <c r="BE673" s="1084"/>
      <c r="BF673" s="1071"/>
      <c r="BG673" s="1071"/>
      <c r="BH673" s="210">
        <f>U673*'ANSP Capex'!BF669+(100*('ANSP WACC (CAR)'!$F$26-'ANSP WACC'!$F$26)*O673)</f>
        <v>0</v>
      </c>
      <c r="BI673" s="210">
        <f>V673*'ANSP Capex'!BG669+(100*('ANSP WACC (CAR)'!$F$26-'ANSP WACC'!$F$26)*P673)</f>
        <v>86.826738342876055</v>
      </c>
      <c r="BJ673" s="210">
        <f>W673*'ANSP Capex'!BH669+(100*('ANSP WACC (CAR)'!$F$26-'ANSP WACC'!$F$26)*Q673)</f>
        <v>173.65347668575211</v>
      </c>
      <c r="BK673" s="210">
        <f>X673*'ANSP Capex'!BI669+(100*('ANSP WACC (CAR)'!$F$26-'ANSP WACC'!$F$26)*R673)</f>
        <v>144.71123057146008</v>
      </c>
      <c r="BL673" s="210">
        <f>Y673*'ANSP Capex'!BJ669+(100*('ANSP WACC (CAR)'!$F$26-'ANSP WACC'!$F$26)*S673)</f>
        <v>173.65347668575211</v>
      </c>
    </row>
    <row r="674" spans="3:64" hidden="1" outlineLevel="1">
      <c r="C674" s="1071" t="s">
        <v>415</v>
      </c>
      <c r="D674" s="1071" t="str">
        <f t="shared" si="638"/>
        <v>New Dublin Tower</v>
      </c>
      <c r="E674" s="1071" t="str">
        <f t="shared" si="638"/>
        <v>R035</v>
      </c>
      <c r="F674" s="1071" t="str">
        <f t="shared" si="638"/>
        <v>2021-2024</v>
      </c>
      <c r="H674" s="1071" t="s">
        <v>29</v>
      </c>
      <c r="O674" s="1138">
        <v>0</v>
      </c>
      <c r="P674" s="1138">
        <v>0</v>
      </c>
      <c r="Q674" s="1138">
        <v>0</v>
      </c>
      <c r="R674" s="1138">
        <v>0</v>
      </c>
      <c r="S674" s="1138">
        <v>0</v>
      </c>
      <c r="U674" s="153">
        <f>IFERROR(INDEX(BH$352:BH$649,MATCH($C674,$C$352:$C$649,0))/INDEX('ANSP Capex'!BF$348:BF$645,MATCH($C674,'ANSP Capex'!$C$348:$C$645,0)),0)</f>
        <v>0</v>
      </c>
      <c r="V674" s="153">
        <f>IFERROR(INDEX(BI$352:BI$649,MATCH($C674,$C$352:$C$649,0))/INDEX('ANSP Capex'!BG$348:BG$645,MATCH($C674,'ANSP Capex'!$C$348:$C$645,0)),0)</f>
        <v>0</v>
      </c>
      <c r="W674" s="153">
        <f>IFERROR(INDEX(BJ$352:BJ$649,MATCH($C674,$C$352:$C$649,0))/INDEX('ANSP Capex'!BH$348:BH$645,MATCH($C674,'ANSP Capex'!$C$348:$C$645,0)),0)</f>
        <v>0</v>
      </c>
      <c r="X674" s="153">
        <f>IFERROR(INDEX(BK$352:BK$649,MATCH($C674,$C$352:$C$649,0))/INDEX('ANSP Capex'!BI$348:BI$645,MATCH($C674,'ANSP Capex'!$C$348:$C$645,0)),0)</f>
        <v>0</v>
      </c>
      <c r="Y674" s="153">
        <f>IFERROR(INDEX(BL$352:BL$649,MATCH($C674,$C$352:$C$649,0))/INDEX('ANSP Capex'!BJ$348:BJ$645,MATCH($C674,'ANSP Capex'!$C$348:$C$645,0)),0)</f>
        <v>0</v>
      </c>
      <c r="AY674" s="1545">
        <f t="shared" si="639"/>
        <v>0</v>
      </c>
      <c r="BA674" s="1545">
        <f t="shared" si="640"/>
        <v>0</v>
      </c>
      <c r="BC674" s="1071"/>
      <c r="BD674" s="1071"/>
      <c r="BE674" s="1084"/>
      <c r="BF674" s="1071"/>
      <c r="BG674" s="1071"/>
      <c r="BH674" s="210">
        <f>U674*'ANSP Capex'!BF670+(100*('ANSP WACC (CAR)'!$F$26-'ANSP WACC'!$F$26)*O674)</f>
        <v>0</v>
      </c>
      <c r="BI674" s="210">
        <f>V674*'ANSP Capex'!BG670+(100*('ANSP WACC (CAR)'!$F$26-'ANSP WACC'!$F$26)*P674)</f>
        <v>0</v>
      </c>
      <c r="BJ674" s="210">
        <f>W674*'ANSP Capex'!BH670+(100*('ANSP WACC (CAR)'!$F$26-'ANSP WACC'!$F$26)*Q674)</f>
        <v>0</v>
      </c>
      <c r="BK674" s="210">
        <f>X674*'ANSP Capex'!BI670+(100*('ANSP WACC (CAR)'!$F$26-'ANSP WACC'!$F$26)*R674)</f>
        <v>0</v>
      </c>
      <c r="BL674" s="210">
        <f>Y674*'ANSP Capex'!BJ670+(100*('ANSP WACC (CAR)'!$F$26-'ANSP WACC'!$F$26)*S674)</f>
        <v>0</v>
      </c>
    </row>
    <row r="675" spans="3:64" hidden="1" outlineLevel="1">
      <c r="C675" s="1071" t="s">
        <v>417</v>
      </c>
      <c r="D675" s="1071" t="str">
        <f t="shared" si="638"/>
        <v>New Dublin Tower</v>
      </c>
      <c r="E675" s="1071" t="str">
        <f t="shared" si="638"/>
        <v>R035A</v>
      </c>
      <c r="F675" s="1071" t="str">
        <f t="shared" si="638"/>
        <v>2021-2024</v>
      </c>
      <c r="H675" s="1071" t="s">
        <v>29</v>
      </c>
      <c r="O675" s="1138">
        <v>0</v>
      </c>
      <c r="P675" s="1138">
        <v>3.0806515535388534E-3</v>
      </c>
      <c r="Q675" s="1138">
        <v>6.1613031070777069E-3</v>
      </c>
      <c r="R675" s="1138">
        <v>6.1613031070777069E-3</v>
      </c>
      <c r="S675" s="1138">
        <v>6.1613031070777069E-3</v>
      </c>
      <c r="U675" s="153">
        <f>IFERROR(INDEX(BH$352:BH$649,MATCH($C675,$C$352:$C$649,0))/INDEX('ANSP Capex'!BF$348:BF$645,MATCH($C675,'ANSP Capex'!$C$348:$C$645,0)),0)</f>
        <v>0</v>
      </c>
      <c r="V675" s="153">
        <f>IFERROR(INDEX(BI$352:BI$649,MATCH($C675,$C$352:$C$649,0))/INDEX('ANSP Capex'!BG$348:BG$645,MATCH($C675,'ANSP Capex'!$C$348:$C$645,0)),0)</f>
        <v>1</v>
      </c>
      <c r="W675" s="153">
        <f>IFERROR(INDEX(BJ$352:BJ$649,MATCH($C675,$C$352:$C$649,0))/INDEX('ANSP Capex'!BH$348:BH$645,MATCH($C675,'ANSP Capex'!$C$348:$C$645,0)),0)</f>
        <v>1</v>
      </c>
      <c r="X675" s="153">
        <f>IFERROR(INDEX(BK$352:BK$649,MATCH($C675,$C$352:$C$649,0))/INDEX('ANSP Capex'!BI$348:BI$645,MATCH($C675,'ANSP Capex'!$C$348:$C$645,0)),0)</f>
        <v>1</v>
      </c>
      <c r="Y675" s="153">
        <f>IFERROR(INDEX(BL$352:BL$649,MATCH($C675,$C$352:$C$649,0))/INDEX('ANSP Capex'!BJ$348:BJ$645,MATCH($C675,'ANSP Capex'!$C$348:$C$645,0)),0)</f>
        <v>1</v>
      </c>
      <c r="AY675" s="1545">
        <f t="shared" si="639"/>
        <v>0</v>
      </c>
      <c r="BA675" s="1545">
        <f t="shared" si="640"/>
        <v>1</v>
      </c>
      <c r="BC675" s="1071"/>
      <c r="BD675" s="1071"/>
      <c r="BE675" s="1084"/>
      <c r="BF675" s="1071"/>
      <c r="BG675" s="1071"/>
      <c r="BH675" s="210">
        <f>U675*'ANSP Capex'!BF671+(100*('ANSP WACC (CAR)'!$F$26-'ANSP WACC'!$F$26)*O675)</f>
        <v>0</v>
      </c>
      <c r="BI675" s="210">
        <f>V675*'ANSP Capex'!BG671+(100*('ANSP WACC (CAR)'!$F$26-'ANSP WACC'!$F$26)*P675)</f>
        <v>1.7627436657138937E-2</v>
      </c>
      <c r="BJ675" s="210">
        <f>W675*'ANSP Capex'!BH671+(100*('ANSP WACC (CAR)'!$F$26-'ANSP WACC'!$F$26)*Q675)</f>
        <v>3.5254873314277874E-2</v>
      </c>
      <c r="BK675" s="210">
        <f>X675*'ANSP Capex'!BI671+(100*('ANSP WACC (CAR)'!$F$26-'ANSP WACC'!$F$26)*R675)</f>
        <v>3.5254873314277874E-2</v>
      </c>
      <c r="BL675" s="210">
        <f>Y675*'ANSP Capex'!BJ671+(100*('ANSP WACC (CAR)'!$F$26-'ANSP WACC'!$F$26)*S675)</f>
        <v>3.5254873314277874E-2</v>
      </c>
    </row>
    <row r="676" spans="3:64" hidden="1" outlineLevel="1">
      <c r="C676" s="1071" t="s">
        <v>419</v>
      </c>
      <c r="D676" s="1071" t="str">
        <f t="shared" si="638"/>
        <v>New Dublin Tower</v>
      </c>
      <c r="E676" s="1071" t="str">
        <f t="shared" si="638"/>
        <v>R035A</v>
      </c>
      <c r="F676" s="1071" t="str">
        <f t="shared" si="638"/>
        <v>2021-2024</v>
      </c>
      <c r="H676" s="1071" t="s">
        <v>29</v>
      </c>
      <c r="O676" s="1138">
        <v>0</v>
      </c>
      <c r="P676" s="1138">
        <v>0</v>
      </c>
      <c r="Q676" s="1138">
        <v>0.77684076728968643</v>
      </c>
      <c r="R676" s="1138">
        <v>3.1073630691587457</v>
      </c>
      <c r="S676" s="1138">
        <v>3.1073630691587457</v>
      </c>
      <c r="U676" s="153">
        <f>IFERROR(INDEX(BH$352:BH$649,MATCH($C676,$C$352:$C$649,0))/INDEX('ANSP Capex'!BF$348:BF$645,MATCH($C676,'ANSP Capex'!$C$348:$C$645,0)),0)</f>
        <v>0</v>
      </c>
      <c r="V676" s="153">
        <f>IFERROR(INDEX(BI$352:BI$649,MATCH($C676,$C$352:$C$649,0))/INDEX('ANSP Capex'!BG$348:BG$645,MATCH($C676,'ANSP Capex'!$C$348:$C$645,0)),0)</f>
        <v>0</v>
      </c>
      <c r="W676" s="153">
        <f>IFERROR(INDEX(BJ$352:BJ$649,MATCH($C676,$C$352:$C$649,0))/INDEX('ANSP Capex'!BH$348:BH$645,MATCH($C676,'ANSP Capex'!$C$348:$C$645,0)),0)</f>
        <v>1</v>
      </c>
      <c r="X676" s="153">
        <f>IFERROR(INDEX(BK$352:BK$649,MATCH($C676,$C$352:$C$649,0))/INDEX('ANSP Capex'!BI$348:BI$645,MATCH($C676,'ANSP Capex'!$C$348:$C$645,0)),0)</f>
        <v>1</v>
      </c>
      <c r="Y676" s="153">
        <f>IFERROR(INDEX(BL$352:BL$649,MATCH($C676,$C$352:$C$649,0))/INDEX('ANSP Capex'!BJ$348:BJ$645,MATCH($C676,'ANSP Capex'!$C$348:$C$645,0)),0)</f>
        <v>1</v>
      </c>
      <c r="AY676" s="1545">
        <f t="shared" si="639"/>
        <v>0</v>
      </c>
      <c r="BA676" s="1545">
        <f t="shared" si="640"/>
        <v>1</v>
      </c>
      <c r="BC676" s="1071"/>
      <c r="BD676" s="1071"/>
      <c r="BE676" s="1084"/>
      <c r="BF676" s="1071"/>
      <c r="BG676" s="1071"/>
      <c r="BH676" s="210">
        <f>U676*'ANSP Capex'!BF672+(100*('ANSP WACC (CAR)'!$F$26-'ANSP WACC'!$F$26)*O676)</f>
        <v>0</v>
      </c>
      <c r="BI676" s="210">
        <f>V676*'ANSP Capex'!BG672+(100*('ANSP WACC (CAR)'!$F$26-'ANSP WACC'!$F$26)*P676)</f>
        <v>0</v>
      </c>
      <c r="BJ676" s="210">
        <f>W676*'ANSP Capex'!BH672+(100*('ANSP WACC (CAR)'!$F$26-'ANSP WACC'!$F$26)*Q676)</f>
        <v>29.334826898461639</v>
      </c>
      <c r="BK676" s="210">
        <f>X676*'ANSP Capex'!BI672+(100*('ANSP WACC (CAR)'!$F$26-'ANSP WACC'!$F$26)*R676)</f>
        <v>117.33930759384656</v>
      </c>
      <c r="BL676" s="210">
        <f>Y676*'ANSP Capex'!BJ672+(100*('ANSP WACC (CAR)'!$F$26-'ANSP WACC'!$F$26)*S676)</f>
        <v>117.33930759384656</v>
      </c>
    </row>
    <row r="677" spans="3:64" hidden="1" outlineLevel="1">
      <c r="C677" s="1071" t="s">
        <v>420</v>
      </c>
      <c r="D677" s="1071" t="str">
        <f t="shared" si="638"/>
        <v>New Dublin Tower</v>
      </c>
      <c r="E677" s="1071" t="str">
        <f t="shared" si="638"/>
        <v>R035A</v>
      </c>
      <c r="F677" s="1071" t="str">
        <f t="shared" si="638"/>
        <v>2021-2024</v>
      </c>
      <c r="H677" s="1071" t="s">
        <v>29</v>
      </c>
      <c r="O677" s="1138">
        <v>0</v>
      </c>
      <c r="P677" s="1138">
        <v>0.65496989707246756</v>
      </c>
      <c r="Q677" s="1138">
        <v>1.3099397941449351</v>
      </c>
      <c r="R677" s="1138">
        <v>1.3099397941449351</v>
      </c>
      <c r="S677" s="1138">
        <v>1.3099397941449351</v>
      </c>
      <c r="U677" s="153">
        <f>IFERROR(INDEX(BH$352:BH$649,MATCH($C677,$C$352:$C$649,0))/INDEX('ANSP Capex'!BF$348:BF$645,MATCH($C677,'ANSP Capex'!$C$348:$C$645,0)),0)</f>
        <v>0</v>
      </c>
      <c r="V677" s="153">
        <f>IFERROR(INDEX(BI$352:BI$649,MATCH($C677,$C$352:$C$649,0))/INDEX('ANSP Capex'!BG$348:BG$645,MATCH($C677,'ANSP Capex'!$C$348:$C$645,0)),0)</f>
        <v>1</v>
      </c>
      <c r="W677" s="153">
        <f>IFERROR(INDEX(BJ$352:BJ$649,MATCH($C677,$C$352:$C$649,0))/INDEX('ANSP Capex'!BH$348:BH$645,MATCH($C677,'ANSP Capex'!$C$348:$C$645,0)),0)</f>
        <v>1</v>
      </c>
      <c r="X677" s="153">
        <f>IFERROR(INDEX(BK$352:BK$649,MATCH($C677,$C$352:$C$649,0))/INDEX('ANSP Capex'!BI$348:BI$645,MATCH($C677,'ANSP Capex'!$C$348:$C$645,0)),0)</f>
        <v>1</v>
      </c>
      <c r="Y677" s="153">
        <f>IFERROR(INDEX(BL$352:BL$649,MATCH($C677,$C$352:$C$649,0))/INDEX('ANSP Capex'!BJ$348:BJ$645,MATCH($C677,'ANSP Capex'!$C$348:$C$645,0)),0)</f>
        <v>1</v>
      </c>
      <c r="AY677" s="1545">
        <f t="shared" si="639"/>
        <v>0</v>
      </c>
      <c r="BA677" s="1545">
        <f t="shared" si="640"/>
        <v>1</v>
      </c>
      <c r="BC677" s="1071"/>
      <c r="BD677" s="1071"/>
      <c r="BE677" s="1084"/>
      <c r="BF677" s="1071"/>
      <c r="BG677" s="1071"/>
      <c r="BH677" s="210">
        <f>U677*'ANSP Capex'!BF673+(100*('ANSP WACC (CAR)'!$F$26-'ANSP WACC'!$F$26)*O677)</f>
        <v>0</v>
      </c>
      <c r="BI677" s="210">
        <f>V677*'ANSP Capex'!BG673+(100*('ANSP WACC (CAR)'!$F$26-'ANSP WACC'!$F$26)*P677)</f>
        <v>3.7477267949096995</v>
      </c>
      <c r="BJ677" s="210">
        <f>W677*'ANSP Capex'!BH673+(100*('ANSP WACC (CAR)'!$F$26-'ANSP WACC'!$F$26)*Q677)</f>
        <v>7.495453589819399</v>
      </c>
      <c r="BK677" s="210">
        <f>X677*'ANSP Capex'!BI673+(100*('ANSP WACC (CAR)'!$F$26-'ANSP WACC'!$F$26)*R677)</f>
        <v>7.495453589819399</v>
      </c>
      <c r="BL677" s="210">
        <f>Y677*'ANSP Capex'!BJ673+(100*('ANSP WACC (CAR)'!$F$26-'ANSP WACC'!$F$26)*S677)</f>
        <v>7.495453589819399</v>
      </c>
    </row>
    <row r="678" spans="3:64" hidden="1" outlineLevel="1">
      <c r="C678" s="1071" t="s">
        <v>421</v>
      </c>
      <c r="D678" s="1071" t="str">
        <f t="shared" si="638"/>
        <v>New Dublin Tower</v>
      </c>
      <c r="E678" s="1071" t="str">
        <f t="shared" si="638"/>
        <v>R035A</v>
      </c>
      <c r="F678" s="1071" t="str">
        <f t="shared" si="638"/>
        <v>2021-2024</v>
      </c>
      <c r="H678" s="1071" t="s">
        <v>29</v>
      </c>
      <c r="O678" s="1138">
        <v>0</v>
      </c>
      <c r="P678" s="1138">
        <v>0.81444485753057594</v>
      </c>
      <c r="Q678" s="1138">
        <v>1.7774434085693875</v>
      </c>
      <c r="R678" s="1138">
        <v>2.2231044890940956</v>
      </c>
      <c r="S678" s="1138">
        <v>2.2231044890940956</v>
      </c>
      <c r="U678" s="153">
        <f>IFERROR(INDEX(BH$352:BH$649,MATCH($C678,$C$352:$C$649,0))/INDEX('ANSP Capex'!BF$348:BF$645,MATCH($C678,'ANSP Capex'!$C$348:$C$645,0)),0)</f>
        <v>0</v>
      </c>
      <c r="V678" s="153">
        <f>IFERROR(INDEX(BI$352:BI$649,MATCH($C678,$C$352:$C$649,0))/INDEX('ANSP Capex'!BG$348:BG$645,MATCH($C678,'ANSP Capex'!$C$348:$C$645,0)),0)</f>
        <v>1</v>
      </c>
      <c r="W678" s="153">
        <f>IFERROR(INDEX(BJ$352:BJ$649,MATCH($C678,$C$352:$C$649,0))/INDEX('ANSP Capex'!BH$348:BH$645,MATCH($C678,'ANSP Capex'!$C$348:$C$645,0)),0)</f>
        <v>1</v>
      </c>
      <c r="X678" s="153">
        <f>IFERROR(INDEX(BK$352:BK$649,MATCH($C678,$C$352:$C$649,0))/INDEX('ANSP Capex'!BI$348:BI$645,MATCH($C678,'ANSP Capex'!$C$348:$C$645,0)),0)</f>
        <v>1</v>
      </c>
      <c r="Y678" s="153">
        <f>IFERROR(INDEX(BL$352:BL$649,MATCH($C678,$C$352:$C$649,0))/INDEX('ANSP Capex'!BJ$348:BJ$645,MATCH($C678,'ANSP Capex'!$C$348:$C$645,0)),0)</f>
        <v>1</v>
      </c>
      <c r="AY678" s="1545">
        <f t="shared" si="639"/>
        <v>0</v>
      </c>
      <c r="BA678" s="1545">
        <f t="shared" si="640"/>
        <v>1</v>
      </c>
      <c r="BC678" s="1071"/>
      <c r="BD678" s="1071"/>
      <c r="BE678" s="1084"/>
      <c r="BF678" s="1071"/>
      <c r="BG678" s="1071"/>
      <c r="BH678" s="210">
        <f>U678*'ANSP Capex'!BF674+(100*('ANSP WACC (CAR)'!$F$26-'ANSP WACC'!$F$26)*O678)</f>
        <v>0</v>
      </c>
      <c r="BI678" s="210">
        <f>V678*'ANSP Capex'!BG674+(100*('ANSP WACC (CAR)'!$F$26-'ANSP WACC'!$F$26)*P678)</f>
        <v>4.6602398510019301</v>
      </c>
      <c r="BJ678" s="210">
        <f>W678*'ANSP Capex'!BH674+(100*('ANSP WACC (CAR)'!$F$26-'ANSP WACC'!$F$26)*Q678)</f>
        <v>10.187488901642151</v>
      </c>
      <c r="BK678" s="210">
        <f>X678*'ANSP Capex'!BI674+(100*('ANSP WACC (CAR)'!$F$26-'ANSP WACC'!$F$26)*R678)</f>
        <v>12.788516500557034</v>
      </c>
      <c r="BL678" s="210">
        <f>Y678*'ANSP Capex'!BJ674+(100*('ANSP WACC (CAR)'!$F$26-'ANSP WACC'!$F$26)*S678)</f>
        <v>12.788516500557034</v>
      </c>
    </row>
    <row r="679" spans="3:64" hidden="1" outlineLevel="1">
      <c r="C679" s="1071" t="s">
        <v>422</v>
      </c>
      <c r="D679" s="1071" t="str">
        <f t="shared" si="638"/>
        <v>New Dublin Tower</v>
      </c>
      <c r="E679" s="1071" t="str">
        <f t="shared" si="638"/>
        <v>R035A</v>
      </c>
      <c r="F679" s="1071" t="str">
        <f t="shared" si="638"/>
        <v>2021-2024</v>
      </c>
      <c r="H679" s="1071" t="s">
        <v>29</v>
      </c>
      <c r="O679" s="1138">
        <v>0</v>
      </c>
      <c r="P679" s="1138">
        <v>0.15342882769803282</v>
      </c>
      <c r="Q679" s="1138">
        <v>0.30685765539606563</v>
      </c>
      <c r="R679" s="1138">
        <v>0.30685765539606563</v>
      </c>
      <c r="S679" s="1138">
        <v>0.30685765539606563</v>
      </c>
      <c r="U679" s="153">
        <f>IFERROR(INDEX(BH$352:BH$649,MATCH($C679,$C$352:$C$649,0))/INDEX('ANSP Capex'!BF$348:BF$645,MATCH($C679,'ANSP Capex'!$C$348:$C$645,0)),0)</f>
        <v>0</v>
      </c>
      <c r="V679" s="153">
        <f>IFERROR(INDEX(BI$352:BI$649,MATCH($C679,$C$352:$C$649,0))/INDEX('ANSP Capex'!BG$348:BG$645,MATCH($C679,'ANSP Capex'!$C$348:$C$645,0)),0)</f>
        <v>1</v>
      </c>
      <c r="W679" s="153">
        <f>IFERROR(INDEX(BJ$352:BJ$649,MATCH($C679,$C$352:$C$649,0))/INDEX('ANSP Capex'!BH$348:BH$645,MATCH($C679,'ANSP Capex'!$C$348:$C$645,0)),0)</f>
        <v>1</v>
      </c>
      <c r="X679" s="153">
        <f>IFERROR(INDEX(BK$352:BK$649,MATCH($C679,$C$352:$C$649,0))/INDEX('ANSP Capex'!BI$348:BI$645,MATCH($C679,'ANSP Capex'!$C$348:$C$645,0)),0)</f>
        <v>1</v>
      </c>
      <c r="Y679" s="153">
        <f>IFERROR(INDEX(BL$352:BL$649,MATCH($C679,$C$352:$C$649,0))/INDEX('ANSP Capex'!BJ$348:BJ$645,MATCH($C679,'ANSP Capex'!$C$348:$C$645,0)),0)</f>
        <v>1</v>
      </c>
      <c r="AY679" s="1545">
        <f t="shared" si="639"/>
        <v>0</v>
      </c>
      <c r="BA679" s="1545">
        <f t="shared" si="640"/>
        <v>1</v>
      </c>
      <c r="BC679" s="1071"/>
      <c r="BD679" s="1071"/>
      <c r="BE679" s="1084"/>
      <c r="BF679" s="1071"/>
      <c r="BG679" s="1071"/>
      <c r="BH679" s="210">
        <f>U679*'ANSP Capex'!BF675+(100*('ANSP WACC (CAR)'!$F$26-'ANSP WACC'!$F$26)*O679)</f>
        <v>0</v>
      </c>
      <c r="BI679" s="210">
        <f>V679*'ANSP Capex'!BG675+(100*('ANSP WACC (CAR)'!$F$26-'ANSP WACC'!$F$26)*P679)</f>
        <v>0.87791718557697263</v>
      </c>
      <c r="BJ679" s="210">
        <f>W679*'ANSP Capex'!BH675+(100*('ANSP WACC (CAR)'!$F$26-'ANSP WACC'!$F$26)*Q679)</f>
        <v>1.7558343711539453</v>
      </c>
      <c r="BK679" s="210">
        <f>X679*'ANSP Capex'!BI675+(100*('ANSP WACC (CAR)'!$F$26-'ANSP WACC'!$F$26)*R679)</f>
        <v>1.7558343711539453</v>
      </c>
      <c r="BL679" s="210">
        <f>Y679*'ANSP Capex'!BJ675+(100*('ANSP WACC (CAR)'!$F$26-'ANSP WACC'!$F$26)*S679)</f>
        <v>1.7558343711539453</v>
      </c>
    </row>
    <row r="680" spans="3:64" hidden="1" outlineLevel="1">
      <c r="C680" s="1071" t="s">
        <v>423</v>
      </c>
      <c r="D680" s="1071" t="str">
        <f t="shared" si="638"/>
        <v>New Dublin Tower</v>
      </c>
      <c r="E680" s="1071" t="str">
        <f t="shared" si="638"/>
        <v>R035A</v>
      </c>
      <c r="F680" s="1071" t="str">
        <f t="shared" si="638"/>
        <v>2021-2024</v>
      </c>
      <c r="H680" s="1071" t="s">
        <v>29</v>
      </c>
      <c r="O680" s="1138">
        <v>0</v>
      </c>
      <c r="P680" s="1138">
        <v>0</v>
      </c>
      <c r="Q680" s="1138">
        <v>0.84545880393580908</v>
      </c>
      <c r="R680" s="1138">
        <v>3.3818352157432363</v>
      </c>
      <c r="S680" s="1138">
        <v>3.3818352157432363</v>
      </c>
      <c r="U680" s="153">
        <f>IFERROR(INDEX(BH$352:BH$649,MATCH($C680,$C$352:$C$649,0))/INDEX('ANSP Capex'!BF$348:BF$645,MATCH($C680,'ANSP Capex'!$C$348:$C$645,0)),0)</f>
        <v>0</v>
      </c>
      <c r="V680" s="153">
        <f>IFERROR(INDEX(BI$352:BI$649,MATCH($C680,$C$352:$C$649,0))/INDEX('ANSP Capex'!BG$348:BG$645,MATCH($C680,'ANSP Capex'!$C$348:$C$645,0)),0)</f>
        <v>0</v>
      </c>
      <c r="W680" s="153">
        <f>IFERROR(INDEX(BJ$352:BJ$649,MATCH($C680,$C$352:$C$649,0))/INDEX('ANSP Capex'!BH$348:BH$645,MATCH($C680,'ANSP Capex'!$C$348:$C$645,0)),0)</f>
        <v>0.66666666666666674</v>
      </c>
      <c r="X680" s="153">
        <f>IFERROR(INDEX(BK$352:BK$649,MATCH($C680,$C$352:$C$649,0))/INDEX('ANSP Capex'!BI$348:BI$645,MATCH($C680,'ANSP Capex'!$C$348:$C$645,0)),0)</f>
        <v>0.66666666666666674</v>
      </c>
      <c r="Y680" s="153">
        <f>IFERROR(INDEX(BL$352:BL$649,MATCH($C680,$C$352:$C$649,0))/INDEX('ANSP Capex'!BJ$348:BJ$645,MATCH($C680,'ANSP Capex'!$C$348:$C$645,0)),0)</f>
        <v>0.66666666666666674</v>
      </c>
      <c r="AY680" s="1545">
        <f t="shared" si="639"/>
        <v>0</v>
      </c>
      <c r="BA680" s="1545">
        <f t="shared" si="640"/>
        <v>1</v>
      </c>
      <c r="BC680" s="1071"/>
      <c r="BD680" s="1071"/>
      <c r="BE680" s="1084"/>
      <c r="BF680" s="1071"/>
      <c r="BG680" s="1071"/>
      <c r="BH680" s="210">
        <f>U680*'ANSP Capex'!BF676+(100*('ANSP WACC (CAR)'!$F$26-'ANSP WACC'!$F$26)*O680)</f>
        <v>0</v>
      </c>
      <c r="BI680" s="210">
        <f>V680*'ANSP Capex'!BG676+(100*('ANSP WACC (CAR)'!$F$26-'ANSP WACC'!$F$26)*P680)</f>
        <v>0</v>
      </c>
      <c r="BJ680" s="210">
        <f>W680*'ANSP Capex'!BH676+(100*('ANSP WACC (CAR)'!$F$26-'ANSP WACC'!$F$26)*Q680)</f>
        <v>2.986496893606676</v>
      </c>
      <c r="BK680" s="210">
        <f>X680*'ANSP Capex'!BI676+(100*('ANSP WACC (CAR)'!$F$26-'ANSP WACC'!$F$26)*R680)</f>
        <v>11.945987574426704</v>
      </c>
      <c r="BL680" s="210">
        <f>Y680*'ANSP Capex'!BJ676+(100*('ANSP WACC (CAR)'!$F$26-'ANSP WACC'!$F$26)*S680)</f>
        <v>11.945987574426704</v>
      </c>
    </row>
    <row r="681" spans="3:64" hidden="1" outlineLevel="1">
      <c r="C681" s="1071" t="s">
        <v>424</v>
      </c>
      <c r="D681" s="1071" t="str">
        <f t="shared" si="638"/>
        <v>New Dublin Tower</v>
      </c>
      <c r="E681" s="1071" t="str">
        <f t="shared" si="638"/>
        <v>R035A</v>
      </c>
      <c r="F681" s="1071" t="str">
        <f t="shared" si="638"/>
        <v>2021-2024</v>
      </c>
      <c r="H681" s="1071" t="s">
        <v>29</v>
      </c>
      <c r="O681" s="1138">
        <v>0</v>
      </c>
      <c r="P681" s="1138">
        <v>0</v>
      </c>
      <c r="Q681" s="1138">
        <v>0</v>
      </c>
      <c r="R681" s="1138">
        <v>0.56353200372431278</v>
      </c>
      <c r="S681" s="1138">
        <v>0.7513760049657503</v>
      </c>
      <c r="U681" s="153">
        <f>IFERROR(INDEX(BH$352:BH$649,MATCH($C681,$C$352:$C$649,0))/INDEX('ANSP Capex'!BF$348:BF$645,MATCH($C681,'ANSP Capex'!$C$348:$C$645,0)),0)</f>
        <v>0</v>
      </c>
      <c r="V681" s="153">
        <f>IFERROR(INDEX(BI$352:BI$649,MATCH($C681,$C$352:$C$649,0))/INDEX('ANSP Capex'!BG$348:BG$645,MATCH($C681,'ANSP Capex'!$C$348:$C$645,0)),0)</f>
        <v>0</v>
      </c>
      <c r="W681" s="153">
        <f>IFERROR(INDEX(BJ$352:BJ$649,MATCH($C681,$C$352:$C$649,0))/INDEX('ANSP Capex'!BH$348:BH$645,MATCH($C681,'ANSP Capex'!$C$348:$C$645,0)),0)</f>
        <v>0</v>
      </c>
      <c r="X681" s="153">
        <f>IFERROR(INDEX(BK$352:BK$649,MATCH($C681,$C$352:$C$649,0))/INDEX('ANSP Capex'!BI$348:BI$645,MATCH($C681,'ANSP Capex'!$C$348:$C$645,0)),0)</f>
        <v>1</v>
      </c>
      <c r="Y681" s="153">
        <f>IFERROR(INDEX(BL$352:BL$649,MATCH($C681,$C$352:$C$649,0))/INDEX('ANSP Capex'!BJ$348:BJ$645,MATCH($C681,'ANSP Capex'!$C$348:$C$645,0)),0)</f>
        <v>1</v>
      </c>
      <c r="AY681" s="1545">
        <f t="shared" si="639"/>
        <v>0</v>
      </c>
      <c r="BA681" s="1545">
        <f t="shared" si="640"/>
        <v>1</v>
      </c>
      <c r="BC681" s="1071"/>
      <c r="BD681" s="1071"/>
      <c r="BE681" s="1084"/>
      <c r="BF681" s="1071"/>
      <c r="BG681" s="1071"/>
      <c r="BH681" s="210">
        <f>U681*'ANSP Capex'!BF677+(100*('ANSP WACC (CAR)'!$F$26-'ANSP WACC'!$F$26)*O681)</f>
        <v>0</v>
      </c>
      <c r="BI681" s="210">
        <f>V681*'ANSP Capex'!BG677+(100*('ANSP WACC (CAR)'!$F$26-'ANSP WACC'!$F$26)*P681)</f>
        <v>0</v>
      </c>
      <c r="BJ681" s="210">
        <f>W681*'ANSP Capex'!BH677+(100*('ANSP WACC (CAR)'!$F$26-'ANSP WACC'!$F$26)*Q681)</f>
        <v>0</v>
      </c>
      <c r="BK681" s="210">
        <f>X681*'ANSP Capex'!BI677+(100*('ANSP WACC (CAR)'!$F$26-'ANSP WACC'!$F$26)*R681)</f>
        <v>3.3193644943048688</v>
      </c>
      <c r="BL681" s="210">
        <f>Y681*'ANSP Capex'!BJ677+(100*('ANSP WACC (CAR)'!$F$26-'ANSP WACC'!$F$26)*S681)</f>
        <v>4.4258193257398251</v>
      </c>
    </row>
    <row r="682" spans="3:64" hidden="1" outlineLevel="1">
      <c r="C682" s="1071" t="s">
        <v>425</v>
      </c>
      <c r="D682" s="1071" t="str">
        <f t="shared" si="638"/>
        <v>New Dublin Tower</v>
      </c>
      <c r="E682" s="1071" t="str">
        <f t="shared" si="638"/>
        <v>R035A</v>
      </c>
      <c r="F682" s="1071" t="str">
        <f t="shared" si="638"/>
        <v>2021-2024</v>
      </c>
      <c r="H682" s="1071" t="s">
        <v>29</v>
      </c>
      <c r="O682" s="1138">
        <v>0</v>
      </c>
      <c r="P682" s="1138">
        <v>0.25948872757689195</v>
      </c>
      <c r="Q682" s="1138">
        <v>0.51897745515378391</v>
      </c>
      <c r="R682" s="1138">
        <v>0.51897745515378391</v>
      </c>
      <c r="S682" s="1138">
        <v>0.51897745515378391</v>
      </c>
      <c r="U682" s="153">
        <f>IFERROR(INDEX(BH$352:BH$649,MATCH($C682,$C$352:$C$649,0))/INDEX('ANSP Capex'!BF$348:BF$645,MATCH($C682,'ANSP Capex'!$C$348:$C$645,0)),0)</f>
        <v>0</v>
      </c>
      <c r="V682" s="153">
        <f>IFERROR(INDEX(BI$352:BI$649,MATCH($C682,$C$352:$C$649,0))/INDEX('ANSP Capex'!BG$348:BG$645,MATCH($C682,'ANSP Capex'!$C$348:$C$645,0)),0)</f>
        <v>1</v>
      </c>
      <c r="W682" s="153">
        <f>IFERROR(INDEX(BJ$352:BJ$649,MATCH($C682,$C$352:$C$649,0))/INDEX('ANSP Capex'!BH$348:BH$645,MATCH($C682,'ANSP Capex'!$C$348:$C$645,0)),0)</f>
        <v>1</v>
      </c>
      <c r="X682" s="153">
        <f>IFERROR(INDEX(BK$352:BK$649,MATCH($C682,$C$352:$C$649,0))/INDEX('ANSP Capex'!BI$348:BI$645,MATCH($C682,'ANSP Capex'!$C$348:$C$645,0)),0)</f>
        <v>1</v>
      </c>
      <c r="Y682" s="153">
        <f>IFERROR(INDEX(BL$352:BL$649,MATCH($C682,$C$352:$C$649,0))/INDEX('ANSP Capex'!BJ$348:BJ$645,MATCH($C682,'ANSP Capex'!$C$348:$C$645,0)),0)</f>
        <v>1</v>
      </c>
      <c r="AY682" s="1545">
        <f t="shared" si="639"/>
        <v>0</v>
      </c>
      <c r="BA682" s="1545">
        <f t="shared" si="640"/>
        <v>1</v>
      </c>
      <c r="BC682" s="1071"/>
      <c r="BD682" s="1071"/>
      <c r="BE682" s="1084"/>
      <c r="BF682" s="1071"/>
      <c r="BG682" s="1071"/>
      <c r="BH682" s="210">
        <f>U682*'ANSP Capex'!BF678+(100*('ANSP WACC (CAR)'!$F$26-'ANSP WACC'!$F$26)*O682)</f>
        <v>0</v>
      </c>
      <c r="BI682" s="210">
        <f>V682*'ANSP Capex'!BG678+(100*('ANSP WACC (CAR)'!$F$26-'ANSP WACC'!$F$26)*P682)</f>
        <v>1.4847901585457759</v>
      </c>
      <c r="BJ682" s="210">
        <f>W682*'ANSP Capex'!BH678+(100*('ANSP WACC (CAR)'!$F$26-'ANSP WACC'!$F$26)*Q682)</f>
        <v>2.9695803170915518</v>
      </c>
      <c r="BK682" s="210">
        <f>X682*'ANSP Capex'!BI678+(100*('ANSP WACC (CAR)'!$F$26-'ANSP WACC'!$F$26)*R682)</f>
        <v>2.9695803170915518</v>
      </c>
      <c r="BL682" s="210">
        <f>Y682*'ANSP Capex'!BJ678+(100*('ANSP WACC (CAR)'!$F$26-'ANSP WACC'!$F$26)*S682)</f>
        <v>2.9695803170915518</v>
      </c>
    </row>
    <row r="683" spans="3:64" hidden="1" outlineLevel="1">
      <c r="C683" s="1071" t="s">
        <v>426</v>
      </c>
      <c r="D683" s="1071" t="str">
        <f t="shared" si="638"/>
        <v>New Dublin Tower</v>
      </c>
      <c r="E683" s="1071" t="str">
        <f t="shared" si="638"/>
        <v>R035A</v>
      </c>
      <c r="F683" s="1071" t="str">
        <f t="shared" si="638"/>
        <v>2021-2024</v>
      </c>
      <c r="H683" s="1071" t="s">
        <v>29</v>
      </c>
      <c r="O683" s="1138">
        <v>0</v>
      </c>
      <c r="P683" s="1138">
        <v>0.12050437096792382</v>
      </c>
      <c r="Q683" s="1138">
        <v>0.24100874193584765</v>
      </c>
      <c r="R683" s="1138">
        <v>0.24100874193584765</v>
      </c>
      <c r="S683" s="1138">
        <v>0.24100874193584765</v>
      </c>
      <c r="U683" s="153">
        <f>IFERROR(INDEX(BH$352:BH$649,MATCH($C683,$C$352:$C$649,0))/INDEX('ANSP Capex'!BF$348:BF$645,MATCH($C683,'ANSP Capex'!$C$348:$C$645,0)),0)</f>
        <v>0</v>
      </c>
      <c r="V683" s="153">
        <f>IFERROR(INDEX(BI$352:BI$649,MATCH($C683,$C$352:$C$649,0))/INDEX('ANSP Capex'!BG$348:BG$645,MATCH($C683,'ANSP Capex'!$C$348:$C$645,0)),0)</f>
        <v>1</v>
      </c>
      <c r="W683" s="153">
        <f>IFERROR(INDEX(BJ$352:BJ$649,MATCH($C683,$C$352:$C$649,0))/INDEX('ANSP Capex'!BH$348:BH$645,MATCH($C683,'ANSP Capex'!$C$348:$C$645,0)),0)</f>
        <v>1</v>
      </c>
      <c r="X683" s="153">
        <f>IFERROR(INDEX(BK$352:BK$649,MATCH($C683,$C$352:$C$649,0))/INDEX('ANSP Capex'!BI$348:BI$645,MATCH($C683,'ANSP Capex'!$C$348:$C$645,0)),0)</f>
        <v>1</v>
      </c>
      <c r="Y683" s="153">
        <f>IFERROR(INDEX(BL$352:BL$649,MATCH($C683,$C$352:$C$649,0))/INDEX('ANSP Capex'!BJ$348:BJ$645,MATCH($C683,'ANSP Capex'!$C$348:$C$645,0)),0)</f>
        <v>1</v>
      </c>
      <c r="AY683" s="1545">
        <f t="shared" si="639"/>
        <v>0</v>
      </c>
      <c r="BA683" s="1545">
        <f t="shared" si="640"/>
        <v>1</v>
      </c>
      <c r="BC683" s="1071"/>
      <c r="BD683" s="1071"/>
      <c r="BE683" s="1084"/>
      <c r="BF683" s="1071"/>
      <c r="BG683" s="1071"/>
      <c r="BH683" s="210">
        <f>U683*'ANSP Capex'!BF679+(100*('ANSP WACC (CAR)'!$F$26-'ANSP WACC'!$F$26)*O683)</f>
        <v>0</v>
      </c>
      <c r="BI683" s="210">
        <f>V683*'ANSP Capex'!BG679+(100*('ANSP WACC (CAR)'!$F$26-'ANSP WACC'!$F$26)*P683)</f>
        <v>0.68952399491767502</v>
      </c>
      <c r="BJ683" s="210">
        <f>W683*'ANSP Capex'!BH679+(100*('ANSP WACC (CAR)'!$F$26-'ANSP WACC'!$F$26)*Q683)</f>
        <v>1.37904798983535</v>
      </c>
      <c r="BK683" s="210">
        <f>X683*'ANSP Capex'!BI679+(100*('ANSP WACC (CAR)'!$F$26-'ANSP WACC'!$F$26)*R683)</f>
        <v>1.37904798983535</v>
      </c>
      <c r="BL683" s="210">
        <f>Y683*'ANSP Capex'!BJ679+(100*('ANSP WACC (CAR)'!$F$26-'ANSP WACC'!$F$26)*S683)</f>
        <v>1.37904798983535</v>
      </c>
    </row>
    <row r="684" spans="3:64" hidden="1" outlineLevel="1">
      <c r="C684" s="1071" t="s">
        <v>427</v>
      </c>
      <c r="D684" s="1071" t="str">
        <f t="shared" si="638"/>
        <v>New Dublin Tower</v>
      </c>
      <c r="E684" s="1071" t="str">
        <f t="shared" si="638"/>
        <v>R035A</v>
      </c>
      <c r="F684" s="1071" t="str">
        <f t="shared" si="638"/>
        <v>2021-2024</v>
      </c>
      <c r="H684" s="1071" t="s">
        <v>29</v>
      </c>
      <c r="O684" s="1138">
        <v>0</v>
      </c>
      <c r="P684" s="1138">
        <v>0</v>
      </c>
      <c r="Q684" s="1138">
        <v>0</v>
      </c>
      <c r="R684" s="1138">
        <v>0</v>
      </c>
      <c r="S684" s="1138">
        <v>0</v>
      </c>
      <c r="U684" s="153">
        <f>IFERROR(INDEX(BH$352:BH$649,MATCH($C684,$C$352:$C$649,0))/INDEX('ANSP Capex'!BF$348:BF$645,MATCH($C684,'ANSP Capex'!$C$348:$C$645,0)),0)</f>
        <v>0</v>
      </c>
      <c r="V684" s="153">
        <f>IFERROR(INDEX(BI$352:BI$649,MATCH($C684,$C$352:$C$649,0))/INDEX('ANSP Capex'!BG$348:BG$645,MATCH($C684,'ANSP Capex'!$C$348:$C$645,0)),0)</f>
        <v>0</v>
      </c>
      <c r="W684" s="153">
        <f>IFERROR(INDEX(BJ$352:BJ$649,MATCH($C684,$C$352:$C$649,0))/INDEX('ANSP Capex'!BH$348:BH$645,MATCH($C684,'ANSP Capex'!$C$348:$C$645,0)),0)</f>
        <v>0</v>
      </c>
      <c r="X684" s="153">
        <f>IFERROR(INDEX(BK$352:BK$649,MATCH($C684,$C$352:$C$649,0))/INDEX('ANSP Capex'!BI$348:BI$645,MATCH($C684,'ANSP Capex'!$C$348:$C$645,0)),0)</f>
        <v>0</v>
      </c>
      <c r="Y684" s="153">
        <f>IFERROR(INDEX(BL$352:BL$649,MATCH($C684,$C$352:$C$649,0))/INDEX('ANSP Capex'!BJ$348:BJ$645,MATCH($C684,'ANSP Capex'!$C$348:$C$645,0)),0)</f>
        <v>0</v>
      </c>
      <c r="AY684" s="1545">
        <f t="shared" si="639"/>
        <v>0</v>
      </c>
      <c r="BA684" s="1545">
        <f t="shared" si="640"/>
        <v>1</v>
      </c>
      <c r="BC684" s="1071"/>
      <c r="BD684" s="1071"/>
      <c r="BE684" s="1084"/>
      <c r="BF684" s="1071"/>
      <c r="BG684" s="1071"/>
      <c r="BH684" s="210">
        <f>U684*'ANSP Capex'!BF680+(100*('ANSP WACC (CAR)'!$F$26-'ANSP WACC'!$F$26)*O684)</f>
        <v>0</v>
      </c>
      <c r="BI684" s="210">
        <f>V684*'ANSP Capex'!BG680+(100*('ANSP WACC (CAR)'!$F$26-'ANSP WACC'!$F$26)*P684)</f>
        <v>0</v>
      </c>
      <c r="BJ684" s="210">
        <f>W684*'ANSP Capex'!BH680+(100*('ANSP WACC (CAR)'!$F$26-'ANSP WACC'!$F$26)*Q684)</f>
        <v>0</v>
      </c>
      <c r="BK684" s="210">
        <f>X684*'ANSP Capex'!BI680+(100*('ANSP WACC (CAR)'!$F$26-'ANSP WACC'!$F$26)*R684)</f>
        <v>0</v>
      </c>
      <c r="BL684" s="210">
        <f>Y684*'ANSP Capex'!BJ680+(100*('ANSP WACC (CAR)'!$F$26-'ANSP WACC'!$F$26)*S684)</f>
        <v>0</v>
      </c>
    </row>
    <row r="685" spans="3:64" hidden="1" outlineLevel="1">
      <c r="C685" s="1071" t="s">
        <v>428</v>
      </c>
      <c r="D685" s="1071" t="str">
        <f t="shared" si="638"/>
        <v>New Dublin Tower</v>
      </c>
      <c r="E685" s="1071" t="str">
        <f t="shared" si="638"/>
        <v>R035A</v>
      </c>
      <c r="F685" s="1071" t="str">
        <f t="shared" si="638"/>
        <v>2021-2024</v>
      </c>
      <c r="H685" s="1071" t="s">
        <v>29</v>
      </c>
      <c r="O685" s="1138">
        <v>0</v>
      </c>
      <c r="P685" s="1138">
        <v>7.2969007909618536E-2</v>
      </c>
      <c r="Q685" s="1138">
        <v>0.14652517335348364</v>
      </c>
      <c r="R685" s="1138">
        <v>0.14828664595622332</v>
      </c>
      <c r="S685" s="1138">
        <v>0.14828664595622332</v>
      </c>
      <c r="U685" s="153">
        <f>IFERROR(INDEX(BH$352:BH$649,MATCH($C685,$C$352:$C$649,0))/INDEX('ANSP Capex'!BF$348:BF$645,MATCH($C685,'ANSP Capex'!$C$348:$C$645,0)),0)</f>
        <v>0</v>
      </c>
      <c r="V685" s="153">
        <f>IFERROR(INDEX(BI$352:BI$649,MATCH($C685,$C$352:$C$649,0))/INDEX('ANSP Capex'!BG$348:BG$645,MATCH($C685,'ANSP Capex'!$C$348:$C$645,0)),0)</f>
        <v>1</v>
      </c>
      <c r="W685" s="153">
        <f>IFERROR(INDEX(BJ$352:BJ$649,MATCH($C685,$C$352:$C$649,0))/INDEX('ANSP Capex'!BH$348:BH$645,MATCH($C685,'ANSP Capex'!$C$348:$C$645,0)),0)</f>
        <v>1</v>
      </c>
      <c r="X685" s="153">
        <f>IFERROR(INDEX(BK$352:BK$649,MATCH($C685,$C$352:$C$649,0))/INDEX('ANSP Capex'!BI$348:BI$645,MATCH($C685,'ANSP Capex'!$C$348:$C$645,0)),0)</f>
        <v>1</v>
      </c>
      <c r="Y685" s="153">
        <f>IFERROR(INDEX(BL$352:BL$649,MATCH($C685,$C$352:$C$649,0))/INDEX('ANSP Capex'!BJ$348:BJ$645,MATCH($C685,'ANSP Capex'!$C$348:$C$645,0)),0)</f>
        <v>1</v>
      </c>
      <c r="AY685" s="1545">
        <f t="shared" si="639"/>
        <v>0</v>
      </c>
      <c r="BA685" s="1545">
        <f t="shared" si="640"/>
        <v>1</v>
      </c>
      <c r="BC685" s="1071"/>
      <c r="BD685" s="1071"/>
      <c r="BE685" s="1084"/>
      <c r="BF685" s="1071"/>
      <c r="BG685" s="1071"/>
      <c r="BH685" s="210">
        <f>U685*'ANSP Capex'!BF681+(100*('ANSP WACC (CAR)'!$F$26-'ANSP WACC'!$F$26)*O685)</f>
        <v>0</v>
      </c>
      <c r="BI685" s="210">
        <f>V685*'ANSP Capex'!BG681+(100*('ANSP WACC (CAR)'!$F$26-'ANSP WACC'!$F$26)*P685)</f>
        <v>0.41752744265527286</v>
      </c>
      <c r="BJ685" s="210">
        <f>W685*'ANSP Capex'!BH681+(100*('ANSP WACC (CAR)'!$F$26-'ANSP WACC'!$F$26)*Q685)</f>
        <v>0.83851515611878524</v>
      </c>
      <c r="BK685" s="210">
        <f>X685*'ANSP Capex'!BI681+(100*('ANSP WACC (CAR)'!$F$26-'ANSP WACC'!$F$26)*R685)</f>
        <v>0.84889596854350402</v>
      </c>
      <c r="BL685" s="210">
        <f>Y685*'ANSP Capex'!BJ681+(100*('ANSP WACC (CAR)'!$F$26-'ANSP WACC'!$F$26)*S685)</f>
        <v>0.84889596854350402</v>
      </c>
    </row>
    <row r="686" spans="3:64" hidden="1" outlineLevel="1">
      <c r="C686" s="1071" t="s">
        <v>429</v>
      </c>
      <c r="D686" s="1071" t="str">
        <f t="shared" si="638"/>
        <v>New Dublin Tower</v>
      </c>
      <c r="E686" s="1071" t="str">
        <f t="shared" si="638"/>
        <v>R035A</v>
      </c>
      <c r="F686" s="1071" t="str">
        <f t="shared" si="638"/>
        <v>2021-2024</v>
      </c>
      <c r="H686" s="1071" t="s">
        <v>29</v>
      </c>
      <c r="O686" s="1138">
        <v>0</v>
      </c>
      <c r="P686" s="1138">
        <v>4.6319313000742594E-2</v>
      </c>
      <c r="Q686" s="1138">
        <v>9.2638626001485189E-2</v>
      </c>
      <c r="R686" s="1138">
        <v>9.2638626001485189E-2</v>
      </c>
      <c r="S686" s="1138">
        <v>9.2638626001485189E-2</v>
      </c>
      <c r="U686" s="153">
        <f>IFERROR(INDEX(BH$352:BH$649,MATCH($C686,$C$352:$C$649,0))/INDEX('ANSP Capex'!BF$348:BF$645,MATCH($C686,'ANSP Capex'!$C$348:$C$645,0)),0)</f>
        <v>0</v>
      </c>
      <c r="V686" s="153">
        <f>IFERROR(INDEX(BI$352:BI$649,MATCH($C686,$C$352:$C$649,0))/INDEX('ANSP Capex'!BG$348:BG$645,MATCH($C686,'ANSP Capex'!$C$348:$C$645,0)),0)</f>
        <v>1</v>
      </c>
      <c r="W686" s="153">
        <f>IFERROR(INDEX(BJ$352:BJ$649,MATCH($C686,$C$352:$C$649,0))/INDEX('ANSP Capex'!BH$348:BH$645,MATCH($C686,'ANSP Capex'!$C$348:$C$645,0)),0)</f>
        <v>1</v>
      </c>
      <c r="X686" s="153">
        <f>IFERROR(INDEX(BK$352:BK$649,MATCH($C686,$C$352:$C$649,0))/INDEX('ANSP Capex'!BI$348:BI$645,MATCH($C686,'ANSP Capex'!$C$348:$C$645,0)),0)</f>
        <v>1</v>
      </c>
      <c r="Y686" s="153">
        <f>IFERROR(INDEX(BL$352:BL$649,MATCH($C686,$C$352:$C$649,0))/INDEX('ANSP Capex'!BJ$348:BJ$645,MATCH($C686,'ANSP Capex'!$C$348:$C$645,0)),0)</f>
        <v>1</v>
      </c>
      <c r="AY686" s="1545">
        <f t="shared" si="639"/>
        <v>0</v>
      </c>
      <c r="BA686" s="1545">
        <f t="shared" si="640"/>
        <v>1</v>
      </c>
      <c r="BC686" s="1071"/>
      <c r="BD686" s="1071"/>
      <c r="BE686" s="1084"/>
      <c r="BF686" s="1071"/>
      <c r="BG686" s="1071"/>
      <c r="BH686" s="210">
        <f>U686*'ANSP Capex'!BF682+(100*('ANSP WACC (CAR)'!$F$26-'ANSP WACC'!$F$26)*O686)</f>
        <v>0</v>
      </c>
      <c r="BI686" s="210">
        <f>V686*'ANSP Capex'!BG682+(100*('ANSP WACC (CAR)'!$F$26-'ANSP WACC'!$F$26)*P686)</f>
        <v>0.26503833417474648</v>
      </c>
      <c r="BJ686" s="210">
        <f>W686*'ANSP Capex'!BH682+(100*('ANSP WACC (CAR)'!$F$26-'ANSP WACC'!$F$26)*Q686)</f>
        <v>0.53007666834949296</v>
      </c>
      <c r="BK686" s="210">
        <f>X686*'ANSP Capex'!BI682+(100*('ANSP WACC (CAR)'!$F$26-'ANSP WACC'!$F$26)*R686)</f>
        <v>0.53007666834949296</v>
      </c>
      <c r="BL686" s="210">
        <f>Y686*'ANSP Capex'!BJ682+(100*('ANSP WACC (CAR)'!$F$26-'ANSP WACC'!$F$26)*S686)</f>
        <v>0.53007666834949296</v>
      </c>
    </row>
    <row r="687" spans="3:64" hidden="1" outlineLevel="1">
      <c r="C687" s="1071" t="s">
        <v>473</v>
      </c>
      <c r="D687" s="1071" t="str">
        <f t="shared" si="638"/>
        <v>VOIP Switch</v>
      </c>
      <c r="E687" s="1071" t="str">
        <f t="shared" si="638"/>
        <v>S005</v>
      </c>
      <c r="F687" s="1071" t="str">
        <f t="shared" si="638"/>
        <v>2021-2024</v>
      </c>
      <c r="H687" s="1071" t="s">
        <v>29</v>
      </c>
      <c r="O687" s="1138">
        <v>0</v>
      </c>
      <c r="P687" s="1138">
        <v>0</v>
      </c>
      <c r="Q687" s="1138">
        <v>0</v>
      </c>
      <c r="R687" s="1138">
        <v>0</v>
      </c>
      <c r="S687" s="1138">
        <v>0</v>
      </c>
      <c r="U687" s="153">
        <f>IFERROR(INDEX(BH$352:BH$649,MATCH($C687,$C$352:$C$649,0))/INDEX('ANSP Capex'!BF$348:BF$645,MATCH($C687,'ANSP Capex'!$C$348:$C$645,0)),0)</f>
        <v>0</v>
      </c>
      <c r="V687" s="153">
        <f>IFERROR(INDEX(BI$352:BI$649,MATCH($C687,$C$352:$C$649,0))/INDEX('ANSP Capex'!BG$348:BG$645,MATCH($C687,'ANSP Capex'!$C$348:$C$645,0)),0)</f>
        <v>0</v>
      </c>
      <c r="W687" s="153">
        <f>IFERROR(INDEX(BJ$352:BJ$649,MATCH($C687,$C$352:$C$649,0))/INDEX('ANSP Capex'!BH$348:BH$645,MATCH($C687,'ANSP Capex'!$C$348:$C$645,0)),0)</f>
        <v>0</v>
      </c>
      <c r="X687" s="153">
        <f>IFERROR(INDEX(BK$352:BK$649,MATCH($C687,$C$352:$C$649,0))/INDEX('ANSP Capex'!BI$348:BI$645,MATCH($C687,'ANSP Capex'!$C$348:$C$645,0)),0)</f>
        <v>0</v>
      </c>
      <c r="Y687" s="153">
        <f>IFERROR(INDEX(BL$352:BL$649,MATCH($C687,$C$352:$C$649,0))/INDEX('ANSP Capex'!BJ$348:BJ$645,MATCH($C687,'ANSP Capex'!$C$348:$C$645,0)),0)</f>
        <v>0</v>
      </c>
      <c r="AY687" s="1545">
        <f t="shared" si="639"/>
        <v>0</v>
      </c>
      <c r="BA687" s="1545">
        <f t="shared" si="640"/>
        <v>0</v>
      </c>
      <c r="BC687" s="1071"/>
      <c r="BD687" s="1071"/>
      <c r="BE687" s="1084"/>
      <c r="BF687" s="1071"/>
      <c r="BG687" s="1071"/>
      <c r="BH687" s="210">
        <f>U687*'ANSP Capex'!BF683+(100*('ANSP WACC (CAR)'!$F$26-'ANSP WACC'!$F$26)*O687)</f>
        <v>0</v>
      </c>
      <c r="BI687" s="210">
        <f>V687*'ANSP Capex'!BG683+(100*('ANSP WACC (CAR)'!$F$26-'ANSP WACC'!$F$26)*P687)</f>
        <v>0</v>
      </c>
      <c r="BJ687" s="210">
        <f>W687*'ANSP Capex'!BH683+(100*('ANSP WACC (CAR)'!$F$26-'ANSP WACC'!$F$26)*Q687)</f>
        <v>0</v>
      </c>
      <c r="BK687" s="210">
        <f>X687*'ANSP Capex'!BI683+(100*('ANSP WACC (CAR)'!$F$26-'ANSP WACC'!$F$26)*R687)</f>
        <v>0</v>
      </c>
      <c r="BL687" s="210">
        <f>Y687*'ANSP Capex'!BJ683+(100*('ANSP WACC (CAR)'!$F$26-'ANSP WACC'!$F$26)*S687)</f>
        <v>0</v>
      </c>
    </row>
    <row r="688" spans="3:64" hidden="1" outlineLevel="1">
      <c r="C688" s="1071" t="s">
        <v>476</v>
      </c>
      <c r="D688" s="1071" t="str">
        <f t="shared" si="638"/>
        <v>VOIP Switch</v>
      </c>
      <c r="E688" s="1071" t="str">
        <f t="shared" si="638"/>
        <v>S005A</v>
      </c>
      <c r="F688" s="1071" t="str">
        <f t="shared" si="638"/>
        <v>2021-2024</v>
      </c>
      <c r="H688" s="1071" t="s">
        <v>29</v>
      </c>
      <c r="O688" s="1138">
        <v>0</v>
      </c>
      <c r="P688" s="1138">
        <v>0</v>
      </c>
      <c r="Q688" s="1138">
        <v>0</v>
      </c>
      <c r="R688" s="1138">
        <v>0</v>
      </c>
      <c r="S688" s="1138">
        <v>0</v>
      </c>
      <c r="U688" s="153">
        <f>IFERROR(INDEX(BH$352:BH$649,MATCH($C688,$C$352:$C$649,0))/INDEX('ANSP Capex'!BF$348:BF$645,MATCH($C688,'ANSP Capex'!$C$348:$C$645,0)),0)</f>
        <v>0</v>
      </c>
      <c r="V688" s="153">
        <f>IFERROR(INDEX(BI$352:BI$649,MATCH($C688,$C$352:$C$649,0))/INDEX('ANSP Capex'!BG$348:BG$645,MATCH($C688,'ANSP Capex'!$C$348:$C$645,0)),0)</f>
        <v>0</v>
      </c>
      <c r="W688" s="153">
        <f>IFERROR(INDEX(BJ$352:BJ$649,MATCH($C688,$C$352:$C$649,0))/INDEX('ANSP Capex'!BH$348:BH$645,MATCH($C688,'ANSP Capex'!$C$348:$C$645,0)),0)</f>
        <v>0.8</v>
      </c>
      <c r="X688" s="153">
        <f>IFERROR(INDEX(BK$352:BK$649,MATCH($C688,$C$352:$C$649,0))/INDEX('ANSP Capex'!BI$348:BI$645,MATCH($C688,'ANSP Capex'!$C$348:$C$645,0)),0)</f>
        <v>0.8</v>
      </c>
      <c r="Y688" s="153">
        <f>IFERROR(INDEX(BL$352:BL$649,MATCH($C688,$C$352:$C$649,0))/INDEX('ANSP Capex'!BJ$348:BJ$645,MATCH($C688,'ANSP Capex'!$C$348:$C$645,0)),0)</f>
        <v>0.8</v>
      </c>
      <c r="AY688" s="1545">
        <f t="shared" si="639"/>
        <v>0</v>
      </c>
      <c r="BA688" s="1545">
        <f t="shared" si="640"/>
        <v>1</v>
      </c>
      <c r="BC688" s="1071"/>
      <c r="BD688" s="1071"/>
      <c r="BE688" s="1084"/>
      <c r="BF688" s="1071"/>
      <c r="BG688" s="1071"/>
      <c r="BH688" s="210">
        <f>U688*'ANSP Capex'!BF684+(100*('ANSP WACC (CAR)'!$F$26-'ANSP WACC'!$F$26)*O688)</f>
        <v>0</v>
      </c>
      <c r="BI688" s="210">
        <f>V688*'ANSP Capex'!BG684+(100*('ANSP WACC (CAR)'!$F$26-'ANSP WACC'!$F$26)*P688)</f>
        <v>0</v>
      </c>
      <c r="BJ688" s="210">
        <f>W688*'ANSP Capex'!BH684+(100*('ANSP WACC (CAR)'!$F$26-'ANSP WACC'!$F$26)*Q688)</f>
        <v>0</v>
      </c>
      <c r="BK688" s="210">
        <f>X688*'ANSP Capex'!BI684+(100*('ANSP WACC (CAR)'!$F$26-'ANSP WACC'!$F$26)*R688)</f>
        <v>0</v>
      </c>
      <c r="BL688" s="210">
        <f>Y688*'ANSP Capex'!BJ684+(100*('ANSP WACC (CAR)'!$F$26-'ANSP WACC'!$F$26)*S688)</f>
        <v>0</v>
      </c>
    </row>
    <row r="689" spans="2:64" hidden="1" outlineLevel="1">
      <c r="C689" s="1071" t="s">
        <v>478</v>
      </c>
      <c r="D689" s="1071" t="str">
        <f t="shared" si="638"/>
        <v>VOIP Switch</v>
      </c>
      <c r="E689" s="1071" t="str">
        <f t="shared" si="638"/>
        <v>S005A</v>
      </c>
      <c r="F689" s="1071" t="str">
        <f t="shared" si="638"/>
        <v>2021-2024</v>
      </c>
      <c r="H689" s="1071" t="s">
        <v>29</v>
      </c>
      <c r="O689" s="1138">
        <v>0</v>
      </c>
      <c r="P689" s="1138">
        <v>0</v>
      </c>
      <c r="Q689" s="1138">
        <v>0</v>
      </c>
      <c r="R689" s="1138">
        <v>3.4208750129148537</v>
      </c>
      <c r="S689" s="1138">
        <v>3.4208750129148537</v>
      </c>
      <c r="U689" s="153">
        <f>IFERROR(INDEX(BH$352:BH$649,MATCH($C689,$C$352:$C$649,0))/INDEX('ANSP Capex'!BF$348:BF$645,MATCH($C689,'ANSP Capex'!$C$348:$C$645,0)),0)</f>
        <v>0</v>
      </c>
      <c r="V689" s="153">
        <f>IFERROR(INDEX(BI$352:BI$649,MATCH($C689,$C$352:$C$649,0))/INDEX('ANSP Capex'!BG$348:BG$645,MATCH($C689,'ANSP Capex'!$C$348:$C$645,0)),0)</f>
        <v>0.8</v>
      </c>
      <c r="W689" s="153">
        <f>IFERROR(INDEX(BJ$352:BJ$649,MATCH($C689,$C$352:$C$649,0))/INDEX('ANSP Capex'!BH$348:BH$645,MATCH($C689,'ANSP Capex'!$C$348:$C$645,0)),0)</f>
        <v>0.8</v>
      </c>
      <c r="X689" s="153">
        <f>IFERROR(INDEX(BK$352:BK$649,MATCH($C689,$C$352:$C$649,0))/INDEX('ANSP Capex'!BI$348:BI$645,MATCH($C689,'ANSP Capex'!$C$348:$C$645,0)),0)</f>
        <v>0.8</v>
      </c>
      <c r="Y689" s="153">
        <f>IFERROR(INDEX(BL$352:BL$649,MATCH($C689,$C$352:$C$649,0))/INDEX('ANSP Capex'!BJ$348:BJ$645,MATCH($C689,'ANSP Capex'!$C$348:$C$645,0)),0)</f>
        <v>0.8</v>
      </c>
      <c r="AY689" s="1545">
        <f t="shared" si="639"/>
        <v>0.75</v>
      </c>
      <c r="BA689" s="1545">
        <f t="shared" si="640"/>
        <v>0.25</v>
      </c>
      <c r="BC689" s="1071"/>
      <c r="BD689" s="1071"/>
      <c r="BE689" s="1084"/>
      <c r="BF689" s="1071"/>
      <c r="BG689" s="1071"/>
      <c r="BH689" s="210">
        <f>U689*'ANSP Capex'!BF685+(100*('ANSP WACC (CAR)'!$F$26-'ANSP WACC'!$F$26)*O689)</f>
        <v>0</v>
      </c>
      <c r="BI689" s="210">
        <f>V689*'ANSP Capex'!BG685+(100*('ANSP WACC (CAR)'!$F$26-'ANSP WACC'!$F$26)*P689)</f>
        <v>0</v>
      </c>
      <c r="BJ689" s="210">
        <f>W689*'ANSP Capex'!BH685+(100*('ANSP WACC (CAR)'!$F$26-'ANSP WACC'!$F$26)*Q689)</f>
        <v>0</v>
      </c>
      <c r="BK689" s="210">
        <f>X689*'ANSP Capex'!BI685+(100*('ANSP WACC (CAR)'!$F$26-'ANSP WACC'!$F$26)*R689)</f>
        <v>49.177615699252094</v>
      </c>
      <c r="BL689" s="210">
        <f>Y689*'ANSP Capex'!BJ685+(100*('ANSP WACC (CAR)'!$F$26-'ANSP WACC'!$F$26)*S689)</f>
        <v>49.177615699252094</v>
      </c>
    </row>
    <row r="690" spans="2:64" hidden="1" outlineLevel="1">
      <c r="C690" s="1071" t="s">
        <v>479</v>
      </c>
      <c r="D690" s="1071" t="str">
        <f t="shared" si="638"/>
        <v>VOIP Switch</v>
      </c>
      <c r="E690" s="1071" t="str">
        <f t="shared" si="638"/>
        <v>S005A</v>
      </c>
      <c r="F690" s="1071" t="str">
        <f t="shared" si="638"/>
        <v>2021-2024</v>
      </c>
      <c r="H690" s="1071" t="s">
        <v>29</v>
      </c>
      <c r="O690" s="1138">
        <v>0</v>
      </c>
      <c r="P690" s="1138">
        <v>0</v>
      </c>
      <c r="Q690" s="1138">
        <v>0</v>
      </c>
      <c r="R690" s="1138">
        <v>0</v>
      </c>
      <c r="S690" s="1138">
        <v>0</v>
      </c>
      <c r="U690" s="153">
        <f>IFERROR(INDEX(BH$352:BH$649,MATCH($C690,$C$352:$C$649,0))/INDEX('ANSP Capex'!BF$348:BF$645,MATCH($C690,'ANSP Capex'!$C$348:$C$645,0)),0)</f>
        <v>0</v>
      </c>
      <c r="V690" s="153">
        <f>IFERROR(INDEX(BI$352:BI$649,MATCH($C690,$C$352:$C$649,0))/INDEX('ANSP Capex'!BG$348:BG$645,MATCH($C690,'ANSP Capex'!$C$348:$C$645,0)),0)</f>
        <v>0</v>
      </c>
      <c r="W690" s="153">
        <f>IFERROR(INDEX(BJ$352:BJ$649,MATCH($C690,$C$352:$C$649,0))/INDEX('ANSP Capex'!BH$348:BH$645,MATCH($C690,'ANSP Capex'!$C$348:$C$645,0)),0)</f>
        <v>0</v>
      </c>
      <c r="X690" s="153">
        <f>IFERROR(INDEX(BK$352:BK$649,MATCH($C690,$C$352:$C$649,0))/INDEX('ANSP Capex'!BI$348:BI$645,MATCH($C690,'ANSP Capex'!$C$348:$C$645,0)),0)</f>
        <v>0</v>
      </c>
      <c r="Y690" s="153">
        <f>IFERROR(INDEX(BL$352:BL$649,MATCH($C690,$C$352:$C$649,0))/INDEX('ANSP Capex'!BJ$348:BJ$645,MATCH($C690,'ANSP Capex'!$C$348:$C$645,0)),0)</f>
        <v>0.80000000000000016</v>
      </c>
      <c r="AY690" s="1545">
        <f t="shared" si="639"/>
        <v>1</v>
      </c>
      <c r="BA690" s="1545">
        <f t="shared" si="640"/>
        <v>0</v>
      </c>
      <c r="BC690" s="1071"/>
      <c r="BD690" s="1071"/>
      <c r="BE690" s="1084"/>
      <c r="BF690" s="1071"/>
      <c r="BG690" s="1071"/>
      <c r="BH690" s="210">
        <f>U690*'ANSP Capex'!BF686+(100*('ANSP WACC (CAR)'!$F$26-'ANSP WACC'!$F$26)*O690)</f>
        <v>0</v>
      </c>
      <c r="BI690" s="210">
        <f>V690*'ANSP Capex'!BG686+(100*('ANSP WACC (CAR)'!$F$26-'ANSP WACC'!$F$26)*P690)</f>
        <v>0</v>
      </c>
      <c r="BJ690" s="210">
        <f>W690*'ANSP Capex'!BH686+(100*('ANSP WACC (CAR)'!$F$26-'ANSP WACC'!$F$26)*Q690)</f>
        <v>0</v>
      </c>
      <c r="BK690" s="210">
        <f>X690*'ANSP Capex'!BI686+(100*('ANSP WACC (CAR)'!$F$26-'ANSP WACC'!$F$26)*R690)</f>
        <v>0</v>
      </c>
      <c r="BL690" s="210">
        <f>Y690*'ANSP Capex'!BJ686+(100*('ANSP WACC (CAR)'!$F$26-'ANSP WACC'!$F$26)*S690)</f>
        <v>0</v>
      </c>
    </row>
    <row r="691" spans="2:64" collapsed="1">
      <c r="C691" s="1110"/>
      <c r="D691" s="1110"/>
      <c r="E691" s="1110"/>
      <c r="F691" s="1110"/>
      <c r="G691" s="1110"/>
      <c r="H691" s="1110"/>
      <c r="I691" s="1110"/>
      <c r="J691" s="1110"/>
      <c r="K691" s="1110"/>
      <c r="L691" s="1110"/>
      <c r="M691" s="1110"/>
      <c r="N691" s="1110"/>
      <c r="O691" s="1110"/>
      <c r="P691" s="1110"/>
      <c r="Q691" s="1110"/>
      <c r="R691" s="1110"/>
      <c r="S691" s="1110"/>
      <c r="T691" s="1110"/>
      <c r="U691" s="1110"/>
      <c r="V691" s="1110"/>
      <c r="W691" s="1110"/>
      <c r="X691" s="1110"/>
      <c r="Y691" s="1110"/>
      <c r="Z691" s="1110"/>
      <c r="AA691" s="1110"/>
      <c r="AB691" s="1110"/>
      <c r="AC691" s="1110"/>
      <c r="AD691" s="1110"/>
      <c r="AE691" s="1110"/>
      <c r="AF691" s="1110"/>
      <c r="AG691" s="1110"/>
      <c r="AH691" s="1110"/>
      <c r="AI691" s="1110"/>
      <c r="AJ691" s="1110"/>
      <c r="AK691" s="1110"/>
      <c r="AL691" s="1110"/>
      <c r="AM691" s="1110"/>
      <c r="AN691" s="1110"/>
      <c r="AO691" s="1110"/>
      <c r="AP691" s="1110"/>
      <c r="AQ691" s="1110"/>
      <c r="AR691" s="1110"/>
      <c r="AS691" s="1110"/>
      <c r="AT691" s="1110"/>
      <c r="AU691" s="1110"/>
      <c r="AV691" s="1110"/>
      <c r="AW691" s="1110"/>
      <c r="AX691" s="1110"/>
      <c r="AY691" s="1110"/>
      <c r="AZ691" s="1110"/>
      <c r="BA691" s="1110"/>
      <c r="BB691" s="1110"/>
      <c r="BC691" s="1110"/>
      <c r="BD691" s="1110"/>
      <c r="BE691" s="1110"/>
      <c r="BF691" s="1110"/>
      <c r="BG691" s="1110"/>
      <c r="BH691" s="1111"/>
      <c r="BI691" s="1111"/>
      <c r="BJ691" s="1111"/>
      <c r="BK691" s="1111"/>
      <c r="BL691" s="1111"/>
    </row>
    <row r="692" spans="2:64">
      <c r="C692" s="1104" t="s">
        <v>740</v>
      </c>
      <c r="H692" s="1104" t="s">
        <v>29</v>
      </c>
      <c r="BA692" s="1084"/>
      <c r="BB692" s="1084"/>
      <c r="BC692" s="1084"/>
      <c r="BD692" s="1084"/>
      <c r="BE692" s="1084"/>
      <c r="BF692" s="1071"/>
      <c r="BG692" s="1071"/>
      <c r="BH692" s="1105">
        <f t="shared" ref="BH692:BK692" si="641">BH28</f>
        <v>635.60573595833341</v>
      </c>
      <c r="BI692" s="1105">
        <f t="shared" si="641"/>
        <v>956.2826670000004</v>
      </c>
      <c r="BJ692" s="1105">
        <f t="shared" si="641"/>
        <v>862.4089992083334</v>
      </c>
      <c r="BK692" s="1105">
        <f t="shared" si="641"/>
        <v>674.11780489583339</v>
      </c>
      <c r="BL692" s="1105">
        <f>BL28</f>
        <v>438.10182354166659</v>
      </c>
    </row>
    <row r="693" spans="2:64">
      <c r="C693" s="1104" t="s">
        <v>741</v>
      </c>
      <c r="H693" s="1104" t="s">
        <v>29</v>
      </c>
      <c r="BA693" s="1084"/>
      <c r="BB693" s="1084"/>
      <c r="BC693" s="1084"/>
      <c r="BD693" s="1084"/>
      <c r="BE693" s="1084"/>
      <c r="BF693" s="1071"/>
      <c r="BG693" s="1071"/>
      <c r="BH693" s="1105">
        <f>SUM(BH663:BH690)</f>
        <v>0</v>
      </c>
      <c r="BI693" s="1105">
        <f t="shared" ref="BI693:BL693" si="642">SUM(BI663:BI690)</f>
        <v>98.987129541315269</v>
      </c>
      <c r="BJ693" s="1105">
        <f t="shared" si="642"/>
        <v>233.16818195712983</v>
      </c>
      <c r="BK693" s="1105">
        <f t="shared" si="642"/>
        <v>382.9945690398651</v>
      </c>
      <c r="BL693" s="1105">
        <f t="shared" si="642"/>
        <v>421.34286154053166</v>
      </c>
    </row>
    <row r="694" spans="2:64">
      <c r="C694" s="1104" t="s">
        <v>742</v>
      </c>
      <c r="H694" s="1104" t="s">
        <v>29</v>
      </c>
      <c r="BA694" s="1084"/>
      <c r="BB694" s="1084"/>
      <c r="BC694" s="1084"/>
      <c r="BD694" s="1084"/>
      <c r="BE694" s="1084"/>
      <c r="BF694" s="1071"/>
      <c r="BG694" s="1071"/>
      <c r="BH694" s="1105">
        <f>SUM(BH692:BH693)</f>
        <v>635.60573595833341</v>
      </c>
      <c r="BI694" s="1105">
        <f t="shared" ref="BI694:BL694" si="643">SUM(BI692:BI693)</f>
        <v>1055.2697965413156</v>
      </c>
      <c r="BJ694" s="1105">
        <f t="shared" si="643"/>
        <v>1095.5771811654631</v>
      </c>
      <c r="BK694" s="1105">
        <f t="shared" si="643"/>
        <v>1057.1123739356985</v>
      </c>
      <c r="BL694" s="1105">
        <f t="shared" si="643"/>
        <v>859.44468508219825</v>
      </c>
    </row>
    <row r="695" spans="2:64">
      <c r="C695" s="1104"/>
      <c r="H695" s="1104"/>
      <c r="I695" s="1104"/>
      <c r="BC695" s="1105"/>
      <c r="BD695" s="1105"/>
      <c r="BE695" s="1105"/>
      <c r="BF695" s="1105"/>
      <c r="BG695" s="1105"/>
      <c r="BH695" s="1105"/>
      <c r="BI695" s="1105"/>
      <c r="BJ695" s="1105"/>
      <c r="BK695" s="1105"/>
      <c r="BL695" s="1105"/>
    </row>
    <row r="696" spans="2:64" s="1112" customFormat="1">
      <c r="B696" s="1113" t="s">
        <v>182</v>
      </c>
      <c r="BC696" s="1114"/>
      <c r="BD696" s="1114"/>
      <c r="BE696" s="1114"/>
      <c r="BF696" s="1114"/>
      <c r="BG696" s="1114"/>
      <c r="BH696" s="1114"/>
      <c r="BI696" s="1114"/>
      <c r="BJ696" s="1114"/>
      <c r="BK696" s="1114"/>
      <c r="BL696" s="1114"/>
    </row>
    <row r="697" spans="2:64">
      <c r="B697" s="1115"/>
      <c r="BC697" s="1084"/>
      <c r="BD697" s="1084"/>
      <c r="BE697" s="1084"/>
      <c r="BF697" s="1084"/>
      <c r="BG697" s="1084"/>
      <c r="BH697" s="1084"/>
      <c r="BI697" s="1084"/>
      <c r="BJ697" s="1084"/>
      <c r="BK697" s="1084"/>
      <c r="BL697" s="1084"/>
    </row>
    <row r="698" spans="2:64" ht="13.5" thickBot="1">
      <c r="B698" s="1091" t="s">
        <v>31</v>
      </c>
      <c r="C698" s="1091"/>
      <c r="D698" s="1106"/>
      <c r="E698" s="1106"/>
      <c r="F698" s="1106"/>
      <c r="G698" s="1106"/>
      <c r="H698" s="1106"/>
      <c r="I698" s="1106"/>
      <c r="J698" s="1106"/>
      <c r="K698" s="1106"/>
      <c r="L698" s="1106"/>
      <c r="M698" s="1106"/>
      <c r="N698" s="1106"/>
      <c r="O698" s="1106"/>
      <c r="P698" s="1106"/>
      <c r="Q698" s="1091"/>
      <c r="R698" s="1091"/>
      <c r="S698" s="1091"/>
      <c r="T698" s="1091"/>
      <c r="U698" s="1091"/>
      <c r="V698" s="1091"/>
      <c r="W698" s="1091"/>
      <c r="X698" s="1091"/>
      <c r="Y698" s="1091"/>
      <c r="Z698" s="1091"/>
      <c r="AA698" s="1091"/>
      <c r="AB698" s="1091"/>
      <c r="AC698" s="1091"/>
      <c r="AD698" s="1091"/>
      <c r="AE698" s="1091"/>
      <c r="AF698" s="1091"/>
      <c r="AG698" s="1091"/>
      <c r="AH698" s="1091"/>
      <c r="AI698" s="1091"/>
      <c r="AJ698" s="1091"/>
      <c r="AK698" s="1091"/>
      <c r="AL698" s="1091"/>
      <c r="AM698" s="1091"/>
      <c r="AN698" s="1091"/>
      <c r="AO698" s="1091"/>
      <c r="AP698" s="1091"/>
      <c r="AQ698" s="1106"/>
      <c r="AR698" s="1106"/>
      <c r="AS698" s="1106"/>
      <c r="AT698" s="1106"/>
      <c r="AU698" s="1106"/>
      <c r="AV698" s="1106"/>
      <c r="AW698" s="1106"/>
      <c r="AX698" s="1106"/>
      <c r="AY698" s="1106"/>
      <c r="AZ698" s="1106"/>
      <c r="BA698" s="1106"/>
      <c r="BB698" s="1106"/>
      <c r="BC698" s="1107"/>
      <c r="BD698" s="1107"/>
      <c r="BE698" s="1107"/>
      <c r="BF698" s="1107"/>
      <c r="BG698" s="1107"/>
      <c r="BH698" s="1107"/>
      <c r="BI698" s="1107"/>
      <c r="BJ698" s="1107"/>
      <c r="BK698" s="1107"/>
      <c r="BL698" s="1107"/>
    </row>
    <row r="699" spans="2:64" hidden="1" outlineLevel="1">
      <c r="B699" s="1094"/>
      <c r="C699" s="1071" t="str">
        <f>C352</f>
        <v>N004 - CEROC Buildings</v>
      </c>
      <c r="D699" s="1071" t="str">
        <f>D352</f>
        <v>CEROC</v>
      </c>
      <c r="E699" s="1071" t="str">
        <f>E352</f>
        <v>N0040001</v>
      </c>
      <c r="F699" s="1125">
        <f>F352</f>
        <v>2020</v>
      </c>
      <c r="H699" s="1071" t="s">
        <v>29</v>
      </c>
      <c r="J699" s="1071" t="s">
        <v>79</v>
      </c>
      <c r="BB699" s="1108"/>
      <c r="BC699" s="1109"/>
      <c r="BD699" s="1109"/>
      <c r="BE699" s="1109"/>
      <c r="BF699" s="1109"/>
      <c r="BG699" s="1109"/>
      <c r="BH699" s="1109">
        <f>BH352*$AY49</f>
        <v>10.056534999999998</v>
      </c>
      <c r="BI699" s="1109">
        <f>BI352*$AY49</f>
        <v>120.67844850000002</v>
      </c>
      <c r="BJ699" s="1109">
        <f>BJ352*$AY49</f>
        <v>120.67844850000002</v>
      </c>
      <c r="BK699" s="1109">
        <f>BK352*$AY49</f>
        <v>120.67844850000002</v>
      </c>
      <c r="BL699" s="1109">
        <f>BL352*$AY49</f>
        <v>120.67844850000002</v>
      </c>
    </row>
    <row r="700" spans="2:64" hidden="1" outlineLevel="1">
      <c r="B700" s="1094"/>
      <c r="C700" s="1071" t="str">
        <f t="shared" ref="C700:F700" si="644">C353</f>
        <v>N004 - CEROC Network Servers</v>
      </c>
      <c r="D700" s="1071" t="str">
        <f t="shared" si="644"/>
        <v>CEROC</v>
      </c>
      <c r="E700" s="1071" t="str">
        <f t="shared" si="644"/>
        <v>N0040002</v>
      </c>
      <c r="F700" s="1125">
        <f t="shared" si="644"/>
        <v>2020</v>
      </c>
      <c r="H700" s="1071" t="s">
        <v>29</v>
      </c>
      <c r="J700" s="1071" t="s">
        <v>79</v>
      </c>
      <c r="BB700" s="1108"/>
      <c r="BC700" s="1109"/>
      <c r="BD700" s="1109"/>
      <c r="BE700" s="1109"/>
      <c r="BF700" s="1109"/>
      <c r="BG700" s="1109"/>
      <c r="BH700" s="1109">
        <f t="shared" ref="BH700:BL700" si="645">BH353*$AY50</f>
        <v>6.0297299999999998</v>
      </c>
      <c r="BI700" s="1109">
        <f t="shared" si="645"/>
        <v>72.356738750000005</v>
      </c>
      <c r="BJ700" s="1109">
        <f t="shared" si="645"/>
        <v>72.356738750000005</v>
      </c>
      <c r="BK700" s="1109">
        <f t="shared" si="645"/>
        <v>72.356738750000005</v>
      </c>
      <c r="BL700" s="1109">
        <f t="shared" si="645"/>
        <v>72.356738750000005</v>
      </c>
    </row>
    <row r="701" spans="2:64" hidden="1" outlineLevel="1">
      <c r="B701" s="1094"/>
      <c r="C701" s="1071" t="str">
        <f t="shared" ref="C701:F701" si="646">C354</f>
        <v>N004 - CEROC ATC Systems</v>
      </c>
      <c r="D701" s="1071" t="str">
        <f t="shared" si="646"/>
        <v>CEROC</v>
      </c>
      <c r="E701" s="1071" t="str">
        <f t="shared" si="646"/>
        <v>N0040003</v>
      </c>
      <c r="F701" s="1125">
        <f t="shared" si="646"/>
        <v>2020</v>
      </c>
      <c r="H701" s="1071" t="s">
        <v>29</v>
      </c>
      <c r="J701" s="1071" t="s">
        <v>79</v>
      </c>
      <c r="BB701" s="1108"/>
      <c r="BC701" s="1109"/>
      <c r="BD701" s="1109"/>
      <c r="BE701" s="1109"/>
      <c r="BF701" s="1109"/>
      <c r="BG701" s="1109"/>
      <c r="BH701" s="1109">
        <f t="shared" ref="BH701:BL701" si="647">BH354*$AY51</f>
        <v>32.967660000000009</v>
      </c>
      <c r="BI701" s="1109">
        <f t="shared" si="647"/>
        <v>395.61192</v>
      </c>
      <c r="BJ701" s="1109">
        <f t="shared" si="647"/>
        <v>395.61192</v>
      </c>
      <c r="BK701" s="1109">
        <f t="shared" si="647"/>
        <v>395.61192</v>
      </c>
      <c r="BL701" s="1109">
        <f t="shared" si="647"/>
        <v>395.61192</v>
      </c>
    </row>
    <row r="702" spans="2:64" hidden="1" outlineLevel="1">
      <c r="B702" s="1094"/>
      <c r="C702" s="1071" t="str">
        <f t="shared" ref="C702:F702" si="648">C355</f>
        <v>N004 - CEROC Voice Comm System</v>
      </c>
      <c r="D702" s="1071" t="str">
        <f t="shared" si="648"/>
        <v>CEROC</v>
      </c>
      <c r="E702" s="1071" t="str">
        <f t="shared" si="648"/>
        <v>N0040004</v>
      </c>
      <c r="F702" s="1125">
        <f t="shared" si="648"/>
        <v>2020</v>
      </c>
      <c r="H702" s="1071" t="s">
        <v>29</v>
      </c>
      <c r="J702" s="1071" t="s">
        <v>79</v>
      </c>
      <c r="BB702" s="1108"/>
      <c r="BC702" s="1109"/>
      <c r="BD702" s="1109"/>
      <c r="BE702" s="1109"/>
      <c r="BF702" s="1109"/>
      <c r="BG702" s="1109"/>
      <c r="BH702" s="1109">
        <f t="shared" ref="BH702:BL702" si="649">BH355*$AY52</f>
        <v>21.963449999999998</v>
      </c>
      <c r="BI702" s="1109">
        <f t="shared" si="649"/>
        <v>263.56145750000002</v>
      </c>
      <c r="BJ702" s="1109">
        <f t="shared" si="649"/>
        <v>263.56145750000002</v>
      </c>
      <c r="BK702" s="1109">
        <f t="shared" si="649"/>
        <v>263.56145750000002</v>
      </c>
      <c r="BL702" s="1109">
        <f t="shared" si="649"/>
        <v>263.56145750000002</v>
      </c>
    </row>
    <row r="703" spans="2:64" hidden="1" outlineLevel="1">
      <c r="B703" s="1094"/>
      <c r="C703" s="1071" t="str">
        <f t="shared" ref="C703:F703" si="650">C356</f>
        <v>N004 - CEROC Reserve Voice Com System</v>
      </c>
      <c r="D703" s="1071" t="str">
        <f t="shared" si="650"/>
        <v>CEROC</v>
      </c>
      <c r="E703" s="1071" t="str">
        <f t="shared" si="650"/>
        <v>N0040005</v>
      </c>
      <c r="F703" s="1125">
        <f t="shared" si="650"/>
        <v>2020</v>
      </c>
      <c r="H703" s="1071" t="s">
        <v>29</v>
      </c>
      <c r="J703" s="1071" t="s">
        <v>79</v>
      </c>
      <c r="BB703" s="1108"/>
      <c r="BC703" s="1109"/>
      <c r="BD703" s="1109"/>
      <c r="BE703" s="1109"/>
      <c r="BF703" s="1109"/>
      <c r="BG703" s="1109"/>
      <c r="BH703" s="1109">
        <f t="shared" ref="BH703:BL703" si="651">BH356*$AY53</f>
        <v>8.1554400000000005</v>
      </c>
      <c r="BI703" s="1109">
        <f t="shared" si="651"/>
        <v>97.865245000000002</v>
      </c>
      <c r="BJ703" s="1109">
        <f t="shared" si="651"/>
        <v>97.865245000000002</v>
      </c>
      <c r="BK703" s="1109">
        <f t="shared" si="651"/>
        <v>97.865245000000002</v>
      </c>
      <c r="BL703" s="1109">
        <f t="shared" si="651"/>
        <v>97.865245000000002</v>
      </c>
    </row>
    <row r="704" spans="2:64" hidden="1" outlineLevel="1">
      <c r="B704" s="1094"/>
      <c r="C704" s="1071" t="str">
        <f t="shared" ref="C704:F704" si="652">C357</f>
        <v>N004 CEROC Voice Comm Recorder</v>
      </c>
      <c r="D704" s="1071" t="str">
        <f t="shared" si="652"/>
        <v>CEROC</v>
      </c>
      <c r="E704" s="1071" t="str">
        <f t="shared" si="652"/>
        <v>N0040006</v>
      </c>
      <c r="F704" s="1125">
        <f t="shared" si="652"/>
        <v>2020</v>
      </c>
      <c r="H704" s="1071" t="s">
        <v>29</v>
      </c>
      <c r="J704" s="1071" t="s">
        <v>79</v>
      </c>
      <c r="BB704" s="1108"/>
      <c r="BC704" s="1109"/>
      <c r="BD704" s="1109"/>
      <c r="BE704" s="1109"/>
      <c r="BF704" s="1109"/>
      <c r="BG704" s="1109"/>
      <c r="BH704" s="1109">
        <f t="shared" ref="BH704:BL704" si="653">BH357*$AY54</f>
        <v>2.7476599999999998</v>
      </c>
      <c r="BI704" s="1109">
        <f t="shared" si="653"/>
        <v>32.971943750000001</v>
      </c>
      <c r="BJ704" s="1109">
        <f t="shared" si="653"/>
        <v>32.971943750000001</v>
      </c>
      <c r="BK704" s="1109">
        <f t="shared" si="653"/>
        <v>32.971943750000001</v>
      </c>
      <c r="BL704" s="1109">
        <f t="shared" si="653"/>
        <v>32.971943750000001</v>
      </c>
    </row>
    <row r="705" spans="2:64" hidden="1" outlineLevel="1">
      <c r="B705" s="1094"/>
      <c r="C705" s="1071" t="str">
        <f t="shared" ref="C705:F705" si="654">C358</f>
        <v>N004 - CEROC PABX</v>
      </c>
      <c r="D705" s="1071" t="str">
        <f t="shared" si="654"/>
        <v>CEROC</v>
      </c>
      <c r="E705" s="1071" t="str">
        <f t="shared" si="654"/>
        <v>N0040007</v>
      </c>
      <c r="F705" s="1125">
        <f t="shared" si="654"/>
        <v>2020</v>
      </c>
      <c r="H705" s="1071" t="s">
        <v>29</v>
      </c>
      <c r="J705" s="1071" t="s">
        <v>79</v>
      </c>
      <c r="BB705" s="1108"/>
      <c r="BC705" s="1109"/>
      <c r="BD705" s="1109"/>
      <c r="BE705" s="1109"/>
      <c r="BF705" s="1109"/>
      <c r="BG705" s="1109"/>
      <c r="BH705" s="1109">
        <f t="shared" ref="BH705:BL705" si="655">BH358*$AY55</f>
        <v>0.94108666666666663</v>
      </c>
      <c r="BI705" s="1109">
        <f t="shared" si="655"/>
        <v>11.292999999999999</v>
      </c>
      <c r="BJ705" s="1109">
        <f t="shared" si="655"/>
        <v>11.292999999999999</v>
      </c>
      <c r="BK705" s="1109">
        <f t="shared" si="655"/>
        <v>11.292999999999999</v>
      </c>
      <c r="BL705" s="1109">
        <f t="shared" si="655"/>
        <v>11.292999999999999</v>
      </c>
    </row>
    <row r="706" spans="2:64" hidden="1" outlineLevel="1">
      <c r="B706" s="1094"/>
      <c r="C706" s="1071" t="str">
        <f t="shared" ref="C706:F706" si="656">C359</f>
        <v>N004-CEROC Centralised Monitor Monitoring</v>
      </c>
      <c r="D706" s="1071" t="str">
        <f t="shared" si="656"/>
        <v>CEROC</v>
      </c>
      <c r="E706" s="1071" t="str">
        <f t="shared" si="656"/>
        <v>N0040008</v>
      </c>
      <c r="F706" s="1125">
        <f t="shared" si="656"/>
        <v>2020</v>
      </c>
      <c r="H706" s="1071" t="s">
        <v>29</v>
      </c>
      <c r="J706" s="1071" t="s">
        <v>79</v>
      </c>
      <c r="BB706" s="1108"/>
      <c r="BC706" s="1109"/>
      <c r="BD706" s="1109"/>
      <c r="BE706" s="1109"/>
      <c r="BF706" s="1109"/>
      <c r="BG706" s="1109"/>
      <c r="BH706" s="1109">
        <f t="shared" ref="BH706:BL706" si="657">BH359*$AY56</f>
        <v>4.1030299999999995</v>
      </c>
      <c r="BI706" s="1109">
        <f t="shared" si="657"/>
        <v>49.236368750000004</v>
      </c>
      <c r="BJ706" s="1109">
        <f t="shared" si="657"/>
        <v>49.236368750000004</v>
      </c>
      <c r="BK706" s="1109">
        <f t="shared" si="657"/>
        <v>49.236368750000004</v>
      </c>
      <c r="BL706" s="1109">
        <f t="shared" si="657"/>
        <v>49.236368750000004</v>
      </c>
    </row>
    <row r="707" spans="2:64" hidden="1" outlineLevel="1">
      <c r="B707" s="1094"/>
      <c r="C707" s="1071" t="str">
        <f t="shared" ref="C707:F707" si="658">C360</f>
        <v>Q001-CEROC Servers Workstation</v>
      </c>
      <c r="D707" s="1071" t="str">
        <f t="shared" si="658"/>
        <v>CEROC</v>
      </c>
      <c r="E707" s="1071" t="str">
        <f t="shared" si="658"/>
        <v>Q0010007</v>
      </c>
      <c r="F707" s="1125">
        <f t="shared" si="658"/>
        <v>2020</v>
      </c>
      <c r="H707" s="1071" t="s">
        <v>29</v>
      </c>
      <c r="J707" s="1071" t="s">
        <v>79</v>
      </c>
      <c r="BB707" s="1108"/>
      <c r="BC707" s="1109"/>
      <c r="BD707" s="1109"/>
      <c r="BE707" s="1109"/>
      <c r="BF707" s="1109"/>
      <c r="BG707" s="1109"/>
      <c r="BH707" s="1109">
        <f t="shared" ref="BH707:BL707" si="659">BH360*$AY57</f>
        <v>1.8746099999999999</v>
      </c>
      <c r="BI707" s="1109">
        <f t="shared" si="659"/>
        <v>22.495286250000003</v>
      </c>
      <c r="BJ707" s="1109">
        <f t="shared" si="659"/>
        <v>22.495286250000003</v>
      </c>
      <c r="BK707" s="1109">
        <f t="shared" si="659"/>
        <v>22.495286250000003</v>
      </c>
      <c r="BL707" s="1109">
        <f t="shared" si="659"/>
        <v>22.495286250000003</v>
      </c>
    </row>
    <row r="708" spans="2:64" hidden="1" outlineLevel="1">
      <c r="B708" s="1094"/>
      <c r="C708" s="1071" t="str">
        <f t="shared" ref="C708:F708" si="660">C361</f>
        <v>Q001-CEROC Network Replacement</v>
      </c>
      <c r="D708" s="1071" t="str">
        <f t="shared" si="660"/>
        <v>CEROC</v>
      </c>
      <c r="E708" s="1071" t="str">
        <f t="shared" si="660"/>
        <v>Q0010008</v>
      </c>
      <c r="F708" s="1125">
        <f t="shared" si="660"/>
        <v>2020</v>
      </c>
      <c r="H708" s="1071" t="s">
        <v>29</v>
      </c>
      <c r="J708" s="1071" t="s">
        <v>79</v>
      </c>
      <c r="BB708" s="1108"/>
      <c r="BC708" s="1109"/>
      <c r="BD708" s="1109"/>
      <c r="BE708" s="1109"/>
      <c r="BF708" s="1109"/>
      <c r="BG708" s="1109"/>
      <c r="BH708" s="1109">
        <f t="shared" ref="BH708:BL708" si="661">BH361*$AY58</f>
        <v>0.11992000000000001</v>
      </c>
      <c r="BI708" s="1109">
        <f t="shared" si="661"/>
        <v>1.4390050000000001</v>
      </c>
      <c r="BJ708" s="1109">
        <f t="shared" si="661"/>
        <v>1.4390050000000001</v>
      </c>
      <c r="BK708" s="1109">
        <f t="shared" si="661"/>
        <v>1.4390050000000001</v>
      </c>
      <c r="BL708" s="1109">
        <f t="shared" si="661"/>
        <v>1.4390050000000001</v>
      </c>
    </row>
    <row r="709" spans="2:64" hidden="1" outlineLevel="1">
      <c r="B709" s="1094"/>
      <c r="C709" s="1071" t="str">
        <f t="shared" ref="C709:F709" si="662">C362</f>
        <v>Q007 Nokia MNATP CEROC</v>
      </c>
      <c r="D709" s="1071" t="str">
        <f t="shared" si="662"/>
        <v>CEROC</v>
      </c>
      <c r="E709" s="1071" t="str">
        <f t="shared" si="662"/>
        <v>Q0070001</v>
      </c>
      <c r="F709" s="1125">
        <f t="shared" si="662"/>
        <v>2020</v>
      </c>
      <c r="H709" s="1071" t="s">
        <v>29</v>
      </c>
      <c r="J709" s="1071" t="s">
        <v>79</v>
      </c>
      <c r="BB709" s="1108"/>
      <c r="BC709" s="1109"/>
      <c r="BD709" s="1109"/>
      <c r="BE709" s="1109"/>
      <c r="BF709" s="1109"/>
      <c r="BG709" s="1109"/>
      <c r="BH709" s="1109">
        <f t="shared" ref="BH709:BL709" si="663">BH362*$AY59</f>
        <v>10.93135</v>
      </c>
      <c r="BI709" s="1109">
        <f t="shared" si="663"/>
        <v>131.17614</v>
      </c>
      <c r="BJ709" s="1109">
        <f t="shared" si="663"/>
        <v>131.17614</v>
      </c>
      <c r="BK709" s="1109">
        <f t="shared" si="663"/>
        <v>131.17614</v>
      </c>
      <c r="BL709" s="1109">
        <f t="shared" si="663"/>
        <v>131.17614</v>
      </c>
    </row>
    <row r="710" spans="2:64" hidden="1" outlineLevel="1">
      <c r="B710" s="1094"/>
      <c r="C710" s="1071" t="str">
        <f t="shared" ref="C710:F710" si="664">C363</f>
        <v>Q029 - CEROC IT Equipment</v>
      </c>
      <c r="D710" s="1071" t="str">
        <f t="shared" si="664"/>
        <v>CEROC</v>
      </c>
      <c r="E710" s="1071" t="str">
        <f t="shared" si="664"/>
        <v>Q0290001</v>
      </c>
      <c r="F710" s="1125">
        <f t="shared" si="664"/>
        <v>2020</v>
      </c>
      <c r="H710" s="1071" t="s">
        <v>29</v>
      </c>
      <c r="J710" s="1071" t="s">
        <v>79</v>
      </c>
      <c r="BB710" s="1108"/>
      <c r="BC710" s="1109"/>
      <c r="BD710" s="1109"/>
      <c r="BE710" s="1109"/>
      <c r="BF710" s="1109"/>
      <c r="BG710" s="1109"/>
      <c r="BH710" s="1109">
        <f t="shared" ref="BH710:BL710" si="665">BH363*$AY60</f>
        <v>1.8108399999999996</v>
      </c>
      <c r="BI710" s="1109">
        <f t="shared" si="665"/>
        <v>21.142790270270268</v>
      </c>
      <c r="BJ710" s="1109">
        <f t="shared" si="665"/>
        <v>21.142790270270268</v>
      </c>
      <c r="BK710" s="1109">
        <f t="shared" si="665"/>
        <v>21.093849459459459</v>
      </c>
      <c r="BL710" s="1109">
        <f t="shared" si="665"/>
        <v>0</v>
      </c>
    </row>
    <row r="711" spans="2:64" hidden="1" outlineLevel="1">
      <c r="B711" s="1094"/>
      <c r="C711" s="1071" t="str">
        <f t="shared" ref="C711:F711" si="666">C364</f>
        <v>Q029 -CEROC  Photocopier</v>
      </c>
      <c r="D711" s="1071" t="str">
        <f t="shared" si="666"/>
        <v>CEROC</v>
      </c>
      <c r="E711" s="1071" t="str">
        <f t="shared" si="666"/>
        <v>Q0290002</v>
      </c>
      <c r="F711" s="1125">
        <f t="shared" si="666"/>
        <v>2020</v>
      </c>
      <c r="H711" s="1071" t="s">
        <v>29</v>
      </c>
      <c r="J711" s="1071" t="s">
        <v>79</v>
      </c>
      <c r="BB711" s="1108"/>
      <c r="BC711" s="1109"/>
      <c r="BD711" s="1109"/>
      <c r="BE711" s="1109"/>
      <c r="BF711" s="1109"/>
      <c r="BG711" s="1109"/>
      <c r="BH711" s="1109">
        <f t="shared" ref="BH711:BL711" si="667">BH364*$AY61</f>
        <v>8.1100000000000005E-2</v>
      </c>
      <c r="BI711" s="1109">
        <f t="shared" si="667"/>
        <v>0.97315000000000007</v>
      </c>
      <c r="BJ711" s="1109">
        <f t="shared" si="667"/>
        <v>0.97315000000000007</v>
      </c>
      <c r="BK711" s="1109">
        <f t="shared" si="667"/>
        <v>0.97315000000000007</v>
      </c>
      <c r="BL711" s="1109">
        <f t="shared" si="667"/>
        <v>0.97315000000000007</v>
      </c>
    </row>
    <row r="712" spans="2:64" hidden="1" outlineLevel="1">
      <c r="B712" s="1094"/>
      <c r="C712" s="1071" t="str">
        <f t="shared" ref="C712:F712" si="668">C365</f>
        <v>Rosslare VHF - Cabins &amp; Civils Q015</v>
      </c>
      <c r="D712" s="1071" t="str">
        <f t="shared" si="668"/>
        <v>Rosslare VHF - Cabins &amp; Civils Q015</v>
      </c>
      <c r="E712" s="1071" t="str">
        <f t="shared" si="668"/>
        <v>q0150001</v>
      </c>
      <c r="F712" s="1125">
        <f t="shared" si="668"/>
        <v>2020</v>
      </c>
      <c r="H712" s="1071" t="s">
        <v>29</v>
      </c>
      <c r="J712" s="1071" t="s">
        <v>79</v>
      </c>
      <c r="BB712" s="1108"/>
      <c r="BC712" s="1109"/>
      <c r="BD712" s="1109"/>
      <c r="BE712" s="1109"/>
      <c r="BF712" s="1109"/>
      <c r="BG712" s="1109"/>
      <c r="BH712" s="1109">
        <f t="shared" ref="BH712:BL712" si="669">BH365*$AY62</f>
        <v>10.89555</v>
      </c>
      <c r="BI712" s="1109">
        <f t="shared" si="669"/>
        <v>32.686648124999998</v>
      </c>
      <c r="BJ712" s="1109">
        <f t="shared" si="669"/>
        <v>32.686648124999998</v>
      </c>
      <c r="BK712" s="1109">
        <f t="shared" si="669"/>
        <v>32.686648124999998</v>
      </c>
      <c r="BL712" s="1109">
        <f t="shared" si="669"/>
        <v>32.686648124999998</v>
      </c>
    </row>
    <row r="713" spans="2:64" hidden="1" outlineLevel="1">
      <c r="B713" s="1094"/>
      <c r="C713" s="1071" t="str">
        <f t="shared" ref="C713:F713" si="670">C366</f>
        <v>Q001- Coopans Hardware network</v>
      </c>
      <c r="D713" s="1071" t="str">
        <f t="shared" si="670"/>
        <v>Coopans Hardware network</v>
      </c>
      <c r="E713" s="1071" t="str">
        <f t="shared" si="670"/>
        <v>Q0010006</v>
      </c>
      <c r="F713" s="1125">
        <f t="shared" si="670"/>
        <v>2020</v>
      </c>
      <c r="H713" s="1071" t="s">
        <v>29</v>
      </c>
      <c r="J713" s="1071" t="s">
        <v>79</v>
      </c>
      <c r="BB713" s="1108"/>
      <c r="BC713" s="1109"/>
      <c r="BD713" s="1109"/>
      <c r="BE713" s="1109"/>
      <c r="BF713" s="1109"/>
      <c r="BG713" s="1109"/>
      <c r="BH713" s="1109">
        <f t="shared" ref="BH713:BL713" si="671">BH366*$AY63</f>
        <v>26.780077499999997</v>
      </c>
      <c r="BI713" s="1109">
        <f t="shared" si="671"/>
        <v>29.214624375</v>
      </c>
      <c r="BJ713" s="1109">
        <f t="shared" si="671"/>
        <v>29.214624375</v>
      </c>
      <c r="BK713" s="1109">
        <f t="shared" si="671"/>
        <v>29.214624375</v>
      </c>
      <c r="BL713" s="1109">
        <f t="shared" si="671"/>
        <v>29.214624375</v>
      </c>
    </row>
    <row r="714" spans="2:64" hidden="1" outlineLevel="1">
      <c r="B714" s="1094"/>
      <c r="C714" s="1071" t="str">
        <f t="shared" ref="C714:F714" si="672">C367</f>
        <v>P009 - New South East VHF Site</v>
      </c>
      <c r="D714" s="1071" t="str">
        <f t="shared" si="672"/>
        <v>New South East VHF Site</v>
      </c>
      <c r="E714" s="1071" t="str">
        <f t="shared" si="672"/>
        <v>P0090001</v>
      </c>
      <c r="F714" s="1125">
        <f t="shared" si="672"/>
        <v>2020</v>
      </c>
      <c r="H714" s="1071" t="s">
        <v>29</v>
      </c>
      <c r="J714" s="1071" t="s">
        <v>79</v>
      </c>
      <c r="BB714" s="1108"/>
      <c r="BC714" s="1109"/>
      <c r="BD714" s="1109"/>
      <c r="BE714" s="1109"/>
      <c r="BF714" s="1109"/>
      <c r="BG714" s="1109"/>
      <c r="BH714" s="1109">
        <f t="shared" ref="BH714:BL714" si="673">BH367*$AY64</f>
        <v>9.6829499999999999</v>
      </c>
      <c r="BI714" s="1109">
        <f t="shared" si="673"/>
        <v>29.048812499999997</v>
      </c>
      <c r="BJ714" s="1109">
        <f t="shared" si="673"/>
        <v>29.048812499999997</v>
      </c>
      <c r="BK714" s="1109">
        <f t="shared" si="673"/>
        <v>29.048812499999997</v>
      </c>
      <c r="BL714" s="1109">
        <f t="shared" si="673"/>
        <v>29.048812499999997</v>
      </c>
    </row>
    <row r="715" spans="2:64" hidden="1" outlineLevel="1">
      <c r="B715" s="1094"/>
      <c r="C715" s="1071" t="str">
        <f t="shared" ref="C715:F715" si="674">C368</f>
        <v>T024 - UPS System Woodcock</v>
      </c>
      <c r="D715" s="1071" t="str">
        <f t="shared" si="674"/>
        <v>UPS System</v>
      </c>
      <c r="E715" s="1071" t="str">
        <f t="shared" si="674"/>
        <v>T0240005</v>
      </c>
      <c r="F715" s="1125">
        <f t="shared" si="674"/>
        <v>2020</v>
      </c>
      <c r="H715" s="1071" t="s">
        <v>29</v>
      </c>
      <c r="J715" s="1071" t="s">
        <v>79</v>
      </c>
      <c r="BB715" s="1108"/>
      <c r="BC715" s="1109"/>
      <c r="BD715" s="1109"/>
      <c r="BE715" s="1109"/>
      <c r="BF715" s="1109"/>
      <c r="BG715" s="1109"/>
      <c r="BH715" s="1109">
        <f t="shared" ref="BH715:BL715" si="675">BH368*$AY65</f>
        <v>1.8444200000000002</v>
      </c>
      <c r="BI715" s="1109">
        <f t="shared" si="675"/>
        <v>5.7234699999999998</v>
      </c>
      <c r="BJ715" s="1109">
        <f t="shared" si="675"/>
        <v>5.7234699999999998</v>
      </c>
      <c r="BK715" s="1109">
        <f t="shared" si="675"/>
        <v>5.7234699999999998</v>
      </c>
      <c r="BL715" s="1109">
        <f t="shared" si="675"/>
        <v>5.7234699999999998</v>
      </c>
    </row>
    <row r="716" spans="2:64" hidden="1" outlineLevel="1">
      <c r="B716" s="1094"/>
      <c r="C716" s="1071" t="str">
        <f t="shared" ref="C716:F716" si="676">C369</f>
        <v>T024 -UPS System Shannon Tower</v>
      </c>
      <c r="D716" s="1071" t="str">
        <f t="shared" si="676"/>
        <v>UPS System</v>
      </c>
      <c r="E716" s="1071" t="str">
        <f t="shared" si="676"/>
        <v>T0240007</v>
      </c>
      <c r="F716" s="1125">
        <f t="shared" si="676"/>
        <v>2020</v>
      </c>
      <c r="H716" s="1071" t="s">
        <v>29</v>
      </c>
      <c r="J716" s="1071" t="s">
        <v>79</v>
      </c>
      <c r="BB716" s="1108"/>
      <c r="BC716" s="1109"/>
      <c r="BD716" s="1109"/>
      <c r="BE716" s="1109"/>
      <c r="BF716" s="1109"/>
      <c r="BG716" s="1109"/>
      <c r="BH716" s="1109">
        <f t="shared" ref="BH716:BL716" si="677">BH369*$AY66</f>
        <v>0</v>
      </c>
      <c r="BI716" s="1109">
        <f t="shared" si="677"/>
        <v>0</v>
      </c>
      <c r="BJ716" s="1109">
        <f t="shared" si="677"/>
        <v>0</v>
      </c>
      <c r="BK716" s="1109">
        <f t="shared" si="677"/>
        <v>0</v>
      </c>
      <c r="BL716" s="1109">
        <f t="shared" si="677"/>
        <v>0</v>
      </c>
    </row>
    <row r="717" spans="2:64" hidden="1" outlineLevel="1">
      <c r="B717" s="1094"/>
      <c r="C717" s="1071" t="str">
        <f t="shared" ref="C717:F717" si="678">C370</f>
        <v>T024 -UPS System Shannon Radar</v>
      </c>
      <c r="D717" s="1071" t="str">
        <f t="shared" si="678"/>
        <v>UPS System</v>
      </c>
      <c r="E717" s="1071" t="str">
        <f t="shared" si="678"/>
        <v>T0240006</v>
      </c>
      <c r="F717" s="1125">
        <f t="shared" si="678"/>
        <v>2020</v>
      </c>
      <c r="H717" s="1071" t="s">
        <v>29</v>
      </c>
      <c r="J717" s="1071" t="s">
        <v>79</v>
      </c>
      <c r="BB717" s="1108"/>
      <c r="BC717" s="1109"/>
      <c r="BD717" s="1109"/>
      <c r="BE717" s="1109"/>
      <c r="BF717" s="1109"/>
      <c r="BG717" s="1109"/>
      <c r="BH717" s="1109">
        <f t="shared" ref="BH717:BL717" si="679">BH370*$AY67</f>
        <v>2.0475000000000003</v>
      </c>
      <c r="BI717" s="1109">
        <f t="shared" si="679"/>
        <v>4.0949690625000006</v>
      </c>
      <c r="BJ717" s="1109">
        <f t="shared" si="679"/>
        <v>4.0949690625000006</v>
      </c>
      <c r="BK717" s="1109">
        <f t="shared" si="679"/>
        <v>4.0949690625000006</v>
      </c>
      <c r="BL717" s="1109">
        <f t="shared" si="679"/>
        <v>4.0949690625000006</v>
      </c>
    </row>
    <row r="718" spans="2:64" hidden="1" outlineLevel="1">
      <c r="B718" s="1094"/>
      <c r="C718" s="1071" t="str">
        <f t="shared" ref="C718:F718" si="680">C371</f>
        <v>T024 - UPS System Cork</v>
      </c>
      <c r="D718" s="1071" t="str">
        <f t="shared" si="680"/>
        <v>UPS System</v>
      </c>
      <c r="E718" s="1071" t="str">
        <f t="shared" si="680"/>
        <v>T0240008</v>
      </c>
      <c r="F718" s="1125">
        <f t="shared" si="680"/>
        <v>2020</v>
      </c>
      <c r="H718" s="1071" t="s">
        <v>29</v>
      </c>
      <c r="J718" s="1071" t="s">
        <v>79</v>
      </c>
      <c r="BB718" s="1108"/>
      <c r="BC718" s="1109"/>
      <c r="BD718" s="1109"/>
      <c r="BE718" s="1109"/>
      <c r="BF718" s="1109"/>
      <c r="BG718" s="1109"/>
      <c r="BH718" s="1109">
        <f t="shared" ref="BH718:BL718" si="681">BH371*$AY68</f>
        <v>1.3650000000000002</v>
      </c>
      <c r="BI718" s="1109">
        <f t="shared" si="681"/>
        <v>2.7299793750000005</v>
      </c>
      <c r="BJ718" s="1109">
        <f t="shared" si="681"/>
        <v>2.7299793750000005</v>
      </c>
      <c r="BK718" s="1109">
        <f t="shared" si="681"/>
        <v>2.7299793750000005</v>
      </c>
      <c r="BL718" s="1109">
        <f t="shared" si="681"/>
        <v>2.7299793750000005</v>
      </c>
    </row>
    <row r="719" spans="2:64" hidden="1" outlineLevel="1">
      <c r="B719" s="1094"/>
      <c r="C719" s="1071" t="str">
        <f t="shared" ref="C719:F719" si="682">C372</f>
        <v>S025 MICROSOFT SQL SERVER - HQ</v>
      </c>
      <c r="D719" s="1071" t="str">
        <f t="shared" si="682"/>
        <v>IT Network</v>
      </c>
      <c r="E719" s="1071" t="str">
        <f t="shared" si="682"/>
        <v>S0250002</v>
      </c>
      <c r="F719" s="1125">
        <f t="shared" si="682"/>
        <v>2020</v>
      </c>
      <c r="H719" s="1071" t="s">
        <v>29</v>
      </c>
      <c r="J719" s="1071" t="s">
        <v>79</v>
      </c>
      <c r="BB719" s="1108"/>
      <c r="BC719" s="1109"/>
      <c r="BD719" s="1109"/>
      <c r="BE719" s="1109"/>
      <c r="BF719" s="1109"/>
      <c r="BG719" s="1109"/>
      <c r="BH719" s="1109">
        <f t="shared" ref="BH719:BL719" si="683">BH372*$AY69</f>
        <v>2.3987434999999997</v>
      </c>
      <c r="BI719" s="1109">
        <f t="shared" si="683"/>
        <v>5.6013547135135129</v>
      </c>
      <c r="BJ719" s="1109">
        <f t="shared" si="683"/>
        <v>5.6013547135135129</v>
      </c>
      <c r="BK719" s="1109">
        <f t="shared" si="683"/>
        <v>3.6693907729729736</v>
      </c>
      <c r="BL719" s="1109">
        <f t="shared" si="683"/>
        <v>0</v>
      </c>
    </row>
    <row r="720" spans="2:64" hidden="1" outlineLevel="1">
      <c r="B720" s="1094"/>
      <c r="C720" s="1071" t="str">
        <f t="shared" ref="C720:F720" si="684">C373</f>
        <v>S025 DATACENTRE LICENSES - HQ</v>
      </c>
      <c r="D720" s="1071" t="str">
        <f t="shared" si="684"/>
        <v>IT Network</v>
      </c>
      <c r="E720" s="1071" t="str">
        <f t="shared" si="684"/>
        <v>S0250004</v>
      </c>
      <c r="F720" s="1125">
        <f t="shared" si="684"/>
        <v>2020</v>
      </c>
      <c r="H720" s="1071" t="s">
        <v>29</v>
      </c>
      <c r="J720" s="1071" t="s">
        <v>79</v>
      </c>
      <c r="BB720" s="1108"/>
      <c r="BC720" s="1109"/>
      <c r="BD720" s="1109"/>
      <c r="BE720" s="1109"/>
      <c r="BF720" s="1109"/>
      <c r="BG720" s="1109"/>
      <c r="BH720" s="1109">
        <f t="shared" ref="BH720:BL720" si="685">BH373*$AY70</f>
        <v>1.6109712999999997</v>
      </c>
      <c r="BI720" s="1109">
        <f t="shared" si="685"/>
        <v>4.8329333666666656</v>
      </c>
      <c r="BJ720" s="1109">
        <f t="shared" si="685"/>
        <v>4.8329333666666656</v>
      </c>
      <c r="BK720" s="1109">
        <f t="shared" si="685"/>
        <v>3.221962066666666</v>
      </c>
      <c r="BL720" s="1109">
        <f t="shared" si="685"/>
        <v>0</v>
      </c>
    </row>
    <row r="721" spans="2:64" hidden="1" outlineLevel="1">
      <c r="B721" s="1094"/>
      <c r="C721" s="1071" t="str">
        <f t="shared" ref="C721:F721" si="686">C374</f>
        <v>S025 SUPPORT VMWARE VS 7 - HQ</v>
      </c>
      <c r="D721" s="1071" t="str">
        <f t="shared" si="686"/>
        <v>IT Network</v>
      </c>
      <c r="E721" s="1071" t="str">
        <f t="shared" si="686"/>
        <v>S0250006</v>
      </c>
      <c r="F721" s="1125">
        <f t="shared" si="686"/>
        <v>2020</v>
      </c>
      <c r="H721" s="1071" t="s">
        <v>29</v>
      </c>
      <c r="J721" s="1071" t="s">
        <v>79</v>
      </c>
      <c r="BB721" s="1108"/>
      <c r="BC721" s="1109"/>
      <c r="BD721" s="1109"/>
      <c r="BE721" s="1109"/>
      <c r="BF721" s="1109"/>
      <c r="BG721" s="1109"/>
      <c r="BH721" s="1109">
        <f t="shared" ref="BH721:BL721" si="687">BH374*$AY71</f>
        <v>0.13724</v>
      </c>
      <c r="BI721" s="1109">
        <f t="shared" si="687"/>
        <v>1.6023271135135133</v>
      </c>
      <c r="BJ721" s="1109">
        <f t="shared" si="687"/>
        <v>1.6023271135135133</v>
      </c>
      <c r="BK721" s="1109">
        <f t="shared" si="687"/>
        <v>1.5986143729729729</v>
      </c>
      <c r="BL721" s="1109">
        <f t="shared" si="687"/>
        <v>0</v>
      </c>
    </row>
    <row r="722" spans="2:64" hidden="1" outlineLevel="1">
      <c r="B722" s="1094"/>
      <c r="C722" s="1071" t="str">
        <f t="shared" ref="C722:F722" si="688">C375</f>
        <v>S025 MICROSOFT SQL SERVER -BCY</v>
      </c>
      <c r="D722" s="1071" t="str">
        <f t="shared" si="688"/>
        <v>IT Network</v>
      </c>
      <c r="E722" s="1071" t="str">
        <f t="shared" si="688"/>
        <v>S0250003</v>
      </c>
      <c r="F722" s="1125">
        <f t="shared" si="688"/>
        <v>2020</v>
      </c>
      <c r="H722" s="1071" t="s">
        <v>29</v>
      </c>
      <c r="J722" s="1071" t="s">
        <v>79</v>
      </c>
      <c r="BB722" s="1108"/>
      <c r="BC722" s="1109"/>
      <c r="BD722" s="1109"/>
      <c r="BE722" s="1109"/>
      <c r="BF722" s="1109"/>
      <c r="BG722" s="1109"/>
      <c r="BH722" s="1109">
        <f t="shared" ref="BH722:BL722" si="689">BH375*$AY72</f>
        <v>4.7783250000000006</v>
      </c>
      <c r="BI722" s="1109">
        <f t="shared" si="689"/>
        <v>11.158058918918918</v>
      </c>
      <c r="BJ722" s="1109">
        <f t="shared" si="689"/>
        <v>11.158058918918918</v>
      </c>
      <c r="BK722" s="1109">
        <f t="shared" si="689"/>
        <v>7.3095721621621621</v>
      </c>
      <c r="BL722" s="1109">
        <f t="shared" si="689"/>
        <v>0</v>
      </c>
    </row>
    <row r="723" spans="2:64" hidden="1" outlineLevel="1">
      <c r="B723" s="1094"/>
      <c r="C723" s="1071" t="str">
        <f t="shared" ref="C723:F723" si="690">C376</f>
        <v>S025 DATACENTRE LICENSES - BCY</v>
      </c>
      <c r="D723" s="1071" t="str">
        <f t="shared" si="690"/>
        <v>IT Network</v>
      </c>
      <c r="E723" s="1071" t="str">
        <f t="shared" si="690"/>
        <v>S0250005</v>
      </c>
      <c r="F723" s="1125">
        <f t="shared" si="690"/>
        <v>2020</v>
      </c>
      <c r="H723" s="1071" t="s">
        <v>29</v>
      </c>
      <c r="J723" s="1071" t="s">
        <v>79</v>
      </c>
      <c r="BB723" s="1108"/>
      <c r="BC723" s="1109"/>
      <c r="BD723" s="1109"/>
      <c r="BE723" s="1109"/>
      <c r="BF723" s="1109"/>
      <c r="BG723" s="1109"/>
      <c r="BH723" s="1109">
        <f t="shared" ref="BH723:BL723" si="691">BH376*$AY73</f>
        <v>3.2091075000000009</v>
      </c>
      <c r="BI723" s="1109">
        <f t="shared" si="691"/>
        <v>9.627342500000001</v>
      </c>
      <c r="BJ723" s="1109">
        <f t="shared" si="691"/>
        <v>9.627342500000001</v>
      </c>
      <c r="BK723" s="1109">
        <f t="shared" si="691"/>
        <v>6.4182350000000001</v>
      </c>
      <c r="BL723" s="1109">
        <f t="shared" si="691"/>
        <v>0</v>
      </c>
    </row>
    <row r="724" spans="2:64" hidden="1" outlineLevel="1">
      <c r="B724" s="1094"/>
      <c r="C724" s="1071" t="str">
        <f t="shared" ref="C724:F724" si="692">C377</f>
        <v>S025 SUPPORT VMWARE VS 7 - BCY</v>
      </c>
      <c r="D724" s="1071" t="str">
        <f t="shared" si="692"/>
        <v>IT Network</v>
      </c>
      <c r="E724" s="1071" t="str">
        <f t="shared" si="692"/>
        <v>S0250007</v>
      </c>
      <c r="F724" s="1125">
        <f t="shared" si="692"/>
        <v>2020</v>
      </c>
      <c r="H724" s="1071" t="s">
        <v>29</v>
      </c>
      <c r="J724" s="1071" t="s">
        <v>79</v>
      </c>
      <c r="BB724" s="1108"/>
      <c r="BC724" s="1109"/>
      <c r="BD724" s="1109"/>
      <c r="BE724" s="1109"/>
      <c r="BF724" s="1109"/>
      <c r="BG724" s="1109"/>
      <c r="BH724" s="1109">
        <f t="shared" ref="BH724:BL724" si="693">BH377*$AY74</f>
        <v>0.27338249999999997</v>
      </c>
      <c r="BI724" s="1109">
        <f t="shared" si="693"/>
        <v>3.1918816216216217</v>
      </c>
      <c r="BJ724" s="1109">
        <f t="shared" si="693"/>
        <v>3.1918816216216217</v>
      </c>
      <c r="BK724" s="1109">
        <f t="shared" si="693"/>
        <v>3.1844892567567564</v>
      </c>
      <c r="BL724" s="1109">
        <f t="shared" si="693"/>
        <v>0</v>
      </c>
    </row>
    <row r="725" spans="2:64" hidden="1" outlineLevel="1">
      <c r="B725" s="1094"/>
      <c r="C725" s="1071" t="str">
        <f t="shared" ref="C725:F725" si="694">C378</f>
        <v>S024 - AGILE HPE ARUBA BCY</v>
      </c>
      <c r="D725" s="1071" t="str">
        <f t="shared" si="694"/>
        <v>AGILE HPE ARUBA</v>
      </c>
      <c r="E725" s="1071" t="str">
        <f t="shared" si="694"/>
        <v>S0240005</v>
      </c>
      <c r="F725" s="1125">
        <f t="shared" si="694"/>
        <v>2020</v>
      </c>
      <c r="H725" s="1071" t="s">
        <v>29</v>
      </c>
      <c r="J725" s="1071" t="s">
        <v>79</v>
      </c>
      <c r="BB725" s="1108"/>
      <c r="BC725" s="1109"/>
      <c r="BD725" s="1109"/>
      <c r="BE725" s="1109"/>
      <c r="BF725" s="1109"/>
      <c r="BG725" s="1109"/>
      <c r="BH725" s="1109">
        <f t="shared" ref="BH725:BL725" si="695">BH378*$AY75</f>
        <v>3.6213799999999998</v>
      </c>
      <c r="BI725" s="1109">
        <f t="shared" si="695"/>
        <v>6.2081166666666663</v>
      </c>
      <c r="BJ725" s="1109">
        <f t="shared" si="695"/>
        <v>6.2081166666666663</v>
      </c>
      <c r="BK725" s="1109">
        <f t="shared" si="695"/>
        <v>2.5867366666666656</v>
      </c>
      <c r="BL725" s="1109">
        <f t="shared" si="695"/>
        <v>0</v>
      </c>
    </row>
    <row r="726" spans="2:64" hidden="1" outlineLevel="1">
      <c r="B726" s="1094"/>
      <c r="C726" s="1071" t="str">
        <f t="shared" ref="C726:F726" si="696">C379</f>
        <v>S024 - AGILE HPE ARUBA DAP</v>
      </c>
      <c r="D726" s="1071" t="str">
        <f t="shared" si="696"/>
        <v>AGILE HPE ARUBA</v>
      </c>
      <c r="E726" s="1071" t="str">
        <f t="shared" si="696"/>
        <v>S0240009</v>
      </c>
      <c r="F726" s="1125">
        <f t="shared" si="696"/>
        <v>2020</v>
      </c>
      <c r="H726" s="1071" t="s">
        <v>29</v>
      </c>
      <c r="J726" s="1071" t="s">
        <v>79</v>
      </c>
      <c r="BB726" s="1108"/>
      <c r="BC726" s="1109"/>
      <c r="BD726" s="1109"/>
      <c r="BE726" s="1109"/>
      <c r="BF726" s="1109"/>
      <c r="BG726" s="1109"/>
      <c r="BH726" s="1109">
        <f t="shared" ref="BH726:BL726" si="697">BH379*$AY76</f>
        <v>3.3551175000000004</v>
      </c>
      <c r="BI726" s="1109">
        <f t="shared" si="697"/>
        <v>5.7516375000000002</v>
      </c>
      <c r="BJ726" s="1109">
        <f t="shared" si="697"/>
        <v>5.7516375000000002</v>
      </c>
      <c r="BK726" s="1109">
        <f t="shared" si="697"/>
        <v>2.3965199999999998</v>
      </c>
      <c r="BL726" s="1109">
        <f t="shared" si="697"/>
        <v>0</v>
      </c>
    </row>
    <row r="727" spans="2:64" hidden="1" outlineLevel="1">
      <c r="B727" s="1094"/>
      <c r="C727" s="1071" t="str">
        <f t="shared" ref="C727:F727" si="698">C380</f>
        <v>S024 - AGILE HPE ARUBA HQ</v>
      </c>
      <c r="D727" s="1071" t="str">
        <f t="shared" si="698"/>
        <v>AGILE HPE ARUBA</v>
      </c>
      <c r="E727" s="1071" t="str">
        <f t="shared" si="698"/>
        <v>S0240008</v>
      </c>
      <c r="F727" s="1125">
        <f t="shared" si="698"/>
        <v>2020</v>
      </c>
      <c r="H727" s="1071" t="s">
        <v>29</v>
      </c>
      <c r="J727" s="1071" t="s">
        <v>79</v>
      </c>
      <c r="BB727" s="1108"/>
      <c r="BC727" s="1109"/>
      <c r="BD727" s="1109"/>
      <c r="BE727" s="1109"/>
      <c r="BF727" s="1109"/>
      <c r="BG727" s="1109"/>
      <c r="BH727" s="1109">
        <f t="shared" ref="BH727:BL727" si="699">BH380*$AY77</f>
        <v>2.9979858999999998</v>
      </c>
      <c r="BI727" s="1109">
        <f t="shared" si="699"/>
        <v>5.1394238666666663</v>
      </c>
      <c r="BJ727" s="1109">
        <f t="shared" si="699"/>
        <v>5.1394238666666663</v>
      </c>
      <c r="BK727" s="1109">
        <f t="shared" si="699"/>
        <v>2.1414379666666656</v>
      </c>
      <c r="BL727" s="1109">
        <f t="shared" si="699"/>
        <v>0</v>
      </c>
    </row>
    <row r="728" spans="2:64" hidden="1" outlineLevel="1">
      <c r="B728" s="1094"/>
      <c r="C728" s="1071" t="str">
        <f t="shared" ref="C728:F728" si="700">C381</f>
        <v>S024 - AGILE HPE ARUBA SHN</v>
      </c>
      <c r="D728" s="1071" t="str">
        <f t="shared" si="700"/>
        <v>AGILE HPE ARUBA</v>
      </c>
      <c r="E728" s="1071" t="str">
        <f t="shared" si="700"/>
        <v>S0240006</v>
      </c>
      <c r="F728" s="1125">
        <f t="shared" si="700"/>
        <v>2020</v>
      </c>
      <c r="H728" s="1071" t="s">
        <v>29</v>
      </c>
      <c r="J728" s="1071" t="s">
        <v>79</v>
      </c>
      <c r="BB728" s="1108"/>
      <c r="BC728" s="1109"/>
      <c r="BD728" s="1109"/>
      <c r="BE728" s="1109"/>
      <c r="BF728" s="1109"/>
      <c r="BG728" s="1109"/>
      <c r="BH728" s="1109">
        <f t="shared" ref="BH728:BL728" si="701">BH381*$AY78</f>
        <v>0.58579499999999984</v>
      </c>
      <c r="BI728" s="1109">
        <f t="shared" si="701"/>
        <v>1.0042550000000001</v>
      </c>
      <c r="BJ728" s="1109">
        <f t="shared" si="701"/>
        <v>1.0042550000000001</v>
      </c>
      <c r="BK728" s="1109">
        <f t="shared" si="701"/>
        <v>0.41845999999999994</v>
      </c>
      <c r="BL728" s="1109">
        <f t="shared" si="701"/>
        <v>0</v>
      </c>
    </row>
    <row r="729" spans="2:64" hidden="1" outlineLevel="1">
      <c r="B729" s="1094"/>
      <c r="C729" s="1071" t="str">
        <f t="shared" ref="C729:F729" si="702">C382</f>
        <v>S024 - AGILE HPE ARUBA Cork</v>
      </c>
      <c r="D729" s="1071" t="str">
        <f t="shared" si="702"/>
        <v>AGILE HPE ARUBA</v>
      </c>
      <c r="E729" s="1071" t="str">
        <f t="shared" si="702"/>
        <v>S0240010</v>
      </c>
      <c r="F729" s="1125">
        <f t="shared" si="702"/>
        <v>2020</v>
      </c>
      <c r="H729" s="1071" t="s">
        <v>29</v>
      </c>
      <c r="J729" s="1071" t="s">
        <v>79</v>
      </c>
      <c r="BB729" s="1108"/>
      <c r="BC729" s="1109"/>
      <c r="BD729" s="1109"/>
      <c r="BE729" s="1109"/>
      <c r="BF729" s="1109"/>
      <c r="BG729" s="1109"/>
      <c r="BH729" s="1109">
        <f t="shared" ref="BH729:BL729" si="703">BH382*$AY79</f>
        <v>0.39052999999999988</v>
      </c>
      <c r="BI729" s="1109">
        <f t="shared" si="703"/>
        <v>0.66950333333333334</v>
      </c>
      <c r="BJ729" s="1109">
        <f t="shared" si="703"/>
        <v>0.66950333333333334</v>
      </c>
      <c r="BK729" s="1109">
        <f t="shared" si="703"/>
        <v>0.2789733333333333</v>
      </c>
      <c r="BL729" s="1109">
        <f t="shared" si="703"/>
        <v>0</v>
      </c>
    </row>
    <row r="730" spans="2:64" hidden="1" outlineLevel="1">
      <c r="B730" s="1094"/>
      <c r="C730" s="1071" t="str">
        <f t="shared" ref="C730:F730" si="704">C383</f>
        <v>N008 - RAPS-SMD SENSOR MONITOR &amp; Analysis</v>
      </c>
      <c r="D730" s="1071" t="str">
        <f t="shared" si="704"/>
        <v>RAPS-SMD SENSOR MONITOR &amp; Analysis</v>
      </c>
      <c r="E730" s="1071" t="str">
        <f t="shared" si="704"/>
        <v>N0080007</v>
      </c>
      <c r="F730" s="1125">
        <f t="shared" si="704"/>
        <v>2020</v>
      </c>
      <c r="H730" s="1071" t="s">
        <v>29</v>
      </c>
      <c r="J730" s="1071" t="s">
        <v>79</v>
      </c>
      <c r="BB730" s="1108"/>
      <c r="BC730" s="1109"/>
      <c r="BD730" s="1109"/>
      <c r="BE730" s="1109"/>
      <c r="BF730" s="1109"/>
      <c r="BG730" s="1109"/>
      <c r="BH730" s="1109">
        <f t="shared" ref="BH730:BL730" si="705">BH383*$AY80</f>
        <v>6.4000199999999996</v>
      </c>
      <c r="BI730" s="1109">
        <f t="shared" si="705"/>
        <v>9.6000000000000014</v>
      </c>
      <c r="BJ730" s="1109">
        <f t="shared" si="705"/>
        <v>9.6000000000000014</v>
      </c>
      <c r="BK730" s="1109">
        <f t="shared" si="705"/>
        <v>9.6000000000000014</v>
      </c>
      <c r="BL730" s="1109">
        <f t="shared" si="705"/>
        <v>9.6000000000000014</v>
      </c>
    </row>
    <row r="731" spans="2:64" hidden="1" outlineLevel="1">
      <c r="B731" s="1094"/>
      <c r="C731" s="1071" t="str">
        <f t="shared" ref="C731:F731" si="706">C384</f>
        <v>T017 - OPTIPLEX5060 W20007783</v>
      </c>
      <c r="D731" s="1071" t="str">
        <f t="shared" si="706"/>
        <v>IT Equipment</v>
      </c>
      <c r="E731" s="1071" t="str">
        <f t="shared" si="706"/>
        <v>T0170203</v>
      </c>
      <c r="F731" s="1125">
        <f t="shared" si="706"/>
        <v>2020</v>
      </c>
      <c r="H731" s="1071" t="s">
        <v>29</v>
      </c>
      <c r="J731" s="1071" t="s">
        <v>79</v>
      </c>
      <c r="BB731" s="1108"/>
      <c r="BC731" s="1109"/>
      <c r="BD731" s="1109"/>
      <c r="BE731" s="1109"/>
      <c r="BF731" s="1109"/>
      <c r="BG731" s="1109"/>
      <c r="BH731" s="1109">
        <f t="shared" ref="BH731:BL731" si="707">BH384*$AY81</f>
        <v>8.7517499999999998E-2</v>
      </c>
      <c r="BI731" s="1109">
        <f t="shared" si="707"/>
        <v>0.15</v>
      </c>
      <c r="BJ731" s="1109">
        <f t="shared" si="707"/>
        <v>0.15</v>
      </c>
      <c r="BK731" s="1109">
        <f t="shared" si="707"/>
        <v>6.2482499999999996E-2</v>
      </c>
      <c r="BL731" s="1109">
        <f t="shared" si="707"/>
        <v>0</v>
      </c>
    </row>
    <row r="732" spans="2:64" hidden="1" outlineLevel="1">
      <c r="B732" s="1094"/>
      <c r="C732" s="1071" t="str">
        <f t="shared" ref="C732:F732" si="708">C385</f>
        <v>T017 - OPTIPLEX5060 W20007913</v>
      </c>
      <c r="D732" s="1071" t="str">
        <f t="shared" si="708"/>
        <v>IT Equipment</v>
      </c>
      <c r="E732" s="1071" t="str">
        <f t="shared" si="708"/>
        <v>T0170211</v>
      </c>
      <c r="F732" s="1125">
        <f t="shared" si="708"/>
        <v>2020</v>
      </c>
      <c r="H732" s="1071" t="s">
        <v>29</v>
      </c>
      <c r="J732" s="1071" t="s">
        <v>79</v>
      </c>
      <c r="BB732" s="1108"/>
      <c r="BC732" s="1109"/>
      <c r="BD732" s="1109"/>
      <c r="BE732" s="1109"/>
      <c r="BF732" s="1109"/>
      <c r="BG732" s="1109"/>
      <c r="BH732" s="1109">
        <f t="shared" ref="BH732:BL732" si="709">BH385*$AY82</f>
        <v>8.7517499999999998E-2</v>
      </c>
      <c r="BI732" s="1109">
        <f t="shared" si="709"/>
        <v>0.15</v>
      </c>
      <c r="BJ732" s="1109">
        <f t="shared" si="709"/>
        <v>0.15</v>
      </c>
      <c r="BK732" s="1109">
        <f t="shared" si="709"/>
        <v>6.2482499999999996E-2</v>
      </c>
      <c r="BL732" s="1109">
        <f t="shared" si="709"/>
        <v>0</v>
      </c>
    </row>
    <row r="733" spans="2:64" hidden="1" outlineLevel="1">
      <c r="B733" s="1094"/>
      <c r="C733" s="1071" t="str">
        <f t="shared" ref="C733:F733" si="710">C386</f>
        <v>T017 - TOSHIBA X20 W20008068</v>
      </c>
      <c r="D733" s="1071" t="str">
        <f t="shared" si="710"/>
        <v>IT Equipment</v>
      </c>
      <c r="E733" s="1071" t="str">
        <f t="shared" si="710"/>
        <v>T0170213</v>
      </c>
      <c r="F733" s="1125">
        <f t="shared" si="710"/>
        <v>2020</v>
      </c>
      <c r="H733" s="1071" t="s">
        <v>29</v>
      </c>
      <c r="J733" s="1071" t="s">
        <v>79</v>
      </c>
      <c r="BB733" s="1108"/>
      <c r="BC733" s="1109"/>
      <c r="BD733" s="1109"/>
      <c r="BE733" s="1109"/>
      <c r="BF733" s="1109"/>
      <c r="BG733" s="1109"/>
      <c r="BH733" s="1109">
        <f t="shared" ref="BH733:BL733" si="711">BH386*$AY83</f>
        <v>0.131355</v>
      </c>
      <c r="BI733" s="1109">
        <f t="shared" si="711"/>
        <v>0.21906729729729729</v>
      </c>
      <c r="BJ733" s="1109">
        <f t="shared" si="711"/>
        <v>0.21906729729729729</v>
      </c>
      <c r="BK733" s="1109">
        <f t="shared" si="711"/>
        <v>0.1059679054054054</v>
      </c>
      <c r="BL733" s="1109">
        <f t="shared" si="711"/>
        <v>0</v>
      </c>
    </row>
    <row r="734" spans="2:64" hidden="1" outlineLevel="1">
      <c r="B734" s="1094"/>
      <c r="C734" s="1071" t="str">
        <f t="shared" ref="C734:F734" si="712">C387</f>
        <v>T017 - TOSHIBA X20 W20008012</v>
      </c>
      <c r="D734" s="1071" t="str">
        <f t="shared" si="712"/>
        <v>IT Equipment</v>
      </c>
      <c r="E734" s="1071" t="str">
        <f t="shared" si="712"/>
        <v>T0170235</v>
      </c>
      <c r="F734" s="1125">
        <f t="shared" si="712"/>
        <v>2020</v>
      </c>
      <c r="H734" s="1071" t="s">
        <v>29</v>
      </c>
      <c r="J734" s="1071" t="s">
        <v>79</v>
      </c>
      <c r="BB734" s="1108"/>
      <c r="BC734" s="1109"/>
      <c r="BD734" s="1109"/>
      <c r="BE734" s="1109"/>
      <c r="BF734" s="1109"/>
      <c r="BG734" s="1109"/>
      <c r="BH734" s="1109">
        <f t="shared" ref="BH734:BL734" si="713">BH387*$AY84</f>
        <v>0.21968250000000006</v>
      </c>
      <c r="BI734" s="1109">
        <f t="shared" si="713"/>
        <v>0.37660250000000001</v>
      </c>
      <c r="BJ734" s="1109">
        <f t="shared" si="713"/>
        <v>0.37660250000000001</v>
      </c>
      <c r="BK734" s="1109">
        <f t="shared" si="713"/>
        <v>0.15692000000000006</v>
      </c>
      <c r="BL734" s="1109">
        <f t="shared" si="713"/>
        <v>0</v>
      </c>
    </row>
    <row r="735" spans="2:64" hidden="1" outlineLevel="1">
      <c r="B735" s="1094"/>
      <c r="C735" s="1071" t="str">
        <f t="shared" ref="C735:F735" si="714">C388</f>
        <v>T017 - HP G7 CORE W20008095</v>
      </c>
      <c r="D735" s="1071" t="str">
        <f t="shared" si="714"/>
        <v>IT Equipment</v>
      </c>
      <c r="E735" s="1071" t="str">
        <f t="shared" si="714"/>
        <v>T0170249</v>
      </c>
      <c r="F735" s="1125">
        <f t="shared" si="714"/>
        <v>2020</v>
      </c>
      <c r="H735" s="1071" t="s">
        <v>29</v>
      </c>
      <c r="J735" s="1071" t="s">
        <v>79</v>
      </c>
      <c r="BB735" s="1108"/>
      <c r="BC735" s="1109"/>
      <c r="BD735" s="1109"/>
      <c r="BE735" s="1109"/>
      <c r="BF735" s="1109"/>
      <c r="BG735" s="1109"/>
      <c r="BH735" s="1109">
        <f t="shared" ref="BH735:BL735" si="715">BH388*$AY85</f>
        <v>0.10136999999999999</v>
      </c>
      <c r="BI735" s="1109">
        <f t="shared" si="715"/>
        <v>0.17374999999999999</v>
      </c>
      <c r="BJ735" s="1109">
        <f t="shared" si="715"/>
        <v>0.17374999999999999</v>
      </c>
      <c r="BK735" s="1109">
        <f t="shared" si="715"/>
        <v>7.2380000000000014E-2</v>
      </c>
      <c r="BL735" s="1109">
        <f t="shared" si="715"/>
        <v>0</v>
      </c>
    </row>
    <row r="736" spans="2:64" hidden="1" outlineLevel="1">
      <c r="B736" s="1094"/>
      <c r="C736" s="1071" t="str">
        <f t="shared" ref="C736:F736" si="716">C389</f>
        <v>T017 - TOSHIBA W20008013</v>
      </c>
      <c r="D736" s="1071" t="str">
        <f t="shared" si="716"/>
        <v>IT Equipment</v>
      </c>
      <c r="E736" s="1071" t="str">
        <f t="shared" si="716"/>
        <v>T0170258</v>
      </c>
      <c r="F736" s="1125">
        <f t="shared" si="716"/>
        <v>2020</v>
      </c>
      <c r="H736" s="1071" t="s">
        <v>29</v>
      </c>
      <c r="J736" s="1071" t="s">
        <v>79</v>
      </c>
      <c r="BB736" s="1108"/>
      <c r="BC736" s="1109"/>
      <c r="BD736" s="1109"/>
      <c r="BE736" s="1109"/>
      <c r="BF736" s="1109"/>
      <c r="BG736" s="1109"/>
      <c r="BH736" s="1109">
        <f t="shared" ref="BH736:BL736" si="717">BH389*$AY86</f>
        <v>0.30598500000000001</v>
      </c>
      <c r="BI736" s="1109">
        <f t="shared" si="717"/>
        <v>0.37660250000000001</v>
      </c>
      <c r="BJ736" s="1109">
        <f t="shared" si="717"/>
        <v>0.37660250000000001</v>
      </c>
      <c r="BK736" s="1109">
        <f t="shared" si="717"/>
        <v>7.0617500000000111E-2</v>
      </c>
      <c r="BL736" s="1109">
        <f t="shared" si="717"/>
        <v>0</v>
      </c>
    </row>
    <row r="737" spans="2:64" hidden="1" outlineLevel="1">
      <c r="B737" s="1094"/>
      <c r="C737" s="1071" t="str">
        <f t="shared" ref="C737:F737" si="718">C390</f>
        <v>T017 - TOSHIBA W20008083</v>
      </c>
      <c r="D737" s="1071" t="str">
        <f t="shared" si="718"/>
        <v>IT Equipment</v>
      </c>
      <c r="E737" s="1071" t="str">
        <f t="shared" si="718"/>
        <v>T0170260</v>
      </c>
      <c r="F737" s="1125">
        <f t="shared" si="718"/>
        <v>2020</v>
      </c>
      <c r="H737" s="1071" t="s">
        <v>29</v>
      </c>
      <c r="J737" s="1071" t="s">
        <v>79</v>
      </c>
      <c r="BB737" s="1108"/>
      <c r="BC737" s="1109"/>
      <c r="BD737" s="1109"/>
      <c r="BE737" s="1109"/>
      <c r="BF737" s="1109"/>
      <c r="BG737" s="1109"/>
      <c r="BH737" s="1109">
        <f t="shared" ref="BH737:BL737" si="719">BH390*$AY87</f>
        <v>0.18764999999999998</v>
      </c>
      <c r="BI737" s="1109">
        <f t="shared" si="719"/>
        <v>0.21906729729729729</v>
      </c>
      <c r="BJ737" s="1109">
        <f t="shared" si="719"/>
        <v>0.21906729729729729</v>
      </c>
      <c r="BK737" s="1109">
        <f t="shared" si="719"/>
        <v>4.9672905405405358E-2</v>
      </c>
      <c r="BL737" s="1109">
        <f t="shared" si="719"/>
        <v>0</v>
      </c>
    </row>
    <row r="738" spans="2:64" hidden="1" outlineLevel="1">
      <c r="B738" s="1094"/>
      <c r="C738" s="1071" t="str">
        <f t="shared" ref="C738:F738" si="720">C391</f>
        <v>T017 - TOSHIBA W20008068</v>
      </c>
      <c r="D738" s="1071" t="str">
        <f t="shared" si="720"/>
        <v>IT Equipment</v>
      </c>
      <c r="E738" s="1071" t="str">
        <f t="shared" si="720"/>
        <v>T0170261</v>
      </c>
      <c r="F738" s="1125">
        <f t="shared" si="720"/>
        <v>2020</v>
      </c>
      <c r="H738" s="1071" t="s">
        <v>29</v>
      </c>
      <c r="J738" s="1071" t="s">
        <v>79</v>
      </c>
      <c r="BB738" s="1108"/>
      <c r="BC738" s="1109"/>
      <c r="BD738" s="1109"/>
      <c r="BE738" s="1109"/>
      <c r="BF738" s="1109"/>
      <c r="BG738" s="1109"/>
      <c r="BH738" s="1109">
        <f t="shared" ref="BH738:BL738" si="721">BH391*$AY88</f>
        <v>8.8357500000000019E-2</v>
      </c>
      <c r="BI738" s="1109">
        <f t="shared" si="721"/>
        <v>0.15145000000000003</v>
      </c>
      <c r="BJ738" s="1109">
        <f t="shared" si="721"/>
        <v>0.15145000000000003</v>
      </c>
      <c r="BK738" s="1109">
        <f t="shared" si="721"/>
        <v>6.3092499999999968E-2</v>
      </c>
      <c r="BL738" s="1109">
        <f t="shared" si="721"/>
        <v>0</v>
      </c>
    </row>
    <row r="739" spans="2:64" hidden="1" outlineLevel="1">
      <c r="B739" s="1094"/>
      <c r="C739" s="1071" t="str">
        <f t="shared" ref="C739:F739" si="722">C392</f>
        <v>T017 - TOSHIBA W20008069</v>
      </c>
      <c r="D739" s="1071" t="str">
        <f t="shared" si="722"/>
        <v>IT Equipment</v>
      </c>
      <c r="E739" s="1071" t="str">
        <f t="shared" si="722"/>
        <v>T0170262</v>
      </c>
      <c r="F739" s="1125">
        <f t="shared" si="722"/>
        <v>2020</v>
      </c>
      <c r="H739" s="1071" t="s">
        <v>29</v>
      </c>
      <c r="J739" s="1071" t="s">
        <v>79</v>
      </c>
      <c r="BB739" s="1108"/>
      <c r="BC739" s="1109"/>
      <c r="BD739" s="1109"/>
      <c r="BE739" s="1109"/>
      <c r="BF739" s="1109"/>
      <c r="BG739" s="1109"/>
      <c r="BH739" s="1109">
        <f t="shared" ref="BH739:BL739" si="723">BH392*$AY89</f>
        <v>8.8357500000000019E-2</v>
      </c>
      <c r="BI739" s="1109">
        <f t="shared" si="723"/>
        <v>0.15145000000000003</v>
      </c>
      <c r="BJ739" s="1109">
        <f t="shared" si="723"/>
        <v>0.15145000000000003</v>
      </c>
      <c r="BK739" s="1109">
        <f t="shared" si="723"/>
        <v>6.3092499999999968E-2</v>
      </c>
      <c r="BL739" s="1109">
        <f t="shared" si="723"/>
        <v>0</v>
      </c>
    </row>
    <row r="740" spans="2:64" hidden="1" outlineLevel="1">
      <c r="B740" s="1094"/>
      <c r="C740" s="1071" t="str">
        <f t="shared" ref="C740:F740" si="724">C393</f>
        <v>T017 - TOSHIBA W20008081</v>
      </c>
      <c r="D740" s="1071" t="str">
        <f t="shared" si="724"/>
        <v>IT Equipment</v>
      </c>
      <c r="E740" s="1071" t="str">
        <f t="shared" si="724"/>
        <v>T0170273</v>
      </c>
      <c r="F740" s="1125">
        <f t="shared" si="724"/>
        <v>2020</v>
      </c>
      <c r="H740" s="1071" t="s">
        <v>29</v>
      </c>
      <c r="J740" s="1071" t="s">
        <v>79</v>
      </c>
      <c r="BB740" s="1108"/>
      <c r="BC740" s="1109"/>
      <c r="BD740" s="1109"/>
      <c r="BE740" s="1109"/>
      <c r="BF740" s="1109"/>
      <c r="BG740" s="1109"/>
      <c r="BH740" s="1109">
        <f t="shared" ref="BH740:BL740" si="725">BH393*$AY90</f>
        <v>8.8357500000000019E-2</v>
      </c>
      <c r="BI740" s="1109">
        <f t="shared" si="725"/>
        <v>0.15145000000000003</v>
      </c>
      <c r="BJ740" s="1109">
        <f t="shared" si="725"/>
        <v>0.15145000000000003</v>
      </c>
      <c r="BK740" s="1109">
        <f t="shared" si="725"/>
        <v>6.3092499999999968E-2</v>
      </c>
      <c r="BL740" s="1109">
        <f t="shared" si="725"/>
        <v>0</v>
      </c>
    </row>
    <row r="741" spans="2:64" hidden="1" outlineLevel="1">
      <c r="B741" s="1094"/>
      <c r="C741" s="1071" t="str">
        <f t="shared" ref="C741:F741" si="726">C394</f>
        <v>T017 - TOSHIBA W20008077</v>
      </c>
      <c r="D741" s="1071" t="str">
        <f t="shared" si="726"/>
        <v>IT Equipment</v>
      </c>
      <c r="E741" s="1071" t="str">
        <f t="shared" si="726"/>
        <v>T0170291</v>
      </c>
      <c r="F741" s="1125">
        <f t="shared" si="726"/>
        <v>2020</v>
      </c>
      <c r="H741" s="1071" t="s">
        <v>29</v>
      </c>
      <c r="J741" s="1071" t="s">
        <v>79</v>
      </c>
      <c r="BB741" s="1108"/>
      <c r="BC741" s="1109"/>
      <c r="BD741" s="1109"/>
      <c r="BE741" s="1109"/>
      <c r="BF741" s="1109"/>
      <c r="BG741" s="1109"/>
      <c r="BH741" s="1109">
        <f t="shared" ref="BH741:BL741" si="727">BH394*$AY91</f>
        <v>0</v>
      </c>
      <c r="BI741" s="1109">
        <f t="shared" si="727"/>
        <v>0.21906729729729729</v>
      </c>
      <c r="BJ741" s="1109">
        <f t="shared" si="727"/>
        <v>0.21906729729729729</v>
      </c>
      <c r="BK741" s="1109">
        <f t="shared" si="727"/>
        <v>0.21906729729729729</v>
      </c>
      <c r="BL741" s="1109">
        <f t="shared" si="727"/>
        <v>1.8255608108108109E-2</v>
      </c>
    </row>
    <row r="742" spans="2:64" hidden="1" outlineLevel="1">
      <c r="B742" s="1094"/>
      <c r="C742" s="1071" t="str">
        <f t="shared" ref="C742:F742" si="728">C395</f>
        <v>T017 - W20008077</v>
      </c>
      <c r="D742" s="1071" t="str">
        <f t="shared" si="728"/>
        <v>IT Equipment</v>
      </c>
      <c r="E742" s="1071" t="str">
        <f t="shared" si="728"/>
        <v>T0170292</v>
      </c>
      <c r="F742" s="1125">
        <f t="shared" si="728"/>
        <v>2020</v>
      </c>
      <c r="H742" s="1071" t="s">
        <v>29</v>
      </c>
      <c r="J742" s="1071" t="s">
        <v>79</v>
      </c>
      <c r="BB742" s="1108"/>
      <c r="BC742" s="1109"/>
      <c r="BD742" s="1109"/>
      <c r="BE742" s="1109"/>
      <c r="BF742" s="1109"/>
      <c r="BG742" s="1109"/>
      <c r="BH742" s="1109">
        <f t="shared" ref="BH742:BL742" si="729">BH395*$AY92</f>
        <v>8.8357500000000019E-2</v>
      </c>
      <c r="BI742" s="1109">
        <f t="shared" si="729"/>
        <v>0.15145000000000003</v>
      </c>
      <c r="BJ742" s="1109">
        <f t="shared" si="729"/>
        <v>0.15145000000000003</v>
      </c>
      <c r="BK742" s="1109">
        <f t="shared" si="729"/>
        <v>6.3092499999999968E-2</v>
      </c>
      <c r="BL742" s="1109">
        <f t="shared" si="729"/>
        <v>0</v>
      </c>
    </row>
    <row r="743" spans="2:64" hidden="1" outlineLevel="1">
      <c r="B743" s="1094"/>
      <c r="C743" s="1071" t="str">
        <f t="shared" ref="C743:F743" si="730">C396</f>
        <v>T017 - TOSHIBA W20008083</v>
      </c>
      <c r="D743" s="1071" t="str">
        <f t="shared" si="730"/>
        <v>IT Equipment</v>
      </c>
      <c r="E743" s="1071" t="str">
        <f t="shared" si="730"/>
        <v>T0170294</v>
      </c>
      <c r="F743" s="1125">
        <f t="shared" si="730"/>
        <v>2020</v>
      </c>
      <c r="H743" s="1071" t="s">
        <v>29</v>
      </c>
      <c r="J743" s="1071" t="s">
        <v>79</v>
      </c>
      <c r="BB743" s="1108"/>
      <c r="BC743" s="1109"/>
      <c r="BD743" s="1109"/>
      <c r="BE743" s="1109"/>
      <c r="BF743" s="1109"/>
      <c r="BG743" s="1109"/>
      <c r="BH743" s="1109">
        <f t="shared" ref="BH743:BL743" si="731">BH396*$AY93</f>
        <v>8.8357500000000019E-2</v>
      </c>
      <c r="BI743" s="1109">
        <f t="shared" si="731"/>
        <v>0.15145000000000003</v>
      </c>
      <c r="BJ743" s="1109">
        <f t="shared" si="731"/>
        <v>0.15145000000000003</v>
      </c>
      <c r="BK743" s="1109">
        <f t="shared" si="731"/>
        <v>6.3092499999999968E-2</v>
      </c>
      <c r="BL743" s="1109">
        <f t="shared" si="731"/>
        <v>0</v>
      </c>
    </row>
    <row r="744" spans="2:64" hidden="1" outlineLevel="1">
      <c r="B744" s="1094"/>
      <c r="C744" s="1071" t="str">
        <f t="shared" ref="C744:F744" si="732">C397</f>
        <v>T017 - OPTIPLEX5060 W20007867</v>
      </c>
      <c r="D744" s="1071" t="str">
        <f t="shared" si="732"/>
        <v>IT Equipment</v>
      </c>
      <c r="E744" s="1071" t="str">
        <f t="shared" si="732"/>
        <v>T0170205</v>
      </c>
      <c r="F744" s="1125">
        <f t="shared" si="732"/>
        <v>2020</v>
      </c>
      <c r="H744" s="1071" t="s">
        <v>29</v>
      </c>
      <c r="J744" s="1071" t="s">
        <v>79</v>
      </c>
      <c r="BB744" s="1108"/>
      <c r="BC744" s="1109"/>
      <c r="BD744" s="1109"/>
      <c r="BE744" s="1109"/>
      <c r="BF744" s="1109"/>
      <c r="BG744" s="1109"/>
      <c r="BH744" s="1109">
        <f t="shared" ref="BH744:BL744" si="733">BH397*$AY94</f>
        <v>8.5183699999999987E-2</v>
      </c>
      <c r="BI744" s="1109">
        <f t="shared" si="733"/>
        <v>0.14599999999999999</v>
      </c>
      <c r="BJ744" s="1109">
        <f t="shared" si="733"/>
        <v>0.14599999999999999</v>
      </c>
      <c r="BK744" s="1109">
        <f t="shared" si="733"/>
        <v>6.0816299999999997E-2</v>
      </c>
      <c r="BL744" s="1109">
        <f t="shared" si="733"/>
        <v>0</v>
      </c>
    </row>
    <row r="745" spans="2:64" hidden="1" outlineLevel="1">
      <c r="B745" s="1094"/>
      <c r="C745" s="1071" t="str">
        <f t="shared" ref="C745:F745" si="734">C398</f>
        <v>T017 - OPTIPLEX5060 W20007900</v>
      </c>
      <c r="D745" s="1071" t="str">
        <f t="shared" si="734"/>
        <v>IT Equipment</v>
      </c>
      <c r="E745" s="1071" t="str">
        <f t="shared" si="734"/>
        <v>T0170206</v>
      </c>
      <c r="F745" s="1125">
        <f t="shared" si="734"/>
        <v>2020</v>
      </c>
      <c r="H745" s="1071" t="s">
        <v>29</v>
      </c>
      <c r="J745" s="1071" t="s">
        <v>79</v>
      </c>
      <c r="BB745" s="1108"/>
      <c r="BC745" s="1109"/>
      <c r="BD745" s="1109"/>
      <c r="BE745" s="1109"/>
      <c r="BF745" s="1109"/>
      <c r="BG745" s="1109"/>
      <c r="BH745" s="1109">
        <f t="shared" ref="BH745:BL745" si="735">BH398*$AY95</f>
        <v>8.5183699999999987E-2</v>
      </c>
      <c r="BI745" s="1109">
        <f t="shared" si="735"/>
        <v>0.14599999999999999</v>
      </c>
      <c r="BJ745" s="1109">
        <f t="shared" si="735"/>
        <v>0.14599999999999999</v>
      </c>
      <c r="BK745" s="1109">
        <f t="shared" si="735"/>
        <v>6.0816299999999997E-2</v>
      </c>
      <c r="BL745" s="1109">
        <f t="shared" si="735"/>
        <v>0</v>
      </c>
    </row>
    <row r="746" spans="2:64" hidden="1" outlineLevel="1">
      <c r="B746" s="1094"/>
      <c r="C746" s="1071" t="str">
        <f t="shared" ref="C746:F746" si="736">C399</f>
        <v>T017 - OPTIPLEX5060 W20007906</v>
      </c>
      <c r="D746" s="1071" t="str">
        <f t="shared" si="736"/>
        <v>IT Equipment</v>
      </c>
      <c r="E746" s="1071" t="str">
        <f t="shared" si="736"/>
        <v>T0170209</v>
      </c>
      <c r="F746" s="1125">
        <f t="shared" si="736"/>
        <v>2020</v>
      </c>
      <c r="H746" s="1071" t="s">
        <v>29</v>
      </c>
      <c r="J746" s="1071" t="s">
        <v>79</v>
      </c>
      <c r="BB746" s="1108"/>
      <c r="BC746" s="1109"/>
      <c r="BD746" s="1109"/>
      <c r="BE746" s="1109"/>
      <c r="BF746" s="1109"/>
      <c r="BG746" s="1109"/>
      <c r="BH746" s="1109">
        <f t="shared" ref="BH746:BL746" si="737">BH399*$AY96</f>
        <v>8.5183699999999987E-2</v>
      </c>
      <c r="BI746" s="1109">
        <f t="shared" si="737"/>
        <v>0.14599999999999999</v>
      </c>
      <c r="BJ746" s="1109">
        <f t="shared" si="737"/>
        <v>0.14599999999999999</v>
      </c>
      <c r="BK746" s="1109">
        <f t="shared" si="737"/>
        <v>6.0816299999999997E-2</v>
      </c>
      <c r="BL746" s="1109">
        <f t="shared" si="737"/>
        <v>0</v>
      </c>
    </row>
    <row r="747" spans="2:64" hidden="1" outlineLevel="1">
      <c r="B747" s="1094"/>
      <c r="C747" s="1071" t="str">
        <f t="shared" ref="C747:F747" si="738">C400</f>
        <v>T017 - TOSHIBA X20 W20008070</v>
      </c>
      <c r="D747" s="1071" t="str">
        <f t="shared" si="738"/>
        <v>IT Equipment</v>
      </c>
      <c r="E747" s="1071" t="str">
        <f t="shared" si="738"/>
        <v>T0170215</v>
      </c>
      <c r="F747" s="1125">
        <f t="shared" si="738"/>
        <v>2020</v>
      </c>
      <c r="H747" s="1071" t="s">
        <v>29</v>
      </c>
      <c r="J747" s="1071" t="s">
        <v>79</v>
      </c>
      <c r="BB747" s="1108"/>
      <c r="BC747" s="1109"/>
      <c r="BD747" s="1109"/>
      <c r="BE747" s="1109"/>
      <c r="BF747" s="1109"/>
      <c r="BG747" s="1109"/>
      <c r="BH747" s="1109">
        <f t="shared" ref="BH747:BL747" si="739">BH400*$AY97</f>
        <v>0.1278522</v>
      </c>
      <c r="BI747" s="1109">
        <f t="shared" si="739"/>
        <v>0.21322550270270271</v>
      </c>
      <c r="BJ747" s="1109">
        <f t="shared" si="739"/>
        <v>0.21322550270270271</v>
      </c>
      <c r="BK747" s="1109">
        <f t="shared" si="739"/>
        <v>0.1031420945945946</v>
      </c>
      <c r="BL747" s="1109">
        <f t="shared" si="739"/>
        <v>0</v>
      </c>
    </row>
    <row r="748" spans="2:64" hidden="1" outlineLevel="1">
      <c r="B748" s="1094"/>
      <c r="C748" s="1071" t="str">
        <f t="shared" ref="C748:F748" si="740">C401</f>
        <v>T017 - TOSHIBA X20 W20008085</v>
      </c>
      <c r="D748" s="1071" t="str">
        <f t="shared" si="740"/>
        <v>IT Equipment</v>
      </c>
      <c r="E748" s="1071" t="str">
        <f t="shared" si="740"/>
        <v>T0170226</v>
      </c>
      <c r="F748" s="1125">
        <f t="shared" si="740"/>
        <v>2020</v>
      </c>
      <c r="H748" s="1071" t="s">
        <v>29</v>
      </c>
      <c r="J748" s="1071" t="s">
        <v>79</v>
      </c>
      <c r="BB748" s="1108"/>
      <c r="BC748" s="1109"/>
      <c r="BD748" s="1109"/>
      <c r="BE748" s="1109"/>
      <c r="BF748" s="1109"/>
      <c r="BG748" s="1109"/>
      <c r="BH748" s="1109">
        <f t="shared" ref="BH748:BL748" si="741">BH401*$AY98</f>
        <v>0.1278522</v>
      </c>
      <c r="BI748" s="1109">
        <f t="shared" si="741"/>
        <v>0.21322550270270271</v>
      </c>
      <c r="BJ748" s="1109">
        <f t="shared" si="741"/>
        <v>0.21322550270270271</v>
      </c>
      <c r="BK748" s="1109">
        <f t="shared" si="741"/>
        <v>0.1031420945945946</v>
      </c>
      <c r="BL748" s="1109">
        <f t="shared" si="741"/>
        <v>0</v>
      </c>
    </row>
    <row r="749" spans="2:64" hidden="1" outlineLevel="1">
      <c r="B749" s="1094"/>
      <c r="C749" s="1071" t="str">
        <f t="shared" ref="C749:F749" si="742">C402</f>
        <v>T017 - TOSHIBA X20 W20008008</v>
      </c>
      <c r="D749" s="1071" t="str">
        <f t="shared" si="742"/>
        <v>IT Equipment</v>
      </c>
      <c r="E749" s="1071" t="str">
        <f t="shared" si="742"/>
        <v>T0170231</v>
      </c>
      <c r="F749" s="1125">
        <f t="shared" si="742"/>
        <v>2020</v>
      </c>
      <c r="H749" s="1071" t="s">
        <v>29</v>
      </c>
      <c r="J749" s="1071" t="s">
        <v>79</v>
      </c>
      <c r="BB749" s="1108"/>
      <c r="BC749" s="1109"/>
      <c r="BD749" s="1109"/>
      <c r="BE749" s="1109"/>
      <c r="BF749" s="1109"/>
      <c r="BG749" s="1109"/>
      <c r="BH749" s="1109">
        <f t="shared" ref="BH749:BL749" si="743">BH402*$AY99</f>
        <v>0.21382430000000005</v>
      </c>
      <c r="BI749" s="1109">
        <f t="shared" si="743"/>
        <v>0.36655976666666668</v>
      </c>
      <c r="BJ749" s="1109">
        <f t="shared" si="743"/>
        <v>0.36655976666666668</v>
      </c>
      <c r="BK749" s="1109">
        <f t="shared" si="743"/>
        <v>0.15273546666666671</v>
      </c>
      <c r="BL749" s="1109">
        <f t="shared" si="743"/>
        <v>0</v>
      </c>
    </row>
    <row r="750" spans="2:64" hidden="1" outlineLevel="1">
      <c r="B750" s="1094"/>
      <c r="C750" s="1071" t="str">
        <f t="shared" ref="C750:F750" si="744">C403</f>
        <v>T017 - TOSHIBA X20 W20008009</v>
      </c>
      <c r="D750" s="1071" t="str">
        <f t="shared" si="744"/>
        <v>IT Equipment</v>
      </c>
      <c r="E750" s="1071" t="str">
        <f t="shared" si="744"/>
        <v>T0170232</v>
      </c>
      <c r="F750" s="1125">
        <f t="shared" si="744"/>
        <v>2020</v>
      </c>
      <c r="H750" s="1071" t="s">
        <v>29</v>
      </c>
      <c r="J750" s="1071" t="s">
        <v>79</v>
      </c>
      <c r="BB750" s="1108"/>
      <c r="BC750" s="1109"/>
      <c r="BD750" s="1109"/>
      <c r="BE750" s="1109"/>
      <c r="BF750" s="1109"/>
      <c r="BG750" s="1109"/>
      <c r="BH750" s="1109">
        <f t="shared" ref="BH750:BL750" si="745">BH403*$AY100</f>
        <v>0.21382430000000005</v>
      </c>
      <c r="BI750" s="1109">
        <f t="shared" si="745"/>
        <v>0.36655976666666668</v>
      </c>
      <c r="BJ750" s="1109">
        <f t="shared" si="745"/>
        <v>0.36655976666666668</v>
      </c>
      <c r="BK750" s="1109">
        <f t="shared" si="745"/>
        <v>0.15273546666666671</v>
      </c>
      <c r="BL750" s="1109">
        <f t="shared" si="745"/>
        <v>0</v>
      </c>
    </row>
    <row r="751" spans="2:64" hidden="1" outlineLevel="1">
      <c r="B751" s="1094"/>
      <c r="C751" s="1071" t="str">
        <f t="shared" ref="C751:F751" si="746">C404</f>
        <v>T017 - TOSHIBA X20 W20008011</v>
      </c>
      <c r="D751" s="1071" t="str">
        <f t="shared" si="746"/>
        <v>IT Equipment</v>
      </c>
      <c r="E751" s="1071" t="str">
        <f t="shared" si="746"/>
        <v>T0170234</v>
      </c>
      <c r="F751" s="1125">
        <f t="shared" si="746"/>
        <v>2020</v>
      </c>
      <c r="H751" s="1071" t="s">
        <v>29</v>
      </c>
      <c r="J751" s="1071" t="s">
        <v>79</v>
      </c>
      <c r="BB751" s="1108"/>
      <c r="BC751" s="1109"/>
      <c r="BD751" s="1109"/>
      <c r="BE751" s="1109"/>
      <c r="BF751" s="1109"/>
      <c r="BG751" s="1109"/>
      <c r="BH751" s="1109">
        <f t="shared" ref="BH751:BL751" si="747">BH404*$AY101</f>
        <v>0.21382430000000005</v>
      </c>
      <c r="BI751" s="1109">
        <f t="shared" si="747"/>
        <v>0.36655976666666668</v>
      </c>
      <c r="BJ751" s="1109">
        <f t="shared" si="747"/>
        <v>0.36655976666666668</v>
      </c>
      <c r="BK751" s="1109">
        <f t="shared" si="747"/>
        <v>0.15273546666666671</v>
      </c>
      <c r="BL751" s="1109">
        <f t="shared" si="747"/>
        <v>0</v>
      </c>
    </row>
    <row r="752" spans="2:64" hidden="1" outlineLevel="1">
      <c r="B752" s="1094"/>
      <c r="C752" s="1071" t="str">
        <f t="shared" ref="C752:F752" si="748">C405</f>
        <v>T017 - TOSHIBA X20 W20008014</v>
      </c>
      <c r="D752" s="1071" t="str">
        <f t="shared" si="748"/>
        <v>IT Equipment</v>
      </c>
      <c r="E752" s="1071" t="str">
        <f t="shared" si="748"/>
        <v>T0170236</v>
      </c>
      <c r="F752" s="1125">
        <f t="shared" si="748"/>
        <v>2020</v>
      </c>
      <c r="H752" s="1071" t="s">
        <v>29</v>
      </c>
      <c r="J752" s="1071" t="s">
        <v>79</v>
      </c>
      <c r="BB752" s="1108"/>
      <c r="BC752" s="1109"/>
      <c r="BD752" s="1109"/>
      <c r="BE752" s="1109"/>
      <c r="BF752" s="1109"/>
      <c r="BG752" s="1109"/>
      <c r="BH752" s="1109">
        <f t="shared" ref="BH752:BL752" si="749">BH405*$AY102</f>
        <v>0.21382430000000005</v>
      </c>
      <c r="BI752" s="1109">
        <f t="shared" si="749"/>
        <v>0.36655976666666668</v>
      </c>
      <c r="BJ752" s="1109">
        <f t="shared" si="749"/>
        <v>0.36655976666666668</v>
      </c>
      <c r="BK752" s="1109">
        <f t="shared" si="749"/>
        <v>0.15273546666666671</v>
      </c>
      <c r="BL752" s="1109">
        <f t="shared" si="749"/>
        <v>0</v>
      </c>
    </row>
    <row r="753" spans="2:64" hidden="1" outlineLevel="1">
      <c r="B753" s="1094"/>
      <c r="C753" s="1071" t="str">
        <f t="shared" ref="C753:F753" si="750">C406</f>
        <v>T017 - TOSHIBA X20 W20008015</v>
      </c>
      <c r="D753" s="1071" t="str">
        <f t="shared" si="750"/>
        <v>IT Equipment</v>
      </c>
      <c r="E753" s="1071" t="str">
        <f t="shared" si="750"/>
        <v>T0170237</v>
      </c>
      <c r="F753" s="1125">
        <f t="shared" si="750"/>
        <v>2020</v>
      </c>
      <c r="H753" s="1071" t="s">
        <v>29</v>
      </c>
      <c r="J753" s="1071" t="s">
        <v>79</v>
      </c>
      <c r="BB753" s="1108"/>
      <c r="BC753" s="1109"/>
      <c r="BD753" s="1109"/>
      <c r="BE753" s="1109"/>
      <c r="BF753" s="1109"/>
      <c r="BG753" s="1109"/>
      <c r="BH753" s="1109">
        <f t="shared" ref="BH753:BL753" si="751">BH406*$AY103</f>
        <v>0.21382430000000005</v>
      </c>
      <c r="BI753" s="1109">
        <f t="shared" si="751"/>
        <v>0.36655976666666668</v>
      </c>
      <c r="BJ753" s="1109">
        <f t="shared" si="751"/>
        <v>0.36655976666666668</v>
      </c>
      <c r="BK753" s="1109">
        <f t="shared" si="751"/>
        <v>0.15273546666666671</v>
      </c>
      <c r="BL753" s="1109">
        <f t="shared" si="751"/>
        <v>0</v>
      </c>
    </row>
    <row r="754" spans="2:64" hidden="1" outlineLevel="1">
      <c r="B754" s="1094"/>
      <c r="C754" s="1071" t="str">
        <f t="shared" ref="C754:F754" si="752">C407</f>
        <v>T017 - TOSHIBA X20 W20008020</v>
      </c>
      <c r="D754" s="1071" t="str">
        <f t="shared" si="752"/>
        <v>IT Equipment</v>
      </c>
      <c r="E754" s="1071" t="str">
        <f t="shared" si="752"/>
        <v>T0170242</v>
      </c>
      <c r="F754" s="1125">
        <f t="shared" si="752"/>
        <v>2020</v>
      </c>
      <c r="H754" s="1071" t="s">
        <v>29</v>
      </c>
      <c r="J754" s="1071" t="s">
        <v>79</v>
      </c>
      <c r="BB754" s="1108"/>
      <c r="BC754" s="1109"/>
      <c r="BD754" s="1109"/>
      <c r="BE754" s="1109"/>
      <c r="BF754" s="1109"/>
      <c r="BG754" s="1109"/>
      <c r="BH754" s="1109">
        <f t="shared" ref="BH754:BL754" si="753">BH407*$AY104</f>
        <v>0.21382430000000005</v>
      </c>
      <c r="BI754" s="1109">
        <f t="shared" si="753"/>
        <v>0.36655976666666668</v>
      </c>
      <c r="BJ754" s="1109">
        <f t="shared" si="753"/>
        <v>0.36655976666666668</v>
      </c>
      <c r="BK754" s="1109">
        <f t="shared" si="753"/>
        <v>0.15273546666666671</v>
      </c>
      <c r="BL754" s="1109">
        <f t="shared" si="753"/>
        <v>0</v>
      </c>
    </row>
    <row r="755" spans="2:64" hidden="1" outlineLevel="1">
      <c r="B755" s="1094"/>
      <c r="C755" s="1071" t="str">
        <f t="shared" ref="C755:F755" si="754">C408</f>
        <v>T017 - TOSHIBA X20 W20008023</v>
      </c>
      <c r="D755" s="1071" t="str">
        <f t="shared" si="754"/>
        <v>IT Equipment</v>
      </c>
      <c r="E755" s="1071" t="str">
        <f t="shared" si="754"/>
        <v>T0170245</v>
      </c>
      <c r="F755" s="1125">
        <f t="shared" si="754"/>
        <v>2020</v>
      </c>
      <c r="H755" s="1071" t="s">
        <v>29</v>
      </c>
      <c r="J755" s="1071" t="s">
        <v>79</v>
      </c>
      <c r="BB755" s="1108"/>
      <c r="BC755" s="1109"/>
      <c r="BD755" s="1109"/>
      <c r="BE755" s="1109"/>
      <c r="BF755" s="1109"/>
      <c r="BG755" s="1109"/>
      <c r="BH755" s="1109">
        <f t="shared" ref="BH755:BL755" si="755">BH408*$AY105</f>
        <v>0.21382430000000005</v>
      </c>
      <c r="BI755" s="1109">
        <f t="shared" si="755"/>
        <v>0.36655976666666668</v>
      </c>
      <c r="BJ755" s="1109">
        <f t="shared" si="755"/>
        <v>0.36655976666666668</v>
      </c>
      <c r="BK755" s="1109">
        <f t="shared" si="755"/>
        <v>0.15273546666666671</v>
      </c>
      <c r="BL755" s="1109">
        <f t="shared" si="755"/>
        <v>0</v>
      </c>
    </row>
    <row r="756" spans="2:64" hidden="1" outlineLevel="1">
      <c r="B756" s="1094"/>
      <c r="C756" s="1071" t="str">
        <f t="shared" ref="C756:F756" si="756">C409</f>
        <v>T017 - TOSHIBA X20 W20008024</v>
      </c>
      <c r="D756" s="1071" t="str">
        <f t="shared" si="756"/>
        <v>IT Equipment</v>
      </c>
      <c r="E756" s="1071" t="str">
        <f t="shared" si="756"/>
        <v>T0170246</v>
      </c>
      <c r="F756" s="1125">
        <f t="shared" si="756"/>
        <v>2020</v>
      </c>
      <c r="H756" s="1071" t="s">
        <v>29</v>
      </c>
      <c r="J756" s="1071" t="s">
        <v>79</v>
      </c>
      <c r="BB756" s="1108"/>
      <c r="BC756" s="1109"/>
      <c r="BD756" s="1109"/>
      <c r="BE756" s="1109"/>
      <c r="BF756" s="1109"/>
      <c r="BG756" s="1109"/>
      <c r="BH756" s="1109">
        <f t="shared" ref="BH756:BL756" si="757">BH409*$AY106</f>
        <v>0.21382430000000005</v>
      </c>
      <c r="BI756" s="1109">
        <f t="shared" si="757"/>
        <v>0.36655976666666668</v>
      </c>
      <c r="BJ756" s="1109">
        <f t="shared" si="757"/>
        <v>0.36655976666666668</v>
      </c>
      <c r="BK756" s="1109">
        <f t="shared" si="757"/>
        <v>0.15273546666666671</v>
      </c>
      <c r="BL756" s="1109">
        <f t="shared" si="757"/>
        <v>0</v>
      </c>
    </row>
    <row r="757" spans="2:64" hidden="1" outlineLevel="1">
      <c r="B757" s="1094"/>
      <c r="C757" s="1071" t="str">
        <f t="shared" ref="C757:F757" si="758">C410</f>
        <v>T017 - TOSHIBA X20 W20008025</v>
      </c>
      <c r="D757" s="1071" t="str">
        <f t="shared" si="758"/>
        <v>IT Equipment</v>
      </c>
      <c r="E757" s="1071" t="str">
        <f t="shared" si="758"/>
        <v>T0170247</v>
      </c>
      <c r="F757" s="1125">
        <f t="shared" si="758"/>
        <v>2020</v>
      </c>
      <c r="H757" s="1071" t="s">
        <v>29</v>
      </c>
      <c r="J757" s="1071" t="s">
        <v>79</v>
      </c>
      <c r="BB757" s="1108"/>
      <c r="BC757" s="1109"/>
      <c r="BD757" s="1109"/>
      <c r="BE757" s="1109"/>
      <c r="BF757" s="1109"/>
      <c r="BG757" s="1109"/>
      <c r="BH757" s="1109">
        <f t="shared" ref="BH757:BL757" si="759">BH410*$AY107</f>
        <v>0.21382430000000005</v>
      </c>
      <c r="BI757" s="1109">
        <f t="shared" si="759"/>
        <v>0.36655976666666668</v>
      </c>
      <c r="BJ757" s="1109">
        <f t="shared" si="759"/>
        <v>0.36655976666666668</v>
      </c>
      <c r="BK757" s="1109">
        <f t="shared" si="759"/>
        <v>0.15273546666666671</v>
      </c>
      <c r="BL757" s="1109">
        <f t="shared" si="759"/>
        <v>0</v>
      </c>
    </row>
    <row r="758" spans="2:64" hidden="1" outlineLevel="1">
      <c r="B758" s="1094"/>
      <c r="C758" s="1071" t="str">
        <f t="shared" ref="C758:F758" si="760">C411</f>
        <v>T017 - HP G7 CORE W20008096</v>
      </c>
      <c r="D758" s="1071" t="str">
        <f t="shared" si="760"/>
        <v>IT Equipment</v>
      </c>
      <c r="E758" s="1071" t="str">
        <f t="shared" si="760"/>
        <v>T0170248</v>
      </c>
      <c r="F758" s="1125">
        <f t="shared" si="760"/>
        <v>2020</v>
      </c>
      <c r="H758" s="1071" t="s">
        <v>29</v>
      </c>
      <c r="J758" s="1071" t="s">
        <v>79</v>
      </c>
      <c r="BB758" s="1108"/>
      <c r="BC758" s="1109"/>
      <c r="BD758" s="1109"/>
      <c r="BE758" s="1109"/>
      <c r="BF758" s="1109"/>
      <c r="BG758" s="1109"/>
      <c r="BH758" s="1109">
        <f t="shared" ref="BH758:BL758" si="761">BH411*$AY108</f>
        <v>9.8666799999999985E-2</v>
      </c>
      <c r="BI758" s="1109">
        <f t="shared" si="761"/>
        <v>0.16911666666666667</v>
      </c>
      <c r="BJ758" s="1109">
        <f t="shared" si="761"/>
        <v>0.16911666666666667</v>
      </c>
      <c r="BK758" s="1109">
        <f t="shared" si="761"/>
        <v>7.044986666666668E-2</v>
      </c>
      <c r="BL758" s="1109">
        <f t="shared" si="761"/>
        <v>0</v>
      </c>
    </row>
    <row r="759" spans="2:64" hidden="1" outlineLevel="1">
      <c r="B759" s="1094"/>
      <c r="C759" s="1071" t="str">
        <f t="shared" ref="C759:F759" si="762">C412</f>
        <v>T017 - HP G7 CORE W20008098</v>
      </c>
      <c r="D759" s="1071" t="str">
        <f t="shared" si="762"/>
        <v>IT Equipment</v>
      </c>
      <c r="E759" s="1071" t="str">
        <f t="shared" si="762"/>
        <v>T0170250</v>
      </c>
      <c r="F759" s="1125">
        <f t="shared" si="762"/>
        <v>2020</v>
      </c>
      <c r="H759" s="1071" t="s">
        <v>29</v>
      </c>
      <c r="J759" s="1071" t="s">
        <v>79</v>
      </c>
      <c r="BB759" s="1108"/>
      <c r="BC759" s="1109"/>
      <c r="BD759" s="1109"/>
      <c r="BE759" s="1109"/>
      <c r="BF759" s="1109"/>
      <c r="BG759" s="1109"/>
      <c r="BH759" s="1109">
        <f t="shared" ref="BH759:BL759" si="763">BH412*$AY109</f>
        <v>9.8666799999999985E-2</v>
      </c>
      <c r="BI759" s="1109">
        <f t="shared" si="763"/>
        <v>0.16911666666666667</v>
      </c>
      <c r="BJ759" s="1109">
        <f t="shared" si="763"/>
        <v>0.16911666666666667</v>
      </c>
      <c r="BK759" s="1109">
        <f t="shared" si="763"/>
        <v>7.044986666666668E-2</v>
      </c>
      <c r="BL759" s="1109">
        <f t="shared" si="763"/>
        <v>0</v>
      </c>
    </row>
    <row r="760" spans="2:64" hidden="1" outlineLevel="1">
      <c r="B760" s="1094"/>
      <c r="C760" s="1071" t="str">
        <f t="shared" ref="C760:F760" si="764">C413</f>
        <v>T017 - LAPTOP W20007815</v>
      </c>
      <c r="D760" s="1071" t="str">
        <f t="shared" si="764"/>
        <v>IT Equipment</v>
      </c>
      <c r="E760" s="1071" t="str">
        <f t="shared" si="764"/>
        <v>T0170253</v>
      </c>
      <c r="F760" s="1125">
        <f t="shared" si="764"/>
        <v>2020</v>
      </c>
      <c r="H760" s="1071" t="s">
        <v>29</v>
      </c>
      <c r="J760" s="1071" t="s">
        <v>79</v>
      </c>
      <c r="BB760" s="1108"/>
      <c r="BC760" s="1109"/>
      <c r="BD760" s="1109"/>
      <c r="BE760" s="1109"/>
      <c r="BF760" s="1109"/>
      <c r="BG760" s="1109"/>
      <c r="BH760" s="1109">
        <f t="shared" ref="BH760:BL760" si="765">BH413*$AY110</f>
        <v>0.36655489999999996</v>
      </c>
      <c r="BI760" s="1109">
        <f t="shared" si="765"/>
        <v>0.36655976666666668</v>
      </c>
      <c r="BJ760" s="1109">
        <f t="shared" si="765"/>
        <v>0.36655976666666668</v>
      </c>
      <c r="BK760" s="1109">
        <f t="shared" si="765"/>
        <v>4.8666666667260473E-6</v>
      </c>
      <c r="BL760" s="1109">
        <f t="shared" si="765"/>
        <v>0</v>
      </c>
    </row>
    <row r="761" spans="2:64" hidden="1" outlineLevel="1">
      <c r="B761" s="1094"/>
      <c r="C761" s="1071" t="str">
        <f t="shared" ref="C761:F761" si="766">C414</f>
        <v>T017 - OPTIPLEX5060 W20007883</v>
      </c>
      <c r="D761" s="1071" t="str">
        <f t="shared" si="766"/>
        <v>IT Equipment</v>
      </c>
      <c r="E761" s="1071" t="str">
        <f t="shared" si="766"/>
        <v>T0170254</v>
      </c>
      <c r="F761" s="1125">
        <f t="shared" si="766"/>
        <v>2020</v>
      </c>
      <c r="H761" s="1071" t="s">
        <v>29</v>
      </c>
      <c r="J761" s="1071" t="s">
        <v>79</v>
      </c>
      <c r="BB761" s="1108"/>
      <c r="BC761" s="1109"/>
      <c r="BD761" s="1109"/>
      <c r="BE761" s="1109"/>
      <c r="BF761" s="1109"/>
      <c r="BG761" s="1109"/>
      <c r="BH761" s="1109">
        <f t="shared" ref="BH761:BL761" si="767">BH414*$AY111</f>
        <v>0.14602919999999994</v>
      </c>
      <c r="BI761" s="1109">
        <f t="shared" si="767"/>
        <v>0.14599999999999999</v>
      </c>
      <c r="BJ761" s="1109">
        <f t="shared" si="767"/>
        <v>0.14597080000000001</v>
      </c>
      <c r="BK761" s="1109">
        <f t="shared" si="767"/>
        <v>0</v>
      </c>
      <c r="BL761" s="1109">
        <f t="shared" si="767"/>
        <v>0</v>
      </c>
    </row>
    <row r="762" spans="2:64" hidden="1" outlineLevel="1">
      <c r="B762" s="1094"/>
      <c r="C762" s="1071" t="str">
        <f t="shared" ref="C762:F762" si="768">C415</f>
        <v>T017 - OPTIPLEX5060 W20007917</v>
      </c>
      <c r="D762" s="1071" t="str">
        <f t="shared" si="768"/>
        <v>IT Equipment</v>
      </c>
      <c r="E762" s="1071" t="str">
        <f t="shared" si="768"/>
        <v>T0170256</v>
      </c>
      <c r="F762" s="1125">
        <f t="shared" si="768"/>
        <v>2020</v>
      </c>
      <c r="H762" s="1071" t="s">
        <v>29</v>
      </c>
      <c r="J762" s="1071" t="s">
        <v>79</v>
      </c>
      <c r="BB762" s="1108"/>
      <c r="BC762" s="1109"/>
      <c r="BD762" s="1109"/>
      <c r="BE762" s="1109"/>
      <c r="BF762" s="1109"/>
      <c r="BG762" s="1109"/>
      <c r="BH762" s="1109">
        <f t="shared" ref="BH762:BL762" si="769">BH415*$AY112</f>
        <v>0.14602919999999994</v>
      </c>
      <c r="BI762" s="1109">
        <f t="shared" si="769"/>
        <v>0.14599999999999999</v>
      </c>
      <c r="BJ762" s="1109">
        <f t="shared" si="769"/>
        <v>0.14597080000000001</v>
      </c>
      <c r="BK762" s="1109">
        <f t="shared" si="769"/>
        <v>0</v>
      </c>
      <c r="BL762" s="1109">
        <f t="shared" si="769"/>
        <v>0</v>
      </c>
    </row>
    <row r="763" spans="2:64" hidden="1" outlineLevel="1">
      <c r="B763" s="1094"/>
      <c r="C763" s="1071" t="str">
        <f t="shared" ref="C763:F763" si="770">C416</f>
        <v>T017 - TOSHIBA W20008070</v>
      </c>
      <c r="D763" s="1071" t="str">
        <f t="shared" si="770"/>
        <v>IT Equipment</v>
      </c>
      <c r="E763" s="1071" t="str">
        <f t="shared" si="770"/>
        <v>T0170263</v>
      </c>
      <c r="F763" s="1125">
        <f t="shared" si="770"/>
        <v>2020</v>
      </c>
      <c r="H763" s="1071" t="s">
        <v>29</v>
      </c>
      <c r="J763" s="1071" t="s">
        <v>79</v>
      </c>
      <c r="BB763" s="1108"/>
      <c r="BC763" s="1109"/>
      <c r="BD763" s="1109"/>
      <c r="BE763" s="1109"/>
      <c r="BF763" s="1109"/>
      <c r="BG763" s="1109"/>
      <c r="BH763" s="1109">
        <f t="shared" ref="BH763:BL763" si="771">BH416*$AY113</f>
        <v>8.6001300000000017E-2</v>
      </c>
      <c r="BI763" s="1109">
        <f t="shared" si="771"/>
        <v>0.14741133333333334</v>
      </c>
      <c r="BJ763" s="1109">
        <f t="shared" si="771"/>
        <v>0.14741133333333334</v>
      </c>
      <c r="BK763" s="1109">
        <f t="shared" si="771"/>
        <v>6.1410033333333308E-2</v>
      </c>
      <c r="BL763" s="1109">
        <f t="shared" si="771"/>
        <v>0</v>
      </c>
    </row>
    <row r="764" spans="2:64" hidden="1" outlineLevel="1">
      <c r="B764" s="1094"/>
      <c r="C764" s="1071" t="str">
        <f t="shared" ref="C764:F764" si="772">C417</f>
        <v>T017 - TOSHIBA W20008085</v>
      </c>
      <c r="D764" s="1071" t="str">
        <f t="shared" si="772"/>
        <v>IT Equipment</v>
      </c>
      <c r="E764" s="1071" t="str">
        <f t="shared" si="772"/>
        <v>T0170274</v>
      </c>
      <c r="F764" s="1125">
        <f t="shared" si="772"/>
        <v>2020</v>
      </c>
      <c r="H764" s="1071" t="s">
        <v>29</v>
      </c>
      <c r="J764" s="1071" t="s">
        <v>79</v>
      </c>
      <c r="BB764" s="1108"/>
      <c r="BC764" s="1109"/>
      <c r="BD764" s="1109"/>
      <c r="BE764" s="1109"/>
      <c r="BF764" s="1109"/>
      <c r="BG764" s="1109"/>
      <c r="BH764" s="1109">
        <f t="shared" ref="BH764:BL764" si="773">BH417*$AY114</f>
        <v>8.6001300000000017E-2</v>
      </c>
      <c r="BI764" s="1109">
        <f t="shared" si="773"/>
        <v>0.14741133333333334</v>
      </c>
      <c r="BJ764" s="1109">
        <f t="shared" si="773"/>
        <v>0.14741133333333334</v>
      </c>
      <c r="BK764" s="1109">
        <f t="shared" si="773"/>
        <v>6.1410033333333308E-2</v>
      </c>
      <c r="BL764" s="1109">
        <f t="shared" si="773"/>
        <v>0</v>
      </c>
    </row>
    <row r="765" spans="2:64" hidden="1" outlineLevel="1">
      <c r="B765" s="1094"/>
      <c r="C765" s="1071" t="str">
        <f t="shared" ref="C765:F765" si="774">C418</f>
        <v>T017 - HP250G7 CORE W20008093</v>
      </c>
      <c r="D765" s="1071" t="str">
        <f t="shared" si="774"/>
        <v>IT Equipment</v>
      </c>
      <c r="E765" s="1071" t="str">
        <f t="shared" si="774"/>
        <v>T0170278</v>
      </c>
      <c r="F765" s="1125">
        <f t="shared" si="774"/>
        <v>2020</v>
      </c>
      <c r="H765" s="1071" t="s">
        <v>29</v>
      </c>
      <c r="J765" s="1071" t="s">
        <v>79</v>
      </c>
      <c r="BB765" s="1108"/>
      <c r="BC765" s="1109"/>
      <c r="BD765" s="1109"/>
      <c r="BE765" s="1109"/>
      <c r="BF765" s="1109"/>
      <c r="BG765" s="1109"/>
      <c r="BH765" s="1109">
        <f t="shared" ref="BH765:BL765" si="775">BH418*$AY115</f>
        <v>0.14094109999999996</v>
      </c>
      <c r="BI765" s="1109">
        <f t="shared" si="775"/>
        <v>0.16911666666666667</v>
      </c>
      <c r="BJ765" s="1109">
        <f t="shared" si="775"/>
        <v>0.16911666666666667</v>
      </c>
      <c r="BK765" s="1109">
        <f t="shared" si="775"/>
        <v>2.8175566666666707E-2</v>
      </c>
      <c r="BL765" s="1109">
        <f t="shared" si="775"/>
        <v>0</v>
      </c>
    </row>
    <row r="766" spans="2:64" hidden="1" outlineLevel="1">
      <c r="B766" s="1094"/>
      <c r="C766" s="1071" t="str">
        <f t="shared" ref="C766:F766" si="776">C419</f>
        <v>T017 - HP250G7 CORE W20008097</v>
      </c>
      <c r="D766" s="1071" t="str">
        <f t="shared" si="776"/>
        <v>IT Equipment</v>
      </c>
      <c r="E766" s="1071" t="str">
        <f t="shared" si="776"/>
        <v>T0170280</v>
      </c>
      <c r="F766" s="1125">
        <f t="shared" si="776"/>
        <v>2020</v>
      </c>
      <c r="H766" s="1071" t="s">
        <v>29</v>
      </c>
      <c r="J766" s="1071" t="s">
        <v>79</v>
      </c>
      <c r="BB766" s="1108"/>
      <c r="BC766" s="1109"/>
      <c r="BD766" s="1109"/>
      <c r="BE766" s="1109"/>
      <c r="BF766" s="1109"/>
      <c r="BG766" s="1109"/>
      <c r="BH766" s="1109">
        <f t="shared" ref="BH766:BL766" si="777">BH419*$AY116</f>
        <v>0.14094109999999996</v>
      </c>
      <c r="BI766" s="1109">
        <f t="shared" si="777"/>
        <v>0.16911666666666667</v>
      </c>
      <c r="BJ766" s="1109">
        <f t="shared" si="777"/>
        <v>0.16911666666666667</v>
      </c>
      <c r="BK766" s="1109">
        <f t="shared" si="777"/>
        <v>2.8175566666666707E-2</v>
      </c>
      <c r="BL766" s="1109">
        <f t="shared" si="777"/>
        <v>0</v>
      </c>
    </row>
    <row r="767" spans="2:64" hidden="1" outlineLevel="1">
      <c r="B767" s="1094"/>
      <c r="C767" s="1071" t="str">
        <f t="shared" ref="C767:F767" si="778">C420</f>
        <v>T017 - HP250G7 CORE W20008100</v>
      </c>
      <c r="D767" s="1071" t="str">
        <f t="shared" si="778"/>
        <v>IT Equipment</v>
      </c>
      <c r="E767" s="1071" t="str">
        <f t="shared" si="778"/>
        <v>T0170281</v>
      </c>
      <c r="F767" s="1125">
        <f t="shared" si="778"/>
        <v>2020</v>
      </c>
      <c r="H767" s="1071" t="s">
        <v>29</v>
      </c>
      <c r="J767" s="1071" t="s">
        <v>79</v>
      </c>
      <c r="BB767" s="1108"/>
      <c r="BC767" s="1109"/>
      <c r="BD767" s="1109"/>
      <c r="BE767" s="1109"/>
      <c r="BF767" s="1109"/>
      <c r="BG767" s="1109"/>
      <c r="BH767" s="1109">
        <f t="shared" ref="BH767:BL767" si="779">BH420*$AY117</f>
        <v>0.14094109999999996</v>
      </c>
      <c r="BI767" s="1109">
        <f t="shared" si="779"/>
        <v>0.16911666666666667</v>
      </c>
      <c r="BJ767" s="1109">
        <f t="shared" si="779"/>
        <v>0.16911666666666667</v>
      </c>
      <c r="BK767" s="1109">
        <f t="shared" si="779"/>
        <v>2.8175566666666707E-2</v>
      </c>
      <c r="BL767" s="1109">
        <f t="shared" si="779"/>
        <v>0</v>
      </c>
    </row>
    <row r="768" spans="2:64" hidden="1" outlineLevel="1">
      <c r="B768" s="1094"/>
      <c r="C768" s="1071" t="str">
        <f t="shared" ref="C768:F768" si="780">C421</f>
        <v>T017 - HP250G7 CORE W20008091</v>
      </c>
      <c r="D768" s="1071" t="str">
        <f t="shared" si="780"/>
        <v>IT Equipment</v>
      </c>
      <c r="E768" s="1071" t="str">
        <f t="shared" si="780"/>
        <v>T0170282</v>
      </c>
      <c r="F768" s="1125">
        <f t="shared" si="780"/>
        <v>2020</v>
      </c>
      <c r="H768" s="1071" t="s">
        <v>29</v>
      </c>
      <c r="J768" s="1071" t="s">
        <v>79</v>
      </c>
      <c r="BB768" s="1108"/>
      <c r="BC768" s="1109"/>
      <c r="BD768" s="1109"/>
      <c r="BE768" s="1109"/>
      <c r="BF768" s="1109"/>
      <c r="BG768" s="1109"/>
      <c r="BH768" s="1109">
        <f t="shared" ref="BH768:BL768" si="781">BH421*$AY118</f>
        <v>9.8666799999999985E-2</v>
      </c>
      <c r="BI768" s="1109">
        <f t="shared" si="781"/>
        <v>0.16911666666666667</v>
      </c>
      <c r="BJ768" s="1109">
        <f t="shared" si="781"/>
        <v>0.16911666666666667</v>
      </c>
      <c r="BK768" s="1109">
        <f t="shared" si="781"/>
        <v>7.044986666666668E-2</v>
      </c>
      <c r="BL768" s="1109">
        <f t="shared" si="781"/>
        <v>0</v>
      </c>
    </row>
    <row r="769" spans="2:64" hidden="1" outlineLevel="1">
      <c r="B769" s="1094"/>
      <c r="C769" s="1071" t="str">
        <f t="shared" ref="C769:F769" si="782">C422</f>
        <v>T017 - HP250G7 CORE W20008096</v>
      </c>
      <c r="D769" s="1071" t="str">
        <f t="shared" si="782"/>
        <v>IT Equipment</v>
      </c>
      <c r="E769" s="1071" t="str">
        <f t="shared" si="782"/>
        <v>T0170283</v>
      </c>
      <c r="F769" s="1125">
        <f t="shared" si="782"/>
        <v>2020</v>
      </c>
      <c r="H769" s="1071" t="s">
        <v>29</v>
      </c>
      <c r="J769" s="1071" t="s">
        <v>79</v>
      </c>
      <c r="BB769" s="1108"/>
      <c r="BC769" s="1109"/>
      <c r="BD769" s="1109"/>
      <c r="BE769" s="1109"/>
      <c r="BF769" s="1109"/>
      <c r="BG769" s="1109"/>
      <c r="BH769" s="1109">
        <f t="shared" ref="BH769:BL769" si="783">BH422*$AY119</f>
        <v>9.8666799999999985E-2</v>
      </c>
      <c r="BI769" s="1109">
        <f t="shared" si="783"/>
        <v>0.16911666666666667</v>
      </c>
      <c r="BJ769" s="1109">
        <f t="shared" si="783"/>
        <v>0.16911666666666667</v>
      </c>
      <c r="BK769" s="1109">
        <f t="shared" si="783"/>
        <v>7.044986666666668E-2</v>
      </c>
      <c r="BL769" s="1109">
        <f t="shared" si="783"/>
        <v>0</v>
      </c>
    </row>
    <row r="770" spans="2:64" hidden="1" outlineLevel="1">
      <c r="B770" s="1094"/>
      <c r="C770" s="1071" t="str">
        <f t="shared" ref="C770:F770" si="784">C423</f>
        <v>T017 - HP250G7 COREW20008098</v>
      </c>
      <c r="D770" s="1071" t="str">
        <f t="shared" si="784"/>
        <v>IT Equipment</v>
      </c>
      <c r="E770" s="1071" t="str">
        <f t="shared" si="784"/>
        <v>T0170284</v>
      </c>
      <c r="F770" s="1125">
        <f t="shared" si="784"/>
        <v>2020</v>
      </c>
      <c r="H770" s="1071" t="s">
        <v>29</v>
      </c>
      <c r="J770" s="1071" t="s">
        <v>79</v>
      </c>
      <c r="BB770" s="1108"/>
      <c r="BC770" s="1109"/>
      <c r="BD770" s="1109"/>
      <c r="BE770" s="1109"/>
      <c r="BF770" s="1109"/>
      <c r="BG770" s="1109"/>
      <c r="BH770" s="1109">
        <f t="shared" ref="BH770:BL770" si="785">BH423*$AY120</f>
        <v>9.8666799999999985E-2</v>
      </c>
      <c r="BI770" s="1109">
        <f t="shared" si="785"/>
        <v>0.16911666666666667</v>
      </c>
      <c r="BJ770" s="1109">
        <f t="shared" si="785"/>
        <v>0.16911666666666667</v>
      </c>
      <c r="BK770" s="1109">
        <f t="shared" si="785"/>
        <v>7.044986666666668E-2</v>
      </c>
      <c r="BL770" s="1109">
        <f t="shared" si="785"/>
        <v>0</v>
      </c>
    </row>
    <row r="771" spans="2:64" hidden="1" outlineLevel="1">
      <c r="B771" s="1094"/>
      <c r="C771" s="1071" t="str">
        <f t="shared" ref="C771:F771" si="786">C424</f>
        <v>T017 - OPTIPLEX5060 W20007909</v>
      </c>
      <c r="D771" s="1071" t="str">
        <f t="shared" si="786"/>
        <v>IT Equipment</v>
      </c>
      <c r="E771" s="1071" t="str">
        <f t="shared" si="786"/>
        <v>T0170290</v>
      </c>
      <c r="F771" s="1125">
        <f t="shared" si="786"/>
        <v>2020</v>
      </c>
      <c r="H771" s="1071" t="s">
        <v>29</v>
      </c>
      <c r="J771" s="1071" t="s">
        <v>79</v>
      </c>
      <c r="BB771" s="1108"/>
      <c r="BC771" s="1109"/>
      <c r="BD771" s="1109"/>
      <c r="BE771" s="1109"/>
      <c r="BF771" s="1109"/>
      <c r="BG771" s="1109"/>
      <c r="BH771" s="1109">
        <f t="shared" ref="BH771:BL771" si="787">BH424*$AY121</f>
        <v>0.14602919999999994</v>
      </c>
      <c r="BI771" s="1109">
        <f t="shared" si="787"/>
        <v>0.14599999999999999</v>
      </c>
      <c r="BJ771" s="1109">
        <f t="shared" si="787"/>
        <v>0.14597080000000001</v>
      </c>
      <c r="BK771" s="1109">
        <f t="shared" si="787"/>
        <v>0</v>
      </c>
      <c r="BL771" s="1109">
        <f t="shared" si="787"/>
        <v>0</v>
      </c>
    </row>
    <row r="772" spans="2:64" hidden="1" outlineLevel="1">
      <c r="B772" s="1094"/>
      <c r="C772" s="1071" t="str">
        <f t="shared" ref="C772:F772" si="788">C425</f>
        <v>T018 - MACBOOK PRO</v>
      </c>
      <c r="D772" s="1071" t="str">
        <f t="shared" si="788"/>
        <v>IT Equipment</v>
      </c>
      <c r="E772" s="1071" t="str">
        <f t="shared" si="788"/>
        <v>T0180061</v>
      </c>
      <c r="F772" s="1125">
        <f t="shared" si="788"/>
        <v>2020</v>
      </c>
      <c r="H772" s="1071" t="s">
        <v>29</v>
      </c>
      <c r="J772" s="1071" t="s">
        <v>79</v>
      </c>
      <c r="BB772" s="1108"/>
      <c r="BC772" s="1109"/>
      <c r="BD772" s="1109"/>
      <c r="BE772" s="1109"/>
      <c r="BF772" s="1109"/>
      <c r="BG772" s="1109"/>
      <c r="BH772" s="1109">
        <f t="shared" ref="BH772:BL772" si="789">BH425*$AY122</f>
        <v>0.25090829999999997</v>
      </c>
      <c r="BI772" s="1109">
        <f t="shared" si="789"/>
        <v>0.33454439999999996</v>
      </c>
      <c r="BJ772" s="1109">
        <f t="shared" si="789"/>
        <v>0.33454439999999996</v>
      </c>
      <c r="BK772" s="1109">
        <f t="shared" si="789"/>
        <v>8.3636099999999991E-2</v>
      </c>
      <c r="BL772" s="1109">
        <f t="shared" si="789"/>
        <v>0</v>
      </c>
    </row>
    <row r="773" spans="2:64" hidden="1" outlineLevel="1">
      <c r="B773" s="1094"/>
      <c r="C773" s="1071" t="str">
        <f t="shared" ref="C773:F773" si="790">C426</f>
        <v>T018 - LOGITECH GROUP VIDEO HQ</v>
      </c>
      <c r="D773" s="1071" t="str">
        <f t="shared" si="790"/>
        <v>IT Equipment</v>
      </c>
      <c r="E773" s="1071" t="str">
        <f t="shared" si="790"/>
        <v>T0180064</v>
      </c>
      <c r="F773" s="1125">
        <f t="shared" si="790"/>
        <v>2020</v>
      </c>
      <c r="H773" s="1071" t="s">
        <v>29</v>
      </c>
      <c r="J773" s="1071" t="s">
        <v>79</v>
      </c>
      <c r="BB773" s="1108"/>
      <c r="BC773" s="1109"/>
      <c r="BD773" s="1109"/>
      <c r="BE773" s="1109"/>
      <c r="BF773" s="1109"/>
      <c r="BG773" s="1109"/>
      <c r="BH773" s="1109">
        <f t="shared" ref="BH773:BL773" si="791">BH426*$AY123</f>
        <v>0.16407479999999999</v>
      </c>
      <c r="BI773" s="1109">
        <f t="shared" si="791"/>
        <v>0.65627000000000013</v>
      </c>
      <c r="BJ773" s="1109">
        <f t="shared" si="791"/>
        <v>0.65627000000000013</v>
      </c>
      <c r="BK773" s="1109">
        <f t="shared" si="791"/>
        <v>0.49219520000000005</v>
      </c>
      <c r="BL773" s="1109">
        <f t="shared" si="791"/>
        <v>0</v>
      </c>
    </row>
    <row r="774" spans="2:64" hidden="1" outlineLevel="1">
      <c r="B774" s="1094"/>
      <c r="C774" s="1071" t="str">
        <f t="shared" ref="C774:F774" si="792">C427</f>
        <v>T017 - X20 LAPTOPS W20007838</v>
      </c>
      <c r="D774" s="1071" t="str">
        <f t="shared" si="792"/>
        <v>IT Equipment</v>
      </c>
      <c r="E774" s="1071" t="str">
        <f t="shared" si="792"/>
        <v>T0170204</v>
      </c>
      <c r="F774" s="1125">
        <f t="shared" si="792"/>
        <v>2020</v>
      </c>
      <c r="H774" s="1071" t="s">
        <v>29</v>
      </c>
      <c r="J774" s="1071" t="s">
        <v>79</v>
      </c>
      <c r="BB774" s="1108"/>
      <c r="BC774" s="1109"/>
      <c r="BD774" s="1109"/>
      <c r="BE774" s="1109"/>
      <c r="BF774" s="1109"/>
      <c r="BG774" s="1109"/>
      <c r="BH774" s="1109">
        <f t="shared" ref="BH774:BL774" si="793">BH427*$AY124</f>
        <v>0.21968250000000006</v>
      </c>
      <c r="BI774" s="1109">
        <f t="shared" si="793"/>
        <v>0.37660250000000001</v>
      </c>
      <c r="BJ774" s="1109">
        <f t="shared" si="793"/>
        <v>0.37660250000000001</v>
      </c>
      <c r="BK774" s="1109">
        <f t="shared" si="793"/>
        <v>0.15692000000000006</v>
      </c>
      <c r="BL774" s="1109">
        <f t="shared" si="793"/>
        <v>0</v>
      </c>
    </row>
    <row r="775" spans="2:64" hidden="1" outlineLevel="1">
      <c r="B775" s="1094"/>
      <c r="C775" s="1071" t="str">
        <f t="shared" ref="C775:F775" si="794">C428</f>
        <v>T017 - TOSHIBA X20 W20008071</v>
      </c>
      <c r="D775" s="1071" t="str">
        <f t="shared" si="794"/>
        <v>IT Equipment</v>
      </c>
      <c r="E775" s="1071" t="str">
        <f t="shared" si="794"/>
        <v>T0170216</v>
      </c>
      <c r="F775" s="1125">
        <f t="shared" si="794"/>
        <v>2020</v>
      </c>
      <c r="H775" s="1071" t="s">
        <v>29</v>
      </c>
      <c r="J775" s="1071" t="s">
        <v>79</v>
      </c>
      <c r="BB775" s="1108"/>
      <c r="BC775" s="1109"/>
      <c r="BD775" s="1109"/>
      <c r="BE775" s="1109"/>
      <c r="BF775" s="1109"/>
      <c r="BG775" s="1109"/>
      <c r="BH775" s="1109">
        <f t="shared" ref="BH775:BL775" si="795">BH428*$AY125</f>
        <v>0.131355</v>
      </c>
      <c r="BI775" s="1109">
        <f t="shared" si="795"/>
        <v>0.21906729729729729</v>
      </c>
      <c r="BJ775" s="1109">
        <f t="shared" si="795"/>
        <v>0.21906729729729729</v>
      </c>
      <c r="BK775" s="1109">
        <f t="shared" si="795"/>
        <v>0.1059679054054054</v>
      </c>
      <c r="BL775" s="1109">
        <f t="shared" si="795"/>
        <v>0</v>
      </c>
    </row>
    <row r="776" spans="2:64" hidden="1" outlineLevel="1">
      <c r="B776" s="1094"/>
      <c r="C776" s="1071" t="str">
        <f t="shared" ref="C776:F776" si="796">C429</f>
        <v>T017 - TOSHIBA X20 W20008072</v>
      </c>
      <c r="D776" s="1071" t="str">
        <f t="shared" si="796"/>
        <v>IT Equipment</v>
      </c>
      <c r="E776" s="1071" t="str">
        <f t="shared" si="796"/>
        <v>T0170217</v>
      </c>
      <c r="F776" s="1125">
        <f t="shared" si="796"/>
        <v>2020</v>
      </c>
      <c r="H776" s="1071" t="s">
        <v>29</v>
      </c>
      <c r="J776" s="1071" t="s">
        <v>79</v>
      </c>
      <c r="BB776" s="1108"/>
      <c r="BC776" s="1109"/>
      <c r="BD776" s="1109"/>
      <c r="BE776" s="1109"/>
      <c r="BF776" s="1109"/>
      <c r="BG776" s="1109"/>
      <c r="BH776" s="1109">
        <f t="shared" ref="BH776:BL776" si="797">BH429*$AY126</f>
        <v>0.131355</v>
      </c>
      <c r="BI776" s="1109">
        <f t="shared" si="797"/>
        <v>0.21906729729729729</v>
      </c>
      <c r="BJ776" s="1109">
        <f t="shared" si="797"/>
        <v>0.21906729729729729</v>
      </c>
      <c r="BK776" s="1109">
        <f t="shared" si="797"/>
        <v>0.1059679054054054</v>
      </c>
      <c r="BL776" s="1109">
        <f t="shared" si="797"/>
        <v>0</v>
      </c>
    </row>
    <row r="777" spans="2:64" hidden="1" outlineLevel="1">
      <c r="B777" s="1094"/>
      <c r="C777" s="1071" t="str">
        <f t="shared" ref="C777:F777" si="798">C430</f>
        <v>T017 - TOSHIBA X20 W20008079</v>
      </c>
      <c r="D777" s="1071" t="str">
        <f t="shared" si="798"/>
        <v>IT Equipment</v>
      </c>
      <c r="E777" s="1071" t="str">
        <f t="shared" si="798"/>
        <v>T0170223</v>
      </c>
      <c r="F777" s="1125">
        <f t="shared" si="798"/>
        <v>2020</v>
      </c>
      <c r="H777" s="1071" t="s">
        <v>29</v>
      </c>
      <c r="J777" s="1071" t="s">
        <v>79</v>
      </c>
      <c r="BB777" s="1108"/>
      <c r="BC777" s="1109"/>
      <c r="BD777" s="1109"/>
      <c r="BE777" s="1109"/>
      <c r="BF777" s="1109"/>
      <c r="BG777" s="1109"/>
      <c r="BH777" s="1109">
        <f t="shared" ref="BH777:BL777" si="799">BH430*$AY127</f>
        <v>0.131355</v>
      </c>
      <c r="BI777" s="1109">
        <f t="shared" si="799"/>
        <v>0.21906729729729729</v>
      </c>
      <c r="BJ777" s="1109">
        <f t="shared" si="799"/>
        <v>0.21906729729729729</v>
      </c>
      <c r="BK777" s="1109">
        <f t="shared" si="799"/>
        <v>0.1059679054054054</v>
      </c>
      <c r="BL777" s="1109">
        <f t="shared" si="799"/>
        <v>0</v>
      </c>
    </row>
    <row r="778" spans="2:64" hidden="1" outlineLevel="1">
      <c r="B778" s="1094"/>
      <c r="C778" s="1071" t="str">
        <f t="shared" ref="C778:F778" si="800">C431</f>
        <v>T017 - TOSHIBA X20 W20008018</v>
      </c>
      <c r="D778" s="1071" t="str">
        <f t="shared" si="800"/>
        <v>IT Equipment</v>
      </c>
      <c r="E778" s="1071" t="str">
        <f t="shared" si="800"/>
        <v>T0170240</v>
      </c>
      <c r="F778" s="1125">
        <f t="shared" si="800"/>
        <v>2020</v>
      </c>
      <c r="H778" s="1071" t="s">
        <v>29</v>
      </c>
      <c r="J778" s="1071" t="s">
        <v>79</v>
      </c>
      <c r="BB778" s="1108"/>
      <c r="BC778" s="1109"/>
      <c r="BD778" s="1109"/>
      <c r="BE778" s="1109"/>
      <c r="BF778" s="1109"/>
      <c r="BG778" s="1109"/>
      <c r="BH778" s="1109">
        <f t="shared" ref="BH778:BL778" si="801">BH431*$AY128</f>
        <v>0.21968250000000006</v>
      </c>
      <c r="BI778" s="1109">
        <f t="shared" si="801"/>
        <v>0.37660250000000001</v>
      </c>
      <c r="BJ778" s="1109">
        <f t="shared" si="801"/>
        <v>0.37660250000000001</v>
      </c>
      <c r="BK778" s="1109">
        <f t="shared" si="801"/>
        <v>0.15692000000000006</v>
      </c>
      <c r="BL778" s="1109">
        <f t="shared" si="801"/>
        <v>0</v>
      </c>
    </row>
    <row r="779" spans="2:64" hidden="1" outlineLevel="1">
      <c r="B779" s="1094"/>
      <c r="C779" s="1071" t="str">
        <f t="shared" ref="C779:F779" si="802">C432</f>
        <v>T017 - HP G7 CORE W20008101</v>
      </c>
      <c r="D779" s="1071" t="str">
        <f t="shared" si="802"/>
        <v>IT Equipment</v>
      </c>
      <c r="E779" s="1071" t="str">
        <f t="shared" si="802"/>
        <v>T0170251</v>
      </c>
      <c r="F779" s="1125">
        <f t="shared" si="802"/>
        <v>2020</v>
      </c>
      <c r="H779" s="1071" t="s">
        <v>29</v>
      </c>
      <c r="J779" s="1071" t="s">
        <v>79</v>
      </c>
      <c r="BB779" s="1108"/>
      <c r="BC779" s="1109"/>
      <c r="BD779" s="1109"/>
      <c r="BE779" s="1109"/>
      <c r="BF779" s="1109"/>
      <c r="BG779" s="1109"/>
      <c r="BH779" s="1109">
        <f t="shared" ref="BH779:BL779" si="803">BH432*$AY129</f>
        <v>0.10136999999999999</v>
      </c>
      <c r="BI779" s="1109">
        <f t="shared" si="803"/>
        <v>0.17374999999999999</v>
      </c>
      <c r="BJ779" s="1109">
        <f t="shared" si="803"/>
        <v>0.17374999999999999</v>
      </c>
      <c r="BK779" s="1109">
        <f t="shared" si="803"/>
        <v>7.2380000000000014E-2</v>
      </c>
      <c r="BL779" s="1109">
        <f t="shared" si="803"/>
        <v>0</v>
      </c>
    </row>
    <row r="780" spans="2:64" hidden="1" outlineLevel="1">
      <c r="B780" s="1094"/>
      <c r="C780" s="1071" t="str">
        <f t="shared" ref="C780:F780" si="804">C433</f>
        <v>T017 - OPTIPLEX5060 W20007744</v>
      </c>
      <c r="D780" s="1071" t="str">
        <f t="shared" si="804"/>
        <v>IT Equipment</v>
      </c>
      <c r="E780" s="1071" t="str">
        <f t="shared" si="804"/>
        <v>T0170252</v>
      </c>
      <c r="F780" s="1125">
        <f t="shared" si="804"/>
        <v>2020</v>
      </c>
      <c r="H780" s="1071" t="s">
        <v>29</v>
      </c>
      <c r="J780" s="1071" t="s">
        <v>79</v>
      </c>
      <c r="BB780" s="1108"/>
      <c r="BC780" s="1109"/>
      <c r="BD780" s="1109"/>
      <c r="BE780" s="1109"/>
      <c r="BF780" s="1109"/>
      <c r="BG780" s="1109"/>
      <c r="BH780" s="1109">
        <f t="shared" ref="BH780:BL780" si="805">BH433*$AY130</f>
        <v>0.15002999999999994</v>
      </c>
      <c r="BI780" s="1109">
        <f t="shared" si="805"/>
        <v>0.15</v>
      </c>
      <c r="BJ780" s="1109">
        <f t="shared" si="805"/>
        <v>0.14997000000000002</v>
      </c>
      <c r="BK780" s="1109">
        <f t="shared" si="805"/>
        <v>0</v>
      </c>
      <c r="BL780" s="1109">
        <f t="shared" si="805"/>
        <v>0</v>
      </c>
    </row>
    <row r="781" spans="2:64" hidden="1" outlineLevel="1">
      <c r="B781" s="1094"/>
      <c r="C781" s="1071" t="str">
        <f t="shared" ref="C781:F781" si="806">C434</f>
        <v>T017 - TOSHIBA W20008071</v>
      </c>
      <c r="D781" s="1071" t="str">
        <f t="shared" si="806"/>
        <v>IT Equipment</v>
      </c>
      <c r="E781" s="1071" t="str">
        <f t="shared" si="806"/>
        <v>T0170264</v>
      </c>
      <c r="F781" s="1125">
        <f t="shared" si="806"/>
        <v>2020</v>
      </c>
      <c r="H781" s="1071" t="s">
        <v>29</v>
      </c>
      <c r="J781" s="1071" t="s">
        <v>79</v>
      </c>
      <c r="BB781" s="1108"/>
      <c r="BC781" s="1109"/>
      <c r="BD781" s="1109"/>
      <c r="BE781" s="1109"/>
      <c r="BF781" s="1109"/>
      <c r="BG781" s="1109"/>
      <c r="BH781" s="1109">
        <f t="shared" ref="BH781:BL781" si="807">BH434*$AY131</f>
        <v>8.8357500000000019E-2</v>
      </c>
      <c r="BI781" s="1109">
        <f t="shared" si="807"/>
        <v>0.15145000000000003</v>
      </c>
      <c r="BJ781" s="1109">
        <f t="shared" si="807"/>
        <v>0.15145000000000003</v>
      </c>
      <c r="BK781" s="1109">
        <f t="shared" si="807"/>
        <v>6.3092499999999968E-2</v>
      </c>
      <c r="BL781" s="1109">
        <f t="shared" si="807"/>
        <v>0</v>
      </c>
    </row>
    <row r="782" spans="2:64" hidden="1" outlineLevel="1">
      <c r="B782" s="1094"/>
      <c r="C782" s="1071" t="str">
        <f t="shared" ref="C782:F782" si="808">C435</f>
        <v>T017 - TOSHIBA W20008072</v>
      </c>
      <c r="D782" s="1071" t="str">
        <f t="shared" si="808"/>
        <v>IT Equipment</v>
      </c>
      <c r="E782" s="1071" t="str">
        <f t="shared" si="808"/>
        <v>T0170265</v>
      </c>
      <c r="F782" s="1125">
        <f t="shared" si="808"/>
        <v>2020</v>
      </c>
      <c r="H782" s="1071" t="s">
        <v>29</v>
      </c>
      <c r="J782" s="1071" t="s">
        <v>79</v>
      </c>
      <c r="BB782" s="1108"/>
      <c r="BC782" s="1109"/>
      <c r="BD782" s="1109"/>
      <c r="BE782" s="1109"/>
      <c r="BF782" s="1109"/>
      <c r="BG782" s="1109"/>
      <c r="BH782" s="1109">
        <f t="shared" ref="BH782:BL782" si="809">BH435*$AY132</f>
        <v>8.8357500000000019E-2</v>
      </c>
      <c r="BI782" s="1109">
        <f t="shared" si="809"/>
        <v>0.15145000000000003</v>
      </c>
      <c r="BJ782" s="1109">
        <f t="shared" si="809"/>
        <v>0.15145000000000003</v>
      </c>
      <c r="BK782" s="1109">
        <f t="shared" si="809"/>
        <v>6.3092499999999968E-2</v>
      </c>
      <c r="BL782" s="1109">
        <f t="shared" si="809"/>
        <v>0</v>
      </c>
    </row>
    <row r="783" spans="2:64" hidden="1" outlineLevel="1">
      <c r="B783" s="1094"/>
      <c r="C783" s="1071" t="str">
        <f t="shared" ref="C783:F783" si="810">C436</f>
        <v>T017 - TOSHIBA W20008079</v>
      </c>
      <c r="D783" s="1071" t="str">
        <f t="shared" si="810"/>
        <v>IT Equipment</v>
      </c>
      <c r="E783" s="1071" t="str">
        <f t="shared" si="810"/>
        <v>T0170271</v>
      </c>
      <c r="F783" s="1125">
        <f t="shared" si="810"/>
        <v>2020</v>
      </c>
      <c r="H783" s="1071" t="s">
        <v>29</v>
      </c>
      <c r="J783" s="1071" t="s">
        <v>79</v>
      </c>
      <c r="BB783" s="1108"/>
      <c r="BC783" s="1109"/>
      <c r="BD783" s="1109"/>
      <c r="BE783" s="1109"/>
      <c r="BF783" s="1109"/>
      <c r="BG783" s="1109"/>
      <c r="BH783" s="1109">
        <f t="shared" ref="BH783:BL783" si="811">BH436*$AY133</f>
        <v>8.8357500000000019E-2</v>
      </c>
      <c r="BI783" s="1109">
        <f t="shared" si="811"/>
        <v>0.15145000000000003</v>
      </c>
      <c r="BJ783" s="1109">
        <f t="shared" si="811"/>
        <v>0.15145000000000003</v>
      </c>
      <c r="BK783" s="1109">
        <f t="shared" si="811"/>
        <v>6.3092499999999968E-2</v>
      </c>
      <c r="BL783" s="1109">
        <f t="shared" si="811"/>
        <v>0</v>
      </c>
    </row>
    <row r="784" spans="2:64" hidden="1" outlineLevel="1">
      <c r="B784" s="1094"/>
      <c r="C784" s="1071" t="str">
        <f t="shared" ref="C784:F784" si="812">C437</f>
        <v>T017 - HP250G7 CORE W20008101</v>
      </c>
      <c r="D784" s="1071" t="str">
        <f t="shared" si="812"/>
        <v>IT Equipment</v>
      </c>
      <c r="E784" s="1071" t="str">
        <f t="shared" si="812"/>
        <v>T0170286</v>
      </c>
      <c r="F784" s="1125">
        <f t="shared" si="812"/>
        <v>2020</v>
      </c>
      <c r="H784" s="1071" t="s">
        <v>29</v>
      </c>
      <c r="J784" s="1071" t="s">
        <v>79</v>
      </c>
      <c r="BB784" s="1108"/>
      <c r="BC784" s="1109"/>
      <c r="BD784" s="1109"/>
      <c r="BE784" s="1109"/>
      <c r="BF784" s="1109"/>
      <c r="BG784" s="1109"/>
      <c r="BH784" s="1109">
        <f t="shared" ref="BH784:BL784" si="813">BH437*$AY134</f>
        <v>0.10136999999999999</v>
      </c>
      <c r="BI784" s="1109">
        <f t="shared" si="813"/>
        <v>0.17374999999999999</v>
      </c>
      <c r="BJ784" s="1109">
        <f t="shared" si="813"/>
        <v>0.17374999999999999</v>
      </c>
      <c r="BK784" s="1109">
        <f t="shared" si="813"/>
        <v>7.2380000000000014E-2</v>
      </c>
      <c r="BL784" s="1109">
        <f t="shared" si="813"/>
        <v>0</v>
      </c>
    </row>
    <row r="785" spans="2:64" hidden="1" outlineLevel="1">
      <c r="B785" s="1094"/>
      <c r="C785" s="1071" t="str">
        <f t="shared" ref="C785:F785" si="814">C438</f>
        <v>T017 - HP250G7 CORE W20008103</v>
      </c>
      <c r="D785" s="1071" t="str">
        <f t="shared" si="814"/>
        <v>IT Equipment</v>
      </c>
      <c r="E785" s="1071" t="str">
        <f t="shared" si="814"/>
        <v>T0170288</v>
      </c>
      <c r="F785" s="1125">
        <f t="shared" si="814"/>
        <v>2020</v>
      </c>
      <c r="H785" s="1071" t="s">
        <v>29</v>
      </c>
      <c r="J785" s="1071" t="s">
        <v>79</v>
      </c>
      <c r="BB785" s="1108"/>
      <c r="BC785" s="1109"/>
      <c r="BD785" s="1109"/>
      <c r="BE785" s="1109"/>
      <c r="BF785" s="1109"/>
      <c r="BG785" s="1109"/>
      <c r="BH785" s="1109">
        <f t="shared" ref="BH785:BL785" si="815">BH438*$AY135</f>
        <v>0.10136999999999999</v>
      </c>
      <c r="BI785" s="1109">
        <f t="shared" si="815"/>
        <v>0.17374999999999999</v>
      </c>
      <c r="BJ785" s="1109">
        <f t="shared" si="815"/>
        <v>0.17374999999999999</v>
      </c>
      <c r="BK785" s="1109">
        <f t="shared" si="815"/>
        <v>7.2380000000000014E-2</v>
      </c>
      <c r="BL785" s="1109">
        <f t="shared" si="815"/>
        <v>0</v>
      </c>
    </row>
    <row r="786" spans="2:64" hidden="1" outlineLevel="1">
      <c r="B786" s="1094"/>
      <c r="C786" s="1071" t="str">
        <f t="shared" ref="C786:F786" si="816">C439</f>
        <v>T017 - OPTIPLEX5060 W20007789</v>
      </c>
      <c r="D786" s="1071" t="str">
        <f t="shared" si="816"/>
        <v>IT Equipment</v>
      </c>
      <c r="E786" s="1071" t="str">
        <f t="shared" si="816"/>
        <v>T0170289</v>
      </c>
      <c r="F786" s="1125">
        <f t="shared" si="816"/>
        <v>2020</v>
      </c>
      <c r="H786" s="1071" t="s">
        <v>29</v>
      </c>
      <c r="J786" s="1071" t="s">
        <v>79</v>
      </c>
      <c r="BB786" s="1108"/>
      <c r="BC786" s="1109"/>
      <c r="BD786" s="1109"/>
      <c r="BE786" s="1109"/>
      <c r="BF786" s="1109"/>
      <c r="BG786" s="1109"/>
      <c r="BH786" s="1109">
        <f t="shared" ref="BH786:BL786" si="817">BH439*$AY136</f>
        <v>0.15002999999999994</v>
      </c>
      <c r="BI786" s="1109">
        <f t="shared" si="817"/>
        <v>0.15</v>
      </c>
      <c r="BJ786" s="1109">
        <f t="shared" si="817"/>
        <v>0.14997000000000002</v>
      </c>
      <c r="BK786" s="1109">
        <f t="shared" si="817"/>
        <v>0</v>
      </c>
      <c r="BL786" s="1109">
        <f t="shared" si="817"/>
        <v>0</v>
      </c>
    </row>
    <row r="787" spans="2:64" hidden="1" outlineLevel="1">
      <c r="B787" s="1094"/>
      <c r="C787" s="1071" t="str">
        <f t="shared" ref="C787:F787" si="818">C440</f>
        <v>T017 - QUEST W20007746</v>
      </c>
      <c r="D787" s="1071" t="str">
        <f t="shared" si="818"/>
        <v>IT Equipment</v>
      </c>
      <c r="E787" s="1071" t="str">
        <f t="shared" si="818"/>
        <v>T0170295</v>
      </c>
      <c r="F787" s="1125">
        <f t="shared" si="818"/>
        <v>2020</v>
      </c>
      <c r="H787" s="1071" t="s">
        <v>29</v>
      </c>
      <c r="J787" s="1071" t="s">
        <v>79</v>
      </c>
      <c r="BB787" s="1108"/>
      <c r="BC787" s="1109"/>
      <c r="BD787" s="1109"/>
      <c r="BE787" s="1109"/>
      <c r="BF787" s="1109"/>
      <c r="BG787" s="1109"/>
      <c r="BH787" s="1109">
        <f t="shared" ref="BH787:BL787" si="819">BH440*$AY137</f>
        <v>5.5702500000000002E-2</v>
      </c>
      <c r="BI787" s="1109">
        <f t="shared" si="819"/>
        <v>0.66844000000000015</v>
      </c>
      <c r="BJ787" s="1109">
        <f t="shared" si="819"/>
        <v>0.66844000000000015</v>
      </c>
      <c r="BK787" s="1109">
        <f t="shared" si="819"/>
        <v>0.61273750000000005</v>
      </c>
      <c r="BL787" s="1109">
        <f t="shared" si="819"/>
        <v>0</v>
      </c>
    </row>
    <row r="788" spans="2:64" hidden="1" outlineLevel="1">
      <c r="B788" s="1094"/>
      <c r="C788" s="1071" t="str">
        <f t="shared" ref="C788:F788" si="820">C441</f>
        <v>T018 - HP COLOR LASERJET BCY</v>
      </c>
      <c r="D788" s="1071" t="str">
        <f t="shared" si="820"/>
        <v>IT Equipment</v>
      </c>
      <c r="E788" s="1071" t="str">
        <f t="shared" si="820"/>
        <v>T0180063</v>
      </c>
      <c r="F788" s="1125">
        <f t="shared" si="820"/>
        <v>2020</v>
      </c>
      <c r="H788" s="1071" t="s">
        <v>29</v>
      </c>
      <c r="J788" s="1071" t="s">
        <v>79</v>
      </c>
      <c r="BB788" s="1108"/>
      <c r="BC788" s="1109"/>
      <c r="BD788" s="1109"/>
      <c r="BE788" s="1109"/>
      <c r="BF788" s="1109"/>
      <c r="BG788" s="1109"/>
      <c r="BH788" s="1109">
        <f t="shared" ref="BH788:BL788" si="821">BH441*$AY138</f>
        <v>0.29063250000000002</v>
      </c>
      <c r="BI788" s="1109">
        <f t="shared" si="821"/>
        <v>1.1625000000000001</v>
      </c>
      <c r="BJ788" s="1109">
        <f t="shared" si="821"/>
        <v>1.1625000000000001</v>
      </c>
      <c r="BK788" s="1109">
        <f t="shared" si="821"/>
        <v>0.87186750000000024</v>
      </c>
      <c r="BL788" s="1109">
        <f t="shared" si="821"/>
        <v>0</v>
      </c>
    </row>
    <row r="789" spans="2:64" hidden="1" outlineLevel="1">
      <c r="B789" s="1094"/>
      <c r="C789" s="1071" t="str">
        <f t="shared" ref="C789:F789" si="822">C442</f>
        <v>T017 - TOSHIBA X20 W20008075</v>
      </c>
      <c r="D789" s="1071" t="str">
        <f t="shared" si="822"/>
        <v>IT Equipment</v>
      </c>
      <c r="E789" s="1071" t="str">
        <f t="shared" si="822"/>
        <v>T0170220</v>
      </c>
      <c r="F789" s="1125">
        <f t="shared" si="822"/>
        <v>2020</v>
      </c>
      <c r="H789" s="1071" t="s">
        <v>29</v>
      </c>
      <c r="J789" s="1071" t="s">
        <v>79</v>
      </c>
      <c r="BB789" s="1108"/>
      <c r="BC789" s="1109"/>
      <c r="BD789" s="1109"/>
      <c r="BE789" s="1109"/>
      <c r="BF789" s="1109"/>
      <c r="BG789" s="1109"/>
      <c r="BH789" s="1109">
        <f t="shared" ref="BH789:BL789" si="823">BH442*$AY139</f>
        <v>8.7569999999999995E-2</v>
      </c>
      <c r="BI789" s="1109">
        <f t="shared" si="823"/>
        <v>0.14604486486486487</v>
      </c>
      <c r="BJ789" s="1109">
        <f t="shared" si="823"/>
        <v>0.14604486486486487</v>
      </c>
      <c r="BK789" s="1109">
        <f t="shared" si="823"/>
        <v>7.0645270270270275E-2</v>
      </c>
      <c r="BL789" s="1109">
        <f t="shared" si="823"/>
        <v>0</v>
      </c>
    </row>
    <row r="790" spans="2:64" hidden="1" outlineLevel="1">
      <c r="B790" s="1094"/>
      <c r="C790" s="1071" t="str">
        <f t="shared" ref="C790:F790" si="824">C443</f>
        <v>T017 - TOSHIBA X20 W20008017</v>
      </c>
      <c r="D790" s="1071" t="str">
        <f t="shared" si="824"/>
        <v>IT Equipment</v>
      </c>
      <c r="E790" s="1071" t="str">
        <f t="shared" si="824"/>
        <v>T0170239</v>
      </c>
      <c r="F790" s="1125">
        <f t="shared" si="824"/>
        <v>2020</v>
      </c>
      <c r="H790" s="1071" t="s">
        <v>29</v>
      </c>
      <c r="J790" s="1071" t="s">
        <v>79</v>
      </c>
      <c r="BB790" s="1108"/>
      <c r="BC790" s="1109"/>
      <c r="BD790" s="1109"/>
      <c r="BE790" s="1109"/>
      <c r="BF790" s="1109"/>
      <c r="BG790" s="1109"/>
      <c r="BH790" s="1109">
        <f t="shared" ref="BH790:BL790" si="825">BH443*$AY140</f>
        <v>0.14645500000000003</v>
      </c>
      <c r="BI790" s="1109">
        <f t="shared" si="825"/>
        <v>0.25106833333333334</v>
      </c>
      <c r="BJ790" s="1109">
        <f t="shared" si="825"/>
        <v>0.25106833333333334</v>
      </c>
      <c r="BK790" s="1109">
        <f t="shared" si="825"/>
        <v>0.10461333333333336</v>
      </c>
      <c r="BL790" s="1109">
        <f t="shared" si="825"/>
        <v>0</v>
      </c>
    </row>
    <row r="791" spans="2:64" hidden="1" outlineLevel="1">
      <c r="B791" s="1094"/>
      <c r="C791" s="1071" t="str">
        <f t="shared" ref="C791:F791" si="826">C444</f>
        <v>T017 - TOSHIBA W20008075</v>
      </c>
      <c r="D791" s="1071" t="str">
        <f t="shared" si="826"/>
        <v>IT Equipment</v>
      </c>
      <c r="E791" s="1071" t="str">
        <f t="shared" si="826"/>
        <v>T0170268</v>
      </c>
      <c r="F791" s="1125">
        <f t="shared" si="826"/>
        <v>2020</v>
      </c>
      <c r="H791" s="1071" t="s">
        <v>29</v>
      </c>
      <c r="J791" s="1071" t="s">
        <v>79</v>
      </c>
      <c r="BB791" s="1108"/>
      <c r="BC791" s="1109"/>
      <c r="BD791" s="1109"/>
      <c r="BE791" s="1109"/>
      <c r="BF791" s="1109"/>
      <c r="BG791" s="1109"/>
      <c r="BH791" s="1109">
        <f t="shared" ref="BH791:BL791" si="827">BH444*$AY141</f>
        <v>5.8905000000000013E-2</v>
      </c>
      <c r="BI791" s="1109">
        <f t="shared" si="827"/>
        <v>0.10096666666666668</v>
      </c>
      <c r="BJ791" s="1109">
        <f t="shared" si="827"/>
        <v>0.10096666666666668</v>
      </c>
      <c r="BK791" s="1109">
        <f t="shared" si="827"/>
        <v>4.206166666666665E-2</v>
      </c>
      <c r="BL791" s="1109">
        <f t="shared" si="827"/>
        <v>0</v>
      </c>
    </row>
    <row r="792" spans="2:64" hidden="1" outlineLevel="1">
      <c r="B792" s="1094"/>
      <c r="C792" s="1071" t="str">
        <f t="shared" ref="C792:F792" si="828">C445</f>
        <v>T022 - DAAMS OMP PACKAGE</v>
      </c>
      <c r="D792" s="1071" t="str">
        <f t="shared" si="828"/>
        <v>DAAMS OMP PACKAGE</v>
      </c>
      <c r="E792" s="1071" t="str">
        <f t="shared" si="828"/>
        <v>T0220001</v>
      </c>
      <c r="F792" s="1125">
        <f t="shared" si="828"/>
        <v>2020</v>
      </c>
      <c r="H792" s="1071" t="s">
        <v>29</v>
      </c>
      <c r="J792" s="1071" t="s">
        <v>79</v>
      </c>
      <c r="BB792" s="1108"/>
      <c r="BC792" s="1109"/>
      <c r="BD792" s="1109"/>
      <c r="BE792" s="1109"/>
      <c r="BF792" s="1109"/>
      <c r="BG792" s="1109"/>
      <c r="BH792" s="1109">
        <f t="shared" ref="BH792:BL792" si="829">BH445*$AY142</f>
        <v>4.8666764000000002</v>
      </c>
      <c r="BI792" s="1109">
        <f t="shared" si="829"/>
        <v>14.6</v>
      </c>
      <c r="BJ792" s="1109">
        <f t="shared" si="829"/>
        <v>14.6</v>
      </c>
      <c r="BK792" s="1109">
        <f t="shared" si="829"/>
        <v>9.7333235999999985</v>
      </c>
      <c r="BL792" s="1109">
        <f t="shared" si="829"/>
        <v>0</v>
      </c>
    </row>
    <row r="793" spans="2:64" hidden="1" outlineLevel="1">
      <c r="B793" s="1094"/>
      <c r="C793" s="1071" t="str">
        <f t="shared" ref="C793:F793" si="830">C446</f>
        <v>S024 - BCY ITRoom Upgrades</v>
      </c>
      <c r="D793" s="1071" t="str">
        <f t="shared" si="830"/>
        <v>IT Room Upgrades</v>
      </c>
      <c r="E793" s="1071" t="str">
        <f t="shared" si="830"/>
        <v>S0240011</v>
      </c>
      <c r="F793" s="1125">
        <f t="shared" si="830"/>
        <v>2020</v>
      </c>
      <c r="H793" s="1071" t="s">
        <v>29</v>
      </c>
      <c r="J793" s="1071" t="s">
        <v>79</v>
      </c>
      <c r="BB793" s="1108"/>
      <c r="BC793" s="1109"/>
      <c r="BD793" s="1109"/>
      <c r="BE793" s="1109"/>
      <c r="BF793" s="1109"/>
      <c r="BG793" s="1109"/>
      <c r="BH793" s="1109">
        <f t="shared" ref="BH793:BL793" si="831">BH446*$AY143</f>
        <v>0.68559749999999997</v>
      </c>
      <c r="BI793" s="1109">
        <f t="shared" si="831"/>
        <v>8.2271699999999992</v>
      </c>
      <c r="BJ793" s="1109">
        <f t="shared" si="831"/>
        <v>8.2271699999999992</v>
      </c>
      <c r="BK793" s="1109">
        <f t="shared" si="831"/>
        <v>8.2271699999999992</v>
      </c>
      <c r="BL793" s="1109">
        <f t="shared" si="831"/>
        <v>8.2271699999999992</v>
      </c>
    </row>
    <row r="794" spans="2:64" hidden="1" outlineLevel="1">
      <c r="B794" s="1094"/>
      <c r="C794" s="1071" t="str">
        <f t="shared" ref="C794:F794" si="832">C447</f>
        <v>T019 - 2 Servers BCY</v>
      </c>
      <c r="D794" s="1071" t="str">
        <f t="shared" si="832"/>
        <v>IT Servers</v>
      </c>
      <c r="E794" s="1071" t="str">
        <f t="shared" si="832"/>
        <v>T0190003</v>
      </c>
      <c r="F794" s="1125">
        <f t="shared" si="832"/>
        <v>2020</v>
      </c>
      <c r="H794" s="1071" t="s">
        <v>29</v>
      </c>
      <c r="J794" s="1071" t="s">
        <v>79</v>
      </c>
      <c r="BB794" s="1108"/>
      <c r="BC794" s="1109"/>
      <c r="BD794" s="1109"/>
      <c r="BE794" s="1109"/>
      <c r="BF794" s="1109"/>
      <c r="BG794" s="1109"/>
      <c r="BH794" s="1109">
        <f t="shared" ref="BH794:BL794" si="833">BH447*$AY144</f>
        <v>12.214709999999998</v>
      </c>
      <c r="BI794" s="1109">
        <f t="shared" si="833"/>
        <v>12.214694999999999</v>
      </c>
      <c r="BJ794" s="1109">
        <f t="shared" si="833"/>
        <v>12.21468</v>
      </c>
      <c r="BK794" s="1109">
        <f t="shared" si="833"/>
        <v>0</v>
      </c>
      <c r="BL794" s="1109">
        <f t="shared" si="833"/>
        <v>0</v>
      </c>
    </row>
    <row r="795" spans="2:64" hidden="1" outlineLevel="1">
      <c r="B795" s="1094"/>
      <c r="C795" s="1071" t="str">
        <f t="shared" ref="C795:F795" si="834">C448</f>
        <v>T019 - 1 Server SHN</v>
      </c>
      <c r="D795" s="1071" t="str">
        <f t="shared" si="834"/>
        <v>IT Servers</v>
      </c>
      <c r="E795" s="1071" t="str">
        <f t="shared" si="834"/>
        <v>T0190004</v>
      </c>
      <c r="F795" s="1125">
        <f t="shared" si="834"/>
        <v>2020</v>
      </c>
      <c r="H795" s="1071" t="s">
        <v>29</v>
      </c>
      <c r="J795" s="1071" t="s">
        <v>79</v>
      </c>
      <c r="BB795" s="1108"/>
      <c r="BC795" s="1109"/>
      <c r="BD795" s="1109"/>
      <c r="BE795" s="1109"/>
      <c r="BF795" s="1109"/>
      <c r="BG795" s="1109"/>
      <c r="BH795" s="1109">
        <f t="shared" ref="BH795:BL795" si="835">BH448*$AY145</f>
        <v>0.37526999999999999</v>
      </c>
      <c r="BI795" s="1109">
        <f t="shared" si="835"/>
        <v>0.64332</v>
      </c>
      <c r="BJ795" s="1109">
        <f t="shared" si="835"/>
        <v>0.64332</v>
      </c>
      <c r="BK795" s="1109">
        <f t="shared" si="835"/>
        <v>0.26805000000000001</v>
      </c>
      <c r="BL795" s="1109">
        <f t="shared" si="835"/>
        <v>0</v>
      </c>
    </row>
    <row r="796" spans="2:64" hidden="1" outlineLevel="1">
      <c r="B796" s="1094"/>
      <c r="C796" s="1071" t="str">
        <f t="shared" ref="C796:F796" si="836">C449</f>
        <v>P003 - RBS Radios Rosslare</v>
      </c>
      <c r="D796" s="1071" t="str">
        <f t="shared" si="836"/>
        <v>RBS Radios Rosslare</v>
      </c>
      <c r="E796" s="1071" t="str">
        <f t="shared" si="836"/>
        <v>P0030002</v>
      </c>
      <c r="F796" s="1125">
        <f t="shared" si="836"/>
        <v>2020</v>
      </c>
      <c r="H796" s="1071" t="s">
        <v>29</v>
      </c>
      <c r="J796" s="1071" t="s">
        <v>79</v>
      </c>
      <c r="BB796" s="1108"/>
      <c r="BC796" s="1109"/>
      <c r="BD796" s="1109"/>
      <c r="BE796" s="1109"/>
      <c r="BF796" s="1109"/>
      <c r="BG796" s="1109"/>
      <c r="BH796" s="1109">
        <f t="shared" ref="BH796:BL796" si="837">BH449*$AY146</f>
        <v>1.03386</v>
      </c>
      <c r="BI796" s="1109">
        <f t="shared" si="837"/>
        <v>3.1015537499999999</v>
      </c>
      <c r="BJ796" s="1109">
        <f t="shared" si="837"/>
        <v>3.1015537499999999</v>
      </c>
      <c r="BK796" s="1109">
        <f t="shared" si="837"/>
        <v>3.1015537499999999</v>
      </c>
      <c r="BL796" s="1109">
        <f t="shared" si="837"/>
        <v>3.1015537499999999</v>
      </c>
    </row>
    <row r="797" spans="2:64" hidden="1" outlineLevel="1">
      <c r="B797" s="1094"/>
      <c r="C797" s="1071" t="str">
        <f t="shared" ref="C797:F797" si="838">C450</f>
        <v>Q027 HQ ICT Room Upgrades</v>
      </c>
      <c r="D797" s="1071" t="str">
        <f t="shared" si="838"/>
        <v>ICT Room Upgrades</v>
      </c>
      <c r="E797" s="1071" t="str">
        <f t="shared" si="838"/>
        <v>Q0270010</v>
      </c>
      <c r="F797" s="1125">
        <f t="shared" si="838"/>
        <v>2020</v>
      </c>
      <c r="H797" s="1071" t="s">
        <v>29</v>
      </c>
      <c r="J797" s="1071" t="s">
        <v>79</v>
      </c>
      <c r="BB797" s="1108"/>
      <c r="BC797" s="1109"/>
      <c r="BD797" s="1109"/>
      <c r="BE797" s="1109"/>
      <c r="BF797" s="1109"/>
      <c r="BG797" s="1109"/>
      <c r="BH797" s="1109">
        <f t="shared" ref="BH797:BL797" si="839">BH450*$AY147</f>
        <v>3.7042535999999999</v>
      </c>
      <c r="BI797" s="1109">
        <f t="shared" si="839"/>
        <v>3.7042584666666669</v>
      </c>
      <c r="BJ797" s="1109">
        <f t="shared" si="839"/>
        <v>3.7042584666666669</v>
      </c>
      <c r="BK797" s="1109">
        <f t="shared" si="839"/>
        <v>4.8666666671970188E-6</v>
      </c>
      <c r="BL797" s="1109">
        <f t="shared" si="839"/>
        <v>0</v>
      </c>
    </row>
    <row r="798" spans="2:64" hidden="1" outlineLevel="1">
      <c r="B798" s="1094"/>
      <c r="C798" s="1071" t="str">
        <f t="shared" ref="C798:F798" si="840">C451</f>
        <v>Q027 BCY ICT Room Upgrades</v>
      </c>
      <c r="D798" s="1071" t="str">
        <f t="shared" si="840"/>
        <v>ICT Room Upgrades</v>
      </c>
      <c r="E798" s="1071" t="str">
        <f t="shared" si="840"/>
        <v>Q0270009</v>
      </c>
      <c r="F798" s="1125">
        <f t="shared" si="840"/>
        <v>2020</v>
      </c>
      <c r="H798" s="1071" t="s">
        <v>29</v>
      </c>
      <c r="J798" s="1071" t="s">
        <v>79</v>
      </c>
      <c r="BB798" s="1108"/>
      <c r="BC798" s="1109"/>
      <c r="BD798" s="1109"/>
      <c r="BE798" s="1109"/>
      <c r="BF798" s="1109"/>
      <c r="BG798" s="1109"/>
      <c r="BH798" s="1109">
        <f t="shared" ref="BH798:BL798" si="841">BH451*$AY148</f>
        <v>3.8366549999999995</v>
      </c>
      <c r="BI798" s="1109">
        <f t="shared" si="841"/>
        <v>4.1854149999999999</v>
      </c>
      <c r="BJ798" s="1109">
        <f t="shared" si="841"/>
        <v>4.1854149999999999</v>
      </c>
      <c r="BK798" s="1109">
        <f t="shared" si="841"/>
        <v>0.34876000000000051</v>
      </c>
      <c r="BL798" s="1109">
        <f t="shared" si="841"/>
        <v>0</v>
      </c>
    </row>
    <row r="799" spans="2:64" hidden="1" outlineLevel="1">
      <c r="B799" s="1094"/>
      <c r="C799" s="1071" t="str">
        <f t="shared" ref="C799:F799" si="842">C452</f>
        <v>S004 - NRT2</v>
      </c>
      <c r="D799" s="1071" t="str">
        <f t="shared" si="842"/>
        <v>NRT2</v>
      </c>
      <c r="E799" s="1071" t="str">
        <f t="shared" si="842"/>
        <v>S0040015</v>
      </c>
      <c r="F799" s="1125">
        <f t="shared" si="842"/>
        <v>2020</v>
      </c>
      <c r="H799" s="1071" t="s">
        <v>29</v>
      </c>
      <c r="J799" s="1071" t="s">
        <v>79</v>
      </c>
      <c r="BB799" s="1108"/>
      <c r="BC799" s="1109"/>
      <c r="BD799" s="1109"/>
      <c r="BE799" s="1109"/>
      <c r="BF799" s="1109"/>
      <c r="BG799" s="1109"/>
      <c r="BH799" s="1109">
        <f t="shared" ref="BH799:BL799" si="843">BH452*$AY149</f>
        <v>0.78193500000000005</v>
      </c>
      <c r="BI799" s="1109">
        <f t="shared" si="843"/>
        <v>0.85304999999999997</v>
      </c>
      <c r="BJ799" s="1109">
        <f t="shared" si="843"/>
        <v>0.85304999999999997</v>
      </c>
      <c r="BK799" s="1109">
        <f t="shared" si="843"/>
        <v>0.85304999999999997</v>
      </c>
      <c r="BL799" s="1109">
        <f t="shared" si="843"/>
        <v>0.85304999999999997</v>
      </c>
    </row>
    <row r="800" spans="2:64" hidden="1" outlineLevel="1">
      <c r="B800" s="1094"/>
      <c r="C800" s="1071" t="str">
        <f t="shared" ref="C800:F800" si="844">C453</f>
        <v>S004 - NRT2</v>
      </c>
      <c r="D800" s="1071" t="str">
        <f t="shared" si="844"/>
        <v>NRT2</v>
      </c>
      <c r="E800" s="1071" t="str">
        <f t="shared" si="844"/>
        <v>S0040014</v>
      </c>
      <c r="F800" s="1125">
        <f t="shared" si="844"/>
        <v>2020</v>
      </c>
      <c r="H800" s="1071" t="s">
        <v>29</v>
      </c>
      <c r="J800" s="1071" t="s">
        <v>79</v>
      </c>
      <c r="BB800" s="1108"/>
      <c r="BC800" s="1109"/>
      <c r="BD800" s="1109"/>
      <c r="BE800" s="1109"/>
      <c r="BF800" s="1109"/>
      <c r="BG800" s="1109"/>
      <c r="BH800" s="1109">
        <f t="shared" ref="BH800:BL800" si="845">BH453*$AY150</f>
        <v>1.5639525000000001</v>
      </c>
      <c r="BI800" s="1109">
        <f t="shared" si="845"/>
        <v>1.7060999999999999</v>
      </c>
      <c r="BJ800" s="1109">
        <f t="shared" si="845"/>
        <v>1.7060999999999999</v>
      </c>
      <c r="BK800" s="1109">
        <f t="shared" si="845"/>
        <v>1.7060999999999999</v>
      </c>
      <c r="BL800" s="1109">
        <f t="shared" si="845"/>
        <v>1.7060999999999999</v>
      </c>
    </row>
    <row r="801" spans="2:64" hidden="1" outlineLevel="1">
      <c r="B801" s="1094"/>
      <c r="C801" s="1071" t="str">
        <f t="shared" ref="C801:F801" si="846">C454</f>
        <v>T013 - KF73875 FF AVIOR ELBRUS HBACK OPERATOR x2</v>
      </c>
      <c r="D801" s="1071" t="str">
        <f t="shared" si="846"/>
        <v>Office Equipment</v>
      </c>
      <c r="E801" s="1071" t="str">
        <f t="shared" si="846"/>
        <v>t0130005</v>
      </c>
      <c r="F801" s="1125">
        <f t="shared" si="846"/>
        <v>2020</v>
      </c>
      <c r="H801" s="1071" t="s">
        <v>29</v>
      </c>
      <c r="J801" s="1071" t="s">
        <v>79</v>
      </c>
      <c r="BB801" s="1108"/>
      <c r="BC801" s="1109"/>
      <c r="BD801" s="1109"/>
      <c r="BE801" s="1109"/>
      <c r="BF801" s="1109"/>
      <c r="BG801" s="1109"/>
      <c r="BH801" s="1109">
        <f t="shared" ref="BH801:BL801" si="847">BH454*$AY151</f>
        <v>0.126</v>
      </c>
      <c r="BI801" s="1109">
        <f t="shared" si="847"/>
        <v>0.16800000000000001</v>
      </c>
      <c r="BJ801" s="1109">
        <f t="shared" si="847"/>
        <v>0.16800000000000001</v>
      </c>
      <c r="BK801" s="1109">
        <f t="shared" si="847"/>
        <v>0.16800000000000001</v>
      </c>
      <c r="BL801" s="1109">
        <f t="shared" si="847"/>
        <v>0.16800000000000001</v>
      </c>
    </row>
    <row r="802" spans="2:64" hidden="1" outlineLevel="1">
      <c r="B802" s="1094"/>
      <c r="C802" s="1071" t="str">
        <f t="shared" ref="C802:F802" si="848">C455</f>
        <v>T013 - OFFICE CHAIRS SHEFFIELD GREY x2</v>
      </c>
      <c r="D802" s="1071" t="str">
        <f t="shared" si="848"/>
        <v>Office Equipment</v>
      </c>
      <c r="E802" s="1071" t="str">
        <f t="shared" si="848"/>
        <v>T0130004</v>
      </c>
      <c r="F802" s="1125">
        <f t="shared" si="848"/>
        <v>2020</v>
      </c>
      <c r="H802" s="1071" t="s">
        <v>29</v>
      </c>
      <c r="J802" s="1071" t="s">
        <v>79</v>
      </c>
      <c r="BB802" s="1108"/>
      <c r="BC802" s="1109"/>
      <c r="BD802" s="1109"/>
      <c r="BE802" s="1109"/>
      <c r="BF802" s="1109"/>
      <c r="BG802" s="1109"/>
      <c r="BH802" s="1109">
        <f t="shared" ref="BH802:BL802" si="849">BH455*$AY152</f>
        <v>0</v>
      </c>
      <c r="BI802" s="1109">
        <f t="shared" si="849"/>
        <v>0</v>
      </c>
      <c r="BJ802" s="1109">
        <f t="shared" si="849"/>
        <v>0</v>
      </c>
      <c r="BK802" s="1109">
        <f t="shared" si="849"/>
        <v>0</v>
      </c>
      <c r="BL802" s="1109">
        <f t="shared" si="849"/>
        <v>0</v>
      </c>
    </row>
    <row r="803" spans="2:64" hidden="1" outlineLevel="1">
      <c r="B803" s="1094"/>
      <c r="C803" s="1071" t="str">
        <f t="shared" ref="C803:F803" si="850">C456</f>
        <v>New Dublin Tower - Building</v>
      </c>
      <c r="D803" s="1071" t="str">
        <f t="shared" si="850"/>
        <v>New Dublin Tower</v>
      </c>
      <c r="E803" s="1071" t="str">
        <f t="shared" si="850"/>
        <v>R034</v>
      </c>
      <c r="F803" s="1125" t="str">
        <f t="shared" si="850"/>
        <v>2021-2024</v>
      </c>
      <c r="H803" s="1071" t="s">
        <v>29</v>
      </c>
      <c r="J803" s="1071" t="s">
        <v>79</v>
      </c>
      <c r="BB803" s="1108"/>
      <c r="BC803" s="1109"/>
      <c r="BD803" s="1109"/>
      <c r="BE803" s="1109"/>
      <c r="BF803" s="1109"/>
      <c r="BG803" s="1109"/>
      <c r="BH803" s="1109">
        <f t="shared" ref="BH803:BL803" si="851">BH456*$AY153</f>
        <v>0</v>
      </c>
      <c r="BI803" s="1109">
        <f t="shared" si="851"/>
        <v>0</v>
      </c>
      <c r="BJ803" s="1109">
        <f t="shared" si="851"/>
        <v>0</v>
      </c>
      <c r="BK803" s="1109">
        <f t="shared" si="851"/>
        <v>0</v>
      </c>
      <c r="BL803" s="1109">
        <f t="shared" si="851"/>
        <v>0</v>
      </c>
    </row>
    <row r="804" spans="2:64" hidden="1" outlineLevel="1">
      <c r="B804" s="1094"/>
      <c r="C804" s="1071" t="str">
        <f t="shared" ref="C804:F804" si="852">C457</f>
        <v>New Dublin Tower Equipment</v>
      </c>
      <c r="D804" s="1071" t="str">
        <f t="shared" si="852"/>
        <v>New Dublin Tower</v>
      </c>
      <c r="E804" s="1071" t="str">
        <f t="shared" si="852"/>
        <v>R035</v>
      </c>
      <c r="F804" s="1125" t="str">
        <f t="shared" si="852"/>
        <v>2021-2024</v>
      </c>
      <c r="H804" s="1071" t="s">
        <v>29</v>
      </c>
      <c r="J804" s="1071" t="s">
        <v>79</v>
      </c>
      <c r="BB804" s="1108"/>
      <c r="BC804" s="1109"/>
      <c r="BD804" s="1109"/>
      <c r="BE804" s="1109"/>
      <c r="BF804" s="1109"/>
      <c r="BG804" s="1109"/>
      <c r="BH804" s="1109">
        <f t="shared" ref="BH804:BL804" si="853">BH457*$AY154</f>
        <v>0</v>
      </c>
      <c r="BI804" s="1109">
        <f t="shared" si="853"/>
        <v>0</v>
      </c>
      <c r="BJ804" s="1109">
        <f t="shared" si="853"/>
        <v>0</v>
      </c>
      <c r="BK804" s="1109">
        <f t="shared" si="853"/>
        <v>0</v>
      </c>
      <c r="BL804" s="1109">
        <f t="shared" si="853"/>
        <v>0</v>
      </c>
    </row>
    <row r="805" spans="2:64" hidden="1" outlineLevel="1">
      <c r="B805" s="1094"/>
      <c r="C805" s="1071" t="str">
        <f t="shared" ref="C805:F805" si="854">C458</f>
        <v>New Dublin Tower Equipment - Contingency</v>
      </c>
      <c r="D805" s="1071" t="str">
        <f t="shared" si="854"/>
        <v>New Dublin Tower</v>
      </c>
      <c r="E805" s="1071" t="str">
        <f t="shared" si="854"/>
        <v>R035A</v>
      </c>
      <c r="F805" s="1125" t="str">
        <f t="shared" si="854"/>
        <v>2021-2024</v>
      </c>
      <c r="H805" s="1071" t="s">
        <v>29</v>
      </c>
      <c r="J805" s="1071" t="s">
        <v>79</v>
      </c>
      <c r="BB805" s="1108"/>
      <c r="BC805" s="1109"/>
      <c r="BD805" s="1109"/>
      <c r="BE805" s="1109"/>
      <c r="BF805" s="1109"/>
      <c r="BG805" s="1109"/>
      <c r="BH805" s="1109">
        <f t="shared" ref="BH805:BL805" si="855">BH458*$AY155</f>
        <v>0</v>
      </c>
      <c r="BI805" s="1109">
        <f t="shared" si="855"/>
        <v>0</v>
      </c>
      <c r="BJ805" s="1109">
        <f t="shared" si="855"/>
        <v>0</v>
      </c>
      <c r="BK805" s="1109">
        <f t="shared" si="855"/>
        <v>0</v>
      </c>
      <c r="BL805" s="1109">
        <f t="shared" si="855"/>
        <v>0</v>
      </c>
    </row>
    <row r="806" spans="2:64" hidden="1" outlineLevel="1">
      <c r="B806" s="1094"/>
      <c r="C806" s="1071" t="str">
        <f t="shared" ref="C806:F806" si="856">C459</f>
        <v>New Dublin Tower Equipment - Airspace redesign etc.</v>
      </c>
      <c r="D806" s="1071" t="str">
        <f t="shared" si="856"/>
        <v>New Dublin Tower</v>
      </c>
      <c r="E806" s="1071" t="str">
        <f t="shared" si="856"/>
        <v>R035A</v>
      </c>
      <c r="F806" s="1125" t="str">
        <f t="shared" si="856"/>
        <v>2021-2024</v>
      </c>
      <c r="H806" s="1071" t="s">
        <v>29</v>
      </c>
      <c r="J806" s="1071" t="s">
        <v>79</v>
      </c>
      <c r="BB806" s="1108"/>
      <c r="BC806" s="1109"/>
      <c r="BD806" s="1109"/>
      <c r="BE806" s="1109"/>
      <c r="BF806" s="1109"/>
      <c r="BG806" s="1109"/>
      <c r="BH806" s="1109">
        <f t="shared" ref="BH806:BL806" si="857">BH459*$AY156</f>
        <v>0</v>
      </c>
      <c r="BI806" s="1109">
        <f t="shared" si="857"/>
        <v>0</v>
      </c>
      <c r="BJ806" s="1109">
        <f t="shared" si="857"/>
        <v>0</v>
      </c>
      <c r="BK806" s="1109">
        <f t="shared" si="857"/>
        <v>0</v>
      </c>
      <c r="BL806" s="1109">
        <f t="shared" si="857"/>
        <v>0</v>
      </c>
    </row>
    <row r="807" spans="2:64" hidden="1" outlineLevel="1">
      <c r="B807" s="1094"/>
      <c r="C807" s="1071" t="str">
        <f t="shared" ref="C807:F807" si="858">C460</f>
        <v>New Dublin Tower Equipment - Communications Installations</v>
      </c>
      <c r="D807" s="1071" t="str">
        <f t="shared" si="858"/>
        <v>New Dublin Tower</v>
      </c>
      <c r="E807" s="1071" t="str">
        <f t="shared" si="858"/>
        <v>R035A</v>
      </c>
      <c r="F807" s="1125" t="str">
        <f t="shared" si="858"/>
        <v>2021-2024</v>
      </c>
      <c r="H807" s="1071" t="s">
        <v>29</v>
      </c>
      <c r="J807" s="1071" t="s">
        <v>79</v>
      </c>
      <c r="BB807" s="1108"/>
      <c r="BC807" s="1109"/>
      <c r="BD807" s="1109"/>
      <c r="BE807" s="1109"/>
      <c r="BF807" s="1109"/>
      <c r="BG807" s="1109"/>
      <c r="BH807" s="1109">
        <f t="shared" ref="BH807:BL807" si="859">BH460*$AY157</f>
        <v>0</v>
      </c>
      <c r="BI807" s="1109">
        <f t="shared" si="859"/>
        <v>0</v>
      </c>
      <c r="BJ807" s="1109">
        <f t="shared" si="859"/>
        <v>0</v>
      </c>
      <c r="BK807" s="1109">
        <f t="shared" si="859"/>
        <v>0</v>
      </c>
      <c r="BL807" s="1109">
        <f t="shared" si="859"/>
        <v>0</v>
      </c>
    </row>
    <row r="808" spans="2:64" hidden="1" outlineLevel="1">
      <c r="B808" s="1094"/>
      <c r="C808" s="1071" t="str">
        <f t="shared" ref="C808:F808" si="860">C461</f>
        <v>New Dublin Tower Equipment - IATS</v>
      </c>
      <c r="D808" s="1071" t="str">
        <f t="shared" si="860"/>
        <v>New Dublin Tower</v>
      </c>
      <c r="E808" s="1071" t="str">
        <f t="shared" si="860"/>
        <v>R035A</v>
      </c>
      <c r="F808" s="1125" t="str">
        <f t="shared" si="860"/>
        <v>2021-2024</v>
      </c>
      <c r="H808" s="1071" t="s">
        <v>29</v>
      </c>
      <c r="J808" s="1071" t="s">
        <v>79</v>
      </c>
      <c r="BB808" s="1108"/>
      <c r="BC808" s="1109"/>
      <c r="BD808" s="1109"/>
      <c r="BE808" s="1109"/>
      <c r="BF808" s="1109"/>
      <c r="BG808" s="1109"/>
      <c r="BH808" s="1109">
        <f t="shared" ref="BH808:BL808" si="861">BH461*$AY158</f>
        <v>0</v>
      </c>
      <c r="BI808" s="1109">
        <f t="shared" si="861"/>
        <v>0</v>
      </c>
      <c r="BJ808" s="1109">
        <f t="shared" si="861"/>
        <v>0</v>
      </c>
      <c r="BK808" s="1109">
        <f t="shared" si="861"/>
        <v>0</v>
      </c>
      <c r="BL808" s="1109">
        <f t="shared" si="861"/>
        <v>0</v>
      </c>
    </row>
    <row r="809" spans="2:64" hidden="1" outlineLevel="1">
      <c r="B809" s="1094"/>
      <c r="C809" s="1071" t="str">
        <f t="shared" ref="C809:F809" si="862">C462</f>
        <v>New Dublin Tower Equipment - Safety Case</v>
      </c>
      <c r="D809" s="1071" t="str">
        <f t="shared" si="862"/>
        <v>New Dublin Tower</v>
      </c>
      <c r="E809" s="1071" t="str">
        <f t="shared" si="862"/>
        <v>R035A</v>
      </c>
      <c r="F809" s="1125" t="str">
        <f t="shared" si="862"/>
        <v>2021-2024</v>
      </c>
      <c r="H809" s="1071" t="s">
        <v>29</v>
      </c>
      <c r="J809" s="1071" t="s">
        <v>79</v>
      </c>
      <c r="BB809" s="1108"/>
      <c r="BC809" s="1109"/>
      <c r="BD809" s="1109"/>
      <c r="BE809" s="1109"/>
      <c r="BF809" s="1109"/>
      <c r="BG809" s="1109"/>
      <c r="BH809" s="1109">
        <f t="shared" ref="BH809:BL809" si="863">BH462*$AY159</f>
        <v>0</v>
      </c>
      <c r="BI809" s="1109">
        <f t="shared" si="863"/>
        <v>0</v>
      </c>
      <c r="BJ809" s="1109">
        <f t="shared" si="863"/>
        <v>0</v>
      </c>
      <c r="BK809" s="1109">
        <f t="shared" si="863"/>
        <v>0</v>
      </c>
      <c r="BL809" s="1109">
        <f t="shared" si="863"/>
        <v>0</v>
      </c>
    </row>
    <row r="810" spans="2:64" hidden="1" outlineLevel="1">
      <c r="B810" s="1094"/>
      <c r="C810" s="1071" t="str">
        <f t="shared" ref="C810:F810" si="864">C463</f>
        <v>New Dublin Tower Equipment - ILS/IRVR Systems</v>
      </c>
      <c r="D810" s="1071" t="str">
        <f t="shared" si="864"/>
        <v>New Dublin Tower</v>
      </c>
      <c r="E810" s="1071" t="str">
        <f t="shared" si="864"/>
        <v>R035A</v>
      </c>
      <c r="F810" s="1125" t="str">
        <f t="shared" si="864"/>
        <v>2021-2024</v>
      </c>
      <c r="H810" s="1071" t="s">
        <v>29</v>
      </c>
      <c r="J810" s="1071" t="s">
        <v>79</v>
      </c>
      <c r="BB810" s="1108"/>
      <c r="BC810" s="1109"/>
      <c r="BD810" s="1109"/>
      <c r="BE810" s="1109"/>
      <c r="BF810" s="1109"/>
      <c r="BG810" s="1109"/>
      <c r="BH810" s="1109">
        <f t="shared" ref="BH810:BL810" si="865">BH463*$AY160</f>
        <v>0</v>
      </c>
      <c r="BI810" s="1109">
        <f t="shared" si="865"/>
        <v>0</v>
      </c>
      <c r="BJ810" s="1109">
        <f t="shared" si="865"/>
        <v>0</v>
      </c>
      <c r="BK810" s="1109">
        <f t="shared" si="865"/>
        <v>0</v>
      </c>
      <c r="BL810" s="1109">
        <f t="shared" si="865"/>
        <v>0</v>
      </c>
    </row>
    <row r="811" spans="2:64" hidden="1" outlineLevel="1">
      <c r="B811" s="1094"/>
      <c r="C811" s="1071" t="str">
        <f t="shared" ref="C811:F811" si="866">C464</f>
        <v>New Dublin Tower Equipment - Replacement ASMGCS &amp; GMR Tower</v>
      </c>
      <c r="D811" s="1071" t="str">
        <f t="shared" si="866"/>
        <v>New Dublin Tower</v>
      </c>
      <c r="E811" s="1071" t="str">
        <f t="shared" si="866"/>
        <v>R035A</v>
      </c>
      <c r="F811" s="1125" t="str">
        <f t="shared" si="866"/>
        <v>2021-2024</v>
      </c>
      <c r="H811" s="1071" t="s">
        <v>29</v>
      </c>
      <c r="J811" s="1071" t="s">
        <v>79</v>
      </c>
      <c r="BB811" s="1108"/>
      <c r="BC811" s="1109"/>
      <c r="BD811" s="1109"/>
      <c r="BE811" s="1109"/>
      <c r="BF811" s="1109"/>
      <c r="BG811" s="1109"/>
      <c r="BH811" s="1109">
        <f t="shared" ref="BH811:BL811" si="867">BH464*$AY161</f>
        <v>0</v>
      </c>
      <c r="BI811" s="1109">
        <f t="shared" si="867"/>
        <v>0</v>
      </c>
      <c r="BJ811" s="1109">
        <f t="shared" si="867"/>
        <v>0</v>
      </c>
      <c r="BK811" s="1109">
        <f t="shared" si="867"/>
        <v>0</v>
      </c>
      <c r="BL811" s="1109">
        <f t="shared" si="867"/>
        <v>0</v>
      </c>
    </row>
    <row r="812" spans="2:64" hidden="1" outlineLevel="1">
      <c r="B812" s="1094"/>
      <c r="C812" s="1071" t="str">
        <f t="shared" ref="C812:F812" si="868">C465</f>
        <v>New Dublin Tower Equipment - Infrastructure Changes (50% runway)</v>
      </c>
      <c r="D812" s="1071" t="str">
        <f t="shared" si="868"/>
        <v>New Dublin Tower</v>
      </c>
      <c r="E812" s="1071" t="str">
        <f t="shared" si="868"/>
        <v>R035A</v>
      </c>
      <c r="F812" s="1125" t="str">
        <f t="shared" si="868"/>
        <v>2021-2024</v>
      </c>
      <c r="H812" s="1071" t="s">
        <v>29</v>
      </c>
      <c r="J812" s="1071" t="s">
        <v>79</v>
      </c>
      <c r="BB812" s="1108"/>
      <c r="BC812" s="1109"/>
      <c r="BD812" s="1109"/>
      <c r="BE812" s="1109"/>
      <c r="BF812" s="1109"/>
      <c r="BG812" s="1109"/>
      <c r="BH812" s="1109">
        <f t="shared" ref="BH812:BL812" si="869">BH465*$AY162</f>
        <v>0</v>
      </c>
      <c r="BI812" s="1109">
        <f t="shared" si="869"/>
        <v>0</v>
      </c>
      <c r="BJ812" s="1109">
        <f t="shared" si="869"/>
        <v>0</v>
      </c>
      <c r="BK812" s="1109">
        <f t="shared" si="869"/>
        <v>0</v>
      </c>
      <c r="BL812" s="1109">
        <f t="shared" si="869"/>
        <v>0</v>
      </c>
    </row>
    <row r="813" spans="2:64" hidden="1" outlineLevel="1">
      <c r="B813" s="1094"/>
      <c r="C813" s="1071" t="str">
        <f t="shared" ref="C813:F813" si="870">C466</f>
        <v>New Dublin Tower Equipment - IAA Networks</v>
      </c>
      <c r="D813" s="1071" t="str">
        <f t="shared" si="870"/>
        <v>New Dublin Tower</v>
      </c>
      <c r="E813" s="1071" t="str">
        <f t="shared" si="870"/>
        <v>R035A</v>
      </c>
      <c r="F813" s="1125" t="str">
        <f t="shared" si="870"/>
        <v>2021-2024</v>
      </c>
      <c r="H813" s="1071" t="s">
        <v>29</v>
      </c>
      <c r="J813" s="1071" t="s">
        <v>79</v>
      </c>
      <c r="BB813" s="1108"/>
      <c r="BC813" s="1109"/>
      <c r="BD813" s="1109"/>
      <c r="BE813" s="1109"/>
      <c r="BF813" s="1109"/>
      <c r="BG813" s="1109"/>
      <c r="BH813" s="1109">
        <f t="shared" ref="BH813:BL813" si="871">BH466*$AY163</f>
        <v>0</v>
      </c>
      <c r="BI813" s="1109">
        <f t="shared" si="871"/>
        <v>0</v>
      </c>
      <c r="BJ813" s="1109">
        <f t="shared" si="871"/>
        <v>0</v>
      </c>
      <c r="BK813" s="1109">
        <f t="shared" si="871"/>
        <v>0</v>
      </c>
      <c r="BL813" s="1109">
        <f t="shared" si="871"/>
        <v>0</v>
      </c>
    </row>
    <row r="814" spans="2:64" hidden="1" outlineLevel="1">
      <c r="B814" s="1094"/>
      <c r="C814" s="1071" t="str">
        <f t="shared" ref="C814:F814" si="872">C467</f>
        <v>New Dublin Tower Equipment - ICT</v>
      </c>
      <c r="D814" s="1071" t="str">
        <f t="shared" si="872"/>
        <v>New Dublin Tower</v>
      </c>
      <c r="E814" s="1071" t="str">
        <f t="shared" si="872"/>
        <v>R035A</v>
      </c>
      <c r="F814" s="1125" t="str">
        <f t="shared" si="872"/>
        <v>2021-2024</v>
      </c>
      <c r="H814" s="1071" t="s">
        <v>29</v>
      </c>
      <c r="J814" s="1071" t="s">
        <v>79</v>
      </c>
      <c r="BB814" s="1108"/>
      <c r="BC814" s="1109"/>
      <c r="BD814" s="1109"/>
      <c r="BE814" s="1109"/>
      <c r="BF814" s="1109"/>
      <c r="BG814" s="1109"/>
      <c r="BH814" s="1109">
        <f t="shared" ref="BH814:BL814" si="873">BH467*$AY164</f>
        <v>0</v>
      </c>
      <c r="BI814" s="1109">
        <f t="shared" si="873"/>
        <v>0</v>
      </c>
      <c r="BJ814" s="1109">
        <f t="shared" si="873"/>
        <v>0</v>
      </c>
      <c r="BK814" s="1109">
        <f t="shared" si="873"/>
        <v>0</v>
      </c>
      <c r="BL814" s="1109">
        <f t="shared" si="873"/>
        <v>0</v>
      </c>
    </row>
    <row r="815" spans="2:64" hidden="1" outlineLevel="1">
      <c r="B815" s="1094"/>
      <c r="C815" s="1071" t="str">
        <f t="shared" ref="C815:F815" si="874">C468</f>
        <v>New Dublin Tower Equipment - Changes to Centralised Monitoring</v>
      </c>
      <c r="D815" s="1071" t="str">
        <f t="shared" si="874"/>
        <v>New Dublin Tower</v>
      </c>
      <c r="E815" s="1071" t="str">
        <f t="shared" si="874"/>
        <v>R035A</v>
      </c>
      <c r="F815" s="1125" t="str">
        <f t="shared" si="874"/>
        <v>2021-2024</v>
      </c>
      <c r="H815" s="1071" t="s">
        <v>29</v>
      </c>
      <c r="J815" s="1071" t="s">
        <v>79</v>
      </c>
      <c r="BB815" s="1108"/>
      <c r="BC815" s="1109"/>
      <c r="BD815" s="1109"/>
      <c r="BE815" s="1109"/>
      <c r="BF815" s="1109"/>
      <c r="BG815" s="1109"/>
      <c r="BH815" s="1109">
        <f t="shared" ref="BH815:BL815" si="875">BH468*$AY165</f>
        <v>0</v>
      </c>
      <c r="BI815" s="1109">
        <f t="shared" si="875"/>
        <v>0</v>
      </c>
      <c r="BJ815" s="1109">
        <f t="shared" si="875"/>
        <v>0</v>
      </c>
      <c r="BK815" s="1109">
        <f t="shared" si="875"/>
        <v>0</v>
      </c>
      <c r="BL815" s="1109">
        <f t="shared" si="875"/>
        <v>0</v>
      </c>
    </row>
    <row r="816" spans="2:64" hidden="1" outlineLevel="1">
      <c r="B816" s="1094"/>
      <c r="C816" s="1071" t="str">
        <f t="shared" ref="C816:F816" si="876">C469</f>
        <v>New Dublin Tower Equipment - M&amp;E/UPS/Cabling/Power</v>
      </c>
      <c r="D816" s="1071" t="str">
        <f t="shared" si="876"/>
        <v>New Dublin Tower</v>
      </c>
      <c r="E816" s="1071" t="str">
        <f t="shared" si="876"/>
        <v>R035A</v>
      </c>
      <c r="F816" s="1125" t="str">
        <f t="shared" si="876"/>
        <v>2021-2024</v>
      </c>
      <c r="H816" s="1071" t="s">
        <v>29</v>
      </c>
      <c r="J816" s="1071" t="s">
        <v>79</v>
      </c>
      <c r="BB816" s="1108"/>
      <c r="BC816" s="1109"/>
      <c r="BD816" s="1109"/>
      <c r="BE816" s="1109"/>
      <c r="BF816" s="1109"/>
      <c r="BG816" s="1109"/>
      <c r="BH816" s="1109">
        <f t="shared" ref="BH816:BL816" si="877">BH469*$AY166</f>
        <v>0</v>
      </c>
      <c r="BI816" s="1109">
        <f t="shared" si="877"/>
        <v>0</v>
      </c>
      <c r="BJ816" s="1109">
        <f t="shared" si="877"/>
        <v>0</v>
      </c>
      <c r="BK816" s="1109">
        <f t="shared" si="877"/>
        <v>0</v>
      </c>
      <c r="BL816" s="1109">
        <f t="shared" si="877"/>
        <v>0</v>
      </c>
    </row>
    <row r="817" spans="2:64" hidden="1" outlineLevel="1">
      <c r="B817" s="1094"/>
      <c r="C817" s="1071" t="str">
        <f t="shared" ref="C817:F817" si="878">C470</f>
        <v>COOPANS Build 3 Dublin</v>
      </c>
      <c r="D817" s="1071" t="str">
        <f t="shared" si="878"/>
        <v>COOPANS</v>
      </c>
      <c r="E817" s="1071" t="str">
        <f t="shared" si="878"/>
        <v>L001A</v>
      </c>
      <c r="F817" s="1125" t="str">
        <f t="shared" si="878"/>
        <v>2021-2024</v>
      </c>
      <c r="H817" s="1071" t="s">
        <v>29</v>
      </c>
      <c r="J817" s="1071" t="s">
        <v>79</v>
      </c>
      <c r="BB817" s="1108"/>
      <c r="BC817" s="1109"/>
      <c r="BD817" s="1109"/>
      <c r="BE817" s="1109"/>
      <c r="BF817" s="1109"/>
      <c r="BG817" s="1109"/>
      <c r="BH817" s="1109">
        <f t="shared" ref="BH817:BL817" si="879">BH470*$AY167</f>
        <v>0</v>
      </c>
      <c r="BI817" s="1109">
        <f t="shared" si="879"/>
        <v>14.685879221732737</v>
      </c>
      <c r="BJ817" s="1109">
        <f t="shared" si="879"/>
        <v>29.371758443465495</v>
      </c>
      <c r="BK817" s="1109">
        <f t="shared" si="879"/>
        <v>29.371758443465495</v>
      </c>
      <c r="BL817" s="1109">
        <f t="shared" si="879"/>
        <v>29.371758443465495</v>
      </c>
    </row>
    <row r="818" spans="2:64" hidden="1" outlineLevel="1">
      <c r="B818" s="1094"/>
      <c r="C818" s="1071" t="str">
        <f t="shared" ref="C818:F818" si="880">C471</f>
        <v>COOPANS Build 3 Shannon</v>
      </c>
      <c r="D818" s="1071" t="str">
        <f t="shared" si="880"/>
        <v>COOPANS</v>
      </c>
      <c r="E818" s="1071" t="str">
        <f t="shared" si="880"/>
        <v>L001A</v>
      </c>
      <c r="F818" s="1125" t="str">
        <f t="shared" si="880"/>
        <v>2021-2024</v>
      </c>
      <c r="H818" s="1071" t="s">
        <v>29</v>
      </c>
      <c r="J818" s="1071" t="s">
        <v>79</v>
      </c>
      <c r="BB818" s="1108"/>
      <c r="BC818" s="1109"/>
      <c r="BD818" s="1109"/>
      <c r="BE818" s="1109"/>
      <c r="BF818" s="1109"/>
      <c r="BG818" s="1109"/>
      <c r="BH818" s="1109">
        <f t="shared" ref="BH818:BL818" si="881">BH471*$AY168</f>
        <v>0</v>
      </c>
      <c r="BI818" s="1109">
        <f t="shared" si="881"/>
        <v>27.273775697503645</v>
      </c>
      <c r="BJ818" s="1109">
        <f t="shared" si="881"/>
        <v>54.547551395007282</v>
      </c>
      <c r="BK818" s="1109">
        <f t="shared" si="881"/>
        <v>54.547551395007282</v>
      </c>
      <c r="BL818" s="1109">
        <f t="shared" si="881"/>
        <v>54.547551395007282</v>
      </c>
    </row>
    <row r="819" spans="2:64" hidden="1" outlineLevel="1">
      <c r="B819" s="1094"/>
      <c r="C819" s="1071" t="str">
        <f t="shared" ref="C819:F819" si="882">C472</f>
        <v>COOPANS Build 3.6 Onwards Dublin</v>
      </c>
      <c r="D819" s="1071" t="str">
        <f t="shared" si="882"/>
        <v>COOPANS</v>
      </c>
      <c r="E819" s="1071" t="str">
        <f t="shared" si="882"/>
        <v>R001</v>
      </c>
      <c r="F819" s="1125" t="str">
        <f t="shared" si="882"/>
        <v>2021-2024</v>
      </c>
      <c r="H819" s="1071" t="s">
        <v>29</v>
      </c>
      <c r="J819" s="1071" t="s">
        <v>79</v>
      </c>
      <c r="BB819" s="1108"/>
      <c r="BC819" s="1109"/>
      <c r="BD819" s="1109"/>
      <c r="BE819" s="1109"/>
      <c r="BF819" s="1109"/>
      <c r="BG819" s="1109"/>
      <c r="BH819" s="1109">
        <f t="shared" ref="BH819:BL819" si="883">BH472*$AY169</f>
        <v>0</v>
      </c>
      <c r="BI819" s="1109">
        <f t="shared" si="883"/>
        <v>34.560827571127028</v>
      </c>
      <c r="BJ819" s="1109">
        <f t="shared" si="883"/>
        <v>122.81725791116008</v>
      </c>
      <c r="BK819" s="1109">
        <f t="shared" si="883"/>
        <v>162.13283243392073</v>
      </c>
      <c r="BL819" s="1109">
        <f t="shared" si="883"/>
        <v>162.13283243392073</v>
      </c>
    </row>
    <row r="820" spans="2:64" hidden="1" outlineLevel="1">
      <c r="B820" s="1094"/>
      <c r="C820" s="1071" t="str">
        <f t="shared" ref="C820:F820" si="884">C473</f>
        <v>COOPANS Build 3.6 Onwards Shannon</v>
      </c>
      <c r="D820" s="1071" t="str">
        <f t="shared" si="884"/>
        <v>COOPANS</v>
      </c>
      <c r="E820" s="1071" t="str">
        <f t="shared" si="884"/>
        <v>R001A</v>
      </c>
      <c r="F820" s="1125" t="str">
        <f t="shared" si="884"/>
        <v>2021-2024</v>
      </c>
      <c r="H820" s="1071" t="s">
        <v>29</v>
      </c>
      <c r="J820" s="1071" t="s">
        <v>79</v>
      </c>
      <c r="BB820" s="1108"/>
      <c r="BC820" s="1109"/>
      <c r="BD820" s="1109"/>
      <c r="BE820" s="1109"/>
      <c r="BF820" s="1109"/>
      <c r="BG820" s="1109"/>
      <c r="BH820" s="1109">
        <f t="shared" ref="BH820:BL820" si="885">BH473*$AY170</f>
        <v>0</v>
      </c>
      <c r="BI820" s="1109">
        <f t="shared" si="885"/>
        <v>64.184394060664474</v>
      </c>
      <c r="BJ820" s="1109">
        <f t="shared" si="885"/>
        <v>228.08919326358296</v>
      </c>
      <c r="BK820" s="1109">
        <f t="shared" si="885"/>
        <v>301.10383166299562</v>
      </c>
      <c r="BL820" s="1109">
        <f t="shared" si="885"/>
        <v>301.10383166299562</v>
      </c>
    </row>
    <row r="821" spans="2:64" hidden="1" outlineLevel="1">
      <c r="B821" s="1094"/>
      <c r="C821" s="1071" t="str">
        <f t="shared" ref="C821:F821" si="886">C474</f>
        <v>COOPANS 2019 Roadmap Builds</v>
      </c>
      <c r="D821" s="1071" t="str">
        <f t="shared" si="886"/>
        <v>COOPANS</v>
      </c>
      <c r="E821" s="1071" t="str">
        <f t="shared" si="886"/>
        <v>U002</v>
      </c>
      <c r="F821" s="1125" t="str">
        <f t="shared" si="886"/>
        <v>2021-2024</v>
      </c>
      <c r="H821" s="1071" t="s">
        <v>29</v>
      </c>
      <c r="J821" s="1071" t="s">
        <v>79</v>
      </c>
      <c r="BB821" s="1108"/>
      <c r="BC821" s="1109"/>
      <c r="BD821" s="1109"/>
      <c r="BE821" s="1109"/>
      <c r="BF821" s="1109"/>
      <c r="BG821" s="1109"/>
      <c r="BH821" s="1109">
        <f t="shared" ref="BH821:BL821" si="887">BH474*$AY171</f>
        <v>0</v>
      </c>
      <c r="BI821" s="1109">
        <f t="shared" si="887"/>
        <v>0</v>
      </c>
      <c r="BJ821" s="1109">
        <f t="shared" si="887"/>
        <v>0</v>
      </c>
      <c r="BK821" s="1109">
        <f t="shared" si="887"/>
        <v>0</v>
      </c>
      <c r="BL821" s="1109">
        <f t="shared" si="887"/>
        <v>0</v>
      </c>
    </row>
    <row r="822" spans="2:64" hidden="1" outlineLevel="1">
      <c r="B822" s="1094"/>
      <c r="C822" s="1071" t="str">
        <f t="shared" ref="C822:F822" si="888">C475</f>
        <v>COOPANS 2019 Roadmap Builds Dub</v>
      </c>
      <c r="D822" s="1071" t="str">
        <f t="shared" si="888"/>
        <v>COOPANS</v>
      </c>
      <c r="E822" s="1071" t="str">
        <f t="shared" si="888"/>
        <v>U002A</v>
      </c>
      <c r="F822" s="1125" t="str">
        <f t="shared" si="888"/>
        <v>2021-2024</v>
      </c>
      <c r="H822" s="1071" t="s">
        <v>29</v>
      </c>
      <c r="J822" s="1071" t="s">
        <v>79</v>
      </c>
      <c r="BB822" s="1108"/>
      <c r="BC822" s="1109"/>
      <c r="BD822" s="1109"/>
      <c r="BE822" s="1109"/>
      <c r="BF822" s="1109"/>
      <c r="BG822" s="1109"/>
      <c r="BH822" s="1109">
        <f t="shared" ref="BH822:BL822" si="889">BH475*$AY172</f>
        <v>0</v>
      </c>
      <c r="BI822" s="1109">
        <f t="shared" si="889"/>
        <v>0</v>
      </c>
      <c r="BJ822" s="1109">
        <f t="shared" si="889"/>
        <v>0</v>
      </c>
      <c r="BK822" s="1109">
        <f t="shared" si="889"/>
        <v>12.097099853157122</v>
      </c>
      <c r="BL822" s="1109">
        <f t="shared" si="889"/>
        <v>48.388399412628488</v>
      </c>
    </row>
    <row r="823" spans="2:64" hidden="1" outlineLevel="1">
      <c r="B823" s="1094"/>
      <c r="C823" s="1071" t="str">
        <f t="shared" ref="C823:F823" si="890">C476</f>
        <v>COOPANS 2019 Roadmap Builds Shn</v>
      </c>
      <c r="D823" s="1071" t="str">
        <f t="shared" si="890"/>
        <v>COOPANS</v>
      </c>
      <c r="E823" s="1071" t="str">
        <f t="shared" si="890"/>
        <v>U002A</v>
      </c>
      <c r="F823" s="1125" t="str">
        <f t="shared" si="890"/>
        <v>2021-2024</v>
      </c>
      <c r="H823" s="1071" t="s">
        <v>29</v>
      </c>
      <c r="J823" s="1071" t="s">
        <v>79</v>
      </c>
      <c r="BB823" s="1108"/>
      <c r="BC823" s="1109"/>
      <c r="BD823" s="1109"/>
      <c r="BE823" s="1109"/>
      <c r="BF823" s="1109"/>
      <c r="BG823" s="1109"/>
      <c r="BH823" s="1109">
        <f t="shared" ref="BH823:BL823" si="891">BH476*$AY173</f>
        <v>0</v>
      </c>
      <c r="BI823" s="1109">
        <f t="shared" si="891"/>
        <v>0</v>
      </c>
      <c r="BJ823" s="1109">
        <f t="shared" si="891"/>
        <v>0</v>
      </c>
      <c r="BK823" s="1109">
        <f t="shared" si="891"/>
        <v>0</v>
      </c>
      <c r="BL823" s="1109">
        <f t="shared" si="891"/>
        <v>89.864170337738628</v>
      </c>
    </row>
    <row r="824" spans="2:64" hidden="1" outlineLevel="1">
      <c r="B824" s="1094"/>
      <c r="C824" s="1071" t="str">
        <f t="shared" ref="C824:F824" si="892">C477</f>
        <v>SWIM Enabling project</v>
      </c>
      <c r="D824" s="1071" t="str">
        <f t="shared" si="892"/>
        <v>COOPANS</v>
      </c>
      <c r="E824" s="1071" t="str">
        <f t="shared" si="892"/>
        <v>S001</v>
      </c>
      <c r="F824" s="1125" t="str">
        <f t="shared" si="892"/>
        <v>2021-2024</v>
      </c>
      <c r="H824" s="1071" t="s">
        <v>29</v>
      </c>
      <c r="J824" s="1071" t="s">
        <v>79</v>
      </c>
      <c r="BB824" s="1108"/>
      <c r="BC824" s="1109"/>
      <c r="BD824" s="1109"/>
      <c r="BE824" s="1109"/>
      <c r="BF824" s="1109"/>
      <c r="BG824" s="1109"/>
      <c r="BH824" s="1109">
        <f t="shared" ref="BH824:BL824" si="893">BH477*$AY174</f>
        <v>0</v>
      </c>
      <c r="BI824" s="1109">
        <f t="shared" si="893"/>
        <v>0</v>
      </c>
      <c r="BJ824" s="1109">
        <f t="shared" si="893"/>
        <v>0</v>
      </c>
      <c r="BK824" s="1109">
        <f t="shared" si="893"/>
        <v>0</v>
      </c>
      <c r="BL824" s="1109">
        <f t="shared" si="893"/>
        <v>20.73788546255507</v>
      </c>
    </row>
    <row r="825" spans="2:64" hidden="1" outlineLevel="1">
      <c r="B825" s="1094"/>
      <c r="C825" s="1071" t="str">
        <f t="shared" ref="C825:F825" si="894">C478</f>
        <v>Emergency Air Situation Display System (DUB)</v>
      </c>
      <c r="D825" s="1071" t="str">
        <f t="shared" si="894"/>
        <v>Emergency Air Situation Display System</v>
      </c>
      <c r="E825" s="1071" t="str">
        <f t="shared" si="894"/>
        <v>U003</v>
      </c>
      <c r="F825" s="1125" t="str">
        <f t="shared" si="894"/>
        <v>2021-2024</v>
      </c>
      <c r="H825" s="1071" t="s">
        <v>29</v>
      </c>
      <c r="J825" s="1071" t="s">
        <v>79</v>
      </c>
      <c r="BB825" s="1108"/>
      <c r="BC825" s="1109"/>
      <c r="BD825" s="1109"/>
      <c r="BE825" s="1109"/>
      <c r="BF825" s="1109"/>
      <c r="BG825" s="1109"/>
      <c r="BH825" s="1109">
        <f t="shared" ref="BH825:BL825" si="895">BH478*$AY175</f>
        <v>0</v>
      </c>
      <c r="BI825" s="1109">
        <f t="shared" si="895"/>
        <v>0</v>
      </c>
      <c r="BJ825" s="1109">
        <f t="shared" si="895"/>
        <v>0</v>
      </c>
      <c r="BK825" s="1109">
        <f t="shared" si="895"/>
        <v>118.125</v>
      </c>
      <c r="BL825" s="1109">
        <f t="shared" si="895"/>
        <v>157.5</v>
      </c>
    </row>
    <row r="826" spans="2:64" hidden="1" outlineLevel="1">
      <c r="B826" s="1094"/>
      <c r="C826" s="1071" t="str">
        <f t="shared" ref="C826:F826" si="896">C479</f>
        <v>Emergency Air Situation Display System (SHN)</v>
      </c>
      <c r="D826" s="1071" t="str">
        <f t="shared" si="896"/>
        <v>Emergency Air Situation Display System</v>
      </c>
      <c r="E826" s="1071" t="str">
        <f t="shared" si="896"/>
        <v>U003A</v>
      </c>
      <c r="F826" s="1125" t="str">
        <f t="shared" si="896"/>
        <v>2021-2024</v>
      </c>
      <c r="H826" s="1071" t="s">
        <v>29</v>
      </c>
      <c r="J826" s="1071" t="s">
        <v>79</v>
      </c>
      <c r="BB826" s="1108"/>
      <c r="BC826" s="1109"/>
      <c r="BD826" s="1109"/>
      <c r="BE826" s="1109"/>
      <c r="BF826" s="1109"/>
      <c r="BG826" s="1109"/>
      <c r="BH826" s="1109">
        <f t="shared" ref="BH826:BL826" si="897">BH479*$AY176</f>
        <v>0</v>
      </c>
      <c r="BI826" s="1109">
        <f t="shared" si="897"/>
        <v>0</v>
      </c>
      <c r="BJ826" s="1109">
        <f t="shared" si="897"/>
        <v>73.125</v>
      </c>
      <c r="BK826" s="1109">
        <f t="shared" si="897"/>
        <v>292.5</v>
      </c>
      <c r="BL826" s="1109">
        <f t="shared" si="897"/>
        <v>292.5</v>
      </c>
    </row>
    <row r="827" spans="2:64" hidden="1" outlineLevel="1">
      <c r="B827" s="1094"/>
      <c r="C827" s="1071" t="str">
        <f t="shared" ref="C827:F827" si="898">C480</f>
        <v>Emergency Air Situation Display System Simulator (SHN)</v>
      </c>
      <c r="D827" s="1071" t="str">
        <f t="shared" si="898"/>
        <v>Emergency Air Situation Display System</v>
      </c>
      <c r="E827" s="1071" t="str">
        <f t="shared" si="898"/>
        <v>U003A</v>
      </c>
      <c r="F827" s="1125" t="str">
        <f t="shared" si="898"/>
        <v>2021-2024</v>
      </c>
      <c r="H827" s="1071" t="s">
        <v>29</v>
      </c>
      <c r="J827" s="1071" t="s">
        <v>79</v>
      </c>
      <c r="BB827" s="1108"/>
      <c r="BC827" s="1109"/>
      <c r="BD827" s="1109"/>
      <c r="BE827" s="1109"/>
      <c r="BF827" s="1109"/>
      <c r="BG827" s="1109"/>
      <c r="BH827" s="1109">
        <f t="shared" ref="BH827:BL827" si="899">BH480*$AY177</f>
        <v>0</v>
      </c>
      <c r="BI827" s="1109">
        <f t="shared" si="899"/>
        <v>0</v>
      </c>
      <c r="BJ827" s="1109">
        <f t="shared" si="899"/>
        <v>14.0625</v>
      </c>
      <c r="BK827" s="1109">
        <f t="shared" si="899"/>
        <v>56.25</v>
      </c>
      <c r="BL827" s="1109">
        <f t="shared" si="899"/>
        <v>56.25</v>
      </c>
    </row>
    <row r="828" spans="2:64" hidden="1" outlineLevel="1">
      <c r="B828" s="1094"/>
      <c r="C828" s="1071" t="str">
        <f t="shared" ref="C828:F828" si="900">C481</f>
        <v>Emergency Air Situation Display System Simulator (DUB)</v>
      </c>
      <c r="D828" s="1071" t="str">
        <f t="shared" si="900"/>
        <v>Emergency Air Situation Display System</v>
      </c>
      <c r="E828" s="1071" t="str">
        <f t="shared" si="900"/>
        <v>U003A</v>
      </c>
      <c r="F828" s="1125" t="str">
        <f t="shared" si="900"/>
        <v>2021-2024</v>
      </c>
      <c r="H828" s="1071" t="s">
        <v>29</v>
      </c>
      <c r="J828" s="1071" t="s">
        <v>79</v>
      </c>
      <c r="BB828" s="1108"/>
      <c r="BC828" s="1109"/>
      <c r="BD828" s="1109"/>
      <c r="BE828" s="1109"/>
      <c r="BF828" s="1109"/>
      <c r="BG828" s="1109"/>
      <c r="BH828" s="1109">
        <f t="shared" ref="BH828:BL828" si="901">BH481*$AY178</f>
        <v>0</v>
      </c>
      <c r="BI828" s="1109">
        <f t="shared" si="901"/>
        <v>0</v>
      </c>
      <c r="BJ828" s="1109">
        <f t="shared" si="901"/>
        <v>0</v>
      </c>
      <c r="BK828" s="1109">
        <f t="shared" si="901"/>
        <v>42.1875</v>
      </c>
      <c r="BL828" s="1109">
        <f t="shared" si="901"/>
        <v>56.25</v>
      </c>
    </row>
    <row r="829" spans="2:64" hidden="1" outlineLevel="1">
      <c r="B829" s="1094"/>
      <c r="C829" s="1071" t="str">
        <f t="shared" ref="C829:F829" si="902">C482</f>
        <v>NAV Aids Replacement Programme</v>
      </c>
      <c r="D829" s="1071" t="str">
        <f t="shared" si="902"/>
        <v>NAV Aids Replacement Programme</v>
      </c>
      <c r="E829" s="1071" t="str">
        <f t="shared" si="902"/>
        <v>R005</v>
      </c>
      <c r="F829" s="1125" t="str">
        <f t="shared" si="902"/>
        <v>2021-2024</v>
      </c>
      <c r="H829" s="1071" t="s">
        <v>29</v>
      </c>
      <c r="J829" s="1071" t="s">
        <v>79</v>
      </c>
      <c r="BB829" s="1108"/>
      <c r="BC829" s="1109"/>
      <c r="BD829" s="1109"/>
      <c r="BE829" s="1109"/>
      <c r="BF829" s="1109"/>
      <c r="BG829" s="1109"/>
      <c r="BH829" s="1109">
        <f t="shared" ref="BH829:BL829" si="903">BH482*$AY179</f>
        <v>0</v>
      </c>
      <c r="BI829" s="1109">
        <f t="shared" si="903"/>
        <v>0</v>
      </c>
      <c r="BJ829" s="1109">
        <f t="shared" si="903"/>
        <v>0</v>
      </c>
      <c r="BK829" s="1109">
        <f t="shared" si="903"/>
        <v>0</v>
      </c>
      <c r="BL829" s="1109">
        <f t="shared" si="903"/>
        <v>0</v>
      </c>
    </row>
    <row r="830" spans="2:64" hidden="1" outlineLevel="1">
      <c r="B830" s="1094"/>
      <c r="C830" s="1071" t="str">
        <f t="shared" ref="C830:F830" si="904">C483</f>
        <v>NAV Aids Replacement Programme Dublin ILS (3rd)</v>
      </c>
      <c r="D830" s="1071" t="str">
        <f t="shared" si="904"/>
        <v>NAV Aids Replacement Programme</v>
      </c>
      <c r="E830" s="1071" t="str">
        <f t="shared" si="904"/>
        <v>R005A</v>
      </c>
      <c r="F830" s="1125" t="str">
        <f t="shared" si="904"/>
        <v>2021-2024</v>
      </c>
      <c r="H830" s="1071" t="s">
        <v>29</v>
      </c>
      <c r="J830" s="1071" t="s">
        <v>79</v>
      </c>
      <c r="BB830" s="1108"/>
      <c r="BC830" s="1109"/>
      <c r="BD830" s="1109"/>
      <c r="BE830" s="1109"/>
      <c r="BF830" s="1109"/>
      <c r="BG830" s="1109"/>
      <c r="BH830" s="1109">
        <f t="shared" ref="BH830:BL830" si="905">BH483*$AY180</f>
        <v>0</v>
      </c>
      <c r="BI830" s="1109">
        <f t="shared" si="905"/>
        <v>0</v>
      </c>
      <c r="BJ830" s="1109">
        <f t="shared" si="905"/>
        <v>0</v>
      </c>
      <c r="BK830" s="1109">
        <f t="shared" si="905"/>
        <v>0</v>
      </c>
      <c r="BL830" s="1109">
        <f t="shared" si="905"/>
        <v>0</v>
      </c>
    </row>
    <row r="831" spans="2:64" hidden="1" outlineLevel="1">
      <c r="B831" s="1094"/>
      <c r="C831" s="1071" t="str">
        <f t="shared" ref="C831:F831" si="906">C484</f>
        <v>NAV Aids Replacement Programme Shannon ILS (1st)</v>
      </c>
      <c r="D831" s="1071" t="str">
        <f t="shared" si="906"/>
        <v>NAV Aids Replacement Programme</v>
      </c>
      <c r="E831" s="1071" t="str">
        <f t="shared" si="906"/>
        <v>R005A</v>
      </c>
      <c r="F831" s="1125" t="str">
        <f t="shared" si="906"/>
        <v>2021-2024</v>
      </c>
      <c r="H831" s="1071" t="s">
        <v>29</v>
      </c>
      <c r="J831" s="1071" t="s">
        <v>79</v>
      </c>
      <c r="BB831" s="1108"/>
      <c r="BC831" s="1109"/>
      <c r="BD831" s="1109"/>
      <c r="BE831" s="1109"/>
      <c r="BF831" s="1109"/>
      <c r="BG831" s="1109"/>
      <c r="BH831" s="1109">
        <f t="shared" ref="BH831:BL831" si="907">BH484*$AY181</f>
        <v>0</v>
      </c>
      <c r="BI831" s="1109">
        <f t="shared" si="907"/>
        <v>0</v>
      </c>
      <c r="BJ831" s="1109">
        <f t="shared" si="907"/>
        <v>0</v>
      </c>
      <c r="BK831" s="1109">
        <f t="shared" si="907"/>
        <v>0</v>
      </c>
      <c r="BL831" s="1109">
        <f t="shared" si="907"/>
        <v>0</v>
      </c>
    </row>
    <row r="832" spans="2:64" hidden="1" outlineLevel="1">
      <c r="B832" s="1094"/>
      <c r="C832" s="1071" t="str">
        <f t="shared" ref="C832:F832" si="908">C485</f>
        <v>NAV Aids Replacement Programme Cork ILS (2nd)</v>
      </c>
      <c r="D832" s="1071" t="str">
        <f t="shared" si="908"/>
        <v>NAV Aids Replacement Programme</v>
      </c>
      <c r="E832" s="1071" t="str">
        <f t="shared" si="908"/>
        <v>R005A</v>
      </c>
      <c r="F832" s="1125" t="str">
        <f t="shared" si="908"/>
        <v>2021-2024</v>
      </c>
      <c r="H832" s="1071" t="s">
        <v>29</v>
      </c>
      <c r="J832" s="1071" t="s">
        <v>79</v>
      </c>
      <c r="BB832" s="1108"/>
      <c r="BC832" s="1109"/>
      <c r="BD832" s="1109"/>
      <c r="BE832" s="1109"/>
      <c r="BF832" s="1109"/>
      <c r="BG832" s="1109"/>
      <c r="BH832" s="1109">
        <f t="shared" ref="BH832:BL832" si="909">BH485*$AY182</f>
        <v>0</v>
      </c>
      <c r="BI832" s="1109">
        <f t="shared" si="909"/>
        <v>0</v>
      </c>
      <c r="BJ832" s="1109">
        <f t="shared" si="909"/>
        <v>0</v>
      </c>
      <c r="BK832" s="1109">
        <f t="shared" si="909"/>
        <v>0</v>
      </c>
      <c r="BL832" s="1109">
        <f t="shared" si="909"/>
        <v>0</v>
      </c>
    </row>
    <row r="833" spans="2:64" hidden="1" outlineLevel="1">
      <c r="B833" s="1094"/>
      <c r="C833" s="1071" t="str">
        <f t="shared" ref="C833:F833" si="910">C486</f>
        <v>NAV Aids Replacement Programme Dublin IRVR</v>
      </c>
      <c r="D833" s="1071" t="str">
        <f t="shared" si="910"/>
        <v>NAV Aids Replacement Programme</v>
      </c>
      <c r="E833" s="1071" t="str">
        <f t="shared" si="910"/>
        <v>R005A</v>
      </c>
      <c r="F833" s="1125" t="str">
        <f t="shared" si="910"/>
        <v>2021-2024</v>
      </c>
      <c r="H833" s="1071" t="s">
        <v>29</v>
      </c>
      <c r="J833" s="1071" t="s">
        <v>79</v>
      </c>
      <c r="BB833" s="1108"/>
      <c r="BC833" s="1109"/>
      <c r="BD833" s="1109"/>
      <c r="BE833" s="1109"/>
      <c r="BF833" s="1109"/>
      <c r="BG833" s="1109"/>
      <c r="BH833" s="1109">
        <f t="shared" ref="BH833:BL833" si="911">BH486*$AY183</f>
        <v>0</v>
      </c>
      <c r="BI833" s="1109">
        <f t="shared" si="911"/>
        <v>0</v>
      </c>
      <c r="BJ833" s="1109">
        <f t="shared" si="911"/>
        <v>0</v>
      </c>
      <c r="BK833" s="1109">
        <f t="shared" si="911"/>
        <v>0</v>
      </c>
      <c r="BL833" s="1109">
        <f t="shared" si="911"/>
        <v>0</v>
      </c>
    </row>
    <row r="834" spans="2:64" hidden="1" outlineLevel="1">
      <c r="B834" s="1094"/>
      <c r="C834" s="1071" t="str">
        <f t="shared" ref="C834:F834" si="912">C487</f>
        <v>NAV Aids Replacement Programme Shannon IRVR</v>
      </c>
      <c r="D834" s="1071" t="str">
        <f t="shared" si="912"/>
        <v>NAV Aids Replacement Programme</v>
      </c>
      <c r="E834" s="1071" t="str">
        <f t="shared" si="912"/>
        <v>R005A</v>
      </c>
      <c r="F834" s="1125" t="str">
        <f t="shared" si="912"/>
        <v>2021-2024</v>
      </c>
      <c r="H834" s="1071" t="s">
        <v>29</v>
      </c>
      <c r="J834" s="1071" t="s">
        <v>79</v>
      </c>
      <c r="BB834" s="1108"/>
      <c r="BC834" s="1109"/>
      <c r="BD834" s="1109"/>
      <c r="BE834" s="1109"/>
      <c r="BF834" s="1109"/>
      <c r="BG834" s="1109"/>
      <c r="BH834" s="1109">
        <f t="shared" ref="BH834:BL834" si="913">BH487*$AY184</f>
        <v>0</v>
      </c>
      <c r="BI834" s="1109">
        <f t="shared" si="913"/>
        <v>0</v>
      </c>
      <c r="BJ834" s="1109">
        <f t="shared" si="913"/>
        <v>0</v>
      </c>
      <c r="BK834" s="1109">
        <f t="shared" si="913"/>
        <v>0</v>
      </c>
      <c r="BL834" s="1109">
        <f t="shared" si="913"/>
        <v>0</v>
      </c>
    </row>
    <row r="835" spans="2:64" hidden="1" outlineLevel="1">
      <c r="B835" s="1094"/>
      <c r="C835" s="1071" t="str">
        <f t="shared" ref="C835:F835" si="914">C488</f>
        <v>NAV Aids Replacement Programme Cork IRVR</v>
      </c>
      <c r="D835" s="1071" t="str">
        <f t="shared" si="914"/>
        <v>NAV Aids Replacement Programme</v>
      </c>
      <c r="E835" s="1071" t="str">
        <f t="shared" si="914"/>
        <v>R005A</v>
      </c>
      <c r="F835" s="1125" t="str">
        <f t="shared" si="914"/>
        <v>2021-2024</v>
      </c>
      <c r="H835" s="1071" t="s">
        <v>29</v>
      </c>
      <c r="J835" s="1071" t="s">
        <v>79</v>
      </c>
      <c r="BB835" s="1108"/>
      <c r="BC835" s="1109"/>
      <c r="BD835" s="1109"/>
      <c r="BE835" s="1109"/>
      <c r="BF835" s="1109"/>
      <c r="BG835" s="1109"/>
      <c r="BH835" s="1109">
        <f t="shared" ref="BH835:BL835" si="915">BH488*$AY185</f>
        <v>0</v>
      </c>
      <c r="BI835" s="1109">
        <f t="shared" si="915"/>
        <v>0</v>
      </c>
      <c r="BJ835" s="1109">
        <f t="shared" si="915"/>
        <v>0</v>
      </c>
      <c r="BK835" s="1109">
        <f t="shared" si="915"/>
        <v>0</v>
      </c>
      <c r="BL835" s="1109">
        <f t="shared" si="915"/>
        <v>0</v>
      </c>
    </row>
    <row r="836" spans="2:64" hidden="1" outlineLevel="1">
      <c r="B836" s="1094"/>
      <c r="C836" s="1071" t="str">
        <f t="shared" ref="C836:F836" si="916">C489</f>
        <v>Plant &amp; Equipment upgrades (Chillers, AC etc.)</v>
      </c>
      <c r="D836" s="1071" t="str">
        <f t="shared" si="916"/>
        <v>Plant &amp; Equipment upgrades</v>
      </c>
      <c r="E836" s="1071" t="str">
        <f t="shared" si="916"/>
        <v>RP3-PROP-3</v>
      </c>
      <c r="F836" s="1125" t="str">
        <f t="shared" si="916"/>
        <v>2021-2024</v>
      </c>
      <c r="H836" s="1071" t="s">
        <v>29</v>
      </c>
      <c r="J836" s="1071" t="s">
        <v>79</v>
      </c>
      <c r="BB836" s="1108"/>
      <c r="BC836" s="1109"/>
      <c r="BD836" s="1109"/>
      <c r="BE836" s="1109"/>
      <c r="BF836" s="1109"/>
      <c r="BG836" s="1109"/>
      <c r="BH836" s="1109">
        <f t="shared" ref="BH836:BL836" si="917">BH489*$AY186</f>
        <v>0</v>
      </c>
      <c r="BI836" s="1109">
        <f t="shared" si="917"/>
        <v>0</v>
      </c>
      <c r="BJ836" s="1109">
        <f t="shared" si="917"/>
        <v>0</v>
      </c>
      <c r="BK836" s="1109">
        <f t="shared" si="917"/>
        <v>0</v>
      </c>
      <c r="BL836" s="1109">
        <f t="shared" si="917"/>
        <v>0</v>
      </c>
    </row>
    <row r="837" spans="2:64" hidden="1" outlineLevel="1">
      <c r="B837" s="1094"/>
      <c r="C837" s="1071" t="str">
        <f t="shared" ref="C837:F837" si="918">C490</f>
        <v>Plant &amp; Equipment upgrades Shannon En Route</v>
      </c>
      <c r="D837" s="1071" t="str">
        <f t="shared" si="918"/>
        <v>Plant &amp; Equipment upgrades</v>
      </c>
      <c r="E837" s="1071" t="str">
        <f t="shared" si="918"/>
        <v>RP3-PROP-3</v>
      </c>
      <c r="F837" s="1125" t="str">
        <f t="shared" si="918"/>
        <v>2021-2024</v>
      </c>
      <c r="H837" s="1071" t="s">
        <v>29</v>
      </c>
      <c r="J837" s="1071" t="s">
        <v>79</v>
      </c>
      <c r="BB837" s="1108"/>
      <c r="BC837" s="1109"/>
      <c r="BD837" s="1109"/>
      <c r="BE837" s="1109"/>
      <c r="BF837" s="1109"/>
      <c r="BG837" s="1109"/>
      <c r="BH837" s="1109">
        <f t="shared" ref="BH837:BL837" si="919">BH490*$AY187</f>
        <v>0</v>
      </c>
      <c r="BI837" s="1109">
        <f t="shared" si="919"/>
        <v>0</v>
      </c>
      <c r="BJ837" s="1109">
        <f t="shared" si="919"/>
        <v>0</v>
      </c>
      <c r="BK837" s="1109">
        <f t="shared" si="919"/>
        <v>99.066666666666663</v>
      </c>
      <c r="BL837" s="1109">
        <f t="shared" si="919"/>
        <v>99.066666666666663</v>
      </c>
    </row>
    <row r="838" spans="2:64" hidden="1" outlineLevel="1">
      <c r="B838" s="1094"/>
      <c r="C838" s="1071" t="str">
        <f t="shared" ref="C838:F838" si="920">C491</f>
        <v>Plant &amp; Equipment upgrades Shannon Joint</v>
      </c>
      <c r="D838" s="1071" t="str">
        <f t="shared" si="920"/>
        <v>Plant &amp; Equipment upgrades</v>
      </c>
      <c r="E838" s="1071" t="str">
        <f t="shared" si="920"/>
        <v>RP3-PROP-3</v>
      </c>
      <c r="F838" s="1125" t="str">
        <f t="shared" si="920"/>
        <v>2021-2024</v>
      </c>
      <c r="H838" s="1071" t="s">
        <v>29</v>
      </c>
      <c r="J838" s="1071" t="s">
        <v>79</v>
      </c>
      <c r="BB838" s="1108"/>
      <c r="BC838" s="1109"/>
      <c r="BD838" s="1109"/>
      <c r="BE838" s="1109"/>
      <c r="BF838" s="1109"/>
      <c r="BG838" s="1109"/>
      <c r="BH838" s="1109">
        <f t="shared" ref="BH838:BL838" si="921">BH491*$AY188</f>
        <v>0</v>
      </c>
      <c r="BI838" s="1109">
        <f t="shared" si="921"/>
        <v>0</v>
      </c>
      <c r="BJ838" s="1109">
        <f t="shared" si="921"/>
        <v>0.75</v>
      </c>
      <c r="BK838" s="1109">
        <f t="shared" si="921"/>
        <v>3</v>
      </c>
      <c r="BL838" s="1109">
        <f t="shared" si="921"/>
        <v>12.299999999999999</v>
      </c>
    </row>
    <row r="839" spans="2:64" hidden="1" outlineLevel="1">
      <c r="B839" s="1094"/>
      <c r="C839" s="1071" t="str">
        <f t="shared" ref="C839:F839" si="922">C492</f>
        <v>Plant &amp; Equipment upgrades Shannon Terminal</v>
      </c>
      <c r="D839" s="1071" t="str">
        <f t="shared" si="922"/>
        <v>Plant &amp; Equipment upgrades</v>
      </c>
      <c r="E839" s="1071" t="str">
        <f t="shared" si="922"/>
        <v>RP3-PROP-3</v>
      </c>
      <c r="F839" s="1125" t="str">
        <f t="shared" si="922"/>
        <v>2021-2024</v>
      </c>
      <c r="H839" s="1071" t="s">
        <v>29</v>
      </c>
      <c r="J839" s="1071" t="s">
        <v>79</v>
      </c>
      <c r="BB839" s="1108"/>
      <c r="BC839" s="1109"/>
      <c r="BD839" s="1109"/>
      <c r="BE839" s="1109"/>
      <c r="BF839" s="1109"/>
      <c r="BG839" s="1109"/>
      <c r="BH839" s="1109">
        <f t="shared" ref="BH839:BL839" si="923">BH492*$AY189</f>
        <v>0</v>
      </c>
      <c r="BI839" s="1109">
        <f t="shared" si="923"/>
        <v>0</v>
      </c>
      <c r="BJ839" s="1109">
        <f t="shared" si="923"/>
        <v>0</v>
      </c>
      <c r="BK839" s="1109">
        <f t="shared" si="923"/>
        <v>0</v>
      </c>
      <c r="BL839" s="1109">
        <f t="shared" si="923"/>
        <v>0</v>
      </c>
    </row>
    <row r="840" spans="2:64" hidden="1" outlineLevel="1">
      <c r="B840" s="1094"/>
      <c r="C840" s="1071" t="str">
        <f t="shared" ref="C840:F840" si="924">C493</f>
        <v>Plant &amp; Equipment upgrades Dublin Joint</v>
      </c>
      <c r="D840" s="1071" t="str">
        <f t="shared" si="924"/>
        <v>Plant &amp; Equipment upgrades</v>
      </c>
      <c r="E840" s="1071" t="str">
        <f t="shared" si="924"/>
        <v>RP3-PROP-3</v>
      </c>
      <c r="F840" s="1125" t="str">
        <f t="shared" si="924"/>
        <v>2021-2024</v>
      </c>
      <c r="H840" s="1071" t="s">
        <v>29</v>
      </c>
      <c r="J840" s="1071" t="s">
        <v>79</v>
      </c>
      <c r="BB840" s="1108"/>
      <c r="BC840" s="1109"/>
      <c r="BD840" s="1109"/>
      <c r="BE840" s="1109"/>
      <c r="BF840" s="1109"/>
      <c r="BG840" s="1109"/>
      <c r="BH840" s="1109">
        <f t="shared" ref="BH840:BL840" si="925">BH493*$AY190</f>
        <v>0</v>
      </c>
      <c r="BI840" s="1109">
        <f t="shared" si="925"/>
        <v>0</v>
      </c>
      <c r="BJ840" s="1109">
        <f t="shared" si="925"/>
        <v>0</v>
      </c>
      <c r="BK840" s="1109">
        <f t="shared" si="925"/>
        <v>65.099999999999994</v>
      </c>
      <c r="BL840" s="1109">
        <f t="shared" si="925"/>
        <v>65.099999999999994</v>
      </c>
    </row>
    <row r="841" spans="2:64" hidden="1" outlineLevel="1">
      <c r="B841" s="1094"/>
      <c r="C841" s="1071" t="str">
        <f t="shared" ref="C841:F841" si="926">C494</f>
        <v>Plant &amp; Equipment upgrades Cork Terminal</v>
      </c>
      <c r="D841" s="1071" t="str">
        <f t="shared" si="926"/>
        <v>Plant &amp; Equipment upgrades</v>
      </c>
      <c r="E841" s="1071" t="str">
        <f t="shared" si="926"/>
        <v>RP3-PROP-3</v>
      </c>
      <c r="F841" s="1125" t="str">
        <f t="shared" si="926"/>
        <v>2021-2024</v>
      </c>
      <c r="H841" s="1071" t="s">
        <v>29</v>
      </c>
      <c r="J841" s="1071" t="s">
        <v>79</v>
      </c>
      <c r="BB841" s="1108"/>
      <c r="BC841" s="1109"/>
      <c r="BD841" s="1109"/>
      <c r="BE841" s="1109"/>
      <c r="BF841" s="1109"/>
      <c r="BG841" s="1109"/>
      <c r="BH841" s="1109">
        <f t="shared" ref="BH841:BL841" si="927">BH494*$AY191</f>
        <v>0</v>
      </c>
      <c r="BI841" s="1109">
        <f t="shared" si="927"/>
        <v>0</v>
      </c>
      <c r="BJ841" s="1109">
        <f t="shared" si="927"/>
        <v>0</v>
      </c>
      <c r="BK841" s="1109">
        <f t="shared" si="927"/>
        <v>0</v>
      </c>
      <c r="BL841" s="1109">
        <f t="shared" si="927"/>
        <v>0</v>
      </c>
    </row>
    <row r="842" spans="2:64" hidden="1" outlineLevel="1">
      <c r="B842" s="1094"/>
      <c r="C842" s="1071" t="str">
        <f t="shared" ref="C842:F842" si="928">C495</f>
        <v>Plant &amp; Equipment upgrades HQ Joint</v>
      </c>
      <c r="D842" s="1071" t="str">
        <f t="shared" si="928"/>
        <v>Plant &amp; Equipment upgrades</v>
      </c>
      <c r="E842" s="1071" t="str">
        <f t="shared" si="928"/>
        <v>RP3-PROP-3</v>
      </c>
      <c r="F842" s="1125" t="str">
        <f t="shared" si="928"/>
        <v>2021-2024</v>
      </c>
      <c r="H842" s="1071" t="s">
        <v>29</v>
      </c>
      <c r="J842" s="1071" t="s">
        <v>79</v>
      </c>
      <c r="BB842" s="1108"/>
      <c r="BC842" s="1109"/>
      <c r="BD842" s="1109"/>
      <c r="BE842" s="1109"/>
      <c r="BF842" s="1109"/>
      <c r="BG842" s="1109"/>
      <c r="BH842" s="1109">
        <f t="shared" ref="BH842:BL842" si="929">BH495*$AY192</f>
        <v>0</v>
      </c>
      <c r="BI842" s="1109">
        <f t="shared" si="929"/>
        <v>0</v>
      </c>
      <c r="BJ842" s="1109">
        <f t="shared" si="929"/>
        <v>0</v>
      </c>
      <c r="BK842" s="1109">
        <f t="shared" si="929"/>
        <v>22.63</v>
      </c>
      <c r="BL842" s="1109">
        <f t="shared" si="929"/>
        <v>90.52</v>
      </c>
    </row>
    <row r="843" spans="2:64" hidden="1" outlineLevel="1">
      <c r="B843" s="1094"/>
      <c r="C843" s="1071" t="str">
        <f t="shared" ref="C843:F843" si="930">C496</f>
        <v>Climate action plan</v>
      </c>
      <c r="D843" s="1071" t="str">
        <f t="shared" si="930"/>
        <v>Climate action plan</v>
      </c>
      <c r="E843" s="1071" t="str">
        <f t="shared" si="930"/>
        <v>U011</v>
      </c>
      <c r="F843" s="1125" t="str">
        <f t="shared" si="930"/>
        <v>2021-2024</v>
      </c>
      <c r="H843" s="1071" t="s">
        <v>29</v>
      </c>
      <c r="J843" s="1071" t="s">
        <v>79</v>
      </c>
      <c r="BB843" s="1108"/>
      <c r="BC843" s="1109"/>
      <c r="BD843" s="1109"/>
      <c r="BE843" s="1109"/>
      <c r="BF843" s="1109"/>
      <c r="BG843" s="1109"/>
      <c r="BH843" s="1109">
        <f t="shared" ref="BH843:BL843" si="931">BH496*$AY193</f>
        <v>0</v>
      </c>
      <c r="BI843" s="1109">
        <f t="shared" si="931"/>
        <v>7</v>
      </c>
      <c r="BJ843" s="1109">
        <f t="shared" si="931"/>
        <v>32</v>
      </c>
      <c r="BK843" s="1109">
        <f t="shared" si="931"/>
        <v>114</v>
      </c>
      <c r="BL843" s="1109">
        <f t="shared" si="931"/>
        <v>212</v>
      </c>
    </row>
    <row r="844" spans="2:64" hidden="1" outlineLevel="1">
      <c r="B844" s="1094"/>
      <c r="C844" s="1071" t="str">
        <f t="shared" ref="C844:F844" si="932">C497</f>
        <v>RADAR Overhaul - Woodcock Hill</v>
      </c>
      <c r="D844" s="1071" t="str">
        <f t="shared" si="932"/>
        <v>RADAR Overhaul</v>
      </c>
      <c r="E844" s="1071" t="str">
        <f t="shared" si="932"/>
        <v>RP3-SURV-1</v>
      </c>
      <c r="F844" s="1125" t="str">
        <f t="shared" si="932"/>
        <v>2021-2024</v>
      </c>
      <c r="H844" s="1071" t="s">
        <v>29</v>
      </c>
      <c r="J844" s="1071" t="s">
        <v>79</v>
      </c>
      <c r="BB844" s="1108"/>
      <c r="BC844" s="1109"/>
      <c r="BD844" s="1109"/>
      <c r="BE844" s="1109"/>
      <c r="BF844" s="1109"/>
      <c r="BG844" s="1109"/>
      <c r="BH844" s="1109">
        <f t="shared" ref="BH844:BL844" si="933">BH497*$AY194</f>
        <v>0</v>
      </c>
      <c r="BI844" s="1109">
        <f t="shared" si="933"/>
        <v>0</v>
      </c>
      <c r="BJ844" s="1109">
        <f t="shared" si="933"/>
        <v>0</v>
      </c>
      <c r="BK844" s="1109">
        <f t="shared" si="933"/>
        <v>33.333333333333336</v>
      </c>
      <c r="BL844" s="1109">
        <f t="shared" si="933"/>
        <v>133.33333333333334</v>
      </c>
    </row>
    <row r="845" spans="2:64" hidden="1" outlineLevel="1">
      <c r="B845" s="1094"/>
      <c r="C845" s="1071" t="str">
        <f t="shared" ref="C845:F845" si="934">C498</f>
        <v>RADAR Overhaul - MT Gabriel 1 &amp; 2</v>
      </c>
      <c r="D845" s="1071" t="str">
        <f t="shared" si="934"/>
        <v>RADAR Overhaul</v>
      </c>
      <c r="E845" s="1071" t="str">
        <f t="shared" si="934"/>
        <v>RP3-SURV-1</v>
      </c>
      <c r="F845" s="1125" t="str">
        <f t="shared" si="934"/>
        <v>2021-2024</v>
      </c>
      <c r="H845" s="1071" t="s">
        <v>29</v>
      </c>
      <c r="J845" s="1071" t="s">
        <v>79</v>
      </c>
      <c r="BB845" s="1108"/>
      <c r="BC845" s="1109"/>
      <c r="BD845" s="1109"/>
      <c r="BE845" s="1109"/>
      <c r="BF845" s="1109"/>
      <c r="BG845" s="1109"/>
      <c r="BH845" s="1109">
        <f t="shared" ref="BH845:BL845" si="935">BH498*$AY195</f>
        <v>0</v>
      </c>
      <c r="BI845" s="1109">
        <f t="shared" si="935"/>
        <v>0</v>
      </c>
      <c r="BJ845" s="1109">
        <f t="shared" si="935"/>
        <v>0</v>
      </c>
      <c r="BK845" s="1109">
        <f t="shared" si="935"/>
        <v>0</v>
      </c>
      <c r="BL845" s="1109">
        <f t="shared" si="935"/>
        <v>33.333333333333336</v>
      </c>
    </row>
    <row r="846" spans="2:64" hidden="1" outlineLevel="1">
      <c r="B846" s="1094"/>
      <c r="C846" s="1071" t="str">
        <f t="shared" ref="C846:F846" si="936">C499</f>
        <v>Voice Communication Switch</v>
      </c>
      <c r="D846" s="1071" t="str">
        <f t="shared" si="936"/>
        <v>VOIP Switch</v>
      </c>
      <c r="E846" s="1071" t="str">
        <f t="shared" si="936"/>
        <v>S005</v>
      </c>
      <c r="F846" s="1125" t="str">
        <f t="shared" si="936"/>
        <v>2021-2024</v>
      </c>
      <c r="H846" s="1071" t="s">
        <v>29</v>
      </c>
      <c r="J846" s="1071" t="s">
        <v>79</v>
      </c>
      <c r="BB846" s="1108"/>
      <c r="BC846" s="1109"/>
      <c r="BD846" s="1109"/>
      <c r="BE846" s="1109"/>
      <c r="BF846" s="1109"/>
      <c r="BG846" s="1109"/>
      <c r="BH846" s="1109">
        <f t="shared" ref="BH846:BL846" si="937">BH499*$AY196</f>
        <v>0</v>
      </c>
      <c r="BI846" s="1109">
        <f t="shared" si="937"/>
        <v>0</v>
      </c>
      <c r="BJ846" s="1109">
        <f t="shared" si="937"/>
        <v>0</v>
      </c>
      <c r="BK846" s="1109">
        <f t="shared" si="937"/>
        <v>0</v>
      </c>
      <c r="BL846" s="1109">
        <f t="shared" si="937"/>
        <v>0</v>
      </c>
    </row>
    <row r="847" spans="2:64" hidden="1" outlineLevel="1">
      <c r="B847" s="1094"/>
      <c r="C847" s="1071" t="str">
        <f t="shared" ref="C847:F847" si="938">C500</f>
        <v>VOIP Switch CRK</v>
      </c>
      <c r="D847" s="1071" t="str">
        <f t="shared" si="938"/>
        <v>VOIP Switch</v>
      </c>
      <c r="E847" s="1071" t="str">
        <f t="shared" si="938"/>
        <v>S005A</v>
      </c>
      <c r="F847" s="1125" t="str">
        <f t="shared" si="938"/>
        <v>2021-2024</v>
      </c>
      <c r="H847" s="1071" t="s">
        <v>29</v>
      </c>
      <c r="J847" s="1071" t="s">
        <v>79</v>
      </c>
      <c r="BB847" s="1108"/>
      <c r="BC847" s="1109"/>
      <c r="BD847" s="1109"/>
      <c r="BE847" s="1109"/>
      <c r="BF847" s="1109"/>
      <c r="BG847" s="1109"/>
      <c r="BH847" s="1109">
        <f t="shared" ref="BH847:BL847" si="939">BH500*$AY197</f>
        <v>0</v>
      </c>
      <c r="BI847" s="1109">
        <f t="shared" si="939"/>
        <v>0</v>
      </c>
      <c r="BJ847" s="1109">
        <f t="shared" si="939"/>
        <v>0</v>
      </c>
      <c r="BK847" s="1109">
        <f t="shared" si="939"/>
        <v>0</v>
      </c>
      <c r="BL847" s="1109">
        <f t="shared" si="939"/>
        <v>0</v>
      </c>
    </row>
    <row r="848" spans="2:64" hidden="1" outlineLevel="1">
      <c r="B848" s="1094"/>
      <c r="C848" s="1071" t="str">
        <f t="shared" ref="C848:F848" si="940">C501</f>
        <v>VOIP Switch DUB</v>
      </c>
      <c r="D848" s="1071" t="str">
        <f t="shared" si="940"/>
        <v>VOIP Switch</v>
      </c>
      <c r="E848" s="1071" t="str">
        <f t="shared" si="940"/>
        <v>S005A</v>
      </c>
      <c r="F848" s="1125" t="str">
        <f t="shared" si="940"/>
        <v>2021-2024</v>
      </c>
      <c r="H848" s="1071" t="s">
        <v>29</v>
      </c>
      <c r="J848" s="1071" t="s">
        <v>79</v>
      </c>
      <c r="BB848" s="1108"/>
      <c r="BC848" s="1109"/>
      <c r="BD848" s="1109"/>
      <c r="BE848" s="1109"/>
      <c r="BF848" s="1109"/>
      <c r="BG848" s="1109"/>
      <c r="BH848" s="1109">
        <f t="shared" ref="BH848:BL848" si="941">BH501*$AY198</f>
        <v>0</v>
      </c>
      <c r="BI848" s="1109">
        <f t="shared" si="941"/>
        <v>25.347570670312503</v>
      </c>
      <c r="BJ848" s="1109">
        <f t="shared" si="941"/>
        <v>101.39028268125001</v>
      </c>
      <c r="BK848" s="1109">
        <f t="shared" si="941"/>
        <v>101.39028268125001</v>
      </c>
      <c r="BL848" s="1109">
        <f t="shared" si="941"/>
        <v>101.39028268125001</v>
      </c>
    </row>
    <row r="849" spans="2:64" hidden="1" outlineLevel="1">
      <c r="B849" s="1094"/>
      <c r="C849" s="1071" t="str">
        <f t="shared" ref="C849:F849" si="942">C502</f>
        <v>VOIP Switch Ballycasey Main</v>
      </c>
      <c r="D849" s="1071" t="str">
        <f t="shared" si="942"/>
        <v>VOIP Switch</v>
      </c>
      <c r="E849" s="1071" t="str">
        <f t="shared" si="942"/>
        <v>S005A</v>
      </c>
      <c r="F849" s="1125" t="str">
        <f t="shared" si="942"/>
        <v>2021-2024</v>
      </c>
      <c r="H849" s="1071" t="s">
        <v>29</v>
      </c>
      <c r="J849" s="1071" t="s">
        <v>79</v>
      </c>
      <c r="BB849" s="1108"/>
      <c r="BC849" s="1109"/>
      <c r="BD849" s="1109"/>
      <c r="BE849" s="1109"/>
      <c r="BF849" s="1109"/>
      <c r="BG849" s="1109"/>
      <c r="BH849" s="1109">
        <f t="shared" ref="BH849:BL849" si="943">BH502*$AY199</f>
        <v>0</v>
      </c>
      <c r="BI849" s="1109">
        <f t="shared" si="943"/>
        <v>0</v>
      </c>
      <c r="BJ849" s="1109">
        <f t="shared" si="943"/>
        <v>0</v>
      </c>
      <c r="BK849" s="1109">
        <f t="shared" si="943"/>
        <v>0</v>
      </c>
      <c r="BL849" s="1109">
        <f t="shared" si="943"/>
        <v>33.736475000000006</v>
      </c>
    </row>
    <row r="850" spans="2:64" hidden="1" outlineLevel="1">
      <c r="B850" s="1094"/>
      <c r="C850" s="1071" t="str">
        <f t="shared" ref="C850:F850" si="944">C503</f>
        <v>VOIP Switch STBU</v>
      </c>
      <c r="D850" s="1071" t="str">
        <f t="shared" si="944"/>
        <v>VOIP Switch</v>
      </c>
      <c r="E850" s="1071" t="str">
        <f t="shared" si="944"/>
        <v>S005A</v>
      </c>
      <c r="F850" s="1125" t="str">
        <f t="shared" si="944"/>
        <v>2021-2024</v>
      </c>
      <c r="H850" s="1071" t="s">
        <v>29</v>
      </c>
      <c r="J850" s="1071" t="s">
        <v>79</v>
      </c>
      <c r="BB850" s="1108"/>
      <c r="BC850" s="1109"/>
      <c r="BD850" s="1109"/>
      <c r="BE850" s="1109"/>
      <c r="BF850" s="1109"/>
      <c r="BG850" s="1109"/>
      <c r="BH850" s="1109">
        <f t="shared" ref="BH850:BL850" si="945">BH503*$AY200</f>
        <v>0</v>
      </c>
      <c r="BI850" s="1109">
        <f t="shared" si="945"/>
        <v>0</v>
      </c>
      <c r="BJ850" s="1109">
        <f t="shared" si="945"/>
        <v>0</v>
      </c>
      <c r="BK850" s="1109">
        <f t="shared" si="945"/>
        <v>0</v>
      </c>
      <c r="BL850" s="1109">
        <f t="shared" si="945"/>
        <v>0</v>
      </c>
    </row>
    <row r="851" spans="2:64" hidden="1" outlineLevel="1">
      <c r="B851" s="1094"/>
      <c r="C851" s="1071" t="str">
        <f t="shared" ref="C851:F851" si="946">C504</f>
        <v>VOIP Test &amp; backup Ballycasey</v>
      </c>
      <c r="D851" s="1071" t="str">
        <f t="shared" si="946"/>
        <v>VOIP Switch</v>
      </c>
      <c r="E851" s="1071" t="str">
        <f t="shared" si="946"/>
        <v>S005A</v>
      </c>
      <c r="F851" s="1125" t="str">
        <f t="shared" si="946"/>
        <v>2021-2024</v>
      </c>
      <c r="H851" s="1071" t="s">
        <v>29</v>
      </c>
      <c r="J851" s="1071" t="s">
        <v>79</v>
      </c>
      <c r="BB851" s="1108"/>
      <c r="BC851" s="1109"/>
      <c r="BD851" s="1109"/>
      <c r="BE851" s="1109"/>
      <c r="BF851" s="1109"/>
      <c r="BG851" s="1109"/>
      <c r="BH851" s="1109">
        <f t="shared" ref="BH851:BL851" si="947">BH504*$AY201</f>
        <v>0</v>
      </c>
      <c r="BI851" s="1109">
        <f t="shared" si="947"/>
        <v>0</v>
      </c>
      <c r="BJ851" s="1109">
        <f t="shared" si="947"/>
        <v>0</v>
      </c>
      <c r="BK851" s="1109">
        <f t="shared" si="947"/>
        <v>10.018125</v>
      </c>
      <c r="BL851" s="1109">
        <f t="shared" si="947"/>
        <v>40.072499999999998</v>
      </c>
    </row>
    <row r="852" spans="2:64" hidden="1" outlineLevel="1">
      <c r="B852" s="1094"/>
      <c r="C852" s="1071" t="str">
        <f t="shared" ref="C852:F852" si="948">C505</f>
        <v>North Dublin Radar Building</v>
      </c>
      <c r="D852" s="1071" t="str">
        <f t="shared" si="948"/>
        <v>North Dublin Radar Building</v>
      </c>
      <c r="E852" s="1071" t="str">
        <f t="shared" si="948"/>
        <v>T006</v>
      </c>
      <c r="F852" s="1125" t="str">
        <f t="shared" si="948"/>
        <v>2021-2024</v>
      </c>
      <c r="H852" s="1071" t="s">
        <v>29</v>
      </c>
      <c r="J852" s="1071" t="s">
        <v>79</v>
      </c>
      <c r="BB852" s="1108"/>
      <c r="BC852" s="1109"/>
      <c r="BD852" s="1109"/>
      <c r="BE852" s="1109"/>
      <c r="BF852" s="1109"/>
      <c r="BG852" s="1109"/>
      <c r="BH852" s="1109">
        <f t="shared" ref="BH852:BL852" si="949">BH505*$AY202</f>
        <v>0</v>
      </c>
      <c r="BI852" s="1109">
        <f t="shared" si="949"/>
        <v>0</v>
      </c>
      <c r="BJ852" s="1109">
        <f t="shared" si="949"/>
        <v>39.150000000000006</v>
      </c>
      <c r="BK852" s="1109">
        <f t="shared" si="949"/>
        <v>52.199999999999996</v>
      </c>
      <c r="BL852" s="1109">
        <f t="shared" si="949"/>
        <v>52.199999999999996</v>
      </c>
    </row>
    <row r="853" spans="2:64" hidden="1" outlineLevel="1">
      <c r="B853" s="1094"/>
      <c r="C853" s="1071" t="str">
        <f t="shared" ref="C853:F853" si="950">C506</f>
        <v>Structural Upgrades Dublin ACC</v>
      </c>
      <c r="D853" s="1071" t="str">
        <f t="shared" si="950"/>
        <v>Structural Upgrades</v>
      </c>
      <c r="E853" s="1071" t="str">
        <f t="shared" si="950"/>
        <v>RP3-PROP-4</v>
      </c>
      <c r="F853" s="1125" t="str">
        <f t="shared" si="950"/>
        <v>2021-2024</v>
      </c>
      <c r="H853" s="1071" t="s">
        <v>29</v>
      </c>
      <c r="J853" s="1071" t="s">
        <v>79</v>
      </c>
      <c r="BB853" s="1108"/>
      <c r="BC853" s="1109"/>
      <c r="BD853" s="1109"/>
      <c r="BE853" s="1109"/>
      <c r="BF853" s="1109"/>
      <c r="BG853" s="1109"/>
      <c r="BH853" s="1109">
        <f t="shared" ref="BH853:BL853" si="951">BH506*$AY203</f>
        <v>0</v>
      </c>
      <c r="BI853" s="1109">
        <f t="shared" si="951"/>
        <v>0</v>
      </c>
      <c r="BJ853" s="1109">
        <f t="shared" si="951"/>
        <v>0</v>
      </c>
      <c r="BK853" s="1109">
        <f t="shared" si="951"/>
        <v>0</v>
      </c>
      <c r="BL853" s="1109">
        <f t="shared" si="951"/>
        <v>58.125</v>
      </c>
    </row>
    <row r="854" spans="2:64" hidden="1" outlineLevel="1">
      <c r="B854" s="1094"/>
      <c r="C854" s="1071" t="str">
        <f t="shared" ref="C854:F854" si="952">C507</f>
        <v>Structural Upgrades Ballycasey ACC</v>
      </c>
      <c r="D854" s="1071" t="str">
        <f t="shared" si="952"/>
        <v>Structural Upgrades</v>
      </c>
      <c r="E854" s="1071" t="str">
        <f t="shared" si="952"/>
        <v>RP3-PROP-4</v>
      </c>
      <c r="F854" s="1125" t="str">
        <f t="shared" si="952"/>
        <v>2021-2024</v>
      </c>
      <c r="H854" s="1071" t="s">
        <v>29</v>
      </c>
      <c r="J854" s="1071" t="s">
        <v>79</v>
      </c>
      <c r="BB854" s="1108"/>
      <c r="BC854" s="1109"/>
      <c r="BD854" s="1109"/>
      <c r="BE854" s="1109"/>
      <c r="BF854" s="1109"/>
      <c r="BG854" s="1109"/>
      <c r="BH854" s="1109">
        <f t="shared" ref="BH854:BL854" si="953">BH507*$AY204</f>
        <v>0</v>
      </c>
      <c r="BI854" s="1109">
        <f t="shared" si="953"/>
        <v>0</v>
      </c>
      <c r="BJ854" s="1109">
        <f t="shared" si="953"/>
        <v>9.3000000000000007</v>
      </c>
      <c r="BK854" s="1109">
        <f t="shared" si="953"/>
        <v>37.200000000000003</v>
      </c>
      <c r="BL854" s="1109">
        <f t="shared" si="953"/>
        <v>37.200000000000003</v>
      </c>
    </row>
    <row r="855" spans="2:64" hidden="1" outlineLevel="1">
      <c r="B855" s="1094"/>
      <c r="C855" s="1071" t="str">
        <f t="shared" ref="C855:F855" si="954">C508</f>
        <v>Structural Upgrades Shannon Air Traffic Control Tower</v>
      </c>
      <c r="D855" s="1071" t="str">
        <f t="shared" si="954"/>
        <v>Structural Upgrades</v>
      </c>
      <c r="E855" s="1071" t="str">
        <f t="shared" si="954"/>
        <v>RP3-PROP-4</v>
      </c>
      <c r="F855" s="1125" t="str">
        <f t="shared" si="954"/>
        <v>2021-2024</v>
      </c>
      <c r="H855" s="1071" t="s">
        <v>29</v>
      </c>
      <c r="J855" s="1071" t="s">
        <v>79</v>
      </c>
      <c r="BB855" s="1108"/>
      <c r="BC855" s="1109"/>
      <c r="BD855" s="1109"/>
      <c r="BE855" s="1109"/>
      <c r="BF855" s="1109"/>
      <c r="BG855" s="1109"/>
      <c r="BH855" s="1109">
        <f t="shared" ref="BH855:BL855" si="955">BH508*$AY205</f>
        <v>0</v>
      </c>
      <c r="BI855" s="1109">
        <f t="shared" si="955"/>
        <v>0</v>
      </c>
      <c r="BJ855" s="1109">
        <f t="shared" si="955"/>
        <v>0</v>
      </c>
      <c r="BK855" s="1109">
        <f t="shared" si="955"/>
        <v>0</v>
      </c>
      <c r="BL855" s="1109">
        <f t="shared" si="955"/>
        <v>0</v>
      </c>
    </row>
    <row r="856" spans="2:64" hidden="1" outlineLevel="1">
      <c r="B856" s="1094"/>
      <c r="C856" s="1071" t="str">
        <f t="shared" ref="C856:F856" si="956">C509</f>
        <v>Restrucuring IT Costs ANSP</v>
      </c>
      <c r="D856" s="1071" t="str">
        <f t="shared" si="956"/>
        <v>Restrucuring IT Costs ANSP</v>
      </c>
      <c r="E856" s="1071" t="str">
        <f t="shared" si="956"/>
        <v>U022</v>
      </c>
      <c r="F856" s="1125" t="str">
        <f t="shared" si="956"/>
        <v>2021-2024</v>
      </c>
      <c r="H856" s="1071" t="s">
        <v>29</v>
      </c>
      <c r="J856" s="1071" t="s">
        <v>79</v>
      </c>
      <c r="BB856" s="1108"/>
      <c r="BC856" s="1109"/>
      <c r="BD856" s="1109"/>
      <c r="BE856" s="1109"/>
      <c r="BF856" s="1109"/>
      <c r="BG856" s="1109"/>
      <c r="BH856" s="1109">
        <f t="shared" ref="BH856:BL856" si="957">BH509*$AY206</f>
        <v>0</v>
      </c>
      <c r="BI856" s="1109">
        <f t="shared" si="957"/>
        <v>0</v>
      </c>
      <c r="BJ856" s="1109">
        <f t="shared" si="957"/>
        <v>359.74399999999997</v>
      </c>
      <c r="BK856" s="1109">
        <f t="shared" si="957"/>
        <v>359.74399999999997</v>
      </c>
      <c r="BL856" s="1109">
        <f t="shared" si="957"/>
        <v>359.74399999999997</v>
      </c>
    </row>
    <row r="857" spans="2:64" hidden="1" outlineLevel="1">
      <c r="B857" s="1094"/>
      <c r="C857" s="1071" t="str">
        <f t="shared" ref="C857:F857" si="958">C510</f>
        <v>Conditional Surveys</v>
      </c>
      <c r="D857" s="1071" t="str">
        <f t="shared" si="958"/>
        <v>Conditional Surveys</v>
      </c>
      <c r="E857" s="1071" t="str">
        <f t="shared" si="958"/>
        <v>RP3-PROP-1</v>
      </c>
      <c r="F857" s="1125" t="str">
        <f t="shared" si="958"/>
        <v>2021-2024</v>
      </c>
      <c r="H857" s="1071" t="s">
        <v>29</v>
      </c>
      <c r="J857" s="1071" t="s">
        <v>79</v>
      </c>
      <c r="BB857" s="1108"/>
      <c r="BC857" s="1109"/>
      <c r="BD857" s="1109"/>
      <c r="BE857" s="1109"/>
      <c r="BF857" s="1109"/>
      <c r="BG857" s="1109"/>
      <c r="BH857" s="1109">
        <f t="shared" ref="BH857:BL857" si="959">BH510*$AY207</f>
        <v>0</v>
      </c>
      <c r="BI857" s="1109">
        <f t="shared" si="959"/>
        <v>0</v>
      </c>
      <c r="BJ857" s="1109">
        <f t="shared" si="959"/>
        <v>0</v>
      </c>
      <c r="BK857" s="1109">
        <f t="shared" si="959"/>
        <v>0</v>
      </c>
      <c r="BL857" s="1109">
        <f t="shared" si="959"/>
        <v>0</v>
      </c>
    </row>
    <row r="858" spans="2:64" hidden="1" outlineLevel="1">
      <c r="B858" s="1094"/>
      <c r="C858" s="1071" t="str">
        <f t="shared" ref="C858:F858" si="960">C511</f>
        <v>Conditional Surveys Shannon En Route</v>
      </c>
      <c r="D858" s="1071" t="str">
        <f t="shared" si="960"/>
        <v>Conditional Surveys</v>
      </c>
      <c r="E858" s="1071" t="str">
        <f t="shared" si="960"/>
        <v>RP3-PROP-1</v>
      </c>
      <c r="F858" s="1125" t="str">
        <f t="shared" si="960"/>
        <v>2021-2024</v>
      </c>
      <c r="H858" s="1071" t="s">
        <v>29</v>
      </c>
      <c r="J858" s="1071" t="s">
        <v>79</v>
      </c>
      <c r="BB858" s="1108"/>
      <c r="BC858" s="1109"/>
      <c r="BD858" s="1109"/>
      <c r="BE858" s="1109"/>
      <c r="BF858" s="1109"/>
      <c r="BG858" s="1109"/>
      <c r="BH858" s="1109">
        <f t="shared" ref="BH858:BL858" si="961">BH511*$AY208</f>
        <v>0</v>
      </c>
      <c r="BI858" s="1109">
        <f t="shared" si="961"/>
        <v>6.7782500000000008</v>
      </c>
      <c r="BJ858" s="1109">
        <f t="shared" si="961"/>
        <v>41.476000000000006</v>
      </c>
      <c r="BK858" s="1109">
        <f t="shared" si="961"/>
        <v>61.976000000000006</v>
      </c>
      <c r="BL858" s="1109">
        <f t="shared" si="961"/>
        <v>62.638500000000008</v>
      </c>
    </row>
    <row r="859" spans="2:64" hidden="1" outlineLevel="1">
      <c r="B859" s="1094"/>
      <c r="C859" s="1071" t="str">
        <f t="shared" ref="C859:F859" si="962">C512</f>
        <v>Conditional Surveys Shannon Joint</v>
      </c>
      <c r="D859" s="1071" t="str">
        <f t="shared" si="962"/>
        <v>Conditional Surveys</v>
      </c>
      <c r="E859" s="1071" t="str">
        <f t="shared" si="962"/>
        <v>RP3-PROP-1</v>
      </c>
      <c r="F859" s="1125" t="str">
        <f t="shared" si="962"/>
        <v>2021-2024</v>
      </c>
      <c r="H859" s="1071" t="s">
        <v>29</v>
      </c>
      <c r="J859" s="1071" t="s">
        <v>79</v>
      </c>
      <c r="BB859" s="1108"/>
      <c r="BC859" s="1109"/>
      <c r="BD859" s="1109"/>
      <c r="BE859" s="1109"/>
      <c r="BF859" s="1109"/>
      <c r="BG859" s="1109"/>
      <c r="BH859" s="1109">
        <f t="shared" ref="BH859:BL859" si="963">BH512*$AY209</f>
        <v>0</v>
      </c>
      <c r="BI859" s="1109">
        <f t="shared" si="963"/>
        <v>0</v>
      </c>
      <c r="BJ859" s="1109">
        <f t="shared" si="963"/>
        <v>0</v>
      </c>
      <c r="BK859" s="1109">
        <f t="shared" si="963"/>
        <v>0.20625000000000002</v>
      </c>
      <c r="BL859" s="1109">
        <f t="shared" si="963"/>
        <v>2.3250000000000002</v>
      </c>
    </row>
    <row r="860" spans="2:64" hidden="1" outlineLevel="1">
      <c r="B860" s="1094"/>
      <c r="C860" s="1071" t="str">
        <f t="shared" ref="C860:F860" si="964">C513</f>
        <v>Conditional Surveys Shannon Terminal</v>
      </c>
      <c r="D860" s="1071" t="str">
        <f t="shared" si="964"/>
        <v>Conditional Surveys</v>
      </c>
      <c r="E860" s="1071" t="str">
        <f t="shared" si="964"/>
        <v>RP3-PROP-1</v>
      </c>
      <c r="F860" s="1125" t="str">
        <f t="shared" si="964"/>
        <v>2021-2024</v>
      </c>
      <c r="H860" s="1071" t="s">
        <v>29</v>
      </c>
      <c r="J860" s="1071" t="s">
        <v>79</v>
      </c>
      <c r="BB860" s="1108"/>
      <c r="BC860" s="1109"/>
      <c r="BD860" s="1109"/>
      <c r="BE860" s="1109"/>
      <c r="BF860" s="1109"/>
      <c r="BG860" s="1109"/>
      <c r="BH860" s="1109">
        <f t="shared" ref="BH860:BL860" si="965">BH513*$AY210</f>
        <v>0</v>
      </c>
      <c r="BI860" s="1109">
        <f t="shared" si="965"/>
        <v>0</v>
      </c>
      <c r="BJ860" s="1109">
        <f t="shared" si="965"/>
        <v>0</v>
      </c>
      <c r="BK860" s="1109">
        <f t="shared" si="965"/>
        <v>0</v>
      </c>
      <c r="BL860" s="1109">
        <f t="shared" si="965"/>
        <v>0</v>
      </c>
    </row>
    <row r="861" spans="2:64" hidden="1" outlineLevel="1">
      <c r="B861" s="1094"/>
      <c r="C861" s="1071" t="str">
        <f t="shared" ref="C861:F861" si="966">C514</f>
        <v>Conditional Surveys Dublin Joint</v>
      </c>
      <c r="D861" s="1071" t="str">
        <f t="shared" si="966"/>
        <v>Conditional Surveys</v>
      </c>
      <c r="E861" s="1071" t="str">
        <f t="shared" si="966"/>
        <v>RP3-PROP-1</v>
      </c>
      <c r="F861" s="1125" t="str">
        <f t="shared" si="966"/>
        <v>2021-2024</v>
      </c>
      <c r="H861" s="1071" t="s">
        <v>29</v>
      </c>
      <c r="J861" s="1071" t="s">
        <v>79</v>
      </c>
      <c r="BB861" s="1108"/>
      <c r="BC861" s="1109"/>
      <c r="BD861" s="1109"/>
      <c r="BE861" s="1109"/>
      <c r="BF861" s="1109"/>
      <c r="BG861" s="1109"/>
      <c r="BH861" s="1109">
        <f t="shared" ref="BH861:BL861" si="967">BH514*$AY211</f>
        <v>0</v>
      </c>
      <c r="BI861" s="1109">
        <f t="shared" si="967"/>
        <v>0</v>
      </c>
      <c r="BJ861" s="1109">
        <f t="shared" si="967"/>
        <v>1.1625000000000001</v>
      </c>
      <c r="BK861" s="1109">
        <f t="shared" si="967"/>
        <v>2.3250000000000002</v>
      </c>
      <c r="BL861" s="1109">
        <f t="shared" si="967"/>
        <v>3.1125000000000003</v>
      </c>
    </row>
    <row r="862" spans="2:64" hidden="1" outlineLevel="1">
      <c r="B862" s="1094"/>
      <c r="C862" s="1071" t="str">
        <f t="shared" ref="C862:F862" si="968">C515</f>
        <v>Conditional Surveys Cork Terminal</v>
      </c>
      <c r="D862" s="1071" t="str">
        <f t="shared" si="968"/>
        <v>Conditional Surveys</v>
      </c>
      <c r="E862" s="1071" t="str">
        <f t="shared" si="968"/>
        <v>RP3-PROP-1</v>
      </c>
      <c r="F862" s="1125" t="str">
        <f t="shared" si="968"/>
        <v>2021-2024</v>
      </c>
      <c r="H862" s="1071" t="s">
        <v>29</v>
      </c>
      <c r="J862" s="1071" t="s">
        <v>79</v>
      </c>
      <c r="BB862" s="1108"/>
      <c r="BC862" s="1109"/>
      <c r="BD862" s="1109"/>
      <c r="BE862" s="1109"/>
      <c r="BF862" s="1109"/>
      <c r="BG862" s="1109"/>
      <c r="BH862" s="1109">
        <f t="shared" ref="BH862:BL862" si="969">BH515*$AY212</f>
        <v>0</v>
      </c>
      <c r="BI862" s="1109">
        <f t="shared" si="969"/>
        <v>0</v>
      </c>
      <c r="BJ862" s="1109">
        <f t="shared" si="969"/>
        <v>0</v>
      </c>
      <c r="BK862" s="1109">
        <f t="shared" si="969"/>
        <v>0</v>
      </c>
      <c r="BL862" s="1109">
        <f t="shared" si="969"/>
        <v>0</v>
      </c>
    </row>
    <row r="863" spans="2:64" hidden="1" outlineLevel="1">
      <c r="B863" s="1094"/>
      <c r="C863" s="1071" t="str">
        <f t="shared" ref="C863:F863" si="970">C516</f>
        <v>Replacement Dublin 2 RADAR Existing</v>
      </c>
      <c r="D863" s="1071" t="str">
        <f t="shared" si="970"/>
        <v>Replacement Dublin 2 RADAR</v>
      </c>
      <c r="E863" s="1071" t="str">
        <f t="shared" si="970"/>
        <v>Q012</v>
      </c>
      <c r="F863" s="1125" t="str">
        <f t="shared" si="970"/>
        <v>2021-2024</v>
      </c>
      <c r="H863" s="1071" t="s">
        <v>29</v>
      </c>
      <c r="J863" s="1071" t="s">
        <v>79</v>
      </c>
      <c r="BB863" s="1108"/>
      <c r="BC863" s="1109"/>
      <c r="BD863" s="1109"/>
      <c r="BE863" s="1109"/>
      <c r="BF863" s="1109"/>
      <c r="BG863" s="1109"/>
      <c r="BH863" s="1109">
        <f t="shared" ref="BH863:BL863" si="971">BH516*$AY213</f>
        <v>0</v>
      </c>
      <c r="BI863" s="1109">
        <f t="shared" si="971"/>
        <v>0</v>
      </c>
      <c r="BJ863" s="1109">
        <f t="shared" si="971"/>
        <v>0</v>
      </c>
      <c r="BK863" s="1109">
        <f t="shared" si="971"/>
        <v>0</v>
      </c>
      <c r="BL863" s="1109">
        <f t="shared" si="971"/>
        <v>0</v>
      </c>
    </row>
    <row r="864" spans="2:64" hidden="1" outlineLevel="1">
      <c r="B864" s="1094"/>
      <c r="C864" s="1071" t="str">
        <f t="shared" ref="C864:F864" si="972">C517</f>
        <v>Replacement Dublin 2 RADAR New (Phase 2)</v>
      </c>
      <c r="D864" s="1071" t="str">
        <f t="shared" si="972"/>
        <v>Replacement Dublin 2 RADAR</v>
      </c>
      <c r="E864" s="1071" t="str">
        <f t="shared" si="972"/>
        <v>Q012A</v>
      </c>
      <c r="F864" s="1125" t="str">
        <f t="shared" si="972"/>
        <v>2021-2024</v>
      </c>
      <c r="H864" s="1071" t="s">
        <v>29</v>
      </c>
      <c r="J864" s="1071" t="s">
        <v>79</v>
      </c>
      <c r="BB864" s="1108"/>
      <c r="BC864" s="1109"/>
      <c r="BD864" s="1109"/>
      <c r="BE864" s="1109"/>
      <c r="BF864" s="1109"/>
      <c r="BG864" s="1109"/>
      <c r="BH864" s="1109">
        <f t="shared" ref="BH864:BL864" si="973">BH517*$AY214</f>
        <v>0</v>
      </c>
      <c r="BI864" s="1109">
        <f t="shared" si="973"/>
        <v>0</v>
      </c>
      <c r="BJ864" s="1109">
        <f t="shared" si="973"/>
        <v>24.738350000000004</v>
      </c>
      <c r="BK864" s="1109">
        <f t="shared" si="973"/>
        <v>98.953400000000016</v>
      </c>
      <c r="BL864" s="1109">
        <f t="shared" si="973"/>
        <v>98.953400000000016</v>
      </c>
    </row>
    <row r="865" spans="2:64" hidden="1" outlineLevel="1">
      <c r="B865" s="1094"/>
      <c r="C865" s="1071" t="str">
        <f t="shared" ref="C865:F865" si="974">C518</f>
        <v>Cork ATC Building Upgrade</v>
      </c>
      <c r="D865" s="1071" t="str">
        <f t="shared" si="974"/>
        <v>Cork ATC Building Upgrade</v>
      </c>
      <c r="E865" s="1071" t="str">
        <f t="shared" si="974"/>
        <v>U016</v>
      </c>
      <c r="F865" s="1125" t="str">
        <f t="shared" si="974"/>
        <v>2021-2024</v>
      </c>
      <c r="H865" s="1071" t="s">
        <v>29</v>
      </c>
      <c r="J865" s="1071" t="s">
        <v>79</v>
      </c>
      <c r="BB865" s="1108"/>
      <c r="BC865" s="1109"/>
      <c r="BD865" s="1109"/>
      <c r="BE865" s="1109"/>
      <c r="BF865" s="1109"/>
      <c r="BG865" s="1109"/>
      <c r="BH865" s="1109">
        <f t="shared" ref="BH865:BL865" si="975">BH518*$AY215</f>
        <v>0</v>
      </c>
      <c r="BI865" s="1109">
        <f t="shared" si="975"/>
        <v>0</v>
      </c>
      <c r="BJ865" s="1109">
        <f t="shared" si="975"/>
        <v>0</v>
      </c>
      <c r="BK865" s="1109">
        <f t="shared" si="975"/>
        <v>0</v>
      </c>
      <c r="BL865" s="1109">
        <f t="shared" si="975"/>
        <v>0</v>
      </c>
    </row>
    <row r="866" spans="2:64" hidden="1" outlineLevel="1">
      <c r="B866" s="1094"/>
      <c r="C866" s="1071" t="str">
        <f t="shared" ref="C866:F866" si="976">C519</f>
        <v>Energy Management Upgrades</v>
      </c>
      <c r="D866" s="1071" t="str">
        <f t="shared" si="976"/>
        <v>Energy Management Upgrades</v>
      </c>
      <c r="E866" s="1071" t="str">
        <f t="shared" si="976"/>
        <v>T007</v>
      </c>
      <c r="F866" s="1125" t="str">
        <f t="shared" si="976"/>
        <v>2021-2024</v>
      </c>
      <c r="H866" s="1071" t="s">
        <v>29</v>
      </c>
      <c r="J866" s="1071" t="s">
        <v>79</v>
      </c>
      <c r="BB866" s="1108"/>
      <c r="BC866" s="1109"/>
      <c r="BD866" s="1109"/>
      <c r="BE866" s="1109"/>
      <c r="BF866" s="1109"/>
      <c r="BG866" s="1109"/>
      <c r="BH866" s="1109">
        <f t="shared" ref="BH866:BL866" si="977">BH519*$AY216</f>
        <v>0</v>
      </c>
      <c r="BI866" s="1109">
        <f t="shared" si="977"/>
        <v>0</v>
      </c>
      <c r="BJ866" s="1109">
        <f t="shared" si="977"/>
        <v>0</v>
      </c>
      <c r="BK866" s="1109">
        <f t="shared" si="977"/>
        <v>0</v>
      </c>
      <c r="BL866" s="1109">
        <f t="shared" si="977"/>
        <v>0</v>
      </c>
    </row>
    <row r="867" spans="2:64" hidden="1" outlineLevel="1">
      <c r="B867" s="1094"/>
      <c r="C867" s="1071" t="str">
        <f t="shared" ref="C867:F867" si="978">C520</f>
        <v>Energy Management Upgrades Dublin</v>
      </c>
      <c r="D867" s="1071" t="str">
        <f t="shared" si="978"/>
        <v>Energy Management Upgrades</v>
      </c>
      <c r="E867" s="1071" t="str">
        <f t="shared" si="978"/>
        <v>T007A</v>
      </c>
      <c r="F867" s="1125" t="str">
        <f t="shared" si="978"/>
        <v>2021-2024</v>
      </c>
      <c r="H867" s="1071" t="s">
        <v>29</v>
      </c>
      <c r="J867" s="1071" t="s">
        <v>79</v>
      </c>
      <c r="BB867" s="1108"/>
      <c r="BC867" s="1109"/>
      <c r="BD867" s="1109"/>
      <c r="BE867" s="1109"/>
      <c r="BF867" s="1109"/>
      <c r="BG867" s="1109"/>
      <c r="BH867" s="1109">
        <f t="shared" ref="BH867:BL867" si="979">BH520*$AY217</f>
        <v>0</v>
      </c>
      <c r="BI867" s="1109">
        <f t="shared" si="979"/>
        <v>17.986266666666669</v>
      </c>
      <c r="BJ867" s="1109">
        <f t="shared" si="979"/>
        <v>49.202533333333356</v>
      </c>
      <c r="BK867" s="1109">
        <f t="shared" si="979"/>
        <v>50.339200000000034</v>
      </c>
      <c r="BL867" s="1109">
        <f t="shared" si="979"/>
        <v>50.339200000000034</v>
      </c>
    </row>
    <row r="868" spans="2:64" hidden="1" outlineLevel="1">
      <c r="B868" s="1094"/>
      <c r="C868" s="1071" t="str">
        <f t="shared" ref="C868:F868" si="980">C521</f>
        <v>Energy Management Upgrades Shannon</v>
      </c>
      <c r="D868" s="1071" t="str">
        <f t="shared" si="980"/>
        <v>Energy Management Upgrades</v>
      </c>
      <c r="E868" s="1071" t="str">
        <f t="shared" si="980"/>
        <v>T007A</v>
      </c>
      <c r="F868" s="1125" t="str">
        <f t="shared" si="980"/>
        <v>2021-2024</v>
      </c>
      <c r="H868" s="1071" t="s">
        <v>29</v>
      </c>
      <c r="J868" s="1071" t="s">
        <v>79</v>
      </c>
      <c r="BB868" s="1108"/>
      <c r="BC868" s="1109"/>
      <c r="BD868" s="1109"/>
      <c r="BE868" s="1109"/>
      <c r="BF868" s="1109"/>
      <c r="BG868" s="1109"/>
      <c r="BH868" s="1109">
        <f t="shared" ref="BH868:BL868" si="981">BH521*$AY218</f>
        <v>0</v>
      </c>
      <c r="BI868" s="1109">
        <f t="shared" si="981"/>
        <v>11.440000000000001</v>
      </c>
      <c r="BJ868" s="1109">
        <f t="shared" si="981"/>
        <v>24.880000000000003</v>
      </c>
      <c r="BK868" s="1109">
        <f t="shared" si="981"/>
        <v>24.880000000000003</v>
      </c>
      <c r="BL868" s="1109">
        <f t="shared" si="981"/>
        <v>24.880000000000003</v>
      </c>
    </row>
    <row r="869" spans="2:64" hidden="1" outlineLevel="1">
      <c r="B869" s="1094"/>
      <c r="C869" s="1071" t="str">
        <f t="shared" ref="C869:F869" si="982">C522</f>
        <v>Energy Management Upgrades Cork</v>
      </c>
      <c r="D869" s="1071" t="str">
        <f t="shared" si="982"/>
        <v>Energy Management Upgrades</v>
      </c>
      <c r="E869" s="1071" t="str">
        <f t="shared" si="982"/>
        <v>T007A</v>
      </c>
      <c r="F869" s="1125" t="str">
        <f t="shared" si="982"/>
        <v>2021-2024</v>
      </c>
      <c r="H869" s="1071" t="s">
        <v>29</v>
      </c>
      <c r="J869" s="1071" t="s">
        <v>79</v>
      </c>
      <c r="BB869" s="1108"/>
      <c r="BC869" s="1109"/>
      <c r="BD869" s="1109"/>
      <c r="BE869" s="1109"/>
      <c r="BF869" s="1109"/>
      <c r="BG869" s="1109"/>
      <c r="BH869" s="1109">
        <f t="shared" ref="BH869:BL869" si="983">BH522*$AY219</f>
        <v>0</v>
      </c>
      <c r="BI869" s="1109">
        <f t="shared" si="983"/>
        <v>0.46000000000000008</v>
      </c>
      <c r="BJ869" s="1109">
        <f t="shared" si="983"/>
        <v>2.4000000000000004</v>
      </c>
      <c r="BK869" s="1109">
        <f t="shared" si="983"/>
        <v>2.4000000000000004</v>
      </c>
      <c r="BL869" s="1109">
        <f t="shared" si="983"/>
        <v>2.4000000000000004</v>
      </c>
    </row>
    <row r="870" spans="2:64" hidden="1" outlineLevel="1">
      <c r="B870" s="1094"/>
      <c r="C870" s="1071" t="str">
        <f t="shared" ref="C870:F870" si="984">C523</f>
        <v>National Security System Network</v>
      </c>
      <c r="D870" s="1071" t="str">
        <f t="shared" si="984"/>
        <v>National Security System Network</v>
      </c>
      <c r="E870" s="1071" t="str">
        <f t="shared" si="984"/>
        <v>U013</v>
      </c>
      <c r="F870" s="1125" t="str">
        <f t="shared" si="984"/>
        <v>2021-2024</v>
      </c>
      <c r="H870" s="1071" t="s">
        <v>29</v>
      </c>
      <c r="J870" s="1071" t="s">
        <v>79</v>
      </c>
      <c r="BB870" s="1108"/>
      <c r="BC870" s="1109"/>
      <c r="BD870" s="1109"/>
      <c r="BE870" s="1109"/>
      <c r="BF870" s="1109"/>
      <c r="BG870" s="1109"/>
      <c r="BH870" s="1109">
        <f t="shared" ref="BH870:BL870" si="985">BH523*$AY220</f>
        <v>0</v>
      </c>
      <c r="BI870" s="1109">
        <f t="shared" si="985"/>
        <v>0</v>
      </c>
      <c r="BJ870" s="1109">
        <f t="shared" si="985"/>
        <v>21.796875</v>
      </c>
      <c r="BK870" s="1109">
        <f t="shared" si="985"/>
        <v>79.921875</v>
      </c>
      <c r="BL870" s="1109">
        <f t="shared" si="985"/>
        <v>116.25</v>
      </c>
    </row>
    <row r="871" spans="2:64" hidden="1" outlineLevel="1">
      <c r="B871" s="1094"/>
      <c r="C871" s="1071" t="str">
        <f t="shared" ref="C871:F871" si="986">C524</f>
        <v>Replacement Airfield Cabling</v>
      </c>
      <c r="D871" s="1071" t="str">
        <f t="shared" si="986"/>
        <v>Replacement Airfield Cabling</v>
      </c>
      <c r="E871" s="1071" t="str">
        <f t="shared" si="986"/>
        <v>R006</v>
      </c>
      <c r="F871" s="1125" t="str">
        <f t="shared" si="986"/>
        <v>2021-2024</v>
      </c>
      <c r="H871" s="1071" t="s">
        <v>29</v>
      </c>
      <c r="J871" s="1071" t="s">
        <v>79</v>
      </c>
      <c r="BB871" s="1108"/>
      <c r="BC871" s="1109"/>
      <c r="BD871" s="1109"/>
      <c r="BE871" s="1109"/>
      <c r="BF871" s="1109"/>
      <c r="BG871" s="1109"/>
      <c r="BH871" s="1109">
        <f t="shared" ref="BH871:BL871" si="987">BH524*$AY221</f>
        <v>0</v>
      </c>
      <c r="BI871" s="1109">
        <f t="shared" si="987"/>
        <v>0</v>
      </c>
      <c r="BJ871" s="1109">
        <f t="shared" si="987"/>
        <v>0</v>
      </c>
      <c r="BK871" s="1109">
        <f t="shared" si="987"/>
        <v>0</v>
      </c>
      <c r="BL871" s="1109">
        <f t="shared" si="987"/>
        <v>0</v>
      </c>
    </row>
    <row r="872" spans="2:64" hidden="1" outlineLevel="1">
      <c r="B872" s="1094"/>
      <c r="C872" s="1071" t="str">
        <f t="shared" ref="C872:F872" si="988">C525</f>
        <v>Replacement Airfield Cabling Dublin</v>
      </c>
      <c r="D872" s="1071" t="str">
        <f t="shared" si="988"/>
        <v>Replacement Airfield Cabling</v>
      </c>
      <c r="E872" s="1071" t="str">
        <f t="shared" si="988"/>
        <v>R006A</v>
      </c>
      <c r="F872" s="1125" t="str">
        <f t="shared" si="988"/>
        <v>2021-2024</v>
      </c>
      <c r="H872" s="1071" t="s">
        <v>29</v>
      </c>
      <c r="J872" s="1071" t="s">
        <v>79</v>
      </c>
      <c r="BB872" s="1108"/>
      <c r="BC872" s="1109"/>
      <c r="BD872" s="1109"/>
      <c r="BE872" s="1109"/>
      <c r="BF872" s="1109"/>
      <c r="BG872" s="1109"/>
      <c r="BH872" s="1109">
        <f t="shared" ref="BH872:BL872" si="989">BH525*$AY222</f>
        <v>0</v>
      </c>
      <c r="BI872" s="1109">
        <f t="shared" si="989"/>
        <v>0</v>
      </c>
      <c r="BJ872" s="1109">
        <f t="shared" si="989"/>
        <v>0</v>
      </c>
      <c r="BK872" s="1109">
        <f t="shared" si="989"/>
        <v>0</v>
      </c>
      <c r="BL872" s="1109">
        <f t="shared" si="989"/>
        <v>0</v>
      </c>
    </row>
    <row r="873" spans="2:64" hidden="1" outlineLevel="1">
      <c r="B873" s="1094"/>
      <c r="C873" s="1071" t="str">
        <f t="shared" ref="C873:F873" si="990">C526</f>
        <v>Replacement Airfield Cabling Shannon</v>
      </c>
      <c r="D873" s="1071" t="str">
        <f t="shared" si="990"/>
        <v>Replacement Airfield Cabling</v>
      </c>
      <c r="E873" s="1071" t="str">
        <f t="shared" si="990"/>
        <v>R006A</v>
      </c>
      <c r="F873" s="1125" t="str">
        <f t="shared" si="990"/>
        <v>2021-2024</v>
      </c>
      <c r="H873" s="1071" t="s">
        <v>29</v>
      </c>
      <c r="J873" s="1071" t="s">
        <v>79</v>
      </c>
      <c r="BB873" s="1108"/>
      <c r="BC873" s="1109"/>
      <c r="BD873" s="1109"/>
      <c r="BE873" s="1109"/>
      <c r="BF873" s="1109"/>
      <c r="BG873" s="1109"/>
      <c r="BH873" s="1109">
        <f t="shared" ref="BH873:BL873" si="991">BH526*$AY223</f>
        <v>0</v>
      </c>
      <c r="BI873" s="1109">
        <f t="shared" si="991"/>
        <v>0</v>
      </c>
      <c r="BJ873" s="1109">
        <f t="shared" si="991"/>
        <v>0</v>
      </c>
      <c r="BK873" s="1109">
        <f t="shared" si="991"/>
        <v>0</v>
      </c>
      <c r="BL873" s="1109">
        <f t="shared" si="991"/>
        <v>0</v>
      </c>
    </row>
    <row r="874" spans="2:64" hidden="1" outlineLevel="1">
      <c r="B874" s="1094"/>
      <c r="C874" s="1071" t="str">
        <f t="shared" ref="C874:F874" si="992">C527</f>
        <v>Replacement Airfield Cabling Cork</v>
      </c>
      <c r="D874" s="1071" t="str">
        <f t="shared" si="992"/>
        <v>Replacement Airfield Cabling</v>
      </c>
      <c r="E874" s="1071" t="str">
        <f t="shared" si="992"/>
        <v>R006A</v>
      </c>
      <c r="F874" s="1125" t="str">
        <f t="shared" si="992"/>
        <v>2021-2024</v>
      </c>
      <c r="H874" s="1071" t="s">
        <v>29</v>
      </c>
      <c r="J874" s="1071" t="s">
        <v>79</v>
      </c>
      <c r="BB874" s="1108"/>
      <c r="BC874" s="1109"/>
      <c r="BD874" s="1109"/>
      <c r="BE874" s="1109"/>
      <c r="BF874" s="1109"/>
      <c r="BG874" s="1109"/>
      <c r="BH874" s="1109">
        <f t="shared" ref="BH874:BL874" si="993">BH527*$AY224</f>
        <v>0</v>
      </c>
      <c r="BI874" s="1109">
        <f t="shared" si="993"/>
        <v>0</v>
      </c>
      <c r="BJ874" s="1109">
        <f t="shared" si="993"/>
        <v>0</v>
      </c>
      <c r="BK874" s="1109">
        <f t="shared" si="993"/>
        <v>0</v>
      </c>
      <c r="BL874" s="1109">
        <f t="shared" si="993"/>
        <v>0</v>
      </c>
    </row>
    <row r="875" spans="2:64" hidden="1" outlineLevel="1">
      <c r="B875" s="1094"/>
      <c r="C875" s="1071" t="str">
        <f t="shared" ref="C875:F875" si="994">C528</f>
        <v>VHF Replacement Programme</v>
      </c>
      <c r="D875" s="1071" t="str">
        <f t="shared" si="994"/>
        <v>VHF Replacement Programme</v>
      </c>
      <c r="E875" s="1071" t="str">
        <f t="shared" si="994"/>
        <v>Q006</v>
      </c>
      <c r="F875" s="1125" t="str">
        <f t="shared" si="994"/>
        <v>2021-2024</v>
      </c>
      <c r="H875" s="1071" t="s">
        <v>29</v>
      </c>
      <c r="J875" s="1071" t="s">
        <v>79</v>
      </c>
      <c r="BB875" s="1108"/>
      <c r="BC875" s="1109"/>
      <c r="BD875" s="1109"/>
      <c r="BE875" s="1109"/>
      <c r="BF875" s="1109"/>
      <c r="BG875" s="1109"/>
      <c r="BH875" s="1109">
        <f t="shared" ref="BH875:BL875" si="995">BH528*$AY225</f>
        <v>0</v>
      </c>
      <c r="BI875" s="1109">
        <f t="shared" si="995"/>
        <v>0</v>
      </c>
      <c r="BJ875" s="1109">
        <f t="shared" si="995"/>
        <v>0</v>
      </c>
      <c r="BK875" s="1109">
        <f t="shared" si="995"/>
        <v>0</v>
      </c>
      <c r="BL875" s="1109">
        <f t="shared" si="995"/>
        <v>0</v>
      </c>
    </row>
    <row r="876" spans="2:64" hidden="1" outlineLevel="1">
      <c r="B876" s="1094"/>
      <c r="C876" s="1071" t="str">
        <f t="shared" ref="C876:F876" si="996">C529</f>
        <v>VHF Replacement Dublin</v>
      </c>
      <c r="D876" s="1071" t="str">
        <f t="shared" si="996"/>
        <v>VHF Replacement Programme</v>
      </c>
      <c r="E876" s="1071" t="str">
        <f t="shared" si="996"/>
        <v>Q006A</v>
      </c>
      <c r="F876" s="1125" t="str">
        <f t="shared" si="996"/>
        <v>2021-2024</v>
      </c>
      <c r="H876" s="1071" t="s">
        <v>29</v>
      </c>
      <c r="J876" s="1071" t="s">
        <v>79</v>
      </c>
      <c r="BB876" s="1108"/>
      <c r="BC876" s="1109"/>
      <c r="BD876" s="1109"/>
      <c r="BE876" s="1109"/>
      <c r="BF876" s="1109"/>
      <c r="BG876" s="1109"/>
      <c r="BH876" s="1109">
        <f t="shared" ref="BH876:BL876" si="997">BH529*$AY226</f>
        <v>0</v>
      </c>
      <c r="BI876" s="1109">
        <f t="shared" si="997"/>
        <v>0</v>
      </c>
      <c r="BJ876" s="1109">
        <f t="shared" si="997"/>
        <v>0</v>
      </c>
      <c r="BK876" s="1109">
        <f t="shared" si="997"/>
        <v>0</v>
      </c>
      <c r="BL876" s="1109">
        <f t="shared" si="997"/>
        <v>0</v>
      </c>
    </row>
    <row r="877" spans="2:64" hidden="1" outlineLevel="1">
      <c r="B877" s="1094"/>
      <c r="C877" s="1071" t="str">
        <f t="shared" ref="C877:F877" si="998">C530</f>
        <v>VHF Replacement Shannon</v>
      </c>
      <c r="D877" s="1071" t="str">
        <f t="shared" si="998"/>
        <v>VHF Replacement Programme</v>
      </c>
      <c r="E877" s="1071" t="str">
        <f t="shared" si="998"/>
        <v>Q006A</v>
      </c>
      <c r="F877" s="1125" t="str">
        <f t="shared" si="998"/>
        <v>2021-2024</v>
      </c>
      <c r="H877" s="1071" t="s">
        <v>29</v>
      </c>
      <c r="J877" s="1071" t="s">
        <v>79</v>
      </c>
      <c r="BB877" s="1108"/>
      <c r="BC877" s="1109"/>
      <c r="BD877" s="1109"/>
      <c r="BE877" s="1109"/>
      <c r="BF877" s="1109"/>
      <c r="BG877" s="1109"/>
      <c r="BH877" s="1109">
        <f t="shared" ref="BH877:BL877" si="999">BH530*$AY227</f>
        <v>0</v>
      </c>
      <c r="BI877" s="1109">
        <f t="shared" si="999"/>
        <v>0</v>
      </c>
      <c r="BJ877" s="1109">
        <f t="shared" si="999"/>
        <v>0</v>
      </c>
      <c r="BK877" s="1109">
        <f t="shared" si="999"/>
        <v>19.875</v>
      </c>
      <c r="BL877" s="1109">
        <f t="shared" si="999"/>
        <v>39.75</v>
      </c>
    </row>
    <row r="878" spans="2:64" hidden="1" outlineLevel="1">
      <c r="B878" s="1094"/>
      <c r="C878" s="1071" t="str">
        <f t="shared" ref="C878:F878" si="1000">C531</f>
        <v>VHF Replacement Cork</v>
      </c>
      <c r="D878" s="1071" t="str">
        <f t="shared" si="1000"/>
        <v>VHF Replacement Programme</v>
      </c>
      <c r="E878" s="1071" t="str">
        <f t="shared" si="1000"/>
        <v>Q006A</v>
      </c>
      <c r="F878" s="1125" t="str">
        <f t="shared" si="1000"/>
        <v>2021-2024</v>
      </c>
      <c r="H878" s="1071" t="s">
        <v>29</v>
      </c>
      <c r="J878" s="1071" t="s">
        <v>79</v>
      </c>
      <c r="BB878" s="1108"/>
      <c r="BC878" s="1109"/>
      <c r="BD878" s="1109"/>
      <c r="BE878" s="1109"/>
      <c r="BF878" s="1109"/>
      <c r="BG878" s="1109"/>
      <c r="BH878" s="1109">
        <f t="shared" ref="BH878:BL878" si="1001">BH531*$AY228</f>
        <v>0</v>
      </c>
      <c r="BI878" s="1109">
        <f t="shared" si="1001"/>
        <v>0</v>
      </c>
      <c r="BJ878" s="1109">
        <f t="shared" si="1001"/>
        <v>0</v>
      </c>
      <c r="BK878" s="1109">
        <f t="shared" si="1001"/>
        <v>0</v>
      </c>
      <c r="BL878" s="1109">
        <f t="shared" si="1001"/>
        <v>0</v>
      </c>
    </row>
    <row r="879" spans="2:64" hidden="1" outlineLevel="1">
      <c r="B879" s="1094"/>
      <c r="C879" s="1071" t="str">
        <f t="shared" ref="C879:F879" si="1002">C532</f>
        <v>VHF Replacement Remote Sites</v>
      </c>
      <c r="D879" s="1071" t="str">
        <f t="shared" si="1002"/>
        <v>VHF Replacement Programme</v>
      </c>
      <c r="E879" s="1071" t="str">
        <f t="shared" si="1002"/>
        <v>Q006A</v>
      </c>
      <c r="F879" s="1125" t="str">
        <f t="shared" si="1002"/>
        <v>2021-2024</v>
      </c>
      <c r="H879" s="1071" t="s">
        <v>29</v>
      </c>
      <c r="J879" s="1071" t="s">
        <v>79</v>
      </c>
      <c r="BB879" s="1108"/>
      <c r="BC879" s="1109"/>
      <c r="BD879" s="1109"/>
      <c r="BE879" s="1109"/>
      <c r="BF879" s="1109"/>
      <c r="BG879" s="1109"/>
      <c r="BH879" s="1109">
        <f t="shared" ref="BH879:BL879" si="1003">BH532*$AY229</f>
        <v>0</v>
      </c>
      <c r="BI879" s="1109">
        <f t="shared" si="1003"/>
        <v>0</v>
      </c>
      <c r="BJ879" s="1109">
        <f t="shared" si="1003"/>
        <v>21</v>
      </c>
      <c r="BK879" s="1109">
        <f t="shared" si="1003"/>
        <v>51</v>
      </c>
      <c r="BL879" s="1109">
        <f t="shared" si="1003"/>
        <v>78</v>
      </c>
    </row>
    <row r="880" spans="2:64" hidden="1" outlineLevel="1">
      <c r="B880" s="1094"/>
      <c r="C880" s="1071" t="str">
        <f t="shared" ref="C880:F880" si="1004">C533</f>
        <v>Met Server  SHN</v>
      </c>
      <c r="D880" s="1071" t="str">
        <f t="shared" si="1004"/>
        <v>Met Server</v>
      </c>
      <c r="E880" s="1071" t="str">
        <f t="shared" si="1004"/>
        <v>R016A</v>
      </c>
      <c r="F880" s="1125" t="str">
        <f t="shared" si="1004"/>
        <v>2021-2024</v>
      </c>
      <c r="H880" s="1071" t="s">
        <v>29</v>
      </c>
      <c r="J880" s="1071" t="s">
        <v>79</v>
      </c>
      <c r="BB880" s="1108"/>
      <c r="BC880" s="1109"/>
      <c r="BD880" s="1109"/>
      <c r="BE880" s="1109"/>
      <c r="BF880" s="1109"/>
      <c r="BG880" s="1109"/>
      <c r="BH880" s="1109">
        <f t="shared" ref="BH880:BL880" si="1005">BH533*$AY230</f>
        <v>0</v>
      </c>
      <c r="BI880" s="1109">
        <f t="shared" si="1005"/>
        <v>0</v>
      </c>
      <c r="BJ880" s="1109">
        <f t="shared" si="1005"/>
        <v>16.660338750000001</v>
      </c>
      <c r="BK880" s="1109">
        <f t="shared" si="1005"/>
        <v>66.641355000000004</v>
      </c>
      <c r="BL880" s="1109">
        <f t="shared" si="1005"/>
        <v>66.641355000000004</v>
      </c>
    </row>
    <row r="881" spans="2:64" hidden="1" outlineLevel="1">
      <c r="B881" s="1094"/>
      <c r="C881" s="1071" t="str">
        <f t="shared" ref="C881:F881" si="1006">C534</f>
        <v>Met Server  DUB</v>
      </c>
      <c r="D881" s="1071" t="str">
        <f t="shared" si="1006"/>
        <v>Met Server</v>
      </c>
      <c r="E881" s="1071" t="str">
        <f t="shared" si="1006"/>
        <v>R016A</v>
      </c>
      <c r="F881" s="1125" t="str">
        <f t="shared" si="1006"/>
        <v>2021-2024</v>
      </c>
      <c r="H881" s="1071" t="s">
        <v>29</v>
      </c>
      <c r="J881" s="1071" t="s">
        <v>79</v>
      </c>
      <c r="BB881" s="1108"/>
      <c r="BC881" s="1109"/>
      <c r="BD881" s="1109"/>
      <c r="BE881" s="1109"/>
      <c r="BF881" s="1109"/>
      <c r="BG881" s="1109"/>
      <c r="BH881" s="1109">
        <f t="shared" ref="BH881:BL881" si="1007">BH534*$AY231</f>
        <v>0</v>
      </c>
      <c r="BI881" s="1109">
        <f t="shared" si="1007"/>
        <v>16.660338750000001</v>
      </c>
      <c r="BJ881" s="1109">
        <f t="shared" si="1007"/>
        <v>66.641355000000004</v>
      </c>
      <c r="BK881" s="1109">
        <f t="shared" si="1007"/>
        <v>66.641355000000004</v>
      </c>
      <c r="BL881" s="1109">
        <f t="shared" si="1007"/>
        <v>66.641355000000004</v>
      </c>
    </row>
    <row r="882" spans="2:64" hidden="1" outlineLevel="1">
      <c r="B882" s="1094"/>
      <c r="C882" s="1071" t="str">
        <f t="shared" ref="C882:F882" si="1008">C535</f>
        <v>Fire Safey Upgrade Works</v>
      </c>
      <c r="D882" s="1071" t="str">
        <f t="shared" si="1008"/>
        <v>Fire Safey Upgrade Works</v>
      </c>
      <c r="E882" s="1071" t="str">
        <f t="shared" si="1008"/>
        <v>T008</v>
      </c>
      <c r="F882" s="1125" t="str">
        <f t="shared" si="1008"/>
        <v>2021-2024</v>
      </c>
      <c r="H882" s="1071" t="s">
        <v>29</v>
      </c>
      <c r="J882" s="1071" t="s">
        <v>79</v>
      </c>
      <c r="BB882" s="1108"/>
      <c r="BC882" s="1109"/>
      <c r="BD882" s="1109"/>
      <c r="BE882" s="1109"/>
      <c r="BF882" s="1109"/>
      <c r="BG882" s="1109"/>
      <c r="BH882" s="1109">
        <f t="shared" ref="BH882:BL882" si="1009">BH535*$AY232</f>
        <v>0</v>
      </c>
      <c r="BI882" s="1109">
        <f t="shared" si="1009"/>
        <v>0</v>
      </c>
      <c r="BJ882" s="1109">
        <f t="shared" si="1009"/>
        <v>0</v>
      </c>
      <c r="BK882" s="1109">
        <f t="shared" si="1009"/>
        <v>0</v>
      </c>
      <c r="BL882" s="1109">
        <f t="shared" si="1009"/>
        <v>0</v>
      </c>
    </row>
    <row r="883" spans="2:64" hidden="1" outlineLevel="1">
      <c r="B883" s="1094"/>
      <c r="C883" s="1071" t="str">
        <f t="shared" ref="C883:F883" si="1010">C536</f>
        <v>Fire Safey Upgrade Works Dublin</v>
      </c>
      <c r="D883" s="1071" t="str">
        <f t="shared" si="1010"/>
        <v>Fire Safey Upgrade Works</v>
      </c>
      <c r="E883" s="1071" t="str">
        <f t="shared" si="1010"/>
        <v>T008A</v>
      </c>
      <c r="F883" s="1125" t="str">
        <f t="shared" si="1010"/>
        <v>2021-2024</v>
      </c>
      <c r="H883" s="1071" t="s">
        <v>29</v>
      </c>
      <c r="J883" s="1071" t="s">
        <v>79</v>
      </c>
      <c r="BB883" s="1108"/>
      <c r="BC883" s="1109"/>
      <c r="BD883" s="1109"/>
      <c r="BE883" s="1109"/>
      <c r="BF883" s="1109"/>
      <c r="BG883" s="1109"/>
      <c r="BH883" s="1109">
        <f t="shared" ref="BH883:BL883" si="1011">BH536*$AY233</f>
        <v>0</v>
      </c>
      <c r="BI883" s="1109">
        <f t="shared" si="1011"/>
        <v>33.395502929743053</v>
      </c>
      <c r="BJ883" s="1109">
        <f t="shared" si="1011"/>
        <v>130.59383723965743</v>
      </c>
      <c r="BK883" s="1109">
        <f t="shared" si="1011"/>
        <v>135.01133723965739</v>
      </c>
      <c r="BL883" s="1109">
        <f t="shared" si="1011"/>
        <v>135.01133723965739</v>
      </c>
    </row>
    <row r="884" spans="2:64" hidden="1" outlineLevel="1">
      <c r="B884" s="1094"/>
      <c r="C884" s="1071" t="str">
        <f t="shared" ref="C884:F884" si="1012">C537</f>
        <v>Fire Safey Upgrade Works Shannon</v>
      </c>
      <c r="D884" s="1071" t="str">
        <f t="shared" si="1012"/>
        <v>Fire Safey Upgrade Works</v>
      </c>
      <c r="E884" s="1071" t="str">
        <f t="shared" si="1012"/>
        <v>T008A</v>
      </c>
      <c r="F884" s="1125" t="str">
        <f t="shared" si="1012"/>
        <v>2021-2024</v>
      </c>
      <c r="H884" s="1071" t="s">
        <v>29</v>
      </c>
      <c r="J884" s="1071" t="s">
        <v>79</v>
      </c>
      <c r="BB884" s="1108"/>
      <c r="BC884" s="1109"/>
      <c r="BD884" s="1109"/>
      <c r="BE884" s="1109"/>
      <c r="BF884" s="1109"/>
      <c r="BG884" s="1109"/>
      <c r="BH884" s="1109">
        <f t="shared" ref="BH884:BL884" si="1013">BH537*$AY234</f>
        <v>0</v>
      </c>
      <c r="BI884" s="1109">
        <f t="shared" si="1013"/>
        <v>28.012061306268997</v>
      </c>
      <c r="BJ884" s="1109">
        <f t="shared" si="1013"/>
        <v>37.34941507502532</v>
      </c>
      <c r="BK884" s="1109">
        <f t="shared" si="1013"/>
        <v>37.34941507502532</v>
      </c>
      <c r="BL884" s="1109">
        <f t="shared" si="1013"/>
        <v>37.34941507502532</v>
      </c>
    </row>
    <row r="885" spans="2:64" hidden="1" outlineLevel="1">
      <c r="B885" s="1094"/>
      <c r="C885" s="1071" t="str">
        <f t="shared" ref="C885:F885" si="1014">C538</f>
        <v>Fire Safey Upgrade Works Cork</v>
      </c>
      <c r="D885" s="1071" t="str">
        <f t="shared" si="1014"/>
        <v>Fire Safey Upgrade Works</v>
      </c>
      <c r="E885" s="1071" t="str">
        <f t="shared" si="1014"/>
        <v>T008A</v>
      </c>
      <c r="F885" s="1125" t="str">
        <f t="shared" si="1014"/>
        <v>2021-2024</v>
      </c>
      <c r="H885" s="1071" t="s">
        <v>29</v>
      </c>
      <c r="J885" s="1071" t="s">
        <v>79</v>
      </c>
      <c r="BB885" s="1108"/>
      <c r="BC885" s="1109"/>
      <c r="BD885" s="1109"/>
      <c r="BE885" s="1109"/>
      <c r="BF885" s="1109"/>
      <c r="BG885" s="1109"/>
      <c r="BH885" s="1109">
        <f t="shared" ref="BH885:BL885" si="1015">BH538*$AY235</f>
        <v>0</v>
      </c>
      <c r="BI885" s="1109">
        <f t="shared" si="1015"/>
        <v>2.0307516344426482</v>
      </c>
      <c r="BJ885" s="1109">
        <f t="shared" si="1015"/>
        <v>9.9630065377705925</v>
      </c>
      <c r="BK885" s="1109">
        <f t="shared" si="1015"/>
        <v>9.9630065377705925</v>
      </c>
      <c r="BL885" s="1109">
        <f t="shared" si="1015"/>
        <v>9.9630065377705925</v>
      </c>
    </row>
    <row r="886" spans="2:64" hidden="1" outlineLevel="1">
      <c r="B886" s="1094"/>
      <c r="C886" s="1071" t="str">
        <f t="shared" ref="C886:F886" si="1016">C539</f>
        <v>IT Other Projects</v>
      </c>
      <c r="D886" s="1071" t="str">
        <f t="shared" si="1016"/>
        <v>IT Other Projects</v>
      </c>
      <c r="E886" s="1071" t="str">
        <f t="shared" si="1016"/>
        <v>RP3-ICTS-1</v>
      </c>
      <c r="F886" s="1125" t="str">
        <f t="shared" si="1016"/>
        <v>2021-2024</v>
      </c>
      <c r="H886" s="1071" t="s">
        <v>29</v>
      </c>
      <c r="J886" s="1071" t="s">
        <v>79</v>
      </c>
      <c r="BB886" s="1108"/>
      <c r="BC886" s="1109"/>
      <c r="BD886" s="1109"/>
      <c r="BE886" s="1109"/>
      <c r="BF886" s="1109"/>
      <c r="BG886" s="1109"/>
      <c r="BH886" s="1109">
        <f t="shared" ref="BH886:BL886" si="1017">BH539*$AY236</f>
        <v>0</v>
      </c>
      <c r="BI886" s="1109">
        <f t="shared" si="1017"/>
        <v>0</v>
      </c>
      <c r="BJ886" s="1109">
        <f t="shared" si="1017"/>
        <v>6.84375</v>
      </c>
      <c r="BK886" s="1109">
        <f t="shared" si="1017"/>
        <v>50.1875</v>
      </c>
      <c r="BL886" s="1109">
        <f t="shared" si="1017"/>
        <v>96.724999999999994</v>
      </c>
    </row>
    <row r="887" spans="2:64" hidden="1" outlineLevel="1">
      <c r="B887" s="1094"/>
      <c r="C887" s="1071" t="str">
        <f t="shared" ref="C887:F887" si="1018">C540</f>
        <v>Barco Screen Replacement - BCY</v>
      </c>
      <c r="D887" s="1071" t="str">
        <f t="shared" si="1018"/>
        <v>Barco Screen Replacement</v>
      </c>
      <c r="E887" s="1071" t="str">
        <f t="shared" si="1018"/>
        <v>RP3-SURV-4</v>
      </c>
      <c r="F887" s="1125" t="str">
        <f t="shared" si="1018"/>
        <v>2021-2024</v>
      </c>
      <c r="H887" s="1071" t="s">
        <v>29</v>
      </c>
      <c r="J887" s="1071" t="s">
        <v>79</v>
      </c>
      <c r="BB887" s="1108"/>
      <c r="BC887" s="1109"/>
      <c r="BD887" s="1109"/>
      <c r="BE887" s="1109"/>
      <c r="BF887" s="1109"/>
      <c r="BG887" s="1109"/>
      <c r="BH887" s="1109">
        <f t="shared" ref="BH887:BL887" si="1019">BH540*$AY237</f>
        <v>0</v>
      </c>
      <c r="BI887" s="1109">
        <f t="shared" si="1019"/>
        <v>0</v>
      </c>
      <c r="BJ887" s="1109">
        <f t="shared" si="1019"/>
        <v>0</v>
      </c>
      <c r="BK887" s="1109">
        <f t="shared" si="1019"/>
        <v>18.28125</v>
      </c>
      <c r="BL887" s="1109">
        <f t="shared" si="1019"/>
        <v>73.125</v>
      </c>
    </row>
    <row r="888" spans="2:64" hidden="1" outlineLevel="1">
      <c r="B888" s="1094"/>
      <c r="C888" s="1071" t="str">
        <f t="shared" ref="C888:F888" si="1020">C541</f>
        <v>Barco Screen Replacement - DAP</v>
      </c>
      <c r="D888" s="1071" t="str">
        <f t="shared" si="1020"/>
        <v>Barco Screen Replacement</v>
      </c>
      <c r="E888" s="1071" t="str">
        <f t="shared" si="1020"/>
        <v>RP3-SURV-4</v>
      </c>
      <c r="F888" s="1125" t="str">
        <f t="shared" si="1020"/>
        <v>2021-2024</v>
      </c>
      <c r="H888" s="1071" t="s">
        <v>29</v>
      </c>
      <c r="J888" s="1071" t="s">
        <v>79</v>
      </c>
      <c r="BB888" s="1108"/>
      <c r="BC888" s="1109"/>
      <c r="BD888" s="1109"/>
      <c r="BE888" s="1109"/>
      <c r="BF888" s="1109"/>
      <c r="BG888" s="1109"/>
      <c r="BH888" s="1109">
        <f t="shared" ref="BH888:BL888" si="1021">BH541*$AY238</f>
        <v>0</v>
      </c>
      <c r="BI888" s="1109">
        <f t="shared" si="1021"/>
        <v>0</v>
      </c>
      <c r="BJ888" s="1109">
        <f t="shared" si="1021"/>
        <v>0</v>
      </c>
      <c r="BK888" s="1109">
        <f t="shared" si="1021"/>
        <v>0</v>
      </c>
      <c r="BL888" s="1109">
        <f t="shared" si="1021"/>
        <v>9.84375</v>
      </c>
    </row>
    <row r="889" spans="2:64" hidden="1" outlineLevel="1">
      <c r="B889" s="1094"/>
      <c r="C889" s="1071" t="str">
        <f t="shared" ref="C889:F889" si="1022">C542</f>
        <v>Security Upgrades</v>
      </c>
      <c r="D889" s="1071" t="str">
        <f t="shared" si="1022"/>
        <v>Security Upgrades</v>
      </c>
      <c r="E889" s="1071" t="str">
        <f t="shared" si="1022"/>
        <v>RP3-PROP-2</v>
      </c>
      <c r="F889" s="1125" t="str">
        <f t="shared" si="1022"/>
        <v>2021-2024</v>
      </c>
      <c r="H889" s="1071" t="s">
        <v>29</v>
      </c>
      <c r="J889" s="1071" t="s">
        <v>79</v>
      </c>
      <c r="BB889" s="1108"/>
      <c r="BC889" s="1109"/>
      <c r="BD889" s="1109"/>
      <c r="BE889" s="1109"/>
      <c r="BF889" s="1109"/>
      <c r="BG889" s="1109"/>
      <c r="BH889" s="1109">
        <f t="shared" ref="BH889:BL889" si="1023">BH542*$AY239</f>
        <v>0</v>
      </c>
      <c r="BI889" s="1109">
        <f t="shared" si="1023"/>
        <v>0</v>
      </c>
      <c r="BJ889" s="1109">
        <f t="shared" si="1023"/>
        <v>0</v>
      </c>
      <c r="BK889" s="1109">
        <f t="shared" si="1023"/>
        <v>0</v>
      </c>
      <c r="BL889" s="1109">
        <f t="shared" si="1023"/>
        <v>0</v>
      </c>
    </row>
    <row r="890" spans="2:64" hidden="1" outlineLevel="1">
      <c r="B890" s="1094"/>
      <c r="C890" s="1071" t="str">
        <f t="shared" ref="C890:F890" si="1024">C543</f>
        <v>Security Upgrades Shannon En Route</v>
      </c>
      <c r="D890" s="1071" t="str">
        <f t="shared" si="1024"/>
        <v>Security Upgrades</v>
      </c>
      <c r="E890" s="1071" t="str">
        <f t="shared" si="1024"/>
        <v>RP3-PROP-2</v>
      </c>
      <c r="F890" s="1125" t="str">
        <f t="shared" si="1024"/>
        <v>2021-2024</v>
      </c>
      <c r="H890" s="1071" t="s">
        <v>29</v>
      </c>
      <c r="J890" s="1071" t="s">
        <v>79</v>
      </c>
      <c r="BB890" s="1108"/>
      <c r="BC890" s="1109"/>
      <c r="BD890" s="1109"/>
      <c r="BE890" s="1109"/>
      <c r="BF890" s="1109"/>
      <c r="BG890" s="1109"/>
      <c r="BH890" s="1109">
        <f t="shared" ref="BH890:BL890" si="1025">BH543*$AY240</f>
        <v>0</v>
      </c>
      <c r="BI890" s="1109">
        <f t="shared" si="1025"/>
        <v>2.46</v>
      </c>
      <c r="BJ890" s="1109">
        <f t="shared" si="1025"/>
        <v>12.540000000000001</v>
      </c>
      <c r="BK890" s="1109">
        <f t="shared" si="1025"/>
        <v>26.040000000000003</v>
      </c>
      <c r="BL890" s="1109">
        <f t="shared" si="1025"/>
        <v>26.040000000000003</v>
      </c>
    </row>
    <row r="891" spans="2:64" hidden="1" outlineLevel="1">
      <c r="B891" s="1094"/>
      <c r="C891" s="1071" t="str">
        <f t="shared" ref="C891:F891" si="1026">C544</f>
        <v>Security Upgrades Shannon Joint</v>
      </c>
      <c r="D891" s="1071" t="str">
        <f t="shared" si="1026"/>
        <v>Security Upgrades</v>
      </c>
      <c r="E891" s="1071" t="str">
        <f t="shared" si="1026"/>
        <v>RP3-PROP-2</v>
      </c>
      <c r="F891" s="1125" t="str">
        <f t="shared" si="1026"/>
        <v>2021-2024</v>
      </c>
      <c r="H891" s="1071" t="s">
        <v>29</v>
      </c>
      <c r="J891" s="1071" t="s">
        <v>79</v>
      </c>
      <c r="BB891" s="1108"/>
      <c r="BC891" s="1109"/>
      <c r="BD891" s="1109"/>
      <c r="BE891" s="1109"/>
      <c r="BF891" s="1109"/>
      <c r="BG891" s="1109"/>
      <c r="BH891" s="1109">
        <f t="shared" ref="BH891:BL891" si="1027">BH544*$AY241</f>
        <v>0</v>
      </c>
      <c r="BI891" s="1109">
        <f t="shared" si="1027"/>
        <v>3.0333659999999996</v>
      </c>
      <c r="BJ891" s="1109">
        <f t="shared" si="1027"/>
        <v>10.559981999999998</v>
      </c>
      <c r="BK891" s="1109">
        <f t="shared" si="1027"/>
        <v>15.791232000000003</v>
      </c>
      <c r="BL891" s="1109">
        <f t="shared" si="1027"/>
        <v>30.903732000000002</v>
      </c>
    </row>
    <row r="892" spans="2:64" hidden="1" outlineLevel="1">
      <c r="B892" s="1094"/>
      <c r="C892" s="1071" t="str">
        <f t="shared" ref="C892:F892" si="1028">C545</f>
        <v>Security Upgrades Dublin Joint</v>
      </c>
      <c r="D892" s="1071" t="str">
        <f t="shared" si="1028"/>
        <v>Security Upgrades</v>
      </c>
      <c r="E892" s="1071" t="str">
        <f t="shared" si="1028"/>
        <v>RP3-PROP-2</v>
      </c>
      <c r="F892" s="1125" t="str">
        <f t="shared" si="1028"/>
        <v>2021-2024</v>
      </c>
      <c r="H892" s="1071" t="s">
        <v>29</v>
      </c>
      <c r="J892" s="1071" t="s">
        <v>79</v>
      </c>
      <c r="BB892" s="1108"/>
      <c r="BC892" s="1109"/>
      <c r="BD892" s="1109"/>
      <c r="BE892" s="1109"/>
      <c r="BF892" s="1109"/>
      <c r="BG892" s="1109"/>
      <c r="BH892" s="1109">
        <f t="shared" ref="BH892:BL892" si="1029">BH545*$AY242</f>
        <v>0</v>
      </c>
      <c r="BI892" s="1109">
        <f t="shared" si="1029"/>
        <v>2.0812887</v>
      </c>
      <c r="BJ892" s="1109">
        <f t="shared" si="1029"/>
        <v>10.626904800000002</v>
      </c>
      <c r="BK892" s="1109">
        <f t="shared" si="1029"/>
        <v>18.648154800000004</v>
      </c>
      <c r="BL892" s="1109">
        <f t="shared" si="1029"/>
        <v>24.925654799999997</v>
      </c>
    </row>
    <row r="893" spans="2:64" hidden="1" outlineLevel="1">
      <c r="B893" s="1094"/>
      <c r="C893" s="1071" t="str">
        <f t="shared" ref="C893:F893" si="1030">C546</f>
        <v>Security Upgrades Dublin Terminal</v>
      </c>
      <c r="D893" s="1071" t="str">
        <f t="shared" si="1030"/>
        <v>Security Upgrades</v>
      </c>
      <c r="E893" s="1071" t="str">
        <f t="shared" si="1030"/>
        <v>RP3-PROP-2</v>
      </c>
      <c r="F893" s="1125" t="str">
        <f t="shared" si="1030"/>
        <v>2021-2024</v>
      </c>
      <c r="H893" s="1071" t="s">
        <v>29</v>
      </c>
      <c r="J893" s="1071" t="s">
        <v>79</v>
      </c>
      <c r="BB893" s="1108"/>
      <c r="BC893" s="1109"/>
      <c r="BD893" s="1109"/>
      <c r="BE893" s="1109"/>
      <c r="BF893" s="1109"/>
      <c r="BG893" s="1109"/>
      <c r="BH893" s="1109">
        <f t="shared" ref="BH893:BL893" si="1031">BH546*$AY243</f>
        <v>0</v>
      </c>
      <c r="BI893" s="1109">
        <f t="shared" si="1031"/>
        <v>0</v>
      </c>
      <c r="BJ893" s="1109">
        <f t="shared" si="1031"/>
        <v>0</v>
      </c>
      <c r="BK893" s="1109">
        <f t="shared" si="1031"/>
        <v>0</v>
      </c>
      <c r="BL893" s="1109">
        <f t="shared" si="1031"/>
        <v>0</v>
      </c>
    </row>
    <row r="894" spans="2:64" hidden="1" outlineLevel="1">
      <c r="B894" s="1094"/>
      <c r="C894" s="1071" t="str">
        <f t="shared" ref="C894:F894" si="1032">C547</f>
        <v>Security Upgrades Cork Terminal</v>
      </c>
      <c r="D894" s="1071" t="str">
        <f t="shared" si="1032"/>
        <v>Security Upgrades</v>
      </c>
      <c r="E894" s="1071" t="str">
        <f t="shared" si="1032"/>
        <v>RP3-PROP-2</v>
      </c>
      <c r="F894" s="1125" t="str">
        <f t="shared" si="1032"/>
        <v>2021-2024</v>
      </c>
      <c r="H894" s="1071" t="s">
        <v>29</v>
      </c>
      <c r="J894" s="1071" t="s">
        <v>79</v>
      </c>
      <c r="BB894" s="1108"/>
      <c r="BC894" s="1109"/>
      <c r="BD894" s="1109"/>
      <c r="BE894" s="1109"/>
      <c r="BF894" s="1109"/>
      <c r="BG894" s="1109"/>
      <c r="BH894" s="1109">
        <f t="shared" ref="BH894:BL894" si="1033">BH547*$AY244</f>
        <v>0</v>
      </c>
      <c r="BI894" s="1109">
        <f t="shared" si="1033"/>
        <v>0</v>
      </c>
      <c r="BJ894" s="1109">
        <f t="shared" si="1033"/>
        <v>0</v>
      </c>
      <c r="BK894" s="1109">
        <f t="shared" si="1033"/>
        <v>0</v>
      </c>
      <c r="BL894" s="1109">
        <f t="shared" si="1033"/>
        <v>0</v>
      </c>
    </row>
    <row r="895" spans="2:64" hidden="1" outlineLevel="1">
      <c r="B895" s="1094"/>
      <c r="C895" s="1071" t="str">
        <f t="shared" ref="C895:F895" si="1034">C548</f>
        <v>Security Upgrades HQ Joint</v>
      </c>
      <c r="D895" s="1071" t="str">
        <f t="shared" si="1034"/>
        <v>Security Upgrades</v>
      </c>
      <c r="E895" s="1071" t="str">
        <f t="shared" si="1034"/>
        <v>RP3-PROP-2</v>
      </c>
      <c r="F895" s="1125" t="str">
        <f t="shared" si="1034"/>
        <v>2021-2024</v>
      </c>
      <c r="H895" s="1071" t="s">
        <v>29</v>
      </c>
      <c r="J895" s="1071" t="s">
        <v>79</v>
      </c>
      <c r="BB895" s="1108"/>
      <c r="BC895" s="1109"/>
      <c r="BD895" s="1109"/>
      <c r="BE895" s="1109"/>
      <c r="BF895" s="1109"/>
      <c r="BG895" s="1109"/>
      <c r="BH895" s="1109">
        <f t="shared" ref="BH895:BL895" si="1035">BH548*$AY245</f>
        <v>0</v>
      </c>
      <c r="BI895" s="1109">
        <f t="shared" si="1035"/>
        <v>0</v>
      </c>
      <c r="BJ895" s="1109">
        <f t="shared" si="1035"/>
        <v>0</v>
      </c>
      <c r="BK895" s="1109">
        <f t="shared" si="1035"/>
        <v>4.5259999999999998</v>
      </c>
      <c r="BL895" s="1109">
        <f t="shared" si="1035"/>
        <v>4.5259999999999998</v>
      </c>
    </row>
    <row r="896" spans="2:64" hidden="1" outlineLevel="1">
      <c r="B896" s="1094"/>
      <c r="C896" s="1071" t="str">
        <f t="shared" ref="C896:F896" si="1036">C549</f>
        <v>Rostering project</v>
      </c>
      <c r="D896" s="1071" t="str">
        <f t="shared" si="1036"/>
        <v>Rostering project</v>
      </c>
      <c r="E896" s="1071" t="str">
        <f t="shared" si="1036"/>
        <v>S027</v>
      </c>
      <c r="F896" s="1125" t="str">
        <f t="shared" si="1036"/>
        <v>2021-2024</v>
      </c>
      <c r="H896" s="1071" t="s">
        <v>29</v>
      </c>
      <c r="J896" s="1071" t="s">
        <v>79</v>
      </c>
      <c r="BB896" s="1108"/>
      <c r="BC896" s="1109"/>
      <c r="BD896" s="1109"/>
      <c r="BE896" s="1109"/>
      <c r="BF896" s="1109"/>
      <c r="BG896" s="1109"/>
      <c r="BH896" s="1109">
        <f t="shared" ref="BH896:BL896" si="1037">BH549*$AY246</f>
        <v>0</v>
      </c>
      <c r="BI896" s="1109">
        <f t="shared" si="1037"/>
        <v>0</v>
      </c>
      <c r="BJ896" s="1109">
        <f t="shared" si="1037"/>
        <v>48.75</v>
      </c>
      <c r="BK896" s="1109">
        <f t="shared" si="1037"/>
        <v>97.5</v>
      </c>
      <c r="BL896" s="1109">
        <f t="shared" si="1037"/>
        <v>97.5</v>
      </c>
    </row>
    <row r="897" spans="2:64" hidden="1" outlineLevel="1">
      <c r="B897" s="1094"/>
      <c r="C897" s="1071" t="str">
        <f t="shared" ref="C897:F897" si="1038">C550</f>
        <v>New Tower Simulator Dublin IATS</v>
      </c>
      <c r="D897" s="1071" t="str">
        <f t="shared" si="1038"/>
        <v>New Tower Simulator Dublin IATS</v>
      </c>
      <c r="E897" s="1071" t="str">
        <f t="shared" si="1038"/>
        <v>R017</v>
      </c>
      <c r="F897" s="1125" t="str">
        <f t="shared" si="1038"/>
        <v>2021-2024</v>
      </c>
      <c r="H897" s="1071" t="s">
        <v>29</v>
      </c>
      <c r="J897" s="1071" t="s">
        <v>79</v>
      </c>
      <c r="BB897" s="1108"/>
      <c r="BC897" s="1109"/>
      <c r="BD897" s="1109"/>
      <c r="BE897" s="1109"/>
      <c r="BF897" s="1109"/>
      <c r="BG897" s="1109"/>
      <c r="BH897" s="1109">
        <f t="shared" ref="BH897:BL897" si="1039">BH550*$AY247</f>
        <v>0</v>
      </c>
      <c r="BI897" s="1109">
        <f t="shared" si="1039"/>
        <v>0</v>
      </c>
      <c r="BJ897" s="1109">
        <f t="shared" si="1039"/>
        <v>0</v>
      </c>
      <c r="BK897" s="1109">
        <f t="shared" si="1039"/>
        <v>0</v>
      </c>
      <c r="BL897" s="1109">
        <f t="shared" si="1039"/>
        <v>0</v>
      </c>
    </row>
    <row r="898" spans="2:64" hidden="1" outlineLevel="1">
      <c r="B898" s="1094"/>
      <c r="C898" s="1071" t="str">
        <f t="shared" ref="C898:F898" si="1040">C551</f>
        <v>EDISON Core Network &amp; Cyber Security</v>
      </c>
      <c r="D898" s="1071" t="str">
        <f t="shared" si="1040"/>
        <v>EDISON Core Network &amp; Cyber Security</v>
      </c>
      <c r="E898" s="1071" t="str">
        <f t="shared" si="1040"/>
        <v>S007</v>
      </c>
      <c r="F898" s="1125" t="str">
        <f t="shared" si="1040"/>
        <v>2021-2024</v>
      </c>
      <c r="H898" s="1071" t="s">
        <v>29</v>
      </c>
      <c r="J898" s="1071" t="s">
        <v>79</v>
      </c>
      <c r="BB898" s="1108"/>
      <c r="BC898" s="1109"/>
      <c r="BD898" s="1109"/>
      <c r="BE898" s="1109"/>
      <c r="BF898" s="1109"/>
      <c r="BG898" s="1109"/>
      <c r="BH898" s="1109">
        <f t="shared" ref="BH898:BL898" si="1041">BH551*$AY248</f>
        <v>0</v>
      </c>
      <c r="BI898" s="1109">
        <f t="shared" si="1041"/>
        <v>0</v>
      </c>
      <c r="BJ898" s="1109">
        <f t="shared" si="1041"/>
        <v>37.217929500000011</v>
      </c>
      <c r="BK898" s="1109">
        <f t="shared" si="1041"/>
        <v>74.435859000000022</v>
      </c>
      <c r="BL898" s="1109">
        <f t="shared" si="1041"/>
        <v>74.435859000000022</v>
      </c>
    </row>
    <row r="899" spans="2:64" hidden="1" outlineLevel="1">
      <c r="B899" s="1094"/>
      <c r="C899" s="1071" t="str">
        <f t="shared" ref="C899:F899" si="1042">C552</f>
        <v>Chiller and AHU Replacement Dublin</v>
      </c>
      <c r="D899" s="1071" t="str">
        <f t="shared" si="1042"/>
        <v>Chiller and AHU Replacement Dublin</v>
      </c>
      <c r="E899" s="1071" t="str">
        <f t="shared" si="1042"/>
        <v>T014</v>
      </c>
      <c r="F899" s="1125" t="str">
        <f t="shared" si="1042"/>
        <v>2021-2024</v>
      </c>
      <c r="H899" s="1071" t="s">
        <v>29</v>
      </c>
      <c r="J899" s="1071" t="s">
        <v>79</v>
      </c>
      <c r="BB899" s="1108"/>
      <c r="BC899" s="1109"/>
      <c r="BD899" s="1109"/>
      <c r="BE899" s="1109"/>
      <c r="BF899" s="1109"/>
      <c r="BG899" s="1109"/>
      <c r="BH899" s="1109">
        <f t="shared" ref="BH899:BL899" si="1043">BH552*$AY249</f>
        <v>0</v>
      </c>
      <c r="BI899" s="1109">
        <f t="shared" si="1043"/>
        <v>8.5630420000000029</v>
      </c>
      <c r="BJ899" s="1109">
        <f t="shared" si="1043"/>
        <v>37.526084000000004</v>
      </c>
      <c r="BK899" s="1109">
        <f t="shared" si="1043"/>
        <v>37.526084000000004</v>
      </c>
      <c r="BL899" s="1109">
        <f t="shared" si="1043"/>
        <v>37.526084000000004</v>
      </c>
    </row>
    <row r="900" spans="2:64" hidden="1" outlineLevel="1">
      <c r="B900" s="1094"/>
      <c r="C900" s="1071" t="str">
        <f t="shared" ref="C900:F900" si="1044">C553</f>
        <v>U023 2.6 GHz Filters (SHN)</v>
      </c>
      <c r="D900" s="1071" t="str">
        <f t="shared" si="1044"/>
        <v>U023 2.6 GHz Filters</v>
      </c>
      <c r="E900" s="1071" t="str">
        <f t="shared" si="1044"/>
        <v>U023</v>
      </c>
      <c r="F900" s="1125" t="str">
        <f t="shared" si="1044"/>
        <v>2021-2024</v>
      </c>
      <c r="H900" s="1071" t="s">
        <v>29</v>
      </c>
      <c r="J900" s="1071" t="s">
        <v>79</v>
      </c>
      <c r="BB900" s="1108"/>
      <c r="BC900" s="1109"/>
      <c r="BD900" s="1109"/>
      <c r="BE900" s="1109"/>
      <c r="BF900" s="1109"/>
      <c r="BG900" s="1109"/>
      <c r="BH900" s="1109">
        <f t="shared" ref="BH900:BL900" si="1045">BH553*$AY250</f>
        <v>0</v>
      </c>
      <c r="BI900" s="1109">
        <f t="shared" si="1045"/>
        <v>5.625</v>
      </c>
      <c r="BJ900" s="1109">
        <f t="shared" si="1045"/>
        <v>22.5</v>
      </c>
      <c r="BK900" s="1109">
        <f t="shared" si="1045"/>
        <v>22.5</v>
      </c>
      <c r="BL900" s="1109">
        <f t="shared" si="1045"/>
        <v>22.5</v>
      </c>
    </row>
    <row r="901" spans="2:64" hidden="1" outlineLevel="1">
      <c r="B901" s="1094"/>
      <c r="C901" s="1071" t="str">
        <f t="shared" ref="C901:F901" si="1046">C554</f>
        <v>U023 2.6 GHz Filters (CRK)</v>
      </c>
      <c r="D901" s="1071" t="str">
        <f t="shared" si="1046"/>
        <v>U023 2.6 GHz Filters</v>
      </c>
      <c r="E901" s="1071" t="str">
        <f t="shared" si="1046"/>
        <v>U023A</v>
      </c>
      <c r="F901" s="1125" t="str">
        <f t="shared" si="1046"/>
        <v>2021-2024</v>
      </c>
      <c r="H901" s="1071" t="s">
        <v>29</v>
      </c>
      <c r="J901" s="1071" t="s">
        <v>79</v>
      </c>
      <c r="BB901" s="1108"/>
      <c r="BC901" s="1109"/>
      <c r="BD901" s="1109"/>
      <c r="BE901" s="1109"/>
      <c r="BF901" s="1109"/>
      <c r="BG901" s="1109"/>
      <c r="BH901" s="1109">
        <f t="shared" ref="BH901:BL901" si="1047">BH554*$AY251</f>
        <v>0</v>
      </c>
      <c r="BI901" s="1109">
        <f t="shared" si="1047"/>
        <v>3.75</v>
      </c>
      <c r="BJ901" s="1109">
        <f t="shared" si="1047"/>
        <v>15</v>
      </c>
      <c r="BK901" s="1109">
        <f t="shared" si="1047"/>
        <v>15</v>
      </c>
      <c r="BL901" s="1109">
        <f t="shared" si="1047"/>
        <v>15</v>
      </c>
    </row>
    <row r="902" spans="2:64" hidden="1" outlineLevel="1">
      <c r="B902" s="1094"/>
      <c r="C902" s="1071" t="str">
        <f t="shared" ref="C902:F902" si="1048">C555</f>
        <v>U023 2.6 GHz Filters (DUB)</v>
      </c>
      <c r="D902" s="1071" t="str">
        <f t="shared" si="1048"/>
        <v>U023 2.6 GHz Filters</v>
      </c>
      <c r="E902" s="1071" t="str">
        <f t="shared" si="1048"/>
        <v>U023A</v>
      </c>
      <c r="F902" s="1125" t="str">
        <f t="shared" si="1048"/>
        <v>2021-2024</v>
      </c>
      <c r="H902" s="1071" t="s">
        <v>29</v>
      </c>
      <c r="J902" s="1071" t="s">
        <v>79</v>
      </c>
      <c r="BB902" s="1108"/>
      <c r="BC902" s="1109"/>
      <c r="BD902" s="1109"/>
      <c r="BE902" s="1109"/>
      <c r="BF902" s="1109"/>
      <c r="BG902" s="1109"/>
      <c r="BH902" s="1109">
        <f t="shared" ref="BH902:BL902" si="1049">BH555*$AY252</f>
        <v>0</v>
      </c>
      <c r="BI902" s="1109">
        <f t="shared" si="1049"/>
        <v>0</v>
      </c>
      <c r="BJ902" s="1109">
        <f t="shared" si="1049"/>
        <v>22.5</v>
      </c>
      <c r="BK902" s="1109">
        <f t="shared" si="1049"/>
        <v>22.5</v>
      </c>
      <c r="BL902" s="1109">
        <f t="shared" si="1049"/>
        <v>22.5</v>
      </c>
    </row>
    <row r="903" spans="2:64" hidden="1" outlineLevel="1">
      <c r="B903" s="1094"/>
      <c r="C903" s="1071" t="str">
        <f t="shared" ref="C903:F903" si="1050">C556</f>
        <v>SIEM &amp; SOC Software</v>
      </c>
      <c r="D903" s="1071" t="str">
        <f t="shared" si="1050"/>
        <v>SIEM &amp; SOC Software</v>
      </c>
      <c r="E903" s="1071" t="str">
        <f t="shared" si="1050"/>
        <v>U019</v>
      </c>
      <c r="F903" s="1125" t="str">
        <f t="shared" si="1050"/>
        <v>2021-2024</v>
      </c>
      <c r="H903" s="1071" t="s">
        <v>29</v>
      </c>
      <c r="J903" s="1071" t="s">
        <v>79</v>
      </c>
      <c r="BB903" s="1108"/>
      <c r="BC903" s="1109"/>
      <c r="BD903" s="1109"/>
      <c r="BE903" s="1109"/>
      <c r="BF903" s="1109"/>
      <c r="BG903" s="1109"/>
      <c r="BH903" s="1109">
        <f t="shared" ref="BH903:BL903" si="1051">BH556*$AY253</f>
        <v>0</v>
      </c>
      <c r="BI903" s="1109">
        <f t="shared" si="1051"/>
        <v>0</v>
      </c>
      <c r="BJ903" s="1109">
        <f t="shared" si="1051"/>
        <v>58.4</v>
      </c>
      <c r="BK903" s="1109">
        <f t="shared" si="1051"/>
        <v>77.866666666666674</v>
      </c>
      <c r="BL903" s="1109">
        <f t="shared" si="1051"/>
        <v>97.333333333333343</v>
      </c>
    </row>
    <row r="904" spans="2:64" hidden="1" outlineLevel="1">
      <c r="B904" s="1094"/>
      <c r="C904" s="1071" t="str">
        <f t="shared" ref="C904:F904" si="1052">C557</f>
        <v>Aireon Infrastructure</v>
      </c>
      <c r="D904" s="1071" t="str">
        <f t="shared" si="1052"/>
        <v>Aireon Infrastructure</v>
      </c>
      <c r="E904" s="1071" t="str">
        <f t="shared" si="1052"/>
        <v>Q002</v>
      </c>
      <c r="F904" s="1125" t="str">
        <f t="shared" si="1052"/>
        <v>2021-2024</v>
      </c>
      <c r="H904" s="1071" t="s">
        <v>29</v>
      </c>
      <c r="J904" s="1071" t="s">
        <v>79</v>
      </c>
      <c r="BB904" s="1108"/>
      <c r="BC904" s="1109"/>
      <c r="BD904" s="1109"/>
      <c r="BE904" s="1109"/>
      <c r="BF904" s="1109"/>
      <c r="BG904" s="1109"/>
      <c r="BH904" s="1109">
        <f t="shared" ref="BH904:BL904" si="1053">BH557*$AY254</f>
        <v>0</v>
      </c>
      <c r="BI904" s="1109">
        <f t="shared" si="1053"/>
        <v>4.5</v>
      </c>
      <c r="BJ904" s="1109">
        <f t="shared" si="1053"/>
        <v>24.30833475</v>
      </c>
      <c r="BK904" s="1109">
        <f t="shared" si="1053"/>
        <v>79.233339000000001</v>
      </c>
      <c r="BL904" s="1109">
        <f t="shared" si="1053"/>
        <v>79.233339000000001</v>
      </c>
    </row>
    <row r="905" spans="2:64" hidden="1" outlineLevel="1">
      <c r="B905" s="1094"/>
      <c r="C905" s="1071" t="str">
        <f t="shared" ref="C905:F905" si="1054">C558</f>
        <v>Fire supression system</v>
      </c>
      <c r="D905" s="1071" t="str">
        <f t="shared" si="1054"/>
        <v>Fire supression system</v>
      </c>
      <c r="E905" s="1071" t="str">
        <f t="shared" si="1054"/>
        <v>U015</v>
      </c>
      <c r="F905" s="1125" t="str">
        <f t="shared" si="1054"/>
        <v>2021-2024</v>
      </c>
      <c r="H905" s="1071" t="s">
        <v>29</v>
      </c>
      <c r="J905" s="1071" t="s">
        <v>79</v>
      </c>
      <c r="BB905" s="1108"/>
      <c r="BC905" s="1109"/>
      <c r="BD905" s="1109"/>
      <c r="BE905" s="1109"/>
      <c r="BF905" s="1109"/>
      <c r="BG905" s="1109"/>
      <c r="BH905" s="1109">
        <f t="shared" ref="BH905:BL905" si="1055">BH558*$AY255</f>
        <v>0</v>
      </c>
      <c r="BI905" s="1109">
        <f t="shared" si="1055"/>
        <v>0</v>
      </c>
      <c r="BJ905" s="1109">
        <f t="shared" si="1055"/>
        <v>0</v>
      </c>
      <c r="BK905" s="1109">
        <f t="shared" si="1055"/>
        <v>0</v>
      </c>
      <c r="BL905" s="1109">
        <f t="shared" si="1055"/>
        <v>0</v>
      </c>
    </row>
    <row r="906" spans="2:64" hidden="1" outlineLevel="1">
      <c r="B906" s="1094"/>
      <c r="C906" s="1071" t="str">
        <f t="shared" ref="C906:F906" si="1056">C559</f>
        <v>Fire suppression system - Woodcock Hill</v>
      </c>
      <c r="D906" s="1071" t="str">
        <f t="shared" si="1056"/>
        <v>Fire supression system</v>
      </c>
      <c r="E906" s="1071" t="str">
        <f t="shared" si="1056"/>
        <v>U015A</v>
      </c>
      <c r="F906" s="1125" t="str">
        <f t="shared" si="1056"/>
        <v>2021-2024</v>
      </c>
      <c r="H906" s="1071" t="s">
        <v>29</v>
      </c>
      <c r="J906" s="1071" t="s">
        <v>79</v>
      </c>
      <c r="BB906" s="1108"/>
      <c r="BC906" s="1109"/>
      <c r="BD906" s="1109"/>
      <c r="BE906" s="1109"/>
      <c r="BF906" s="1109"/>
      <c r="BG906" s="1109"/>
      <c r="BH906" s="1109">
        <f t="shared" ref="BH906:BL906" si="1057">BH559*$AY256</f>
        <v>0</v>
      </c>
      <c r="BI906" s="1109">
        <f t="shared" si="1057"/>
        <v>0.46666666666666667</v>
      </c>
      <c r="BJ906" s="1109">
        <f t="shared" si="1057"/>
        <v>8.2666666666666675</v>
      </c>
      <c r="BK906" s="1109">
        <f t="shared" si="1057"/>
        <v>8.2666666666666675</v>
      </c>
      <c r="BL906" s="1109">
        <f t="shared" si="1057"/>
        <v>8.2666666666666675</v>
      </c>
    </row>
    <row r="907" spans="2:64" hidden="1" outlineLevel="1">
      <c r="B907" s="1094"/>
      <c r="C907" s="1071" t="str">
        <f t="shared" ref="C907:F907" si="1058">C560</f>
        <v>Fire suppression system - Mt Gabriel</v>
      </c>
      <c r="D907" s="1071" t="str">
        <f t="shared" si="1058"/>
        <v>Fire supression system</v>
      </c>
      <c r="E907" s="1071" t="str">
        <f t="shared" si="1058"/>
        <v>U015A</v>
      </c>
      <c r="F907" s="1125" t="str">
        <f t="shared" si="1058"/>
        <v>2021-2024</v>
      </c>
      <c r="H907" s="1071" t="s">
        <v>29</v>
      </c>
      <c r="J907" s="1071" t="s">
        <v>79</v>
      </c>
      <c r="BB907" s="1108"/>
      <c r="BC907" s="1109"/>
      <c r="BD907" s="1109"/>
      <c r="BE907" s="1109"/>
      <c r="BF907" s="1109"/>
      <c r="BG907" s="1109"/>
      <c r="BH907" s="1109">
        <f t="shared" ref="BH907:BL907" si="1059">BH560*$AY257</f>
        <v>0</v>
      </c>
      <c r="BI907" s="1109">
        <f t="shared" si="1059"/>
        <v>0.46666666666666667</v>
      </c>
      <c r="BJ907" s="1109">
        <f t="shared" si="1059"/>
        <v>8.2666666666666675</v>
      </c>
      <c r="BK907" s="1109">
        <f t="shared" si="1059"/>
        <v>8.2666666666666675</v>
      </c>
      <c r="BL907" s="1109">
        <f t="shared" si="1059"/>
        <v>8.2666666666666675</v>
      </c>
    </row>
    <row r="908" spans="2:64" hidden="1" outlineLevel="1">
      <c r="B908" s="1094"/>
      <c r="C908" s="1071" t="str">
        <f t="shared" ref="C908:F908" si="1060">C561</f>
        <v>Fire suppression system - Dooncarton</v>
      </c>
      <c r="D908" s="1071" t="str">
        <f t="shared" si="1060"/>
        <v>Fire supression system</v>
      </c>
      <c r="E908" s="1071" t="str">
        <f t="shared" si="1060"/>
        <v>U015A</v>
      </c>
      <c r="F908" s="1125" t="str">
        <f t="shared" si="1060"/>
        <v>2021-2024</v>
      </c>
      <c r="H908" s="1071" t="s">
        <v>29</v>
      </c>
      <c r="J908" s="1071" t="s">
        <v>79</v>
      </c>
      <c r="BB908" s="1108"/>
      <c r="BC908" s="1109"/>
      <c r="BD908" s="1109"/>
      <c r="BE908" s="1109"/>
      <c r="BF908" s="1109"/>
      <c r="BG908" s="1109"/>
      <c r="BH908" s="1109">
        <f t="shared" ref="BH908:BL908" si="1061">BH561*$AY258</f>
        <v>0</v>
      </c>
      <c r="BI908" s="1109">
        <f t="shared" si="1061"/>
        <v>0.23333333333333334</v>
      </c>
      <c r="BJ908" s="1109">
        <f t="shared" si="1061"/>
        <v>4.1333333333333337</v>
      </c>
      <c r="BK908" s="1109">
        <f t="shared" si="1061"/>
        <v>4.1333333333333337</v>
      </c>
      <c r="BL908" s="1109">
        <f t="shared" si="1061"/>
        <v>4.1333333333333337</v>
      </c>
    </row>
    <row r="909" spans="2:64" hidden="1" outlineLevel="1">
      <c r="B909" s="1094"/>
      <c r="C909" s="1071" t="str">
        <f t="shared" ref="C909:F909" si="1062">C562</f>
        <v>Fire suppression system - Malin Head</v>
      </c>
      <c r="D909" s="1071" t="str">
        <f t="shared" si="1062"/>
        <v>Fire supression system</v>
      </c>
      <c r="E909" s="1071" t="str">
        <f t="shared" si="1062"/>
        <v>U015A</v>
      </c>
      <c r="F909" s="1125" t="str">
        <f t="shared" si="1062"/>
        <v>2021-2024</v>
      </c>
      <c r="H909" s="1071" t="s">
        <v>29</v>
      </c>
      <c r="J909" s="1071" t="s">
        <v>79</v>
      </c>
      <c r="BB909" s="1108"/>
      <c r="BC909" s="1109"/>
      <c r="BD909" s="1109"/>
      <c r="BE909" s="1109"/>
      <c r="BF909" s="1109"/>
      <c r="BG909" s="1109"/>
      <c r="BH909" s="1109">
        <f t="shared" ref="BH909:BL909" si="1063">BH562*$AY259</f>
        <v>0</v>
      </c>
      <c r="BI909" s="1109">
        <f t="shared" si="1063"/>
        <v>2.0666666666666669</v>
      </c>
      <c r="BJ909" s="1109">
        <f t="shared" si="1063"/>
        <v>4.1333333333333337</v>
      </c>
      <c r="BK909" s="1109">
        <f t="shared" si="1063"/>
        <v>4.1333333333333337</v>
      </c>
      <c r="BL909" s="1109">
        <f t="shared" si="1063"/>
        <v>4.1333333333333337</v>
      </c>
    </row>
    <row r="910" spans="2:64" hidden="1" outlineLevel="1">
      <c r="B910" s="1094"/>
      <c r="C910" s="1071" t="str">
        <f t="shared" ref="C910:F910" si="1064">C563</f>
        <v>Fire suppression system - Shannon Radar</v>
      </c>
      <c r="D910" s="1071" t="str">
        <f t="shared" si="1064"/>
        <v>Fire supression system</v>
      </c>
      <c r="E910" s="1071" t="str">
        <f t="shared" si="1064"/>
        <v>U015A</v>
      </c>
      <c r="F910" s="1125" t="str">
        <f t="shared" si="1064"/>
        <v>2021-2024</v>
      </c>
      <c r="H910" s="1071" t="s">
        <v>29</v>
      </c>
      <c r="J910" s="1071" t="s">
        <v>79</v>
      </c>
      <c r="BB910" s="1108"/>
      <c r="BC910" s="1109"/>
      <c r="BD910" s="1109"/>
      <c r="BE910" s="1109"/>
      <c r="BF910" s="1109"/>
      <c r="BG910" s="1109"/>
      <c r="BH910" s="1109">
        <f t="shared" ref="BH910:BL910" si="1065">BH563*$AY260</f>
        <v>0</v>
      </c>
      <c r="BI910" s="1109">
        <f t="shared" si="1065"/>
        <v>1.5500000000000003</v>
      </c>
      <c r="BJ910" s="1109">
        <f t="shared" si="1065"/>
        <v>3.1000000000000005</v>
      </c>
      <c r="BK910" s="1109">
        <f t="shared" si="1065"/>
        <v>3.1000000000000005</v>
      </c>
      <c r="BL910" s="1109">
        <f t="shared" si="1065"/>
        <v>3.1000000000000005</v>
      </c>
    </row>
    <row r="911" spans="2:64" hidden="1" outlineLevel="1">
      <c r="B911" s="1094"/>
      <c r="C911" s="1071" t="str">
        <f t="shared" ref="C911:F911" si="1066">C564</f>
        <v>Fire suppression system - Dublin Radar</v>
      </c>
      <c r="D911" s="1071" t="str">
        <f t="shared" si="1066"/>
        <v>Fire supression system</v>
      </c>
      <c r="E911" s="1071" t="str">
        <f t="shared" si="1066"/>
        <v>U015A</v>
      </c>
      <c r="F911" s="1125" t="str">
        <f t="shared" si="1066"/>
        <v>2021-2024</v>
      </c>
      <c r="H911" s="1071" t="s">
        <v>29</v>
      </c>
      <c r="J911" s="1071" t="s">
        <v>79</v>
      </c>
      <c r="BB911" s="1108"/>
      <c r="BC911" s="1109"/>
      <c r="BD911" s="1109"/>
      <c r="BE911" s="1109"/>
      <c r="BF911" s="1109"/>
      <c r="BG911" s="1109"/>
      <c r="BH911" s="1109">
        <f t="shared" ref="BH911:BL911" si="1067">BH564*$AY261</f>
        <v>0</v>
      </c>
      <c r="BI911" s="1109">
        <f t="shared" si="1067"/>
        <v>0</v>
      </c>
      <c r="BJ911" s="1109">
        <f t="shared" si="1067"/>
        <v>0</v>
      </c>
      <c r="BK911" s="1109">
        <f t="shared" si="1067"/>
        <v>0.77500000000000013</v>
      </c>
      <c r="BL911" s="1109">
        <f t="shared" si="1067"/>
        <v>4.0500000000000007</v>
      </c>
    </row>
    <row r="912" spans="2:64" hidden="1" outlineLevel="1">
      <c r="B912" s="1094"/>
      <c r="C912" s="1071" t="str">
        <f t="shared" ref="C912:F912" si="1068">C565</f>
        <v>Cyber Security / Management</v>
      </c>
      <c r="D912" s="1071" t="str">
        <f t="shared" si="1068"/>
        <v>Cyber Security / Management</v>
      </c>
      <c r="E912" s="1071" t="str">
        <f t="shared" si="1068"/>
        <v>T001</v>
      </c>
      <c r="F912" s="1125" t="str">
        <f t="shared" si="1068"/>
        <v>2021-2024</v>
      </c>
      <c r="H912" s="1071" t="s">
        <v>29</v>
      </c>
      <c r="J912" s="1071" t="s">
        <v>79</v>
      </c>
      <c r="BB912" s="1108"/>
      <c r="BC912" s="1109"/>
      <c r="BD912" s="1109"/>
      <c r="BE912" s="1109"/>
      <c r="BF912" s="1109"/>
      <c r="BG912" s="1109"/>
      <c r="BH912" s="1109">
        <f t="shared" ref="BH912:BL912" si="1069">BH565*$AY262</f>
        <v>0</v>
      </c>
      <c r="BI912" s="1109">
        <f t="shared" si="1069"/>
        <v>0</v>
      </c>
      <c r="BJ912" s="1109">
        <f t="shared" si="1069"/>
        <v>0</v>
      </c>
      <c r="BK912" s="1109">
        <f t="shared" si="1069"/>
        <v>52.123875000000005</v>
      </c>
      <c r="BL912" s="1109">
        <f t="shared" si="1069"/>
        <v>52.123875000000005</v>
      </c>
    </row>
    <row r="913" spans="2:64" hidden="1" outlineLevel="1">
      <c r="B913" s="1094"/>
      <c r="C913" s="1071" t="str">
        <f t="shared" ref="C913:F913" si="1070">C566</f>
        <v>ICT Infrastructure</v>
      </c>
      <c r="D913" s="1071" t="str">
        <f t="shared" si="1070"/>
        <v>ICT Infrastructure</v>
      </c>
      <c r="E913" s="1071" t="str">
        <f t="shared" si="1070"/>
        <v>U020</v>
      </c>
      <c r="F913" s="1125" t="str">
        <f t="shared" si="1070"/>
        <v>2021-2024</v>
      </c>
      <c r="H913" s="1071" t="s">
        <v>29</v>
      </c>
      <c r="J913" s="1071" t="s">
        <v>79</v>
      </c>
      <c r="BB913" s="1108"/>
      <c r="BC913" s="1109"/>
      <c r="BD913" s="1109"/>
      <c r="BE913" s="1109"/>
      <c r="BF913" s="1109"/>
      <c r="BG913" s="1109"/>
      <c r="BH913" s="1109">
        <f t="shared" ref="BH913:BL913" si="1071">BH566*$AY263</f>
        <v>0</v>
      </c>
      <c r="BI913" s="1109">
        <f t="shared" si="1071"/>
        <v>0</v>
      </c>
      <c r="BJ913" s="1109">
        <f t="shared" si="1071"/>
        <v>53.533333333333331</v>
      </c>
      <c r="BK913" s="1109">
        <f t="shared" si="1071"/>
        <v>82.733333333333334</v>
      </c>
      <c r="BL913" s="1109">
        <f t="shared" si="1071"/>
        <v>111.93333333333334</v>
      </c>
    </row>
    <row r="914" spans="2:64" hidden="1" outlineLevel="1">
      <c r="B914" s="1094"/>
      <c r="C914" s="1071" t="str">
        <f t="shared" ref="C914:F914" si="1072">C567</f>
        <v>Upgrades to cable ducting - remote sites</v>
      </c>
      <c r="D914" s="1071" t="str">
        <f t="shared" si="1072"/>
        <v>Upgrades to cable ducting</v>
      </c>
      <c r="E914" s="1071" t="str">
        <f t="shared" si="1072"/>
        <v>R007</v>
      </c>
      <c r="F914" s="1125" t="str">
        <f t="shared" si="1072"/>
        <v>2021-2024</v>
      </c>
      <c r="H914" s="1071" t="s">
        <v>29</v>
      </c>
      <c r="J914" s="1071" t="s">
        <v>79</v>
      </c>
      <c r="BB914" s="1108"/>
      <c r="BC914" s="1109"/>
      <c r="BD914" s="1109"/>
      <c r="BE914" s="1109"/>
      <c r="BF914" s="1109"/>
      <c r="BG914" s="1109"/>
      <c r="BH914" s="1109">
        <f t="shared" ref="BH914:BL914" si="1073">BH567*$AY264</f>
        <v>0</v>
      </c>
      <c r="BI914" s="1109">
        <f t="shared" si="1073"/>
        <v>0</v>
      </c>
      <c r="BJ914" s="1109">
        <f t="shared" si="1073"/>
        <v>0</v>
      </c>
      <c r="BK914" s="1109">
        <f t="shared" si="1073"/>
        <v>0</v>
      </c>
      <c r="BL914" s="1109">
        <f t="shared" si="1073"/>
        <v>0</v>
      </c>
    </row>
    <row r="915" spans="2:64" hidden="1" outlineLevel="1">
      <c r="B915" s="1094"/>
      <c r="C915" s="1071" t="str">
        <f t="shared" ref="C915:F915" si="1074">C568</f>
        <v>Upgrades to cable ducting Woodcock Hill</v>
      </c>
      <c r="D915" s="1071" t="str">
        <f t="shared" si="1074"/>
        <v>Upgrades to cable ducting</v>
      </c>
      <c r="E915" s="1071" t="str">
        <f t="shared" si="1074"/>
        <v>R007A</v>
      </c>
      <c r="F915" s="1125" t="str">
        <f t="shared" si="1074"/>
        <v>2021-2024</v>
      </c>
      <c r="H915" s="1071" t="s">
        <v>29</v>
      </c>
      <c r="J915" s="1071" t="s">
        <v>79</v>
      </c>
      <c r="BB915" s="1108"/>
      <c r="BC915" s="1109"/>
      <c r="BD915" s="1109"/>
      <c r="BE915" s="1109"/>
      <c r="BF915" s="1109"/>
      <c r="BG915" s="1109"/>
      <c r="BH915" s="1109">
        <f t="shared" ref="BH915:BL915" si="1075">BH568*$AY265</f>
        <v>0</v>
      </c>
      <c r="BI915" s="1109">
        <f t="shared" si="1075"/>
        <v>9.1903598000000013</v>
      </c>
      <c r="BJ915" s="1109">
        <f t="shared" si="1075"/>
        <v>18.380719600000003</v>
      </c>
      <c r="BK915" s="1109">
        <f t="shared" si="1075"/>
        <v>18.380719600000003</v>
      </c>
      <c r="BL915" s="1109">
        <f t="shared" si="1075"/>
        <v>18.380719600000003</v>
      </c>
    </row>
    <row r="916" spans="2:64" hidden="1" outlineLevel="1">
      <c r="B916" s="1094"/>
      <c r="C916" s="1071" t="str">
        <f t="shared" ref="C916:F916" si="1076">C569</f>
        <v>Upgrades to cable ducting Other remote sites</v>
      </c>
      <c r="D916" s="1071" t="str">
        <f t="shared" si="1076"/>
        <v>Upgrades to cable ducting</v>
      </c>
      <c r="E916" s="1071" t="str">
        <f t="shared" si="1076"/>
        <v>R007A</v>
      </c>
      <c r="F916" s="1125" t="str">
        <f t="shared" si="1076"/>
        <v>2021-2024</v>
      </c>
      <c r="H916" s="1071" t="s">
        <v>29</v>
      </c>
      <c r="J916" s="1071" t="s">
        <v>79</v>
      </c>
      <c r="BB916" s="1108"/>
      <c r="BC916" s="1109"/>
      <c r="BD916" s="1109"/>
      <c r="BE916" s="1109"/>
      <c r="BF916" s="1109"/>
      <c r="BG916" s="1109"/>
      <c r="BH916" s="1109">
        <f t="shared" ref="BH916:BL916" si="1077">BH569*$AY266</f>
        <v>0</v>
      </c>
      <c r="BI916" s="1109">
        <f t="shared" si="1077"/>
        <v>2.1</v>
      </c>
      <c r="BJ916" s="1109">
        <f t="shared" si="1077"/>
        <v>4.2</v>
      </c>
      <c r="BK916" s="1109">
        <f t="shared" si="1077"/>
        <v>4.2</v>
      </c>
      <c r="BL916" s="1109">
        <f t="shared" si="1077"/>
        <v>4.2</v>
      </c>
    </row>
    <row r="917" spans="2:64" hidden="1" outlineLevel="1">
      <c r="B917" s="1094"/>
      <c r="C917" s="1071" t="str">
        <f t="shared" ref="C917:F917" si="1078">C570</f>
        <v>IAA Smart Messenger (AFTN/SMHS) &amp; ROFDS Contingency</v>
      </c>
      <c r="D917" s="1071" t="str">
        <f t="shared" si="1078"/>
        <v>IAA Smart Messenger</v>
      </c>
      <c r="E917" s="1071" t="str">
        <f t="shared" si="1078"/>
        <v>U005</v>
      </c>
      <c r="F917" s="1125" t="str">
        <f t="shared" si="1078"/>
        <v>2021-2024</v>
      </c>
      <c r="H917" s="1071" t="s">
        <v>29</v>
      </c>
      <c r="J917" s="1071" t="s">
        <v>79</v>
      </c>
      <c r="BB917" s="1108"/>
      <c r="BC917" s="1109"/>
      <c r="BD917" s="1109"/>
      <c r="BE917" s="1109"/>
      <c r="BF917" s="1109"/>
      <c r="BG917" s="1109"/>
      <c r="BH917" s="1109">
        <f t="shared" ref="BH917:BL917" si="1079">BH570*$AY267</f>
        <v>0</v>
      </c>
      <c r="BI917" s="1109">
        <f t="shared" si="1079"/>
        <v>0</v>
      </c>
      <c r="BJ917" s="1109">
        <f t="shared" si="1079"/>
        <v>0</v>
      </c>
      <c r="BK917" s="1109">
        <f t="shared" si="1079"/>
        <v>0</v>
      </c>
      <c r="BL917" s="1109">
        <f t="shared" si="1079"/>
        <v>0</v>
      </c>
    </row>
    <row r="918" spans="2:64" hidden="1" outlineLevel="1">
      <c r="B918" s="1094"/>
      <c r="C918" s="1071" t="str">
        <f t="shared" ref="C918:F918" si="1080">C571</f>
        <v>IAA Smart Messenger (AFTN/SMHS)</v>
      </c>
      <c r="D918" s="1071" t="str">
        <f t="shared" si="1080"/>
        <v>IAA Smart Messenger</v>
      </c>
      <c r="E918" s="1071" t="str">
        <f t="shared" si="1080"/>
        <v>U005A</v>
      </c>
      <c r="F918" s="1125" t="str">
        <f t="shared" si="1080"/>
        <v>2021-2024</v>
      </c>
      <c r="H918" s="1071" t="s">
        <v>29</v>
      </c>
      <c r="J918" s="1071" t="s">
        <v>79</v>
      </c>
      <c r="BB918" s="1108"/>
      <c r="BC918" s="1109"/>
      <c r="BD918" s="1109"/>
      <c r="BE918" s="1109"/>
      <c r="BF918" s="1109"/>
      <c r="BG918" s="1109"/>
      <c r="BH918" s="1109">
        <f t="shared" ref="BH918:BL918" si="1081">BH571*$AY268</f>
        <v>0</v>
      </c>
      <c r="BI918" s="1109">
        <f t="shared" si="1081"/>
        <v>0</v>
      </c>
      <c r="BJ918" s="1109">
        <f t="shared" si="1081"/>
        <v>0</v>
      </c>
      <c r="BK918" s="1109">
        <f t="shared" si="1081"/>
        <v>37.5</v>
      </c>
      <c r="BL918" s="1109">
        <f t="shared" si="1081"/>
        <v>37.5</v>
      </c>
    </row>
    <row r="919" spans="2:64" hidden="1" outlineLevel="1">
      <c r="B919" s="1094"/>
      <c r="C919" s="1071" t="str">
        <f t="shared" ref="C919:F919" si="1082">C572</f>
        <v>BMS Upgrade Dublin / Ballycasey</v>
      </c>
      <c r="D919" s="1071" t="str">
        <f t="shared" si="1082"/>
        <v>BMS Upgrade</v>
      </c>
      <c r="E919" s="1071" t="str">
        <f t="shared" si="1082"/>
        <v>T010</v>
      </c>
      <c r="F919" s="1125" t="str">
        <f t="shared" si="1082"/>
        <v>2021-2024</v>
      </c>
      <c r="H919" s="1071" t="s">
        <v>29</v>
      </c>
      <c r="J919" s="1071" t="s">
        <v>79</v>
      </c>
      <c r="BB919" s="1108"/>
      <c r="BC919" s="1109"/>
      <c r="BD919" s="1109"/>
      <c r="BE919" s="1109"/>
      <c r="BF919" s="1109"/>
      <c r="BG919" s="1109"/>
      <c r="BH919" s="1109">
        <f t="shared" ref="BH919:BL919" si="1083">BH572*$AY269</f>
        <v>0</v>
      </c>
      <c r="BI919" s="1109">
        <f t="shared" si="1083"/>
        <v>0</v>
      </c>
      <c r="BJ919" s="1109">
        <f t="shared" si="1083"/>
        <v>0</v>
      </c>
      <c r="BK919" s="1109">
        <f t="shared" si="1083"/>
        <v>0</v>
      </c>
      <c r="BL919" s="1109">
        <f t="shared" si="1083"/>
        <v>0</v>
      </c>
    </row>
    <row r="920" spans="2:64" hidden="1" outlineLevel="1">
      <c r="B920" s="1094"/>
      <c r="C920" s="1071" t="str">
        <f t="shared" ref="C920:F920" si="1084">C573</f>
        <v>BMS Upgrade Dublin</v>
      </c>
      <c r="D920" s="1071" t="str">
        <f t="shared" si="1084"/>
        <v>BMS Upgrade</v>
      </c>
      <c r="E920" s="1071" t="str">
        <f t="shared" si="1084"/>
        <v>T010A</v>
      </c>
      <c r="F920" s="1125" t="str">
        <f t="shared" si="1084"/>
        <v>2021-2024</v>
      </c>
      <c r="H920" s="1071" t="s">
        <v>29</v>
      </c>
      <c r="J920" s="1071" t="s">
        <v>79</v>
      </c>
      <c r="BB920" s="1108"/>
      <c r="BC920" s="1109"/>
      <c r="BD920" s="1109"/>
      <c r="BE920" s="1109"/>
      <c r="BF920" s="1109"/>
      <c r="BG920" s="1109"/>
      <c r="BH920" s="1109">
        <f t="shared" ref="BH920:BL920" si="1085">BH573*$AY270</f>
        <v>0</v>
      </c>
      <c r="BI920" s="1109">
        <f t="shared" si="1085"/>
        <v>0</v>
      </c>
      <c r="BJ920" s="1109">
        <f t="shared" si="1085"/>
        <v>4.6875</v>
      </c>
      <c r="BK920" s="1109">
        <f t="shared" si="1085"/>
        <v>18.75</v>
      </c>
      <c r="BL920" s="1109">
        <f t="shared" si="1085"/>
        <v>18.75</v>
      </c>
    </row>
    <row r="921" spans="2:64" hidden="1" outlineLevel="1">
      <c r="B921" s="1094"/>
      <c r="C921" s="1071" t="str">
        <f t="shared" ref="C921:F921" si="1086">C574</f>
        <v>BMS Upgrade Ballycasey</v>
      </c>
      <c r="D921" s="1071" t="str">
        <f t="shared" si="1086"/>
        <v>BMS Upgrade</v>
      </c>
      <c r="E921" s="1071" t="str">
        <f t="shared" si="1086"/>
        <v>T010A</v>
      </c>
      <c r="F921" s="1125" t="str">
        <f t="shared" si="1086"/>
        <v>2021-2024</v>
      </c>
      <c r="H921" s="1071" t="s">
        <v>29</v>
      </c>
      <c r="J921" s="1071" t="s">
        <v>79</v>
      </c>
      <c r="BB921" s="1108"/>
      <c r="BC921" s="1109"/>
      <c r="BD921" s="1109"/>
      <c r="BE921" s="1109"/>
      <c r="BF921" s="1109"/>
      <c r="BG921" s="1109"/>
      <c r="BH921" s="1109">
        <f t="shared" ref="BH921:BL921" si="1087">BH574*$AY271</f>
        <v>0</v>
      </c>
      <c r="BI921" s="1109">
        <f t="shared" si="1087"/>
        <v>0</v>
      </c>
      <c r="BJ921" s="1109">
        <f t="shared" si="1087"/>
        <v>0</v>
      </c>
      <c r="BK921" s="1109">
        <f t="shared" si="1087"/>
        <v>6.25</v>
      </c>
      <c r="BL921" s="1109">
        <f t="shared" si="1087"/>
        <v>25</v>
      </c>
    </row>
    <row r="922" spans="2:64" hidden="1" outlineLevel="1">
      <c r="B922" s="1094"/>
      <c r="C922" s="1071" t="str">
        <f t="shared" ref="C922:F922" si="1088">C575</f>
        <v>ARTAS Upgrade</v>
      </c>
      <c r="D922" s="1071" t="str">
        <f t="shared" si="1088"/>
        <v>ARTAS Upgrade</v>
      </c>
      <c r="E922" s="1071" t="str">
        <f t="shared" si="1088"/>
        <v>RP3-SURV-2</v>
      </c>
      <c r="F922" s="1125" t="str">
        <f t="shared" si="1088"/>
        <v>2021-2024</v>
      </c>
      <c r="H922" s="1071" t="s">
        <v>29</v>
      </c>
      <c r="J922" s="1071" t="s">
        <v>79</v>
      </c>
      <c r="BB922" s="1108"/>
      <c r="BC922" s="1109"/>
      <c r="BD922" s="1109"/>
      <c r="BE922" s="1109"/>
      <c r="BF922" s="1109"/>
      <c r="BG922" s="1109"/>
      <c r="BH922" s="1109">
        <f t="shared" ref="BH922:BL922" si="1089">BH575*$AY272</f>
        <v>0</v>
      </c>
      <c r="BI922" s="1109">
        <f t="shared" si="1089"/>
        <v>0</v>
      </c>
      <c r="BJ922" s="1109">
        <f t="shared" si="1089"/>
        <v>6.25</v>
      </c>
      <c r="BK922" s="1109">
        <f t="shared" si="1089"/>
        <v>31.25</v>
      </c>
      <c r="BL922" s="1109">
        <f t="shared" si="1089"/>
        <v>50</v>
      </c>
    </row>
    <row r="923" spans="2:64" hidden="1" outlineLevel="1">
      <c r="B923" s="1094"/>
      <c r="C923" s="1071" t="str">
        <f t="shared" ref="C923:F923" si="1090">C576</f>
        <v>Frequency Expnasion Programme (Knock, Kerry &amp; Dublin)</v>
      </c>
      <c r="D923" s="1071" t="str">
        <f t="shared" si="1090"/>
        <v>Frequency Expnasion Programme</v>
      </c>
      <c r="E923" s="1071" t="str">
        <f t="shared" si="1090"/>
        <v>R009</v>
      </c>
      <c r="F923" s="1125" t="str">
        <f t="shared" si="1090"/>
        <v>2021-2024</v>
      </c>
      <c r="H923" s="1071" t="s">
        <v>29</v>
      </c>
      <c r="J923" s="1071" t="s">
        <v>79</v>
      </c>
      <c r="BB923" s="1108"/>
      <c r="BC923" s="1109"/>
      <c r="BD923" s="1109"/>
      <c r="BE923" s="1109"/>
      <c r="BF923" s="1109"/>
      <c r="BG923" s="1109"/>
      <c r="BH923" s="1109">
        <f t="shared" ref="BH923:BL923" si="1091">BH576*$AY273</f>
        <v>0</v>
      </c>
      <c r="BI923" s="1109">
        <f t="shared" si="1091"/>
        <v>0</v>
      </c>
      <c r="BJ923" s="1109">
        <f t="shared" si="1091"/>
        <v>0</v>
      </c>
      <c r="BK923" s="1109">
        <f t="shared" si="1091"/>
        <v>0</v>
      </c>
      <c r="BL923" s="1109">
        <f t="shared" si="1091"/>
        <v>0</v>
      </c>
    </row>
    <row r="924" spans="2:64" hidden="1" outlineLevel="1">
      <c r="B924" s="1094"/>
      <c r="C924" s="1071" t="str">
        <f t="shared" ref="C924:F924" si="1092">C577</f>
        <v>Frequency Expnasion Programme  Dublin</v>
      </c>
      <c r="D924" s="1071" t="str">
        <f t="shared" si="1092"/>
        <v>Frequency Expnasion Programme</v>
      </c>
      <c r="E924" s="1071" t="str">
        <f t="shared" si="1092"/>
        <v>R009A</v>
      </c>
      <c r="F924" s="1125" t="str">
        <f t="shared" si="1092"/>
        <v>2021-2024</v>
      </c>
      <c r="H924" s="1071" t="s">
        <v>29</v>
      </c>
      <c r="J924" s="1071" t="s">
        <v>79</v>
      </c>
      <c r="BB924" s="1108"/>
      <c r="BC924" s="1109"/>
      <c r="BD924" s="1109"/>
      <c r="BE924" s="1109"/>
      <c r="BF924" s="1109"/>
      <c r="BG924" s="1109"/>
      <c r="BH924" s="1109">
        <f t="shared" ref="BH924:BL924" si="1093">BH577*$AY274</f>
        <v>0</v>
      </c>
      <c r="BI924" s="1109">
        <f t="shared" si="1093"/>
        <v>5.3250000000000002</v>
      </c>
      <c r="BJ924" s="1109">
        <f t="shared" si="1093"/>
        <v>10.65</v>
      </c>
      <c r="BK924" s="1109">
        <f t="shared" si="1093"/>
        <v>10.65</v>
      </c>
      <c r="BL924" s="1109">
        <f t="shared" si="1093"/>
        <v>10.65</v>
      </c>
    </row>
    <row r="925" spans="2:64" hidden="1" outlineLevel="1">
      <c r="B925" s="1094"/>
      <c r="C925" s="1071" t="str">
        <f t="shared" ref="C925:F925" si="1094">C578</f>
        <v>Frequency Expnasion Programme Knock</v>
      </c>
      <c r="D925" s="1071" t="str">
        <f t="shared" si="1094"/>
        <v>Frequency Expnasion Programme</v>
      </c>
      <c r="E925" s="1071" t="str">
        <f t="shared" si="1094"/>
        <v>R009A</v>
      </c>
      <c r="F925" s="1125" t="str">
        <f t="shared" si="1094"/>
        <v>2021-2024</v>
      </c>
      <c r="H925" s="1071" t="s">
        <v>29</v>
      </c>
      <c r="J925" s="1071" t="s">
        <v>79</v>
      </c>
      <c r="BB925" s="1108"/>
      <c r="BC925" s="1109"/>
      <c r="BD925" s="1109"/>
      <c r="BE925" s="1109"/>
      <c r="BF925" s="1109"/>
      <c r="BG925" s="1109"/>
      <c r="BH925" s="1109">
        <f t="shared" ref="BH925:BL925" si="1095">BH578*$AY275</f>
        <v>0</v>
      </c>
      <c r="BI925" s="1109">
        <f t="shared" si="1095"/>
        <v>0</v>
      </c>
      <c r="BJ925" s="1109">
        <f t="shared" si="1095"/>
        <v>0</v>
      </c>
      <c r="BK925" s="1109">
        <f t="shared" si="1095"/>
        <v>7.5</v>
      </c>
      <c r="BL925" s="1109">
        <f t="shared" si="1095"/>
        <v>10</v>
      </c>
    </row>
    <row r="926" spans="2:64" hidden="1" outlineLevel="1">
      <c r="B926" s="1094"/>
      <c r="C926" s="1071" t="str">
        <f t="shared" ref="C926:F926" si="1096">C579</f>
        <v>Frequency Expnasion Programme Shannon (Woodcock Hill, Dooncarton, Glc)</v>
      </c>
      <c r="D926" s="1071" t="str">
        <f t="shared" si="1096"/>
        <v>Frequency Expnasion Programme</v>
      </c>
      <c r="E926" s="1071" t="str">
        <f t="shared" si="1096"/>
        <v>R009A</v>
      </c>
      <c r="F926" s="1125" t="str">
        <f t="shared" si="1096"/>
        <v>2021-2024</v>
      </c>
      <c r="H926" s="1071" t="s">
        <v>29</v>
      </c>
      <c r="J926" s="1071" t="s">
        <v>79</v>
      </c>
      <c r="BB926" s="1108"/>
      <c r="BC926" s="1109"/>
      <c r="BD926" s="1109"/>
      <c r="BE926" s="1109"/>
      <c r="BF926" s="1109"/>
      <c r="BG926" s="1109"/>
      <c r="BH926" s="1109">
        <f t="shared" ref="BH926:BL926" si="1097">BH579*$AY276</f>
        <v>0</v>
      </c>
      <c r="BI926" s="1109">
        <f t="shared" si="1097"/>
        <v>2.0537810000000003</v>
      </c>
      <c r="BJ926" s="1109">
        <f t="shared" si="1097"/>
        <v>10.590124000000001</v>
      </c>
      <c r="BK926" s="1109">
        <f t="shared" si="1097"/>
        <v>17.715123999999999</v>
      </c>
      <c r="BL926" s="1109">
        <f t="shared" si="1097"/>
        <v>17.715123999999999</v>
      </c>
    </row>
    <row r="927" spans="2:64" hidden="1" outlineLevel="1">
      <c r="B927" s="1094"/>
      <c r="C927" s="1071" t="str">
        <f t="shared" ref="C927:F927" si="1098">C580</f>
        <v>UPS System Replacement SHN/DUB</v>
      </c>
      <c r="D927" s="1071" t="str">
        <f t="shared" si="1098"/>
        <v>UPS System Replacement</v>
      </c>
      <c r="E927" s="1071" t="str">
        <f t="shared" si="1098"/>
        <v>S012</v>
      </c>
      <c r="F927" s="1125" t="str">
        <f t="shared" si="1098"/>
        <v>2021-2024</v>
      </c>
      <c r="H927" s="1071" t="s">
        <v>29</v>
      </c>
      <c r="J927" s="1071" t="s">
        <v>79</v>
      </c>
      <c r="BB927" s="1108"/>
      <c r="BC927" s="1109"/>
      <c r="BD927" s="1109"/>
      <c r="BE927" s="1109"/>
      <c r="BF927" s="1109"/>
      <c r="BG927" s="1109"/>
      <c r="BH927" s="1109">
        <f t="shared" ref="BH927:BL927" si="1099">BH580*$AY277</f>
        <v>0</v>
      </c>
      <c r="BI927" s="1109">
        <f t="shared" si="1099"/>
        <v>0</v>
      </c>
      <c r="BJ927" s="1109">
        <f t="shared" si="1099"/>
        <v>0</v>
      </c>
      <c r="BK927" s="1109">
        <f t="shared" si="1099"/>
        <v>0</v>
      </c>
      <c r="BL927" s="1109">
        <f t="shared" si="1099"/>
        <v>0</v>
      </c>
    </row>
    <row r="928" spans="2:64" hidden="1" outlineLevel="1">
      <c r="B928" s="1094"/>
      <c r="C928" s="1071" t="str">
        <f t="shared" ref="C928:F928" si="1100">C581</f>
        <v>UPS System Replacement DUB</v>
      </c>
      <c r="D928" s="1071" t="str">
        <f t="shared" si="1100"/>
        <v>UPS System Replacement</v>
      </c>
      <c r="E928" s="1071" t="str">
        <f t="shared" si="1100"/>
        <v>S012A</v>
      </c>
      <c r="F928" s="1125" t="str">
        <f t="shared" si="1100"/>
        <v>2021-2024</v>
      </c>
      <c r="H928" s="1071" t="s">
        <v>29</v>
      </c>
      <c r="J928" s="1071" t="s">
        <v>79</v>
      </c>
      <c r="BB928" s="1108"/>
      <c r="BC928" s="1109"/>
      <c r="BD928" s="1109"/>
      <c r="BE928" s="1109"/>
      <c r="BF928" s="1109"/>
      <c r="BG928" s="1109"/>
      <c r="BH928" s="1109">
        <f t="shared" ref="BH928:BL928" si="1101">BH581*$AY278</f>
        <v>0</v>
      </c>
      <c r="BI928" s="1109">
        <f t="shared" si="1101"/>
        <v>8.0670465</v>
      </c>
      <c r="BJ928" s="1109">
        <f t="shared" si="1101"/>
        <v>16.134093</v>
      </c>
      <c r="BK928" s="1109">
        <f t="shared" si="1101"/>
        <v>16.134093</v>
      </c>
      <c r="BL928" s="1109">
        <f t="shared" si="1101"/>
        <v>16.134093</v>
      </c>
    </row>
    <row r="929" spans="2:64" hidden="1" outlineLevel="1">
      <c r="B929" s="1094"/>
      <c r="C929" s="1071" t="str">
        <f t="shared" ref="C929:F929" si="1102">C582</f>
        <v>UPS System Replacement SHN</v>
      </c>
      <c r="D929" s="1071" t="str">
        <f t="shared" si="1102"/>
        <v>UPS System Replacement</v>
      </c>
      <c r="E929" s="1071" t="str">
        <f t="shared" si="1102"/>
        <v>S012A</v>
      </c>
      <c r="F929" s="1125" t="str">
        <f t="shared" si="1102"/>
        <v>2021-2024</v>
      </c>
      <c r="H929" s="1071" t="s">
        <v>29</v>
      </c>
      <c r="J929" s="1071" t="s">
        <v>79</v>
      </c>
      <c r="BB929" s="1108"/>
      <c r="BC929" s="1109"/>
      <c r="BD929" s="1109"/>
      <c r="BE929" s="1109"/>
      <c r="BF929" s="1109"/>
      <c r="BG929" s="1109"/>
      <c r="BH929" s="1109">
        <f t="shared" ref="BH929:BL929" si="1103">BH582*$AY279</f>
        <v>0</v>
      </c>
      <c r="BI929" s="1109">
        <f t="shared" si="1103"/>
        <v>7.5</v>
      </c>
      <c r="BJ929" s="1109">
        <f t="shared" si="1103"/>
        <v>15</v>
      </c>
      <c r="BK929" s="1109">
        <f t="shared" si="1103"/>
        <v>15</v>
      </c>
      <c r="BL929" s="1109">
        <f t="shared" si="1103"/>
        <v>15</v>
      </c>
    </row>
    <row r="930" spans="2:64" hidden="1" outlineLevel="1">
      <c r="B930" s="1094"/>
      <c r="C930" s="1071" t="str">
        <f t="shared" ref="C930:F930" si="1104">C583</f>
        <v>Remote Power Management</v>
      </c>
      <c r="D930" s="1071" t="str">
        <f t="shared" si="1104"/>
        <v>Remote Power Management</v>
      </c>
      <c r="E930" s="1071" t="str">
        <f t="shared" si="1104"/>
        <v>R012</v>
      </c>
      <c r="F930" s="1125" t="str">
        <f t="shared" si="1104"/>
        <v>2021-2024</v>
      </c>
      <c r="H930" s="1071" t="s">
        <v>29</v>
      </c>
      <c r="J930" s="1071" t="s">
        <v>79</v>
      </c>
      <c r="BB930" s="1108"/>
      <c r="BC930" s="1109"/>
      <c r="BD930" s="1109"/>
      <c r="BE930" s="1109"/>
      <c r="BF930" s="1109"/>
      <c r="BG930" s="1109"/>
      <c r="BH930" s="1109">
        <f t="shared" ref="BH930:BL930" si="1105">BH583*$AY280</f>
        <v>0</v>
      </c>
      <c r="BI930" s="1109">
        <f t="shared" si="1105"/>
        <v>0</v>
      </c>
      <c r="BJ930" s="1109">
        <f t="shared" si="1105"/>
        <v>0</v>
      </c>
      <c r="BK930" s="1109">
        <f t="shared" si="1105"/>
        <v>7.7064468750000001</v>
      </c>
      <c r="BL930" s="1109">
        <f t="shared" si="1105"/>
        <v>30.825787500000001</v>
      </c>
    </row>
    <row r="931" spans="2:64" hidden="1" outlineLevel="1">
      <c r="B931" s="1094"/>
      <c r="C931" s="1071" t="str">
        <f t="shared" ref="C931:F931" si="1106">C584</f>
        <v>A-SMGCS Enhancements</v>
      </c>
      <c r="D931" s="1071" t="str">
        <f t="shared" si="1106"/>
        <v>A-SMGCS Enhancements</v>
      </c>
      <c r="E931" s="1071" t="str">
        <f t="shared" si="1106"/>
        <v>R015</v>
      </c>
      <c r="F931" s="1125" t="str">
        <f t="shared" si="1106"/>
        <v>2021-2024</v>
      </c>
      <c r="H931" s="1071" t="s">
        <v>29</v>
      </c>
      <c r="J931" s="1071" t="s">
        <v>79</v>
      </c>
      <c r="BB931" s="1108"/>
      <c r="BC931" s="1109"/>
      <c r="BD931" s="1109"/>
      <c r="BE931" s="1109"/>
      <c r="BF931" s="1109"/>
      <c r="BG931" s="1109"/>
      <c r="BH931" s="1109">
        <f t="shared" ref="BH931:BL931" si="1107">BH584*$AY281</f>
        <v>0</v>
      </c>
      <c r="BI931" s="1109">
        <f t="shared" si="1107"/>
        <v>0</v>
      </c>
      <c r="BJ931" s="1109">
        <f t="shared" si="1107"/>
        <v>0</v>
      </c>
      <c r="BK931" s="1109">
        <f t="shared" si="1107"/>
        <v>0</v>
      </c>
      <c r="BL931" s="1109">
        <f t="shared" si="1107"/>
        <v>0</v>
      </c>
    </row>
    <row r="932" spans="2:64" hidden="1" outlineLevel="1">
      <c r="B932" s="1094"/>
      <c r="C932" s="1071" t="str">
        <f t="shared" ref="C932:F932" si="1108">C585</f>
        <v>LAN &amp; WAN Cybersecurity</v>
      </c>
      <c r="D932" s="1071" t="str">
        <f t="shared" si="1108"/>
        <v>LAN &amp; WAN Cybersecurity</v>
      </c>
      <c r="E932" s="1071" t="str">
        <f t="shared" si="1108"/>
        <v>V006</v>
      </c>
      <c r="F932" s="1125" t="str">
        <f t="shared" si="1108"/>
        <v>2021-2024</v>
      </c>
      <c r="H932" s="1071" t="s">
        <v>29</v>
      </c>
      <c r="J932" s="1071" t="s">
        <v>79</v>
      </c>
      <c r="BB932" s="1108"/>
      <c r="BC932" s="1109"/>
      <c r="BD932" s="1109"/>
      <c r="BE932" s="1109"/>
      <c r="BF932" s="1109"/>
      <c r="BG932" s="1109"/>
      <c r="BH932" s="1109">
        <f t="shared" ref="BH932:BL932" si="1109">BH585*$AY282</f>
        <v>0</v>
      </c>
      <c r="BI932" s="1109">
        <f t="shared" si="1109"/>
        <v>0</v>
      </c>
      <c r="BJ932" s="1109">
        <f t="shared" si="1109"/>
        <v>0</v>
      </c>
      <c r="BK932" s="1109">
        <f t="shared" si="1109"/>
        <v>0</v>
      </c>
      <c r="BL932" s="1109">
        <f t="shared" si="1109"/>
        <v>0</v>
      </c>
    </row>
    <row r="933" spans="2:64" hidden="1" outlineLevel="1">
      <c r="B933" s="1094"/>
      <c r="C933" s="1071" t="str">
        <f t="shared" ref="C933:F933" si="1110">C586</f>
        <v>LAN &amp; WAN Cybersecurity HQ</v>
      </c>
      <c r="D933" s="1071" t="str">
        <f t="shared" si="1110"/>
        <v>LAN &amp; WAN Cybersecurity</v>
      </c>
      <c r="E933" s="1071" t="str">
        <f t="shared" si="1110"/>
        <v>V006A</v>
      </c>
      <c r="F933" s="1125" t="str">
        <f t="shared" si="1110"/>
        <v>2021-2024</v>
      </c>
      <c r="H933" s="1071" t="s">
        <v>29</v>
      </c>
      <c r="J933" s="1071" t="s">
        <v>79</v>
      </c>
      <c r="BB933" s="1108"/>
      <c r="BC933" s="1109"/>
      <c r="BD933" s="1109"/>
      <c r="BE933" s="1109"/>
      <c r="BF933" s="1109"/>
      <c r="BG933" s="1109"/>
      <c r="BH933" s="1109">
        <f t="shared" ref="BH933:BL933" si="1111">BH586*$AY283</f>
        <v>0</v>
      </c>
      <c r="BI933" s="1109">
        <f t="shared" si="1111"/>
        <v>0</v>
      </c>
      <c r="BJ933" s="1109">
        <f t="shared" si="1111"/>
        <v>22.143333333333331</v>
      </c>
      <c r="BK933" s="1109">
        <f t="shared" si="1111"/>
        <v>44.286666666666662</v>
      </c>
      <c r="BL933" s="1109">
        <f t="shared" si="1111"/>
        <v>44.286666666666662</v>
      </c>
    </row>
    <row r="934" spans="2:64" hidden="1" outlineLevel="1">
      <c r="B934" s="1094"/>
      <c r="C934" s="1071" t="str">
        <f t="shared" ref="C934:F934" si="1112">C587</f>
        <v>LAN &amp; WAN Cybersecurity SHN</v>
      </c>
      <c r="D934" s="1071" t="str">
        <f t="shared" si="1112"/>
        <v>LAN &amp; WAN Cybersecurity</v>
      </c>
      <c r="E934" s="1071" t="str">
        <f t="shared" si="1112"/>
        <v>V006A</v>
      </c>
      <c r="F934" s="1125" t="str">
        <f t="shared" si="1112"/>
        <v>2021-2024</v>
      </c>
      <c r="H934" s="1071" t="s">
        <v>29</v>
      </c>
      <c r="J934" s="1071" t="s">
        <v>79</v>
      </c>
      <c r="BB934" s="1108"/>
      <c r="BC934" s="1109"/>
      <c r="BD934" s="1109"/>
      <c r="BE934" s="1109"/>
      <c r="BF934" s="1109"/>
      <c r="BG934" s="1109"/>
      <c r="BH934" s="1109">
        <f t="shared" ref="BH934:BL934" si="1113">BH587*$AY284</f>
        <v>0</v>
      </c>
      <c r="BI934" s="1109">
        <f t="shared" si="1113"/>
        <v>0</v>
      </c>
      <c r="BJ934" s="1109">
        <f t="shared" si="1113"/>
        <v>12.25</v>
      </c>
      <c r="BK934" s="1109">
        <f t="shared" si="1113"/>
        <v>24.5</v>
      </c>
      <c r="BL934" s="1109">
        <f t="shared" si="1113"/>
        <v>24.5</v>
      </c>
    </row>
    <row r="935" spans="2:64" hidden="1" outlineLevel="1">
      <c r="B935" s="1094"/>
      <c r="C935" s="1071" t="str">
        <f t="shared" ref="C935:F935" si="1114">C588</f>
        <v>Hardware &amp; Software Provision</v>
      </c>
      <c r="D935" s="1071" t="str">
        <f t="shared" si="1114"/>
        <v>Hardware &amp; Software Provision</v>
      </c>
      <c r="E935" s="1071" t="str">
        <f t="shared" si="1114"/>
        <v>T018</v>
      </c>
      <c r="F935" s="1125" t="str">
        <f t="shared" si="1114"/>
        <v>2021-2024</v>
      </c>
      <c r="H935" s="1071" t="s">
        <v>29</v>
      </c>
      <c r="J935" s="1071" t="s">
        <v>79</v>
      </c>
      <c r="BB935" s="1108"/>
      <c r="BC935" s="1109"/>
      <c r="BD935" s="1109"/>
      <c r="BE935" s="1109"/>
      <c r="BF935" s="1109"/>
      <c r="BG935" s="1109"/>
      <c r="BH935" s="1109">
        <f t="shared" ref="BH935:BL935" si="1115">BH588*$AY285</f>
        <v>0</v>
      </c>
      <c r="BI935" s="1109">
        <f t="shared" si="1115"/>
        <v>0</v>
      </c>
      <c r="BJ935" s="1109">
        <f t="shared" si="1115"/>
        <v>0</v>
      </c>
      <c r="BK935" s="1109">
        <f t="shared" si="1115"/>
        <v>0</v>
      </c>
      <c r="BL935" s="1109">
        <f t="shared" si="1115"/>
        <v>0</v>
      </c>
    </row>
    <row r="936" spans="2:64" hidden="1" outlineLevel="1">
      <c r="B936" s="1094"/>
      <c r="C936" s="1071" t="str">
        <f t="shared" ref="C936:F936" si="1116">C589</f>
        <v>HW/SW Provision HQ - OTHER</v>
      </c>
      <c r="D936" s="1071" t="str">
        <f t="shared" si="1116"/>
        <v>Hardware &amp; Software Provision</v>
      </c>
      <c r="E936" s="1071" t="str">
        <f t="shared" si="1116"/>
        <v>T018A</v>
      </c>
      <c r="F936" s="1125" t="str">
        <f t="shared" si="1116"/>
        <v>2021-2024</v>
      </c>
      <c r="H936" s="1071" t="s">
        <v>29</v>
      </c>
      <c r="J936" s="1071" t="s">
        <v>79</v>
      </c>
      <c r="BB936" s="1108"/>
      <c r="BC936" s="1109"/>
      <c r="BD936" s="1109"/>
      <c r="BE936" s="1109"/>
      <c r="BF936" s="1109"/>
      <c r="BG936" s="1109"/>
      <c r="BH936" s="1109">
        <f t="shared" ref="BH936:BL936" si="1117">BH589*$AY286</f>
        <v>0</v>
      </c>
      <c r="BI936" s="1109">
        <f t="shared" si="1117"/>
        <v>1.0644946030499998</v>
      </c>
      <c r="BJ936" s="1109">
        <f t="shared" si="1117"/>
        <v>1.4193261373999997</v>
      </c>
      <c r="BK936" s="1109">
        <f t="shared" si="1117"/>
        <v>1.4193261373999997</v>
      </c>
      <c r="BL936" s="1109">
        <f t="shared" si="1117"/>
        <v>0.35483153434999992</v>
      </c>
    </row>
    <row r="937" spans="2:64" hidden="1" outlineLevel="1">
      <c r="B937" s="1094"/>
      <c r="C937" s="1071" t="str">
        <f t="shared" ref="C937:F937" si="1118">C590</f>
        <v>HW/SW Provision DUB</v>
      </c>
      <c r="D937" s="1071" t="str">
        <f t="shared" si="1118"/>
        <v>Hardware &amp; Software Provision</v>
      </c>
      <c r="E937" s="1071" t="str">
        <f t="shared" si="1118"/>
        <v>T018A</v>
      </c>
      <c r="F937" s="1125" t="str">
        <f t="shared" si="1118"/>
        <v>2021-2024</v>
      </c>
      <c r="H937" s="1071" t="s">
        <v>29</v>
      </c>
      <c r="J937" s="1071" t="s">
        <v>79</v>
      </c>
      <c r="BB937" s="1108"/>
      <c r="BC937" s="1109"/>
      <c r="BD937" s="1109"/>
      <c r="BE937" s="1109"/>
      <c r="BF937" s="1109"/>
      <c r="BG937" s="1109"/>
      <c r="BH937" s="1109">
        <f t="shared" ref="BH937:BL937" si="1119">BH590*$AY287</f>
        <v>0</v>
      </c>
      <c r="BI937" s="1109">
        <f t="shared" si="1119"/>
        <v>1.0936588387499997</v>
      </c>
      <c r="BJ937" s="1109">
        <f t="shared" si="1119"/>
        <v>1.4582117849999996</v>
      </c>
      <c r="BK937" s="1109">
        <f t="shared" si="1119"/>
        <v>1.4582117849999996</v>
      </c>
      <c r="BL937" s="1109">
        <f t="shared" si="1119"/>
        <v>0.3645529462499999</v>
      </c>
    </row>
    <row r="938" spans="2:64" hidden="1" outlineLevel="1">
      <c r="B938" s="1094"/>
      <c r="C938" s="1071" t="str">
        <f t="shared" ref="C938:F938" si="1120">C591</f>
        <v>HW/SW Provision SHN</v>
      </c>
      <c r="D938" s="1071" t="str">
        <f t="shared" si="1120"/>
        <v>Hardware &amp; Software Provision</v>
      </c>
      <c r="E938" s="1071" t="str">
        <f t="shared" si="1120"/>
        <v>T018A</v>
      </c>
      <c r="F938" s="1125" t="str">
        <f t="shared" si="1120"/>
        <v>2021-2024</v>
      </c>
      <c r="H938" s="1071" t="s">
        <v>29</v>
      </c>
      <c r="J938" s="1071" t="s">
        <v>79</v>
      </c>
      <c r="BB938" s="1108"/>
      <c r="BC938" s="1109"/>
      <c r="BD938" s="1109"/>
      <c r="BE938" s="1109"/>
      <c r="BF938" s="1109"/>
      <c r="BG938" s="1109"/>
      <c r="BH938" s="1109">
        <f t="shared" ref="BH938:BL938" si="1121">BH591*$AY288</f>
        <v>0</v>
      </c>
      <c r="BI938" s="1109">
        <f t="shared" si="1121"/>
        <v>1.0936588387499997</v>
      </c>
      <c r="BJ938" s="1109">
        <f t="shared" si="1121"/>
        <v>1.4582117849999996</v>
      </c>
      <c r="BK938" s="1109">
        <f t="shared" si="1121"/>
        <v>1.4582117849999996</v>
      </c>
      <c r="BL938" s="1109">
        <f t="shared" si="1121"/>
        <v>0.3645529462499999</v>
      </c>
    </row>
    <row r="939" spans="2:64" hidden="1" outlineLevel="1">
      <c r="B939" s="1094"/>
      <c r="C939" s="1071" t="str">
        <f t="shared" ref="C939:F939" si="1122">C592</f>
        <v>HW/SW Provision</v>
      </c>
      <c r="D939" s="1071" t="str">
        <f t="shared" si="1122"/>
        <v>Hardware &amp; Software Provision</v>
      </c>
      <c r="E939" s="1071" t="str">
        <f t="shared" si="1122"/>
        <v>V004</v>
      </c>
      <c r="F939" s="1125" t="str">
        <f t="shared" si="1122"/>
        <v>2021-2024</v>
      </c>
      <c r="H939" s="1071" t="s">
        <v>29</v>
      </c>
      <c r="J939" s="1071" t="s">
        <v>79</v>
      </c>
      <c r="BB939" s="1108"/>
      <c r="BC939" s="1109"/>
      <c r="BD939" s="1109"/>
      <c r="BE939" s="1109"/>
      <c r="BF939" s="1109"/>
      <c r="BG939" s="1109"/>
      <c r="BH939" s="1109">
        <f t="shared" ref="BH939:BL939" si="1123">BH592*$AY289</f>
        <v>0</v>
      </c>
      <c r="BI939" s="1109">
        <f t="shared" si="1123"/>
        <v>0</v>
      </c>
      <c r="BJ939" s="1109">
        <f t="shared" si="1123"/>
        <v>0</v>
      </c>
      <c r="BK939" s="1109">
        <f t="shared" si="1123"/>
        <v>0</v>
      </c>
      <c r="BL939" s="1109">
        <f t="shared" si="1123"/>
        <v>0</v>
      </c>
    </row>
    <row r="940" spans="2:64" hidden="1" outlineLevel="1">
      <c r="B940" s="1094"/>
      <c r="C940" s="1071" t="str">
        <f t="shared" ref="C940:F940" si="1124">C593</f>
        <v>HW/SW Provision HQ - OTHER</v>
      </c>
      <c r="D940" s="1071" t="str">
        <f t="shared" si="1124"/>
        <v>Hardware &amp; Software Provision</v>
      </c>
      <c r="E940" s="1071" t="str">
        <f t="shared" si="1124"/>
        <v>V004A</v>
      </c>
      <c r="F940" s="1125" t="str">
        <f t="shared" si="1124"/>
        <v>2021-2024</v>
      </c>
      <c r="H940" s="1071" t="s">
        <v>29</v>
      </c>
      <c r="J940" s="1071" t="s">
        <v>79</v>
      </c>
      <c r="BB940" s="1108"/>
      <c r="BC940" s="1109"/>
      <c r="BD940" s="1109"/>
      <c r="BE940" s="1109"/>
      <c r="BF940" s="1109"/>
      <c r="BG940" s="1109"/>
      <c r="BH940" s="1109">
        <f t="shared" ref="BH940:BL940" si="1125">BH593*$AY290</f>
        <v>0</v>
      </c>
      <c r="BI940" s="1109">
        <f t="shared" si="1125"/>
        <v>5.3229166666666652</v>
      </c>
      <c r="BJ940" s="1109">
        <f t="shared" si="1125"/>
        <v>13.83958333333333</v>
      </c>
      <c r="BK940" s="1109">
        <f t="shared" si="1125"/>
        <v>22.356249999999999</v>
      </c>
      <c r="BL940" s="1109">
        <f t="shared" si="1125"/>
        <v>25.55</v>
      </c>
    </row>
    <row r="941" spans="2:64" hidden="1" outlineLevel="1">
      <c r="B941" s="1094"/>
      <c r="C941" s="1071" t="str">
        <f t="shared" ref="C941:F941" si="1126">C594</f>
        <v>HW/SW Provision DUB</v>
      </c>
      <c r="D941" s="1071" t="str">
        <f t="shared" si="1126"/>
        <v>Hardware &amp; Software Provision</v>
      </c>
      <c r="E941" s="1071" t="str">
        <f t="shared" si="1126"/>
        <v>V004A</v>
      </c>
      <c r="F941" s="1125" t="str">
        <f t="shared" si="1126"/>
        <v>2021-2024</v>
      </c>
      <c r="H941" s="1071" t="s">
        <v>29</v>
      </c>
      <c r="J941" s="1071" t="s">
        <v>79</v>
      </c>
      <c r="BB941" s="1108"/>
      <c r="BC941" s="1109"/>
      <c r="BD941" s="1109"/>
      <c r="BE941" s="1109"/>
      <c r="BF941" s="1109"/>
      <c r="BG941" s="1109"/>
      <c r="BH941" s="1109">
        <f t="shared" ref="BH941:BL941" si="1127">BH594*$AY291</f>
        <v>0</v>
      </c>
      <c r="BI941" s="1109">
        <f t="shared" si="1127"/>
        <v>2.34375</v>
      </c>
      <c r="BJ941" s="1109">
        <f t="shared" si="1127"/>
        <v>6.09375</v>
      </c>
      <c r="BK941" s="1109">
        <f t="shared" si="1127"/>
        <v>9.84375</v>
      </c>
      <c r="BL941" s="1109">
        <f t="shared" si="1127"/>
        <v>11.25</v>
      </c>
    </row>
    <row r="942" spans="2:64" hidden="1" outlineLevel="1">
      <c r="B942" s="1094"/>
      <c r="C942" s="1071" t="str">
        <f t="shared" ref="C942:F942" si="1128">C595</f>
        <v>HW/SW Provision SHN</v>
      </c>
      <c r="D942" s="1071" t="str">
        <f t="shared" si="1128"/>
        <v>Hardware &amp; Software Provision</v>
      </c>
      <c r="E942" s="1071" t="str">
        <f t="shared" si="1128"/>
        <v>V004A</v>
      </c>
      <c r="F942" s="1125" t="str">
        <f t="shared" si="1128"/>
        <v>2021-2024</v>
      </c>
      <c r="H942" s="1071" t="s">
        <v>29</v>
      </c>
      <c r="J942" s="1071" t="s">
        <v>79</v>
      </c>
      <c r="BB942" s="1108"/>
      <c r="BC942" s="1109"/>
      <c r="BD942" s="1109"/>
      <c r="BE942" s="1109"/>
      <c r="BF942" s="1109"/>
      <c r="BG942" s="1109"/>
      <c r="BH942" s="1109">
        <f t="shared" ref="BH942:BL942" si="1129">BH595*$AY292</f>
        <v>0</v>
      </c>
      <c r="BI942" s="1109">
        <f t="shared" si="1129"/>
        <v>2.34375</v>
      </c>
      <c r="BJ942" s="1109">
        <f t="shared" si="1129"/>
        <v>6.09375</v>
      </c>
      <c r="BK942" s="1109">
        <f t="shared" si="1129"/>
        <v>9.84375</v>
      </c>
      <c r="BL942" s="1109">
        <f t="shared" si="1129"/>
        <v>11.25</v>
      </c>
    </row>
    <row r="943" spans="2:64" hidden="1" outlineLevel="1">
      <c r="B943" s="1094"/>
      <c r="C943" s="1071" t="str">
        <f t="shared" ref="C943:F943" si="1130">C596</f>
        <v>Automated Dependent Surveillance Broadcast Evaluation (ADS-B)</v>
      </c>
      <c r="D943" s="1071" t="str">
        <f t="shared" si="1130"/>
        <v>Automated Dependent Surveillance Broadcast Evaluation (ADS-B)</v>
      </c>
      <c r="E943" s="1071" t="str">
        <f t="shared" si="1130"/>
        <v>K010</v>
      </c>
      <c r="F943" s="1125" t="str">
        <f t="shared" si="1130"/>
        <v>2021-2024</v>
      </c>
      <c r="H943" s="1071" t="s">
        <v>29</v>
      </c>
      <c r="J943" s="1071" t="s">
        <v>79</v>
      </c>
      <c r="BB943" s="1108"/>
      <c r="BC943" s="1109"/>
      <c r="BD943" s="1109"/>
      <c r="BE943" s="1109"/>
      <c r="BF943" s="1109"/>
      <c r="BG943" s="1109"/>
      <c r="BH943" s="1109">
        <f t="shared" ref="BH943:BL943" si="1131">BH596*$AY293</f>
        <v>0</v>
      </c>
      <c r="BI943" s="1109">
        <f t="shared" si="1131"/>
        <v>0</v>
      </c>
      <c r="BJ943" s="1109">
        <f t="shared" si="1131"/>
        <v>6.2694095625000008</v>
      </c>
      <c r="BK943" s="1109">
        <f t="shared" si="1131"/>
        <v>25.077638250000003</v>
      </c>
      <c r="BL943" s="1109">
        <f t="shared" si="1131"/>
        <v>25.077638250000003</v>
      </c>
    </row>
    <row r="944" spans="2:64" hidden="1" outlineLevel="1">
      <c r="B944" s="1094"/>
      <c r="C944" s="1071" t="str">
        <f t="shared" ref="C944:F944" si="1132">C597</f>
        <v>Off the Glass Recording for VCCS Touchscreens</v>
      </c>
      <c r="D944" s="1071" t="str">
        <f t="shared" si="1132"/>
        <v>Off the Glass Recording</v>
      </c>
      <c r="E944" s="1071" t="str">
        <f t="shared" si="1132"/>
        <v>P004</v>
      </c>
      <c r="F944" s="1125" t="str">
        <f t="shared" si="1132"/>
        <v>2021-2024</v>
      </c>
      <c r="H944" s="1071" t="s">
        <v>29</v>
      </c>
      <c r="J944" s="1071" t="s">
        <v>79</v>
      </c>
      <c r="BB944" s="1108"/>
      <c r="BC944" s="1109"/>
      <c r="BD944" s="1109"/>
      <c r="BE944" s="1109"/>
      <c r="BF944" s="1109"/>
      <c r="BG944" s="1109"/>
      <c r="BH944" s="1109">
        <f t="shared" ref="BH944:BL944" si="1133">BH597*$AY294</f>
        <v>0</v>
      </c>
      <c r="BI944" s="1109">
        <f t="shared" si="1133"/>
        <v>0</v>
      </c>
      <c r="BJ944" s="1109">
        <f t="shared" si="1133"/>
        <v>0</v>
      </c>
      <c r="BK944" s="1109">
        <f t="shared" si="1133"/>
        <v>0</v>
      </c>
      <c r="BL944" s="1109">
        <f t="shared" si="1133"/>
        <v>0</v>
      </c>
    </row>
    <row r="945" spans="2:64" hidden="1" outlineLevel="1">
      <c r="B945" s="1094"/>
      <c r="C945" s="1071" t="str">
        <f t="shared" ref="C945:F945" si="1134">C598</f>
        <v>Off Glass Recording VCCS Dublin</v>
      </c>
      <c r="D945" s="1071" t="str">
        <f t="shared" si="1134"/>
        <v>Off the Glass Recording</v>
      </c>
      <c r="E945" s="1071" t="str">
        <f t="shared" si="1134"/>
        <v>P004A</v>
      </c>
      <c r="F945" s="1125" t="str">
        <f t="shared" si="1134"/>
        <v>2021-2024</v>
      </c>
      <c r="H945" s="1071" t="s">
        <v>29</v>
      </c>
      <c r="J945" s="1071" t="s">
        <v>79</v>
      </c>
      <c r="BB945" s="1108"/>
      <c r="BC945" s="1109"/>
      <c r="BD945" s="1109"/>
      <c r="BE945" s="1109"/>
      <c r="BF945" s="1109"/>
      <c r="BG945" s="1109"/>
      <c r="BH945" s="1109">
        <f t="shared" ref="BH945:BL945" si="1135">BH598*$AY295</f>
        <v>0</v>
      </c>
      <c r="BI945" s="1109">
        <f t="shared" si="1135"/>
        <v>12.090181874999999</v>
      </c>
      <c r="BJ945" s="1109">
        <f t="shared" si="1135"/>
        <v>24.180363749999998</v>
      </c>
      <c r="BK945" s="1109">
        <f t="shared" si="1135"/>
        <v>24.180363749999998</v>
      </c>
      <c r="BL945" s="1109">
        <f t="shared" si="1135"/>
        <v>24.180363749999998</v>
      </c>
    </row>
    <row r="946" spans="2:64" hidden="1" outlineLevel="1">
      <c r="B946" s="1094"/>
      <c r="C946" s="1071" t="str">
        <f t="shared" ref="C946:F946" si="1136">C599</f>
        <v>Cessation of E1 Crcuits and Migration to IP (ERIN etc)</v>
      </c>
      <c r="D946" s="1071" t="str">
        <f t="shared" si="1136"/>
        <v>Cessation of E1 Crcuits and Migration to IP (ERIN etc)</v>
      </c>
      <c r="E946" s="1071" t="str">
        <f t="shared" si="1136"/>
        <v>V008</v>
      </c>
      <c r="F946" s="1125" t="str">
        <f t="shared" si="1136"/>
        <v>2021-2024</v>
      </c>
      <c r="H946" s="1071" t="s">
        <v>29</v>
      </c>
      <c r="J946" s="1071" t="s">
        <v>79</v>
      </c>
      <c r="BB946" s="1108"/>
      <c r="BC946" s="1109"/>
      <c r="BD946" s="1109"/>
      <c r="BE946" s="1109"/>
      <c r="BF946" s="1109"/>
      <c r="BG946" s="1109"/>
      <c r="BH946" s="1109">
        <f t="shared" ref="BH946:BL946" si="1137">BH599*$AY296</f>
        <v>0</v>
      </c>
      <c r="BI946" s="1109">
        <f t="shared" si="1137"/>
        <v>0</v>
      </c>
      <c r="BJ946" s="1109">
        <f t="shared" si="1137"/>
        <v>0</v>
      </c>
      <c r="BK946" s="1109">
        <f t="shared" si="1137"/>
        <v>22.5</v>
      </c>
      <c r="BL946" s="1109">
        <f t="shared" si="1137"/>
        <v>22.5</v>
      </c>
    </row>
    <row r="947" spans="2:64" hidden="1" outlineLevel="1">
      <c r="B947" s="1094"/>
      <c r="C947" s="1071" t="str">
        <f t="shared" ref="C947:F947" si="1138">C600</f>
        <v>Generator Replacement Programmes</v>
      </c>
      <c r="D947" s="1071" t="str">
        <f t="shared" si="1138"/>
        <v>Generator Replacement Programmes</v>
      </c>
      <c r="E947" s="1071" t="str">
        <f t="shared" si="1138"/>
        <v>RP3-SURV-3</v>
      </c>
      <c r="F947" s="1125" t="str">
        <f t="shared" si="1138"/>
        <v>2021-2024</v>
      </c>
      <c r="H947" s="1071" t="s">
        <v>29</v>
      </c>
      <c r="J947" s="1071" t="s">
        <v>79</v>
      </c>
      <c r="BB947" s="1108"/>
      <c r="BC947" s="1109"/>
      <c r="BD947" s="1109"/>
      <c r="BE947" s="1109"/>
      <c r="BF947" s="1109"/>
      <c r="BG947" s="1109"/>
      <c r="BH947" s="1109">
        <f t="shared" ref="BH947:BL947" si="1139">BH600*$AY297</f>
        <v>0</v>
      </c>
      <c r="BI947" s="1109">
        <f t="shared" si="1139"/>
        <v>0</v>
      </c>
      <c r="BJ947" s="1109">
        <f t="shared" si="1139"/>
        <v>0</v>
      </c>
      <c r="BK947" s="1109">
        <f t="shared" si="1139"/>
        <v>0</v>
      </c>
      <c r="BL947" s="1109">
        <f t="shared" si="1139"/>
        <v>0</v>
      </c>
    </row>
    <row r="948" spans="2:64" hidden="1" outlineLevel="1">
      <c r="B948" s="1094"/>
      <c r="C948" s="1071" t="str">
        <f t="shared" ref="C948:F948" si="1140">C601</f>
        <v>Generator Replacements Shannon Remote Sites</v>
      </c>
      <c r="D948" s="1071" t="str">
        <f t="shared" si="1140"/>
        <v>Generator Replacement Programmes</v>
      </c>
      <c r="E948" s="1071" t="str">
        <f t="shared" si="1140"/>
        <v>RP3-SURV-3</v>
      </c>
      <c r="F948" s="1125" t="str">
        <f t="shared" si="1140"/>
        <v>2021-2024</v>
      </c>
      <c r="H948" s="1071" t="s">
        <v>29</v>
      </c>
      <c r="J948" s="1071" t="s">
        <v>79</v>
      </c>
      <c r="BB948" s="1108"/>
      <c r="BC948" s="1109"/>
      <c r="BD948" s="1109"/>
      <c r="BE948" s="1109"/>
      <c r="BF948" s="1109"/>
      <c r="BG948" s="1109"/>
      <c r="BH948" s="1109">
        <f t="shared" ref="BH948:BL948" si="1141">BH601*$AY298</f>
        <v>0</v>
      </c>
      <c r="BI948" s="1109">
        <f t="shared" si="1141"/>
        <v>0</v>
      </c>
      <c r="BJ948" s="1109">
        <f t="shared" si="1141"/>
        <v>2.8125</v>
      </c>
      <c r="BK948" s="1109">
        <f t="shared" si="1141"/>
        <v>14.0625</v>
      </c>
      <c r="BL948" s="1109">
        <f t="shared" si="1141"/>
        <v>22.5</v>
      </c>
    </row>
    <row r="949" spans="2:64" hidden="1" outlineLevel="1">
      <c r="B949" s="1094"/>
      <c r="C949" s="1071" t="str">
        <f t="shared" ref="C949:F949" si="1142">C602</f>
        <v>Software Licencing</v>
      </c>
      <c r="D949" s="1071" t="str">
        <f t="shared" si="1142"/>
        <v>Software Licencing</v>
      </c>
      <c r="E949" s="1071" t="str">
        <f t="shared" si="1142"/>
        <v>V005</v>
      </c>
      <c r="F949" s="1125" t="str">
        <f t="shared" si="1142"/>
        <v>2021-2024</v>
      </c>
      <c r="H949" s="1071" t="s">
        <v>29</v>
      </c>
      <c r="J949" s="1071" t="s">
        <v>79</v>
      </c>
      <c r="BB949" s="1108"/>
      <c r="BC949" s="1109"/>
      <c r="BD949" s="1109"/>
      <c r="BE949" s="1109"/>
      <c r="BF949" s="1109"/>
      <c r="BG949" s="1109"/>
      <c r="BH949" s="1109">
        <f t="shared" ref="BH949:BL949" si="1143">BH602*$AY299</f>
        <v>0</v>
      </c>
      <c r="BI949" s="1109">
        <f t="shared" si="1143"/>
        <v>0</v>
      </c>
      <c r="BJ949" s="1109">
        <f t="shared" si="1143"/>
        <v>0</v>
      </c>
      <c r="BK949" s="1109">
        <f t="shared" si="1143"/>
        <v>0</v>
      </c>
      <c r="BL949" s="1109">
        <f t="shared" si="1143"/>
        <v>0</v>
      </c>
    </row>
    <row r="950" spans="2:64" hidden="1" outlineLevel="1">
      <c r="B950" s="1094"/>
      <c r="C950" s="1071" t="str">
        <f t="shared" ref="C950:F950" si="1144">C603</f>
        <v>Software Licencing HQ</v>
      </c>
      <c r="D950" s="1071" t="str">
        <f t="shared" si="1144"/>
        <v>Software Licencing</v>
      </c>
      <c r="E950" s="1071" t="str">
        <f t="shared" si="1144"/>
        <v>V005A</v>
      </c>
      <c r="F950" s="1125" t="str">
        <f t="shared" si="1144"/>
        <v>2021-2024</v>
      </c>
      <c r="H950" s="1071" t="s">
        <v>29</v>
      </c>
      <c r="J950" s="1071" t="s">
        <v>79</v>
      </c>
      <c r="BB950" s="1108"/>
      <c r="BC950" s="1109"/>
      <c r="BD950" s="1109"/>
      <c r="BE950" s="1109"/>
      <c r="BF950" s="1109"/>
      <c r="BG950" s="1109"/>
      <c r="BH950" s="1109">
        <f t="shared" ref="BH950:BL950" si="1145">BH603*$AY300</f>
        <v>0</v>
      </c>
      <c r="BI950" s="1109">
        <f t="shared" si="1145"/>
        <v>7.3</v>
      </c>
      <c r="BJ950" s="1109">
        <f t="shared" si="1145"/>
        <v>25.55</v>
      </c>
      <c r="BK950" s="1109">
        <f t="shared" si="1145"/>
        <v>29.2</v>
      </c>
      <c r="BL950" s="1109">
        <f t="shared" si="1145"/>
        <v>21.9</v>
      </c>
    </row>
    <row r="951" spans="2:64" hidden="1" outlineLevel="1">
      <c r="B951" s="1094"/>
      <c r="C951" s="1071" t="str">
        <f t="shared" ref="C951:F951" si="1146">C604</f>
        <v>Software Licencing SHN</v>
      </c>
      <c r="D951" s="1071" t="str">
        <f t="shared" si="1146"/>
        <v>Software Licencing</v>
      </c>
      <c r="E951" s="1071" t="str">
        <f t="shared" si="1146"/>
        <v>V005A</v>
      </c>
      <c r="F951" s="1125" t="str">
        <f t="shared" si="1146"/>
        <v>2021-2024</v>
      </c>
      <c r="H951" s="1071" t="s">
        <v>29</v>
      </c>
      <c r="J951" s="1071" t="s">
        <v>79</v>
      </c>
      <c r="BB951" s="1108"/>
      <c r="BC951" s="1109"/>
      <c r="BD951" s="1109"/>
      <c r="BE951" s="1109"/>
      <c r="BF951" s="1109"/>
      <c r="BG951" s="1109"/>
      <c r="BH951" s="1109">
        <f t="shared" ref="BH951:BL951" si="1147">BH604*$AY301</f>
        <v>0</v>
      </c>
      <c r="BI951" s="1109">
        <f t="shared" si="1147"/>
        <v>7.5</v>
      </c>
      <c r="BJ951" s="1109">
        <f t="shared" si="1147"/>
        <v>26.25</v>
      </c>
      <c r="BK951" s="1109">
        <f t="shared" si="1147"/>
        <v>30</v>
      </c>
      <c r="BL951" s="1109">
        <f t="shared" si="1147"/>
        <v>22.5</v>
      </c>
    </row>
    <row r="952" spans="2:64" hidden="1" outlineLevel="1">
      <c r="B952" s="1094"/>
      <c r="C952" s="1071" t="str">
        <f t="shared" ref="C952:F952" si="1148">C605</f>
        <v>PC / Laptop Replacements</v>
      </c>
      <c r="D952" s="1071" t="str">
        <f t="shared" si="1148"/>
        <v>PC / Laptops</v>
      </c>
      <c r="E952" s="1071" t="str">
        <f t="shared" si="1148"/>
        <v>T017</v>
      </c>
      <c r="F952" s="1125" t="str">
        <f t="shared" si="1148"/>
        <v>2021-2024</v>
      </c>
      <c r="H952" s="1071" t="s">
        <v>29</v>
      </c>
      <c r="J952" s="1071" t="s">
        <v>79</v>
      </c>
      <c r="BB952" s="1108"/>
      <c r="BC952" s="1109"/>
      <c r="BD952" s="1109"/>
      <c r="BE952" s="1109"/>
      <c r="BF952" s="1109"/>
      <c r="BG952" s="1109"/>
      <c r="BH952" s="1109">
        <f t="shared" ref="BH952:BL952" si="1149">BH605*$AY302</f>
        <v>0</v>
      </c>
      <c r="BI952" s="1109">
        <f t="shared" si="1149"/>
        <v>0</v>
      </c>
      <c r="BJ952" s="1109">
        <f t="shared" si="1149"/>
        <v>0</v>
      </c>
      <c r="BK952" s="1109">
        <f t="shared" si="1149"/>
        <v>0</v>
      </c>
      <c r="BL952" s="1109">
        <f t="shared" si="1149"/>
        <v>0</v>
      </c>
    </row>
    <row r="953" spans="2:64" hidden="1" outlineLevel="1">
      <c r="B953" s="1094"/>
      <c r="C953" s="1071" t="str">
        <f t="shared" ref="C953:F953" si="1150">C606</f>
        <v>PC/Laptops HQ - OTHER</v>
      </c>
      <c r="D953" s="1071" t="str">
        <f t="shared" si="1150"/>
        <v>PC / Laptops</v>
      </c>
      <c r="E953" s="1071" t="str">
        <f t="shared" si="1150"/>
        <v>T017A</v>
      </c>
      <c r="F953" s="1125" t="str">
        <f t="shared" si="1150"/>
        <v>2021-2024</v>
      </c>
      <c r="H953" s="1071" t="s">
        <v>29</v>
      </c>
      <c r="J953" s="1071" t="s">
        <v>79</v>
      </c>
      <c r="BB953" s="1108"/>
      <c r="BC953" s="1109"/>
      <c r="BD953" s="1109"/>
      <c r="BE953" s="1109"/>
      <c r="BF953" s="1109"/>
      <c r="BG953" s="1109"/>
      <c r="BH953" s="1109">
        <f t="shared" ref="BH953:BL953" si="1151">BH606*$AY303</f>
        <v>0</v>
      </c>
      <c r="BI953" s="1109">
        <f t="shared" si="1151"/>
        <v>2.1413031599999814</v>
      </c>
      <c r="BJ953" s="1109">
        <f t="shared" si="1151"/>
        <v>2.8550708799999756</v>
      </c>
      <c r="BK953" s="1109">
        <f t="shared" si="1151"/>
        <v>2.8550708799999756</v>
      </c>
      <c r="BL953" s="1109">
        <f t="shared" si="1151"/>
        <v>0.71376771999999389</v>
      </c>
    </row>
    <row r="954" spans="2:64" hidden="1" outlineLevel="1">
      <c r="B954" s="1094"/>
      <c r="C954" s="1071" t="str">
        <f t="shared" ref="C954:F954" si="1152">C607</f>
        <v>PC/Laptops DUB</v>
      </c>
      <c r="D954" s="1071" t="str">
        <f t="shared" si="1152"/>
        <v>PC / Laptops</v>
      </c>
      <c r="E954" s="1071" t="str">
        <f t="shared" si="1152"/>
        <v>T017A</v>
      </c>
      <c r="F954" s="1125" t="str">
        <f t="shared" si="1152"/>
        <v>2021-2024</v>
      </c>
      <c r="H954" s="1071" t="s">
        <v>29</v>
      </c>
      <c r="J954" s="1071" t="s">
        <v>79</v>
      </c>
      <c r="BB954" s="1108"/>
      <c r="BC954" s="1109"/>
      <c r="BD954" s="1109"/>
      <c r="BE954" s="1109"/>
      <c r="BF954" s="1109"/>
      <c r="BG954" s="1109"/>
      <c r="BH954" s="1109">
        <f t="shared" ref="BH954:BL954" si="1153">BH607*$AY304</f>
        <v>0</v>
      </c>
      <c r="BI954" s="1109">
        <f t="shared" si="1153"/>
        <v>0</v>
      </c>
      <c r="BJ954" s="1109">
        <f t="shared" si="1153"/>
        <v>0</v>
      </c>
      <c r="BK954" s="1109">
        <f t="shared" si="1153"/>
        <v>0</v>
      </c>
      <c r="BL954" s="1109">
        <f t="shared" si="1153"/>
        <v>0</v>
      </c>
    </row>
    <row r="955" spans="2:64" hidden="1" outlineLevel="1">
      <c r="B955" s="1094"/>
      <c r="C955" s="1071" t="str">
        <f t="shared" ref="C955:F955" si="1154">C608</f>
        <v>PC/Laptops SHN</v>
      </c>
      <c r="D955" s="1071" t="str">
        <f t="shared" si="1154"/>
        <v>PC / Laptops</v>
      </c>
      <c r="E955" s="1071" t="str">
        <f t="shared" si="1154"/>
        <v>T017A</v>
      </c>
      <c r="F955" s="1125" t="str">
        <f t="shared" si="1154"/>
        <v>2021-2024</v>
      </c>
      <c r="H955" s="1071" t="s">
        <v>29</v>
      </c>
      <c r="J955" s="1071" t="s">
        <v>79</v>
      </c>
      <c r="BB955" s="1108"/>
      <c r="BC955" s="1109"/>
      <c r="BD955" s="1109"/>
      <c r="BE955" s="1109"/>
      <c r="BF955" s="1109"/>
      <c r="BG955" s="1109"/>
      <c r="BH955" s="1109">
        <f t="shared" ref="BH955:BL955" si="1155">BH608*$AY305</f>
        <v>0</v>
      </c>
      <c r="BI955" s="1109">
        <f t="shared" si="1155"/>
        <v>0</v>
      </c>
      <c r="BJ955" s="1109">
        <f t="shared" si="1155"/>
        <v>0</v>
      </c>
      <c r="BK955" s="1109">
        <f t="shared" si="1155"/>
        <v>0</v>
      </c>
      <c r="BL955" s="1109">
        <f t="shared" si="1155"/>
        <v>0</v>
      </c>
    </row>
    <row r="956" spans="2:64" hidden="1" outlineLevel="1">
      <c r="B956" s="1094"/>
      <c r="C956" s="1071" t="str">
        <f t="shared" ref="C956:F956" si="1156">C609</f>
        <v>PC/Laptop Replacements</v>
      </c>
      <c r="D956" s="1071" t="str">
        <f t="shared" si="1156"/>
        <v>PC / Laptops</v>
      </c>
      <c r="E956" s="1071" t="str">
        <f t="shared" si="1156"/>
        <v>V003</v>
      </c>
      <c r="F956" s="1125" t="str">
        <f t="shared" si="1156"/>
        <v>2021-2024</v>
      </c>
      <c r="H956" s="1071" t="s">
        <v>29</v>
      </c>
      <c r="J956" s="1071" t="s">
        <v>79</v>
      </c>
      <c r="BB956" s="1108"/>
      <c r="BC956" s="1109"/>
      <c r="BD956" s="1109"/>
      <c r="BE956" s="1109"/>
      <c r="BF956" s="1109"/>
      <c r="BG956" s="1109"/>
      <c r="BH956" s="1109">
        <f t="shared" ref="BH956:BL956" si="1157">BH609*$AY306</f>
        <v>0</v>
      </c>
      <c r="BI956" s="1109">
        <f t="shared" si="1157"/>
        <v>0</v>
      </c>
      <c r="BJ956" s="1109">
        <f t="shared" si="1157"/>
        <v>0</v>
      </c>
      <c r="BK956" s="1109">
        <f t="shared" si="1157"/>
        <v>0</v>
      </c>
      <c r="BL956" s="1109">
        <f t="shared" si="1157"/>
        <v>0</v>
      </c>
    </row>
    <row r="957" spans="2:64" hidden="1" outlineLevel="1">
      <c r="B957" s="1094"/>
      <c r="C957" s="1071" t="str">
        <f t="shared" ref="C957:F957" si="1158">C610</f>
        <v>PC/Laptops HQ - OTHER</v>
      </c>
      <c r="D957" s="1071" t="str">
        <f t="shared" si="1158"/>
        <v>PC / Laptops</v>
      </c>
      <c r="E957" s="1071" t="str">
        <f t="shared" si="1158"/>
        <v>V003A</v>
      </c>
      <c r="F957" s="1125" t="str">
        <f t="shared" si="1158"/>
        <v>2021-2024</v>
      </c>
      <c r="H957" s="1071" t="s">
        <v>29</v>
      </c>
      <c r="J957" s="1071" t="s">
        <v>79</v>
      </c>
      <c r="BB957" s="1108"/>
      <c r="BC957" s="1109"/>
      <c r="BD957" s="1109"/>
      <c r="BE957" s="1109"/>
      <c r="BF957" s="1109"/>
      <c r="BG957" s="1109"/>
      <c r="BH957" s="1109">
        <f t="shared" ref="BH957:BL957" si="1159">BH610*$AY307</f>
        <v>0</v>
      </c>
      <c r="BI957" s="1109">
        <f t="shared" si="1159"/>
        <v>4.2583333333333346</v>
      </c>
      <c r="BJ957" s="1109">
        <f t="shared" si="1159"/>
        <v>11.071666666666669</v>
      </c>
      <c r="BK957" s="1109">
        <f t="shared" si="1159"/>
        <v>17.885000000000005</v>
      </c>
      <c r="BL957" s="1109">
        <f t="shared" si="1159"/>
        <v>20.440000000000005</v>
      </c>
    </row>
    <row r="958" spans="2:64" hidden="1" outlineLevel="1">
      <c r="B958" s="1094"/>
      <c r="C958" s="1071" t="str">
        <f t="shared" ref="C958:F958" si="1160">C611</f>
        <v>PC/Laptops DUB</v>
      </c>
      <c r="D958" s="1071" t="str">
        <f t="shared" si="1160"/>
        <v>PC / Laptops</v>
      </c>
      <c r="E958" s="1071" t="str">
        <f t="shared" si="1160"/>
        <v>V003A</v>
      </c>
      <c r="F958" s="1125" t="str">
        <f t="shared" si="1160"/>
        <v>2021-2024</v>
      </c>
      <c r="H958" s="1071" t="s">
        <v>29</v>
      </c>
      <c r="J958" s="1071" t="s">
        <v>79</v>
      </c>
      <c r="BB958" s="1108"/>
      <c r="BC958" s="1109"/>
      <c r="BD958" s="1109"/>
      <c r="BE958" s="1109"/>
      <c r="BF958" s="1109"/>
      <c r="BG958" s="1109"/>
      <c r="BH958" s="1109">
        <f t="shared" ref="BH958:BL958" si="1161">BH611*$AY308</f>
        <v>0</v>
      </c>
      <c r="BI958" s="1109">
        <f t="shared" si="1161"/>
        <v>1.8749999999999993</v>
      </c>
      <c r="BJ958" s="1109">
        <f t="shared" si="1161"/>
        <v>4.875</v>
      </c>
      <c r="BK958" s="1109">
        <f t="shared" si="1161"/>
        <v>7.875</v>
      </c>
      <c r="BL958" s="1109">
        <f t="shared" si="1161"/>
        <v>9</v>
      </c>
    </row>
    <row r="959" spans="2:64" hidden="1" outlineLevel="1">
      <c r="B959" s="1094"/>
      <c r="C959" s="1071" t="str">
        <f t="shared" ref="C959:F959" si="1162">C612</f>
        <v>PC/Laptops SHN</v>
      </c>
      <c r="D959" s="1071" t="str">
        <f t="shared" si="1162"/>
        <v>PC / Laptops</v>
      </c>
      <c r="E959" s="1071" t="str">
        <f t="shared" si="1162"/>
        <v>V003A</v>
      </c>
      <c r="F959" s="1125" t="str">
        <f t="shared" si="1162"/>
        <v>2021-2024</v>
      </c>
      <c r="H959" s="1071" t="s">
        <v>29</v>
      </c>
      <c r="J959" s="1071" t="s">
        <v>79</v>
      </c>
      <c r="BB959" s="1108"/>
      <c r="BC959" s="1109"/>
      <c r="BD959" s="1109"/>
      <c r="BE959" s="1109"/>
      <c r="BF959" s="1109"/>
      <c r="BG959" s="1109"/>
      <c r="BH959" s="1109">
        <f t="shared" ref="BH959:BL959" si="1163">BH612*$AY309</f>
        <v>0</v>
      </c>
      <c r="BI959" s="1109">
        <f t="shared" si="1163"/>
        <v>1.8749999999999993</v>
      </c>
      <c r="BJ959" s="1109">
        <f t="shared" si="1163"/>
        <v>4.875</v>
      </c>
      <c r="BK959" s="1109">
        <f t="shared" si="1163"/>
        <v>7.875</v>
      </c>
      <c r="BL959" s="1109">
        <f t="shared" si="1163"/>
        <v>9</v>
      </c>
    </row>
    <row r="960" spans="2:64" hidden="1" outlineLevel="1">
      <c r="B960" s="1094"/>
      <c r="C960" s="1071" t="str">
        <f t="shared" ref="C960:F960" si="1164">C613</f>
        <v>Upgrades and Contingency IAA Net</v>
      </c>
      <c r="D960" s="1071" t="str">
        <f t="shared" si="1164"/>
        <v>Upgrades and Contingency IAA Net</v>
      </c>
      <c r="E960" s="1071" t="str">
        <f t="shared" si="1164"/>
        <v>S002</v>
      </c>
      <c r="F960" s="1125" t="str">
        <f t="shared" si="1164"/>
        <v>2021-2024</v>
      </c>
      <c r="H960" s="1071" t="s">
        <v>29</v>
      </c>
      <c r="J960" s="1071" t="s">
        <v>79</v>
      </c>
      <c r="BB960" s="1108"/>
      <c r="BC960" s="1109"/>
      <c r="BD960" s="1109"/>
      <c r="BE960" s="1109"/>
      <c r="BF960" s="1109"/>
      <c r="BG960" s="1109"/>
      <c r="BH960" s="1109">
        <f t="shared" ref="BH960:BL960" si="1165">BH613*$AY310</f>
        <v>0</v>
      </c>
      <c r="BI960" s="1109">
        <f t="shared" si="1165"/>
        <v>0</v>
      </c>
      <c r="BJ960" s="1109">
        <f t="shared" si="1165"/>
        <v>3.75</v>
      </c>
      <c r="BK960" s="1109">
        <f t="shared" si="1165"/>
        <v>15</v>
      </c>
      <c r="BL960" s="1109">
        <f t="shared" si="1165"/>
        <v>15</v>
      </c>
    </row>
    <row r="961" spans="2:64" hidden="1" outlineLevel="1">
      <c r="B961" s="1094"/>
      <c r="C961" s="1071" t="str">
        <f t="shared" ref="C961:F961" si="1166">C614</f>
        <v>New En Route Contingency Facility</v>
      </c>
      <c r="D961" s="1071" t="str">
        <f t="shared" si="1166"/>
        <v>New En Route Contingency Facility</v>
      </c>
      <c r="E961" s="1071" t="str">
        <f t="shared" si="1166"/>
        <v>N004</v>
      </c>
      <c r="F961" s="1125" t="str">
        <f t="shared" si="1166"/>
        <v>2021-2024</v>
      </c>
      <c r="H961" s="1071" t="s">
        <v>29</v>
      </c>
      <c r="J961" s="1071" t="s">
        <v>79</v>
      </c>
      <c r="BB961" s="1108"/>
      <c r="BC961" s="1109"/>
      <c r="BD961" s="1109"/>
      <c r="BE961" s="1109"/>
      <c r="BF961" s="1109"/>
      <c r="BG961" s="1109"/>
      <c r="BH961" s="1109">
        <f t="shared" ref="BH961:BL961" si="1167">BH614*$AY311</f>
        <v>0</v>
      </c>
      <c r="BI961" s="1109">
        <f t="shared" si="1167"/>
        <v>0</v>
      </c>
      <c r="BJ961" s="1109">
        <f t="shared" si="1167"/>
        <v>0</v>
      </c>
      <c r="BK961" s="1109">
        <f t="shared" si="1167"/>
        <v>0</v>
      </c>
      <c r="BL961" s="1109">
        <f t="shared" si="1167"/>
        <v>0</v>
      </c>
    </row>
    <row r="962" spans="2:64" hidden="1" outlineLevel="1">
      <c r="B962" s="1094"/>
      <c r="C962" s="1071" t="str">
        <f t="shared" ref="C962:F962" si="1168">C615</f>
        <v>New En Route Contingency Facility - ATM Equipment</v>
      </c>
      <c r="D962" s="1071" t="str">
        <f t="shared" si="1168"/>
        <v>New En Route Contingency Facility</v>
      </c>
      <c r="E962" s="1071" t="str">
        <f t="shared" si="1168"/>
        <v>N004A</v>
      </c>
      <c r="F962" s="1125" t="str">
        <f t="shared" si="1168"/>
        <v>2021-2024</v>
      </c>
      <c r="H962" s="1071" t="s">
        <v>29</v>
      </c>
      <c r="J962" s="1071" t="s">
        <v>79</v>
      </c>
      <c r="BB962" s="1108"/>
      <c r="BC962" s="1109"/>
      <c r="BD962" s="1109"/>
      <c r="BE962" s="1109"/>
      <c r="BF962" s="1109"/>
      <c r="BG962" s="1109"/>
      <c r="BH962" s="1109">
        <f t="shared" ref="BH962:BL962" si="1169">BH615*$AY312</f>
        <v>0</v>
      </c>
      <c r="BI962" s="1109">
        <f t="shared" si="1169"/>
        <v>0</v>
      </c>
      <c r="BJ962" s="1109">
        <f t="shared" si="1169"/>
        <v>4.9577765000001071</v>
      </c>
      <c r="BK962" s="1109">
        <f t="shared" si="1169"/>
        <v>19.831106000000428</v>
      </c>
      <c r="BL962" s="1109">
        <f t="shared" si="1169"/>
        <v>19.831106000000428</v>
      </c>
    </row>
    <row r="963" spans="2:64" hidden="1" outlineLevel="1">
      <c r="B963" s="1094"/>
      <c r="C963" s="1071" t="str">
        <f t="shared" ref="C963:F963" si="1170">C616</f>
        <v>New En Route Contingency Facility - Building</v>
      </c>
      <c r="D963" s="1071" t="str">
        <f t="shared" si="1170"/>
        <v>New En Route Contingency Facility</v>
      </c>
      <c r="E963" s="1071" t="str">
        <f t="shared" si="1170"/>
        <v>N004A</v>
      </c>
      <c r="F963" s="1125" t="str">
        <f t="shared" si="1170"/>
        <v>2021-2024</v>
      </c>
      <c r="H963" s="1071" t="s">
        <v>29</v>
      </c>
      <c r="J963" s="1071" t="s">
        <v>79</v>
      </c>
      <c r="BB963" s="1108"/>
      <c r="BC963" s="1109"/>
      <c r="BD963" s="1109"/>
      <c r="BE963" s="1109"/>
      <c r="BF963" s="1109"/>
      <c r="BG963" s="1109"/>
      <c r="BH963" s="1109">
        <f t="shared" ref="BH963:BL963" si="1171">BH616*$AY313</f>
        <v>0</v>
      </c>
      <c r="BI963" s="1109">
        <f t="shared" si="1171"/>
        <v>0</v>
      </c>
      <c r="BJ963" s="1109">
        <f t="shared" si="1171"/>
        <v>0</v>
      </c>
      <c r="BK963" s="1109">
        <f t="shared" si="1171"/>
        <v>0</v>
      </c>
      <c r="BL963" s="1109">
        <f t="shared" si="1171"/>
        <v>0</v>
      </c>
    </row>
    <row r="964" spans="2:64" hidden="1" outlineLevel="1">
      <c r="B964" s="1094"/>
      <c r="C964" s="1071" t="str">
        <f t="shared" ref="C964:F964" si="1172">C617</f>
        <v>Shannon Tower MEP</v>
      </c>
      <c r="D964" s="1071" t="str">
        <f t="shared" si="1172"/>
        <v>Shannon Tower MEP</v>
      </c>
      <c r="E964" s="1071" t="str">
        <f t="shared" si="1172"/>
        <v>J004A</v>
      </c>
      <c r="F964" s="1125" t="str">
        <f t="shared" si="1172"/>
        <v>2021-2024</v>
      </c>
      <c r="H964" s="1071" t="s">
        <v>29</v>
      </c>
      <c r="J964" s="1071" t="s">
        <v>79</v>
      </c>
      <c r="BB964" s="1108"/>
      <c r="BC964" s="1109"/>
      <c r="BD964" s="1109"/>
      <c r="BE964" s="1109"/>
      <c r="BF964" s="1109"/>
      <c r="BG964" s="1109"/>
      <c r="BH964" s="1109">
        <f t="shared" ref="BH964:BL964" si="1173">BH617*$AY314</f>
        <v>0</v>
      </c>
      <c r="BI964" s="1109">
        <f t="shared" si="1173"/>
        <v>5.7491178750000191</v>
      </c>
      <c r="BJ964" s="1109">
        <f t="shared" si="1173"/>
        <v>11.498235750000038</v>
      </c>
      <c r="BK964" s="1109">
        <f t="shared" si="1173"/>
        <v>11.498235750000038</v>
      </c>
      <c r="BL964" s="1109">
        <f t="shared" si="1173"/>
        <v>11.498235750000038</v>
      </c>
    </row>
    <row r="965" spans="2:64" hidden="1" outlineLevel="1">
      <c r="C965" s="1071" t="str">
        <f t="shared" ref="C965:F965" si="1174">C618</f>
        <v>UMT Drone Protection System</v>
      </c>
      <c r="D965" s="1071" t="str">
        <f t="shared" si="1174"/>
        <v>UMT Drone Protection System</v>
      </c>
      <c r="E965" s="1071" t="str">
        <f t="shared" si="1174"/>
        <v>RP3-FDPS-2</v>
      </c>
      <c r="F965" s="1125" t="str">
        <f t="shared" si="1174"/>
        <v>2021-2024</v>
      </c>
      <c r="H965" s="1071" t="s">
        <v>29</v>
      </c>
      <c r="J965" s="1071" t="s">
        <v>79</v>
      </c>
      <c r="BB965" s="1108"/>
      <c r="BC965" s="1109"/>
      <c r="BD965" s="1109"/>
      <c r="BE965" s="1109"/>
      <c r="BF965" s="1109"/>
      <c r="BG965" s="1109"/>
      <c r="BH965" s="1109">
        <f t="shared" ref="BH965:BL965" si="1175">BH618*$AY315</f>
        <v>0</v>
      </c>
      <c r="BI965" s="1109">
        <f t="shared" si="1175"/>
        <v>0</v>
      </c>
      <c r="BJ965" s="1109">
        <f t="shared" si="1175"/>
        <v>0</v>
      </c>
      <c r="BK965" s="1109">
        <f t="shared" si="1175"/>
        <v>0</v>
      </c>
      <c r="BL965" s="1109">
        <f t="shared" si="1175"/>
        <v>0</v>
      </c>
    </row>
    <row r="966" spans="2:64" hidden="1" outlineLevel="1">
      <c r="C966" s="1071" t="str">
        <f t="shared" ref="C966:F966" si="1176">C619</f>
        <v>Enhancements to Financial Management Systems</v>
      </c>
      <c r="D966" s="1071" t="str">
        <f t="shared" si="1176"/>
        <v>Enhancements to Financial Management Systems</v>
      </c>
      <c r="E966" s="1071" t="str">
        <f t="shared" si="1176"/>
        <v>Q019</v>
      </c>
      <c r="F966" s="1125" t="str">
        <f t="shared" si="1176"/>
        <v>2021-2024</v>
      </c>
      <c r="H966" s="1071" t="s">
        <v>29</v>
      </c>
      <c r="J966" s="1071" t="s">
        <v>79</v>
      </c>
      <c r="BB966" s="1108"/>
      <c r="BC966" s="1109"/>
      <c r="BD966" s="1109"/>
      <c r="BE966" s="1109"/>
      <c r="BF966" s="1109"/>
      <c r="BG966" s="1109"/>
      <c r="BH966" s="1109">
        <f t="shared" ref="BH966:BL966" si="1177">BH619*$AY316</f>
        <v>0</v>
      </c>
      <c r="BI966" s="1109">
        <f t="shared" si="1177"/>
        <v>0</v>
      </c>
      <c r="BJ966" s="1109">
        <f t="shared" si="1177"/>
        <v>0</v>
      </c>
      <c r="BK966" s="1109">
        <f t="shared" si="1177"/>
        <v>10.95</v>
      </c>
      <c r="BL966" s="1109">
        <f t="shared" si="1177"/>
        <v>10.95</v>
      </c>
    </row>
    <row r="967" spans="2:64" hidden="1" outlineLevel="1">
      <c r="C967" s="1071" t="str">
        <f t="shared" ref="C967:F967" si="1178">C620</f>
        <v>Quadrant Roof-Light in Dublin ACC</v>
      </c>
      <c r="D967" s="1071" t="str">
        <f t="shared" si="1178"/>
        <v>Quadrant Roof-Light in Dublin ACC</v>
      </c>
      <c r="E967" s="1071" t="str">
        <f t="shared" si="1178"/>
        <v>S020</v>
      </c>
      <c r="F967" s="1125" t="str">
        <f t="shared" si="1178"/>
        <v>2021-2024</v>
      </c>
      <c r="H967" s="1071" t="s">
        <v>29</v>
      </c>
      <c r="J967" s="1071" t="s">
        <v>79</v>
      </c>
      <c r="BB967" s="1108"/>
      <c r="BC967" s="1109"/>
      <c r="BD967" s="1109"/>
      <c r="BE967" s="1109"/>
      <c r="BF967" s="1109"/>
      <c r="BG967" s="1109"/>
      <c r="BH967" s="1109">
        <f t="shared" ref="BH967:BL967" si="1179">BH620*$AY317</f>
        <v>0</v>
      </c>
      <c r="BI967" s="1109">
        <f t="shared" si="1179"/>
        <v>0</v>
      </c>
      <c r="BJ967" s="1109">
        <f t="shared" si="1179"/>
        <v>3.12</v>
      </c>
      <c r="BK967" s="1109">
        <f t="shared" si="1179"/>
        <v>3.12</v>
      </c>
      <c r="BL967" s="1109">
        <f t="shared" si="1179"/>
        <v>3.12</v>
      </c>
    </row>
    <row r="968" spans="2:64" hidden="1" outlineLevel="1">
      <c r="C968" s="1071" t="str">
        <f t="shared" ref="C968:F968" si="1180">C621</f>
        <v>Generator replacement project</v>
      </c>
      <c r="D968" s="1071" t="str">
        <f t="shared" si="1180"/>
        <v>Generator replacement project</v>
      </c>
      <c r="E968" s="1071" t="str">
        <f t="shared" si="1180"/>
        <v>U010</v>
      </c>
      <c r="F968" s="1125" t="str">
        <f t="shared" si="1180"/>
        <v>2021-2024</v>
      </c>
      <c r="H968" s="1071" t="s">
        <v>29</v>
      </c>
      <c r="J968" s="1071" t="s">
        <v>79</v>
      </c>
      <c r="BB968" s="1108"/>
      <c r="BC968" s="1109"/>
      <c r="BD968" s="1109"/>
      <c r="BE968" s="1109"/>
      <c r="BF968" s="1109"/>
      <c r="BG968" s="1109"/>
      <c r="BH968" s="1109">
        <f t="shared" ref="BH968:BL968" si="1181">BH621*$AY318</f>
        <v>0</v>
      </c>
      <c r="BI968" s="1109">
        <f t="shared" si="1181"/>
        <v>2.15625</v>
      </c>
      <c r="BJ968" s="1109">
        <f t="shared" si="1181"/>
        <v>8.625</v>
      </c>
      <c r="BK968" s="1109">
        <f t="shared" si="1181"/>
        <v>8.625</v>
      </c>
      <c r="BL968" s="1109">
        <f t="shared" si="1181"/>
        <v>8.625</v>
      </c>
    </row>
    <row r="969" spans="2:64" hidden="1" outlineLevel="1">
      <c r="C969" s="1071" t="str">
        <f t="shared" ref="C969:F969" si="1182">C622</f>
        <v>Replacement of COOPANS Hardware</v>
      </c>
      <c r="D969" s="1071" t="str">
        <f t="shared" si="1182"/>
        <v>COOPANS Hardware</v>
      </c>
      <c r="E969" s="1071" t="str">
        <f t="shared" si="1182"/>
        <v>Q001</v>
      </c>
      <c r="F969" s="1125" t="str">
        <f t="shared" si="1182"/>
        <v>2021-2024</v>
      </c>
      <c r="H969" s="1071" t="s">
        <v>29</v>
      </c>
      <c r="J969" s="1071" t="s">
        <v>79</v>
      </c>
      <c r="BB969" s="1108"/>
      <c r="BC969" s="1109"/>
      <c r="BD969" s="1109"/>
      <c r="BE969" s="1109"/>
      <c r="BF969" s="1109"/>
      <c r="BG969" s="1109"/>
      <c r="BH969" s="1109">
        <f t="shared" ref="BH969:BL969" si="1183">BH622*$AY319</f>
        <v>0</v>
      </c>
      <c r="BI969" s="1109">
        <f t="shared" si="1183"/>
        <v>0</v>
      </c>
      <c r="BJ969" s="1109">
        <f t="shared" si="1183"/>
        <v>0</v>
      </c>
      <c r="BK969" s="1109">
        <f t="shared" si="1183"/>
        <v>0</v>
      </c>
      <c r="BL969" s="1109">
        <f t="shared" si="1183"/>
        <v>0</v>
      </c>
    </row>
    <row r="970" spans="2:64" hidden="1" outlineLevel="1">
      <c r="C970" s="1071" t="str">
        <f t="shared" ref="C970:F970" si="1184">C623</f>
        <v>COOPANS HARDWARE Shannon</v>
      </c>
      <c r="D970" s="1071" t="str">
        <f t="shared" si="1184"/>
        <v>COOPANS Hardware</v>
      </c>
      <c r="E970" s="1071" t="str">
        <f t="shared" si="1184"/>
        <v>Q001A</v>
      </c>
      <c r="F970" s="1125" t="str">
        <f t="shared" si="1184"/>
        <v>2021-2024</v>
      </c>
      <c r="H970" s="1071" t="s">
        <v>29</v>
      </c>
      <c r="J970" s="1071" t="s">
        <v>79</v>
      </c>
      <c r="BB970" s="1108"/>
      <c r="BC970" s="1109"/>
      <c r="BD970" s="1109"/>
      <c r="BE970" s="1109"/>
      <c r="BF970" s="1109"/>
      <c r="BG970" s="1109"/>
      <c r="BH970" s="1109">
        <f t="shared" ref="BH970:BL970" si="1185">BH623*$AY320</f>
        <v>0</v>
      </c>
      <c r="BI970" s="1109">
        <f t="shared" si="1185"/>
        <v>2.8975499047619175</v>
      </c>
      <c r="BJ970" s="1109">
        <f t="shared" si="1185"/>
        <v>3.8350499047619175</v>
      </c>
      <c r="BK970" s="1109">
        <f t="shared" si="1185"/>
        <v>3.8350499047619175</v>
      </c>
      <c r="BL970" s="1109">
        <f t="shared" si="1185"/>
        <v>3.8350499047619175</v>
      </c>
    </row>
    <row r="971" spans="2:64" hidden="1" outlineLevel="1">
      <c r="C971" s="1071" t="str">
        <f t="shared" ref="C971:F971" si="1186">C624</f>
        <v>COOPANS HARDWARE Dublin</v>
      </c>
      <c r="D971" s="1071" t="str">
        <f t="shared" si="1186"/>
        <v>COOPANS Hardware</v>
      </c>
      <c r="E971" s="1071" t="str">
        <f t="shared" si="1186"/>
        <v>Q001A</v>
      </c>
      <c r="F971" s="1125" t="str">
        <f t="shared" si="1186"/>
        <v>2021-2024</v>
      </c>
      <c r="H971" s="1071" t="s">
        <v>29</v>
      </c>
      <c r="J971" s="1071" t="s">
        <v>79</v>
      </c>
      <c r="BB971" s="1108"/>
      <c r="BC971" s="1109"/>
      <c r="BD971" s="1109"/>
      <c r="BE971" s="1109"/>
      <c r="BF971" s="1109"/>
      <c r="BG971" s="1109"/>
      <c r="BH971" s="1109">
        <f t="shared" ref="BH971:BL971" si="1187">BH624*$AY321</f>
        <v>0</v>
      </c>
      <c r="BI971" s="1109">
        <f t="shared" si="1187"/>
        <v>2.8125</v>
      </c>
      <c r="BJ971" s="1109">
        <f t="shared" si="1187"/>
        <v>3.75</v>
      </c>
      <c r="BK971" s="1109">
        <f t="shared" si="1187"/>
        <v>3.75</v>
      </c>
      <c r="BL971" s="1109">
        <f t="shared" si="1187"/>
        <v>3.75</v>
      </c>
    </row>
    <row r="972" spans="2:64" hidden="1" outlineLevel="1">
      <c r="C972" s="1071" t="str">
        <f t="shared" ref="C972:F972" si="1188">C625</f>
        <v>PABX Infrastructure Upgrade BCY/CRK</v>
      </c>
      <c r="D972" s="1071" t="str">
        <f t="shared" si="1188"/>
        <v>PABX Infrastructure Upgrade BCY/CRK</v>
      </c>
      <c r="E972" s="1071" t="str">
        <f t="shared" si="1188"/>
        <v>S009</v>
      </c>
      <c r="F972" s="1125" t="str">
        <f t="shared" si="1188"/>
        <v>2021-2024</v>
      </c>
      <c r="H972" s="1071" t="s">
        <v>29</v>
      </c>
      <c r="J972" s="1071" t="s">
        <v>79</v>
      </c>
      <c r="BB972" s="1108"/>
      <c r="BC972" s="1109"/>
      <c r="BD972" s="1109"/>
      <c r="BE972" s="1109"/>
      <c r="BF972" s="1109"/>
      <c r="BG972" s="1109"/>
      <c r="BH972" s="1109">
        <f t="shared" ref="BH972:BL972" si="1189">BH625*$AY322</f>
        <v>0</v>
      </c>
      <c r="BI972" s="1109">
        <f t="shared" si="1189"/>
        <v>0</v>
      </c>
      <c r="BJ972" s="1109">
        <f t="shared" si="1189"/>
        <v>1.25</v>
      </c>
      <c r="BK972" s="1109">
        <f t="shared" si="1189"/>
        <v>5</v>
      </c>
      <c r="BL972" s="1109">
        <f t="shared" si="1189"/>
        <v>5</v>
      </c>
    </row>
    <row r="973" spans="2:64" hidden="1" outlineLevel="1">
      <c r="C973" s="1071" t="str">
        <f t="shared" ref="C973:F973" si="1190">C626</f>
        <v>Test Equipment</v>
      </c>
      <c r="D973" s="1071" t="str">
        <f t="shared" si="1190"/>
        <v>Test Equipment</v>
      </c>
      <c r="E973" s="1071" t="str">
        <f t="shared" si="1190"/>
        <v>T003</v>
      </c>
      <c r="F973" s="1125" t="str">
        <f t="shared" si="1190"/>
        <v>2021-2024</v>
      </c>
      <c r="H973" s="1071" t="s">
        <v>29</v>
      </c>
      <c r="J973" s="1071" t="s">
        <v>79</v>
      </c>
      <c r="BB973" s="1108"/>
      <c r="BC973" s="1109"/>
      <c r="BD973" s="1109"/>
      <c r="BE973" s="1109"/>
      <c r="BF973" s="1109"/>
      <c r="BG973" s="1109"/>
      <c r="BH973" s="1109">
        <f t="shared" ref="BH973:BL973" si="1191">BH626*$AY323</f>
        <v>0</v>
      </c>
      <c r="BI973" s="1109">
        <f t="shared" si="1191"/>
        <v>3</v>
      </c>
      <c r="BJ973" s="1109">
        <f t="shared" si="1191"/>
        <v>12</v>
      </c>
      <c r="BK973" s="1109">
        <f t="shared" si="1191"/>
        <v>12</v>
      </c>
      <c r="BL973" s="1109">
        <f t="shared" si="1191"/>
        <v>12</v>
      </c>
    </row>
    <row r="974" spans="2:64" hidden="1" outlineLevel="1">
      <c r="C974" s="1071" t="str">
        <f t="shared" ref="C974:F974" si="1192">C627</f>
        <v>Multifunctional Devices - Network Printers</v>
      </c>
      <c r="D974" s="1071" t="str">
        <f t="shared" si="1192"/>
        <v>Multifunctional Devices - Network Printers</v>
      </c>
      <c r="E974" s="1071" t="str">
        <f t="shared" si="1192"/>
        <v>U017</v>
      </c>
      <c r="F974" s="1125" t="str">
        <f t="shared" si="1192"/>
        <v>2021-2024</v>
      </c>
      <c r="H974" s="1071" t="s">
        <v>29</v>
      </c>
      <c r="J974" s="1071" t="s">
        <v>79</v>
      </c>
      <c r="BB974" s="1108"/>
      <c r="BC974" s="1109"/>
      <c r="BD974" s="1109"/>
      <c r="BE974" s="1109"/>
      <c r="BF974" s="1109"/>
      <c r="BG974" s="1109"/>
      <c r="BH974" s="1109">
        <f t="shared" ref="BH974:BL974" si="1193">BH627*$AY324</f>
        <v>0</v>
      </c>
      <c r="BI974" s="1109">
        <f t="shared" si="1193"/>
        <v>2.19</v>
      </c>
      <c r="BJ974" s="1109">
        <f t="shared" si="1193"/>
        <v>10.95</v>
      </c>
      <c r="BK974" s="1109">
        <f t="shared" si="1193"/>
        <v>11.68</v>
      </c>
      <c r="BL974" s="1109">
        <f t="shared" si="1193"/>
        <v>11.68</v>
      </c>
    </row>
    <row r="975" spans="2:64" hidden="1" outlineLevel="1">
      <c r="C975" s="1071" t="str">
        <f t="shared" ref="C975:F975" si="1194">C628</f>
        <v>Virtual Environment Server Replacements</v>
      </c>
      <c r="D975" s="1071" t="str">
        <f t="shared" si="1194"/>
        <v>Virtual Environment Server Replacements</v>
      </c>
      <c r="E975" s="1071" t="str">
        <f t="shared" si="1194"/>
        <v>U018</v>
      </c>
      <c r="F975" s="1125" t="str">
        <f t="shared" si="1194"/>
        <v>2021-2024</v>
      </c>
      <c r="H975" s="1071" t="s">
        <v>29</v>
      </c>
      <c r="J975" s="1071" t="s">
        <v>79</v>
      </c>
      <c r="BB975" s="1108"/>
      <c r="BC975" s="1109"/>
      <c r="BD975" s="1109"/>
      <c r="BE975" s="1109"/>
      <c r="BF975" s="1109"/>
      <c r="BG975" s="1109"/>
      <c r="BH975" s="1109">
        <f t="shared" ref="BH975:BL975" si="1195">BH628*$AY325</f>
        <v>0</v>
      </c>
      <c r="BI975" s="1109">
        <f t="shared" si="1195"/>
        <v>3.65</v>
      </c>
      <c r="BJ975" s="1109">
        <f t="shared" si="1195"/>
        <v>18.25</v>
      </c>
      <c r="BK975" s="1109">
        <f t="shared" si="1195"/>
        <v>19.466666666666669</v>
      </c>
      <c r="BL975" s="1109">
        <f t="shared" si="1195"/>
        <v>15.816666666666666</v>
      </c>
    </row>
    <row r="976" spans="2:64" hidden="1" outlineLevel="1">
      <c r="C976" s="1071" t="str">
        <f t="shared" ref="C976:F976" si="1196">C629</f>
        <v>Server Replacements</v>
      </c>
      <c r="D976" s="1071" t="str">
        <f t="shared" si="1196"/>
        <v>Server Replacements</v>
      </c>
      <c r="E976" s="1071" t="str">
        <f t="shared" si="1196"/>
        <v>T019</v>
      </c>
      <c r="F976" s="1125" t="str">
        <f t="shared" si="1196"/>
        <v>2021-2024</v>
      </c>
      <c r="H976" s="1071" t="s">
        <v>29</v>
      </c>
      <c r="J976" s="1071" t="s">
        <v>79</v>
      </c>
      <c r="BB976" s="1108"/>
      <c r="BC976" s="1109"/>
      <c r="BD976" s="1109"/>
      <c r="BE976" s="1109"/>
      <c r="BF976" s="1109"/>
      <c r="BG976" s="1109"/>
      <c r="BH976" s="1109">
        <f t="shared" ref="BH976:BL976" si="1197">BH629*$AY326</f>
        <v>0</v>
      </c>
      <c r="BI976" s="1109">
        <f t="shared" si="1197"/>
        <v>0</v>
      </c>
      <c r="BJ976" s="1109">
        <f t="shared" si="1197"/>
        <v>0</v>
      </c>
      <c r="BK976" s="1109">
        <f t="shared" si="1197"/>
        <v>0</v>
      </c>
      <c r="BL976" s="1109">
        <f t="shared" si="1197"/>
        <v>0</v>
      </c>
    </row>
    <row r="977" spans="3:64" hidden="1" outlineLevel="1">
      <c r="C977" s="1071" t="str">
        <f t="shared" ref="C977:F977" si="1198">C630</f>
        <v>Server Replacements HQ</v>
      </c>
      <c r="D977" s="1071" t="str">
        <f t="shared" si="1198"/>
        <v>Server Replacements</v>
      </c>
      <c r="E977" s="1071" t="str">
        <f t="shared" si="1198"/>
        <v>T019A</v>
      </c>
      <c r="F977" s="1125" t="str">
        <f t="shared" si="1198"/>
        <v>2021-2024</v>
      </c>
      <c r="H977" s="1071" t="s">
        <v>29</v>
      </c>
      <c r="J977" s="1071" t="s">
        <v>79</v>
      </c>
      <c r="BB977" s="1108"/>
      <c r="BC977" s="1109"/>
      <c r="BD977" s="1109"/>
      <c r="BE977" s="1109"/>
      <c r="BF977" s="1109"/>
      <c r="BG977" s="1109"/>
      <c r="BH977" s="1109">
        <f t="shared" ref="BH977:BL977" si="1199">BH630*$AY327</f>
        <v>0</v>
      </c>
      <c r="BI977" s="1109">
        <f t="shared" si="1199"/>
        <v>4.8312373333333332</v>
      </c>
      <c r="BJ977" s="1109">
        <f t="shared" si="1199"/>
        <v>19.324949333333333</v>
      </c>
      <c r="BK977" s="1109">
        <f t="shared" si="1199"/>
        <v>19.324949333333333</v>
      </c>
      <c r="BL977" s="1109">
        <f t="shared" si="1199"/>
        <v>14.493711999999999</v>
      </c>
    </row>
    <row r="978" spans="3:64" hidden="1" outlineLevel="1">
      <c r="C978" s="1071" t="str">
        <f t="shared" ref="C978:F978" si="1200">C631</f>
        <v>Server Replacements BCY</v>
      </c>
      <c r="D978" s="1071" t="str">
        <f t="shared" si="1200"/>
        <v>Server Replacements</v>
      </c>
      <c r="E978" s="1071" t="str">
        <f t="shared" si="1200"/>
        <v>T019A</v>
      </c>
      <c r="F978" s="1125" t="str">
        <f t="shared" si="1200"/>
        <v>2021-2024</v>
      </c>
      <c r="H978" s="1071" t="s">
        <v>29</v>
      </c>
      <c r="J978" s="1071" t="s">
        <v>79</v>
      </c>
      <c r="BB978" s="1108"/>
      <c r="BC978" s="1109"/>
      <c r="BD978" s="1109"/>
      <c r="BE978" s="1109"/>
      <c r="BF978" s="1109"/>
      <c r="BG978" s="1109"/>
      <c r="BH978" s="1109">
        <f t="shared" ref="BH978:BL978" si="1201">BH631*$AY328</f>
        <v>0</v>
      </c>
      <c r="BI978" s="1109">
        <f t="shared" si="1201"/>
        <v>0</v>
      </c>
      <c r="BJ978" s="1109">
        <f t="shared" si="1201"/>
        <v>0</v>
      </c>
      <c r="BK978" s="1109">
        <f t="shared" si="1201"/>
        <v>0</v>
      </c>
      <c r="BL978" s="1109">
        <f t="shared" si="1201"/>
        <v>0</v>
      </c>
    </row>
    <row r="979" spans="3:64" hidden="1" outlineLevel="1">
      <c r="C979" s="1071" t="str">
        <f t="shared" ref="C979:F979" si="1202">C632</f>
        <v>Essential Security Upgrades</v>
      </c>
      <c r="D979" s="1071" t="str">
        <f t="shared" si="1202"/>
        <v>Essential Security Upgrades</v>
      </c>
      <c r="E979" s="1071" t="str">
        <f t="shared" si="1202"/>
        <v>T009</v>
      </c>
      <c r="F979" s="1125" t="str">
        <f t="shared" si="1202"/>
        <v>2021-2024</v>
      </c>
      <c r="H979" s="1071" t="s">
        <v>29</v>
      </c>
      <c r="J979" s="1071" t="s">
        <v>79</v>
      </c>
      <c r="BB979" s="1108"/>
      <c r="BC979" s="1109"/>
      <c r="BD979" s="1109"/>
      <c r="BE979" s="1109"/>
      <c r="BF979" s="1109"/>
      <c r="BG979" s="1109"/>
      <c r="BH979" s="1109">
        <f t="shared" ref="BH979:BL979" si="1203">BH632*$AY329</f>
        <v>0</v>
      </c>
      <c r="BI979" s="1109">
        <f t="shared" si="1203"/>
        <v>0</v>
      </c>
      <c r="BJ979" s="1109">
        <f t="shared" si="1203"/>
        <v>0</v>
      </c>
      <c r="BK979" s="1109">
        <f t="shared" si="1203"/>
        <v>0</v>
      </c>
      <c r="BL979" s="1109">
        <f t="shared" si="1203"/>
        <v>0</v>
      </c>
    </row>
    <row r="980" spans="3:64" hidden="1" outlineLevel="1">
      <c r="C980" s="1071" t="str">
        <f t="shared" ref="C980:F980" si="1204">C633</f>
        <v>Essential Security Upgrades DUB</v>
      </c>
      <c r="D980" s="1071" t="str">
        <f t="shared" si="1204"/>
        <v>Essential Security Upgrades</v>
      </c>
      <c r="E980" s="1071" t="str">
        <f t="shared" si="1204"/>
        <v>T009A</v>
      </c>
      <c r="F980" s="1125" t="str">
        <f t="shared" si="1204"/>
        <v>2021-2024</v>
      </c>
      <c r="H980" s="1071" t="s">
        <v>29</v>
      </c>
      <c r="J980" s="1071" t="s">
        <v>79</v>
      </c>
      <c r="BB980" s="1108"/>
      <c r="BC980" s="1109"/>
      <c r="BD980" s="1109"/>
      <c r="BE980" s="1109"/>
      <c r="BF980" s="1109"/>
      <c r="BG980" s="1109"/>
      <c r="BH980" s="1109">
        <f t="shared" ref="BH980:BL980" si="1205">BH633*$AY330</f>
        <v>0</v>
      </c>
      <c r="BI980" s="1109">
        <f t="shared" si="1205"/>
        <v>2.2467000000000006</v>
      </c>
      <c r="BJ980" s="1109">
        <f t="shared" si="1205"/>
        <v>4.4934000000000012</v>
      </c>
      <c r="BK980" s="1109">
        <f t="shared" si="1205"/>
        <v>4.4934000000000012</v>
      </c>
      <c r="BL980" s="1109">
        <f t="shared" si="1205"/>
        <v>4.4934000000000012</v>
      </c>
    </row>
    <row r="981" spans="3:64" hidden="1" outlineLevel="1">
      <c r="C981" s="1071" t="str">
        <f t="shared" ref="C981:F981" si="1206">C634</f>
        <v>Essential Security Upgrades Cork</v>
      </c>
      <c r="D981" s="1071" t="str">
        <f t="shared" si="1206"/>
        <v>Essential Security Upgrades</v>
      </c>
      <c r="E981" s="1071" t="str">
        <f t="shared" si="1206"/>
        <v>T009A</v>
      </c>
      <c r="F981" s="1125" t="str">
        <f t="shared" si="1206"/>
        <v>2021-2024</v>
      </c>
      <c r="H981" s="1071" t="s">
        <v>29</v>
      </c>
      <c r="J981" s="1071" t="s">
        <v>79</v>
      </c>
      <c r="BB981" s="1108"/>
      <c r="BC981" s="1109"/>
      <c r="BD981" s="1109"/>
      <c r="BE981" s="1109"/>
      <c r="BF981" s="1109"/>
      <c r="BG981" s="1109"/>
      <c r="BH981" s="1109">
        <f t="shared" ref="BH981:BL981" si="1207">BH634*$AY331</f>
        <v>0</v>
      </c>
      <c r="BI981" s="1109">
        <f t="shared" si="1207"/>
        <v>0</v>
      </c>
      <c r="BJ981" s="1109">
        <f t="shared" si="1207"/>
        <v>0</v>
      </c>
      <c r="BK981" s="1109">
        <f t="shared" si="1207"/>
        <v>0</v>
      </c>
      <c r="BL981" s="1109">
        <f t="shared" si="1207"/>
        <v>0</v>
      </c>
    </row>
    <row r="982" spans="3:64" hidden="1" outlineLevel="1">
      <c r="C982" s="1071" t="str">
        <f t="shared" ref="C982:F982" si="1208">C635</f>
        <v>Essential Security Upgrades SHN</v>
      </c>
      <c r="D982" s="1071" t="str">
        <f t="shared" si="1208"/>
        <v>Essential Security Upgrades</v>
      </c>
      <c r="E982" s="1071" t="str">
        <f t="shared" si="1208"/>
        <v>T009A</v>
      </c>
      <c r="F982" s="1125" t="str">
        <f t="shared" si="1208"/>
        <v>2021-2024</v>
      </c>
      <c r="H982" s="1071" t="s">
        <v>29</v>
      </c>
      <c r="J982" s="1071" t="s">
        <v>79</v>
      </c>
      <c r="BB982" s="1108"/>
      <c r="BC982" s="1109"/>
      <c r="BD982" s="1109"/>
      <c r="BE982" s="1109"/>
      <c r="BF982" s="1109"/>
      <c r="BG982" s="1109"/>
      <c r="BH982" s="1109">
        <f t="shared" ref="BH982:BL982" si="1209">BH635*$AY332</f>
        <v>0</v>
      </c>
      <c r="BI982" s="1109">
        <f t="shared" si="1209"/>
        <v>4.4215200000000001</v>
      </c>
      <c r="BJ982" s="1109">
        <f t="shared" si="1209"/>
        <v>8.8430400000000002</v>
      </c>
      <c r="BK982" s="1109">
        <f t="shared" si="1209"/>
        <v>8.8430400000000002</v>
      </c>
      <c r="BL982" s="1109">
        <f t="shared" si="1209"/>
        <v>8.8430400000000002</v>
      </c>
    </row>
    <row r="983" spans="3:64" hidden="1" outlineLevel="1">
      <c r="C983" s="1071" t="str">
        <f t="shared" ref="C983:F983" si="1210">C636</f>
        <v>Network test equipment</v>
      </c>
      <c r="D983" s="1071" t="str">
        <f t="shared" si="1210"/>
        <v>Network test equipment</v>
      </c>
      <c r="E983" s="1071" t="str">
        <f t="shared" si="1210"/>
        <v>U009</v>
      </c>
      <c r="F983" s="1125" t="str">
        <f t="shared" si="1210"/>
        <v>2021-2024</v>
      </c>
      <c r="H983" s="1071" t="s">
        <v>29</v>
      </c>
      <c r="J983" s="1071" t="s">
        <v>79</v>
      </c>
      <c r="BB983" s="1108"/>
      <c r="BC983" s="1109"/>
      <c r="BD983" s="1109"/>
      <c r="BE983" s="1109"/>
      <c r="BF983" s="1109"/>
      <c r="BG983" s="1109"/>
      <c r="BH983" s="1109">
        <f t="shared" ref="BH983:BL983" si="1211">BH636*$AY333</f>
        <v>0</v>
      </c>
      <c r="BI983" s="1109">
        <f t="shared" si="1211"/>
        <v>0</v>
      </c>
      <c r="BJ983" s="1109">
        <f t="shared" si="1211"/>
        <v>0</v>
      </c>
      <c r="BK983" s="1109">
        <f t="shared" si="1211"/>
        <v>2.7</v>
      </c>
      <c r="BL983" s="1109">
        <f t="shared" si="1211"/>
        <v>10.8</v>
      </c>
    </row>
    <row r="984" spans="3:64" hidden="1" outlineLevel="1">
      <c r="C984" s="1071" t="str">
        <f t="shared" ref="C984:F984" si="1212">C637</f>
        <v>Audio visual rooms</v>
      </c>
      <c r="D984" s="1071" t="str">
        <f t="shared" si="1212"/>
        <v>Audio visual rooms</v>
      </c>
      <c r="E984" s="1071" t="str">
        <f t="shared" si="1212"/>
        <v>S026</v>
      </c>
      <c r="F984" s="1125" t="str">
        <f t="shared" si="1212"/>
        <v>2021-2024</v>
      </c>
      <c r="H984" s="1071" t="s">
        <v>29</v>
      </c>
      <c r="J984" s="1071" t="s">
        <v>79</v>
      </c>
      <c r="BB984" s="1108"/>
      <c r="BC984" s="1109"/>
      <c r="BD984" s="1109"/>
      <c r="BE984" s="1109"/>
      <c r="BF984" s="1109"/>
      <c r="BG984" s="1109"/>
      <c r="BH984" s="1109">
        <f t="shared" ref="BH984:BL984" si="1213">BH637*$AY334</f>
        <v>0</v>
      </c>
      <c r="BI984" s="1109">
        <f t="shared" si="1213"/>
        <v>4.38</v>
      </c>
      <c r="BJ984" s="1109">
        <f t="shared" si="1213"/>
        <v>17.52</v>
      </c>
      <c r="BK984" s="1109">
        <f t="shared" si="1213"/>
        <v>17.52</v>
      </c>
      <c r="BL984" s="1109">
        <f t="shared" si="1213"/>
        <v>13.14</v>
      </c>
    </row>
    <row r="985" spans="3:64" hidden="1" outlineLevel="1">
      <c r="C985" s="1071" t="str">
        <f t="shared" ref="C985:F985" si="1214">C638</f>
        <v>Migration of FMTP from IPv4 to IPv6</v>
      </c>
      <c r="D985" s="1071" t="str">
        <f t="shared" si="1214"/>
        <v>Migration of FMTP from IPv4 to IPv6</v>
      </c>
      <c r="E985" s="1071" t="str">
        <f t="shared" si="1214"/>
        <v>Q004</v>
      </c>
      <c r="F985" s="1125" t="str">
        <f t="shared" si="1214"/>
        <v>2021-2024</v>
      </c>
      <c r="H985" s="1071" t="s">
        <v>29</v>
      </c>
      <c r="J985" s="1071" t="s">
        <v>79</v>
      </c>
      <c r="BB985" s="1108"/>
      <c r="BC985" s="1109"/>
      <c r="BD985" s="1109"/>
      <c r="BE985" s="1109"/>
      <c r="BF985" s="1109"/>
      <c r="BG985" s="1109"/>
      <c r="BH985" s="1109">
        <f t="shared" ref="BH985:BL985" si="1215">BH638*$AY335</f>
        <v>0</v>
      </c>
      <c r="BI985" s="1109">
        <f t="shared" si="1215"/>
        <v>1.5713803125000001</v>
      </c>
      <c r="BJ985" s="1109">
        <f t="shared" si="1215"/>
        <v>6.2855212500000004</v>
      </c>
      <c r="BK985" s="1109">
        <f t="shared" si="1215"/>
        <v>6.2855212500000004</v>
      </c>
      <c r="BL985" s="1109">
        <f t="shared" si="1215"/>
        <v>6.2855212500000004</v>
      </c>
    </row>
    <row r="986" spans="3:64" hidden="1" outlineLevel="1">
      <c r="C986" s="1071" t="str">
        <f t="shared" ref="C986:F986" si="1216">C639</f>
        <v>PABX Infrastructure</v>
      </c>
      <c r="D986" s="1071" t="str">
        <f t="shared" si="1216"/>
        <v>PABX Infrastructure</v>
      </c>
      <c r="E986" s="1071" t="str">
        <f t="shared" si="1216"/>
        <v>P005</v>
      </c>
      <c r="F986" s="1125" t="str">
        <f t="shared" si="1216"/>
        <v>2021-2024</v>
      </c>
      <c r="H986" s="1071" t="s">
        <v>29</v>
      </c>
      <c r="J986" s="1071" t="s">
        <v>79</v>
      </c>
      <c r="BB986" s="1108"/>
      <c r="BC986" s="1109"/>
      <c r="BD986" s="1109"/>
      <c r="BE986" s="1109"/>
      <c r="BF986" s="1109"/>
      <c r="BG986" s="1109"/>
      <c r="BH986" s="1109">
        <f t="shared" ref="BH986:BL986" si="1217">BH639*$AY336</f>
        <v>0</v>
      </c>
      <c r="BI986" s="1109">
        <f t="shared" si="1217"/>
        <v>2.0399227500000001</v>
      </c>
      <c r="BJ986" s="1109">
        <f t="shared" si="1217"/>
        <v>4.0798455000000002</v>
      </c>
      <c r="BK986" s="1109">
        <f t="shared" si="1217"/>
        <v>4.0798455000000002</v>
      </c>
      <c r="BL986" s="1109">
        <f t="shared" si="1217"/>
        <v>4.0798455000000002</v>
      </c>
    </row>
    <row r="987" spans="3:64" hidden="1" outlineLevel="1">
      <c r="C987" s="1071" t="str">
        <f t="shared" ref="C987:F987" si="1218">C640</f>
        <v>Gerator Upgrade Programme</v>
      </c>
      <c r="D987" s="1071" t="str">
        <f t="shared" si="1218"/>
        <v>Gerator Upgrade Programme</v>
      </c>
      <c r="E987" s="1071" t="str">
        <f t="shared" si="1218"/>
        <v>T004</v>
      </c>
      <c r="F987" s="1125" t="str">
        <f t="shared" si="1218"/>
        <v>2021-2024</v>
      </c>
      <c r="H987" s="1071" t="s">
        <v>29</v>
      </c>
      <c r="J987" s="1071" t="s">
        <v>79</v>
      </c>
      <c r="BB987" s="1108"/>
      <c r="BC987" s="1109"/>
      <c r="BD987" s="1109"/>
      <c r="BE987" s="1109"/>
      <c r="BF987" s="1109"/>
      <c r="BG987" s="1109"/>
      <c r="BH987" s="1109">
        <f t="shared" ref="BH987:BL987" si="1219">BH640*$AY337</f>
        <v>0</v>
      </c>
      <c r="BI987" s="1109">
        <f t="shared" si="1219"/>
        <v>0</v>
      </c>
      <c r="BJ987" s="1109">
        <f t="shared" si="1219"/>
        <v>0</v>
      </c>
      <c r="BK987" s="1109">
        <f t="shared" si="1219"/>
        <v>0</v>
      </c>
      <c r="BL987" s="1109">
        <f t="shared" si="1219"/>
        <v>0</v>
      </c>
    </row>
    <row r="988" spans="3:64" hidden="1" outlineLevel="1">
      <c r="C988" s="1071" t="str">
        <f t="shared" ref="C988:F988" si="1220">C641</f>
        <v>Gerator Upgrade Programme - Woodcock Hill</v>
      </c>
      <c r="D988" s="1071" t="str">
        <f t="shared" si="1220"/>
        <v>Gerator Upgrade Programme</v>
      </c>
      <c r="E988" s="1071" t="str">
        <f t="shared" si="1220"/>
        <v>T004A</v>
      </c>
      <c r="F988" s="1125" t="str">
        <f t="shared" si="1220"/>
        <v>2021-2024</v>
      </c>
      <c r="H988" s="1071" t="s">
        <v>29</v>
      </c>
      <c r="J988" s="1071" t="s">
        <v>79</v>
      </c>
      <c r="BB988" s="1108"/>
      <c r="BC988" s="1109"/>
      <c r="BD988" s="1109"/>
      <c r="BE988" s="1109"/>
      <c r="BF988" s="1109"/>
      <c r="BG988" s="1109"/>
      <c r="BH988" s="1109">
        <f t="shared" ref="BH988:BL988" si="1221">BH641*$AY338</f>
        <v>0</v>
      </c>
      <c r="BI988" s="1109">
        <f t="shared" si="1221"/>
        <v>0</v>
      </c>
      <c r="BJ988" s="1109">
        <f t="shared" si="1221"/>
        <v>6</v>
      </c>
      <c r="BK988" s="1109">
        <f t="shared" si="1221"/>
        <v>6</v>
      </c>
      <c r="BL988" s="1109">
        <f t="shared" si="1221"/>
        <v>6</v>
      </c>
    </row>
    <row r="989" spans="3:64" hidden="1" outlineLevel="1">
      <c r="C989" s="1071" t="str">
        <f t="shared" ref="C989:F989" si="1222">C642</f>
        <v>Test Equipment for Navigational Aid Systems</v>
      </c>
      <c r="D989" s="1071" t="str">
        <f t="shared" si="1222"/>
        <v>Nav Aids Equipment</v>
      </c>
      <c r="E989" s="1071" t="str">
        <f t="shared" si="1222"/>
        <v>S004</v>
      </c>
      <c r="F989" s="1125" t="str">
        <f t="shared" si="1222"/>
        <v>2021-2024</v>
      </c>
      <c r="H989" s="1071" t="s">
        <v>29</v>
      </c>
      <c r="J989" s="1071" t="s">
        <v>79</v>
      </c>
      <c r="BB989" s="1108"/>
      <c r="BC989" s="1109"/>
      <c r="BD989" s="1109"/>
      <c r="BE989" s="1109"/>
      <c r="BF989" s="1109"/>
      <c r="BG989" s="1109"/>
      <c r="BH989" s="1109">
        <f t="shared" ref="BH989:BL989" si="1223">BH642*$AY339</f>
        <v>0</v>
      </c>
      <c r="BI989" s="1109">
        <f t="shared" si="1223"/>
        <v>0</v>
      </c>
      <c r="BJ989" s="1109">
        <f t="shared" si="1223"/>
        <v>0</v>
      </c>
      <c r="BK989" s="1109">
        <f t="shared" si="1223"/>
        <v>0</v>
      </c>
      <c r="BL989" s="1109">
        <f t="shared" si="1223"/>
        <v>0</v>
      </c>
    </row>
    <row r="990" spans="3:64" hidden="1" outlineLevel="1">
      <c r="C990" s="1071" t="str">
        <f t="shared" ref="C990:F990" si="1224">C643</f>
        <v>Nav Aids Equipment Dublin</v>
      </c>
      <c r="D990" s="1071" t="str">
        <f t="shared" si="1224"/>
        <v>Nav Aids Equipment</v>
      </c>
      <c r="E990" s="1071" t="str">
        <f t="shared" si="1224"/>
        <v>S004A</v>
      </c>
      <c r="F990" s="1125" t="str">
        <f t="shared" si="1224"/>
        <v>2021-2024</v>
      </c>
      <c r="H990" s="1071" t="s">
        <v>29</v>
      </c>
      <c r="J990" s="1071" t="s">
        <v>79</v>
      </c>
      <c r="BB990" s="1108"/>
      <c r="BC990" s="1109"/>
      <c r="BD990" s="1109"/>
      <c r="BE990" s="1109"/>
      <c r="BF990" s="1109"/>
      <c r="BG990" s="1109"/>
      <c r="BH990" s="1109">
        <f t="shared" ref="BH990:BL990" si="1225">BH643*$AY340</f>
        <v>0</v>
      </c>
      <c r="BI990" s="1109">
        <f t="shared" si="1225"/>
        <v>0</v>
      </c>
      <c r="BJ990" s="1109">
        <f t="shared" si="1225"/>
        <v>0</v>
      </c>
      <c r="BK990" s="1109">
        <f t="shared" si="1225"/>
        <v>0</v>
      </c>
      <c r="BL990" s="1109">
        <f t="shared" si="1225"/>
        <v>0</v>
      </c>
    </row>
    <row r="991" spans="3:64" hidden="1" outlineLevel="1">
      <c r="C991" s="1071" t="str">
        <f t="shared" ref="C991:F991" si="1226">C644</f>
        <v>Nav Aids Equipment Cork</v>
      </c>
      <c r="D991" s="1071" t="str">
        <f t="shared" si="1226"/>
        <v>Nav Aids Equipment</v>
      </c>
      <c r="E991" s="1071" t="str">
        <f t="shared" si="1226"/>
        <v>S004A</v>
      </c>
      <c r="F991" s="1125" t="str">
        <f t="shared" si="1226"/>
        <v>2021-2024</v>
      </c>
      <c r="H991" s="1071" t="s">
        <v>29</v>
      </c>
      <c r="J991" s="1071" t="s">
        <v>79</v>
      </c>
      <c r="BB991" s="1108"/>
      <c r="BC991" s="1109"/>
      <c r="BD991" s="1109"/>
      <c r="BE991" s="1109"/>
      <c r="BF991" s="1109"/>
      <c r="BG991" s="1109"/>
      <c r="BH991" s="1109">
        <f t="shared" ref="BH991:BL991" si="1227">BH644*$AY341</f>
        <v>0</v>
      </c>
      <c r="BI991" s="1109">
        <f t="shared" si="1227"/>
        <v>0</v>
      </c>
      <c r="BJ991" s="1109">
        <f t="shared" si="1227"/>
        <v>0</v>
      </c>
      <c r="BK991" s="1109">
        <f t="shared" si="1227"/>
        <v>0</v>
      </c>
      <c r="BL991" s="1109">
        <f t="shared" si="1227"/>
        <v>0</v>
      </c>
    </row>
    <row r="992" spans="3:64" hidden="1" outlineLevel="1">
      <c r="C992" s="1071" t="str">
        <f t="shared" ref="C992:F992" si="1228">C645</f>
        <v>Nav Aids Equipment Shannon</v>
      </c>
      <c r="D992" s="1071" t="str">
        <f t="shared" si="1228"/>
        <v>Nav Aids Equipment</v>
      </c>
      <c r="E992" s="1071" t="str">
        <f t="shared" si="1228"/>
        <v>S004A</v>
      </c>
      <c r="F992" s="1125" t="str">
        <f t="shared" si="1228"/>
        <v>2021-2024</v>
      </c>
      <c r="H992" s="1071" t="s">
        <v>29</v>
      </c>
      <c r="J992" s="1071" t="s">
        <v>79</v>
      </c>
      <c r="BB992" s="1108"/>
      <c r="BC992" s="1109"/>
      <c r="BD992" s="1109"/>
      <c r="BE992" s="1109"/>
      <c r="BF992" s="1109"/>
      <c r="BG992" s="1109"/>
      <c r="BH992" s="1109">
        <f t="shared" ref="BH992:BL992" si="1229">BH645*$AY342</f>
        <v>0</v>
      </c>
      <c r="BI992" s="1109">
        <f t="shared" si="1229"/>
        <v>0</v>
      </c>
      <c r="BJ992" s="1109">
        <f t="shared" si="1229"/>
        <v>0</v>
      </c>
      <c r="BK992" s="1109">
        <f t="shared" si="1229"/>
        <v>0</v>
      </c>
      <c r="BL992" s="1109">
        <f t="shared" si="1229"/>
        <v>0</v>
      </c>
    </row>
    <row r="993" spans="2:65" hidden="1" outlineLevel="1">
      <c r="C993" s="1071" t="str">
        <f t="shared" ref="C993:F993" si="1230">C646</f>
        <v>Conference Centre Wi-FI &amp; UPS</v>
      </c>
      <c r="D993" s="1071" t="str">
        <f t="shared" si="1230"/>
        <v>Conference Centre Wi-FI &amp; UPS</v>
      </c>
      <c r="E993" s="1071" t="str">
        <f t="shared" si="1230"/>
        <v>S033</v>
      </c>
      <c r="F993" s="1125" t="str">
        <f t="shared" si="1230"/>
        <v>2021-2024</v>
      </c>
      <c r="H993" s="1071" t="s">
        <v>29</v>
      </c>
      <c r="J993" s="1071" t="s">
        <v>79</v>
      </c>
      <c r="BB993" s="1108"/>
      <c r="BC993" s="1109"/>
      <c r="BD993" s="1109"/>
      <c r="BE993" s="1109"/>
      <c r="BF993" s="1109"/>
      <c r="BG993" s="1109"/>
      <c r="BH993" s="1109">
        <f t="shared" ref="BH993:BL993" si="1231">BH646*$AY343</f>
        <v>0</v>
      </c>
      <c r="BI993" s="1109">
        <f t="shared" si="1231"/>
        <v>1.022</v>
      </c>
      <c r="BJ993" s="1109">
        <f t="shared" si="1231"/>
        <v>4.0880000000000001</v>
      </c>
      <c r="BK993" s="1109">
        <f t="shared" si="1231"/>
        <v>4.0880000000000001</v>
      </c>
      <c r="BL993" s="1109">
        <f t="shared" si="1231"/>
        <v>4.0880000000000001</v>
      </c>
    </row>
    <row r="994" spans="2:65" hidden="1" outlineLevel="1">
      <c r="C994" s="1071" t="str">
        <f t="shared" ref="C994:F994" si="1232">C647</f>
        <v>Mechanical and Electrical Requirements</v>
      </c>
      <c r="D994" s="1071" t="str">
        <f t="shared" si="1232"/>
        <v>Mechanical and Electrical Requirements</v>
      </c>
      <c r="E994" s="1071" t="str">
        <f t="shared" si="1232"/>
        <v>S022</v>
      </c>
      <c r="F994" s="1125" t="str">
        <f t="shared" si="1232"/>
        <v>2021-2024</v>
      </c>
      <c r="H994" s="1071" t="s">
        <v>29</v>
      </c>
      <c r="J994" s="1071" t="s">
        <v>79</v>
      </c>
      <c r="BB994" s="1108"/>
      <c r="BC994" s="1109"/>
      <c r="BD994" s="1109"/>
      <c r="BE994" s="1109"/>
      <c r="BF994" s="1109"/>
      <c r="BG994" s="1109"/>
      <c r="BH994" s="1109">
        <f t="shared" ref="BH994:BL994" si="1233">BH647*$AY344</f>
        <v>0</v>
      </c>
      <c r="BI994" s="1109">
        <f t="shared" si="1233"/>
        <v>0</v>
      </c>
      <c r="BJ994" s="1109">
        <f t="shared" si="1233"/>
        <v>2.0634750000000004</v>
      </c>
      <c r="BK994" s="1109">
        <f t="shared" si="1233"/>
        <v>2.0634750000000004</v>
      </c>
      <c r="BL994" s="1109">
        <f t="shared" si="1233"/>
        <v>2.0634750000000004</v>
      </c>
    </row>
    <row r="995" spans="2:65" hidden="1" outlineLevel="1">
      <c r="C995" s="1071" t="str">
        <f t="shared" ref="C995:F995" si="1234">C648</f>
        <v>Controller Pilot Data Linking (CPDLC) SITA Ground Station expansion</v>
      </c>
      <c r="D995" s="1071" t="str">
        <f t="shared" si="1234"/>
        <v>Controller Pilot Data Linking (CPDLC) SITA Ground Station expansion</v>
      </c>
      <c r="E995" s="1071" t="str">
        <f t="shared" si="1234"/>
        <v>Q009</v>
      </c>
      <c r="F995" s="1125" t="str">
        <f t="shared" si="1234"/>
        <v>2021-2024</v>
      </c>
      <c r="H995" s="1071" t="s">
        <v>29</v>
      </c>
      <c r="J995" s="1071" t="s">
        <v>79</v>
      </c>
      <c r="BB995" s="1108"/>
      <c r="BC995" s="1109"/>
      <c r="BD995" s="1109"/>
      <c r="BE995" s="1109"/>
      <c r="BF995" s="1109"/>
      <c r="BG995" s="1109"/>
      <c r="BH995" s="1109">
        <f t="shared" ref="BH995:BL995" si="1235">BH648*$AY345</f>
        <v>0</v>
      </c>
      <c r="BI995" s="1109">
        <f t="shared" si="1235"/>
        <v>0</v>
      </c>
      <c r="BJ995" s="1109">
        <f t="shared" si="1235"/>
        <v>1.25</v>
      </c>
      <c r="BK995" s="1109">
        <f t="shared" si="1235"/>
        <v>2.5</v>
      </c>
      <c r="BL995" s="1109">
        <f t="shared" si="1235"/>
        <v>2.5</v>
      </c>
    </row>
    <row r="996" spans="2:65" hidden="1" outlineLevel="1">
      <c r="C996" s="1071" t="str">
        <f t="shared" ref="C996:F996" si="1236">C649</f>
        <v>Piloting New Technology</v>
      </c>
      <c r="D996" s="1071" t="str">
        <f t="shared" si="1236"/>
        <v>Piloting New Technology</v>
      </c>
      <c r="E996" s="1071" t="str">
        <f t="shared" si="1236"/>
        <v>L016</v>
      </c>
      <c r="F996" s="1125" t="str">
        <f t="shared" si="1236"/>
        <v>2021-2024</v>
      </c>
      <c r="H996" s="1071" t="s">
        <v>29</v>
      </c>
      <c r="J996" s="1071" t="s">
        <v>79</v>
      </c>
      <c r="BB996" s="1108"/>
      <c r="BC996" s="1109"/>
      <c r="BD996" s="1109"/>
      <c r="BE996" s="1109"/>
      <c r="BF996" s="1109"/>
      <c r="BG996" s="1109"/>
      <c r="BH996" s="1109">
        <f t="shared" ref="BH996:BL996" si="1237">BH649*$AY346</f>
        <v>0</v>
      </c>
      <c r="BI996" s="1109">
        <f t="shared" si="1237"/>
        <v>0</v>
      </c>
      <c r="BJ996" s="1109">
        <f t="shared" si="1237"/>
        <v>0</v>
      </c>
      <c r="BK996" s="1109">
        <f t="shared" si="1237"/>
        <v>4.6375999999999999</v>
      </c>
      <c r="BL996" s="1109">
        <f t="shared" si="1237"/>
        <v>4.6375999999999999</v>
      </c>
    </row>
    <row r="997" spans="2:65" ht="10.15" customHeight="1" collapsed="1">
      <c r="C997" s="1110"/>
      <c r="D997" s="1110"/>
      <c r="E997" s="1110"/>
      <c r="F997" s="1110"/>
      <c r="G997" s="1110"/>
      <c r="H997" s="1110"/>
      <c r="I997" s="1110"/>
      <c r="J997" s="1110"/>
      <c r="K997" s="1110"/>
      <c r="L997" s="1110"/>
      <c r="M997" s="1110"/>
      <c r="N997" s="1110"/>
      <c r="O997" s="1110"/>
      <c r="P997" s="1110"/>
      <c r="Q997" s="1110"/>
      <c r="R997" s="1110"/>
      <c r="S997" s="1110"/>
      <c r="T997" s="1110"/>
      <c r="U997" s="1110"/>
      <c r="V997" s="1110"/>
      <c r="W997" s="1110"/>
      <c r="X997" s="1110"/>
      <c r="Y997" s="1110"/>
      <c r="Z997" s="1110"/>
      <c r="AA997" s="1110"/>
      <c r="AB997" s="1110"/>
      <c r="AC997" s="1110"/>
      <c r="AD997" s="1110"/>
      <c r="AE997" s="1110"/>
      <c r="AF997" s="1110"/>
      <c r="AG997" s="1110"/>
      <c r="AH997" s="1110"/>
      <c r="AI997" s="1110"/>
      <c r="AJ997" s="1110"/>
      <c r="AK997" s="1110"/>
      <c r="AL997" s="1110"/>
      <c r="AM997" s="1110"/>
      <c r="AN997" s="1110"/>
      <c r="AO997" s="1110"/>
      <c r="AP997" s="1110"/>
      <c r="AQ997" s="1110"/>
      <c r="AR997" s="1110"/>
      <c r="AS997" s="1110"/>
      <c r="AT997" s="1110"/>
      <c r="AU997" s="1110"/>
      <c r="AV997" s="1110"/>
      <c r="AW997" s="1110"/>
      <c r="AX997" s="1110"/>
      <c r="AY997" s="1110"/>
      <c r="AZ997" s="1110"/>
      <c r="BA997" s="1110"/>
      <c r="BB997" s="1110"/>
      <c r="BC997" s="1111"/>
      <c r="BD997" s="1111"/>
      <c r="BE997" s="1111"/>
      <c r="BF997" s="1111"/>
      <c r="BG997" s="1111"/>
      <c r="BH997" s="1111"/>
      <c r="BI997" s="1111"/>
      <c r="BJ997" s="1111"/>
      <c r="BK997" s="1111"/>
      <c r="BL997" s="1111"/>
    </row>
    <row r="998" spans="2:65">
      <c r="C998" s="1206" t="s">
        <v>727</v>
      </c>
      <c r="D998" s="1204"/>
      <c r="E998" s="1204"/>
      <c r="F998" s="1204"/>
      <c r="G998" s="1204"/>
      <c r="H998" s="1104" t="s">
        <v>29</v>
      </c>
      <c r="BC998" s="1071"/>
      <c r="BD998" s="1071"/>
      <c r="BE998" s="1071"/>
      <c r="BF998" s="1071"/>
      <c r="BH998" s="1105">
        <f>SUMPRODUCT(BH$49:BH$346,AS$49:AS$346,$M$49:$M$346,$AY$49:$AY$346)</f>
        <v>221.99367956666654</v>
      </c>
      <c r="BI998" s="1105">
        <f t="shared" ref="BI998:BL998" si="1238">SUMPRODUCT(BI$49:BI$346,AT$49:AT$346,$M$49:$M$346,$AY$49:$AY$346)</f>
        <v>452.11806133294039</v>
      </c>
      <c r="BJ998" s="1105">
        <f t="shared" si="1238"/>
        <v>1190.1188187228033</v>
      </c>
      <c r="BK998" s="1105">
        <f t="shared" si="1238"/>
        <v>883.25256357837748</v>
      </c>
      <c r="BL998" s="1105">
        <f t="shared" si="1238"/>
        <v>312.26811046255511</v>
      </c>
      <c r="BM998" s="1105"/>
    </row>
    <row r="999" spans="2:65">
      <c r="C999" s="1206" t="s">
        <v>728</v>
      </c>
      <c r="D999" s="1204"/>
      <c r="E999" s="1204"/>
      <c r="F999" s="1204"/>
      <c r="G999" s="1204"/>
      <c r="H999" s="1104" t="s">
        <v>29</v>
      </c>
      <c r="I999" s="1104"/>
      <c r="BC999" s="1105"/>
      <c r="BD999" s="1105"/>
      <c r="BE999" s="1105"/>
      <c r="BF999" s="1105"/>
      <c r="BG999" s="1105"/>
      <c r="BH999" s="1105">
        <f>BH1000-BH998</f>
        <v>0</v>
      </c>
      <c r="BI999" s="1105">
        <f t="shared" ref="BI999:BL999" si="1239">BI1000-BI998</f>
        <v>1453.3534467460565</v>
      </c>
      <c r="BJ999" s="1105">
        <f t="shared" si="1239"/>
        <v>2578.9744455081691</v>
      </c>
      <c r="BK999" s="1105">
        <f t="shared" si="1239"/>
        <v>4607.0373020399747</v>
      </c>
      <c r="BL999" s="1105">
        <f t="shared" si="1239"/>
        <v>6066.1300253000127</v>
      </c>
    </row>
    <row r="1000" spans="2:65">
      <c r="C1000" s="1206" t="s">
        <v>729</v>
      </c>
      <c r="H1000" s="1104" t="s">
        <v>29</v>
      </c>
      <c r="I1000" s="1104"/>
      <c r="BC1000" s="1105"/>
      <c r="BD1000" s="1105"/>
      <c r="BE1000" s="1105"/>
      <c r="BF1000" s="1105"/>
      <c r="BG1000" s="1105"/>
      <c r="BH1000" s="1105">
        <f>SUM(BH699:BH996)</f>
        <v>221.99367956666651</v>
      </c>
      <c r="BI1000" s="1105">
        <f>SUM(BI699:BI996)</f>
        <v>1905.471508078997</v>
      </c>
      <c r="BJ1000" s="1105">
        <f>SUM(BJ699:BJ996)</f>
        <v>3769.0932642309722</v>
      </c>
      <c r="BK1000" s="1105">
        <f>SUM(BK699:BK996)</f>
        <v>5490.2898656183525</v>
      </c>
      <c r="BL1000" s="1105">
        <f>SUM(BL699:BL996)</f>
        <v>6378.398135762568</v>
      </c>
    </row>
    <row r="1001" spans="2:65">
      <c r="C1001" s="1206" t="s">
        <v>730</v>
      </c>
      <c r="H1001" s="1104" t="s">
        <v>29</v>
      </c>
      <c r="I1001" s="1104"/>
      <c r="BC1001" s="1105"/>
      <c r="BD1001" s="1105"/>
      <c r="BE1001" s="1105"/>
      <c r="BF1001" s="1105"/>
      <c r="BG1001" s="1105"/>
      <c r="BH1001" s="1105">
        <f>BH19</f>
        <v>6119.2572177976108</v>
      </c>
      <c r="BI1001" s="1105">
        <f>BI19</f>
        <v>5695.073922501776</v>
      </c>
      <c r="BJ1001" s="1105">
        <f>BJ19</f>
        <v>4581.8701384933956</v>
      </c>
      <c r="BK1001" s="1105">
        <f>BK19</f>
        <v>3181.7297037250901</v>
      </c>
      <c r="BL1001" s="1105">
        <f>BL19</f>
        <v>1476.8437753400895</v>
      </c>
    </row>
    <row r="1002" spans="2:65">
      <c r="C1002" s="1206" t="s">
        <v>731</v>
      </c>
      <c r="H1002" s="1104" t="s">
        <v>29</v>
      </c>
      <c r="I1002" s="1104"/>
      <c r="BC1002" s="1105"/>
      <c r="BD1002" s="1105"/>
      <c r="BE1002" s="1105"/>
      <c r="BF1002" s="1105"/>
      <c r="BG1002" s="1105"/>
      <c r="BH1002" s="1105">
        <f>SUM(BH1000:BH1001)</f>
        <v>6341.2508973642771</v>
      </c>
      <c r="BI1002" s="1105">
        <f t="shared" ref="BI1002:BL1002" si="1240">SUM(BI1000:BI1001)</f>
        <v>7600.5454305807725</v>
      </c>
      <c r="BJ1002" s="1105">
        <f t="shared" si="1240"/>
        <v>8350.9634027243683</v>
      </c>
      <c r="BK1002" s="1105">
        <f t="shared" si="1240"/>
        <v>8672.0195693434434</v>
      </c>
      <c r="BL1002" s="1105">
        <f t="shared" si="1240"/>
        <v>7855.2419111026575</v>
      </c>
    </row>
    <row r="1003" spans="2:65">
      <c r="C1003" s="1104"/>
      <c r="H1003" s="1104"/>
      <c r="I1003" s="1104"/>
      <c r="BC1003" s="1105"/>
      <c r="BD1003" s="1105"/>
      <c r="BE1003" s="1105"/>
      <c r="BF1003" s="1105"/>
      <c r="BG1003" s="1582" t="s">
        <v>737</v>
      </c>
      <c r="BH1003" s="1583">
        <f>SUMPRODUCT(BH$352:BH$649,$AY$49:$AY$346)+BH19-BH1002</f>
        <v>0</v>
      </c>
      <c r="BI1003" s="1583">
        <f t="shared" ref="BI1003:BL1003" si="1241">SUMPRODUCT(BI$352:BI$649,$AY$49:$AY$346)+BI19-BI1002</f>
        <v>0</v>
      </c>
      <c r="BJ1003" s="1583">
        <f t="shared" si="1241"/>
        <v>0</v>
      </c>
      <c r="BK1003" s="1583">
        <f t="shared" si="1241"/>
        <v>0</v>
      </c>
      <c r="BL1003" s="1584">
        <f t="shared" si="1241"/>
        <v>0</v>
      </c>
    </row>
    <row r="1004" spans="2:65" ht="13.5" thickBot="1">
      <c r="B1004" s="1091" t="s">
        <v>732</v>
      </c>
      <c r="C1004" s="1091"/>
      <c r="D1004" s="1137"/>
      <c r="E1004" s="1106"/>
      <c r="F1004" s="1106"/>
      <c r="G1004" s="1106"/>
      <c r="H1004" s="1106"/>
      <c r="I1004" s="1106"/>
      <c r="J1004" s="1106"/>
      <c r="K1004" s="1106"/>
      <c r="L1004" s="1106"/>
      <c r="M1004" s="1106"/>
      <c r="N1004" s="1106"/>
      <c r="O1004" s="1106"/>
      <c r="P1004" s="1106"/>
      <c r="Q1004" s="1106"/>
      <c r="R1004" s="1106"/>
      <c r="S1004" s="1106"/>
      <c r="T1004" s="1106"/>
      <c r="U1004" s="1106"/>
      <c r="V1004" s="1106"/>
      <c r="W1004" s="1106"/>
      <c r="X1004" s="1106"/>
      <c r="Y1004" s="1106"/>
      <c r="Z1004" s="1106"/>
      <c r="AA1004" s="1106"/>
      <c r="AB1004" s="1106"/>
      <c r="AC1004" s="1106"/>
      <c r="AD1004" s="1106"/>
      <c r="AE1004" s="1106"/>
      <c r="AF1004" s="1106"/>
      <c r="AG1004" s="1106"/>
      <c r="AH1004" s="1106"/>
      <c r="AI1004" s="1106"/>
      <c r="AJ1004" s="1106"/>
      <c r="AK1004" s="1106"/>
      <c r="AL1004" s="1106"/>
      <c r="AM1004" s="1106"/>
      <c r="AN1004" s="1106"/>
      <c r="AO1004" s="1106"/>
      <c r="AP1004" s="1106"/>
      <c r="AQ1004" s="1106"/>
      <c r="AR1004" s="1106"/>
      <c r="AS1004" s="1106"/>
      <c r="AT1004" s="1106"/>
      <c r="AU1004" s="1106"/>
      <c r="AV1004" s="1106"/>
      <c r="AW1004" s="1106"/>
      <c r="AX1004" s="1106"/>
      <c r="AY1004" s="1106"/>
      <c r="AZ1004" s="1106"/>
      <c r="BA1004" s="1106"/>
      <c r="BB1004" s="1106"/>
      <c r="BC1004" s="1106"/>
      <c r="BD1004" s="1106"/>
      <c r="BE1004" s="1106"/>
      <c r="BF1004" s="1106"/>
      <c r="BG1004" s="1106"/>
      <c r="BH1004" s="1106"/>
      <c r="BI1004" s="1106"/>
      <c r="BJ1004" s="1106"/>
      <c r="BK1004" s="1106"/>
      <c r="BL1004" s="1106"/>
    </row>
    <row r="1005" spans="2:65">
      <c r="C1005" s="1207" t="s">
        <v>733</v>
      </c>
      <c r="H1005" s="1104" t="s">
        <v>29</v>
      </c>
      <c r="BC1005" s="1071"/>
      <c r="BD1005" s="1071"/>
      <c r="BE1005" s="1071"/>
      <c r="BF1005" s="1071"/>
      <c r="BG1005" s="1071"/>
      <c r="BH1005" s="1116">
        <f>((BG1007-BH1001-BH999)+BG1007)/2</f>
        <v>20405.095264598796</v>
      </c>
      <c r="BI1005" s="1116">
        <f t="shared" ref="BI1005:BL1005" si="1242">((BH1007-BI1001-BI999)+BH1007)/2</f>
        <v>28389.400253209402</v>
      </c>
      <c r="BJ1005" s="1116">
        <f t="shared" si="1242"/>
        <v>30210.795087676517</v>
      </c>
      <c r="BK1005" s="1116">
        <f t="shared" si="1242"/>
        <v>39536.221909039567</v>
      </c>
      <c r="BL1005" s="1116">
        <f t="shared" si="1242"/>
        <v>46693.671935063307</v>
      </c>
    </row>
    <row r="1006" spans="2:65">
      <c r="C1006" s="1104" t="s">
        <v>734</v>
      </c>
      <c r="H1006" s="1104" t="s">
        <v>29</v>
      </c>
      <c r="I1006" s="1104"/>
      <c r="BC1006" s="1105"/>
      <c r="BD1006" s="1105"/>
      <c r="BE1006" s="1105"/>
      <c r="BF1006" s="1105"/>
      <c r="BG1006" s="1105"/>
      <c r="BH1006" s="1116">
        <f>BH1005+SUMPRODUCT(BH$49:BH$346,$AY$49:$AY$346,AS$49:AS$346)-BH998</f>
        <v>21962.503685848798</v>
      </c>
      <c r="BI1006" s="1116">
        <f t="shared" ref="BI1006:BL1006" si="1243">BI1005+SUMPRODUCT(BI$49:BI$346,$AY$49:$AY$346,AT$49:AT$346)-BI998</f>
        <v>31661.666373059204</v>
      </c>
      <c r="BJ1006" s="1116">
        <f t="shared" si="1243"/>
        <v>38576.283519847253</v>
      </c>
      <c r="BK1006" s="1116">
        <f t="shared" si="1243"/>
        <v>47551.656354088213</v>
      </c>
      <c r="BL1006" s="1116">
        <f t="shared" si="1243"/>
        <v>49884.767458301198</v>
      </c>
    </row>
    <row r="1007" spans="2:65">
      <c r="C1007" s="1104" t="s">
        <v>735</v>
      </c>
      <c r="H1007" s="1104" t="s">
        <v>29</v>
      </c>
      <c r="I1007" s="1104"/>
      <c r="BC1007" s="1105"/>
      <c r="BD1007" s="1105"/>
      <c r="BE1007" s="1105"/>
      <c r="BF1007" s="1105"/>
      <c r="BG1007" s="1105">
        <f>BG18</f>
        <v>23464.723873497602</v>
      </c>
      <c r="BH1007" s="1105">
        <f>BG1007+SUMPRODUCT($AY$49:$AY$346,BH49:BH346)-BH1002</f>
        <v>31963.613937833317</v>
      </c>
      <c r="BI1007" s="1105">
        <f t="shared" ref="BI1007:BL1007" si="1244">BH1007+SUMPRODUCT($AY$49:$AY$346,BI49:BI346)-BI1002</f>
        <v>33791.217379677299</v>
      </c>
      <c r="BJ1007" s="1105">
        <f t="shared" si="1244"/>
        <v>43430.605411922101</v>
      </c>
      <c r="BK1007" s="1105">
        <f t="shared" si="1244"/>
        <v>50465.158835383358</v>
      </c>
      <c r="BL1007" s="1105">
        <f t="shared" si="1244"/>
        <v>48844.789707981137</v>
      </c>
    </row>
    <row r="1008" spans="2:65">
      <c r="C1008" s="1104"/>
      <c r="H1008" s="1104"/>
      <c r="I1008" s="1104"/>
      <c r="BC1008" s="1105"/>
      <c r="BD1008" s="1105"/>
      <c r="BE1008" s="1105"/>
      <c r="BF1008" s="1105"/>
      <c r="BG1008" s="1582" t="s">
        <v>737</v>
      </c>
      <c r="BH1008" s="1583">
        <f>BG1007+SUMPRODUCT(BH$49:BH$346,$AY$49:$AY$346)-BH1002-BH1007</f>
        <v>0</v>
      </c>
      <c r="BI1008" s="1583">
        <f t="shared" ref="BI1008:BL1008" si="1245">BH1007+SUMPRODUCT(BI$49:BI$346,$AY$49:$AY$346)-BI1002-BI1007</f>
        <v>0</v>
      </c>
      <c r="BJ1008" s="1583">
        <f t="shared" si="1245"/>
        <v>0</v>
      </c>
      <c r="BK1008" s="1583">
        <f t="shared" si="1245"/>
        <v>0</v>
      </c>
      <c r="BL1008" s="1584">
        <f t="shared" si="1245"/>
        <v>0</v>
      </c>
    </row>
    <row r="1009" spans="2:64" ht="13.5" thickBot="1">
      <c r="B1009" s="1091" t="s">
        <v>743</v>
      </c>
      <c r="C1009" s="1091"/>
      <c r="D1009" s="1106"/>
      <c r="E1009" s="1106"/>
      <c r="F1009" s="1106"/>
      <c r="G1009" s="1106"/>
      <c r="H1009" s="1106"/>
      <c r="I1009" s="1106"/>
      <c r="J1009" s="1106"/>
      <c r="K1009" s="1106"/>
      <c r="L1009" s="1106"/>
      <c r="M1009" s="1106"/>
      <c r="N1009" s="1106"/>
      <c r="O1009" s="1106"/>
      <c r="P1009" s="1106"/>
      <c r="Q1009" s="1091"/>
      <c r="R1009" s="1091"/>
      <c r="S1009" s="1091"/>
      <c r="T1009" s="1091"/>
      <c r="U1009" s="1091"/>
      <c r="V1009" s="1091"/>
      <c r="W1009" s="1091"/>
      <c r="X1009" s="1091"/>
      <c r="Y1009" s="1091"/>
      <c r="Z1009" s="1091"/>
      <c r="AA1009" s="1091"/>
      <c r="AB1009" s="1091"/>
      <c r="AC1009" s="1091"/>
      <c r="AD1009" s="1091"/>
      <c r="AE1009" s="1091"/>
      <c r="AF1009" s="1091"/>
      <c r="AG1009" s="1091"/>
      <c r="AH1009" s="1091"/>
      <c r="AI1009" s="1091"/>
      <c r="AJ1009" s="1091"/>
      <c r="AK1009" s="1091"/>
      <c r="AL1009" s="1091"/>
      <c r="AM1009" s="1091"/>
      <c r="AN1009" s="1091"/>
      <c r="AO1009" s="1091"/>
      <c r="AP1009" s="1091"/>
      <c r="AQ1009" s="1106"/>
      <c r="AR1009" s="1106"/>
      <c r="AS1009" s="1106"/>
      <c r="AT1009" s="1106"/>
      <c r="AU1009" s="1106"/>
      <c r="AV1009" s="1106"/>
      <c r="AW1009" s="1106"/>
      <c r="AX1009" s="1106"/>
      <c r="AY1009" s="1106"/>
      <c r="AZ1009" s="1106"/>
      <c r="BA1009" s="1106"/>
      <c r="BB1009" s="1106"/>
      <c r="BC1009" s="1107"/>
      <c r="BD1009" s="1107"/>
      <c r="BE1009" s="1107"/>
      <c r="BF1009" s="1107"/>
      <c r="BG1009" s="1107"/>
      <c r="BH1009" s="1107"/>
      <c r="BI1009" s="1107"/>
      <c r="BJ1009" s="1107"/>
      <c r="BK1009" s="1107"/>
      <c r="BL1009" s="1107"/>
    </row>
    <row r="1010" spans="2:64">
      <c r="C1010" s="1104" t="s">
        <v>740</v>
      </c>
      <c r="H1010" s="1104" t="s">
        <v>29</v>
      </c>
      <c r="I1010" s="1104"/>
      <c r="BC1010" s="1105"/>
      <c r="BD1010" s="1105"/>
      <c r="BE1010" s="1105"/>
      <c r="BF1010" s="1105"/>
      <c r="BG1010" s="1105"/>
      <c r="BH1010" s="1105">
        <f>BH31</f>
        <v>489.84097759895837</v>
      </c>
      <c r="BI1010" s="1105">
        <f>BI31</f>
        <v>813.62077172916656</v>
      </c>
      <c r="BJ1010" s="1105">
        <f>BJ31</f>
        <v>744.68967503124986</v>
      </c>
      <c r="BK1010" s="1105">
        <f>BK31</f>
        <v>601.7902575052085</v>
      </c>
      <c r="BL1010" s="1105">
        <f>BL31</f>
        <v>391.44842878125002</v>
      </c>
    </row>
    <row r="1011" spans="2:64">
      <c r="C1011" s="1104" t="s">
        <v>741</v>
      </c>
      <c r="H1011" s="1104" t="s">
        <v>29</v>
      </c>
      <c r="I1011" s="1104"/>
      <c r="BC1011" s="1105"/>
      <c r="BD1011" s="1105"/>
      <c r="BE1011" s="1105"/>
      <c r="BF1011" s="1105"/>
      <c r="BG1011" s="1105"/>
      <c r="BH1011" s="1105">
        <f>SUMPRODUCT(BH$663:BH$690,$AY$663:$AY$690)</f>
        <v>0</v>
      </c>
      <c r="BI1011" s="1105">
        <f t="shared" ref="BI1011:BL1011" si="1246">SUMPRODUCT(BI$663:BI$690,$AY$663:$AY$690)</f>
        <v>0</v>
      </c>
      <c r="BJ1011" s="1105">
        <f t="shared" si="1246"/>
        <v>0</v>
      </c>
      <c r="BK1011" s="1105">
        <f t="shared" si="1246"/>
        <v>53.525218778270606</v>
      </c>
      <c r="BL1011" s="1105">
        <f t="shared" si="1246"/>
        <v>53.525218778270606</v>
      </c>
    </row>
    <row r="1012" spans="2:64">
      <c r="C1012" s="1104" t="s">
        <v>742</v>
      </c>
      <c r="H1012" s="1104" t="s">
        <v>29</v>
      </c>
      <c r="I1012" s="1104"/>
      <c r="BC1012" s="1105"/>
      <c r="BD1012" s="1105"/>
      <c r="BE1012" s="1105"/>
      <c r="BF1012" s="1105"/>
      <c r="BG1012" s="1105"/>
      <c r="BH1012" s="1105">
        <f t="shared" ref="BH1012:BL1012" si="1247">SUM(BH1010:BH1011)</f>
        <v>489.84097759895837</v>
      </c>
      <c r="BI1012" s="1105">
        <f t="shared" si="1247"/>
        <v>813.62077172916656</v>
      </c>
      <c r="BJ1012" s="1105">
        <f t="shared" si="1247"/>
        <v>744.68967503124986</v>
      </c>
      <c r="BK1012" s="1105">
        <f t="shared" si="1247"/>
        <v>655.31547628347914</v>
      </c>
      <c r="BL1012" s="1105">
        <f t="shared" si="1247"/>
        <v>444.9736475595206</v>
      </c>
    </row>
    <row r="1013" spans="2:64">
      <c r="BC1013" s="1084"/>
      <c r="BD1013" s="1084"/>
      <c r="BE1013" s="1084"/>
      <c r="BF1013" s="1084"/>
      <c r="BG1013" s="1084"/>
      <c r="BH1013" s="1084"/>
      <c r="BI1013" s="1084"/>
      <c r="BJ1013" s="1084"/>
      <c r="BK1013" s="1084"/>
      <c r="BL1013" s="1084"/>
    </row>
    <row r="1014" spans="2:64" s="1112" customFormat="1">
      <c r="B1014" s="1113" t="s">
        <v>183</v>
      </c>
      <c r="BC1014" s="1114"/>
      <c r="BD1014" s="1114"/>
      <c r="BE1014" s="1114"/>
      <c r="BF1014" s="1114"/>
      <c r="BG1014" s="1114"/>
      <c r="BH1014" s="1114"/>
      <c r="BI1014" s="1114"/>
      <c r="BJ1014" s="1114"/>
      <c r="BK1014" s="1114"/>
      <c r="BL1014" s="1114"/>
    </row>
    <row r="1015" spans="2:64" ht="13.5" thickBot="1">
      <c r="B1015" s="1091" t="s">
        <v>31</v>
      </c>
      <c r="C1015" s="1091"/>
      <c r="D1015" s="1106"/>
      <c r="E1015" s="1106"/>
      <c r="F1015" s="1106"/>
      <c r="G1015" s="1106"/>
      <c r="H1015" s="1106"/>
      <c r="I1015" s="1106"/>
      <c r="J1015" s="1106"/>
      <c r="K1015" s="1106"/>
      <c r="L1015" s="1106"/>
      <c r="M1015" s="1106"/>
      <c r="N1015" s="1106"/>
      <c r="O1015" s="1106"/>
      <c r="P1015" s="1106"/>
      <c r="Q1015" s="1091"/>
      <c r="R1015" s="1091"/>
      <c r="S1015" s="1091"/>
      <c r="T1015" s="1091"/>
      <c r="U1015" s="1091"/>
      <c r="V1015" s="1091"/>
      <c r="W1015" s="1091"/>
      <c r="X1015" s="1091"/>
      <c r="Y1015" s="1091"/>
      <c r="Z1015" s="1091"/>
      <c r="AA1015" s="1091"/>
      <c r="AB1015" s="1091"/>
      <c r="AC1015" s="1091"/>
      <c r="AD1015" s="1091"/>
      <c r="AE1015" s="1091"/>
      <c r="AF1015" s="1091"/>
      <c r="AG1015" s="1091"/>
      <c r="AH1015" s="1091"/>
      <c r="AI1015" s="1091"/>
      <c r="AJ1015" s="1091"/>
      <c r="AK1015" s="1091"/>
      <c r="AL1015" s="1091"/>
      <c r="AM1015" s="1091"/>
      <c r="AN1015" s="1091"/>
      <c r="AO1015" s="1091"/>
      <c r="AP1015" s="1091"/>
      <c r="AQ1015" s="1106"/>
      <c r="AR1015" s="1106"/>
      <c r="AS1015" s="1106"/>
      <c r="AT1015" s="1106"/>
      <c r="AU1015" s="1106"/>
      <c r="AV1015" s="1106"/>
      <c r="AW1015" s="1106"/>
      <c r="AX1015" s="1106"/>
      <c r="AY1015" s="1106"/>
      <c r="AZ1015" s="1106"/>
      <c r="BA1015" s="1106"/>
      <c r="BB1015" s="1106"/>
      <c r="BC1015" s="1107"/>
      <c r="BD1015" s="1107"/>
      <c r="BE1015" s="1107"/>
      <c r="BF1015" s="1107"/>
      <c r="BG1015" s="1107"/>
      <c r="BH1015" s="1107"/>
      <c r="BI1015" s="1107"/>
      <c r="BJ1015" s="1107"/>
      <c r="BK1015" s="1107"/>
      <c r="BL1015" s="1107"/>
    </row>
    <row r="1016" spans="2:64" hidden="1" outlineLevel="1">
      <c r="B1016" s="1094"/>
      <c r="C1016" s="1071" t="str">
        <f>C699</f>
        <v>N004 - CEROC Buildings</v>
      </c>
      <c r="D1016" s="1071" t="str">
        <f>D699</f>
        <v>CEROC</v>
      </c>
      <c r="E1016" s="1071" t="str">
        <f>E699</f>
        <v>N0040001</v>
      </c>
      <c r="F1016" s="1125">
        <f>F699</f>
        <v>2020</v>
      </c>
      <c r="H1016" s="1071" t="s">
        <v>29</v>
      </c>
      <c r="BB1016" s="1108"/>
      <c r="BC1016" s="1109"/>
      <c r="BD1016" s="1109"/>
      <c r="BE1016" s="1109"/>
      <c r="BF1016" s="1109"/>
      <c r="BG1016" s="1109"/>
      <c r="BH1016" s="1109">
        <f>BH352*$BA49</f>
        <v>0</v>
      </c>
      <c r="BI1016" s="1109">
        <f>BI352*$BA49</f>
        <v>0</v>
      </c>
      <c r="BJ1016" s="1109">
        <f>BJ352*$BA49</f>
        <v>0</v>
      </c>
      <c r="BK1016" s="1109">
        <f>BK352*$BA49</f>
        <v>0</v>
      </c>
      <c r="BL1016" s="1109">
        <f>BL352*$BA49</f>
        <v>0</v>
      </c>
    </row>
    <row r="1017" spans="2:64" hidden="1" outlineLevel="1">
      <c r="B1017" s="1094"/>
      <c r="C1017" s="1071" t="str">
        <f t="shared" ref="C1017:F1017" si="1248">C700</f>
        <v>N004 - CEROC Network Servers</v>
      </c>
      <c r="D1017" s="1071" t="str">
        <f t="shared" si="1248"/>
        <v>CEROC</v>
      </c>
      <c r="E1017" s="1071" t="str">
        <f t="shared" si="1248"/>
        <v>N0040002</v>
      </c>
      <c r="F1017" s="1125">
        <f t="shared" si="1248"/>
        <v>2020</v>
      </c>
      <c r="H1017" s="1071" t="s">
        <v>29</v>
      </c>
      <c r="BB1017" s="1108"/>
      <c r="BC1017" s="1109"/>
      <c r="BD1017" s="1109"/>
      <c r="BE1017" s="1109"/>
      <c r="BF1017" s="1109"/>
      <c r="BG1017" s="1109"/>
      <c r="BH1017" s="1109">
        <f t="shared" ref="BH1017:BL1017" si="1249">BH353*$BA50</f>
        <v>0</v>
      </c>
      <c r="BI1017" s="1109">
        <f t="shared" si="1249"/>
        <v>0</v>
      </c>
      <c r="BJ1017" s="1109">
        <f t="shared" si="1249"/>
        <v>0</v>
      </c>
      <c r="BK1017" s="1109">
        <f t="shared" si="1249"/>
        <v>0</v>
      </c>
      <c r="BL1017" s="1109">
        <f t="shared" si="1249"/>
        <v>0</v>
      </c>
    </row>
    <row r="1018" spans="2:64" hidden="1" outlineLevel="1">
      <c r="B1018" s="1094"/>
      <c r="C1018" s="1071" t="str">
        <f t="shared" ref="C1018:F1018" si="1250">C701</f>
        <v>N004 - CEROC ATC Systems</v>
      </c>
      <c r="D1018" s="1071" t="str">
        <f t="shared" si="1250"/>
        <v>CEROC</v>
      </c>
      <c r="E1018" s="1071" t="str">
        <f t="shared" si="1250"/>
        <v>N0040003</v>
      </c>
      <c r="F1018" s="1125">
        <f t="shared" si="1250"/>
        <v>2020</v>
      </c>
      <c r="H1018" s="1071" t="s">
        <v>29</v>
      </c>
      <c r="BB1018" s="1108"/>
      <c r="BC1018" s="1109"/>
      <c r="BD1018" s="1109"/>
      <c r="BE1018" s="1109"/>
      <c r="BF1018" s="1109"/>
      <c r="BG1018" s="1109"/>
      <c r="BH1018" s="1109">
        <f t="shared" ref="BH1018:BL1018" si="1251">BH354*$BA51</f>
        <v>0</v>
      </c>
      <c r="BI1018" s="1109">
        <f t="shared" si="1251"/>
        <v>0</v>
      </c>
      <c r="BJ1018" s="1109">
        <f t="shared" si="1251"/>
        <v>0</v>
      </c>
      <c r="BK1018" s="1109">
        <f t="shared" si="1251"/>
        <v>0</v>
      </c>
      <c r="BL1018" s="1109">
        <f t="shared" si="1251"/>
        <v>0</v>
      </c>
    </row>
    <row r="1019" spans="2:64" hidden="1" outlineLevel="1">
      <c r="B1019" s="1094"/>
      <c r="C1019" s="1071" t="str">
        <f t="shared" ref="C1019:F1019" si="1252">C702</f>
        <v>N004 - CEROC Voice Comm System</v>
      </c>
      <c r="D1019" s="1071" t="str">
        <f t="shared" si="1252"/>
        <v>CEROC</v>
      </c>
      <c r="E1019" s="1071" t="str">
        <f t="shared" si="1252"/>
        <v>N0040004</v>
      </c>
      <c r="F1019" s="1125">
        <f t="shared" si="1252"/>
        <v>2020</v>
      </c>
      <c r="H1019" s="1071" t="s">
        <v>29</v>
      </c>
      <c r="BB1019" s="1108"/>
      <c r="BC1019" s="1109"/>
      <c r="BD1019" s="1109"/>
      <c r="BE1019" s="1109"/>
      <c r="BF1019" s="1109"/>
      <c r="BG1019" s="1109"/>
      <c r="BH1019" s="1109">
        <f t="shared" ref="BH1019:BL1019" si="1253">BH355*$BA52</f>
        <v>0</v>
      </c>
      <c r="BI1019" s="1109">
        <f t="shared" si="1253"/>
        <v>0</v>
      </c>
      <c r="BJ1019" s="1109">
        <f t="shared" si="1253"/>
        <v>0</v>
      </c>
      <c r="BK1019" s="1109">
        <f t="shared" si="1253"/>
        <v>0</v>
      </c>
      <c r="BL1019" s="1109">
        <f t="shared" si="1253"/>
        <v>0</v>
      </c>
    </row>
    <row r="1020" spans="2:64" hidden="1" outlineLevel="1">
      <c r="B1020" s="1094"/>
      <c r="C1020" s="1071" t="str">
        <f t="shared" ref="C1020:F1020" si="1254">C703</f>
        <v>N004 - CEROC Reserve Voice Com System</v>
      </c>
      <c r="D1020" s="1071" t="str">
        <f t="shared" si="1254"/>
        <v>CEROC</v>
      </c>
      <c r="E1020" s="1071" t="str">
        <f t="shared" si="1254"/>
        <v>N0040005</v>
      </c>
      <c r="F1020" s="1125">
        <f t="shared" si="1254"/>
        <v>2020</v>
      </c>
      <c r="H1020" s="1071" t="s">
        <v>29</v>
      </c>
      <c r="BB1020" s="1108"/>
      <c r="BC1020" s="1109"/>
      <c r="BD1020" s="1109"/>
      <c r="BE1020" s="1109"/>
      <c r="BF1020" s="1109"/>
      <c r="BG1020" s="1109"/>
      <c r="BH1020" s="1109">
        <f t="shared" ref="BH1020:BL1020" si="1255">BH356*$BA53</f>
        <v>0</v>
      </c>
      <c r="BI1020" s="1109">
        <f t="shared" si="1255"/>
        <v>0</v>
      </c>
      <c r="BJ1020" s="1109">
        <f t="shared" si="1255"/>
        <v>0</v>
      </c>
      <c r="BK1020" s="1109">
        <f t="shared" si="1255"/>
        <v>0</v>
      </c>
      <c r="BL1020" s="1109">
        <f t="shared" si="1255"/>
        <v>0</v>
      </c>
    </row>
    <row r="1021" spans="2:64" hidden="1" outlineLevel="1">
      <c r="B1021" s="1094"/>
      <c r="C1021" s="1071" t="str">
        <f t="shared" ref="C1021:F1021" si="1256">C704</f>
        <v>N004 CEROC Voice Comm Recorder</v>
      </c>
      <c r="D1021" s="1071" t="str">
        <f t="shared" si="1256"/>
        <v>CEROC</v>
      </c>
      <c r="E1021" s="1071" t="str">
        <f t="shared" si="1256"/>
        <v>N0040006</v>
      </c>
      <c r="F1021" s="1125">
        <f t="shared" si="1256"/>
        <v>2020</v>
      </c>
      <c r="H1021" s="1071" t="s">
        <v>29</v>
      </c>
      <c r="BB1021" s="1108"/>
      <c r="BC1021" s="1109"/>
      <c r="BD1021" s="1109"/>
      <c r="BE1021" s="1109"/>
      <c r="BF1021" s="1109"/>
      <c r="BG1021" s="1109"/>
      <c r="BH1021" s="1109">
        <f t="shared" ref="BH1021:BL1021" si="1257">BH357*$BA54</f>
        <v>0</v>
      </c>
      <c r="BI1021" s="1109">
        <f t="shared" si="1257"/>
        <v>0</v>
      </c>
      <c r="BJ1021" s="1109">
        <f t="shared" si="1257"/>
        <v>0</v>
      </c>
      <c r="BK1021" s="1109">
        <f t="shared" si="1257"/>
        <v>0</v>
      </c>
      <c r="BL1021" s="1109">
        <f t="shared" si="1257"/>
        <v>0</v>
      </c>
    </row>
    <row r="1022" spans="2:64" hidden="1" outlineLevel="1">
      <c r="B1022" s="1094"/>
      <c r="C1022" s="1071" t="str">
        <f t="shared" ref="C1022:F1022" si="1258">C705</f>
        <v>N004 - CEROC PABX</v>
      </c>
      <c r="D1022" s="1071" t="str">
        <f t="shared" si="1258"/>
        <v>CEROC</v>
      </c>
      <c r="E1022" s="1071" t="str">
        <f t="shared" si="1258"/>
        <v>N0040007</v>
      </c>
      <c r="F1022" s="1125">
        <f t="shared" si="1258"/>
        <v>2020</v>
      </c>
      <c r="H1022" s="1071" t="s">
        <v>29</v>
      </c>
      <c r="BB1022" s="1108"/>
      <c r="BC1022" s="1109"/>
      <c r="BD1022" s="1109"/>
      <c r="BE1022" s="1109"/>
      <c r="BF1022" s="1109"/>
      <c r="BG1022" s="1109"/>
      <c r="BH1022" s="1109">
        <f t="shared" ref="BH1022:BL1022" si="1259">BH358*$BA55</f>
        <v>0</v>
      </c>
      <c r="BI1022" s="1109">
        <f t="shared" si="1259"/>
        <v>0</v>
      </c>
      <c r="BJ1022" s="1109">
        <f t="shared" si="1259"/>
        <v>0</v>
      </c>
      <c r="BK1022" s="1109">
        <f t="shared" si="1259"/>
        <v>0</v>
      </c>
      <c r="BL1022" s="1109">
        <f t="shared" si="1259"/>
        <v>0</v>
      </c>
    </row>
    <row r="1023" spans="2:64" hidden="1" outlineLevel="1">
      <c r="B1023" s="1094"/>
      <c r="C1023" s="1071" t="str">
        <f t="shared" ref="C1023:F1023" si="1260">C706</f>
        <v>N004-CEROC Centralised Monitor Monitoring</v>
      </c>
      <c r="D1023" s="1071" t="str">
        <f t="shared" si="1260"/>
        <v>CEROC</v>
      </c>
      <c r="E1023" s="1071" t="str">
        <f t="shared" si="1260"/>
        <v>N0040008</v>
      </c>
      <c r="F1023" s="1125">
        <f t="shared" si="1260"/>
        <v>2020</v>
      </c>
      <c r="H1023" s="1071" t="s">
        <v>29</v>
      </c>
      <c r="BB1023" s="1108"/>
      <c r="BC1023" s="1109"/>
      <c r="BD1023" s="1109"/>
      <c r="BE1023" s="1109"/>
      <c r="BF1023" s="1109"/>
      <c r="BG1023" s="1109"/>
      <c r="BH1023" s="1109">
        <f t="shared" ref="BH1023:BL1023" si="1261">BH359*$BA56</f>
        <v>0</v>
      </c>
      <c r="BI1023" s="1109">
        <f t="shared" si="1261"/>
        <v>0</v>
      </c>
      <c r="BJ1023" s="1109">
        <f t="shared" si="1261"/>
        <v>0</v>
      </c>
      <c r="BK1023" s="1109">
        <f t="shared" si="1261"/>
        <v>0</v>
      </c>
      <c r="BL1023" s="1109">
        <f t="shared" si="1261"/>
        <v>0</v>
      </c>
    </row>
    <row r="1024" spans="2:64" hidden="1" outlineLevel="1">
      <c r="B1024" s="1094"/>
      <c r="C1024" s="1071" t="str">
        <f t="shared" ref="C1024:F1024" si="1262">C707</f>
        <v>Q001-CEROC Servers Workstation</v>
      </c>
      <c r="D1024" s="1071" t="str">
        <f t="shared" si="1262"/>
        <v>CEROC</v>
      </c>
      <c r="E1024" s="1071" t="str">
        <f t="shared" si="1262"/>
        <v>Q0010007</v>
      </c>
      <c r="F1024" s="1125">
        <f t="shared" si="1262"/>
        <v>2020</v>
      </c>
      <c r="H1024" s="1071" t="s">
        <v>29</v>
      </c>
      <c r="BB1024" s="1108"/>
      <c r="BC1024" s="1109"/>
      <c r="BD1024" s="1109"/>
      <c r="BE1024" s="1109"/>
      <c r="BF1024" s="1109"/>
      <c r="BG1024" s="1109"/>
      <c r="BH1024" s="1109">
        <f t="shared" ref="BH1024:BL1024" si="1263">BH360*$BA57</f>
        <v>0</v>
      </c>
      <c r="BI1024" s="1109">
        <f t="shared" si="1263"/>
        <v>0</v>
      </c>
      <c r="BJ1024" s="1109">
        <f t="shared" si="1263"/>
        <v>0</v>
      </c>
      <c r="BK1024" s="1109">
        <f t="shared" si="1263"/>
        <v>0</v>
      </c>
      <c r="BL1024" s="1109">
        <f t="shared" si="1263"/>
        <v>0</v>
      </c>
    </row>
    <row r="1025" spans="2:64" hidden="1" outlineLevel="1">
      <c r="B1025" s="1094"/>
      <c r="C1025" s="1071" t="str">
        <f t="shared" ref="C1025:F1025" si="1264">C708</f>
        <v>Q001-CEROC Network Replacement</v>
      </c>
      <c r="D1025" s="1071" t="str">
        <f t="shared" si="1264"/>
        <v>CEROC</v>
      </c>
      <c r="E1025" s="1071" t="str">
        <f t="shared" si="1264"/>
        <v>Q0010008</v>
      </c>
      <c r="F1025" s="1125">
        <f t="shared" si="1264"/>
        <v>2020</v>
      </c>
      <c r="H1025" s="1071" t="s">
        <v>29</v>
      </c>
      <c r="BB1025" s="1108"/>
      <c r="BC1025" s="1109"/>
      <c r="BD1025" s="1109"/>
      <c r="BE1025" s="1109"/>
      <c r="BF1025" s="1109"/>
      <c r="BG1025" s="1109"/>
      <c r="BH1025" s="1109">
        <f t="shared" ref="BH1025:BL1025" si="1265">BH361*$BA58</f>
        <v>0</v>
      </c>
      <c r="BI1025" s="1109">
        <f t="shared" si="1265"/>
        <v>0</v>
      </c>
      <c r="BJ1025" s="1109">
        <f t="shared" si="1265"/>
        <v>0</v>
      </c>
      <c r="BK1025" s="1109">
        <f t="shared" si="1265"/>
        <v>0</v>
      </c>
      <c r="BL1025" s="1109">
        <f t="shared" si="1265"/>
        <v>0</v>
      </c>
    </row>
    <row r="1026" spans="2:64" hidden="1" outlineLevel="1">
      <c r="B1026" s="1094"/>
      <c r="C1026" s="1071" t="str">
        <f t="shared" ref="C1026:F1026" si="1266">C709</f>
        <v>Q007 Nokia MNATP CEROC</v>
      </c>
      <c r="D1026" s="1071" t="str">
        <f t="shared" si="1266"/>
        <v>CEROC</v>
      </c>
      <c r="E1026" s="1071" t="str">
        <f t="shared" si="1266"/>
        <v>Q0070001</v>
      </c>
      <c r="F1026" s="1125">
        <f t="shared" si="1266"/>
        <v>2020</v>
      </c>
      <c r="H1026" s="1071" t="s">
        <v>29</v>
      </c>
      <c r="BB1026" s="1108"/>
      <c r="BC1026" s="1109"/>
      <c r="BD1026" s="1109"/>
      <c r="BE1026" s="1109"/>
      <c r="BF1026" s="1109"/>
      <c r="BG1026" s="1109"/>
      <c r="BH1026" s="1109">
        <f t="shared" ref="BH1026:BL1026" si="1267">BH362*$BA59</f>
        <v>0</v>
      </c>
      <c r="BI1026" s="1109">
        <f t="shared" si="1267"/>
        <v>0</v>
      </c>
      <c r="BJ1026" s="1109">
        <f t="shared" si="1267"/>
        <v>0</v>
      </c>
      <c r="BK1026" s="1109">
        <f t="shared" si="1267"/>
        <v>0</v>
      </c>
      <c r="BL1026" s="1109">
        <f t="shared" si="1267"/>
        <v>0</v>
      </c>
    </row>
    <row r="1027" spans="2:64" hidden="1" outlineLevel="1">
      <c r="B1027" s="1094"/>
      <c r="C1027" s="1071" t="str">
        <f t="shared" ref="C1027:F1027" si="1268">C710</f>
        <v>Q029 - CEROC IT Equipment</v>
      </c>
      <c r="D1027" s="1071" t="str">
        <f t="shared" si="1268"/>
        <v>CEROC</v>
      </c>
      <c r="E1027" s="1071" t="str">
        <f t="shared" si="1268"/>
        <v>Q0290001</v>
      </c>
      <c r="F1027" s="1125">
        <f t="shared" si="1268"/>
        <v>2020</v>
      </c>
      <c r="H1027" s="1071" t="s">
        <v>29</v>
      </c>
      <c r="BB1027" s="1108"/>
      <c r="BC1027" s="1109"/>
      <c r="BD1027" s="1109"/>
      <c r="BE1027" s="1109"/>
      <c r="BF1027" s="1109"/>
      <c r="BG1027" s="1109"/>
      <c r="BH1027" s="1109">
        <f t="shared" ref="BH1027:BL1027" si="1269">BH363*$BA60</f>
        <v>0</v>
      </c>
      <c r="BI1027" s="1109">
        <f t="shared" si="1269"/>
        <v>0</v>
      </c>
      <c r="BJ1027" s="1109">
        <f t="shared" si="1269"/>
        <v>0</v>
      </c>
      <c r="BK1027" s="1109">
        <f t="shared" si="1269"/>
        <v>0</v>
      </c>
      <c r="BL1027" s="1109">
        <f t="shared" si="1269"/>
        <v>0</v>
      </c>
    </row>
    <row r="1028" spans="2:64" hidden="1" outlineLevel="1">
      <c r="B1028" s="1094"/>
      <c r="C1028" s="1071" t="str">
        <f t="shared" ref="C1028:F1028" si="1270">C711</f>
        <v>Q029 -CEROC  Photocopier</v>
      </c>
      <c r="D1028" s="1071" t="str">
        <f t="shared" si="1270"/>
        <v>CEROC</v>
      </c>
      <c r="E1028" s="1071" t="str">
        <f t="shared" si="1270"/>
        <v>Q0290002</v>
      </c>
      <c r="F1028" s="1125">
        <f t="shared" si="1270"/>
        <v>2020</v>
      </c>
      <c r="H1028" s="1071" t="s">
        <v>29</v>
      </c>
      <c r="BB1028" s="1108"/>
      <c r="BC1028" s="1109"/>
      <c r="BD1028" s="1109"/>
      <c r="BE1028" s="1109"/>
      <c r="BF1028" s="1109"/>
      <c r="BG1028" s="1109"/>
      <c r="BH1028" s="1109">
        <f t="shared" ref="BH1028:BL1028" si="1271">BH364*$BA61</f>
        <v>0</v>
      </c>
      <c r="BI1028" s="1109">
        <f t="shared" si="1271"/>
        <v>0</v>
      </c>
      <c r="BJ1028" s="1109">
        <f t="shared" si="1271"/>
        <v>0</v>
      </c>
      <c r="BK1028" s="1109">
        <f t="shared" si="1271"/>
        <v>0</v>
      </c>
      <c r="BL1028" s="1109">
        <f t="shared" si="1271"/>
        <v>0</v>
      </c>
    </row>
    <row r="1029" spans="2:64" hidden="1" outlineLevel="1">
      <c r="B1029" s="1094"/>
      <c r="C1029" s="1071" t="str">
        <f t="shared" ref="C1029:F1029" si="1272">C712</f>
        <v>Rosslare VHF - Cabins &amp; Civils Q015</v>
      </c>
      <c r="D1029" s="1071" t="str">
        <f t="shared" si="1272"/>
        <v>Rosslare VHF - Cabins &amp; Civils Q015</v>
      </c>
      <c r="E1029" s="1071" t="str">
        <f t="shared" si="1272"/>
        <v>q0150001</v>
      </c>
      <c r="F1029" s="1125">
        <f t="shared" si="1272"/>
        <v>2020</v>
      </c>
      <c r="H1029" s="1071" t="s">
        <v>29</v>
      </c>
      <c r="BB1029" s="1108"/>
      <c r="BC1029" s="1109"/>
      <c r="BD1029" s="1109"/>
      <c r="BE1029" s="1109"/>
      <c r="BF1029" s="1109"/>
      <c r="BG1029" s="1109"/>
      <c r="BH1029" s="1109">
        <f t="shared" ref="BH1029:BL1029" si="1273">BH365*$BA62</f>
        <v>3.63185</v>
      </c>
      <c r="BI1029" s="1109">
        <f t="shared" si="1273"/>
        <v>10.895549375</v>
      </c>
      <c r="BJ1029" s="1109">
        <f t="shared" si="1273"/>
        <v>10.895549375</v>
      </c>
      <c r="BK1029" s="1109">
        <f t="shared" si="1273"/>
        <v>10.895549375</v>
      </c>
      <c r="BL1029" s="1109">
        <f t="shared" si="1273"/>
        <v>10.895549375</v>
      </c>
    </row>
    <row r="1030" spans="2:64" hidden="1" outlineLevel="1">
      <c r="B1030" s="1094"/>
      <c r="C1030" s="1071" t="str">
        <f t="shared" ref="C1030:F1030" si="1274">C713</f>
        <v>Q001- Coopans Hardware network</v>
      </c>
      <c r="D1030" s="1071" t="str">
        <f t="shared" si="1274"/>
        <v>Coopans Hardware network</v>
      </c>
      <c r="E1030" s="1071" t="str">
        <f t="shared" si="1274"/>
        <v>Q0010006</v>
      </c>
      <c r="F1030" s="1125">
        <f t="shared" si="1274"/>
        <v>2020</v>
      </c>
      <c r="H1030" s="1071" t="s">
        <v>29</v>
      </c>
      <c r="BB1030" s="1108"/>
      <c r="BC1030" s="1109"/>
      <c r="BD1030" s="1109"/>
      <c r="BE1030" s="1109"/>
      <c r="BF1030" s="1109"/>
      <c r="BG1030" s="1109"/>
      <c r="BH1030" s="1109">
        <f t="shared" ref="BH1030:BL1030" si="1275">BH366*$BA63</f>
        <v>8.9266924999999997</v>
      </c>
      <c r="BI1030" s="1109">
        <f t="shared" si="1275"/>
        <v>9.7382081249999999</v>
      </c>
      <c r="BJ1030" s="1109">
        <f t="shared" si="1275"/>
        <v>9.7382081249999999</v>
      </c>
      <c r="BK1030" s="1109">
        <f t="shared" si="1275"/>
        <v>9.7382081249999999</v>
      </c>
      <c r="BL1030" s="1109">
        <f t="shared" si="1275"/>
        <v>9.7382081249999999</v>
      </c>
    </row>
    <row r="1031" spans="2:64" hidden="1" outlineLevel="1">
      <c r="B1031" s="1094"/>
      <c r="C1031" s="1071" t="str">
        <f t="shared" ref="C1031:F1031" si="1276">C714</f>
        <v>P009 - New South East VHF Site</v>
      </c>
      <c r="D1031" s="1071" t="str">
        <f t="shared" si="1276"/>
        <v>New South East VHF Site</v>
      </c>
      <c r="E1031" s="1071" t="str">
        <f t="shared" si="1276"/>
        <v>P0090001</v>
      </c>
      <c r="F1031" s="1125">
        <f t="shared" si="1276"/>
        <v>2020</v>
      </c>
      <c r="H1031" s="1071" t="s">
        <v>29</v>
      </c>
      <c r="BB1031" s="1108"/>
      <c r="BC1031" s="1109"/>
      <c r="BD1031" s="1109"/>
      <c r="BE1031" s="1109"/>
      <c r="BF1031" s="1109"/>
      <c r="BG1031" s="1109"/>
      <c r="BH1031" s="1109">
        <f t="shared" ref="BH1031:BL1031" si="1277">BH367*$BA64</f>
        <v>3.2276500000000001</v>
      </c>
      <c r="BI1031" s="1109">
        <f t="shared" si="1277"/>
        <v>9.6829374999999995</v>
      </c>
      <c r="BJ1031" s="1109">
        <f t="shared" si="1277"/>
        <v>9.6829374999999995</v>
      </c>
      <c r="BK1031" s="1109">
        <f t="shared" si="1277"/>
        <v>9.6829374999999995</v>
      </c>
      <c r="BL1031" s="1109">
        <f t="shared" si="1277"/>
        <v>9.6829374999999995</v>
      </c>
    </row>
    <row r="1032" spans="2:64" hidden="1" outlineLevel="1">
      <c r="B1032" s="1094"/>
      <c r="C1032" s="1071" t="str">
        <f t="shared" ref="C1032:F1032" si="1278">C715</f>
        <v>T024 - UPS System Woodcock</v>
      </c>
      <c r="D1032" s="1071" t="str">
        <f t="shared" si="1278"/>
        <v>UPS System</v>
      </c>
      <c r="E1032" s="1071" t="str">
        <f t="shared" si="1278"/>
        <v>T0240005</v>
      </c>
      <c r="F1032" s="1125">
        <f t="shared" si="1278"/>
        <v>2020</v>
      </c>
      <c r="H1032" s="1071" t="s">
        <v>29</v>
      </c>
      <c r="BB1032" s="1108"/>
      <c r="BC1032" s="1109"/>
      <c r="BD1032" s="1109"/>
      <c r="BE1032" s="1109"/>
      <c r="BF1032" s="1109"/>
      <c r="BG1032" s="1109"/>
      <c r="BH1032" s="1109">
        <f t="shared" ref="BH1032:BL1032" si="1279">BH368*$BA65</f>
        <v>0</v>
      </c>
      <c r="BI1032" s="1109">
        <f t="shared" si="1279"/>
        <v>0</v>
      </c>
      <c r="BJ1032" s="1109">
        <f t="shared" si="1279"/>
        <v>0</v>
      </c>
      <c r="BK1032" s="1109">
        <f t="shared" si="1279"/>
        <v>0</v>
      </c>
      <c r="BL1032" s="1109">
        <f t="shared" si="1279"/>
        <v>0</v>
      </c>
    </row>
    <row r="1033" spans="2:64" hidden="1" outlineLevel="1">
      <c r="B1033" s="1094"/>
      <c r="C1033" s="1071" t="str">
        <f t="shared" ref="C1033:F1033" si="1280">C716</f>
        <v>T024 -UPS System Shannon Tower</v>
      </c>
      <c r="D1033" s="1071" t="str">
        <f t="shared" si="1280"/>
        <v>UPS System</v>
      </c>
      <c r="E1033" s="1071" t="str">
        <f t="shared" si="1280"/>
        <v>T0240007</v>
      </c>
      <c r="F1033" s="1125">
        <f t="shared" si="1280"/>
        <v>2020</v>
      </c>
      <c r="H1033" s="1071" t="s">
        <v>29</v>
      </c>
      <c r="BB1033" s="1108"/>
      <c r="BC1033" s="1109"/>
      <c r="BD1033" s="1109"/>
      <c r="BE1033" s="1109"/>
      <c r="BF1033" s="1109"/>
      <c r="BG1033" s="1109"/>
      <c r="BH1033" s="1109">
        <f t="shared" ref="BH1033:BL1033" si="1281">BH369*$BA66</f>
        <v>2.36978</v>
      </c>
      <c r="BI1033" s="1109">
        <f t="shared" si="1281"/>
        <v>4.0625</v>
      </c>
      <c r="BJ1033" s="1109">
        <f t="shared" si="1281"/>
        <v>4.0625</v>
      </c>
      <c r="BK1033" s="1109">
        <f t="shared" si="1281"/>
        <v>4.0625</v>
      </c>
      <c r="BL1033" s="1109">
        <f t="shared" si="1281"/>
        <v>4.0625</v>
      </c>
    </row>
    <row r="1034" spans="2:64" hidden="1" outlineLevel="1">
      <c r="B1034" s="1094"/>
      <c r="C1034" s="1071" t="str">
        <f t="shared" ref="C1034:F1034" si="1282">C717</f>
        <v>T024 -UPS System Shannon Radar</v>
      </c>
      <c r="D1034" s="1071" t="str">
        <f t="shared" si="1282"/>
        <v>UPS System</v>
      </c>
      <c r="E1034" s="1071" t="str">
        <f t="shared" si="1282"/>
        <v>T0240006</v>
      </c>
      <c r="F1034" s="1125">
        <f t="shared" si="1282"/>
        <v>2020</v>
      </c>
      <c r="H1034" s="1071" t="s">
        <v>29</v>
      </c>
      <c r="BB1034" s="1108"/>
      <c r="BC1034" s="1109"/>
      <c r="BD1034" s="1109"/>
      <c r="BE1034" s="1109"/>
      <c r="BF1034" s="1109"/>
      <c r="BG1034" s="1109"/>
      <c r="BH1034" s="1109">
        <f t="shared" ref="BH1034:BL1034" si="1283">BH370*$BA67</f>
        <v>0.68250000000000011</v>
      </c>
      <c r="BI1034" s="1109">
        <f t="shared" si="1283"/>
        <v>1.3649896875000003</v>
      </c>
      <c r="BJ1034" s="1109">
        <f t="shared" si="1283"/>
        <v>1.3649896875000003</v>
      </c>
      <c r="BK1034" s="1109">
        <f t="shared" si="1283"/>
        <v>1.3649896875000003</v>
      </c>
      <c r="BL1034" s="1109">
        <f t="shared" si="1283"/>
        <v>1.3649896875000003</v>
      </c>
    </row>
    <row r="1035" spans="2:64" hidden="1" outlineLevel="1">
      <c r="B1035" s="1094"/>
      <c r="C1035" s="1071" t="str">
        <f t="shared" ref="C1035:F1035" si="1284">C718</f>
        <v>T024 - UPS System Cork</v>
      </c>
      <c r="D1035" s="1071" t="str">
        <f t="shared" si="1284"/>
        <v>UPS System</v>
      </c>
      <c r="E1035" s="1071" t="str">
        <f t="shared" si="1284"/>
        <v>T0240008</v>
      </c>
      <c r="F1035" s="1125">
        <f t="shared" si="1284"/>
        <v>2020</v>
      </c>
      <c r="H1035" s="1071" t="s">
        <v>29</v>
      </c>
      <c r="BB1035" s="1108"/>
      <c r="BC1035" s="1109"/>
      <c r="BD1035" s="1109"/>
      <c r="BE1035" s="1109"/>
      <c r="BF1035" s="1109"/>
      <c r="BG1035" s="1109"/>
      <c r="BH1035" s="1109">
        <f t="shared" ref="BH1035:BL1035" si="1285">BH371*$BA68</f>
        <v>1.3650000000000002</v>
      </c>
      <c r="BI1035" s="1109">
        <f t="shared" si="1285"/>
        <v>2.7299793750000005</v>
      </c>
      <c r="BJ1035" s="1109">
        <f t="shared" si="1285"/>
        <v>2.7299793750000005</v>
      </c>
      <c r="BK1035" s="1109">
        <f t="shared" si="1285"/>
        <v>2.7299793750000005</v>
      </c>
      <c r="BL1035" s="1109">
        <f t="shared" si="1285"/>
        <v>2.7299793750000005</v>
      </c>
    </row>
    <row r="1036" spans="2:64" hidden="1" outlineLevel="1">
      <c r="B1036" s="1094"/>
      <c r="C1036" s="1071" t="str">
        <f t="shared" ref="C1036:F1036" si="1286">C719</f>
        <v>S025 MICROSOFT SQL SERVER - HQ</v>
      </c>
      <c r="D1036" s="1071" t="str">
        <f t="shared" si="1286"/>
        <v>IT Network</v>
      </c>
      <c r="E1036" s="1071" t="str">
        <f t="shared" si="1286"/>
        <v>S0250002</v>
      </c>
      <c r="F1036" s="1125">
        <f t="shared" si="1286"/>
        <v>2020</v>
      </c>
      <c r="H1036" s="1071" t="s">
        <v>29</v>
      </c>
      <c r="BB1036" s="1108"/>
      <c r="BC1036" s="1109"/>
      <c r="BD1036" s="1109"/>
      <c r="BE1036" s="1109"/>
      <c r="BF1036" s="1109"/>
      <c r="BG1036" s="1109"/>
      <c r="BH1036" s="1109">
        <f t="shared" ref="BH1036:BL1036" si="1287">BH372*$BA69</f>
        <v>0.49289249999999996</v>
      </c>
      <c r="BI1036" s="1109">
        <f t="shared" si="1287"/>
        <v>1.1509632972972972</v>
      </c>
      <c r="BJ1036" s="1109">
        <f t="shared" si="1287"/>
        <v>1.1509632972972972</v>
      </c>
      <c r="BK1036" s="1109">
        <f t="shared" si="1287"/>
        <v>0.75398440540540546</v>
      </c>
      <c r="BL1036" s="1109">
        <f t="shared" si="1287"/>
        <v>0</v>
      </c>
    </row>
    <row r="1037" spans="2:64" hidden="1" outlineLevel="1">
      <c r="B1037" s="1094"/>
      <c r="C1037" s="1071" t="str">
        <f t="shared" ref="C1037:F1037" si="1288">C720</f>
        <v>S025 DATACENTRE LICENSES - HQ</v>
      </c>
      <c r="D1037" s="1071" t="str">
        <f t="shared" si="1288"/>
        <v>IT Network</v>
      </c>
      <c r="E1037" s="1071" t="str">
        <f t="shared" si="1288"/>
        <v>S0250004</v>
      </c>
      <c r="F1037" s="1125">
        <f t="shared" si="1288"/>
        <v>2020</v>
      </c>
      <c r="H1037" s="1071" t="s">
        <v>29</v>
      </c>
      <c r="BB1037" s="1108"/>
      <c r="BC1037" s="1109"/>
      <c r="BD1037" s="1109"/>
      <c r="BE1037" s="1109"/>
      <c r="BF1037" s="1109"/>
      <c r="BG1037" s="1109"/>
      <c r="BH1037" s="1109">
        <f t="shared" ref="BH1037:BL1037" si="1289">BH373*$BA70</f>
        <v>0.33102149999999991</v>
      </c>
      <c r="BI1037" s="1109">
        <f t="shared" si="1289"/>
        <v>0.9930684999999998</v>
      </c>
      <c r="BJ1037" s="1109">
        <f t="shared" si="1289"/>
        <v>0.9930684999999998</v>
      </c>
      <c r="BK1037" s="1109">
        <f t="shared" si="1289"/>
        <v>0.66204699999999983</v>
      </c>
      <c r="BL1037" s="1109">
        <f t="shared" si="1289"/>
        <v>0</v>
      </c>
    </row>
    <row r="1038" spans="2:64" hidden="1" outlineLevel="1">
      <c r="B1038" s="1094"/>
      <c r="C1038" s="1071" t="str">
        <f t="shared" ref="C1038:F1038" si="1290">C721</f>
        <v>S025 SUPPORT VMWARE VS 7 - HQ</v>
      </c>
      <c r="D1038" s="1071" t="str">
        <f t="shared" si="1290"/>
        <v>IT Network</v>
      </c>
      <c r="E1038" s="1071" t="str">
        <f t="shared" si="1290"/>
        <v>S0250006</v>
      </c>
      <c r="F1038" s="1125">
        <f t="shared" si="1290"/>
        <v>2020</v>
      </c>
      <c r="H1038" s="1071" t="s">
        <v>29</v>
      </c>
      <c r="BB1038" s="1108"/>
      <c r="BC1038" s="1109"/>
      <c r="BD1038" s="1109"/>
      <c r="BE1038" s="1109"/>
      <c r="BF1038" s="1109"/>
      <c r="BG1038" s="1109"/>
      <c r="BH1038" s="1109">
        <f t="shared" ref="BH1038:BL1038" si="1291">BH374*$BA71</f>
        <v>2.8199999999999999E-2</v>
      </c>
      <c r="BI1038" s="1109">
        <f t="shared" si="1291"/>
        <v>0.32924529729729723</v>
      </c>
      <c r="BJ1038" s="1109">
        <f t="shared" si="1291"/>
        <v>0.32924529729729723</v>
      </c>
      <c r="BK1038" s="1109">
        <f t="shared" si="1291"/>
        <v>0.32848240540540535</v>
      </c>
      <c r="BL1038" s="1109">
        <f t="shared" si="1291"/>
        <v>0</v>
      </c>
    </row>
    <row r="1039" spans="2:64" hidden="1" outlineLevel="1">
      <c r="B1039" s="1094"/>
      <c r="C1039" s="1071" t="str">
        <f t="shared" ref="C1039:F1039" si="1292">C722</f>
        <v>S025 MICROSOFT SQL SERVER -BCY</v>
      </c>
      <c r="D1039" s="1071" t="str">
        <f t="shared" si="1292"/>
        <v>IT Network</v>
      </c>
      <c r="E1039" s="1071" t="str">
        <f t="shared" si="1292"/>
        <v>S0250003</v>
      </c>
      <c r="F1039" s="1125">
        <f t="shared" si="1292"/>
        <v>2020</v>
      </c>
      <c r="H1039" s="1071" t="s">
        <v>29</v>
      </c>
      <c r="BB1039" s="1108"/>
      <c r="BC1039" s="1109"/>
      <c r="BD1039" s="1109"/>
      <c r="BE1039" s="1109"/>
      <c r="BF1039" s="1109"/>
      <c r="BG1039" s="1109"/>
      <c r="BH1039" s="1109">
        <f t="shared" ref="BH1039:BL1039" si="1293">BH375*$BA72</f>
        <v>1.5927750000000003</v>
      </c>
      <c r="BI1039" s="1109">
        <f t="shared" si="1293"/>
        <v>3.7193529729729731</v>
      </c>
      <c r="BJ1039" s="1109">
        <f t="shared" si="1293"/>
        <v>3.7193529729729731</v>
      </c>
      <c r="BK1039" s="1109">
        <f t="shared" si="1293"/>
        <v>2.436524054054054</v>
      </c>
      <c r="BL1039" s="1109">
        <f t="shared" si="1293"/>
        <v>0</v>
      </c>
    </row>
    <row r="1040" spans="2:64" hidden="1" outlineLevel="1">
      <c r="B1040" s="1094"/>
      <c r="C1040" s="1071" t="str">
        <f t="shared" ref="C1040:F1040" si="1294">C723</f>
        <v>S025 DATACENTRE LICENSES - BCY</v>
      </c>
      <c r="D1040" s="1071" t="str">
        <f t="shared" si="1294"/>
        <v>IT Network</v>
      </c>
      <c r="E1040" s="1071" t="str">
        <f t="shared" si="1294"/>
        <v>S0250005</v>
      </c>
      <c r="F1040" s="1125">
        <f t="shared" si="1294"/>
        <v>2020</v>
      </c>
      <c r="H1040" s="1071" t="s">
        <v>29</v>
      </c>
      <c r="BB1040" s="1108"/>
      <c r="BC1040" s="1109"/>
      <c r="BD1040" s="1109"/>
      <c r="BE1040" s="1109"/>
      <c r="BF1040" s="1109"/>
      <c r="BG1040" s="1109"/>
      <c r="BH1040" s="1109">
        <f t="shared" ref="BH1040:BL1040" si="1295">BH376*$BA73</f>
        <v>1.0697025000000002</v>
      </c>
      <c r="BI1040" s="1109">
        <f t="shared" si="1295"/>
        <v>3.2091141666666672</v>
      </c>
      <c r="BJ1040" s="1109">
        <f t="shared" si="1295"/>
        <v>3.2091141666666672</v>
      </c>
      <c r="BK1040" s="1109">
        <f t="shared" si="1295"/>
        <v>2.1394116666666667</v>
      </c>
      <c r="BL1040" s="1109">
        <f t="shared" si="1295"/>
        <v>0</v>
      </c>
    </row>
    <row r="1041" spans="2:64" hidden="1" outlineLevel="1">
      <c r="B1041" s="1094"/>
      <c r="C1041" s="1071" t="str">
        <f t="shared" ref="C1041:F1041" si="1296">C724</f>
        <v>S025 SUPPORT VMWARE VS 7 - BCY</v>
      </c>
      <c r="D1041" s="1071" t="str">
        <f t="shared" si="1296"/>
        <v>IT Network</v>
      </c>
      <c r="E1041" s="1071" t="str">
        <f t="shared" si="1296"/>
        <v>S0250007</v>
      </c>
      <c r="F1041" s="1125">
        <f t="shared" si="1296"/>
        <v>2020</v>
      </c>
      <c r="H1041" s="1071" t="s">
        <v>29</v>
      </c>
      <c r="BB1041" s="1108"/>
      <c r="BC1041" s="1109"/>
      <c r="BD1041" s="1109"/>
      <c r="BE1041" s="1109"/>
      <c r="BF1041" s="1109"/>
      <c r="BG1041" s="1109"/>
      <c r="BH1041" s="1109">
        <f t="shared" ref="BH1041:BL1041" si="1297">BH377*$BA74</f>
        <v>9.11275E-2</v>
      </c>
      <c r="BI1041" s="1109">
        <f t="shared" si="1297"/>
        <v>1.0639605405405406</v>
      </c>
      <c r="BJ1041" s="1109">
        <f t="shared" si="1297"/>
        <v>1.0639605405405406</v>
      </c>
      <c r="BK1041" s="1109">
        <f t="shared" si="1297"/>
        <v>1.0614964189189189</v>
      </c>
      <c r="BL1041" s="1109">
        <f t="shared" si="1297"/>
        <v>0</v>
      </c>
    </row>
    <row r="1042" spans="2:64" hidden="1" outlineLevel="1">
      <c r="B1042" s="1094"/>
      <c r="C1042" s="1071" t="str">
        <f t="shared" ref="C1042:F1042" si="1298">C725</f>
        <v>S024 - AGILE HPE ARUBA BCY</v>
      </c>
      <c r="D1042" s="1071" t="str">
        <f t="shared" si="1298"/>
        <v>AGILE HPE ARUBA</v>
      </c>
      <c r="E1042" s="1071" t="str">
        <f t="shared" si="1298"/>
        <v>S0240005</v>
      </c>
      <c r="F1042" s="1125">
        <f t="shared" si="1298"/>
        <v>2020</v>
      </c>
      <c r="H1042" s="1071" t="s">
        <v>29</v>
      </c>
      <c r="BB1042" s="1108"/>
      <c r="BC1042" s="1109"/>
      <c r="BD1042" s="1109"/>
      <c r="BE1042" s="1109"/>
      <c r="BF1042" s="1109"/>
      <c r="BG1042" s="1109"/>
      <c r="BH1042" s="1109">
        <f t="shared" ref="BH1042:BL1042" si="1299">BH378*$BA75</f>
        <v>0</v>
      </c>
      <c r="BI1042" s="1109">
        <f t="shared" si="1299"/>
        <v>0</v>
      </c>
      <c r="BJ1042" s="1109">
        <f t="shared" si="1299"/>
        <v>0</v>
      </c>
      <c r="BK1042" s="1109">
        <f t="shared" si="1299"/>
        <v>0</v>
      </c>
      <c r="BL1042" s="1109">
        <f t="shared" si="1299"/>
        <v>0</v>
      </c>
    </row>
    <row r="1043" spans="2:64" hidden="1" outlineLevel="1">
      <c r="B1043" s="1094"/>
      <c r="C1043" s="1071" t="str">
        <f t="shared" ref="C1043:F1043" si="1300">C726</f>
        <v>S024 - AGILE HPE ARUBA DAP</v>
      </c>
      <c r="D1043" s="1071" t="str">
        <f t="shared" si="1300"/>
        <v>AGILE HPE ARUBA</v>
      </c>
      <c r="E1043" s="1071" t="str">
        <f t="shared" si="1300"/>
        <v>S0240009</v>
      </c>
      <c r="F1043" s="1125">
        <f t="shared" si="1300"/>
        <v>2020</v>
      </c>
      <c r="H1043" s="1071" t="s">
        <v>29</v>
      </c>
      <c r="BB1043" s="1108"/>
      <c r="BC1043" s="1109"/>
      <c r="BD1043" s="1109"/>
      <c r="BE1043" s="1109"/>
      <c r="BF1043" s="1109"/>
      <c r="BG1043" s="1109"/>
      <c r="BH1043" s="1109">
        <f t="shared" ref="BH1043:BL1043" si="1301">BH379*$BA76</f>
        <v>1.1183725000000002</v>
      </c>
      <c r="BI1043" s="1109">
        <f t="shared" si="1301"/>
        <v>1.9172125</v>
      </c>
      <c r="BJ1043" s="1109">
        <f t="shared" si="1301"/>
        <v>1.9172125</v>
      </c>
      <c r="BK1043" s="1109">
        <f t="shared" si="1301"/>
        <v>0.79883999999999999</v>
      </c>
      <c r="BL1043" s="1109">
        <f t="shared" si="1301"/>
        <v>0</v>
      </c>
    </row>
    <row r="1044" spans="2:64" hidden="1" outlineLevel="1">
      <c r="B1044" s="1094"/>
      <c r="C1044" s="1071" t="str">
        <f t="shared" ref="C1044:F1044" si="1302">C727</f>
        <v>S024 - AGILE HPE ARUBA HQ</v>
      </c>
      <c r="D1044" s="1071" t="str">
        <f t="shared" si="1302"/>
        <v>AGILE HPE ARUBA</v>
      </c>
      <c r="E1044" s="1071" t="str">
        <f t="shared" si="1302"/>
        <v>S0240008</v>
      </c>
      <c r="F1044" s="1125">
        <f t="shared" si="1302"/>
        <v>2020</v>
      </c>
      <c r="H1044" s="1071" t="s">
        <v>29</v>
      </c>
      <c r="BB1044" s="1108"/>
      <c r="BC1044" s="1109"/>
      <c r="BD1044" s="1109"/>
      <c r="BE1044" s="1109"/>
      <c r="BF1044" s="1109"/>
      <c r="BG1044" s="1109"/>
      <c r="BH1044" s="1109">
        <f t="shared" ref="BH1044:BL1044" si="1303">BH380*$BA77</f>
        <v>0.61602449999999986</v>
      </c>
      <c r="BI1044" s="1109">
        <f t="shared" si="1303"/>
        <v>1.0560459999999998</v>
      </c>
      <c r="BJ1044" s="1109">
        <f t="shared" si="1303"/>
        <v>1.0560459999999998</v>
      </c>
      <c r="BK1044" s="1109">
        <f t="shared" si="1303"/>
        <v>0.44002149999999984</v>
      </c>
      <c r="BL1044" s="1109">
        <f t="shared" si="1303"/>
        <v>0</v>
      </c>
    </row>
    <row r="1045" spans="2:64" hidden="1" outlineLevel="1">
      <c r="B1045" s="1094"/>
      <c r="C1045" s="1071" t="str">
        <f t="shared" ref="C1045:F1045" si="1304">C728</f>
        <v>S024 - AGILE HPE ARUBA SHN</v>
      </c>
      <c r="D1045" s="1071" t="str">
        <f t="shared" si="1304"/>
        <v>AGILE HPE ARUBA</v>
      </c>
      <c r="E1045" s="1071" t="str">
        <f t="shared" si="1304"/>
        <v>S0240006</v>
      </c>
      <c r="F1045" s="1125">
        <f t="shared" si="1304"/>
        <v>2020</v>
      </c>
      <c r="H1045" s="1071" t="s">
        <v>29</v>
      </c>
      <c r="BB1045" s="1108"/>
      <c r="BC1045" s="1109"/>
      <c r="BD1045" s="1109"/>
      <c r="BE1045" s="1109"/>
      <c r="BF1045" s="1109"/>
      <c r="BG1045" s="1109"/>
      <c r="BH1045" s="1109">
        <f t="shared" ref="BH1045:BL1045" si="1305">BH381*$BA78</f>
        <v>0.19526499999999994</v>
      </c>
      <c r="BI1045" s="1109">
        <f t="shared" si="1305"/>
        <v>0.33475166666666667</v>
      </c>
      <c r="BJ1045" s="1109">
        <f t="shared" si="1305"/>
        <v>0.33475166666666667</v>
      </c>
      <c r="BK1045" s="1109">
        <f t="shared" si="1305"/>
        <v>0.13948666666666665</v>
      </c>
      <c r="BL1045" s="1109">
        <f t="shared" si="1305"/>
        <v>0</v>
      </c>
    </row>
    <row r="1046" spans="2:64" hidden="1" outlineLevel="1">
      <c r="B1046" s="1094"/>
      <c r="C1046" s="1071" t="str">
        <f t="shared" ref="C1046:F1046" si="1306">C729</f>
        <v>S024 - AGILE HPE ARUBA Cork</v>
      </c>
      <c r="D1046" s="1071" t="str">
        <f t="shared" si="1306"/>
        <v>AGILE HPE ARUBA</v>
      </c>
      <c r="E1046" s="1071" t="str">
        <f t="shared" si="1306"/>
        <v>S0240010</v>
      </c>
      <c r="F1046" s="1125">
        <f t="shared" si="1306"/>
        <v>2020</v>
      </c>
      <c r="H1046" s="1071" t="s">
        <v>29</v>
      </c>
      <c r="BB1046" s="1108"/>
      <c r="BC1046" s="1109"/>
      <c r="BD1046" s="1109"/>
      <c r="BE1046" s="1109"/>
      <c r="BF1046" s="1109"/>
      <c r="BG1046" s="1109"/>
      <c r="BH1046" s="1109">
        <f t="shared" ref="BH1046:BL1046" si="1307">BH382*$BA79</f>
        <v>0.39052999999999988</v>
      </c>
      <c r="BI1046" s="1109">
        <f t="shared" si="1307"/>
        <v>0.66950333333333334</v>
      </c>
      <c r="BJ1046" s="1109">
        <f t="shared" si="1307"/>
        <v>0.66950333333333334</v>
      </c>
      <c r="BK1046" s="1109">
        <f t="shared" si="1307"/>
        <v>0.2789733333333333</v>
      </c>
      <c r="BL1046" s="1109">
        <f t="shared" si="1307"/>
        <v>0</v>
      </c>
    </row>
    <row r="1047" spans="2:64" hidden="1" outlineLevel="1">
      <c r="B1047" s="1094"/>
      <c r="C1047" s="1071" t="str">
        <f t="shared" ref="C1047:F1047" si="1308">C730</f>
        <v>N008 - RAPS-SMD SENSOR MONITOR &amp; Analysis</v>
      </c>
      <c r="D1047" s="1071" t="str">
        <f t="shared" si="1308"/>
        <v>RAPS-SMD SENSOR MONITOR &amp; Analysis</v>
      </c>
      <c r="E1047" s="1071" t="str">
        <f t="shared" si="1308"/>
        <v>N0080007</v>
      </c>
      <c r="F1047" s="1125">
        <f t="shared" si="1308"/>
        <v>2020</v>
      </c>
      <c r="H1047" s="1071" t="s">
        <v>29</v>
      </c>
      <c r="BB1047" s="1108"/>
      <c r="BC1047" s="1109"/>
      <c r="BD1047" s="1109"/>
      <c r="BE1047" s="1109"/>
      <c r="BF1047" s="1109"/>
      <c r="BG1047" s="1109"/>
      <c r="BH1047" s="1109">
        <f t="shared" ref="BH1047:BL1047" si="1309">BH383*$BA80</f>
        <v>2.13334</v>
      </c>
      <c r="BI1047" s="1109">
        <f t="shared" si="1309"/>
        <v>3.2</v>
      </c>
      <c r="BJ1047" s="1109">
        <f t="shared" si="1309"/>
        <v>3.2</v>
      </c>
      <c r="BK1047" s="1109">
        <f t="shared" si="1309"/>
        <v>3.2</v>
      </c>
      <c r="BL1047" s="1109">
        <f t="shared" si="1309"/>
        <v>3.2</v>
      </c>
    </row>
    <row r="1048" spans="2:64" hidden="1" outlineLevel="1">
      <c r="B1048" s="1094"/>
      <c r="C1048" s="1071" t="str">
        <f t="shared" ref="C1048:F1048" si="1310">C731</f>
        <v>T017 - OPTIPLEX5060 W20007783</v>
      </c>
      <c r="D1048" s="1071" t="str">
        <f t="shared" si="1310"/>
        <v>IT Equipment</v>
      </c>
      <c r="E1048" s="1071" t="str">
        <f t="shared" si="1310"/>
        <v>T0170203</v>
      </c>
      <c r="F1048" s="1125">
        <f t="shared" si="1310"/>
        <v>2020</v>
      </c>
      <c r="H1048" s="1071" t="s">
        <v>29</v>
      </c>
      <c r="BB1048" s="1108"/>
      <c r="BC1048" s="1109"/>
      <c r="BD1048" s="1109"/>
      <c r="BE1048" s="1109"/>
      <c r="BF1048" s="1109"/>
      <c r="BG1048" s="1109"/>
      <c r="BH1048" s="1109">
        <f t="shared" ref="BH1048:BL1048" si="1311">BH384*$BA81</f>
        <v>2.9172499999999997E-2</v>
      </c>
      <c r="BI1048" s="1109">
        <f t="shared" si="1311"/>
        <v>4.9999999999999996E-2</v>
      </c>
      <c r="BJ1048" s="1109">
        <f t="shared" si="1311"/>
        <v>4.9999999999999996E-2</v>
      </c>
      <c r="BK1048" s="1109">
        <f t="shared" si="1311"/>
        <v>2.0827499999999999E-2</v>
      </c>
      <c r="BL1048" s="1109">
        <f t="shared" si="1311"/>
        <v>0</v>
      </c>
    </row>
    <row r="1049" spans="2:64" hidden="1" outlineLevel="1">
      <c r="B1049" s="1094"/>
      <c r="C1049" s="1071" t="str">
        <f t="shared" ref="C1049:F1049" si="1312">C732</f>
        <v>T017 - OPTIPLEX5060 W20007913</v>
      </c>
      <c r="D1049" s="1071" t="str">
        <f t="shared" si="1312"/>
        <v>IT Equipment</v>
      </c>
      <c r="E1049" s="1071" t="str">
        <f t="shared" si="1312"/>
        <v>T0170211</v>
      </c>
      <c r="F1049" s="1125">
        <f t="shared" si="1312"/>
        <v>2020</v>
      </c>
      <c r="H1049" s="1071" t="s">
        <v>29</v>
      </c>
      <c r="BB1049" s="1108"/>
      <c r="BC1049" s="1109"/>
      <c r="BD1049" s="1109"/>
      <c r="BE1049" s="1109"/>
      <c r="BF1049" s="1109"/>
      <c r="BG1049" s="1109"/>
      <c r="BH1049" s="1109">
        <f t="shared" ref="BH1049:BL1049" si="1313">BH385*$BA82</f>
        <v>2.9172499999999997E-2</v>
      </c>
      <c r="BI1049" s="1109">
        <f t="shared" si="1313"/>
        <v>4.9999999999999996E-2</v>
      </c>
      <c r="BJ1049" s="1109">
        <f t="shared" si="1313"/>
        <v>4.9999999999999996E-2</v>
      </c>
      <c r="BK1049" s="1109">
        <f t="shared" si="1313"/>
        <v>2.0827499999999999E-2</v>
      </c>
      <c r="BL1049" s="1109">
        <f t="shared" si="1313"/>
        <v>0</v>
      </c>
    </row>
    <row r="1050" spans="2:64" hidden="1" outlineLevel="1">
      <c r="B1050" s="1094"/>
      <c r="C1050" s="1071" t="str">
        <f t="shared" ref="C1050:F1050" si="1314">C733</f>
        <v>T017 - TOSHIBA X20 W20008068</v>
      </c>
      <c r="D1050" s="1071" t="str">
        <f t="shared" si="1314"/>
        <v>IT Equipment</v>
      </c>
      <c r="E1050" s="1071" t="str">
        <f t="shared" si="1314"/>
        <v>T0170213</v>
      </c>
      <c r="F1050" s="1125">
        <f t="shared" si="1314"/>
        <v>2020</v>
      </c>
      <c r="H1050" s="1071" t="s">
        <v>29</v>
      </c>
      <c r="BB1050" s="1108"/>
      <c r="BC1050" s="1109"/>
      <c r="BD1050" s="1109"/>
      <c r="BE1050" s="1109"/>
      <c r="BF1050" s="1109"/>
      <c r="BG1050" s="1109"/>
      <c r="BH1050" s="1109">
        <f t="shared" ref="BH1050:BL1050" si="1315">BH386*$BA83</f>
        <v>4.3784999999999998E-2</v>
      </c>
      <c r="BI1050" s="1109">
        <f t="shared" si="1315"/>
        <v>7.3022432432432435E-2</v>
      </c>
      <c r="BJ1050" s="1109">
        <f t="shared" si="1315"/>
        <v>7.3022432432432435E-2</v>
      </c>
      <c r="BK1050" s="1109">
        <f t="shared" si="1315"/>
        <v>3.5322635135135137E-2</v>
      </c>
      <c r="BL1050" s="1109">
        <f t="shared" si="1315"/>
        <v>0</v>
      </c>
    </row>
    <row r="1051" spans="2:64" hidden="1" outlineLevel="1">
      <c r="B1051" s="1094"/>
      <c r="C1051" s="1071" t="str">
        <f t="shared" ref="C1051:F1051" si="1316">C734</f>
        <v>T017 - TOSHIBA X20 W20008012</v>
      </c>
      <c r="D1051" s="1071" t="str">
        <f t="shared" si="1316"/>
        <v>IT Equipment</v>
      </c>
      <c r="E1051" s="1071" t="str">
        <f t="shared" si="1316"/>
        <v>T0170235</v>
      </c>
      <c r="F1051" s="1125">
        <f t="shared" si="1316"/>
        <v>2020</v>
      </c>
      <c r="H1051" s="1071" t="s">
        <v>29</v>
      </c>
      <c r="BB1051" s="1108"/>
      <c r="BC1051" s="1109"/>
      <c r="BD1051" s="1109"/>
      <c r="BE1051" s="1109"/>
      <c r="BF1051" s="1109"/>
      <c r="BG1051" s="1109"/>
      <c r="BH1051" s="1109">
        <f t="shared" ref="BH1051:BL1051" si="1317">BH387*$BA84</f>
        <v>7.3227500000000015E-2</v>
      </c>
      <c r="BI1051" s="1109">
        <f t="shared" si="1317"/>
        <v>0.12553416666666667</v>
      </c>
      <c r="BJ1051" s="1109">
        <f t="shared" si="1317"/>
        <v>0.12553416666666667</v>
      </c>
      <c r="BK1051" s="1109">
        <f t="shared" si="1317"/>
        <v>5.2306666666666682E-2</v>
      </c>
      <c r="BL1051" s="1109">
        <f t="shared" si="1317"/>
        <v>0</v>
      </c>
    </row>
    <row r="1052" spans="2:64" hidden="1" outlineLevel="1">
      <c r="B1052" s="1094"/>
      <c r="C1052" s="1071" t="str">
        <f t="shared" ref="C1052:F1052" si="1318">C735</f>
        <v>T017 - HP G7 CORE W20008095</v>
      </c>
      <c r="D1052" s="1071" t="str">
        <f t="shared" si="1318"/>
        <v>IT Equipment</v>
      </c>
      <c r="E1052" s="1071" t="str">
        <f t="shared" si="1318"/>
        <v>T0170249</v>
      </c>
      <c r="F1052" s="1125">
        <f t="shared" si="1318"/>
        <v>2020</v>
      </c>
      <c r="H1052" s="1071" t="s">
        <v>29</v>
      </c>
      <c r="BB1052" s="1108"/>
      <c r="BC1052" s="1109"/>
      <c r="BD1052" s="1109"/>
      <c r="BE1052" s="1109"/>
      <c r="BF1052" s="1109"/>
      <c r="BG1052" s="1109"/>
      <c r="BH1052" s="1109">
        <f t="shared" ref="BH1052:BL1052" si="1319">BH388*$BA85</f>
        <v>3.3789999999999994E-2</v>
      </c>
      <c r="BI1052" s="1109">
        <f t="shared" si="1319"/>
        <v>5.7916666666666665E-2</v>
      </c>
      <c r="BJ1052" s="1109">
        <f t="shared" si="1319"/>
        <v>5.7916666666666665E-2</v>
      </c>
      <c r="BK1052" s="1109">
        <f t="shared" si="1319"/>
        <v>2.4126666666666671E-2</v>
      </c>
      <c r="BL1052" s="1109">
        <f t="shared" si="1319"/>
        <v>0</v>
      </c>
    </row>
    <row r="1053" spans="2:64" hidden="1" outlineLevel="1">
      <c r="B1053" s="1094"/>
      <c r="C1053" s="1071" t="str">
        <f t="shared" ref="C1053:F1053" si="1320">C736</f>
        <v>T017 - TOSHIBA W20008013</v>
      </c>
      <c r="D1053" s="1071" t="str">
        <f t="shared" si="1320"/>
        <v>IT Equipment</v>
      </c>
      <c r="E1053" s="1071" t="str">
        <f t="shared" si="1320"/>
        <v>T0170258</v>
      </c>
      <c r="F1053" s="1125">
        <f t="shared" si="1320"/>
        <v>2020</v>
      </c>
      <c r="H1053" s="1071" t="s">
        <v>29</v>
      </c>
      <c r="BB1053" s="1108"/>
      <c r="BC1053" s="1109"/>
      <c r="BD1053" s="1109"/>
      <c r="BE1053" s="1109"/>
      <c r="BF1053" s="1109"/>
      <c r="BG1053" s="1109"/>
      <c r="BH1053" s="1109">
        <f t="shared" ref="BH1053:BL1053" si="1321">BH389*$BA86</f>
        <v>0.101995</v>
      </c>
      <c r="BI1053" s="1109">
        <f t="shared" si="1321"/>
        <v>0.12553416666666667</v>
      </c>
      <c r="BJ1053" s="1109">
        <f t="shared" si="1321"/>
        <v>0.12553416666666667</v>
      </c>
      <c r="BK1053" s="1109">
        <f t="shared" si="1321"/>
        <v>2.3539166666666701E-2</v>
      </c>
      <c r="BL1053" s="1109">
        <f t="shared" si="1321"/>
        <v>0</v>
      </c>
    </row>
    <row r="1054" spans="2:64" hidden="1" outlineLevel="1">
      <c r="B1054" s="1094"/>
      <c r="C1054" s="1071" t="str">
        <f t="shared" ref="C1054:F1054" si="1322">C737</f>
        <v>T017 - TOSHIBA W20008083</v>
      </c>
      <c r="D1054" s="1071" t="str">
        <f t="shared" si="1322"/>
        <v>IT Equipment</v>
      </c>
      <c r="E1054" s="1071" t="str">
        <f t="shared" si="1322"/>
        <v>T0170260</v>
      </c>
      <c r="F1054" s="1125">
        <f t="shared" si="1322"/>
        <v>2020</v>
      </c>
      <c r="H1054" s="1071" t="s">
        <v>29</v>
      </c>
      <c r="BB1054" s="1108"/>
      <c r="BC1054" s="1109"/>
      <c r="BD1054" s="1109"/>
      <c r="BE1054" s="1109"/>
      <c r="BF1054" s="1109"/>
      <c r="BG1054" s="1109"/>
      <c r="BH1054" s="1109">
        <f t="shared" ref="BH1054:BL1054" si="1323">BH390*$BA87</f>
        <v>6.2549999999999994E-2</v>
      </c>
      <c r="BI1054" s="1109">
        <f t="shared" si="1323"/>
        <v>7.3022432432432435E-2</v>
      </c>
      <c r="BJ1054" s="1109">
        <f t="shared" si="1323"/>
        <v>7.3022432432432435E-2</v>
      </c>
      <c r="BK1054" s="1109">
        <f t="shared" si="1323"/>
        <v>1.6557635135135119E-2</v>
      </c>
      <c r="BL1054" s="1109">
        <f t="shared" si="1323"/>
        <v>0</v>
      </c>
    </row>
    <row r="1055" spans="2:64" hidden="1" outlineLevel="1">
      <c r="B1055" s="1094"/>
      <c r="C1055" s="1071" t="str">
        <f t="shared" ref="C1055:F1055" si="1324">C738</f>
        <v>T017 - TOSHIBA W20008068</v>
      </c>
      <c r="D1055" s="1071" t="str">
        <f t="shared" si="1324"/>
        <v>IT Equipment</v>
      </c>
      <c r="E1055" s="1071" t="str">
        <f t="shared" si="1324"/>
        <v>T0170261</v>
      </c>
      <c r="F1055" s="1125">
        <f t="shared" si="1324"/>
        <v>2020</v>
      </c>
      <c r="H1055" s="1071" t="s">
        <v>29</v>
      </c>
      <c r="BB1055" s="1108"/>
      <c r="BC1055" s="1109"/>
      <c r="BD1055" s="1109"/>
      <c r="BE1055" s="1109"/>
      <c r="BF1055" s="1109"/>
      <c r="BG1055" s="1109"/>
      <c r="BH1055" s="1109">
        <f t="shared" ref="BH1055:BL1055" si="1325">BH391*$BA88</f>
        <v>2.9452500000000006E-2</v>
      </c>
      <c r="BI1055" s="1109">
        <f t="shared" si="1325"/>
        <v>5.0483333333333338E-2</v>
      </c>
      <c r="BJ1055" s="1109">
        <f t="shared" si="1325"/>
        <v>5.0483333333333338E-2</v>
      </c>
      <c r="BK1055" s="1109">
        <f t="shared" si="1325"/>
        <v>2.1030833333333325E-2</v>
      </c>
      <c r="BL1055" s="1109">
        <f t="shared" si="1325"/>
        <v>0</v>
      </c>
    </row>
    <row r="1056" spans="2:64" hidden="1" outlineLevel="1">
      <c r="B1056" s="1094"/>
      <c r="C1056" s="1071" t="str">
        <f t="shared" ref="C1056:F1056" si="1326">C739</f>
        <v>T017 - TOSHIBA W20008069</v>
      </c>
      <c r="D1056" s="1071" t="str">
        <f t="shared" si="1326"/>
        <v>IT Equipment</v>
      </c>
      <c r="E1056" s="1071" t="str">
        <f t="shared" si="1326"/>
        <v>T0170262</v>
      </c>
      <c r="F1056" s="1125">
        <f t="shared" si="1326"/>
        <v>2020</v>
      </c>
      <c r="H1056" s="1071" t="s">
        <v>29</v>
      </c>
      <c r="BB1056" s="1108"/>
      <c r="BC1056" s="1109"/>
      <c r="BD1056" s="1109"/>
      <c r="BE1056" s="1109"/>
      <c r="BF1056" s="1109"/>
      <c r="BG1056" s="1109"/>
      <c r="BH1056" s="1109">
        <f t="shared" ref="BH1056:BL1056" si="1327">BH392*$BA89</f>
        <v>2.9452500000000006E-2</v>
      </c>
      <c r="BI1056" s="1109">
        <f t="shared" si="1327"/>
        <v>5.0483333333333338E-2</v>
      </c>
      <c r="BJ1056" s="1109">
        <f t="shared" si="1327"/>
        <v>5.0483333333333338E-2</v>
      </c>
      <c r="BK1056" s="1109">
        <f t="shared" si="1327"/>
        <v>2.1030833333333325E-2</v>
      </c>
      <c r="BL1056" s="1109">
        <f t="shared" si="1327"/>
        <v>0</v>
      </c>
    </row>
    <row r="1057" spans="2:64" hidden="1" outlineLevel="1">
      <c r="B1057" s="1094"/>
      <c r="C1057" s="1071" t="str">
        <f t="shared" ref="C1057:F1057" si="1328">C740</f>
        <v>T017 - TOSHIBA W20008081</v>
      </c>
      <c r="D1057" s="1071" t="str">
        <f t="shared" si="1328"/>
        <v>IT Equipment</v>
      </c>
      <c r="E1057" s="1071" t="str">
        <f t="shared" si="1328"/>
        <v>T0170273</v>
      </c>
      <c r="F1057" s="1125">
        <f t="shared" si="1328"/>
        <v>2020</v>
      </c>
      <c r="H1057" s="1071" t="s">
        <v>29</v>
      </c>
      <c r="BB1057" s="1108"/>
      <c r="BC1057" s="1109"/>
      <c r="BD1057" s="1109"/>
      <c r="BE1057" s="1109"/>
      <c r="BF1057" s="1109"/>
      <c r="BG1057" s="1109"/>
      <c r="BH1057" s="1109">
        <f t="shared" ref="BH1057:BL1057" si="1329">BH393*$BA90</f>
        <v>2.9452500000000006E-2</v>
      </c>
      <c r="BI1057" s="1109">
        <f t="shared" si="1329"/>
        <v>5.0483333333333338E-2</v>
      </c>
      <c r="BJ1057" s="1109">
        <f t="shared" si="1329"/>
        <v>5.0483333333333338E-2</v>
      </c>
      <c r="BK1057" s="1109">
        <f t="shared" si="1329"/>
        <v>2.1030833333333325E-2</v>
      </c>
      <c r="BL1057" s="1109">
        <f t="shared" si="1329"/>
        <v>0</v>
      </c>
    </row>
    <row r="1058" spans="2:64" hidden="1" outlineLevel="1">
      <c r="B1058" s="1094"/>
      <c r="C1058" s="1071" t="str">
        <f t="shared" ref="C1058:F1058" si="1330">C741</f>
        <v>T017 - TOSHIBA W20008077</v>
      </c>
      <c r="D1058" s="1071" t="str">
        <f t="shared" si="1330"/>
        <v>IT Equipment</v>
      </c>
      <c r="E1058" s="1071" t="str">
        <f t="shared" si="1330"/>
        <v>T0170291</v>
      </c>
      <c r="F1058" s="1125">
        <f t="shared" si="1330"/>
        <v>2020</v>
      </c>
      <c r="H1058" s="1071" t="s">
        <v>29</v>
      </c>
      <c r="BB1058" s="1108"/>
      <c r="BC1058" s="1109"/>
      <c r="BD1058" s="1109"/>
      <c r="BE1058" s="1109"/>
      <c r="BF1058" s="1109"/>
      <c r="BG1058" s="1109"/>
      <c r="BH1058" s="1109">
        <f t="shared" ref="BH1058:BL1058" si="1331">BH394*$BA91</f>
        <v>0</v>
      </c>
      <c r="BI1058" s="1109">
        <f t="shared" si="1331"/>
        <v>7.3022432432432435E-2</v>
      </c>
      <c r="BJ1058" s="1109">
        <f t="shared" si="1331"/>
        <v>7.3022432432432435E-2</v>
      </c>
      <c r="BK1058" s="1109">
        <f t="shared" si="1331"/>
        <v>7.3022432432432435E-2</v>
      </c>
      <c r="BL1058" s="1109">
        <f t="shared" si="1331"/>
        <v>6.0852027027027029E-3</v>
      </c>
    </row>
    <row r="1059" spans="2:64" hidden="1" outlineLevel="1">
      <c r="B1059" s="1094"/>
      <c r="C1059" s="1071" t="str">
        <f t="shared" ref="C1059:F1059" si="1332">C742</f>
        <v>T017 - W20008077</v>
      </c>
      <c r="D1059" s="1071" t="str">
        <f t="shared" si="1332"/>
        <v>IT Equipment</v>
      </c>
      <c r="E1059" s="1071" t="str">
        <f t="shared" si="1332"/>
        <v>T0170292</v>
      </c>
      <c r="F1059" s="1125">
        <f t="shared" si="1332"/>
        <v>2020</v>
      </c>
      <c r="H1059" s="1071" t="s">
        <v>29</v>
      </c>
      <c r="BB1059" s="1108"/>
      <c r="BC1059" s="1109"/>
      <c r="BD1059" s="1109"/>
      <c r="BE1059" s="1109"/>
      <c r="BF1059" s="1109"/>
      <c r="BG1059" s="1109"/>
      <c r="BH1059" s="1109">
        <f t="shared" ref="BH1059:BL1059" si="1333">BH395*$BA92</f>
        <v>2.9452500000000006E-2</v>
      </c>
      <c r="BI1059" s="1109">
        <f t="shared" si="1333"/>
        <v>5.0483333333333338E-2</v>
      </c>
      <c r="BJ1059" s="1109">
        <f t="shared" si="1333"/>
        <v>5.0483333333333338E-2</v>
      </c>
      <c r="BK1059" s="1109">
        <f t="shared" si="1333"/>
        <v>2.1030833333333325E-2</v>
      </c>
      <c r="BL1059" s="1109">
        <f t="shared" si="1333"/>
        <v>0</v>
      </c>
    </row>
    <row r="1060" spans="2:64" hidden="1" outlineLevel="1">
      <c r="B1060" s="1094"/>
      <c r="C1060" s="1071" t="str">
        <f t="shared" ref="C1060:F1060" si="1334">C743</f>
        <v>T017 - TOSHIBA W20008083</v>
      </c>
      <c r="D1060" s="1071" t="str">
        <f t="shared" si="1334"/>
        <v>IT Equipment</v>
      </c>
      <c r="E1060" s="1071" t="str">
        <f t="shared" si="1334"/>
        <v>T0170294</v>
      </c>
      <c r="F1060" s="1125">
        <f t="shared" si="1334"/>
        <v>2020</v>
      </c>
      <c r="H1060" s="1071" t="s">
        <v>29</v>
      </c>
      <c r="BB1060" s="1108"/>
      <c r="BC1060" s="1109"/>
      <c r="BD1060" s="1109"/>
      <c r="BE1060" s="1109"/>
      <c r="BF1060" s="1109"/>
      <c r="BG1060" s="1109"/>
      <c r="BH1060" s="1109">
        <f t="shared" ref="BH1060:BL1060" si="1335">BH396*$BA93</f>
        <v>2.9452500000000006E-2</v>
      </c>
      <c r="BI1060" s="1109">
        <f t="shared" si="1335"/>
        <v>5.0483333333333338E-2</v>
      </c>
      <c r="BJ1060" s="1109">
        <f t="shared" si="1335"/>
        <v>5.0483333333333338E-2</v>
      </c>
      <c r="BK1060" s="1109">
        <f t="shared" si="1335"/>
        <v>2.1030833333333325E-2</v>
      </c>
      <c r="BL1060" s="1109">
        <f t="shared" si="1335"/>
        <v>0</v>
      </c>
    </row>
    <row r="1061" spans="2:64" hidden="1" outlineLevel="1">
      <c r="B1061" s="1094"/>
      <c r="C1061" s="1071" t="str">
        <f t="shared" ref="C1061:F1061" si="1336">C744</f>
        <v>T017 - OPTIPLEX5060 W20007867</v>
      </c>
      <c r="D1061" s="1071" t="str">
        <f t="shared" si="1336"/>
        <v>IT Equipment</v>
      </c>
      <c r="E1061" s="1071" t="str">
        <f t="shared" si="1336"/>
        <v>T0170205</v>
      </c>
      <c r="F1061" s="1125">
        <f t="shared" si="1336"/>
        <v>2020</v>
      </c>
      <c r="H1061" s="1071" t="s">
        <v>29</v>
      </c>
      <c r="BB1061" s="1108"/>
      <c r="BC1061" s="1109"/>
      <c r="BD1061" s="1109"/>
      <c r="BE1061" s="1109"/>
      <c r="BF1061" s="1109"/>
      <c r="BG1061" s="1109"/>
      <c r="BH1061" s="1109">
        <f t="shared" ref="BH1061:BL1061" si="1337">BH397*$BA94</f>
        <v>1.7503499999999998E-2</v>
      </c>
      <c r="BI1061" s="1109">
        <f t="shared" si="1337"/>
        <v>2.9999999999999995E-2</v>
      </c>
      <c r="BJ1061" s="1109">
        <f t="shared" si="1337"/>
        <v>2.9999999999999995E-2</v>
      </c>
      <c r="BK1061" s="1109">
        <f t="shared" si="1337"/>
        <v>1.2496499999999999E-2</v>
      </c>
      <c r="BL1061" s="1109">
        <f t="shared" si="1337"/>
        <v>0</v>
      </c>
    </row>
    <row r="1062" spans="2:64" hidden="1" outlineLevel="1">
      <c r="B1062" s="1094"/>
      <c r="C1062" s="1071" t="str">
        <f t="shared" ref="C1062:F1062" si="1338">C745</f>
        <v>T017 - OPTIPLEX5060 W20007900</v>
      </c>
      <c r="D1062" s="1071" t="str">
        <f t="shared" si="1338"/>
        <v>IT Equipment</v>
      </c>
      <c r="E1062" s="1071" t="str">
        <f t="shared" si="1338"/>
        <v>T0170206</v>
      </c>
      <c r="F1062" s="1125">
        <f t="shared" si="1338"/>
        <v>2020</v>
      </c>
      <c r="H1062" s="1071" t="s">
        <v>29</v>
      </c>
      <c r="BB1062" s="1108"/>
      <c r="BC1062" s="1109"/>
      <c r="BD1062" s="1109"/>
      <c r="BE1062" s="1109"/>
      <c r="BF1062" s="1109"/>
      <c r="BG1062" s="1109"/>
      <c r="BH1062" s="1109">
        <f t="shared" ref="BH1062:BL1062" si="1339">BH398*$BA95</f>
        <v>1.7503499999999998E-2</v>
      </c>
      <c r="BI1062" s="1109">
        <f t="shared" si="1339"/>
        <v>2.9999999999999995E-2</v>
      </c>
      <c r="BJ1062" s="1109">
        <f t="shared" si="1339"/>
        <v>2.9999999999999995E-2</v>
      </c>
      <c r="BK1062" s="1109">
        <f t="shared" si="1339"/>
        <v>1.2496499999999999E-2</v>
      </c>
      <c r="BL1062" s="1109">
        <f t="shared" si="1339"/>
        <v>0</v>
      </c>
    </row>
    <row r="1063" spans="2:64" hidden="1" outlineLevel="1">
      <c r="B1063" s="1094"/>
      <c r="C1063" s="1071" t="str">
        <f t="shared" ref="C1063:F1063" si="1340">C746</f>
        <v>T017 - OPTIPLEX5060 W20007906</v>
      </c>
      <c r="D1063" s="1071" t="str">
        <f t="shared" si="1340"/>
        <v>IT Equipment</v>
      </c>
      <c r="E1063" s="1071" t="str">
        <f t="shared" si="1340"/>
        <v>T0170209</v>
      </c>
      <c r="F1063" s="1125">
        <f t="shared" si="1340"/>
        <v>2020</v>
      </c>
      <c r="H1063" s="1071" t="s">
        <v>29</v>
      </c>
      <c r="BB1063" s="1108"/>
      <c r="BC1063" s="1109"/>
      <c r="BD1063" s="1109"/>
      <c r="BE1063" s="1109"/>
      <c r="BF1063" s="1109"/>
      <c r="BG1063" s="1109"/>
      <c r="BH1063" s="1109">
        <f t="shared" ref="BH1063:BL1063" si="1341">BH399*$BA96</f>
        <v>1.7503499999999998E-2</v>
      </c>
      <c r="BI1063" s="1109">
        <f t="shared" si="1341"/>
        <v>2.9999999999999995E-2</v>
      </c>
      <c r="BJ1063" s="1109">
        <f t="shared" si="1341"/>
        <v>2.9999999999999995E-2</v>
      </c>
      <c r="BK1063" s="1109">
        <f t="shared" si="1341"/>
        <v>1.2496499999999999E-2</v>
      </c>
      <c r="BL1063" s="1109">
        <f t="shared" si="1341"/>
        <v>0</v>
      </c>
    </row>
    <row r="1064" spans="2:64" hidden="1" outlineLevel="1">
      <c r="B1064" s="1094"/>
      <c r="C1064" s="1071" t="str">
        <f t="shared" ref="C1064:F1064" si="1342">C747</f>
        <v>T017 - TOSHIBA X20 W20008070</v>
      </c>
      <c r="D1064" s="1071" t="str">
        <f t="shared" si="1342"/>
        <v>IT Equipment</v>
      </c>
      <c r="E1064" s="1071" t="str">
        <f t="shared" si="1342"/>
        <v>T0170215</v>
      </c>
      <c r="F1064" s="1125">
        <f t="shared" si="1342"/>
        <v>2020</v>
      </c>
      <c r="H1064" s="1071" t="s">
        <v>29</v>
      </c>
      <c r="BB1064" s="1108"/>
      <c r="BC1064" s="1109"/>
      <c r="BD1064" s="1109"/>
      <c r="BE1064" s="1109"/>
      <c r="BF1064" s="1109"/>
      <c r="BG1064" s="1109"/>
      <c r="BH1064" s="1109">
        <f t="shared" ref="BH1064:BL1064" si="1343">BH400*$BA97</f>
        <v>2.6270999999999999E-2</v>
      </c>
      <c r="BI1064" s="1109">
        <f t="shared" si="1343"/>
        <v>4.3813459459459463E-2</v>
      </c>
      <c r="BJ1064" s="1109">
        <f t="shared" si="1343"/>
        <v>4.3813459459459463E-2</v>
      </c>
      <c r="BK1064" s="1109">
        <f t="shared" si="1343"/>
        <v>2.1193581081081082E-2</v>
      </c>
      <c r="BL1064" s="1109">
        <f t="shared" si="1343"/>
        <v>0</v>
      </c>
    </row>
    <row r="1065" spans="2:64" hidden="1" outlineLevel="1">
      <c r="B1065" s="1094"/>
      <c r="C1065" s="1071" t="str">
        <f t="shared" ref="C1065:F1065" si="1344">C748</f>
        <v>T017 - TOSHIBA X20 W20008085</v>
      </c>
      <c r="D1065" s="1071" t="str">
        <f t="shared" si="1344"/>
        <v>IT Equipment</v>
      </c>
      <c r="E1065" s="1071" t="str">
        <f t="shared" si="1344"/>
        <v>T0170226</v>
      </c>
      <c r="F1065" s="1125">
        <f t="shared" si="1344"/>
        <v>2020</v>
      </c>
      <c r="H1065" s="1071" t="s">
        <v>29</v>
      </c>
      <c r="BB1065" s="1108"/>
      <c r="BC1065" s="1109"/>
      <c r="BD1065" s="1109"/>
      <c r="BE1065" s="1109"/>
      <c r="BF1065" s="1109"/>
      <c r="BG1065" s="1109"/>
      <c r="BH1065" s="1109">
        <f t="shared" ref="BH1065:BL1065" si="1345">BH401*$BA98</f>
        <v>2.6270999999999999E-2</v>
      </c>
      <c r="BI1065" s="1109">
        <f t="shared" si="1345"/>
        <v>4.3813459459459463E-2</v>
      </c>
      <c r="BJ1065" s="1109">
        <f t="shared" si="1345"/>
        <v>4.3813459459459463E-2</v>
      </c>
      <c r="BK1065" s="1109">
        <f t="shared" si="1345"/>
        <v>2.1193581081081082E-2</v>
      </c>
      <c r="BL1065" s="1109">
        <f t="shared" si="1345"/>
        <v>0</v>
      </c>
    </row>
    <row r="1066" spans="2:64" hidden="1" outlineLevel="1">
      <c r="B1066" s="1094"/>
      <c r="C1066" s="1071" t="str">
        <f t="shared" ref="C1066:F1066" si="1346">C749</f>
        <v>T017 - TOSHIBA X20 W20008008</v>
      </c>
      <c r="D1066" s="1071" t="str">
        <f t="shared" si="1346"/>
        <v>IT Equipment</v>
      </c>
      <c r="E1066" s="1071" t="str">
        <f t="shared" si="1346"/>
        <v>T0170231</v>
      </c>
      <c r="F1066" s="1125">
        <f t="shared" si="1346"/>
        <v>2020</v>
      </c>
      <c r="H1066" s="1071" t="s">
        <v>29</v>
      </c>
      <c r="BB1066" s="1108"/>
      <c r="BC1066" s="1109"/>
      <c r="BD1066" s="1109"/>
      <c r="BE1066" s="1109"/>
      <c r="BF1066" s="1109"/>
      <c r="BG1066" s="1109"/>
      <c r="BH1066" s="1109">
        <f t="shared" ref="BH1066:BL1066" si="1347">BH402*$BA99</f>
        <v>4.393650000000001E-2</v>
      </c>
      <c r="BI1066" s="1109">
        <f t="shared" si="1347"/>
        <v>7.5320499999999999E-2</v>
      </c>
      <c r="BJ1066" s="1109">
        <f t="shared" si="1347"/>
        <v>7.5320499999999999E-2</v>
      </c>
      <c r="BK1066" s="1109">
        <f t="shared" si="1347"/>
        <v>3.1384000000000009E-2</v>
      </c>
      <c r="BL1066" s="1109">
        <f t="shared" si="1347"/>
        <v>0</v>
      </c>
    </row>
    <row r="1067" spans="2:64" hidden="1" outlineLevel="1">
      <c r="B1067" s="1094"/>
      <c r="C1067" s="1071" t="str">
        <f t="shared" ref="C1067:F1067" si="1348">C750</f>
        <v>T017 - TOSHIBA X20 W20008009</v>
      </c>
      <c r="D1067" s="1071" t="str">
        <f t="shared" si="1348"/>
        <v>IT Equipment</v>
      </c>
      <c r="E1067" s="1071" t="str">
        <f t="shared" si="1348"/>
        <v>T0170232</v>
      </c>
      <c r="F1067" s="1125">
        <f t="shared" si="1348"/>
        <v>2020</v>
      </c>
      <c r="H1067" s="1071" t="s">
        <v>29</v>
      </c>
      <c r="BB1067" s="1108"/>
      <c r="BC1067" s="1109"/>
      <c r="BD1067" s="1109"/>
      <c r="BE1067" s="1109"/>
      <c r="BF1067" s="1109"/>
      <c r="BG1067" s="1109"/>
      <c r="BH1067" s="1109">
        <f t="shared" ref="BH1067:BL1067" si="1349">BH403*$BA100</f>
        <v>4.393650000000001E-2</v>
      </c>
      <c r="BI1067" s="1109">
        <f t="shared" si="1349"/>
        <v>7.5320499999999999E-2</v>
      </c>
      <c r="BJ1067" s="1109">
        <f t="shared" si="1349"/>
        <v>7.5320499999999999E-2</v>
      </c>
      <c r="BK1067" s="1109">
        <f t="shared" si="1349"/>
        <v>3.1384000000000009E-2</v>
      </c>
      <c r="BL1067" s="1109">
        <f t="shared" si="1349"/>
        <v>0</v>
      </c>
    </row>
    <row r="1068" spans="2:64" hidden="1" outlineLevel="1">
      <c r="B1068" s="1094"/>
      <c r="C1068" s="1071" t="str">
        <f t="shared" ref="C1068:F1068" si="1350">C751</f>
        <v>T017 - TOSHIBA X20 W20008011</v>
      </c>
      <c r="D1068" s="1071" t="str">
        <f t="shared" si="1350"/>
        <v>IT Equipment</v>
      </c>
      <c r="E1068" s="1071" t="str">
        <f t="shared" si="1350"/>
        <v>T0170234</v>
      </c>
      <c r="F1068" s="1125">
        <f t="shared" si="1350"/>
        <v>2020</v>
      </c>
      <c r="H1068" s="1071" t="s">
        <v>29</v>
      </c>
      <c r="BB1068" s="1108"/>
      <c r="BC1068" s="1109"/>
      <c r="BD1068" s="1109"/>
      <c r="BE1068" s="1109"/>
      <c r="BF1068" s="1109"/>
      <c r="BG1068" s="1109"/>
      <c r="BH1068" s="1109">
        <f t="shared" ref="BH1068:BL1068" si="1351">BH404*$BA101</f>
        <v>4.393650000000001E-2</v>
      </c>
      <c r="BI1068" s="1109">
        <f t="shared" si="1351"/>
        <v>7.5320499999999999E-2</v>
      </c>
      <c r="BJ1068" s="1109">
        <f t="shared" si="1351"/>
        <v>7.5320499999999999E-2</v>
      </c>
      <c r="BK1068" s="1109">
        <f t="shared" si="1351"/>
        <v>3.1384000000000009E-2</v>
      </c>
      <c r="BL1068" s="1109">
        <f t="shared" si="1351"/>
        <v>0</v>
      </c>
    </row>
    <row r="1069" spans="2:64" hidden="1" outlineLevel="1">
      <c r="B1069" s="1094"/>
      <c r="C1069" s="1071" t="str">
        <f t="shared" ref="C1069:F1069" si="1352">C752</f>
        <v>T017 - TOSHIBA X20 W20008014</v>
      </c>
      <c r="D1069" s="1071" t="str">
        <f t="shared" si="1352"/>
        <v>IT Equipment</v>
      </c>
      <c r="E1069" s="1071" t="str">
        <f t="shared" si="1352"/>
        <v>T0170236</v>
      </c>
      <c r="F1069" s="1125">
        <f t="shared" si="1352"/>
        <v>2020</v>
      </c>
      <c r="H1069" s="1071" t="s">
        <v>29</v>
      </c>
      <c r="BB1069" s="1108"/>
      <c r="BC1069" s="1109"/>
      <c r="BD1069" s="1109"/>
      <c r="BE1069" s="1109"/>
      <c r="BF1069" s="1109"/>
      <c r="BG1069" s="1109"/>
      <c r="BH1069" s="1109">
        <f t="shared" ref="BH1069:BL1069" si="1353">BH405*$BA102</f>
        <v>4.393650000000001E-2</v>
      </c>
      <c r="BI1069" s="1109">
        <f t="shared" si="1353"/>
        <v>7.5320499999999999E-2</v>
      </c>
      <c r="BJ1069" s="1109">
        <f t="shared" si="1353"/>
        <v>7.5320499999999999E-2</v>
      </c>
      <c r="BK1069" s="1109">
        <f t="shared" si="1353"/>
        <v>3.1384000000000009E-2</v>
      </c>
      <c r="BL1069" s="1109">
        <f t="shared" si="1353"/>
        <v>0</v>
      </c>
    </row>
    <row r="1070" spans="2:64" hidden="1" outlineLevel="1">
      <c r="B1070" s="1094"/>
      <c r="C1070" s="1071" t="str">
        <f t="shared" ref="C1070:F1070" si="1354">C753</f>
        <v>T017 - TOSHIBA X20 W20008015</v>
      </c>
      <c r="D1070" s="1071" t="str">
        <f t="shared" si="1354"/>
        <v>IT Equipment</v>
      </c>
      <c r="E1070" s="1071" t="str">
        <f t="shared" si="1354"/>
        <v>T0170237</v>
      </c>
      <c r="F1070" s="1125">
        <f t="shared" si="1354"/>
        <v>2020</v>
      </c>
      <c r="H1070" s="1071" t="s">
        <v>29</v>
      </c>
      <c r="BB1070" s="1108"/>
      <c r="BC1070" s="1109"/>
      <c r="BD1070" s="1109"/>
      <c r="BE1070" s="1109"/>
      <c r="BF1070" s="1109"/>
      <c r="BG1070" s="1109"/>
      <c r="BH1070" s="1109">
        <f t="shared" ref="BH1070:BL1070" si="1355">BH406*$BA103</f>
        <v>4.393650000000001E-2</v>
      </c>
      <c r="BI1070" s="1109">
        <f t="shared" si="1355"/>
        <v>7.5320499999999999E-2</v>
      </c>
      <c r="BJ1070" s="1109">
        <f t="shared" si="1355"/>
        <v>7.5320499999999999E-2</v>
      </c>
      <c r="BK1070" s="1109">
        <f t="shared" si="1355"/>
        <v>3.1384000000000009E-2</v>
      </c>
      <c r="BL1070" s="1109">
        <f t="shared" si="1355"/>
        <v>0</v>
      </c>
    </row>
    <row r="1071" spans="2:64" hidden="1" outlineLevel="1">
      <c r="B1071" s="1094"/>
      <c r="C1071" s="1071" t="str">
        <f t="shared" ref="C1071:F1071" si="1356">C754</f>
        <v>T017 - TOSHIBA X20 W20008020</v>
      </c>
      <c r="D1071" s="1071" t="str">
        <f t="shared" si="1356"/>
        <v>IT Equipment</v>
      </c>
      <c r="E1071" s="1071" t="str">
        <f t="shared" si="1356"/>
        <v>T0170242</v>
      </c>
      <c r="F1071" s="1125">
        <f t="shared" si="1356"/>
        <v>2020</v>
      </c>
      <c r="H1071" s="1071" t="s">
        <v>29</v>
      </c>
      <c r="BB1071" s="1108"/>
      <c r="BC1071" s="1109"/>
      <c r="BD1071" s="1109"/>
      <c r="BE1071" s="1109"/>
      <c r="BF1071" s="1109"/>
      <c r="BG1071" s="1109"/>
      <c r="BH1071" s="1109">
        <f t="shared" ref="BH1071:BL1071" si="1357">BH407*$BA104</f>
        <v>4.393650000000001E-2</v>
      </c>
      <c r="BI1071" s="1109">
        <f t="shared" si="1357"/>
        <v>7.5320499999999999E-2</v>
      </c>
      <c r="BJ1071" s="1109">
        <f t="shared" si="1357"/>
        <v>7.5320499999999999E-2</v>
      </c>
      <c r="BK1071" s="1109">
        <f t="shared" si="1357"/>
        <v>3.1384000000000009E-2</v>
      </c>
      <c r="BL1071" s="1109">
        <f t="shared" si="1357"/>
        <v>0</v>
      </c>
    </row>
    <row r="1072" spans="2:64" hidden="1" outlineLevel="1">
      <c r="B1072" s="1094"/>
      <c r="C1072" s="1071" t="str">
        <f t="shared" ref="C1072:F1072" si="1358">C755</f>
        <v>T017 - TOSHIBA X20 W20008023</v>
      </c>
      <c r="D1072" s="1071" t="str">
        <f t="shared" si="1358"/>
        <v>IT Equipment</v>
      </c>
      <c r="E1072" s="1071" t="str">
        <f t="shared" si="1358"/>
        <v>T0170245</v>
      </c>
      <c r="F1072" s="1125">
        <f t="shared" si="1358"/>
        <v>2020</v>
      </c>
      <c r="H1072" s="1071" t="s">
        <v>29</v>
      </c>
      <c r="BB1072" s="1108"/>
      <c r="BC1072" s="1109"/>
      <c r="BD1072" s="1109"/>
      <c r="BE1072" s="1109"/>
      <c r="BF1072" s="1109"/>
      <c r="BG1072" s="1109"/>
      <c r="BH1072" s="1109">
        <f t="shared" ref="BH1072:BL1072" si="1359">BH408*$BA105</f>
        <v>4.393650000000001E-2</v>
      </c>
      <c r="BI1072" s="1109">
        <f t="shared" si="1359"/>
        <v>7.5320499999999999E-2</v>
      </c>
      <c r="BJ1072" s="1109">
        <f t="shared" si="1359"/>
        <v>7.5320499999999999E-2</v>
      </c>
      <c r="BK1072" s="1109">
        <f t="shared" si="1359"/>
        <v>3.1384000000000009E-2</v>
      </c>
      <c r="BL1072" s="1109">
        <f t="shared" si="1359"/>
        <v>0</v>
      </c>
    </row>
    <row r="1073" spans="2:64" hidden="1" outlineLevel="1">
      <c r="B1073" s="1094"/>
      <c r="C1073" s="1071" t="str">
        <f t="shared" ref="C1073:F1073" si="1360">C756</f>
        <v>T017 - TOSHIBA X20 W20008024</v>
      </c>
      <c r="D1073" s="1071" t="str">
        <f t="shared" si="1360"/>
        <v>IT Equipment</v>
      </c>
      <c r="E1073" s="1071" t="str">
        <f t="shared" si="1360"/>
        <v>T0170246</v>
      </c>
      <c r="F1073" s="1125">
        <f t="shared" si="1360"/>
        <v>2020</v>
      </c>
      <c r="H1073" s="1071" t="s">
        <v>29</v>
      </c>
      <c r="BB1073" s="1108"/>
      <c r="BC1073" s="1109"/>
      <c r="BD1073" s="1109"/>
      <c r="BE1073" s="1109"/>
      <c r="BF1073" s="1109"/>
      <c r="BG1073" s="1109"/>
      <c r="BH1073" s="1109">
        <f t="shared" ref="BH1073:BL1073" si="1361">BH409*$BA106</f>
        <v>4.393650000000001E-2</v>
      </c>
      <c r="BI1073" s="1109">
        <f t="shared" si="1361"/>
        <v>7.5320499999999999E-2</v>
      </c>
      <c r="BJ1073" s="1109">
        <f t="shared" si="1361"/>
        <v>7.5320499999999999E-2</v>
      </c>
      <c r="BK1073" s="1109">
        <f t="shared" si="1361"/>
        <v>3.1384000000000009E-2</v>
      </c>
      <c r="BL1073" s="1109">
        <f t="shared" si="1361"/>
        <v>0</v>
      </c>
    </row>
    <row r="1074" spans="2:64" hidden="1" outlineLevel="1">
      <c r="B1074" s="1094"/>
      <c r="C1074" s="1071" t="str">
        <f t="shared" ref="C1074:F1074" si="1362">C757</f>
        <v>T017 - TOSHIBA X20 W20008025</v>
      </c>
      <c r="D1074" s="1071" t="str">
        <f t="shared" si="1362"/>
        <v>IT Equipment</v>
      </c>
      <c r="E1074" s="1071" t="str">
        <f t="shared" si="1362"/>
        <v>T0170247</v>
      </c>
      <c r="F1074" s="1125">
        <f t="shared" si="1362"/>
        <v>2020</v>
      </c>
      <c r="H1074" s="1071" t="s">
        <v>29</v>
      </c>
      <c r="BB1074" s="1108"/>
      <c r="BC1074" s="1109"/>
      <c r="BD1074" s="1109"/>
      <c r="BE1074" s="1109"/>
      <c r="BF1074" s="1109"/>
      <c r="BG1074" s="1109"/>
      <c r="BH1074" s="1109">
        <f t="shared" ref="BH1074:BL1074" si="1363">BH410*$BA107</f>
        <v>4.393650000000001E-2</v>
      </c>
      <c r="BI1074" s="1109">
        <f t="shared" si="1363"/>
        <v>7.5320499999999999E-2</v>
      </c>
      <c r="BJ1074" s="1109">
        <f t="shared" si="1363"/>
        <v>7.5320499999999999E-2</v>
      </c>
      <c r="BK1074" s="1109">
        <f t="shared" si="1363"/>
        <v>3.1384000000000009E-2</v>
      </c>
      <c r="BL1074" s="1109">
        <f t="shared" si="1363"/>
        <v>0</v>
      </c>
    </row>
    <row r="1075" spans="2:64" hidden="1" outlineLevel="1">
      <c r="B1075" s="1094"/>
      <c r="C1075" s="1071" t="str">
        <f t="shared" ref="C1075:F1075" si="1364">C758</f>
        <v>T017 - HP G7 CORE W20008096</v>
      </c>
      <c r="D1075" s="1071" t="str">
        <f t="shared" si="1364"/>
        <v>IT Equipment</v>
      </c>
      <c r="E1075" s="1071" t="str">
        <f t="shared" si="1364"/>
        <v>T0170248</v>
      </c>
      <c r="F1075" s="1125">
        <f t="shared" si="1364"/>
        <v>2020</v>
      </c>
      <c r="H1075" s="1071" t="s">
        <v>29</v>
      </c>
      <c r="BB1075" s="1108"/>
      <c r="BC1075" s="1109"/>
      <c r="BD1075" s="1109"/>
      <c r="BE1075" s="1109"/>
      <c r="BF1075" s="1109"/>
      <c r="BG1075" s="1109"/>
      <c r="BH1075" s="1109">
        <f t="shared" ref="BH1075:BL1075" si="1365">BH411*$BA108</f>
        <v>2.0273999999999997E-2</v>
      </c>
      <c r="BI1075" s="1109">
        <f t="shared" si="1365"/>
        <v>3.4749999999999996E-2</v>
      </c>
      <c r="BJ1075" s="1109">
        <f t="shared" si="1365"/>
        <v>3.4749999999999996E-2</v>
      </c>
      <c r="BK1075" s="1109">
        <f t="shared" si="1365"/>
        <v>1.4476000000000003E-2</v>
      </c>
      <c r="BL1075" s="1109">
        <f t="shared" si="1365"/>
        <v>0</v>
      </c>
    </row>
    <row r="1076" spans="2:64" hidden="1" outlineLevel="1">
      <c r="B1076" s="1094"/>
      <c r="C1076" s="1071" t="str">
        <f t="shared" ref="C1076:F1076" si="1366">C759</f>
        <v>T017 - HP G7 CORE W20008098</v>
      </c>
      <c r="D1076" s="1071" t="str">
        <f t="shared" si="1366"/>
        <v>IT Equipment</v>
      </c>
      <c r="E1076" s="1071" t="str">
        <f t="shared" si="1366"/>
        <v>T0170250</v>
      </c>
      <c r="F1076" s="1125">
        <f t="shared" si="1366"/>
        <v>2020</v>
      </c>
      <c r="H1076" s="1071" t="s">
        <v>29</v>
      </c>
      <c r="BB1076" s="1108"/>
      <c r="BC1076" s="1109"/>
      <c r="BD1076" s="1109"/>
      <c r="BE1076" s="1109"/>
      <c r="BF1076" s="1109"/>
      <c r="BG1076" s="1109"/>
      <c r="BH1076" s="1109">
        <f t="shared" ref="BH1076:BL1076" si="1367">BH412*$BA109</f>
        <v>2.0273999999999997E-2</v>
      </c>
      <c r="BI1076" s="1109">
        <f t="shared" si="1367"/>
        <v>3.4749999999999996E-2</v>
      </c>
      <c r="BJ1076" s="1109">
        <f t="shared" si="1367"/>
        <v>3.4749999999999996E-2</v>
      </c>
      <c r="BK1076" s="1109">
        <f t="shared" si="1367"/>
        <v>1.4476000000000003E-2</v>
      </c>
      <c r="BL1076" s="1109">
        <f t="shared" si="1367"/>
        <v>0</v>
      </c>
    </row>
    <row r="1077" spans="2:64" hidden="1" outlineLevel="1">
      <c r="B1077" s="1094"/>
      <c r="C1077" s="1071" t="str">
        <f t="shared" ref="C1077:F1077" si="1368">C760</f>
        <v>T017 - LAPTOP W20007815</v>
      </c>
      <c r="D1077" s="1071" t="str">
        <f t="shared" si="1368"/>
        <v>IT Equipment</v>
      </c>
      <c r="E1077" s="1071" t="str">
        <f t="shared" si="1368"/>
        <v>T0170253</v>
      </c>
      <c r="F1077" s="1125">
        <f t="shared" si="1368"/>
        <v>2020</v>
      </c>
      <c r="H1077" s="1071" t="s">
        <v>29</v>
      </c>
      <c r="BB1077" s="1108"/>
      <c r="BC1077" s="1109"/>
      <c r="BD1077" s="1109"/>
      <c r="BE1077" s="1109"/>
      <c r="BF1077" s="1109"/>
      <c r="BG1077" s="1109"/>
      <c r="BH1077" s="1109">
        <f t="shared" ref="BH1077:BL1077" si="1369">BH413*$BA110</f>
        <v>7.5319499999999998E-2</v>
      </c>
      <c r="BI1077" s="1109">
        <f t="shared" si="1369"/>
        <v>7.5320499999999999E-2</v>
      </c>
      <c r="BJ1077" s="1109">
        <f t="shared" si="1369"/>
        <v>7.5320499999999999E-2</v>
      </c>
      <c r="BK1077" s="1109">
        <f t="shared" si="1369"/>
        <v>1.0000000000122015E-6</v>
      </c>
      <c r="BL1077" s="1109">
        <f t="shared" si="1369"/>
        <v>0</v>
      </c>
    </row>
    <row r="1078" spans="2:64" hidden="1" outlineLevel="1">
      <c r="B1078" s="1094"/>
      <c r="C1078" s="1071" t="str">
        <f t="shared" ref="C1078:F1078" si="1370">C761</f>
        <v>T017 - OPTIPLEX5060 W20007883</v>
      </c>
      <c r="D1078" s="1071" t="str">
        <f t="shared" si="1370"/>
        <v>IT Equipment</v>
      </c>
      <c r="E1078" s="1071" t="str">
        <f t="shared" si="1370"/>
        <v>T0170254</v>
      </c>
      <c r="F1078" s="1125">
        <f t="shared" si="1370"/>
        <v>2020</v>
      </c>
      <c r="H1078" s="1071" t="s">
        <v>29</v>
      </c>
      <c r="BB1078" s="1108"/>
      <c r="BC1078" s="1109"/>
      <c r="BD1078" s="1109"/>
      <c r="BE1078" s="1109"/>
      <c r="BF1078" s="1109"/>
      <c r="BG1078" s="1109"/>
      <c r="BH1078" s="1109">
        <f t="shared" ref="BH1078:BL1078" si="1371">BH414*$BA111</f>
        <v>3.0005999999999991E-2</v>
      </c>
      <c r="BI1078" s="1109">
        <f t="shared" si="1371"/>
        <v>2.9999999999999995E-2</v>
      </c>
      <c r="BJ1078" s="1109">
        <f t="shared" si="1371"/>
        <v>2.9994000000000003E-2</v>
      </c>
      <c r="BK1078" s="1109">
        <f t="shared" si="1371"/>
        <v>0</v>
      </c>
      <c r="BL1078" s="1109">
        <f t="shared" si="1371"/>
        <v>0</v>
      </c>
    </row>
    <row r="1079" spans="2:64" hidden="1" outlineLevel="1">
      <c r="B1079" s="1094"/>
      <c r="C1079" s="1071" t="str">
        <f t="shared" ref="C1079:F1079" si="1372">C762</f>
        <v>T017 - OPTIPLEX5060 W20007917</v>
      </c>
      <c r="D1079" s="1071" t="str">
        <f t="shared" si="1372"/>
        <v>IT Equipment</v>
      </c>
      <c r="E1079" s="1071" t="str">
        <f t="shared" si="1372"/>
        <v>T0170256</v>
      </c>
      <c r="F1079" s="1125">
        <f t="shared" si="1372"/>
        <v>2020</v>
      </c>
      <c r="H1079" s="1071" t="s">
        <v>29</v>
      </c>
      <c r="BB1079" s="1108"/>
      <c r="BC1079" s="1109"/>
      <c r="BD1079" s="1109"/>
      <c r="BE1079" s="1109"/>
      <c r="BF1079" s="1109"/>
      <c r="BG1079" s="1109"/>
      <c r="BH1079" s="1109">
        <f t="shared" ref="BH1079:BL1079" si="1373">BH415*$BA112</f>
        <v>3.0005999999999991E-2</v>
      </c>
      <c r="BI1079" s="1109">
        <f t="shared" si="1373"/>
        <v>2.9999999999999995E-2</v>
      </c>
      <c r="BJ1079" s="1109">
        <f t="shared" si="1373"/>
        <v>2.9994000000000003E-2</v>
      </c>
      <c r="BK1079" s="1109">
        <f t="shared" si="1373"/>
        <v>0</v>
      </c>
      <c r="BL1079" s="1109">
        <f t="shared" si="1373"/>
        <v>0</v>
      </c>
    </row>
    <row r="1080" spans="2:64" hidden="1" outlineLevel="1">
      <c r="B1080" s="1094"/>
      <c r="C1080" s="1071" t="str">
        <f t="shared" ref="C1080:F1080" si="1374">C763</f>
        <v>T017 - TOSHIBA W20008070</v>
      </c>
      <c r="D1080" s="1071" t="str">
        <f t="shared" si="1374"/>
        <v>IT Equipment</v>
      </c>
      <c r="E1080" s="1071" t="str">
        <f t="shared" si="1374"/>
        <v>T0170263</v>
      </c>
      <c r="F1080" s="1125">
        <f t="shared" si="1374"/>
        <v>2020</v>
      </c>
      <c r="H1080" s="1071" t="s">
        <v>29</v>
      </c>
      <c r="BB1080" s="1108"/>
      <c r="BC1080" s="1109"/>
      <c r="BD1080" s="1109"/>
      <c r="BE1080" s="1109"/>
      <c r="BF1080" s="1109"/>
      <c r="BG1080" s="1109"/>
      <c r="BH1080" s="1109">
        <f t="shared" ref="BH1080:BL1080" si="1375">BH416*$BA113</f>
        <v>1.7671500000000003E-2</v>
      </c>
      <c r="BI1080" s="1109">
        <f t="shared" si="1375"/>
        <v>3.0290000000000001E-2</v>
      </c>
      <c r="BJ1080" s="1109">
        <f t="shared" si="1375"/>
        <v>3.0290000000000001E-2</v>
      </c>
      <c r="BK1080" s="1109">
        <f t="shared" si="1375"/>
        <v>1.2618499999999994E-2</v>
      </c>
      <c r="BL1080" s="1109">
        <f t="shared" si="1375"/>
        <v>0</v>
      </c>
    </row>
    <row r="1081" spans="2:64" hidden="1" outlineLevel="1">
      <c r="B1081" s="1094"/>
      <c r="C1081" s="1071" t="str">
        <f t="shared" ref="C1081:F1081" si="1376">C764</f>
        <v>T017 - TOSHIBA W20008085</v>
      </c>
      <c r="D1081" s="1071" t="str">
        <f t="shared" si="1376"/>
        <v>IT Equipment</v>
      </c>
      <c r="E1081" s="1071" t="str">
        <f t="shared" si="1376"/>
        <v>T0170274</v>
      </c>
      <c r="F1081" s="1125">
        <f t="shared" si="1376"/>
        <v>2020</v>
      </c>
      <c r="H1081" s="1071" t="s">
        <v>29</v>
      </c>
      <c r="BB1081" s="1108"/>
      <c r="BC1081" s="1109"/>
      <c r="BD1081" s="1109"/>
      <c r="BE1081" s="1109"/>
      <c r="BF1081" s="1109"/>
      <c r="BG1081" s="1109"/>
      <c r="BH1081" s="1109">
        <f t="shared" ref="BH1081:BL1081" si="1377">BH417*$BA114</f>
        <v>1.7671500000000003E-2</v>
      </c>
      <c r="BI1081" s="1109">
        <f t="shared" si="1377"/>
        <v>3.0290000000000001E-2</v>
      </c>
      <c r="BJ1081" s="1109">
        <f t="shared" si="1377"/>
        <v>3.0290000000000001E-2</v>
      </c>
      <c r="BK1081" s="1109">
        <f t="shared" si="1377"/>
        <v>1.2618499999999994E-2</v>
      </c>
      <c r="BL1081" s="1109">
        <f t="shared" si="1377"/>
        <v>0</v>
      </c>
    </row>
    <row r="1082" spans="2:64" hidden="1" outlineLevel="1">
      <c r="B1082" s="1094"/>
      <c r="C1082" s="1071" t="str">
        <f t="shared" ref="C1082:F1082" si="1378">C765</f>
        <v>T017 - HP250G7 CORE W20008093</v>
      </c>
      <c r="D1082" s="1071" t="str">
        <f t="shared" si="1378"/>
        <v>IT Equipment</v>
      </c>
      <c r="E1082" s="1071" t="str">
        <f t="shared" si="1378"/>
        <v>T0170278</v>
      </c>
      <c r="F1082" s="1125">
        <f t="shared" si="1378"/>
        <v>2020</v>
      </c>
      <c r="H1082" s="1071" t="s">
        <v>29</v>
      </c>
      <c r="BB1082" s="1108"/>
      <c r="BC1082" s="1109"/>
      <c r="BD1082" s="1109"/>
      <c r="BE1082" s="1109"/>
      <c r="BF1082" s="1109"/>
      <c r="BG1082" s="1109"/>
      <c r="BH1082" s="1109">
        <f t="shared" ref="BH1082:BL1082" si="1379">BH418*$BA115</f>
        <v>2.8960499999999993E-2</v>
      </c>
      <c r="BI1082" s="1109">
        <f t="shared" si="1379"/>
        <v>3.4749999999999996E-2</v>
      </c>
      <c r="BJ1082" s="1109">
        <f t="shared" si="1379"/>
        <v>3.4749999999999996E-2</v>
      </c>
      <c r="BK1082" s="1109">
        <f t="shared" si="1379"/>
        <v>5.7895000000000082E-3</v>
      </c>
      <c r="BL1082" s="1109">
        <f t="shared" si="1379"/>
        <v>0</v>
      </c>
    </row>
    <row r="1083" spans="2:64" hidden="1" outlineLevel="1">
      <c r="B1083" s="1094"/>
      <c r="C1083" s="1071" t="str">
        <f t="shared" ref="C1083:F1083" si="1380">C766</f>
        <v>T017 - HP250G7 CORE W20008097</v>
      </c>
      <c r="D1083" s="1071" t="str">
        <f t="shared" si="1380"/>
        <v>IT Equipment</v>
      </c>
      <c r="E1083" s="1071" t="str">
        <f t="shared" si="1380"/>
        <v>T0170280</v>
      </c>
      <c r="F1083" s="1125">
        <f t="shared" si="1380"/>
        <v>2020</v>
      </c>
      <c r="H1083" s="1071" t="s">
        <v>29</v>
      </c>
      <c r="BB1083" s="1108"/>
      <c r="BC1083" s="1109"/>
      <c r="BD1083" s="1109"/>
      <c r="BE1083" s="1109"/>
      <c r="BF1083" s="1109"/>
      <c r="BG1083" s="1109"/>
      <c r="BH1083" s="1109">
        <f t="shared" ref="BH1083:BL1083" si="1381">BH419*$BA116</f>
        <v>2.8960499999999993E-2</v>
      </c>
      <c r="BI1083" s="1109">
        <f t="shared" si="1381"/>
        <v>3.4749999999999996E-2</v>
      </c>
      <c r="BJ1083" s="1109">
        <f t="shared" si="1381"/>
        <v>3.4749999999999996E-2</v>
      </c>
      <c r="BK1083" s="1109">
        <f t="shared" si="1381"/>
        <v>5.7895000000000082E-3</v>
      </c>
      <c r="BL1083" s="1109">
        <f t="shared" si="1381"/>
        <v>0</v>
      </c>
    </row>
    <row r="1084" spans="2:64" hidden="1" outlineLevel="1">
      <c r="B1084" s="1094"/>
      <c r="C1084" s="1071" t="str">
        <f t="shared" ref="C1084:F1084" si="1382">C767</f>
        <v>T017 - HP250G7 CORE W20008100</v>
      </c>
      <c r="D1084" s="1071" t="str">
        <f t="shared" si="1382"/>
        <v>IT Equipment</v>
      </c>
      <c r="E1084" s="1071" t="str">
        <f t="shared" si="1382"/>
        <v>T0170281</v>
      </c>
      <c r="F1084" s="1125">
        <f t="shared" si="1382"/>
        <v>2020</v>
      </c>
      <c r="H1084" s="1071" t="s">
        <v>29</v>
      </c>
      <c r="BB1084" s="1108"/>
      <c r="BC1084" s="1109"/>
      <c r="BD1084" s="1109"/>
      <c r="BE1084" s="1109"/>
      <c r="BF1084" s="1109"/>
      <c r="BG1084" s="1109"/>
      <c r="BH1084" s="1109">
        <f t="shared" ref="BH1084:BL1084" si="1383">BH420*$BA117</f>
        <v>2.8960499999999993E-2</v>
      </c>
      <c r="BI1084" s="1109">
        <f t="shared" si="1383"/>
        <v>3.4749999999999996E-2</v>
      </c>
      <c r="BJ1084" s="1109">
        <f t="shared" si="1383"/>
        <v>3.4749999999999996E-2</v>
      </c>
      <c r="BK1084" s="1109">
        <f t="shared" si="1383"/>
        <v>5.7895000000000082E-3</v>
      </c>
      <c r="BL1084" s="1109">
        <f t="shared" si="1383"/>
        <v>0</v>
      </c>
    </row>
    <row r="1085" spans="2:64" hidden="1" outlineLevel="1">
      <c r="B1085" s="1094"/>
      <c r="C1085" s="1071" t="str">
        <f t="shared" ref="C1085:F1085" si="1384">C768</f>
        <v>T017 - HP250G7 CORE W20008091</v>
      </c>
      <c r="D1085" s="1071" t="str">
        <f t="shared" si="1384"/>
        <v>IT Equipment</v>
      </c>
      <c r="E1085" s="1071" t="str">
        <f t="shared" si="1384"/>
        <v>T0170282</v>
      </c>
      <c r="F1085" s="1125">
        <f t="shared" si="1384"/>
        <v>2020</v>
      </c>
      <c r="H1085" s="1071" t="s">
        <v>29</v>
      </c>
      <c r="BB1085" s="1108"/>
      <c r="BC1085" s="1109"/>
      <c r="BD1085" s="1109"/>
      <c r="BE1085" s="1109"/>
      <c r="BF1085" s="1109"/>
      <c r="BG1085" s="1109"/>
      <c r="BH1085" s="1109">
        <f t="shared" ref="BH1085:BL1085" si="1385">BH421*$BA118</f>
        <v>2.0273999999999997E-2</v>
      </c>
      <c r="BI1085" s="1109">
        <f t="shared" si="1385"/>
        <v>3.4749999999999996E-2</v>
      </c>
      <c r="BJ1085" s="1109">
        <f t="shared" si="1385"/>
        <v>3.4749999999999996E-2</v>
      </c>
      <c r="BK1085" s="1109">
        <f t="shared" si="1385"/>
        <v>1.4476000000000003E-2</v>
      </c>
      <c r="BL1085" s="1109">
        <f t="shared" si="1385"/>
        <v>0</v>
      </c>
    </row>
    <row r="1086" spans="2:64" hidden="1" outlineLevel="1">
      <c r="B1086" s="1094"/>
      <c r="C1086" s="1071" t="str">
        <f t="shared" ref="C1086:F1086" si="1386">C769</f>
        <v>T017 - HP250G7 CORE W20008096</v>
      </c>
      <c r="D1086" s="1071" t="str">
        <f t="shared" si="1386"/>
        <v>IT Equipment</v>
      </c>
      <c r="E1086" s="1071" t="str">
        <f t="shared" si="1386"/>
        <v>T0170283</v>
      </c>
      <c r="F1086" s="1125">
        <f t="shared" si="1386"/>
        <v>2020</v>
      </c>
      <c r="H1086" s="1071" t="s">
        <v>29</v>
      </c>
      <c r="BB1086" s="1108"/>
      <c r="BC1086" s="1109"/>
      <c r="BD1086" s="1109"/>
      <c r="BE1086" s="1109"/>
      <c r="BF1086" s="1109"/>
      <c r="BG1086" s="1109"/>
      <c r="BH1086" s="1109">
        <f t="shared" ref="BH1086:BL1086" si="1387">BH422*$BA119</f>
        <v>2.0273999999999997E-2</v>
      </c>
      <c r="BI1086" s="1109">
        <f t="shared" si="1387"/>
        <v>3.4749999999999996E-2</v>
      </c>
      <c r="BJ1086" s="1109">
        <f t="shared" si="1387"/>
        <v>3.4749999999999996E-2</v>
      </c>
      <c r="BK1086" s="1109">
        <f t="shared" si="1387"/>
        <v>1.4476000000000003E-2</v>
      </c>
      <c r="BL1086" s="1109">
        <f t="shared" si="1387"/>
        <v>0</v>
      </c>
    </row>
    <row r="1087" spans="2:64" hidden="1" outlineLevel="1">
      <c r="B1087" s="1094"/>
      <c r="C1087" s="1071" t="str">
        <f t="shared" ref="C1087:F1087" si="1388">C770</f>
        <v>T017 - HP250G7 COREW20008098</v>
      </c>
      <c r="D1087" s="1071" t="str">
        <f t="shared" si="1388"/>
        <v>IT Equipment</v>
      </c>
      <c r="E1087" s="1071" t="str">
        <f t="shared" si="1388"/>
        <v>T0170284</v>
      </c>
      <c r="F1087" s="1125">
        <f t="shared" si="1388"/>
        <v>2020</v>
      </c>
      <c r="H1087" s="1071" t="s">
        <v>29</v>
      </c>
      <c r="BB1087" s="1108"/>
      <c r="BC1087" s="1109"/>
      <c r="BD1087" s="1109"/>
      <c r="BE1087" s="1109"/>
      <c r="BF1087" s="1109"/>
      <c r="BG1087" s="1109"/>
      <c r="BH1087" s="1109">
        <f t="shared" ref="BH1087:BL1087" si="1389">BH423*$BA120</f>
        <v>2.0273999999999997E-2</v>
      </c>
      <c r="BI1087" s="1109">
        <f t="shared" si="1389"/>
        <v>3.4749999999999996E-2</v>
      </c>
      <c r="BJ1087" s="1109">
        <f t="shared" si="1389"/>
        <v>3.4749999999999996E-2</v>
      </c>
      <c r="BK1087" s="1109">
        <f t="shared" si="1389"/>
        <v>1.4476000000000003E-2</v>
      </c>
      <c r="BL1087" s="1109">
        <f t="shared" si="1389"/>
        <v>0</v>
      </c>
    </row>
    <row r="1088" spans="2:64" hidden="1" outlineLevel="1">
      <c r="B1088" s="1094"/>
      <c r="C1088" s="1071" t="str">
        <f t="shared" ref="C1088:F1088" si="1390">C771</f>
        <v>T017 - OPTIPLEX5060 W20007909</v>
      </c>
      <c r="D1088" s="1071" t="str">
        <f t="shared" si="1390"/>
        <v>IT Equipment</v>
      </c>
      <c r="E1088" s="1071" t="str">
        <f t="shared" si="1390"/>
        <v>T0170290</v>
      </c>
      <c r="F1088" s="1125">
        <f t="shared" si="1390"/>
        <v>2020</v>
      </c>
      <c r="H1088" s="1071" t="s">
        <v>29</v>
      </c>
      <c r="BB1088" s="1108"/>
      <c r="BC1088" s="1109"/>
      <c r="BD1088" s="1109"/>
      <c r="BE1088" s="1109"/>
      <c r="BF1088" s="1109"/>
      <c r="BG1088" s="1109"/>
      <c r="BH1088" s="1109">
        <f t="shared" ref="BH1088:BL1088" si="1391">BH424*$BA121</f>
        <v>3.0005999999999991E-2</v>
      </c>
      <c r="BI1088" s="1109">
        <f t="shared" si="1391"/>
        <v>2.9999999999999995E-2</v>
      </c>
      <c r="BJ1088" s="1109">
        <f t="shared" si="1391"/>
        <v>2.9994000000000003E-2</v>
      </c>
      <c r="BK1088" s="1109">
        <f t="shared" si="1391"/>
        <v>0</v>
      </c>
      <c r="BL1088" s="1109">
        <f t="shared" si="1391"/>
        <v>0</v>
      </c>
    </row>
    <row r="1089" spans="2:64" hidden="1" outlineLevel="1">
      <c r="B1089" s="1094"/>
      <c r="C1089" s="1071" t="str">
        <f t="shared" ref="C1089:F1089" si="1392">C772</f>
        <v>T018 - MACBOOK PRO</v>
      </c>
      <c r="D1089" s="1071" t="str">
        <f t="shared" si="1392"/>
        <v>IT Equipment</v>
      </c>
      <c r="E1089" s="1071" t="str">
        <f t="shared" si="1392"/>
        <v>T0180061</v>
      </c>
      <c r="F1089" s="1125">
        <f t="shared" si="1392"/>
        <v>2020</v>
      </c>
      <c r="H1089" s="1071" t="s">
        <v>29</v>
      </c>
      <c r="BB1089" s="1108"/>
      <c r="BC1089" s="1109"/>
      <c r="BD1089" s="1109"/>
      <c r="BE1089" s="1109"/>
      <c r="BF1089" s="1109"/>
      <c r="BG1089" s="1109"/>
      <c r="BH1089" s="1109">
        <f t="shared" ref="BH1089:BL1089" si="1393">BH425*$BA122</f>
        <v>5.1556499999999991E-2</v>
      </c>
      <c r="BI1089" s="1109">
        <f t="shared" si="1393"/>
        <v>6.8741999999999998E-2</v>
      </c>
      <c r="BJ1089" s="1109">
        <f t="shared" si="1393"/>
        <v>6.8741999999999998E-2</v>
      </c>
      <c r="BK1089" s="1109">
        <f t="shared" si="1393"/>
        <v>1.7185499999999999E-2</v>
      </c>
      <c r="BL1089" s="1109">
        <f t="shared" si="1393"/>
        <v>0</v>
      </c>
    </row>
    <row r="1090" spans="2:64" hidden="1" outlineLevel="1">
      <c r="B1090" s="1094"/>
      <c r="C1090" s="1071" t="str">
        <f t="shared" ref="C1090:F1090" si="1394">C773</f>
        <v>T018 - LOGITECH GROUP VIDEO HQ</v>
      </c>
      <c r="D1090" s="1071" t="str">
        <f t="shared" si="1394"/>
        <v>IT Equipment</v>
      </c>
      <c r="E1090" s="1071" t="str">
        <f t="shared" si="1394"/>
        <v>T0180064</v>
      </c>
      <c r="F1090" s="1125">
        <f t="shared" si="1394"/>
        <v>2020</v>
      </c>
      <c r="H1090" s="1071" t="s">
        <v>29</v>
      </c>
      <c r="BB1090" s="1108"/>
      <c r="BC1090" s="1109"/>
      <c r="BD1090" s="1109"/>
      <c r="BE1090" s="1109"/>
      <c r="BF1090" s="1109"/>
      <c r="BG1090" s="1109"/>
      <c r="BH1090" s="1109">
        <f t="shared" ref="BH1090:BL1090" si="1395">BH426*$BA123</f>
        <v>3.3713999999999994E-2</v>
      </c>
      <c r="BI1090" s="1109">
        <f t="shared" si="1395"/>
        <v>0.13485000000000003</v>
      </c>
      <c r="BJ1090" s="1109">
        <f t="shared" si="1395"/>
        <v>0.13485000000000003</v>
      </c>
      <c r="BK1090" s="1109">
        <f t="shared" si="1395"/>
        <v>0.101136</v>
      </c>
      <c r="BL1090" s="1109">
        <f t="shared" si="1395"/>
        <v>0</v>
      </c>
    </row>
    <row r="1091" spans="2:64" hidden="1" outlineLevel="1">
      <c r="B1091" s="1094"/>
      <c r="C1091" s="1071" t="str">
        <f t="shared" ref="C1091:F1091" si="1396">C774</f>
        <v>T017 - X20 LAPTOPS W20007838</v>
      </c>
      <c r="D1091" s="1071" t="str">
        <f t="shared" si="1396"/>
        <v>IT Equipment</v>
      </c>
      <c r="E1091" s="1071" t="str">
        <f t="shared" si="1396"/>
        <v>T0170204</v>
      </c>
      <c r="F1091" s="1125">
        <f t="shared" si="1396"/>
        <v>2020</v>
      </c>
      <c r="H1091" s="1071" t="s">
        <v>29</v>
      </c>
      <c r="BB1091" s="1108"/>
      <c r="BC1091" s="1109"/>
      <c r="BD1091" s="1109"/>
      <c r="BE1091" s="1109"/>
      <c r="BF1091" s="1109"/>
      <c r="BG1091" s="1109"/>
      <c r="BH1091" s="1109">
        <f t="shared" ref="BH1091:BL1091" si="1397">BH427*$BA124</f>
        <v>7.3227500000000015E-2</v>
      </c>
      <c r="BI1091" s="1109">
        <f t="shared" si="1397"/>
        <v>0.12553416666666667</v>
      </c>
      <c r="BJ1091" s="1109">
        <f t="shared" si="1397"/>
        <v>0.12553416666666667</v>
      </c>
      <c r="BK1091" s="1109">
        <f t="shared" si="1397"/>
        <v>5.2306666666666682E-2</v>
      </c>
      <c r="BL1091" s="1109">
        <f t="shared" si="1397"/>
        <v>0</v>
      </c>
    </row>
    <row r="1092" spans="2:64" hidden="1" outlineLevel="1">
      <c r="B1092" s="1094"/>
      <c r="C1092" s="1071" t="str">
        <f t="shared" ref="C1092:F1092" si="1398">C775</f>
        <v>T017 - TOSHIBA X20 W20008071</v>
      </c>
      <c r="D1092" s="1071" t="str">
        <f t="shared" si="1398"/>
        <v>IT Equipment</v>
      </c>
      <c r="E1092" s="1071" t="str">
        <f t="shared" si="1398"/>
        <v>T0170216</v>
      </c>
      <c r="F1092" s="1125">
        <f t="shared" si="1398"/>
        <v>2020</v>
      </c>
      <c r="H1092" s="1071" t="s">
        <v>29</v>
      </c>
      <c r="BB1092" s="1108"/>
      <c r="BC1092" s="1109"/>
      <c r="BD1092" s="1109"/>
      <c r="BE1092" s="1109"/>
      <c r="BF1092" s="1109"/>
      <c r="BG1092" s="1109"/>
      <c r="BH1092" s="1109">
        <f t="shared" ref="BH1092:BL1092" si="1399">BH428*$BA125</f>
        <v>4.3784999999999998E-2</v>
      </c>
      <c r="BI1092" s="1109">
        <f t="shared" si="1399"/>
        <v>7.3022432432432435E-2</v>
      </c>
      <c r="BJ1092" s="1109">
        <f t="shared" si="1399"/>
        <v>7.3022432432432435E-2</v>
      </c>
      <c r="BK1092" s="1109">
        <f t="shared" si="1399"/>
        <v>3.5322635135135137E-2</v>
      </c>
      <c r="BL1092" s="1109">
        <f t="shared" si="1399"/>
        <v>0</v>
      </c>
    </row>
    <row r="1093" spans="2:64" hidden="1" outlineLevel="1">
      <c r="B1093" s="1094"/>
      <c r="C1093" s="1071" t="str">
        <f t="shared" ref="C1093:F1093" si="1400">C776</f>
        <v>T017 - TOSHIBA X20 W20008072</v>
      </c>
      <c r="D1093" s="1071" t="str">
        <f t="shared" si="1400"/>
        <v>IT Equipment</v>
      </c>
      <c r="E1093" s="1071" t="str">
        <f t="shared" si="1400"/>
        <v>T0170217</v>
      </c>
      <c r="F1093" s="1125">
        <f t="shared" si="1400"/>
        <v>2020</v>
      </c>
      <c r="H1093" s="1071" t="s">
        <v>29</v>
      </c>
      <c r="BB1093" s="1108"/>
      <c r="BC1093" s="1109"/>
      <c r="BD1093" s="1109"/>
      <c r="BE1093" s="1109"/>
      <c r="BF1093" s="1109"/>
      <c r="BG1093" s="1109"/>
      <c r="BH1093" s="1109">
        <f t="shared" ref="BH1093:BL1093" si="1401">BH429*$BA126</f>
        <v>4.3784999999999998E-2</v>
      </c>
      <c r="BI1093" s="1109">
        <f t="shared" si="1401"/>
        <v>7.3022432432432435E-2</v>
      </c>
      <c r="BJ1093" s="1109">
        <f t="shared" si="1401"/>
        <v>7.3022432432432435E-2</v>
      </c>
      <c r="BK1093" s="1109">
        <f t="shared" si="1401"/>
        <v>3.5322635135135137E-2</v>
      </c>
      <c r="BL1093" s="1109">
        <f t="shared" si="1401"/>
        <v>0</v>
      </c>
    </row>
    <row r="1094" spans="2:64" hidden="1" outlineLevel="1">
      <c r="B1094" s="1094"/>
      <c r="C1094" s="1071" t="str">
        <f t="shared" ref="C1094:F1094" si="1402">C777</f>
        <v>T017 - TOSHIBA X20 W20008079</v>
      </c>
      <c r="D1094" s="1071" t="str">
        <f t="shared" si="1402"/>
        <v>IT Equipment</v>
      </c>
      <c r="E1094" s="1071" t="str">
        <f t="shared" si="1402"/>
        <v>T0170223</v>
      </c>
      <c r="F1094" s="1125">
        <f t="shared" si="1402"/>
        <v>2020</v>
      </c>
      <c r="H1094" s="1071" t="s">
        <v>29</v>
      </c>
      <c r="BB1094" s="1108"/>
      <c r="BC1094" s="1109"/>
      <c r="BD1094" s="1109"/>
      <c r="BE1094" s="1109"/>
      <c r="BF1094" s="1109"/>
      <c r="BG1094" s="1109"/>
      <c r="BH1094" s="1109">
        <f t="shared" ref="BH1094:BL1094" si="1403">BH430*$BA127</f>
        <v>4.3784999999999998E-2</v>
      </c>
      <c r="BI1094" s="1109">
        <f t="shared" si="1403"/>
        <v>7.3022432432432435E-2</v>
      </c>
      <c r="BJ1094" s="1109">
        <f t="shared" si="1403"/>
        <v>7.3022432432432435E-2</v>
      </c>
      <c r="BK1094" s="1109">
        <f t="shared" si="1403"/>
        <v>3.5322635135135137E-2</v>
      </c>
      <c r="BL1094" s="1109">
        <f t="shared" si="1403"/>
        <v>0</v>
      </c>
    </row>
    <row r="1095" spans="2:64" hidden="1" outlineLevel="1">
      <c r="B1095" s="1094"/>
      <c r="C1095" s="1071" t="str">
        <f t="shared" ref="C1095:F1095" si="1404">C778</f>
        <v>T017 - TOSHIBA X20 W20008018</v>
      </c>
      <c r="D1095" s="1071" t="str">
        <f t="shared" si="1404"/>
        <v>IT Equipment</v>
      </c>
      <c r="E1095" s="1071" t="str">
        <f t="shared" si="1404"/>
        <v>T0170240</v>
      </c>
      <c r="F1095" s="1125">
        <f t="shared" si="1404"/>
        <v>2020</v>
      </c>
      <c r="H1095" s="1071" t="s">
        <v>29</v>
      </c>
      <c r="BB1095" s="1108"/>
      <c r="BC1095" s="1109"/>
      <c r="BD1095" s="1109"/>
      <c r="BE1095" s="1109"/>
      <c r="BF1095" s="1109"/>
      <c r="BG1095" s="1109"/>
      <c r="BH1095" s="1109">
        <f t="shared" ref="BH1095:BL1095" si="1405">BH431*$BA128</f>
        <v>7.3227500000000015E-2</v>
      </c>
      <c r="BI1095" s="1109">
        <f t="shared" si="1405"/>
        <v>0.12553416666666667</v>
      </c>
      <c r="BJ1095" s="1109">
        <f t="shared" si="1405"/>
        <v>0.12553416666666667</v>
      </c>
      <c r="BK1095" s="1109">
        <f t="shared" si="1405"/>
        <v>5.2306666666666682E-2</v>
      </c>
      <c r="BL1095" s="1109">
        <f t="shared" si="1405"/>
        <v>0</v>
      </c>
    </row>
    <row r="1096" spans="2:64" hidden="1" outlineLevel="1">
      <c r="B1096" s="1094"/>
      <c r="C1096" s="1071" t="str">
        <f t="shared" ref="C1096:F1096" si="1406">C779</f>
        <v>T017 - HP G7 CORE W20008101</v>
      </c>
      <c r="D1096" s="1071" t="str">
        <f t="shared" si="1406"/>
        <v>IT Equipment</v>
      </c>
      <c r="E1096" s="1071" t="str">
        <f t="shared" si="1406"/>
        <v>T0170251</v>
      </c>
      <c r="F1096" s="1125">
        <f t="shared" si="1406"/>
        <v>2020</v>
      </c>
      <c r="H1096" s="1071" t="s">
        <v>29</v>
      </c>
      <c r="BB1096" s="1108"/>
      <c r="BC1096" s="1109"/>
      <c r="BD1096" s="1109"/>
      <c r="BE1096" s="1109"/>
      <c r="BF1096" s="1109"/>
      <c r="BG1096" s="1109"/>
      <c r="BH1096" s="1109">
        <f t="shared" ref="BH1096:BL1096" si="1407">BH432*$BA129</f>
        <v>3.3789999999999994E-2</v>
      </c>
      <c r="BI1096" s="1109">
        <f t="shared" si="1407"/>
        <v>5.7916666666666665E-2</v>
      </c>
      <c r="BJ1096" s="1109">
        <f t="shared" si="1407"/>
        <v>5.7916666666666665E-2</v>
      </c>
      <c r="BK1096" s="1109">
        <f t="shared" si="1407"/>
        <v>2.4126666666666671E-2</v>
      </c>
      <c r="BL1096" s="1109">
        <f t="shared" si="1407"/>
        <v>0</v>
      </c>
    </row>
    <row r="1097" spans="2:64" hidden="1" outlineLevel="1">
      <c r="B1097" s="1094"/>
      <c r="C1097" s="1071" t="str">
        <f t="shared" ref="C1097:F1097" si="1408">C780</f>
        <v>T017 - OPTIPLEX5060 W20007744</v>
      </c>
      <c r="D1097" s="1071" t="str">
        <f t="shared" si="1408"/>
        <v>IT Equipment</v>
      </c>
      <c r="E1097" s="1071" t="str">
        <f t="shared" si="1408"/>
        <v>T0170252</v>
      </c>
      <c r="F1097" s="1125">
        <f t="shared" si="1408"/>
        <v>2020</v>
      </c>
      <c r="H1097" s="1071" t="s">
        <v>29</v>
      </c>
      <c r="BB1097" s="1108"/>
      <c r="BC1097" s="1109"/>
      <c r="BD1097" s="1109"/>
      <c r="BE1097" s="1109"/>
      <c r="BF1097" s="1109"/>
      <c r="BG1097" s="1109"/>
      <c r="BH1097" s="1109">
        <f t="shared" ref="BH1097:BL1097" si="1409">BH433*$BA130</f>
        <v>5.0009999999999985E-2</v>
      </c>
      <c r="BI1097" s="1109">
        <f t="shared" si="1409"/>
        <v>4.9999999999999996E-2</v>
      </c>
      <c r="BJ1097" s="1109">
        <f t="shared" si="1409"/>
        <v>4.9990000000000007E-2</v>
      </c>
      <c r="BK1097" s="1109">
        <f t="shared" si="1409"/>
        <v>0</v>
      </c>
      <c r="BL1097" s="1109">
        <f t="shared" si="1409"/>
        <v>0</v>
      </c>
    </row>
    <row r="1098" spans="2:64" hidden="1" outlineLevel="1">
      <c r="B1098" s="1094"/>
      <c r="C1098" s="1071" t="str">
        <f t="shared" ref="C1098:F1098" si="1410">C781</f>
        <v>T017 - TOSHIBA W20008071</v>
      </c>
      <c r="D1098" s="1071" t="str">
        <f t="shared" si="1410"/>
        <v>IT Equipment</v>
      </c>
      <c r="E1098" s="1071" t="str">
        <f t="shared" si="1410"/>
        <v>T0170264</v>
      </c>
      <c r="F1098" s="1125">
        <f t="shared" si="1410"/>
        <v>2020</v>
      </c>
      <c r="H1098" s="1071" t="s">
        <v>29</v>
      </c>
      <c r="BB1098" s="1108"/>
      <c r="BC1098" s="1109"/>
      <c r="BD1098" s="1109"/>
      <c r="BE1098" s="1109"/>
      <c r="BF1098" s="1109"/>
      <c r="BG1098" s="1109"/>
      <c r="BH1098" s="1109">
        <f t="shared" ref="BH1098:BL1098" si="1411">BH434*$BA131</f>
        <v>2.9452500000000006E-2</v>
      </c>
      <c r="BI1098" s="1109">
        <f t="shared" si="1411"/>
        <v>5.0483333333333338E-2</v>
      </c>
      <c r="BJ1098" s="1109">
        <f t="shared" si="1411"/>
        <v>5.0483333333333338E-2</v>
      </c>
      <c r="BK1098" s="1109">
        <f t="shared" si="1411"/>
        <v>2.1030833333333325E-2</v>
      </c>
      <c r="BL1098" s="1109">
        <f t="shared" si="1411"/>
        <v>0</v>
      </c>
    </row>
    <row r="1099" spans="2:64" hidden="1" outlineLevel="1">
      <c r="B1099" s="1094"/>
      <c r="C1099" s="1071" t="str">
        <f t="shared" ref="C1099:F1099" si="1412">C782</f>
        <v>T017 - TOSHIBA W20008072</v>
      </c>
      <c r="D1099" s="1071" t="str">
        <f t="shared" si="1412"/>
        <v>IT Equipment</v>
      </c>
      <c r="E1099" s="1071" t="str">
        <f t="shared" si="1412"/>
        <v>T0170265</v>
      </c>
      <c r="F1099" s="1125">
        <f t="shared" si="1412"/>
        <v>2020</v>
      </c>
      <c r="H1099" s="1071" t="s">
        <v>29</v>
      </c>
      <c r="BB1099" s="1108"/>
      <c r="BC1099" s="1109"/>
      <c r="BD1099" s="1109"/>
      <c r="BE1099" s="1109"/>
      <c r="BF1099" s="1109"/>
      <c r="BG1099" s="1109"/>
      <c r="BH1099" s="1109">
        <f t="shared" ref="BH1099:BL1099" si="1413">BH435*$BA132</f>
        <v>2.9452500000000006E-2</v>
      </c>
      <c r="BI1099" s="1109">
        <f t="shared" si="1413"/>
        <v>5.0483333333333338E-2</v>
      </c>
      <c r="BJ1099" s="1109">
        <f t="shared" si="1413"/>
        <v>5.0483333333333338E-2</v>
      </c>
      <c r="BK1099" s="1109">
        <f t="shared" si="1413"/>
        <v>2.1030833333333325E-2</v>
      </c>
      <c r="BL1099" s="1109">
        <f t="shared" si="1413"/>
        <v>0</v>
      </c>
    </row>
    <row r="1100" spans="2:64" hidden="1" outlineLevel="1">
      <c r="B1100" s="1094"/>
      <c r="C1100" s="1071" t="str">
        <f t="shared" ref="C1100:F1100" si="1414">C783</f>
        <v>T017 - TOSHIBA W20008079</v>
      </c>
      <c r="D1100" s="1071" t="str">
        <f t="shared" si="1414"/>
        <v>IT Equipment</v>
      </c>
      <c r="E1100" s="1071" t="str">
        <f t="shared" si="1414"/>
        <v>T0170271</v>
      </c>
      <c r="F1100" s="1125">
        <f t="shared" si="1414"/>
        <v>2020</v>
      </c>
      <c r="H1100" s="1071" t="s">
        <v>29</v>
      </c>
      <c r="BB1100" s="1108"/>
      <c r="BC1100" s="1109"/>
      <c r="BD1100" s="1109"/>
      <c r="BE1100" s="1109"/>
      <c r="BF1100" s="1109"/>
      <c r="BG1100" s="1109"/>
      <c r="BH1100" s="1109">
        <f t="shared" ref="BH1100:BL1100" si="1415">BH436*$BA133</f>
        <v>2.9452500000000006E-2</v>
      </c>
      <c r="BI1100" s="1109">
        <f t="shared" si="1415"/>
        <v>5.0483333333333338E-2</v>
      </c>
      <c r="BJ1100" s="1109">
        <f t="shared" si="1415"/>
        <v>5.0483333333333338E-2</v>
      </c>
      <c r="BK1100" s="1109">
        <f t="shared" si="1415"/>
        <v>2.1030833333333325E-2</v>
      </c>
      <c r="BL1100" s="1109">
        <f t="shared" si="1415"/>
        <v>0</v>
      </c>
    </row>
    <row r="1101" spans="2:64" hidden="1" outlineLevel="1">
      <c r="B1101" s="1094"/>
      <c r="C1101" s="1071" t="str">
        <f t="shared" ref="C1101:F1101" si="1416">C784</f>
        <v>T017 - HP250G7 CORE W20008101</v>
      </c>
      <c r="D1101" s="1071" t="str">
        <f t="shared" si="1416"/>
        <v>IT Equipment</v>
      </c>
      <c r="E1101" s="1071" t="str">
        <f t="shared" si="1416"/>
        <v>T0170286</v>
      </c>
      <c r="F1101" s="1125">
        <f t="shared" si="1416"/>
        <v>2020</v>
      </c>
      <c r="H1101" s="1071" t="s">
        <v>29</v>
      </c>
      <c r="BB1101" s="1108"/>
      <c r="BC1101" s="1109"/>
      <c r="BD1101" s="1109"/>
      <c r="BE1101" s="1109"/>
      <c r="BF1101" s="1109"/>
      <c r="BG1101" s="1109"/>
      <c r="BH1101" s="1109">
        <f t="shared" ref="BH1101:BL1101" si="1417">BH437*$BA134</f>
        <v>3.3789999999999994E-2</v>
      </c>
      <c r="BI1101" s="1109">
        <f t="shared" si="1417"/>
        <v>5.7916666666666665E-2</v>
      </c>
      <c r="BJ1101" s="1109">
        <f t="shared" si="1417"/>
        <v>5.7916666666666665E-2</v>
      </c>
      <c r="BK1101" s="1109">
        <f t="shared" si="1417"/>
        <v>2.4126666666666671E-2</v>
      </c>
      <c r="BL1101" s="1109">
        <f t="shared" si="1417"/>
        <v>0</v>
      </c>
    </row>
    <row r="1102" spans="2:64" hidden="1" outlineLevel="1">
      <c r="B1102" s="1094"/>
      <c r="C1102" s="1071" t="str">
        <f t="shared" ref="C1102:F1102" si="1418">C785</f>
        <v>T017 - HP250G7 CORE W20008103</v>
      </c>
      <c r="D1102" s="1071" t="str">
        <f t="shared" si="1418"/>
        <v>IT Equipment</v>
      </c>
      <c r="E1102" s="1071" t="str">
        <f t="shared" si="1418"/>
        <v>T0170288</v>
      </c>
      <c r="F1102" s="1125">
        <f t="shared" si="1418"/>
        <v>2020</v>
      </c>
      <c r="H1102" s="1071" t="s">
        <v>29</v>
      </c>
      <c r="BB1102" s="1108"/>
      <c r="BC1102" s="1109"/>
      <c r="BD1102" s="1109"/>
      <c r="BE1102" s="1109"/>
      <c r="BF1102" s="1109"/>
      <c r="BG1102" s="1109"/>
      <c r="BH1102" s="1109">
        <f t="shared" ref="BH1102:BL1102" si="1419">BH438*$BA135</f>
        <v>3.3789999999999994E-2</v>
      </c>
      <c r="BI1102" s="1109">
        <f t="shared" si="1419"/>
        <v>5.7916666666666665E-2</v>
      </c>
      <c r="BJ1102" s="1109">
        <f t="shared" si="1419"/>
        <v>5.7916666666666665E-2</v>
      </c>
      <c r="BK1102" s="1109">
        <f t="shared" si="1419"/>
        <v>2.4126666666666671E-2</v>
      </c>
      <c r="BL1102" s="1109">
        <f t="shared" si="1419"/>
        <v>0</v>
      </c>
    </row>
    <row r="1103" spans="2:64" hidden="1" outlineLevel="1">
      <c r="B1103" s="1094"/>
      <c r="C1103" s="1071" t="str">
        <f t="shared" ref="C1103:F1103" si="1420">C786</f>
        <v>T017 - OPTIPLEX5060 W20007789</v>
      </c>
      <c r="D1103" s="1071" t="str">
        <f t="shared" si="1420"/>
        <v>IT Equipment</v>
      </c>
      <c r="E1103" s="1071" t="str">
        <f t="shared" si="1420"/>
        <v>T0170289</v>
      </c>
      <c r="F1103" s="1125">
        <f t="shared" si="1420"/>
        <v>2020</v>
      </c>
      <c r="H1103" s="1071" t="s">
        <v>29</v>
      </c>
      <c r="BB1103" s="1108"/>
      <c r="BC1103" s="1109"/>
      <c r="BD1103" s="1109"/>
      <c r="BE1103" s="1109"/>
      <c r="BF1103" s="1109"/>
      <c r="BG1103" s="1109"/>
      <c r="BH1103" s="1109">
        <f t="shared" ref="BH1103:BL1103" si="1421">BH439*$BA136</f>
        <v>5.0009999999999985E-2</v>
      </c>
      <c r="BI1103" s="1109">
        <f t="shared" si="1421"/>
        <v>4.9999999999999996E-2</v>
      </c>
      <c r="BJ1103" s="1109">
        <f t="shared" si="1421"/>
        <v>4.9990000000000007E-2</v>
      </c>
      <c r="BK1103" s="1109">
        <f t="shared" si="1421"/>
        <v>0</v>
      </c>
      <c r="BL1103" s="1109">
        <f t="shared" si="1421"/>
        <v>0</v>
      </c>
    </row>
    <row r="1104" spans="2:64" hidden="1" outlineLevel="1">
      <c r="B1104" s="1094"/>
      <c r="C1104" s="1071" t="str">
        <f t="shared" ref="C1104:F1104" si="1422">C787</f>
        <v>T017 - QUEST W20007746</v>
      </c>
      <c r="D1104" s="1071" t="str">
        <f t="shared" si="1422"/>
        <v>IT Equipment</v>
      </c>
      <c r="E1104" s="1071" t="str">
        <f t="shared" si="1422"/>
        <v>T0170295</v>
      </c>
      <c r="F1104" s="1125">
        <f t="shared" si="1422"/>
        <v>2020</v>
      </c>
      <c r="H1104" s="1071" t="s">
        <v>29</v>
      </c>
      <c r="BB1104" s="1108"/>
      <c r="BC1104" s="1109"/>
      <c r="BD1104" s="1109"/>
      <c r="BE1104" s="1109"/>
      <c r="BF1104" s="1109"/>
      <c r="BG1104" s="1109"/>
      <c r="BH1104" s="1109">
        <f t="shared" ref="BH1104:BL1104" si="1423">BH440*$BA137</f>
        <v>1.8567500000000001E-2</v>
      </c>
      <c r="BI1104" s="1109">
        <f t="shared" si="1423"/>
        <v>0.22281333333333336</v>
      </c>
      <c r="BJ1104" s="1109">
        <f t="shared" si="1423"/>
        <v>0.22281333333333336</v>
      </c>
      <c r="BK1104" s="1109">
        <f t="shared" si="1423"/>
        <v>0.20424583333333335</v>
      </c>
      <c r="BL1104" s="1109">
        <f t="shared" si="1423"/>
        <v>0</v>
      </c>
    </row>
    <row r="1105" spans="2:64" hidden="1" outlineLevel="1">
      <c r="B1105" s="1094"/>
      <c r="C1105" s="1071" t="str">
        <f t="shared" ref="C1105:F1105" si="1424">C788</f>
        <v>T018 - HP COLOR LASERJET BCY</v>
      </c>
      <c r="D1105" s="1071" t="str">
        <f t="shared" si="1424"/>
        <v>IT Equipment</v>
      </c>
      <c r="E1105" s="1071" t="str">
        <f t="shared" si="1424"/>
        <v>T0180063</v>
      </c>
      <c r="F1105" s="1125">
        <f t="shared" si="1424"/>
        <v>2020</v>
      </c>
      <c r="H1105" s="1071" t="s">
        <v>29</v>
      </c>
      <c r="BB1105" s="1108"/>
      <c r="BC1105" s="1109"/>
      <c r="BD1105" s="1109"/>
      <c r="BE1105" s="1109"/>
      <c r="BF1105" s="1109"/>
      <c r="BG1105" s="1109"/>
      <c r="BH1105" s="1109">
        <f t="shared" ref="BH1105:BL1105" si="1425">BH441*$BA138</f>
        <v>9.6877500000000005E-2</v>
      </c>
      <c r="BI1105" s="1109">
        <f t="shared" si="1425"/>
        <v>0.38750000000000001</v>
      </c>
      <c r="BJ1105" s="1109">
        <f t="shared" si="1425"/>
        <v>0.38750000000000001</v>
      </c>
      <c r="BK1105" s="1109">
        <f t="shared" si="1425"/>
        <v>0.29062250000000006</v>
      </c>
      <c r="BL1105" s="1109">
        <f t="shared" si="1425"/>
        <v>0</v>
      </c>
    </row>
    <row r="1106" spans="2:64" hidden="1" outlineLevel="1">
      <c r="B1106" s="1094"/>
      <c r="C1106" s="1071" t="str">
        <f t="shared" ref="C1106:F1106" si="1426">C789</f>
        <v>T017 - TOSHIBA X20 W20008075</v>
      </c>
      <c r="D1106" s="1071" t="str">
        <f t="shared" si="1426"/>
        <v>IT Equipment</v>
      </c>
      <c r="E1106" s="1071" t="str">
        <f t="shared" si="1426"/>
        <v>T0170220</v>
      </c>
      <c r="F1106" s="1125">
        <f t="shared" si="1426"/>
        <v>2020</v>
      </c>
      <c r="H1106" s="1071" t="s">
        <v>29</v>
      </c>
      <c r="BB1106" s="1108"/>
      <c r="BC1106" s="1109"/>
      <c r="BD1106" s="1109"/>
      <c r="BE1106" s="1109"/>
      <c r="BF1106" s="1109"/>
      <c r="BG1106" s="1109"/>
      <c r="BH1106" s="1109">
        <f t="shared" ref="BH1106:BL1106" si="1427">BH442*$BA139</f>
        <v>8.7569999999999995E-2</v>
      </c>
      <c r="BI1106" s="1109">
        <f t="shared" si="1427"/>
        <v>0.14604486486486487</v>
      </c>
      <c r="BJ1106" s="1109">
        <f t="shared" si="1427"/>
        <v>0.14604486486486487</v>
      </c>
      <c r="BK1106" s="1109">
        <f t="shared" si="1427"/>
        <v>7.0645270270270275E-2</v>
      </c>
      <c r="BL1106" s="1109">
        <f t="shared" si="1427"/>
        <v>0</v>
      </c>
    </row>
    <row r="1107" spans="2:64" hidden="1" outlineLevel="1">
      <c r="B1107" s="1094"/>
      <c r="C1107" s="1071" t="str">
        <f t="shared" ref="C1107:F1107" si="1428">C790</f>
        <v>T017 - TOSHIBA X20 W20008017</v>
      </c>
      <c r="D1107" s="1071" t="str">
        <f t="shared" si="1428"/>
        <v>IT Equipment</v>
      </c>
      <c r="E1107" s="1071" t="str">
        <f t="shared" si="1428"/>
        <v>T0170239</v>
      </c>
      <c r="F1107" s="1125">
        <f t="shared" si="1428"/>
        <v>2020</v>
      </c>
      <c r="H1107" s="1071" t="s">
        <v>29</v>
      </c>
      <c r="BB1107" s="1108"/>
      <c r="BC1107" s="1109"/>
      <c r="BD1107" s="1109"/>
      <c r="BE1107" s="1109"/>
      <c r="BF1107" s="1109"/>
      <c r="BG1107" s="1109"/>
      <c r="BH1107" s="1109">
        <f t="shared" ref="BH1107:BL1107" si="1429">BH443*$BA140</f>
        <v>0.14645500000000003</v>
      </c>
      <c r="BI1107" s="1109">
        <f t="shared" si="1429"/>
        <v>0.25106833333333334</v>
      </c>
      <c r="BJ1107" s="1109">
        <f t="shared" si="1429"/>
        <v>0.25106833333333334</v>
      </c>
      <c r="BK1107" s="1109">
        <f t="shared" si="1429"/>
        <v>0.10461333333333336</v>
      </c>
      <c r="BL1107" s="1109">
        <f t="shared" si="1429"/>
        <v>0</v>
      </c>
    </row>
    <row r="1108" spans="2:64" hidden="1" outlineLevel="1">
      <c r="B1108" s="1094"/>
      <c r="C1108" s="1071" t="str">
        <f t="shared" ref="C1108:F1108" si="1430">C791</f>
        <v>T017 - TOSHIBA W20008075</v>
      </c>
      <c r="D1108" s="1071" t="str">
        <f t="shared" si="1430"/>
        <v>IT Equipment</v>
      </c>
      <c r="E1108" s="1071" t="str">
        <f t="shared" si="1430"/>
        <v>T0170268</v>
      </c>
      <c r="F1108" s="1125">
        <f t="shared" si="1430"/>
        <v>2020</v>
      </c>
      <c r="H1108" s="1071" t="s">
        <v>29</v>
      </c>
      <c r="BB1108" s="1108"/>
      <c r="BC1108" s="1109"/>
      <c r="BD1108" s="1109"/>
      <c r="BE1108" s="1109"/>
      <c r="BF1108" s="1109"/>
      <c r="BG1108" s="1109"/>
      <c r="BH1108" s="1109">
        <f t="shared" ref="BH1108:BL1108" si="1431">BH444*$BA141</f>
        <v>5.8905000000000013E-2</v>
      </c>
      <c r="BI1108" s="1109">
        <f t="shared" si="1431"/>
        <v>0.10096666666666668</v>
      </c>
      <c r="BJ1108" s="1109">
        <f t="shared" si="1431"/>
        <v>0.10096666666666668</v>
      </c>
      <c r="BK1108" s="1109">
        <f t="shared" si="1431"/>
        <v>4.206166666666665E-2</v>
      </c>
      <c r="BL1108" s="1109">
        <f t="shared" si="1431"/>
        <v>0</v>
      </c>
    </row>
    <row r="1109" spans="2:64" hidden="1" outlineLevel="1">
      <c r="B1109" s="1094"/>
      <c r="C1109" s="1071" t="str">
        <f t="shared" ref="C1109:F1109" si="1432">C792</f>
        <v>T022 - DAAMS OMP PACKAGE</v>
      </c>
      <c r="D1109" s="1071" t="str">
        <f t="shared" si="1432"/>
        <v>DAAMS OMP PACKAGE</v>
      </c>
      <c r="E1109" s="1071" t="str">
        <f t="shared" si="1432"/>
        <v>T0220001</v>
      </c>
      <c r="F1109" s="1125">
        <f t="shared" si="1432"/>
        <v>2020</v>
      </c>
      <c r="H1109" s="1071" t="s">
        <v>29</v>
      </c>
      <c r="BB1109" s="1108"/>
      <c r="BC1109" s="1109"/>
      <c r="BD1109" s="1109"/>
      <c r="BE1109" s="1109"/>
      <c r="BF1109" s="1109"/>
      <c r="BG1109" s="1109"/>
      <c r="BH1109" s="1109">
        <f t="shared" ref="BH1109:BL1109" si="1433">BH445*$BA142</f>
        <v>1.0000020000000001</v>
      </c>
      <c r="BI1109" s="1109">
        <f t="shared" si="1433"/>
        <v>3</v>
      </c>
      <c r="BJ1109" s="1109">
        <f t="shared" si="1433"/>
        <v>3</v>
      </c>
      <c r="BK1109" s="1109">
        <f t="shared" si="1433"/>
        <v>1.9999979999999997</v>
      </c>
      <c r="BL1109" s="1109">
        <f t="shared" si="1433"/>
        <v>0</v>
      </c>
    </row>
    <row r="1110" spans="2:64" hidden="1" outlineLevel="1">
      <c r="B1110" s="1094"/>
      <c r="C1110" s="1071" t="str">
        <f t="shared" ref="C1110:F1110" si="1434">C793</f>
        <v>S024 - BCY ITRoom Upgrades</v>
      </c>
      <c r="D1110" s="1071" t="str">
        <f t="shared" si="1434"/>
        <v>IT Room Upgrades</v>
      </c>
      <c r="E1110" s="1071" t="str">
        <f t="shared" si="1434"/>
        <v>S0240011</v>
      </c>
      <c r="F1110" s="1125">
        <f t="shared" si="1434"/>
        <v>2020</v>
      </c>
      <c r="H1110" s="1071" t="s">
        <v>29</v>
      </c>
      <c r="BB1110" s="1108"/>
      <c r="BC1110" s="1109"/>
      <c r="BD1110" s="1109"/>
      <c r="BE1110" s="1109"/>
      <c r="BF1110" s="1109"/>
      <c r="BG1110" s="1109"/>
      <c r="BH1110" s="1109">
        <f t="shared" ref="BH1110:BL1110" si="1435">BH446*$BA143</f>
        <v>0.2285325</v>
      </c>
      <c r="BI1110" s="1109">
        <f t="shared" si="1435"/>
        <v>2.7423899999999999</v>
      </c>
      <c r="BJ1110" s="1109">
        <f t="shared" si="1435"/>
        <v>2.7423899999999999</v>
      </c>
      <c r="BK1110" s="1109">
        <f t="shared" si="1435"/>
        <v>2.7423899999999999</v>
      </c>
      <c r="BL1110" s="1109">
        <f t="shared" si="1435"/>
        <v>2.7423899999999999</v>
      </c>
    </row>
    <row r="1111" spans="2:64" hidden="1" outlineLevel="1">
      <c r="B1111" s="1094"/>
      <c r="C1111" s="1071" t="str">
        <f t="shared" ref="C1111:F1111" si="1436">C794</f>
        <v>T019 - 2 Servers BCY</v>
      </c>
      <c r="D1111" s="1071" t="str">
        <f t="shared" si="1436"/>
        <v>IT Servers</v>
      </c>
      <c r="E1111" s="1071" t="str">
        <f t="shared" si="1436"/>
        <v>T0190003</v>
      </c>
      <c r="F1111" s="1125">
        <f t="shared" si="1436"/>
        <v>2020</v>
      </c>
      <c r="H1111" s="1071" t="s">
        <v>29</v>
      </c>
      <c r="BB1111" s="1108"/>
      <c r="BC1111" s="1109"/>
      <c r="BD1111" s="1109"/>
      <c r="BE1111" s="1109"/>
      <c r="BF1111" s="1109"/>
      <c r="BG1111" s="1109"/>
      <c r="BH1111" s="1109">
        <f t="shared" ref="BH1111:BL1111" si="1437">BH447*$BA144</f>
        <v>4.0715699999999995</v>
      </c>
      <c r="BI1111" s="1109">
        <f t="shared" si="1437"/>
        <v>4.0715649999999997</v>
      </c>
      <c r="BJ1111" s="1109">
        <f t="shared" si="1437"/>
        <v>4.0715599999999998</v>
      </c>
      <c r="BK1111" s="1109">
        <f t="shared" si="1437"/>
        <v>0</v>
      </c>
      <c r="BL1111" s="1109">
        <f t="shared" si="1437"/>
        <v>0</v>
      </c>
    </row>
    <row r="1112" spans="2:64" hidden="1" outlineLevel="1">
      <c r="B1112" s="1094"/>
      <c r="C1112" s="1071" t="str">
        <f t="shared" ref="C1112:F1112" si="1438">C795</f>
        <v>T019 - 1 Server SHN</v>
      </c>
      <c r="D1112" s="1071" t="str">
        <f t="shared" si="1438"/>
        <v>IT Servers</v>
      </c>
      <c r="E1112" s="1071" t="str">
        <f t="shared" si="1438"/>
        <v>T0190004</v>
      </c>
      <c r="F1112" s="1125">
        <f t="shared" si="1438"/>
        <v>2020</v>
      </c>
      <c r="H1112" s="1071" t="s">
        <v>29</v>
      </c>
      <c r="BB1112" s="1108"/>
      <c r="BC1112" s="1109"/>
      <c r="BD1112" s="1109"/>
      <c r="BE1112" s="1109"/>
      <c r="BF1112" s="1109"/>
      <c r="BG1112" s="1109"/>
      <c r="BH1112" s="1109">
        <f t="shared" ref="BH1112:BL1112" si="1439">BH448*$BA145</f>
        <v>0.12509000000000001</v>
      </c>
      <c r="BI1112" s="1109">
        <f t="shared" si="1439"/>
        <v>0.21443999999999999</v>
      </c>
      <c r="BJ1112" s="1109">
        <f t="shared" si="1439"/>
        <v>0.21443999999999999</v>
      </c>
      <c r="BK1112" s="1109">
        <f t="shared" si="1439"/>
        <v>8.9349999999999999E-2</v>
      </c>
      <c r="BL1112" s="1109">
        <f t="shared" si="1439"/>
        <v>0</v>
      </c>
    </row>
    <row r="1113" spans="2:64" hidden="1" outlineLevel="1">
      <c r="B1113" s="1094"/>
      <c r="C1113" s="1071" t="str">
        <f t="shared" ref="C1113:F1113" si="1440">C796</f>
        <v>P003 - RBS Radios Rosslare</v>
      </c>
      <c r="D1113" s="1071" t="str">
        <f t="shared" si="1440"/>
        <v>RBS Radios Rosslare</v>
      </c>
      <c r="E1113" s="1071" t="str">
        <f t="shared" si="1440"/>
        <v>P0030002</v>
      </c>
      <c r="F1113" s="1125">
        <f t="shared" si="1440"/>
        <v>2020</v>
      </c>
      <c r="H1113" s="1071" t="s">
        <v>29</v>
      </c>
      <c r="BB1113" s="1108"/>
      <c r="BC1113" s="1109"/>
      <c r="BD1113" s="1109"/>
      <c r="BE1113" s="1109"/>
      <c r="BF1113" s="1109"/>
      <c r="BG1113" s="1109"/>
      <c r="BH1113" s="1109">
        <f t="shared" ref="BH1113:BL1113" si="1441">BH449*$BA146</f>
        <v>0.34461999999999998</v>
      </c>
      <c r="BI1113" s="1109">
        <f t="shared" si="1441"/>
        <v>1.0338512499999999</v>
      </c>
      <c r="BJ1113" s="1109">
        <f t="shared" si="1441"/>
        <v>1.0338512499999999</v>
      </c>
      <c r="BK1113" s="1109">
        <f t="shared" si="1441"/>
        <v>1.0338512499999999</v>
      </c>
      <c r="BL1113" s="1109">
        <f t="shared" si="1441"/>
        <v>1.0338512499999999</v>
      </c>
    </row>
    <row r="1114" spans="2:64" hidden="1" outlineLevel="1">
      <c r="B1114" s="1094"/>
      <c r="C1114" s="1071" t="str">
        <f t="shared" ref="C1114:F1114" si="1442">C797</f>
        <v>Q027 HQ ICT Room Upgrades</v>
      </c>
      <c r="D1114" s="1071" t="str">
        <f t="shared" si="1442"/>
        <v>ICT Room Upgrades</v>
      </c>
      <c r="E1114" s="1071" t="str">
        <f t="shared" si="1442"/>
        <v>Q0270010</v>
      </c>
      <c r="F1114" s="1125">
        <f t="shared" si="1442"/>
        <v>2020</v>
      </c>
      <c r="H1114" s="1071" t="s">
        <v>29</v>
      </c>
      <c r="BB1114" s="1108"/>
      <c r="BC1114" s="1109"/>
      <c r="BD1114" s="1109"/>
      <c r="BE1114" s="1109"/>
      <c r="BF1114" s="1109"/>
      <c r="BG1114" s="1109"/>
      <c r="BH1114" s="1109">
        <f t="shared" ref="BH1114:BL1114" si="1443">BH450*$BA147</f>
        <v>0.76114800000000005</v>
      </c>
      <c r="BI1114" s="1109">
        <f t="shared" si="1443"/>
        <v>0.76114899999999996</v>
      </c>
      <c r="BJ1114" s="1109">
        <f t="shared" si="1443"/>
        <v>0.76114899999999996</v>
      </c>
      <c r="BK1114" s="1109">
        <f t="shared" si="1443"/>
        <v>1.0000000001089765E-6</v>
      </c>
      <c r="BL1114" s="1109">
        <f t="shared" si="1443"/>
        <v>0</v>
      </c>
    </row>
    <row r="1115" spans="2:64" hidden="1" outlineLevel="1">
      <c r="B1115" s="1094"/>
      <c r="C1115" s="1071" t="str">
        <f t="shared" ref="C1115:F1115" si="1444">C798</f>
        <v>Q027 BCY ICT Room Upgrades</v>
      </c>
      <c r="D1115" s="1071" t="str">
        <f t="shared" si="1444"/>
        <v>ICT Room Upgrades</v>
      </c>
      <c r="E1115" s="1071" t="str">
        <f t="shared" si="1444"/>
        <v>Q0270009</v>
      </c>
      <c r="F1115" s="1125">
        <f t="shared" si="1444"/>
        <v>2020</v>
      </c>
      <c r="H1115" s="1071" t="s">
        <v>29</v>
      </c>
      <c r="BB1115" s="1108"/>
      <c r="BC1115" s="1109"/>
      <c r="BD1115" s="1109"/>
      <c r="BE1115" s="1109"/>
      <c r="BF1115" s="1109"/>
      <c r="BG1115" s="1109"/>
      <c r="BH1115" s="1109">
        <f t="shared" ref="BH1115:BL1115" si="1445">BH451*$BA148</f>
        <v>1.2788849999999998</v>
      </c>
      <c r="BI1115" s="1109">
        <f t="shared" si="1445"/>
        <v>1.3951383333333334</v>
      </c>
      <c r="BJ1115" s="1109">
        <f t="shared" si="1445"/>
        <v>1.3951383333333334</v>
      </c>
      <c r="BK1115" s="1109">
        <f t="shared" si="1445"/>
        <v>0.11625333333333351</v>
      </c>
      <c r="BL1115" s="1109">
        <f t="shared" si="1445"/>
        <v>0</v>
      </c>
    </row>
    <row r="1116" spans="2:64" hidden="1" outlineLevel="1">
      <c r="B1116" s="1094"/>
      <c r="C1116" s="1071" t="str">
        <f t="shared" ref="C1116:F1116" si="1446">C799</f>
        <v>S004 - NRT2</v>
      </c>
      <c r="D1116" s="1071" t="str">
        <f t="shared" si="1446"/>
        <v>NRT2</v>
      </c>
      <c r="E1116" s="1071" t="str">
        <f t="shared" si="1446"/>
        <v>S0040015</v>
      </c>
      <c r="F1116" s="1125">
        <f t="shared" si="1446"/>
        <v>2020</v>
      </c>
      <c r="H1116" s="1071" t="s">
        <v>29</v>
      </c>
      <c r="BB1116" s="1108"/>
      <c r="BC1116" s="1109"/>
      <c r="BD1116" s="1109"/>
      <c r="BE1116" s="1109"/>
      <c r="BF1116" s="1109"/>
      <c r="BG1116" s="1109"/>
      <c r="BH1116" s="1109">
        <f t="shared" ref="BH1116:BL1116" si="1447">BH452*$BA149</f>
        <v>0.26064500000000002</v>
      </c>
      <c r="BI1116" s="1109">
        <f t="shared" si="1447"/>
        <v>0.28434999999999999</v>
      </c>
      <c r="BJ1116" s="1109">
        <f t="shared" si="1447"/>
        <v>0.28434999999999999</v>
      </c>
      <c r="BK1116" s="1109">
        <f t="shared" si="1447"/>
        <v>0.28434999999999999</v>
      </c>
      <c r="BL1116" s="1109">
        <f t="shared" si="1447"/>
        <v>0.28434999999999999</v>
      </c>
    </row>
    <row r="1117" spans="2:64" hidden="1" outlineLevel="1">
      <c r="B1117" s="1094"/>
      <c r="C1117" s="1071" t="str">
        <f t="shared" ref="C1117:F1117" si="1448">C800</f>
        <v>S004 - NRT2</v>
      </c>
      <c r="D1117" s="1071" t="str">
        <f t="shared" si="1448"/>
        <v>NRT2</v>
      </c>
      <c r="E1117" s="1071" t="str">
        <f t="shared" si="1448"/>
        <v>S0040014</v>
      </c>
      <c r="F1117" s="1125">
        <f t="shared" si="1448"/>
        <v>2020</v>
      </c>
      <c r="H1117" s="1071" t="s">
        <v>29</v>
      </c>
      <c r="BB1117" s="1108"/>
      <c r="BC1117" s="1109"/>
      <c r="BD1117" s="1109"/>
      <c r="BE1117" s="1109"/>
      <c r="BF1117" s="1109"/>
      <c r="BG1117" s="1109"/>
      <c r="BH1117" s="1109">
        <f t="shared" ref="BH1117:BL1117" si="1449">BH453*$BA150</f>
        <v>0.52131749999999999</v>
      </c>
      <c r="BI1117" s="1109">
        <f t="shared" si="1449"/>
        <v>0.56869999999999998</v>
      </c>
      <c r="BJ1117" s="1109">
        <f t="shared" si="1449"/>
        <v>0.56869999999999998</v>
      </c>
      <c r="BK1117" s="1109">
        <f t="shared" si="1449"/>
        <v>0.56869999999999998</v>
      </c>
      <c r="BL1117" s="1109">
        <f t="shared" si="1449"/>
        <v>0.56869999999999998</v>
      </c>
    </row>
    <row r="1118" spans="2:64" hidden="1" outlineLevel="1">
      <c r="B1118" s="1094"/>
      <c r="C1118" s="1071" t="str">
        <f t="shared" ref="C1118:F1118" si="1450">C801</f>
        <v>T013 - KF73875 FF AVIOR ELBRUS HBACK OPERATOR x2</v>
      </c>
      <c r="D1118" s="1071" t="str">
        <f t="shared" si="1450"/>
        <v>Office Equipment</v>
      </c>
      <c r="E1118" s="1071" t="str">
        <f t="shared" si="1450"/>
        <v>t0130005</v>
      </c>
      <c r="F1118" s="1125">
        <f t="shared" si="1450"/>
        <v>2020</v>
      </c>
      <c r="H1118" s="1071" t="s">
        <v>29</v>
      </c>
      <c r="BB1118" s="1108"/>
      <c r="BC1118" s="1109"/>
      <c r="BD1118" s="1109"/>
      <c r="BE1118" s="1109"/>
      <c r="BF1118" s="1109"/>
      <c r="BG1118" s="1109"/>
      <c r="BH1118" s="1109">
        <f t="shared" ref="BH1118:BL1118" si="1451">BH454*$BA151</f>
        <v>0</v>
      </c>
      <c r="BI1118" s="1109">
        <f t="shared" si="1451"/>
        <v>0</v>
      </c>
      <c r="BJ1118" s="1109">
        <f t="shared" si="1451"/>
        <v>0</v>
      </c>
      <c r="BK1118" s="1109">
        <f t="shared" si="1451"/>
        <v>0</v>
      </c>
      <c r="BL1118" s="1109">
        <f t="shared" si="1451"/>
        <v>0</v>
      </c>
    </row>
    <row r="1119" spans="2:64" hidden="1" outlineLevel="1">
      <c r="B1119" s="1094"/>
      <c r="C1119" s="1071" t="str">
        <f t="shared" ref="C1119:F1119" si="1452">C802</f>
        <v>T013 - OFFICE CHAIRS SHEFFIELD GREY x2</v>
      </c>
      <c r="D1119" s="1071" t="str">
        <f t="shared" si="1452"/>
        <v>Office Equipment</v>
      </c>
      <c r="E1119" s="1071" t="str">
        <f t="shared" si="1452"/>
        <v>T0130004</v>
      </c>
      <c r="F1119" s="1125">
        <f t="shared" si="1452"/>
        <v>2020</v>
      </c>
      <c r="H1119" s="1071" t="s">
        <v>29</v>
      </c>
      <c r="BB1119" s="1108"/>
      <c r="BC1119" s="1109"/>
      <c r="BD1119" s="1109"/>
      <c r="BE1119" s="1109"/>
      <c r="BF1119" s="1109"/>
      <c r="BG1119" s="1109"/>
      <c r="BH1119" s="1109">
        <f t="shared" ref="BH1119:BL1119" si="1453">BH455*$BA152</f>
        <v>0.1827</v>
      </c>
      <c r="BI1119" s="1109">
        <f t="shared" si="1453"/>
        <v>0.24359999999999998</v>
      </c>
      <c r="BJ1119" s="1109">
        <f t="shared" si="1453"/>
        <v>0.24359999999999998</v>
      </c>
      <c r="BK1119" s="1109">
        <f t="shared" si="1453"/>
        <v>0.24359999999999998</v>
      </c>
      <c r="BL1119" s="1109">
        <f t="shared" si="1453"/>
        <v>0.24359999999999998</v>
      </c>
    </row>
    <row r="1120" spans="2:64" hidden="1" outlineLevel="1">
      <c r="B1120" s="1094"/>
      <c r="C1120" s="1071" t="str">
        <f t="shared" ref="C1120:F1120" si="1454">C803</f>
        <v>New Dublin Tower - Building</v>
      </c>
      <c r="D1120" s="1071" t="str">
        <f t="shared" si="1454"/>
        <v>New Dublin Tower</v>
      </c>
      <c r="E1120" s="1071" t="str">
        <f t="shared" si="1454"/>
        <v>R034</v>
      </c>
      <c r="F1120" s="1125" t="str">
        <f t="shared" si="1454"/>
        <v>2021-2024</v>
      </c>
      <c r="H1120" s="1071" t="s">
        <v>29</v>
      </c>
      <c r="BB1120" s="1108"/>
      <c r="BC1120" s="1109"/>
      <c r="BD1120" s="1109"/>
      <c r="BE1120" s="1109"/>
      <c r="BF1120" s="1109"/>
      <c r="BG1120" s="1109"/>
      <c r="BH1120" s="1109">
        <f t="shared" ref="BH1120:BL1120" si="1455">BH456*$BA153</f>
        <v>0</v>
      </c>
      <c r="BI1120" s="1109">
        <f t="shared" si="1455"/>
        <v>454.90783124999996</v>
      </c>
      <c r="BJ1120" s="1109">
        <f t="shared" si="1455"/>
        <v>909.81566249999992</v>
      </c>
      <c r="BK1120" s="1109">
        <f t="shared" si="1455"/>
        <v>909.81566249999992</v>
      </c>
      <c r="BL1120" s="1109">
        <f t="shared" si="1455"/>
        <v>909.81566249999992</v>
      </c>
    </row>
    <row r="1121" spans="2:64" hidden="1" outlineLevel="1">
      <c r="B1121" s="1094"/>
      <c r="C1121" s="1071" t="str">
        <f t="shared" ref="C1121:F1121" si="1456">C804</f>
        <v>New Dublin Tower Equipment</v>
      </c>
      <c r="D1121" s="1071" t="str">
        <f t="shared" si="1456"/>
        <v>New Dublin Tower</v>
      </c>
      <c r="E1121" s="1071" t="str">
        <f t="shared" si="1456"/>
        <v>R035</v>
      </c>
      <c r="F1121" s="1125" t="str">
        <f t="shared" si="1456"/>
        <v>2021-2024</v>
      </c>
      <c r="H1121" s="1071" t="s">
        <v>29</v>
      </c>
      <c r="BB1121" s="1108"/>
      <c r="BC1121" s="1109"/>
      <c r="BD1121" s="1109"/>
      <c r="BE1121" s="1109"/>
      <c r="BF1121" s="1109"/>
      <c r="BG1121" s="1109"/>
      <c r="BH1121" s="1109">
        <f t="shared" ref="BH1121:BL1121" si="1457">BH457*$BA154</f>
        <v>0</v>
      </c>
      <c r="BI1121" s="1109">
        <f t="shared" si="1457"/>
        <v>0</v>
      </c>
      <c r="BJ1121" s="1109">
        <f t="shared" si="1457"/>
        <v>0</v>
      </c>
      <c r="BK1121" s="1109">
        <f t="shared" si="1457"/>
        <v>0</v>
      </c>
      <c r="BL1121" s="1109">
        <f t="shared" si="1457"/>
        <v>0</v>
      </c>
    </row>
    <row r="1122" spans="2:64" hidden="1" outlineLevel="1">
      <c r="B1122" s="1094"/>
      <c r="C1122" s="1071" t="str">
        <f t="shared" ref="C1122:F1122" si="1458">C805</f>
        <v>New Dublin Tower Equipment - Contingency</v>
      </c>
      <c r="D1122" s="1071" t="str">
        <f t="shared" si="1458"/>
        <v>New Dublin Tower</v>
      </c>
      <c r="E1122" s="1071" t="str">
        <f t="shared" si="1458"/>
        <v>R035A</v>
      </c>
      <c r="F1122" s="1125" t="str">
        <f t="shared" si="1458"/>
        <v>2021-2024</v>
      </c>
      <c r="H1122" s="1071" t="s">
        <v>29</v>
      </c>
      <c r="BB1122" s="1108"/>
      <c r="BC1122" s="1109"/>
      <c r="BD1122" s="1109"/>
      <c r="BE1122" s="1109"/>
      <c r="BF1122" s="1109"/>
      <c r="BG1122" s="1109"/>
      <c r="BH1122" s="1109">
        <f t="shared" ref="BH1122:BL1122" si="1459">BH458*$BA155</f>
        <v>0</v>
      </c>
      <c r="BI1122" s="1109">
        <f t="shared" si="1459"/>
        <v>1.0921875000000001</v>
      </c>
      <c r="BJ1122" s="1109">
        <f t="shared" si="1459"/>
        <v>2.1843750000000002</v>
      </c>
      <c r="BK1122" s="1109">
        <f t="shared" si="1459"/>
        <v>2.1843750000000002</v>
      </c>
      <c r="BL1122" s="1109">
        <f t="shared" si="1459"/>
        <v>2.1843750000000002</v>
      </c>
    </row>
    <row r="1123" spans="2:64" hidden="1" outlineLevel="1">
      <c r="B1123" s="1094"/>
      <c r="C1123" s="1071" t="str">
        <f t="shared" ref="C1123:F1123" si="1460">C806</f>
        <v>New Dublin Tower Equipment - Airspace redesign etc.</v>
      </c>
      <c r="D1123" s="1071" t="str">
        <f t="shared" si="1460"/>
        <v>New Dublin Tower</v>
      </c>
      <c r="E1123" s="1071" t="str">
        <f t="shared" si="1460"/>
        <v>R035A</v>
      </c>
      <c r="F1123" s="1125" t="str">
        <f t="shared" si="1460"/>
        <v>2021-2024</v>
      </c>
      <c r="H1123" s="1071" t="s">
        <v>29</v>
      </c>
      <c r="BB1123" s="1108"/>
      <c r="BC1123" s="1109"/>
      <c r="BD1123" s="1109"/>
      <c r="BE1123" s="1109"/>
      <c r="BF1123" s="1109"/>
      <c r="BG1123" s="1109"/>
      <c r="BH1123" s="1109">
        <f t="shared" ref="BH1123:BL1123" si="1461">BH459*$BA156</f>
        <v>0</v>
      </c>
      <c r="BI1123" s="1109">
        <f t="shared" si="1461"/>
        <v>0</v>
      </c>
      <c r="BJ1123" s="1109">
        <f t="shared" si="1461"/>
        <v>109.984453125</v>
      </c>
      <c r="BK1123" s="1109">
        <f t="shared" si="1461"/>
        <v>219.96890625</v>
      </c>
      <c r="BL1123" s="1109">
        <f t="shared" si="1461"/>
        <v>219.96890625</v>
      </c>
    </row>
    <row r="1124" spans="2:64" hidden="1" outlineLevel="1">
      <c r="B1124" s="1094"/>
      <c r="C1124" s="1071" t="str">
        <f t="shared" ref="C1124:F1124" si="1462">C807</f>
        <v>New Dublin Tower Equipment - Communications Installations</v>
      </c>
      <c r="D1124" s="1071" t="str">
        <f t="shared" si="1462"/>
        <v>New Dublin Tower</v>
      </c>
      <c r="E1124" s="1071" t="str">
        <f t="shared" si="1462"/>
        <v>R035A</v>
      </c>
      <c r="F1124" s="1125" t="str">
        <f t="shared" si="1462"/>
        <v>2021-2024</v>
      </c>
      <c r="H1124" s="1071" t="s">
        <v>29</v>
      </c>
      <c r="BB1124" s="1108"/>
      <c r="BC1124" s="1109"/>
      <c r="BD1124" s="1109"/>
      <c r="BE1124" s="1109"/>
      <c r="BF1124" s="1109"/>
      <c r="BG1124" s="1109"/>
      <c r="BH1124" s="1109">
        <f t="shared" ref="BH1124:BL1124" si="1463">BH460*$BA157</f>
        <v>0</v>
      </c>
      <c r="BI1124" s="1109">
        <f t="shared" si="1463"/>
        <v>146.02814406250002</v>
      </c>
      <c r="BJ1124" s="1109">
        <f t="shared" si="1463"/>
        <v>292.05628812500004</v>
      </c>
      <c r="BK1124" s="1109">
        <f t="shared" si="1463"/>
        <v>292.05628812500004</v>
      </c>
      <c r="BL1124" s="1109">
        <f t="shared" si="1463"/>
        <v>292.05628812500004</v>
      </c>
    </row>
    <row r="1125" spans="2:64" hidden="1" outlineLevel="1">
      <c r="B1125" s="1094"/>
      <c r="C1125" s="1071" t="str">
        <f t="shared" ref="C1125:F1125" si="1464">C808</f>
        <v>New Dublin Tower Equipment - IATS</v>
      </c>
      <c r="D1125" s="1071" t="str">
        <f t="shared" si="1464"/>
        <v>New Dublin Tower</v>
      </c>
      <c r="E1125" s="1071" t="str">
        <f t="shared" si="1464"/>
        <v>R035A</v>
      </c>
      <c r="F1125" s="1125" t="str">
        <f t="shared" si="1464"/>
        <v>2021-2024</v>
      </c>
      <c r="H1125" s="1071" t="s">
        <v>29</v>
      </c>
      <c r="BB1125" s="1108"/>
      <c r="BC1125" s="1109"/>
      <c r="BD1125" s="1109"/>
      <c r="BE1125" s="1109"/>
      <c r="BF1125" s="1109"/>
      <c r="BG1125" s="1109"/>
      <c r="BH1125" s="1109">
        <f t="shared" ref="BH1125:BL1125" si="1465">BH461*$BA158</f>
        <v>0</v>
      </c>
      <c r="BI1125" s="1109">
        <f t="shared" si="1465"/>
        <v>164.84667718750001</v>
      </c>
      <c r="BJ1125" s="1109">
        <f t="shared" si="1465"/>
        <v>369.06518531250003</v>
      </c>
      <c r="BK1125" s="1109">
        <f t="shared" si="1465"/>
        <v>408.43701625</v>
      </c>
      <c r="BL1125" s="1109">
        <f t="shared" si="1465"/>
        <v>408.43701625</v>
      </c>
    </row>
    <row r="1126" spans="2:64" hidden="1" outlineLevel="1">
      <c r="B1126" s="1094"/>
      <c r="C1126" s="1071" t="str">
        <f t="shared" ref="C1126:F1126" si="1466">C809</f>
        <v>New Dublin Tower Equipment - Safety Case</v>
      </c>
      <c r="D1126" s="1071" t="str">
        <f t="shared" si="1466"/>
        <v>New Dublin Tower</v>
      </c>
      <c r="E1126" s="1071" t="str">
        <f t="shared" si="1466"/>
        <v>R035A</v>
      </c>
      <c r="F1126" s="1125" t="str">
        <f t="shared" si="1466"/>
        <v>2021-2024</v>
      </c>
      <c r="H1126" s="1071" t="s">
        <v>29</v>
      </c>
      <c r="BB1126" s="1108"/>
      <c r="BC1126" s="1109"/>
      <c r="BD1126" s="1109"/>
      <c r="BE1126" s="1109"/>
      <c r="BF1126" s="1109"/>
      <c r="BG1126" s="1109"/>
      <c r="BH1126" s="1109">
        <f t="shared" ref="BH1126:BL1126" si="1467">BH462*$BA159</f>
        <v>0</v>
      </c>
      <c r="BI1126" s="1109">
        <f t="shared" si="1467"/>
        <v>34.932499999999997</v>
      </c>
      <c r="BJ1126" s="1109">
        <f t="shared" si="1467"/>
        <v>69.864999999999995</v>
      </c>
      <c r="BK1126" s="1109">
        <f t="shared" si="1467"/>
        <v>69.864999999999995</v>
      </c>
      <c r="BL1126" s="1109">
        <f t="shared" si="1467"/>
        <v>69.864999999999995</v>
      </c>
    </row>
    <row r="1127" spans="2:64" hidden="1" outlineLevel="1">
      <c r="B1127" s="1094"/>
      <c r="C1127" s="1071" t="str">
        <f t="shared" ref="C1127:F1127" si="1468">C810</f>
        <v>New Dublin Tower Equipment - ILS/IRVR Systems</v>
      </c>
      <c r="D1127" s="1071" t="str">
        <f t="shared" si="1468"/>
        <v>New Dublin Tower</v>
      </c>
      <c r="E1127" s="1071" t="str">
        <f t="shared" si="1468"/>
        <v>R035A</v>
      </c>
      <c r="F1127" s="1125" t="str">
        <f t="shared" si="1468"/>
        <v>2021-2024</v>
      </c>
      <c r="H1127" s="1071" t="s">
        <v>29</v>
      </c>
      <c r="BB1127" s="1108"/>
      <c r="BC1127" s="1109"/>
      <c r="BD1127" s="1109"/>
      <c r="BE1127" s="1109"/>
      <c r="BF1127" s="1109"/>
      <c r="BG1127" s="1109"/>
      <c r="BH1127" s="1109">
        <f t="shared" ref="BH1127:BL1127" si="1469">BH463*$BA160</f>
        <v>0</v>
      </c>
      <c r="BI1127" s="1109">
        <f t="shared" si="1469"/>
        <v>0</v>
      </c>
      <c r="BJ1127" s="1109">
        <f t="shared" si="1469"/>
        <v>94.587167500000007</v>
      </c>
      <c r="BK1127" s="1109">
        <f t="shared" si="1469"/>
        <v>189.17433500000001</v>
      </c>
      <c r="BL1127" s="1109">
        <f t="shared" si="1469"/>
        <v>189.17433500000001</v>
      </c>
    </row>
    <row r="1128" spans="2:64" hidden="1" outlineLevel="1">
      <c r="B1128" s="1094"/>
      <c r="C1128" s="1071" t="str">
        <f t="shared" ref="C1128:F1128" si="1470">C811</f>
        <v>New Dublin Tower Equipment - Replacement ASMGCS &amp; GMR Tower</v>
      </c>
      <c r="D1128" s="1071" t="str">
        <f t="shared" si="1470"/>
        <v>New Dublin Tower</v>
      </c>
      <c r="E1128" s="1071" t="str">
        <f t="shared" si="1470"/>
        <v>R035A</v>
      </c>
      <c r="F1128" s="1125" t="str">
        <f t="shared" si="1470"/>
        <v>2021-2024</v>
      </c>
      <c r="H1128" s="1071" t="s">
        <v>29</v>
      </c>
      <c r="BB1128" s="1108"/>
      <c r="BC1128" s="1109"/>
      <c r="BD1128" s="1109"/>
      <c r="BE1128" s="1109"/>
      <c r="BF1128" s="1109"/>
      <c r="BG1128" s="1109"/>
      <c r="BH1128" s="1109">
        <f t="shared" ref="BH1128:BL1128" si="1471">BH464*$BA161</f>
        <v>0</v>
      </c>
      <c r="BI1128" s="1109">
        <f t="shared" si="1471"/>
        <v>0</v>
      </c>
      <c r="BJ1128" s="1109">
        <f t="shared" si="1471"/>
        <v>0</v>
      </c>
      <c r="BK1128" s="1109">
        <f t="shared" si="1471"/>
        <v>114.58875</v>
      </c>
      <c r="BL1128" s="1109">
        <f t="shared" si="1471"/>
        <v>114.58875</v>
      </c>
    </row>
    <row r="1129" spans="2:64" hidden="1" outlineLevel="1">
      <c r="B1129" s="1094"/>
      <c r="C1129" s="1071" t="str">
        <f t="shared" ref="C1129:F1129" si="1472">C812</f>
        <v>New Dublin Tower Equipment - Infrastructure Changes (50% runway)</v>
      </c>
      <c r="D1129" s="1071" t="str">
        <f t="shared" si="1472"/>
        <v>New Dublin Tower</v>
      </c>
      <c r="E1129" s="1071" t="str">
        <f t="shared" si="1472"/>
        <v>R035A</v>
      </c>
      <c r="F1129" s="1125" t="str">
        <f t="shared" si="1472"/>
        <v>2021-2024</v>
      </c>
      <c r="H1129" s="1071" t="s">
        <v>29</v>
      </c>
      <c r="BB1129" s="1108"/>
      <c r="BC1129" s="1109"/>
      <c r="BD1129" s="1109"/>
      <c r="BE1129" s="1109"/>
      <c r="BF1129" s="1109"/>
      <c r="BG1129" s="1109"/>
      <c r="BH1129" s="1109">
        <f t="shared" ref="BH1129:BL1129" si="1473">BH465*$BA162</f>
        <v>0</v>
      </c>
      <c r="BI1129" s="1109">
        <f t="shared" si="1473"/>
        <v>75.342425700401989</v>
      </c>
      <c r="BJ1129" s="1109">
        <f t="shared" si="1473"/>
        <v>150.68485140080398</v>
      </c>
      <c r="BK1129" s="1109">
        <f t="shared" si="1473"/>
        <v>150.68485140080398</v>
      </c>
      <c r="BL1129" s="1109">
        <f t="shared" si="1473"/>
        <v>150.68485140080398</v>
      </c>
    </row>
    <row r="1130" spans="2:64" hidden="1" outlineLevel="1">
      <c r="B1130" s="1094"/>
      <c r="C1130" s="1071" t="str">
        <f t="shared" ref="C1130:F1130" si="1474">C813</f>
        <v>New Dublin Tower Equipment - IAA Networks</v>
      </c>
      <c r="D1130" s="1071" t="str">
        <f t="shared" si="1474"/>
        <v>New Dublin Tower</v>
      </c>
      <c r="E1130" s="1071" t="str">
        <f t="shared" si="1474"/>
        <v>R035A</v>
      </c>
      <c r="F1130" s="1125" t="str">
        <f t="shared" si="1474"/>
        <v>2021-2024</v>
      </c>
      <c r="H1130" s="1071" t="s">
        <v>29</v>
      </c>
      <c r="BB1130" s="1108"/>
      <c r="BC1130" s="1109"/>
      <c r="BD1130" s="1109"/>
      <c r="BE1130" s="1109"/>
      <c r="BF1130" s="1109"/>
      <c r="BG1130" s="1109"/>
      <c r="BH1130" s="1109">
        <f t="shared" ref="BH1130:BL1130" si="1475">BH466*$BA163</f>
        <v>0</v>
      </c>
      <c r="BI1130" s="1109">
        <f t="shared" si="1475"/>
        <v>36.552869374999993</v>
      </c>
      <c r="BJ1130" s="1109">
        <f t="shared" si="1475"/>
        <v>73.105738749999986</v>
      </c>
      <c r="BK1130" s="1109">
        <f t="shared" si="1475"/>
        <v>73.105738749999986</v>
      </c>
      <c r="BL1130" s="1109">
        <f t="shared" si="1475"/>
        <v>73.105738749999986</v>
      </c>
    </row>
    <row r="1131" spans="2:64" hidden="1" outlineLevel="1">
      <c r="B1131" s="1094"/>
      <c r="C1131" s="1071" t="str">
        <f t="shared" ref="C1131:F1131" si="1476">C814</f>
        <v>New Dublin Tower Equipment - ICT</v>
      </c>
      <c r="D1131" s="1071" t="str">
        <f t="shared" si="1476"/>
        <v>New Dublin Tower</v>
      </c>
      <c r="E1131" s="1071" t="str">
        <f t="shared" si="1476"/>
        <v>R035A</v>
      </c>
      <c r="F1131" s="1125" t="str">
        <f t="shared" si="1476"/>
        <v>2021-2024</v>
      </c>
      <c r="H1131" s="1071" t="s">
        <v>29</v>
      </c>
      <c r="BB1131" s="1108"/>
      <c r="BC1131" s="1109"/>
      <c r="BD1131" s="1109"/>
      <c r="BE1131" s="1109"/>
      <c r="BF1131" s="1109"/>
      <c r="BG1131" s="1109"/>
      <c r="BH1131" s="1109">
        <f t="shared" ref="BH1131:BL1131" si="1477">BH467*$BA164</f>
        <v>0</v>
      </c>
      <c r="BI1131" s="1109">
        <f t="shared" si="1477"/>
        <v>0</v>
      </c>
      <c r="BJ1131" s="1109">
        <f t="shared" si="1477"/>
        <v>0</v>
      </c>
      <c r="BK1131" s="1109">
        <f t="shared" si="1477"/>
        <v>0</v>
      </c>
      <c r="BL1131" s="1109">
        <f t="shared" si="1477"/>
        <v>0</v>
      </c>
    </row>
    <row r="1132" spans="2:64" hidden="1" outlineLevel="1">
      <c r="B1132" s="1094"/>
      <c r="C1132" s="1071" t="str">
        <f t="shared" ref="C1132:F1132" si="1478">C815</f>
        <v>New Dublin Tower Equipment - Changes to Centralised Monitoring</v>
      </c>
      <c r="D1132" s="1071" t="str">
        <f t="shared" si="1478"/>
        <v>New Dublin Tower</v>
      </c>
      <c r="E1132" s="1071" t="str">
        <f t="shared" si="1478"/>
        <v>R035A</v>
      </c>
      <c r="F1132" s="1125" t="str">
        <f t="shared" si="1478"/>
        <v>2021-2024</v>
      </c>
      <c r="H1132" s="1071" t="s">
        <v>29</v>
      </c>
      <c r="BB1132" s="1108"/>
      <c r="BC1132" s="1109"/>
      <c r="BD1132" s="1109"/>
      <c r="BE1132" s="1109"/>
      <c r="BF1132" s="1109"/>
      <c r="BG1132" s="1109"/>
      <c r="BH1132" s="1109">
        <f t="shared" ref="BH1132:BL1132" si="1479">BH468*$BA165</f>
        <v>0</v>
      </c>
      <c r="BI1132" s="1109">
        <f t="shared" si="1479"/>
        <v>15.568831874999999</v>
      </c>
      <c r="BJ1132" s="1109">
        <f t="shared" si="1479"/>
        <v>32.075163749999994</v>
      </c>
      <c r="BK1132" s="1109">
        <f t="shared" si="1479"/>
        <v>33.012663749999994</v>
      </c>
      <c r="BL1132" s="1109">
        <f t="shared" si="1479"/>
        <v>33.012663749999994</v>
      </c>
    </row>
    <row r="1133" spans="2:64" hidden="1" outlineLevel="1">
      <c r="B1133" s="1094"/>
      <c r="C1133" s="1071" t="str">
        <f t="shared" ref="C1133:F1133" si="1480">C816</f>
        <v>New Dublin Tower Equipment - M&amp;E/UPS/Cabling/Power</v>
      </c>
      <c r="D1133" s="1071" t="str">
        <f t="shared" si="1480"/>
        <v>New Dublin Tower</v>
      </c>
      <c r="E1133" s="1071" t="str">
        <f t="shared" si="1480"/>
        <v>R035A</v>
      </c>
      <c r="F1133" s="1125" t="str">
        <f t="shared" si="1480"/>
        <v>2021-2024</v>
      </c>
      <c r="H1133" s="1071" t="s">
        <v>29</v>
      </c>
      <c r="BB1133" s="1108"/>
      <c r="BC1133" s="1109"/>
      <c r="BD1133" s="1109"/>
      <c r="BE1133" s="1109"/>
      <c r="BF1133" s="1109"/>
      <c r="BG1133" s="1109"/>
      <c r="BH1133" s="1109">
        <f t="shared" ref="BH1133:BL1133" si="1481">BH469*$BA166</f>
        <v>0</v>
      </c>
      <c r="BI1133" s="1109">
        <f t="shared" si="1481"/>
        <v>17.629356875000003</v>
      </c>
      <c r="BJ1133" s="1109">
        <f t="shared" si="1481"/>
        <v>35.258713750000005</v>
      </c>
      <c r="BK1133" s="1109">
        <f t="shared" si="1481"/>
        <v>35.258713750000005</v>
      </c>
      <c r="BL1133" s="1109">
        <f t="shared" si="1481"/>
        <v>35.258713750000005</v>
      </c>
    </row>
    <row r="1134" spans="2:64" hidden="1" outlineLevel="1">
      <c r="B1134" s="1094"/>
      <c r="C1134" s="1071" t="str">
        <f t="shared" ref="C1134:F1134" si="1482">C817</f>
        <v>COOPANS Build 3 Dublin</v>
      </c>
      <c r="D1134" s="1071" t="str">
        <f t="shared" si="1482"/>
        <v>COOPANS</v>
      </c>
      <c r="E1134" s="1071" t="str">
        <f t="shared" si="1482"/>
        <v>L001A</v>
      </c>
      <c r="F1134" s="1125" t="str">
        <f t="shared" si="1482"/>
        <v>2021-2024</v>
      </c>
      <c r="H1134" s="1071" t="s">
        <v>29</v>
      </c>
      <c r="BB1134" s="1108"/>
      <c r="BC1134" s="1109"/>
      <c r="BD1134" s="1109"/>
      <c r="BE1134" s="1109"/>
      <c r="BF1134" s="1109"/>
      <c r="BG1134" s="1109"/>
      <c r="BH1134" s="1109">
        <f t="shared" ref="BH1134:BL1134" si="1483">BH470*$BA167</f>
        <v>0</v>
      </c>
      <c r="BI1134" s="1109">
        <f t="shared" si="1483"/>
        <v>4.8952930739109126</v>
      </c>
      <c r="BJ1134" s="1109">
        <f t="shared" si="1483"/>
        <v>9.7905861478218323</v>
      </c>
      <c r="BK1134" s="1109">
        <f t="shared" si="1483"/>
        <v>9.7905861478218323</v>
      </c>
      <c r="BL1134" s="1109">
        <f t="shared" si="1483"/>
        <v>9.7905861478218323</v>
      </c>
    </row>
    <row r="1135" spans="2:64" hidden="1" outlineLevel="1">
      <c r="B1135" s="1094"/>
      <c r="C1135" s="1071" t="str">
        <f t="shared" ref="C1135:F1135" si="1484">C818</f>
        <v>COOPANS Build 3 Shannon</v>
      </c>
      <c r="D1135" s="1071" t="str">
        <f t="shared" si="1484"/>
        <v>COOPANS</v>
      </c>
      <c r="E1135" s="1071" t="str">
        <f t="shared" si="1484"/>
        <v>L001A</v>
      </c>
      <c r="F1135" s="1125" t="str">
        <f t="shared" si="1484"/>
        <v>2021-2024</v>
      </c>
      <c r="H1135" s="1071" t="s">
        <v>29</v>
      </c>
      <c r="BB1135" s="1108"/>
      <c r="BC1135" s="1109"/>
      <c r="BD1135" s="1109"/>
      <c r="BE1135" s="1109"/>
      <c r="BF1135" s="1109"/>
      <c r="BG1135" s="1109"/>
      <c r="BH1135" s="1109">
        <f t="shared" ref="BH1135:BL1135" si="1485">BH471*$BA168</f>
        <v>0</v>
      </c>
      <c r="BI1135" s="1109">
        <f t="shared" si="1485"/>
        <v>9.0912585658345488</v>
      </c>
      <c r="BJ1135" s="1109">
        <f t="shared" si="1485"/>
        <v>18.182517131669094</v>
      </c>
      <c r="BK1135" s="1109">
        <f t="shared" si="1485"/>
        <v>18.182517131669094</v>
      </c>
      <c r="BL1135" s="1109">
        <f t="shared" si="1485"/>
        <v>18.182517131669094</v>
      </c>
    </row>
    <row r="1136" spans="2:64" hidden="1" outlineLevel="1">
      <c r="B1136" s="1094"/>
      <c r="C1136" s="1071" t="str">
        <f t="shared" ref="C1136:F1136" si="1486">C819</f>
        <v>COOPANS Build 3.6 Onwards Dublin</v>
      </c>
      <c r="D1136" s="1071" t="str">
        <f t="shared" si="1486"/>
        <v>COOPANS</v>
      </c>
      <c r="E1136" s="1071" t="str">
        <f t="shared" si="1486"/>
        <v>R001</v>
      </c>
      <c r="F1136" s="1125" t="str">
        <f t="shared" si="1486"/>
        <v>2021-2024</v>
      </c>
      <c r="H1136" s="1071" t="s">
        <v>29</v>
      </c>
      <c r="BB1136" s="1108"/>
      <c r="BC1136" s="1109"/>
      <c r="BD1136" s="1109"/>
      <c r="BE1136" s="1109"/>
      <c r="BF1136" s="1109"/>
      <c r="BG1136" s="1109"/>
      <c r="BH1136" s="1109">
        <f t="shared" ref="BH1136:BL1136" si="1487">BH472*$BA169</f>
        <v>0</v>
      </c>
      <c r="BI1136" s="1109">
        <f t="shared" si="1487"/>
        <v>11.520275857042343</v>
      </c>
      <c r="BJ1136" s="1109">
        <f t="shared" si="1487"/>
        <v>40.939085970386692</v>
      </c>
      <c r="BK1136" s="1109">
        <f t="shared" si="1487"/>
        <v>54.044277477973573</v>
      </c>
      <c r="BL1136" s="1109">
        <f t="shared" si="1487"/>
        <v>54.044277477973573</v>
      </c>
    </row>
    <row r="1137" spans="2:64" hidden="1" outlineLevel="1">
      <c r="B1137" s="1094"/>
      <c r="C1137" s="1071" t="str">
        <f t="shared" ref="C1137:F1137" si="1488">C820</f>
        <v>COOPANS Build 3.6 Onwards Shannon</v>
      </c>
      <c r="D1137" s="1071" t="str">
        <f t="shared" si="1488"/>
        <v>COOPANS</v>
      </c>
      <c r="E1137" s="1071" t="str">
        <f t="shared" si="1488"/>
        <v>R001A</v>
      </c>
      <c r="F1137" s="1125" t="str">
        <f t="shared" si="1488"/>
        <v>2021-2024</v>
      </c>
      <c r="H1137" s="1071" t="s">
        <v>29</v>
      </c>
      <c r="BB1137" s="1108"/>
      <c r="BC1137" s="1109"/>
      <c r="BD1137" s="1109"/>
      <c r="BE1137" s="1109"/>
      <c r="BF1137" s="1109"/>
      <c r="BG1137" s="1109"/>
      <c r="BH1137" s="1109">
        <f t="shared" ref="BH1137:BL1137" si="1489">BH473*$BA170</f>
        <v>0</v>
      </c>
      <c r="BI1137" s="1109">
        <f t="shared" si="1489"/>
        <v>21.39479802022149</v>
      </c>
      <c r="BJ1137" s="1109">
        <f t="shared" si="1489"/>
        <v>76.029731087860981</v>
      </c>
      <c r="BK1137" s="1109">
        <f t="shared" si="1489"/>
        <v>100.36794388766521</v>
      </c>
      <c r="BL1137" s="1109">
        <f t="shared" si="1489"/>
        <v>100.36794388766521</v>
      </c>
    </row>
    <row r="1138" spans="2:64" hidden="1" outlineLevel="1">
      <c r="B1138" s="1094"/>
      <c r="C1138" s="1071" t="str">
        <f t="shared" ref="C1138:F1138" si="1490">C821</f>
        <v>COOPANS 2019 Roadmap Builds</v>
      </c>
      <c r="D1138" s="1071" t="str">
        <f t="shared" si="1490"/>
        <v>COOPANS</v>
      </c>
      <c r="E1138" s="1071" t="str">
        <f t="shared" si="1490"/>
        <v>U002</v>
      </c>
      <c r="F1138" s="1125" t="str">
        <f t="shared" si="1490"/>
        <v>2021-2024</v>
      </c>
      <c r="H1138" s="1071" t="s">
        <v>29</v>
      </c>
      <c r="BB1138" s="1108"/>
      <c r="BC1138" s="1109"/>
      <c r="BD1138" s="1109"/>
      <c r="BE1138" s="1109"/>
      <c r="BF1138" s="1109"/>
      <c r="BG1138" s="1109"/>
      <c r="BH1138" s="1109">
        <f t="shared" ref="BH1138:BL1138" si="1491">BH474*$BA171</f>
        <v>0</v>
      </c>
      <c r="BI1138" s="1109">
        <f t="shared" si="1491"/>
        <v>0</v>
      </c>
      <c r="BJ1138" s="1109">
        <f t="shared" si="1491"/>
        <v>0</v>
      </c>
      <c r="BK1138" s="1109">
        <f t="shared" si="1491"/>
        <v>0</v>
      </c>
      <c r="BL1138" s="1109">
        <f t="shared" si="1491"/>
        <v>0</v>
      </c>
    </row>
    <row r="1139" spans="2:64" hidden="1" outlineLevel="1">
      <c r="B1139" s="1094"/>
      <c r="C1139" s="1071" t="str">
        <f t="shared" ref="C1139:F1139" si="1492">C822</f>
        <v>COOPANS 2019 Roadmap Builds Dub</v>
      </c>
      <c r="D1139" s="1071" t="str">
        <f t="shared" si="1492"/>
        <v>COOPANS</v>
      </c>
      <c r="E1139" s="1071" t="str">
        <f t="shared" si="1492"/>
        <v>U002A</v>
      </c>
      <c r="F1139" s="1125" t="str">
        <f t="shared" si="1492"/>
        <v>2021-2024</v>
      </c>
      <c r="H1139" s="1071" t="s">
        <v>29</v>
      </c>
      <c r="BB1139" s="1108"/>
      <c r="BC1139" s="1109"/>
      <c r="BD1139" s="1109"/>
      <c r="BE1139" s="1109"/>
      <c r="BF1139" s="1109"/>
      <c r="BG1139" s="1109"/>
      <c r="BH1139" s="1109">
        <f t="shared" ref="BH1139:BL1139" si="1493">BH475*$BA172</f>
        <v>0</v>
      </c>
      <c r="BI1139" s="1109">
        <f t="shared" si="1493"/>
        <v>0</v>
      </c>
      <c r="BJ1139" s="1109">
        <f t="shared" si="1493"/>
        <v>0</v>
      </c>
      <c r="BK1139" s="1109">
        <f t="shared" si="1493"/>
        <v>4.0323666177190409</v>
      </c>
      <c r="BL1139" s="1109">
        <f t="shared" si="1493"/>
        <v>16.129466470876164</v>
      </c>
    </row>
    <row r="1140" spans="2:64" hidden="1" outlineLevel="1">
      <c r="B1140" s="1094"/>
      <c r="C1140" s="1071" t="str">
        <f t="shared" ref="C1140:F1140" si="1494">C823</f>
        <v>COOPANS 2019 Roadmap Builds Shn</v>
      </c>
      <c r="D1140" s="1071" t="str">
        <f t="shared" si="1494"/>
        <v>COOPANS</v>
      </c>
      <c r="E1140" s="1071" t="str">
        <f t="shared" si="1494"/>
        <v>U002A</v>
      </c>
      <c r="F1140" s="1125" t="str">
        <f t="shared" si="1494"/>
        <v>2021-2024</v>
      </c>
      <c r="H1140" s="1071" t="s">
        <v>29</v>
      </c>
      <c r="BB1140" s="1108"/>
      <c r="BC1140" s="1109"/>
      <c r="BD1140" s="1109"/>
      <c r="BE1140" s="1109"/>
      <c r="BF1140" s="1109"/>
      <c r="BG1140" s="1109"/>
      <c r="BH1140" s="1109">
        <f t="shared" ref="BH1140:BL1140" si="1495">BH476*$BA173</f>
        <v>0</v>
      </c>
      <c r="BI1140" s="1109">
        <f t="shared" si="1495"/>
        <v>0</v>
      </c>
      <c r="BJ1140" s="1109">
        <f t="shared" si="1495"/>
        <v>0</v>
      </c>
      <c r="BK1140" s="1109">
        <f t="shared" si="1495"/>
        <v>0</v>
      </c>
      <c r="BL1140" s="1109">
        <f t="shared" si="1495"/>
        <v>29.954723445912876</v>
      </c>
    </row>
    <row r="1141" spans="2:64" hidden="1" outlineLevel="1">
      <c r="B1141" s="1094"/>
      <c r="C1141" s="1071" t="str">
        <f t="shared" ref="C1141:F1141" si="1496">C824</f>
        <v>SWIM Enabling project</v>
      </c>
      <c r="D1141" s="1071" t="str">
        <f t="shared" si="1496"/>
        <v>COOPANS</v>
      </c>
      <c r="E1141" s="1071" t="str">
        <f t="shared" si="1496"/>
        <v>S001</v>
      </c>
      <c r="F1141" s="1125" t="str">
        <f t="shared" si="1496"/>
        <v>2021-2024</v>
      </c>
      <c r="H1141" s="1071" t="s">
        <v>29</v>
      </c>
      <c r="BB1141" s="1108"/>
      <c r="BC1141" s="1109"/>
      <c r="BD1141" s="1109"/>
      <c r="BE1141" s="1109"/>
      <c r="BF1141" s="1109"/>
      <c r="BG1141" s="1109"/>
      <c r="BH1141" s="1109">
        <f t="shared" ref="BH1141:BL1141" si="1497">BH477*$BA174</f>
        <v>0</v>
      </c>
      <c r="BI1141" s="1109">
        <f t="shared" si="1497"/>
        <v>0</v>
      </c>
      <c r="BJ1141" s="1109">
        <f t="shared" si="1497"/>
        <v>0</v>
      </c>
      <c r="BK1141" s="1109">
        <f t="shared" si="1497"/>
        <v>0</v>
      </c>
      <c r="BL1141" s="1109">
        <f t="shared" si="1497"/>
        <v>6.912628487518357</v>
      </c>
    </row>
    <row r="1142" spans="2:64" hidden="1" outlineLevel="1">
      <c r="B1142" s="1094"/>
      <c r="C1142" s="1071" t="str">
        <f t="shared" ref="C1142:F1142" si="1498">C825</f>
        <v>Emergency Air Situation Display System (DUB)</v>
      </c>
      <c r="D1142" s="1071" t="str">
        <f t="shared" si="1498"/>
        <v>Emergency Air Situation Display System</v>
      </c>
      <c r="E1142" s="1071" t="str">
        <f t="shared" si="1498"/>
        <v>U003</v>
      </c>
      <c r="F1142" s="1125" t="str">
        <f t="shared" si="1498"/>
        <v>2021-2024</v>
      </c>
      <c r="H1142" s="1071" t="s">
        <v>29</v>
      </c>
      <c r="BB1142" s="1108"/>
      <c r="BC1142" s="1109"/>
      <c r="BD1142" s="1109"/>
      <c r="BE1142" s="1109"/>
      <c r="BF1142" s="1109"/>
      <c r="BG1142" s="1109"/>
      <c r="BH1142" s="1109">
        <f t="shared" ref="BH1142:BL1142" si="1499">BH478*$BA175</f>
        <v>0</v>
      </c>
      <c r="BI1142" s="1109">
        <f t="shared" si="1499"/>
        <v>0</v>
      </c>
      <c r="BJ1142" s="1109">
        <f t="shared" si="1499"/>
        <v>0</v>
      </c>
      <c r="BK1142" s="1109">
        <f t="shared" si="1499"/>
        <v>39.375</v>
      </c>
      <c r="BL1142" s="1109">
        <f t="shared" si="1499"/>
        <v>52.5</v>
      </c>
    </row>
    <row r="1143" spans="2:64" hidden="1" outlineLevel="1">
      <c r="B1143" s="1094"/>
      <c r="C1143" s="1071" t="str">
        <f t="shared" ref="C1143:F1143" si="1500">C826</f>
        <v>Emergency Air Situation Display System (SHN)</v>
      </c>
      <c r="D1143" s="1071" t="str">
        <f t="shared" si="1500"/>
        <v>Emergency Air Situation Display System</v>
      </c>
      <c r="E1143" s="1071" t="str">
        <f t="shared" si="1500"/>
        <v>U003A</v>
      </c>
      <c r="F1143" s="1125" t="str">
        <f t="shared" si="1500"/>
        <v>2021-2024</v>
      </c>
      <c r="H1143" s="1071" t="s">
        <v>29</v>
      </c>
      <c r="BB1143" s="1108"/>
      <c r="BC1143" s="1109"/>
      <c r="BD1143" s="1109"/>
      <c r="BE1143" s="1109"/>
      <c r="BF1143" s="1109"/>
      <c r="BG1143" s="1109"/>
      <c r="BH1143" s="1109">
        <f t="shared" ref="BH1143:BL1143" si="1501">BH479*$BA176</f>
        <v>0</v>
      </c>
      <c r="BI1143" s="1109">
        <f t="shared" si="1501"/>
        <v>0</v>
      </c>
      <c r="BJ1143" s="1109">
        <f t="shared" si="1501"/>
        <v>24.375</v>
      </c>
      <c r="BK1143" s="1109">
        <f t="shared" si="1501"/>
        <v>97.5</v>
      </c>
      <c r="BL1143" s="1109">
        <f t="shared" si="1501"/>
        <v>97.5</v>
      </c>
    </row>
    <row r="1144" spans="2:64" hidden="1" outlineLevel="1">
      <c r="B1144" s="1094"/>
      <c r="C1144" s="1071" t="str">
        <f t="shared" ref="C1144:F1144" si="1502">C827</f>
        <v>Emergency Air Situation Display System Simulator (SHN)</v>
      </c>
      <c r="D1144" s="1071" t="str">
        <f t="shared" si="1502"/>
        <v>Emergency Air Situation Display System</v>
      </c>
      <c r="E1144" s="1071" t="str">
        <f t="shared" si="1502"/>
        <v>U003A</v>
      </c>
      <c r="F1144" s="1125" t="str">
        <f t="shared" si="1502"/>
        <v>2021-2024</v>
      </c>
      <c r="H1144" s="1071" t="s">
        <v>29</v>
      </c>
      <c r="BB1144" s="1108"/>
      <c r="BC1144" s="1109"/>
      <c r="BD1144" s="1109"/>
      <c r="BE1144" s="1109"/>
      <c r="BF1144" s="1109"/>
      <c r="BG1144" s="1109"/>
      <c r="BH1144" s="1109">
        <f t="shared" ref="BH1144:BL1144" si="1503">BH480*$BA177</f>
        <v>0</v>
      </c>
      <c r="BI1144" s="1109">
        <f t="shared" si="1503"/>
        <v>0</v>
      </c>
      <c r="BJ1144" s="1109">
        <f t="shared" si="1503"/>
        <v>4.6875</v>
      </c>
      <c r="BK1144" s="1109">
        <f t="shared" si="1503"/>
        <v>18.75</v>
      </c>
      <c r="BL1144" s="1109">
        <f t="shared" si="1503"/>
        <v>18.75</v>
      </c>
    </row>
    <row r="1145" spans="2:64" hidden="1" outlineLevel="1">
      <c r="B1145" s="1094"/>
      <c r="C1145" s="1071" t="str">
        <f t="shared" ref="C1145:F1145" si="1504">C828</f>
        <v>Emergency Air Situation Display System Simulator (DUB)</v>
      </c>
      <c r="D1145" s="1071" t="str">
        <f t="shared" si="1504"/>
        <v>Emergency Air Situation Display System</v>
      </c>
      <c r="E1145" s="1071" t="str">
        <f t="shared" si="1504"/>
        <v>U003A</v>
      </c>
      <c r="F1145" s="1125" t="str">
        <f t="shared" si="1504"/>
        <v>2021-2024</v>
      </c>
      <c r="H1145" s="1071" t="s">
        <v>29</v>
      </c>
      <c r="BB1145" s="1108"/>
      <c r="BC1145" s="1109"/>
      <c r="BD1145" s="1109"/>
      <c r="BE1145" s="1109"/>
      <c r="BF1145" s="1109"/>
      <c r="BG1145" s="1109"/>
      <c r="BH1145" s="1109">
        <f t="shared" ref="BH1145:BL1145" si="1505">BH481*$BA178</f>
        <v>0</v>
      </c>
      <c r="BI1145" s="1109">
        <f t="shared" si="1505"/>
        <v>0</v>
      </c>
      <c r="BJ1145" s="1109">
        <f t="shared" si="1505"/>
        <v>0</v>
      </c>
      <c r="BK1145" s="1109">
        <f t="shared" si="1505"/>
        <v>14.0625</v>
      </c>
      <c r="BL1145" s="1109">
        <f t="shared" si="1505"/>
        <v>18.75</v>
      </c>
    </row>
    <row r="1146" spans="2:64" hidden="1" outlineLevel="1">
      <c r="B1146" s="1094"/>
      <c r="C1146" s="1071" t="str">
        <f t="shared" ref="C1146:F1146" si="1506">C829</f>
        <v>NAV Aids Replacement Programme</v>
      </c>
      <c r="D1146" s="1071" t="str">
        <f t="shared" si="1506"/>
        <v>NAV Aids Replacement Programme</v>
      </c>
      <c r="E1146" s="1071" t="str">
        <f t="shared" si="1506"/>
        <v>R005</v>
      </c>
      <c r="F1146" s="1125" t="str">
        <f t="shared" si="1506"/>
        <v>2021-2024</v>
      </c>
      <c r="H1146" s="1071" t="s">
        <v>29</v>
      </c>
      <c r="BB1146" s="1108"/>
      <c r="BC1146" s="1109"/>
      <c r="BD1146" s="1109"/>
      <c r="BE1146" s="1109"/>
      <c r="BF1146" s="1109"/>
      <c r="BG1146" s="1109"/>
      <c r="BH1146" s="1109">
        <f t="shared" ref="BH1146:BL1146" si="1507">BH482*$BA179</f>
        <v>0</v>
      </c>
      <c r="BI1146" s="1109">
        <f t="shared" si="1507"/>
        <v>0</v>
      </c>
      <c r="BJ1146" s="1109">
        <f t="shared" si="1507"/>
        <v>0</v>
      </c>
      <c r="BK1146" s="1109">
        <f t="shared" si="1507"/>
        <v>0</v>
      </c>
      <c r="BL1146" s="1109">
        <f t="shared" si="1507"/>
        <v>0</v>
      </c>
    </row>
    <row r="1147" spans="2:64" hidden="1" outlineLevel="1">
      <c r="B1147" s="1094"/>
      <c r="C1147" s="1071" t="str">
        <f t="shared" ref="C1147:F1147" si="1508">C830</f>
        <v>NAV Aids Replacement Programme Dublin ILS (3rd)</v>
      </c>
      <c r="D1147" s="1071" t="str">
        <f t="shared" si="1508"/>
        <v>NAV Aids Replacement Programme</v>
      </c>
      <c r="E1147" s="1071" t="str">
        <f t="shared" si="1508"/>
        <v>R005A</v>
      </c>
      <c r="F1147" s="1125" t="str">
        <f t="shared" si="1508"/>
        <v>2021-2024</v>
      </c>
      <c r="H1147" s="1071" t="s">
        <v>29</v>
      </c>
      <c r="BB1147" s="1108"/>
      <c r="BC1147" s="1109"/>
      <c r="BD1147" s="1109"/>
      <c r="BE1147" s="1109"/>
      <c r="BF1147" s="1109"/>
      <c r="BG1147" s="1109"/>
      <c r="BH1147" s="1109">
        <f t="shared" ref="BH1147:BL1147" si="1509">BH483*$BA180</f>
        <v>0</v>
      </c>
      <c r="BI1147" s="1109">
        <f t="shared" si="1509"/>
        <v>0</v>
      </c>
      <c r="BJ1147" s="1109">
        <f t="shared" si="1509"/>
        <v>0</v>
      </c>
      <c r="BK1147" s="1109">
        <f t="shared" si="1509"/>
        <v>0</v>
      </c>
      <c r="BL1147" s="1109">
        <f t="shared" si="1509"/>
        <v>46.484269000000005</v>
      </c>
    </row>
    <row r="1148" spans="2:64" hidden="1" outlineLevel="1">
      <c r="B1148" s="1094"/>
      <c r="C1148" s="1071" t="str">
        <f t="shared" ref="C1148:F1148" si="1510">C831</f>
        <v>NAV Aids Replacement Programme Shannon ILS (1st)</v>
      </c>
      <c r="D1148" s="1071" t="str">
        <f t="shared" si="1510"/>
        <v>NAV Aids Replacement Programme</v>
      </c>
      <c r="E1148" s="1071" t="str">
        <f t="shared" si="1510"/>
        <v>R005A</v>
      </c>
      <c r="F1148" s="1125" t="str">
        <f t="shared" si="1510"/>
        <v>2021-2024</v>
      </c>
      <c r="H1148" s="1071" t="s">
        <v>29</v>
      </c>
      <c r="BB1148" s="1108"/>
      <c r="BC1148" s="1109"/>
      <c r="BD1148" s="1109"/>
      <c r="BE1148" s="1109"/>
      <c r="BF1148" s="1109"/>
      <c r="BG1148" s="1109"/>
      <c r="BH1148" s="1109">
        <f t="shared" ref="BH1148:BL1148" si="1511">BH484*$BA181</f>
        <v>0</v>
      </c>
      <c r="BI1148" s="1109">
        <f t="shared" si="1511"/>
        <v>0</v>
      </c>
      <c r="BJ1148" s="1109">
        <f t="shared" si="1511"/>
        <v>22.833333333333332</v>
      </c>
      <c r="BK1148" s="1109">
        <f t="shared" si="1511"/>
        <v>91.333333333333329</v>
      </c>
      <c r="BL1148" s="1109">
        <f t="shared" si="1511"/>
        <v>91.333333333333329</v>
      </c>
    </row>
    <row r="1149" spans="2:64" hidden="1" outlineLevel="1">
      <c r="B1149" s="1094"/>
      <c r="C1149" s="1071" t="str">
        <f t="shared" ref="C1149:F1149" si="1512">C832</f>
        <v>NAV Aids Replacement Programme Cork ILS (2nd)</v>
      </c>
      <c r="D1149" s="1071" t="str">
        <f t="shared" si="1512"/>
        <v>NAV Aids Replacement Programme</v>
      </c>
      <c r="E1149" s="1071" t="str">
        <f t="shared" si="1512"/>
        <v>R005A</v>
      </c>
      <c r="F1149" s="1125" t="str">
        <f t="shared" si="1512"/>
        <v>2021-2024</v>
      </c>
      <c r="H1149" s="1071" t="s">
        <v>29</v>
      </c>
      <c r="BB1149" s="1108"/>
      <c r="BC1149" s="1109"/>
      <c r="BD1149" s="1109"/>
      <c r="BE1149" s="1109"/>
      <c r="BF1149" s="1109"/>
      <c r="BG1149" s="1109"/>
      <c r="BH1149" s="1109">
        <f t="shared" ref="BH1149:BL1149" si="1513">BH485*$BA182</f>
        <v>0</v>
      </c>
      <c r="BI1149" s="1109">
        <f t="shared" si="1513"/>
        <v>0</v>
      </c>
      <c r="BJ1149" s="1109">
        <f t="shared" si="1513"/>
        <v>0</v>
      </c>
      <c r="BK1149" s="1109">
        <f t="shared" si="1513"/>
        <v>34.166666666666664</v>
      </c>
      <c r="BL1149" s="1109">
        <f t="shared" si="1513"/>
        <v>136.66666666666666</v>
      </c>
    </row>
    <row r="1150" spans="2:64" hidden="1" outlineLevel="1">
      <c r="B1150" s="1094"/>
      <c r="C1150" s="1071" t="str">
        <f t="shared" ref="C1150:F1150" si="1514">C833</f>
        <v>NAV Aids Replacement Programme Dublin IRVR</v>
      </c>
      <c r="D1150" s="1071" t="str">
        <f t="shared" si="1514"/>
        <v>NAV Aids Replacement Programme</v>
      </c>
      <c r="E1150" s="1071" t="str">
        <f t="shared" si="1514"/>
        <v>R005A</v>
      </c>
      <c r="F1150" s="1125" t="str">
        <f t="shared" si="1514"/>
        <v>2021-2024</v>
      </c>
      <c r="H1150" s="1071" t="s">
        <v>29</v>
      </c>
      <c r="BB1150" s="1108"/>
      <c r="BC1150" s="1109"/>
      <c r="BD1150" s="1109"/>
      <c r="BE1150" s="1109"/>
      <c r="BF1150" s="1109"/>
      <c r="BG1150" s="1109"/>
      <c r="BH1150" s="1109">
        <f t="shared" ref="BH1150:BL1150" si="1515">BH486*$BA183</f>
        <v>0</v>
      </c>
      <c r="BI1150" s="1109">
        <f t="shared" si="1515"/>
        <v>8.3985950000000003</v>
      </c>
      <c r="BJ1150" s="1109">
        <f t="shared" si="1515"/>
        <v>33.594380000000001</v>
      </c>
      <c r="BK1150" s="1109">
        <f t="shared" si="1515"/>
        <v>33.594380000000001</v>
      </c>
      <c r="BL1150" s="1109">
        <f t="shared" si="1515"/>
        <v>33.594380000000001</v>
      </c>
    </row>
    <row r="1151" spans="2:64" hidden="1" outlineLevel="1">
      <c r="B1151" s="1094"/>
      <c r="C1151" s="1071" t="str">
        <f t="shared" ref="C1151:F1151" si="1516">C834</f>
        <v>NAV Aids Replacement Programme Shannon IRVR</v>
      </c>
      <c r="D1151" s="1071" t="str">
        <f t="shared" si="1516"/>
        <v>NAV Aids Replacement Programme</v>
      </c>
      <c r="E1151" s="1071" t="str">
        <f t="shared" si="1516"/>
        <v>R005A</v>
      </c>
      <c r="F1151" s="1125" t="str">
        <f t="shared" si="1516"/>
        <v>2021-2024</v>
      </c>
      <c r="H1151" s="1071" t="s">
        <v>29</v>
      </c>
      <c r="BB1151" s="1108"/>
      <c r="BC1151" s="1109"/>
      <c r="BD1151" s="1109"/>
      <c r="BE1151" s="1109"/>
      <c r="BF1151" s="1109"/>
      <c r="BG1151" s="1109"/>
      <c r="BH1151" s="1109">
        <f t="shared" ref="BH1151:BL1151" si="1517">BH487*$BA184</f>
        <v>0</v>
      </c>
      <c r="BI1151" s="1109">
        <f t="shared" si="1517"/>
        <v>0</v>
      </c>
      <c r="BJ1151" s="1109">
        <f t="shared" si="1517"/>
        <v>17.318209333333336</v>
      </c>
      <c r="BK1151" s="1109">
        <f t="shared" si="1517"/>
        <v>17.318209333333336</v>
      </c>
      <c r="BL1151" s="1109">
        <f t="shared" si="1517"/>
        <v>17.318209333333336</v>
      </c>
    </row>
    <row r="1152" spans="2:64" hidden="1" outlineLevel="1">
      <c r="B1152" s="1094"/>
      <c r="C1152" s="1071" t="str">
        <f t="shared" ref="C1152:F1152" si="1518">C835</f>
        <v>NAV Aids Replacement Programme Cork IRVR</v>
      </c>
      <c r="D1152" s="1071" t="str">
        <f t="shared" si="1518"/>
        <v>NAV Aids Replacement Programme</v>
      </c>
      <c r="E1152" s="1071" t="str">
        <f t="shared" si="1518"/>
        <v>R005A</v>
      </c>
      <c r="F1152" s="1125" t="str">
        <f t="shared" si="1518"/>
        <v>2021-2024</v>
      </c>
      <c r="H1152" s="1071" t="s">
        <v>29</v>
      </c>
      <c r="BB1152" s="1108"/>
      <c r="BC1152" s="1109"/>
      <c r="BD1152" s="1109"/>
      <c r="BE1152" s="1109"/>
      <c r="BF1152" s="1109"/>
      <c r="BG1152" s="1109"/>
      <c r="BH1152" s="1109">
        <f t="shared" ref="BH1152:BL1152" si="1519">BH488*$BA185</f>
        <v>0</v>
      </c>
      <c r="BI1152" s="1109">
        <f t="shared" si="1519"/>
        <v>0</v>
      </c>
      <c r="BJ1152" s="1109">
        <f t="shared" si="1519"/>
        <v>14.302820000000001</v>
      </c>
      <c r="BK1152" s="1109">
        <f t="shared" si="1519"/>
        <v>19.07042666666667</v>
      </c>
      <c r="BL1152" s="1109">
        <f t="shared" si="1519"/>
        <v>19.07042666666667</v>
      </c>
    </row>
    <row r="1153" spans="2:64" hidden="1" outlineLevel="1">
      <c r="B1153" s="1094"/>
      <c r="C1153" s="1071" t="str">
        <f t="shared" ref="C1153:F1153" si="1520">C836</f>
        <v>Plant &amp; Equipment upgrades (Chillers, AC etc.)</v>
      </c>
      <c r="D1153" s="1071" t="str">
        <f t="shared" si="1520"/>
        <v>Plant &amp; Equipment upgrades</v>
      </c>
      <c r="E1153" s="1071" t="str">
        <f t="shared" si="1520"/>
        <v>RP3-PROP-3</v>
      </c>
      <c r="F1153" s="1125" t="str">
        <f t="shared" si="1520"/>
        <v>2021-2024</v>
      </c>
      <c r="H1153" s="1071" t="s">
        <v>29</v>
      </c>
      <c r="BB1153" s="1108"/>
      <c r="BC1153" s="1109"/>
      <c r="BD1153" s="1109"/>
      <c r="BE1153" s="1109"/>
      <c r="BF1153" s="1109"/>
      <c r="BG1153" s="1109"/>
      <c r="BH1153" s="1109">
        <f t="shared" ref="BH1153:BL1153" si="1521">BH489*$BA186</f>
        <v>0</v>
      </c>
      <c r="BI1153" s="1109">
        <f t="shared" si="1521"/>
        <v>0</v>
      </c>
      <c r="BJ1153" s="1109">
        <f t="shared" si="1521"/>
        <v>0</v>
      </c>
      <c r="BK1153" s="1109">
        <f t="shared" si="1521"/>
        <v>0</v>
      </c>
      <c r="BL1153" s="1109">
        <f t="shared" si="1521"/>
        <v>0</v>
      </c>
    </row>
    <row r="1154" spans="2:64" hidden="1" outlineLevel="1">
      <c r="B1154" s="1094"/>
      <c r="C1154" s="1071" t="str">
        <f t="shared" ref="C1154:F1154" si="1522">C837</f>
        <v>Plant &amp; Equipment upgrades Shannon En Route</v>
      </c>
      <c r="D1154" s="1071" t="str">
        <f t="shared" si="1522"/>
        <v>Plant &amp; Equipment upgrades</v>
      </c>
      <c r="E1154" s="1071" t="str">
        <f t="shared" si="1522"/>
        <v>RP3-PROP-3</v>
      </c>
      <c r="F1154" s="1125" t="str">
        <f t="shared" si="1522"/>
        <v>2021-2024</v>
      </c>
      <c r="H1154" s="1071" t="s">
        <v>29</v>
      </c>
      <c r="BB1154" s="1108"/>
      <c r="BC1154" s="1109"/>
      <c r="BD1154" s="1109"/>
      <c r="BE1154" s="1109"/>
      <c r="BF1154" s="1109"/>
      <c r="BG1154" s="1109"/>
      <c r="BH1154" s="1109">
        <f t="shared" ref="BH1154:BL1154" si="1523">BH490*$BA187</f>
        <v>0</v>
      </c>
      <c r="BI1154" s="1109">
        <f t="shared" si="1523"/>
        <v>0</v>
      </c>
      <c r="BJ1154" s="1109">
        <f t="shared" si="1523"/>
        <v>0</v>
      </c>
      <c r="BK1154" s="1109">
        <f t="shared" si="1523"/>
        <v>0</v>
      </c>
      <c r="BL1154" s="1109">
        <f t="shared" si="1523"/>
        <v>0</v>
      </c>
    </row>
    <row r="1155" spans="2:64" hidden="1" outlineLevel="1">
      <c r="B1155" s="1094"/>
      <c r="C1155" s="1071" t="str">
        <f t="shared" ref="C1155:F1155" si="1524">C838</f>
        <v>Plant &amp; Equipment upgrades Shannon Joint</v>
      </c>
      <c r="D1155" s="1071" t="str">
        <f t="shared" si="1524"/>
        <v>Plant &amp; Equipment upgrades</v>
      </c>
      <c r="E1155" s="1071" t="str">
        <f t="shared" si="1524"/>
        <v>RP3-PROP-3</v>
      </c>
      <c r="F1155" s="1125" t="str">
        <f t="shared" si="1524"/>
        <v>2021-2024</v>
      </c>
      <c r="H1155" s="1071" t="s">
        <v>29</v>
      </c>
      <c r="BB1155" s="1108"/>
      <c r="BC1155" s="1109"/>
      <c r="BD1155" s="1109"/>
      <c r="BE1155" s="1109"/>
      <c r="BF1155" s="1109"/>
      <c r="BG1155" s="1109"/>
      <c r="BH1155" s="1109">
        <f t="shared" ref="BH1155:BL1155" si="1525">BH491*$BA188</f>
        <v>0</v>
      </c>
      <c r="BI1155" s="1109">
        <f t="shared" si="1525"/>
        <v>0</v>
      </c>
      <c r="BJ1155" s="1109">
        <f t="shared" si="1525"/>
        <v>0.25</v>
      </c>
      <c r="BK1155" s="1109">
        <f t="shared" si="1525"/>
        <v>1</v>
      </c>
      <c r="BL1155" s="1109">
        <f t="shared" si="1525"/>
        <v>4.0999999999999996</v>
      </c>
    </row>
    <row r="1156" spans="2:64" hidden="1" outlineLevel="1">
      <c r="B1156" s="1094"/>
      <c r="C1156" s="1071" t="str">
        <f t="shared" ref="C1156:F1156" si="1526">C839</f>
        <v>Plant &amp; Equipment upgrades Shannon Terminal</v>
      </c>
      <c r="D1156" s="1071" t="str">
        <f t="shared" si="1526"/>
        <v>Plant &amp; Equipment upgrades</v>
      </c>
      <c r="E1156" s="1071" t="str">
        <f t="shared" si="1526"/>
        <v>RP3-PROP-3</v>
      </c>
      <c r="F1156" s="1125" t="str">
        <f t="shared" si="1526"/>
        <v>2021-2024</v>
      </c>
      <c r="H1156" s="1071" t="s">
        <v>29</v>
      </c>
      <c r="BB1156" s="1108"/>
      <c r="BC1156" s="1109"/>
      <c r="BD1156" s="1109"/>
      <c r="BE1156" s="1109"/>
      <c r="BF1156" s="1109"/>
      <c r="BG1156" s="1109"/>
      <c r="BH1156" s="1109">
        <f t="shared" ref="BH1156:BL1156" si="1527">BH492*$BA189</f>
        <v>0</v>
      </c>
      <c r="BI1156" s="1109">
        <f t="shared" si="1527"/>
        <v>0</v>
      </c>
      <c r="BJ1156" s="1109">
        <f t="shared" si="1527"/>
        <v>0</v>
      </c>
      <c r="BK1156" s="1109">
        <f t="shared" si="1527"/>
        <v>41.333333333333336</v>
      </c>
      <c r="BL1156" s="1109">
        <f t="shared" si="1527"/>
        <v>41.333333333333336</v>
      </c>
    </row>
    <row r="1157" spans="2:64" hidden="1" outlineLevel="1">
      <c r="B1157" s="1094"/>
      <c r="C1157" s="1071" t="str">
        <f t="shared" ref="C1157:F1157" si="1528">C840</f>
        <v>Plant &amp; Equipment upgrades Dublin Joint</v>
      </c>
      <c r="D1157" s="1071" t="str">
        <f t="shared" si="1528"/>
        <v>Plant &amp; Equipment upgrades</v>
      </c>
      <c r="E1157" s="1071" t="str">
        <f t="shared" si="1528"/>
        <v>RP3-PROP-3</v>
      </c>
      <c r="F1157" s="1125" t="str">
        <f t="shared" si="1528"/>
        <v>2021-2024</v>
      </c>
      <c r="H1157" s="1071" t="s">
        <v>29</v>
      </c>
      <c r="BB1157" s="1108"/>
      <c r="BC1157" s="1109"/>
      <c r="BD1157" s="1109"/>
      <c r="BE1157" s="1109"/>
      <c r="BF1157" s="1109"/>
      <c r="BG1157" s="1109"/>
      <c r="BH1157" s="1109">
        <f t="shared" ref="BH1157:BL1157" si="1529">BH493*$BA190</f>
        <v>0</v>
      </c>
      <c r="BI1157" s="1109">
        <f t="shared" si="1529"/>
        <v>0</v>
      </c>
      <c r="BJ1157" s="1109">
        <f t="shared" si="1529"/>
        <v>0</v>
      </c>
      <c r="BK1157" s="1109">
        <f t="shared" si="1529"/>
        <v>21.7</v>
      </c>
      <c r="BL1157" s="1109">
        <f t="shared" si="1529"/>
        <v>21.7</v>
      </c>
    </row>
    <row r="1158" spans="2:64" hidden="1" outlineLevel="1">
      <c r="B1158" s="1094"/>
      <c r="C1158" s="1071" t="str">
        <f t="shared" ref="C1158:F1158" si="1530">C841</f>
        <v>Plant &amp; Equipment upgrades Cork Terminal</v>
      </c>
      <c r="D1158" s="1071" t="str">
        <f t="shared" si="1530"/>
        <v>Plant &amp; Equipment upgrades</v>
      </c>
      <c r="E1158" s="1071" t="str">
        <f t="shared" si="1530"/>
        <v>RP3-PROP-3</v>
      </c>
      <c r="F1158" s="1125" t="str">
        <f t="shared" si="1530"/>
        <v>2021-2024</v>
      </c>
      <c r="H1158" s="1071" t="s">
        <v>29</v>
      </c>
      <c r="BB1158" s="1108"/>
      <c r="BC1158" s="1109"/>
      <c r="BD1158" s="1109"/>
      <c r="BE1158" s="1109"/>
      <c r="BF1158" s="1109"/>
      <c r="BG1158" s="1109"/>
      <c r="BH1158" s="1109">
        <f t="shared" ref="BH1158:BL1158" si="1531">BH494*$BA191</f>
        <v>0</v>
      </c>
      <c r="BI1158" s="1109">
        <f t="shared" si="1531"/>
        <v>0</v>
      </c>
      <c r="BJ1158" s="1109">
        <f t="shared" si="1531"/>
        <v>0</v>
      </c>
      <c r="BK1158" s="1109">
        <f t="shared" si="1531"/>
        <v>0</v>
      </c>
      <c r="BL1158" s="1109">
        <f t="shared" si="1531"/>
        <v>6.2</v>
      </c>
    </row>
    <row r="1159" spans="2:64" hidden="1" outlineLevel="1">
      <c r="B1159" s="1094"/>
      <c r="C1159" s="1071" t="str">
        <f t="shared" ref="C1159:F1159" si="1532">C842</f>
        <v>Plant &amp; Equipment upgrades HQ Joint</v>
      </c>
      <c r="D1159" s="1071" t="str">
        <f t="shared" si="1532"/>
        <v>Plant &amp; Equipment upgrades</v>
      </c>
      <c r="E1159" s="1071" t="str">
        <f t="shared" si="1532"/>
        <v>RP3-PROP-3</v>
      </c>
      <c r="F1159" s="1125" t="str">
        <f t="shared" si="1532"/>
        <v>2021-2024</v>
      </c>
      <c r="H1159" s="1071" t="s">
        <v>29</v>
      </c>
      <c r="BB1159" s="1108"/>
      <c r="BC1159" s="1109"/>
      <c r="BD1159" s="1109"/>
      <c r="BE1159" s="1109"/>
      <c r="BF1159" s="1109"/>
      <c r="BG1159" s="1109"/>
      <c r="BH1159" s="1109">
        <f t="shared" ref="BH1159:BL1159" si="1533">BH495*$BA192</f>
        <v>0</v>
      </c>
      <c r="BI1159" s="1109">
        <f t="shared" si="1533"/>
        <v>0</v>
      </c>
      <c r="BJ1159" s="1109">
        <f t="shared" si="1533"/>
        <v>0</v>
      </c>
      <c r="BK1159" s="1109">
        <f t="shared" si="1533"/>
        <v>4.6499999999999995</v>
      </c>
      <c r="BL1159" s="1109">
        <f t="shared" si="1533"/>
        <v>18.599999999999998</v>
      </c>
    </row>
    <row r="1160" spans="2:64" hidden="1" outlineLevel="1">
      <c r="B1160" s="1094"/>
      <c r="C1160" s="1071" t="str">
        <f t="shared" ref="C1160:F1160" si="1534">C843</f>
        <v>Climate action plan</v>
      </c>
      <c r="D1160" s="1071" t="str">
        <f t="shared" si="1534"/>
        <v>Climate action plan</v>
      </c>
      <c r="E1160" s="1071" t="str">
        <f t="shared" si="1534"/>
        <v>U011</v>
      </c>
      <c r="F1160" s="1125" t="str">
        <f t="shared" si="1534"/>
        <v>2021-2024</v>
      </c>
      <c r="H1160" s="1071" t="s">
        <v>29</v>
      </c>
      <c r="BB1160" s="1108"/>
      <c r="BC1160" s="1109"/>
      <c r="BD1160" s="1109"/>
      <c r="BE1160" s="1109"/>
      <c r="BF1160" s="1109"/>
      <c r="BG1160" s="1109"/>
      <c r="BH1160" s="1109">
        <f t="shared" ref="BH1160:BL1160" si="1535">BH496*$BA193</f>
        <v>0</v>
      </c>
      <c r="BI1160" s="1109">
        <f t="shared" si="1535"/>
        <v>2.3333333333333335</v>
      </c>
      <c r="BJ1160" s="1109">
        <f t="shared" si="1535"/>
        <v>10.666666666666666</v>
      </c>
      <c r="BK1160" s="1109">
        <f t="shared" si="1535"/>
        <v>38</v>
      </c>
      <c r="BL1160" s="1109">
        <f t="shared" si="1535"/>
        <v>70.666666666666671</v>
      </c>
    </row>
    <row r="1161" spans="2:64" hidden="1" outlineLevel="1">
      <c r="B1161" s="1094"/>
      <c r="C1161" s="1071" t="str">
        <f t="shared" ref="C1161:F1161" si="1536">C844</f>
        <v>RADAR Overhaul - Woodcock Hill</v>
      </c>
      <c r="D1161" s="1071" t="str">
        <f t="shared" si="1536"/>
        <v>RADAR Overhaul</v>
      </c>
      <c r="E1161" s="1071" t="str">
        <f t="shared" si="1536"/>
        <v>RP3-SURV-1</v>
      </c>
      <c r="F1161" s="1125" t="str">
        <f t="shared" si="1536"/>
        <v>2021-2024</v>
      </c>
      <c r="H1161" s="1071" t="s">
        <v>29</v>
      </c>
      <c r="BB1161" s="1108"/>
      <c r="BC1161" s="1109"/>
      <c r="BD1161" s="1109"/>
      <c r="BE1161" s="1109"/>
      <c r="BF1161" s="1109"/>
      <c r="BG1161" s="1109"/>
      <c r="BH1161" s="1109">
        <f t="shared" ref="BH1161:BL1161" si="1537">BH497*$BA194</f>
        <v>0</v>
      </c>
      <c r="BI1161" s="1109">
        <f t="shared" si="1537"/>
        <v>0</v>
      </c>
      <c r="BJ1161" s="1109">
        <f t="shared" si="1537"/>
        <v>0</v>
      </c>
      <c r="BK1161" s="1109">
        <f t="shared" si="1537"/>
        <v>0</v>
      </c>
      <c r="BL1161" s="1109">
        <f t="shared" si="1537"/>
        <v>0</v>
      </c>
    </row>
    <row r="1162" spans="2:64" hidden="1" outlineLevel="1">
      <c r="B1162" s="1094"/>
      <c r="C1162" s="1071" t="str">
        <f t="shared" ref="C1162:F1162" si="1538">C845</f>
        <v>RADAR Overhaul - MT Gabriel 1 &amp; 2</v>
      </c>
      <c r="D1162" s="1071" t="str">
        <f t="shared" si="1538"/>
        <v>RADAR Overhaul</v>
      </c>
      <c r="E1162" s="1071" t="str">
        <f t="shared" si="1538"/>
        <v>RP3-SURV-1</v>
      </c>
      <c r="F1162" s="1125" t="str">
        <f t="shared" si="1538"/>
        <v>2021-2024</v>
      </c>
      <c r="H1162" s="1071" t="s">
        <v>29</v>
      </c>
      <c r="BB1162" s="1108"/>
      <c r="BC1162" s="1109"/>
      <c r="BD1162" s="1109"/>
      <c r="BE1162" s="1109"/>
      <c r="BF1162" s="1109"/>
      <c r="BG1162" s="1109"/>
      <c r="BH1162" s="1109">
        <f t="shared" ref="BH1162:BL1162" si="1539">BH498*$BA195</f>
        <v>0</v>
      </c>
      <c r="BI1162" s="1109">
        <f t="shared" si="1539"/>
        <v>0</v>
      </c>
      <c r="BJ1162" s="1109">
        <f t="shared" si="1539"/>
        <v>0</v>
      </c>
      <c r="BK1162" s="1109">
        <f t="shared" si="1539"/>
        <v>0</v>
      </c>
      <c r="BL1162" s="1109">
        <f t="shared" si="1539"/>
        <v>0</v>
      </c>
    </row>
    <row r="1163" spans="2:64" hidden="1" outlineLevel="1">
      <c r="B1163" s="1094"/>
      <c r="C1163" s="1071" t="str">
        <f t="shared" ref="C1163:F1163" si="1540">C846</f>
        <v>Voice Communication Switch</v>
      </c>
      <c r="D1163" s="1071" t="str">
        <f t="shared" si="1540"/>
        <v>VOIP Switch</v>
      </c>
      <c r="E1163" s="1071" t="str">
        <f t="shared" si="1540"/>
        <v>S005</v>
      </c>
      <c r="F1163" s="1125" t="str">
        <f t="shared" si="1540"/>
        <v>2021-2024</v>
      </c>
      <c r="H1163" s="1071" t="s">
        <v>29</v>
      </c>
      <c r="BB1163" s="1108"/>
      <c r="BC1163" s="1109"/>
      <c r="BD1163" s="1109"/>
      <c r="BE1163" s="1109"/>
      <c r="BF1163" s="1109"/>
      <c r="BG1163" s="1109"/>
      <c r="BH1163" s="1109">
        <f t="shared" ref="BH1163:BL1163" si="1541">BH499*$BA196</f>
        <v>0</v>
      </c>
      <c r="BI1163" s="1109">
        <f t="shared" si="1541"/>
        <v>0</v>
      </c>
      <c r="BJ1163" s="1109">
        <f t="shared" si="1541"/>
        <v>0</v>
      </c>
      <c r="BK1163" s="1109">
        <f t="shared" si="1541"/>
        <v>0</v>
      </c>
      <c r="BL1163" s="1109">
        <f t="shared" si="1541"/>
        <v>0</v>
      </c>
    </row>
    <row r="1164" spans="2:64" hidden="1" outlineLevel="1">
      <c r="B1164" s="1094"/>
      <c r="C1164" s="1071" t="str">
        <f t="shared" ref="C1164:F1164" si="1542">C847</f>
        <v>VOIP Switch CRK</v>
      </c>
      <c r="D1164" s="1071" t="str">
        <f t="shared" si="1542"/>
        <v>VOIP Switch</v>
      </c>
      <c r="E1164" s="1071" t="str">
        <f t="shared" si="1542"/>
        <v>S005A</v>
      </c>
      <c r="F1164" s="1125" t="str">
        <f t="shared" si="1542"/>
        <v>2021-2024</v>
      </c>
      <c r="H1164" s="1071" t="s">
        <v>29</v>
      </c>
      <c r="BB1164" s="1108"/>
      <c r="BC1164" s="1109"/>
      <c r="BD1164" s="1109"/>
      <c r="BE1164" s="1109"/>
      <c r="BF1164" s="1109"/>
      <c r="BG1164" s="1109"/>
      <c r="BH1164" s="1109">
        <f t="shared" ref="BH1164:BL1164" si="1543">BH500*$BA197</f>
        <v>0</v>
      </c>
      <c r="BI1164" s="1109">
        <f t="shared" si="1543"/>
        <v>0</v>
      </c>
      <c r="BJ1164" s="1109">
        <f t="shared" si="1543"/>
        <v>9.93276185625</v>
      </c>
      <c r="BK1164" s="1109">
        <f t="shared" si="1543"/>
        <v>39.731047425</v>
      </c>
      <c r="BL1164" s="1109">
        <f t="shared" si="1543"/>
        <v>39.731047425</v>
      </c>
    </row>
    <row r="1165" spans="2:64" hidden="1" outlineLevel="1">
      <c r="B1165" s="1094"/>
      <c r="C1165" s="1071" t="str">
        <f t="shared" ref="C1165:F1165" si="1544">C848</f>
        <v>VOIP Switch DUB</v>
      </c>
      <c r="D1165" s="1071" t="str">
        <f t="shared" si="1544"/>
        <v>VOIP Switch</v>
      </c>
      <c r="E1165" s="1071" t="str">
        <f t="shared" si="1544"/>
        <v>S005A</v>
      </c>
      <c r="F1165" s="1125" t="str">
        <f t="shared" si="1544"/>
        <v>2021-2024</v>
      </c>
      <c r="H1165" s="1071" t="s">
        <v>29</v>
      </c>
      <c r="BB1165" s="1108"/>
      <c r="BC1165" s="1109"/>
      <c r="BD1165" s="1109"/>
      <c r="BE1165" s="1109"/>
      <c r="BF1165" s="1109"/>
      <c r="BG1165" s="1109"/>
      <c r="BH1165" s="1109">
        <f t="shared" ref="BH1165:BL1165" si="1545">BH501*$BA198</f>
        <v>0</v>
      </c>
      <c r="BI1165" s="1109">
        <f t="shared" si="1545"/>
        <v>8.4491902234375011</v>
      </c>
      <c r="BJ1165" s="1109">
        <f t="shared" si="1545"/>
        <v>33.796760893750005</v>
      </c>
      <c r="BK1165" s="1109">
        <f t="shared" si="1545"/>
        <v>33.796760893750005</v>
      </c>
      <c r="BL1165" s="1109">
        <f t="shared" si="1545"/>
        <v>33.796760893750005</v>
      </c>
    </row>
    <row r="1166" spans="2:64" hidden="1" outlineLevel="1">
      <c r="B1166" s="1094"/>
      <c r="C1166" s="1071" t="str">
        <f t="shared" ref="C1166:F1166" si="1546">C849</f>
        <v>VOIP Switch Ballycasey Main</v>
      </c>
      <c r="D1166" s="1071" t="str">
        <f t="shared" si="1546"/>
        <v>VOIP Switch</v>
      </c>
      <c r="E1166" s="1071" t="str">
        <f t="shared" si="1546"/>
        <v>S005A</v>
      </c>
      <c r="F1166" s="1125" t="str">
        <f t="shared" si="1546"/>
        <v>2021-2024</v>
      </c>
      <c r="H1166" s="1071" t="s">
        <v>29</v>
      </c>
      <c r="BB1166" s="1108"/>
      <c r="BC1166" s="1109"/>
      <c r="BD1166" s="1109"/>
      <c r="BE1166" s="1109"/>
      <c r="BF1166" s="1109"/>
      <c r="BG1166" s="1109"/>
      <c r="BH1166" s="1109">
        <f t="shared" ref="BH1166:BL1166" si="1547">BH502*$BA199</f>
        <v>0</v>
      </c>
      <c r="BI1166" s="1109">
        <f t="shared" si="1547"/>
        <v>0</v>
      </c>
      <c r="BJ1166" s="1109">
        <f t="shared" si="1547"/>
        <v>0</v>
      </c>
      <c r="BK1166" s="1109">
        <f t="shared" si="1547"/>
        <v>0</v>
      </c>
      <c r="BL1166" s="1109">
        <f t="shared" si="1547"/>
        <v>0</v>
      </c>
    </row>
    <row r="1167" spans="2:64" hidden="1" outlineLevel="1">
      <c r="B1167" s="1094"/>
      <c r="C1167" s="1071" t="str">
        <f t="shared" ref="C1167:F1167" si="1548">C850</f>
        <v>VOIP Switch STBU</v>
      </c>
      <c r="D1167" s="1071" t="str">
        <f t="shared" si="1548"/>
        <v>VOIP Switch</v>
      </c>
      <c r="E1167" s="1071" t="str">
        <f t="shared" si="1548"/>
        <v>S005A</v>
      </c>
      <c r="F1167" s="1125" t="str">
        <f t="shared" si="1548"/>
        <v>2021-2024</v>
      </c>
      <c r="H1167" s="1071" t="s">
        <v>29</v>
      </c>
      <c r="BB1167" s="1108"/>
      <c r="BC1167" s="1109"/>
      <c r="BD1167" s="1109"/>
      <c r="BE1167" s="1109"/>
      <c r="BF1167" s="1109"/>
      <c r="BG1167" s="1109"/>
      <c r="BH1167" s="1109">
        <f t="shared" ref="BH1167:BL1167" si="1549">BH503*$BA200</f>
        <v>0</v>
      </c>
      <c r="BI1167" s="1109">
        <f t="shared" si="1549"/>
        <v>0</v>
      </c>
      <c r="BJ1167" s="1109">
        <f t="shared" si="1549"/>
        <v>0</v>
      </c>
      <c r="BK1167" s="1109">
        <f t="shared" si="1549"/>
        <v>7.5</v>
      </c>
      <c r="BL1167" s="1109">
        <f t="shared" si="1549"/>
        <v>30</v>
      </c>
    </row>
    <row r="1168" spans="2:64" hidden="1" outlineLevel="1">
      <c r="B1168" s="1094"/>
      <c r="C1168" s="1071" t="str">
        <f t="shared" ref="C1168:F1168" si="1550">C851</f>
        <v>VOIP Test &amp; backup Ballycasey</v>
      </c>
      <c r="D1168" s="1071" t="str">
        <f t="shared" si="1550"/>
        <v>VOIP Switch</v>
      </c>
      <c r="E1168" s="1071" t="str">
        <f t="shared" si="1550"/>
        <v>S005A</v>
      </c>
      <c r="F1168" s="1125" t="str">
        <f t="shared" si="1550"/>
        <v>2021-2024</v>
      </c>
      <c r="H1168" s="1071" t="s">
        <v>29</v>
      </c>
      <c r="BB1168" s="1108"/>
      <c r="BC1168" s="1109"/>
      <c r="BD1168" s="1109"/>
      <c r="BE1168" s="1109"/>
      <c r="BF1168" s="1109"/>
      <c r="BG1168" s="1109"/>
      <c r="BH1168" s="1109">
        <f t="shared" ref="BH1168:BL1168" si="1551">BH504*$BA201</f>
        <v>0</v>
      </c>
      <c r="BI1168" s="1109">
        <f t="shared" si="1551"/>
        <v>0</v>
      </c>
      <c r="BJ1168" s="1109">
        <f t="shared" si="1551"/>
        <v>0</v>
      </c>
      <c r="BK1168" s="1109">
        <f t="shared" si="1551"/>
        <v>3.339375</v>
      </c>
      <c r="BL1168" s="1109">
        <f t="shared" si="1551"/>
        <v>13.3575</v>
      </c>
    </row>
    <row r="1169" spans="2:64" hidden="1" outlineLevel="1">
      <c r="B1169" s="1094"/>
      <c r="C1169" s="1071" t="str">
        <f t="shared" ref="C1169:F1169" si="1552">C852</f>
        <v>North Dublin Radar Building</v>
      </c>
      <c r="D1169" s="1071" t="str">
        <f t="shared" si="1552"/>
        <v>North Dublin Radar Building</v>
      </c>
      <c r="E1169" s="1071" t="str">
        <f t="shared" si="1552"/>
        <v>T006</v>
      </c>
      <c r="F1169" s="1125" t="str">
        <f t="shared" si="1552"/>
        <v>2021-2024</v>
      </c>
      <c r="H1169" s="1071" t="s">
        <v>29</v>
      </c>
      <c r="BB1169" s="1108"/>
      <c r="BC1169" s="1109"/>
      <c r="BD1169" s="1109"/>
      <c r="BE1169" s="1109"/>
      <c r="BF1169" s="1109"/>
      <c r="BG1169" s="1109"/>
      <c r="BH1169" s="1109">
        <f t="shared" ref="BH1169:BL1169" si="1553">BH505*$BA202</f>
        <v>0</v>
      </c>
      <c r="BI1169" s="1109">
        <f t="shared" si="1553"/>
        <v>0</v>
      </c>
      <c r="BJ1169" s="1109">
        <f t="shared" si="1553"/>
        <v>13.05</v>
      </c>
      <c r="BK1169" s="1109">
        <f t="shared" si="1553"/>
        <v>17.399999999999999</v>
      </c>
      <c r="BL1169" s="1109">
        <f t="shared" si="1553"/>
        <v>17.399999999999999</v>
      </c>
    </row>
    <row r="1170" spans="2:64" hidden="1" outlineLevel="1">
      <c r="B1170" s="1094"/>
      <c r="C1170" s="1071" t="str">
        <f t="shared" ref="C1170:F1170" si="1554">C853</f>
        <v>Structural Upgrades Dublin ACC</v>
      </c>
      <c r="D1170" s="1071" t="str">
        <f t="shared" si="1554"/>
        <v>Structural Upgrades</v>
      </c>
      <c r="E1170" s="1071" t="str">
        <f t="shared" si="1554"/>
        <v>RP3-PROP-4</v>
      </c>
      <c r="F1170" s="1125" t="str">
        <f t="shared" si="1554"/>
        <v>2021-2024</v>
      </c>
      <c r="H1170" s="1071" t="s">
        <v>29</v>
      </c>
      <c r="BB1170" s="1108"/>
      <c r="BC1170" s="1109"/>
      <c r="BD1170" s="1109"/>
      <c r="BE1170" s="1109"/>
      <c r="BF1170" s="1109"/>
      <c r="BG1170" s="1109"/>
      <c r="BH1170" s="1109">
        <f t="shared" ref="BH1170:BL1170" si="1555">BH506*$BA203</f>
        <v>0</v>
      </c>
      <c r="BI1170" s="1109">
        <f t="shared" si="1555"/>
        <v>0</v>
      </c>
      <c r="BJ1170" s="1109">
        <f t="shared" si="1555"/>
        <v>0</v>
      </c>
      <c r="BK1170" s="1109">
        <f t="shared" si="1555"/>
        <v>0</v>
      </c>
      <c r="BL1170" s="1109">
        <f t="shared" si="1555"/>
        <v>19.375</v>
      </c>
    </row>
    <row r="1171" spans="2:64" hidden="1" outlineLevel="1">
      <c r="B1171" s="1094"/>
      <c r="C1171" s="1071" t="str">
        <f t="shared" ref="C1171:F1171" si="1556">C854</f>
        <v>Structural Upgrades Ballycasey ACC</v>
      </c>
      <c r="D1171" s="1071" t="str">
        <f t="shared" si="1556"/>
        <v>Structural Upgrades</v>
      </c>
      <c r="E1171" s="1071" t="str">
        <f t="shared" si="1556"/>
        <v>RP3-PROP-4</v>
      </c>
      <c r="F1171" s="1125" t="str">
        <f t="shared" si="1556"/>
        <v>2021-2024</v>
      </c>
      <c r="H1171" s="1071" t="s">
        <v>29</v>
      </c>
      <c r="BB1171" s="1108"/>
      <c r="BC1171" s="1109"/>
      <c r="BD1171" s="1109"/>
      <c r="BE1171" s="1109"/>
      <c r="BF1171" s="1109"/>
      <c r="BG1171" s="1109"/>
      <c r="BH1171" s="1109">
        <f t="shared" ref="BH1171:BL1171" si="1557">BH507*$BA204</f>
        <v>0</v>
      </c>
      <c r="BI1171" s="1109">
        <f t="shared" si="1557"/>
        <v>0</v>
      </c>
      <c r="BJ1171" s="1109">
        <f t="shared" si="1557"/>
        <v>0</v>
      </c>
      <c r="BK1171" s="1109">
        <f t="shared" si="1557"/>
        <v>0</v>
      </c>
      <c r="BL1171" s="1109">
        <f t="shared" si="1557"/>
        <v>0</v>
      </c>
    </row>
    <row r="1172" spans="2:64" hidden="1" outlineLevel="1">
      <c r="B1172" s="1094"/>
      <c r="C1172" s="1071" t="str">
        <f t="shared" ref="C1172:F1172" si="1558">C855</f>
        <v>Structural Upgrades Shannon Air Traffic Control Tower</v>
      </c>
      <c r="D1172" s="1071" t="str">
        <f t="shared" si="1558"/>
        <v>Structural Upgrades</v>
      </c>
      <c r="E1172" s="1071" t="str">
        <f t="shared" si="1558"/>
        <v>RP3-PROP-4</v>
      </c>
      <c r="F1172" s="1125" t="str">
        <f t="shared" si="1558"/>
        <v>2021-2024</v>
      </c>
      <c r="H1172" s="1071" t="s">
        <v>29</v>
      </c>
      <c r="BB1172" s="1108"/>
      <c r="BC1172" s="1109"/>
      <c r="BD1172" s="1109"/>
      <c r="BE1172" s="1109"/>
      <c r="BF1172" s="1109"/>
      <c r="BG1172" s="1109"/>
      <c r="BH1172" s="1109">
        <f t="shared" ref="BH1172:BL1172" si="1559">BH508*$BA205</f>
        <v>0</v>
      </c>
      <c r="BI1172" s="1109">
        <f t="shared" si="1559"/>
        <v>0</v>
      </c>
      <c r="BJ1172" s="1109">
        <f t="shared" si="1559"/>
        <v>0</v>
      </c>
      <c r="BK1172" s="1109">
        <f t="shared" si="1559"/>
        <v>15.5</v>
      </c>
      <c r="BL1172" s="1109">
        <f t="shared" si="1559"/>
        <v>15.5</v>
      </c>
    </row>
    <row r="1173" spans="2:64" hidden="1" outlineLevel="1">
      <c r="B1173" s="1094"/>
      <c r="C1173" s="1071" t="str">
        <f t="shared" ref="C1173:F1173" si="1560">C856</f>
        <v>Restrucuring IT Costs ANSP</v>
      </c>
      <c r="D1173" s="1071" t="str">
        <f t="shared" si="1560"/>
        <v>Restrucuring IT Costs ANSP</v>
      </c>
      <c r="E1173" s="1071" t="str">
        <f t="shared" si="1560"/>
        <v>U022</v>
      </c>
      <c r="F1173" s="1125" t="str">
        <f t="shared" si="1560"/>
        <v>2021-2024</v>
      </c>
      <c r="H1173" s="1071" t="s">
        <v>29</v>
      </c>
      <c r="BB1173" s="1108"/>
      <c r="BC1173" s="1109"/>
      <c r="BD1173" s="1109"/>
      <c r="BE1173" s="1109"/>
      <c r="BF1173" s="1109"/>
      <c r="BG1173" s="1109"/>
      <c r="BH1173" s="1109">
        <f t="shared" ref="BH1173:BL1173" si="1561">BH509*$BA206</f>
        <v>0</v>
      </c>
      <c r="BI1173" s="1109">
        <f t="shared" si="1561"/>
        <v>0</v>
      </c>
      <c r="BJ1173" s="1109">
        <f t="shared" si="1561"/>
        <v>73.92</v>
      </c>
      <c r="BK1173" s="1109">
        <f t="shared" si="1561"/>
        <v>73.92</v>
      </c>
      <c r="BL1173" s="1109">
        <f t="shared" si="1561"/>
        <v>73.92</v>
      </c>
    </row>
    <row r="1174" spans="2:64" hidden="1" outlineLevel="1">
      <c r="B1174" s="1094"/>
      <c r="C1174" s="1071" t="str">
        <f t="shared" ref="C1174:F1174" si="1562">C857</f>
        <v>Conditional Surveys</v>
      </c>
      <c r="D1174" s="1071" t="str">
        <f t="shared" si="1562"/>
        <v>Conditional Surveys</v>
      </c>
      <c r="E1174" s="1071" t="str">
        <f t="shared" si="1562"/>
        <v>RP3-PROP-1</v>
      </c>
      <c r="F1174" s="1125" t="str">
        <f t="shared" si="1562"/>
        <v>2021-2024</v>
      </c>
      <c r="H1174" s="1071" t="s">
        <v>29</v>
      </c>
      <c r="BB1174" s="1108"/>
      <c r="BC1174" s="1109"/>
      <c r="BD1174" s="1109"/>
      <c r="BE1174" s="1109"/>
      <c r="BF1174" s="1109"/>
      <c r="BG1174" s="1109"/>
      <c r="BH1174" s="1109">
        <f t="shared" ref="BH1174:BL1174" si="1563">BH510*$BA207</f>
        <v>0</v>
      </c>
      <c r="BI1174" s="1109">
        <f t="shared" si="1563"/>
        <v>0</v>
      </c>
      <c r="BJ1174" s="1109">
        <f t="shared" si="1563"/>
        <v>0</v>
      </c>
      <c r="BK1174" s="1109">
        <f t="shared" si="1563"/>
        <v>0</v>
      </c>
      <c r="BL1174" s="1109">
        <f t="shared" si="1563"/>
        <v>0</v>
      </c>
    </row>
    <row r="1175" spans="2:64" hidden="1" outlineLevel="1">
      <c r="B1175" s="1094"/>
      <c r="C1175" s="1071" t="str">
        <f t="shared" ref="C1175:F1175" si="1564">C858</f>
        <v>Conditional Surveys Shannon En Route</v>
      </c>
      <c r="D1175" s="1071" t="str">
        <f t="shared" si="1564"/>
        <v>Conditional Surveys</v>
      </c>
      <c r="E1175" s="1071" t="str">
        <f t="shared" si="1564"/>
        <v>RP3-PROP-1</v>
      </c>
      <c r="F1175" s="1125" t="str">
        <f t="shared" si="1564"/>
        <v>2021-2024</v>
      </c>
      <c r="H1175" s="1071" t="s">
        <v>29</v>
      </c>
      <c r="BB1175" s="1108"/>
      <c r="BC1175" s="1109"/>
      <c r="BD1175" s="1109"/>
      <c r="BE1175" s="1109"/>
      <c r="BF1175" s="1109"/>
      <c r="BG1175" s="1109"/>
      <c r="BH1175" s="1109">
        <f t="shared" ref="BH1175:BL1175" si="1565">BH511*$BA208</f>
        <v>0</v>
      </c>
      <c r="BI1175" s="1109">
        <f t="shared" si="1565"/>
        <v>0</v>
      </c>
      <c r="BJ1175" s="1109">
        <f t="shared" si="1565"/>
        <v>0</v>
      </c>
      <c r="BK1175" s="1109">
        <f t="shared" si="1565"/>
        <v>0</v>
      </c>
      <c r="BL1175" s="1109">
        <f t="shared" si="1565"/>
        <v>0</v>
      </c>
    </row>
    <row r="1176" spans="2:64" hidden="1" outlineLevel="1">
      <c r="B1176" s="1094"/>
      <c r="C1176" s="1071" t="str">
        <f t="shared" ref="C1176:F1176" si="1566">C859</f>
        <v>Conditional Surveys Shannon Joint</v>
      </c>
      <c r="D1176" s="1071" t="str">
        <f t="shared" si="1566"/>
        <v>Conditional Surveys</v>
      </c>
      <c r="E1176" s="1071" t="str">
        <f t="shared" si="1566"/>
        <v>RP3-PROP-1</v>
      </c>
      <c r="F1176" s="1125" t="str">
        <f t="shared" si="1566"/>
        <v>2021-2024</v>
      </c>
      <c r="H1176" s="1071" t="s">
        <v>29</v>
      </c>
      <c r="BB1176" s="1108"/>
      <c r="BC1176" s="1109"/>
      <c r="BD1176" s="1109"/>
      <c r="BE1176" s="1109"/>
      <c r="BF1176" s="1109"/>
      <c r="BG1176" s="1109"/>
      <c r="BH1176" s="1109">
        <f t="shared" ref="BH1176:BL1176" si="1567">BH512*$BA209</f>
        <v>0</v>
      </c>
      <c r="BI1176" s="1109">
        <f t="shared" si="1567"/>
        <v>0</v>
      </c>
      <c r="BJ1176" s="1109">
        <f t="shared" si="1567"/>
        <v>0</v>
      </c>
      <c r="BK1176" s="1109">
        <f t="shared" si="1567"/>
        <v>6.8750000000000006E-2</v>
      </c>
      <c r="BL1176" s="1109">
        <f t="shared" si="1567"/>
        <v>0.77500000000000002</v>
      </c>
    </row>
    <row r="1177" spans="2:64" hidden="1" outlineLevel="1">
      <c r="B1177" s="1094"/>
      <c r="C1177" s="1071" t="str">
        <f t="shared" ref="C1177:F1177" si="1568">C860</f>
        <v>Conditional Surveys Shannon Terminal</v>
      </c>
      <c r="D1177" s="1071" t="str">
        <f t="shared" si="1568"/>
        <v>Conditional Surveys</v>
      </c>
      <c r="E1177" s="1071" t="str">
        <f t="shared" si="1568"/>
        <v>RP3-PROP-1</v>
      </c>
      <c r="F1177" s="1125" t="str">
        <f t="shared" si="1568"/>
        <v>2021-2024</v>
      </c>
      <c r="H1177" s="1071" t="s">
        <v>29</v>
      </c>
      <c r="BB1177" s="1108"/>
      <c r="BC1177" s="1109"/>
      <c r="BD1177" s="1109"/>
      <c r="BE1177" s="1109"/>
      <c r="BF1177" s="1109"/>
      <c r="BG1177" s="1109"/>
      <c r="BH1177" s="1109">
        <f t="shared" ref="BH1177:BL1177" si="1569">BH513*$BA210</f>
        <v>0</v>
      </c>
      <c r="BI1177" s="1109">
        <f t="shared" si="1569"/>
        <v>0</v>
      </c>
      <c r="BJ1177" s="1109">
        <f t="shared" si="1569"/>
        <v>11.541</v>
      </c>
      <c r="BK1177" s="1109">
        <f t="shared" si="1569"/>
        <v>29.388000000000002</v>
      </c>
      <c r="BL1177" s="1109">
        <f t="shared" si="1569"/>
        <v>29.388000000000002</v>
      </c>
    </row>
    <row r="1178" spans="2:64" hidden="1" outlineLevel="1">
      <c r="B1178" s="1094"/>
      <c r="C1178" s="1071" t="str">
        <f t="shared" ref="C1178:F1178" si="1570">C861</f>
        <v>Conditional Surveys Dublin Joint</v>
      </c>
      <c r="D1178" s="1071" t="str">
        <f t="shared" si="1570"/>
        <v>Conditional Surveys</v>
      </c>
      <c r="E1178" s="1071" t="str">
        <f t="shared" si="1570"/>
        <v>RP3-PROP-1</v>
      </c>
      <c r="F1178" s="1125" t="str">
        <f t="shared" si="1570"/>
        <v>2021-2024</v>
      </c>
      <c r="H1178" s="1071" t="s">
        <v>29</v>
      </c>
      <c r="BB1178" s="1108"/>
      <c r="BC1178" s="1109"/>
      <c r="BD1178" s="1109"/>
      <c r="BE1178" s="1109"/>
      <c r="BF1178" s="1109"/>
      <c r="BG1178" s="1109"/>
      <c r="BH1178" s="1109">
        <f t="shared" ref="BH1178:BL1178" si="1571">BH514*$BA211</f>
        <v>0</v>
      </c>
      <c r="BI1178" s="1109">
        <f t="shared" si="1571"/>
        <v>0</v>
      </c>
      <c r="BJ1178" s="1109">
        <f t="shared" si="1571"/>
        <v>0.38750000000000001</v>
      </c>
      <c r="BK1178" s="1109">
        <f t="shared" si="1571"/>
        <v>0.77500000000000002</v>
      </c>
      <c r="BL1178" s="1109">
        <f t="shared" si="1571"/>
        <v>1.0375000000000001</v>
      </c>
    </row>
    <row r="1179" spans="2:64" hidden="1" outlineLevel="1">
      <c r="B1179" s="1094"/>
      <c r="C1179" s="1071" t="str">
        <f t="shared" ref="C1179:F1179" si="1572">C862</f>
        <v>Conditional Surveys Cork Terminal</v>
      </c>
      <c r="D1179" s="1071" t="str">
        <f t="shared" si="1572"/>
        <v>Conditional Surveys</v>
      </c>
      <c r="E1179" s="1071" t="str">
        <f t="shared" si="1572"/>
        <v>RP3-PROP-1</v>
      </c>
      <c r="F1179" s="1125" t="str">
        <f t="shared" si="1572"/>
        <v>2021-2024</v>
      </c>
      <c r="H1179" s="1071" t="s">
        <v>29</v>
      </c>
      <c r="BB1179" s="1108"/>
      <c r="BC1179" s="1109"/>
      <c r="BD1179" s="1109"/>
      <c r="BE1179" s="1109"/>
      <c r="BF1179" s="1109"/>
      <c r="BG1179" s="1109"/>
      <c r="BH1179" s="1109">
        <f t="shared" ref="BH1179:BL1179" si="1573">BH515*$BA212</f>
        <v>0</v>
      </c>
      <c r="BI1179" s="1109">
        <f t="shared" si="1573"/>
        <v>0</v>
      </c>
      <c r="BJ1179" s="1109">
        <f t="shared" si="1573"/>
        <v>0</v>
      </c>
      <c r="BK1179" s="1109">
        <f t="shared" si="1573"/>
        <v>1.7437499999999999</v>
      </c>
      <c r="BL1179" s="1109">
        <f t="shared" si="1573"/>
        <v>4.6500000000000004</v>
      </c>
    </row>
    <row r="1180" spans="2:64" hidden="1" outlineLevel="1">
      <c r="B1180" s="1094"/>
      <c r="C1180" s="1071" t="str">
        <f t="shared" ref="C1180:F1180" si="1574">C863</f>
        <v>Replacement Dublin 2 RADAR Existing</v>
      </c>
      <c r="D1180" s="1071" t="str">
        <f t="shared" si="1574"/>
        <v>Replacement Dublin 2 RADAR</v>
      </c>
      <c r="E1180" s="1071" t="str">
        <f t="shared" si="1574"/>
        <v>Q012</v>
      </c>
      <c r="F1180" s="1125" t="str">
        <f t="shared" si="1574"/>
        <v>2021-2024</v>
      </c>
      <c r="H1180" s="1071" t="s">
        <v>29</v>
      </c>
      <c r="BB1180" s="1108"/>
      <c r="BC1180" s="1109"/>
      <c r="BD1180" s="1109"/>
      <c r="BE1180" s="1109"/>
      <c r="BF1180" s="1109"/>
      <c r="BG1180" s="1109"/>
      <c r="BH1180" s="1109">
        <f t="shared" ref="BH1180:BL1180" si="1575">BH516*$BA213</f>
        <v>0</v>
      </c>
      <c r="BI1180" s="1109">
        <f t="shared" si="1575"/>
        <v>0</v>
      </c>
      <c r="BJ1180" s="1109">
        <f t="shared" si="1575"/>
        <v>0</v>
      </c>
      <c r="BK1180" s="1109">
        <f t="shared" si="1575"/>
        <v>0</v>
      </c>
      <c r="BL1180" s="1109">
        <f t="shared" si="1575"/>
        <v>0</v>
      </c>
    </row>
    <row r="1181" spans="2:64" hidden="1" outlineLevel="1">
      <c r="B1181" s="1094"/>
      <c r="C1181" s="1071" t="str">
        <f t="shared" ref="C1181:F1181" si="1576">C864</f>
        <v>Replacement Dublin 2 RADAR New (Phase 2)</v>
      </c>
      <c r="D1181" s="1071" t="str">
        <f t="shared" si="1576"/>
        <v>Replacement Dublin 2 RADAR</v>
      </c>
      <c r="E1181" s="1071" t="str">
        <f t="shared" si="1576"/>
        <v>Q012A</v>
      </c>
      <c r="F1181" s="1125" t="str">
        <f t="shared" si="1576"/>
        <v>2021-2024</v>
      </c>
      <c r="H1181" s="1071" t="s">
        <v>29</v>
      </c>
      <c r="BB1181" s="1108"/>
      <c r="BC1181" s="1109"/>
      <c r="BD1181" s="1109"/>
      <c r="BE1181" s="1109"/>
      <c r="BF1181" s="1109"/>
      <c r="BG1181" s="1109"/>
      <c r="BH1181" s="1109">
        <f t="shared" ref="BH1181:BL1181" si="1577">BH517*$BA214</f>
        <v>0</v>
      </c>
      <c r="BI1181" s="1109">
        <f t="shared" si="1577"/>
        <v>0</v>
      </c>
      <c r="BJ1181" s="1109">
        <f t="shared" si="1577"/>
        <v>8.2461166666666674</v>
      </c>
      <c r="BK1181" s="1109">
        <f t="shared" si="1577"/>
        <v>32.98446666666667</v>
      </c>
      <c r="BL1181" s="1109">
        <f t="shared" si="1577"/>
        <v>32.98446666666667</v>
      </c>
    </row>
    <row r="1182" spans="2:64" hidden="1" outlineLevel="1">
      <c r="B1182" s="1094"/>
      <c r="C1182" s="1071" t="str">
        <f t="shared" ref="C1182:F1182" si="1578">C865</f>
        <v>Cork ATC Building Upgrade</v>
      </c>
      <c r="D1182" s="1071" t="str">
        <f t="shared" si="1578"/>
        <v>Cork ATC Building Upgrade</v>
      </c>
      <c r="E1182" s="1071" t="str">
        <f t="shared" si="1578"/>
        <v>U016</v>
      </c>
      <c r="F1182" s="1125" t="str">
        <f t="shared" si="1578"/>
        <v>2021-2024</v>
      </c>
      <c r="H1182" s="1071" t="s">
        <v>29</v>
      </c>
      <c r="BB1182" s="1108"/>
      <c r="BC1182" s="1109"/>
      <c r="BD1182" s="1109"/>
      <c r="BE1182" s="1109"/>
      <c r="BF1182" s="1109"/>
      <c r="BG1182" s="1109"/>
      <c r="BH1182" s="1109">
        <f t="shared" ref="BH1182:BL1182" si="1579">BH518*$BA215</f>
        <v>0</v>
      </c>
      <c r="BI1182" s="1109">
        <f t="shared" si="1579"/>
        <v>0</v>
      </c>
      <c r="BJ1182" s="1109">
        <f t="shared" si="1579"/>
        <v>0</v>
      </c>
      <c r="BK1182" s="1109">
        <f t="shared" si="1579"/>
        <v>0</v>
      </c>
      <c r="BL1182" s="1109">
        <f t="shared" si="1579"/>
        <v>55.8</v>
      </c>
    </row>
    <row r="1183" spans="2:64" hidden="1" outlineLevel="1">
      <c r="B1183" s="1094"/>
      <c r="C1183" s="1071" t="str">
        <f t="shared" ref="C1183:F1183" si="1580">C866</f>
        <v>Energy Management Upgrades</v>
      </c>
      <c r="D1183" s="1071" t="str">
        <f t="shared" si="1580"/>
        <v>Energy Management Upgrades</v>
      </c>
      <c r="E1183" s="1071" t="str">
        <f t="shared" si="1580"/>
        <v>T007</v>
      </c>
      <c r="F1183" s="1125" t="str">
        <f t="shared" si="1580"/>
        <v>2021-2024</v>
      </c>
      <c r="H1183" s="1071" t="s">
        <v>29</v>
      </c>
      <c r="BB1183" s="1108"/>
      <c r="BC1183" s="1109"/>
      <c r="BD1183" s="1109"/>
      <c r="BE1183" s="1109"/>
      <c r="BF1183" s="1109"/>
      <c r="BG1183" s="1109"/>
      <c r="BH1183" s="1109">
        <f t="shared" ref="BH1183:BL1183" si="1581">BH519*$BA216</f>
        <v>0</v>
      </c>
      <c r="BI1183" s="1109">
        <f t="shared" si="1581"/>
        <v>0</v>
      </c>
      <c r="BJ1183" s="1109">
        <f t="shared" si="1581"/>
        <v>0</v>
      </c>
      <c r="BK1183" s="1109">
        <f t="shared" si="1581"/>
        <v>0</v>
      </c>
      <c r="BL1183" s="1109">
        <f t="shared" si="1581"/>
        <v>0</v>
      </c>
    </row>
    <row r="1184" spans="2:64" hidden="1" outlineLevel="1">
      <c r="B1184" s="1094"/>
      <c r="C1184" s="1071" t="str">
        <f t="shared" ref="C1184:F1184" si="1582">C867</f>
        <v>Energy Management Upgrades Dublin</v>
      </c>
      <c r="D1184" s="1071" t="str">
        <f t="shared" si="1582"/>
        <v>Energy Management Upgrades</v>
      </c>
      <c r="E1184" s="1071" t="str">
        <f t="shared" si="1582"/>
        <v>T007A</v>
      </c>
      <c r="F1184" s="1125" t="str">
        <f t="shared" si="1582"/>
        <v>2021-2024</v>
      </c>
      <c r="H1184" s="1071" t="s">
        <v>29</v>
      </c>
      <c r="BB1184" s="1108"/>
      <c r="BC1184" s="1109"/>
      <c r="BD1184" s="1109"/>
      <c r="BE1184" s="1109"/>
      <c r="BF1184" s="1109"/>
      <c r="BG1184" s="1109"/>
      <c r="BH1184" s="1109">
        <f t="shared" ref="BH1184:BL1184" si="1583">BH520*$BA217</f>
        <v>0</v>
      </c>
      <c r="BI1184" s="1109">
        <f t="shared" si="1583"/>
        <v>5.9954222222222233</v>
      </c>
      <c r="BJ1184" s="1109">
        <f t="shared" si="1583"/>
        <v>16.400844444444452</v>
      </c>
      <c r="BK1184" s="1109">
        <f t="shared" si="1583"/>
        <v>16.779733333333343</v>
      </c>
      <c r="BL1184" s="1109">
        <f t="shared" si="1583"/>
        <v>16.779733333333343</v>
      </c>
    </row>
    <row r="1185" spans="2:64" hidden="1" outlineLevel="1">
      <c r="B1185" s="1094"/>
      <c r="C1185" s="1071" t="str">
        <f t="shared" ref="C1185:F1185" si="1584">C868</f>
        <v>Energy Management Upgrades Shannon</v>
      </c>
      <c r="D1185" s="1071" t="str">
        <f t="shared" si="1584"/>
        <v>Energy Management Upgrades</v>
      </c>
      <c r="E1185" s="1071" t="str">
        <f t="shared" si="1584"/>
        <v>T007A</v>
      </c>
      <c r="F1185" s="1125" t="str">
        <f t="shared" si="1584"/>
        <v>2021-2024</v>
      </c>
      <c r="H1185" s="1071" t="s">
        <v>29</v>
      </c>
      <c r="BB1185" s="1108"/>
      <c r="BC1185" s="1109"/>
      <c r="BD1185" s="1109"/>
      <c r="BE1185" s="1109"/>
      <c r="BF1185" s="1109"/>
      <c r="BG1185" s="1109"/>
      <c r="BH1185" s="1109">
        <f t="shared" ref="BH1185:BL1185" si="1585">BH521*$BA218</f>
        <v>0</v>
      </c>
      <c r="BI1185" s="1109">
        <f t="shared" si="1585"/>
        <v>3.8133333333333339</v>
      </c>
      <c r="BJ1185" s="1109">
        <f t="shared" si="1585"/>
        <v>8.2933333333333348</v>
      </c>
      <c r="BK1185" s="1109">
        <f t="shared" si="1585"/>
        <v>8.2933333333333348</v>
      </c>
      <c r="BL1185" s="1109">
        <f t="shared" si="1585"/>
        <v>8.2933333333333348</v>
      </c>
    </row>
    <row r="1186" spans="2:64" hidden="1" outlineLevel="1">
      <c r="B1186" s="1094"/>
      <c r="C1186" s="1071" t="str">
        <f t="shared" ref="C1186:F1186" si="1586">C869</f>
        <v>Energy Management Upgrades Cork</v>
      </c>
      <c r="D1186" s="1071" t="str">
        <f t="shared" si="1586"/>
        <v>Energy Management Upgrades</v>
      </c>
      <c r="E1186" s="1071" t="str">
        <f t="shared" si="1586"/>
        <v>T007A</v>
      </c>
      <c r="F1186" s="1125" t="str">
        <f t="shared" si="1586"/>
        <v>2021-2024</v>
      </c>
      <c r="H1186" s="1071" t="s">
        <v>29</v>
      </c>
      <c r="BB1186" s="1108"/>
      <c r="BC1186" s="1109"/>
      <c r="BD1186" s="1109"/>
      <c r="BE1186" s="1109"/>
      <c r="BF1186" s="1109"/>
      <c r="BG1186" s="1109"/>
      <c r="BH1186" s="1109">
        <f t="shared" ref="BH1186:BL1186" si="1587">BH522*$BA219</f>
        <v>0</v>
      </c>
      <c r="BI1186" s="1109">
        <f t="shared" si="1587"/>
        <v>0.46000000000000008</v>
      </c>
      <c r="BJ1186" s="1109">
        <f t="shared" si="1587"/>
        <v>2.4000000000000004</v>
      </c>
      <c r="BK1186" s="1109">
        <f t="shared" si="1587"/>
        <v>2.4000000000000004</v>
      </c>
      <c r="BL1186" s="1109">
        <f t="shared" si="1587"/>
        <v>2.4000000000000004</v>
      </c>
    </row>
    <row r="1187" spans="2:64" hidden="1" outlineLevel="1">
      <c r="B1187" s="1094"/>
      <c r="C1187" s="1071" t="str">
        <f t="shared" ref="C1187:F1187" si="1588">C870</f>
        <v>National Security System Network</v>
      </c>
      <c r="D1187" s="1071" t="str">
        <f t="shared" si="1588"/>
        <v>National Security System Network</v>
      </c>
      <c r="E1187" s="1071" t="str">
        <f t="shared" si="1588"/>
        <v>U013</v>
      </c>
      <c r="F1187" s="1125" t="str">
        <f t="shared" si="1588"/>
        <v>2021-2024</v>
      </c>
      <c r="H1187" s="1071" t="s">
        <v>29</v>
      </c>
      <c r="BB1187" s="1108"/>
      <c r="BC1187" s="1109"/>
      <c r="BD1187" s="1109"/>
      <c r="BE1187" s="1109"/>
      <c r="BF1187" s="1109"/>
      <c r="BG1187" s="1109"/>
      <c r="BH1187" s="1109">
        <f t="shared" ref="BH1187:BL1187" si="1589">BH523*$BA220</f>
        <v>0</v>
      </c>
      <c r="BI1187" s="1109">
        <f t="shared" si="1589"/>
        <v>0</v>
      </c>
      <c r="BJ1187" s="1109">
        <f t="shared" si="1589"/>
        <v>7.265625</v>
      </c>
      <c r="BK1187" s="1109">
        <f t="shared" si="1589"/>
        <v>26.640625</v>
      </c>
      <c r="BL1187" s="1109">
        <f t="shared" si="1589"/>
        <v>38.75</v>
      </c>
    </row>
    <row r="1188" spans="2:64" hidden="1" outlineLevel="1">
      <c r="B1188" s="1094"/>
      <c r="C1188" s="1071" t="str">
        <f t="shared" ref="C1188:F1188" si="1590">C871</f>
        <v>Replacement Airfield Cabling</v>
      </c>
      <c r="D1188" s="1071" t="str">
        <f t="shared" si="1590"/>
        <v>Replacement Airfield Cabling</v>
      </c>
      <c r="E1188" s="1071" t="str">
        <f t="shared" si="1590"/>
        <v>R006</v>
      </c>
      <c r="F1188" s="1125" t="str">
        <f t="shared" si="1590"/>
        <v>2021-2024</v>
      </c>
      <c r="H1188" s="1071" t="s">
        <v>29</v>
      </c>
      <c r="BB1188" s="1108"/>
      <c r="BC1188" s="1109"/>
      <c r="BD1188" s="1109"/>
      <c r="BE1188" s="1109"/>
      <c r="BF1188" s="1109"/>
      <c r="BG1188" s="1109"/>
      <c r="BH1188" s="1109">
        <f t="shared" ref="BH1188:BL1188" si="1591">BH524*$BA221</f>
        <v>0</v>
      </c>
      <c r="BI1188" s="1109">
        <f t="shared" si="1591"/>
        <v>0</v>
      </c>
      <c r="BJ1188" s="1109">
        <f t="shared" si="1591"/>
        <v>0</v>
      </c>
      <c r="BK1188" s="1109">
        <f t="shared" si="1591"/>
        <v>0</v>
      </c>
      <c r="BL1188" s="1109">
        <f t="shared" si="1591"/>
        <v>0</v>
      </c>
    </row>
    <row r="1189" spans="2:64" hidden="1" outlineLevel="1">
      <c r="B1189" s="1094"/>
      <c r="C1189" s="1071" t="str">
        <f t="shared" ref="C1189:F1189" si="1592">C872</f>
        <v>Replacement Airfield Cabling Dublin</v>
      </c>
      <c r="D1189" s="1071" t="str">
        <f t="shared" si="1592"/>
        <v>Replacement Airfield Cabling</v>
      </c>
      <c r="E1189" s="1071" t="str">
        <f t="shared" si="1592"/>
        <v>R006A</v>
      </c>
      <c r="F1189" s="1125" t="str">
        <f t="shared" si="1592"/>
        <v>2021-2024</v>
      </c>
      <c r="H1189" s="1071" t="s">
        <v>29</v>
      </c>
      <c r="BB1189" s="1108"/>
      <c r="BC1189" s="1109"/>
      <c r="BD1189" s="1109"/>
      <c r="BE1189" s="1109"/>
      <c r="BF1189" s="1109"/>
      <c r="BG1189" s="1109"/>
      <c r="BH1189" s="1109">
        <f t="shared" ref="BH1189:BL1189" si="1593">BH525*$BA222</f>
        <v>0</v>
      </c>
      <c r="BI1189" s="1109">
        <f t="shared" si="1593"/>
        <v>0</v>
      </c>
      <c r="BJ1189" s="1109">
        <f t="shared" si="1593"/>
        <v>0</v>
      </c>
      <c r="BK1189" s="1109">
        <f t="shared" si="1593"/>
        <v>5.0999999999999996</v>
      </c>
      <c r="BL1189" s="1109">
        <f t="shared" si="1593"/>
        <v>20.399999999999999</v>
      </c>
    </row>
    <row r="1190" spans="2:64" hidden="1" outlineLevel="1">
      <c r="B1190" s="1094"/>
      <c r="C1190" s="1071" t="str">
        <f t="shared" ref="C1190:F1190" si="1594">C873</f>
        <v>Replacement Airfield Cabling Shannon</v>
      </c>
      <c r="D1190" s="1071" t="str">
        <f t="shared" si="1594"/>
        <v>Replacement Airfield Cabling</v>
      </c>
      <c r="E1190" s="1071" t="str">
        <f t="shared" si="1594"/>
        <v>R006A</v>
      </c>
      <c r="F1190" s="1125" t="str">
        <f t="shared" si="1594"/>
        <v>2021-2024</v>
      </c>
      <c r="H1190" s="1071" t="s">
        <v>29</v>
      </c>
      <c r="BB1190" s="1108"/>
      <c r="BC1190" s="1109"/>
      <c r="BD1190" s="1109"/>
      <c r="BE1190" s="1109"/>
      <c r="BF1190" s="1109"/>
      <c r="BG1190" s="1109"/>
      <c r="BH1190" s="1109">
        <f t="shared" ref="BH1190:BL1190" si="1595">BH526*$BA223</f>
        <v>0</v>
      </c>
      <c r="BI1190" s="1109">
        <f t="shared" si="1595"/>
        <v>0</v>
      </c>
      <c r="BJ1190" s="1109">
        <f t="shared" si="1595"/>
        <v>27.702872000000003</v>
      </c>
      <c r="BK1190" s="1109">
        <f t="shared" si="1595"/>
        <v>36.702871999999999</v>
      </c>
      <c r="BL1190" s="1109">
        <f t="shared" si="1595"/>
        <v>36.702871999999999</v>
      </c>
    </row>
    <row r="1191" spans="2:64" hidden="1" outlineLevel="1">
      <c r="B1191" s="1094"/>
      <c r="C1191" s="1071" t="str">
        <f t="shared" ref="C1191:F1191" si="1596">C874</f>
        <v>Replacement Airfield Cabling Cork</v>
      </c>
      <c r="D1191" s="1071" t="str">
        <f t="shared" si="1596"/>
        <v>Replacement Airfield Cabling</v>
      </c>
      <c r="E1191" s="1071" t="str">
        <f t="shared" si="1596"/>
        <v>R006A</v>
      </c>
      <c r="F1191" s="1125" t="str">
        <f t="shared" si="1596"/>
        <v>2021-2024</v>
      </c>
      <c r="H1191" s="1071" t="s">
        <v>29</v>
      </c>
      <c r="BB1191" s="1108"/>
      <c r="BC1191" s="1109"/>
      <c r="BD1191" s="1109"/>
      <c r="BE1191" s="1109"/>
      <c r="BF1191" s="1109"/>
      <c r="BG1191" s="1109"/>
      <c r="BH1191" s="1109">
        <f t="shared" ref="BH1191:BL1191" si="1597">BH527*$BA224</f>
        <v>0</v>
      </c>
      <c r="BI1191" s="1109">
        <f t="shared" si="1597"/>
        <v>0</v>
      </c>
      <c r="BJ1191" s="1109">
        <f t="shared" si="1597"/>
        <v>5</v>
      </c>
      <c r="BK1191" s="1109">
        <f t="shared" si="1597"/>
        <v>20</v>
      </c>
      <c r="BL1191" s="1109">
        <f t="shared" si="1597"/>
        <v>20</v>
      </c>
    </row>
    <row r="1192" spans="2:64" hidden="1" outlineLevel="1">
      <c r="B1192" s="1094"/>
      <c r="C1192" s="1071" t="str">
        <f t="shared" ref="C1192:F1192" si="1598">C875</f>
        <v>VHF Replacement Programme</v>
      </c>
      <c r="D1192" s="1071" t="str">
        <f t="shared" si="1598"/>
        <v>VHF Replacement Programme</v>
      </c>
      <c r="E1192" s="1071" t="str">
        <f t="shared" si="1598"/>
        <v>Q006</v>
      </c>
      <c r="F1192" s="1125" t="str">
        <f t="shared" si="1598"/>
        <v>2021-2024</v>
      </c>
      <c r="H1192" s="1071" t="s">
        <v>29</v>
      </c>
      <c r="BB1192" s="1108"/>
      <c r="BC1192" s="1109"/>
      <c r="BD1192" s="1109"/>
      <c r="BE1192" s="1109"/>
      <c r="BF1192" s="1109"/>
      <c r="BG1192" s="1109"/>
      <c r="BH1192" s="1109">
        <f t="shared" ref="BH1192:BL1192" si="1599">BH528*$BA225</f>
        <v>0</v>
      </c>
      <c r="BI1192" s="1109">
        <f t="shared" si="1599"/>
        <v>0</v>
      </c>
      <c r="BJ1192" s="1109">
        <f t="shared" si="1599"/>
        <v>0</v>
      </c>
      <c r="BK1192" s="1109">
        <f t="shared" si="1599"/>
        <v>0</v>
      </c>
      <c r="BL1192" s="1109">
        <f t="shared" si="1599"/>
        <v>0</v>
      </c>
    </row>
    <row r="1193" spans="2:64" hidden="1" outlineLevel="1">
      <c r="B1193" s="1094"/>
      <c r="C1193" s="1071" t="str">
        <f t="shared" ref="C1193:F1193" si="1600">C876</f>
        <v>VHF Replacement Dublin</v>
      </c>
      <c r="D1193" s="1071" t="str">
        <f t="shared" si="1600"/>
        <v>VHF Replacement Programme</v>
      </c>
      <c r="E1193" s="1071" t="str">
        <f t="shared" si="1600"/>
        <v>Q006A</v>
      </c>
      <c r="F1193" s="1125" t="str">
        <f t="shared" si="1600"/>
        <v>2021-2024</v>
      </c>
      <c r="H1193" s="1071" t="s">
        <v>29</v>
      </c>
      <c r="BB1193" s="1108"/>
      <c r="BC1193" s="1109"/>
      <c r="BD1193" s="1109"/>
      <c r="BE1193" s="1109"/>
      <c r="BF1193" s="1109"/>
      <c r="BG1193" s="1109"/>
      <c r="BH1193" s="1109">
        <f t="shared" ref="BH1193:BL1193" si="1601">BH529*$BA226</f>
        <v>0</v>
      </c>
      <c r="BI1193" s="1109">
        <f t="shared" si="1601"/>
        <v>10.428641000000001</v>
      </c>
      <c r="BJ1193" s="1109">
        <f t="shared" si="1601"/>
        <v>20.857282000000001</v>
      </c>
      <c r="BK1193" s="1109">
        <f t="shared" si="1601"/>
        <v>20.857282000000001</v>
      </c>
      <c r="BL1193" s="1109">
        <f t="shared" si="1601"/>
        <v>20.857282000000001</v>
      </c>
    </row>
    <row r="1194" spans="2:64" hidden="1" outlineLevel="1">
      <c r="B1194" s="1094"/>
      <c r="C1194" s="1071" t="str">
        <f t="shared" ref="C1194:F1194" si="1602">C877</f>
        <v>VHF Replacement Shannon</v>
      </c>
      <c r="D1194" s="1071" t="str">
        <f t="shared" si="1602"/>
        <v>VHF Replacement Programme</v>
      </c>
      <c r="E1194" s="1071" t="str">
        <f t="shared" si="1602"/>
        <v>Q006A</v>
      </c>
      <c r="F1194" s="1125" t="str">
        <f t="shared" si="1602"/>
        <v>2021-2024</v>
      </c>
      <c r="H1194" s="1071" t="s">
        <v>29</v>
      </c>
      <c r="BB1194" s="1108"/>
      <c r="BC1194" s="1109"/>
      <c r="BD1194" s="1109"/>
      <c r="BE1194" s="1109"/>
      <c r="BF1194" s="1109"/>
      <c r="BG1194" s="1109"/>
      <c r="BH1194" s="1109">
        <f t="shared" ref="BH1194:BL1194" si="1603">BH530*$BA227</f>
        <v>0</v>
      </c>
      <c r="BI1194" s="1109">
        <f t="shared" si="1603"/>
        <v>0</v>
      </c>
      <c r="BJ1194" s="1109">
        <f t="shared" si="1603"/>
        <v>0</v>
      </c>
      <c r="BK1194" s="1109">
        <f t="shared" si="1603"/>
        <v>6.625</v>
      </c>
      <c r="BL1194" s="1109">
        <f t="shared" si="1603"/>
        <v>13.25</v>
      </c>
    </row>
    <row r="1195" spans="2:64" hidden="1" outlineLevel="1">
      <c r="B1195" s="1094"/>
      <c r="C1195" s="1071" t="str">
        <f t="shared" ref="C1195:F1195" si="1604">C878</f>
        <v>VHF Replacement Cork</v>
      </c>
      <c r="D1195" s="1071" t="str">
        <f t="shared" si="1604"/>
        <v>VHF Replacement Programme</v>
      </c>
      <c r="E1195" s="1071" t="str">
        <f t="shared" si="1604"/>
        <v>Q006A</v>
      </c>
      <c r="F1195" s="1125" t="str">
        <f t="shared" si="1604"/>
        <v>2021-2024</v>
      </c>
      <c r="H1195" s="1071" t="s">
        <v>29</v>
      </c>
      <c r="BB1195" s="1108"/>
      <c r="BC1195" s="1109"/>
      <c r="BD1195" s="1109"/>
      <c r="BE1195" s="1109"/>
      <c r="BF1195" s="1109"/>
      <c r="BG1195" s="1109"/>
      <c r="BH1195" s="1109">
        <f t="shared" ref="BH1195:BL1195" si="1605">BH531*$BA228</f>
        <v>0</v>
      </c>
      <c r="BI1195" s="1109">
        <f t="shared" si="1605"/>
        <v>0</v>
      </c>
      <c r="BJ1195" s="1109">
        <f t="shared" si="1605"/>
        <v>30</v>
      </c>
      <c r="BK1195" s="1109">
        <f t="shared" si="1605"/>
        <v>30</v>
      </c>
      <c r="BL1195" s="1109">
        <f t="shared" si="1605"/>
        <v>30</v>
      </c>
    </row>
    <row r="1196" spans="2:64" hidden="1" outlineLevel="1">
      <c r="B1196" s="1094"/>
      <c r="C1196" s="1071" t="str">
        <f t="shared" ref="C1196:F1196" si="1606">C879</f>
        <v>VHF Replacement Remote Sites</v>
      </c>
      <c r="D1196" s="1071" t="str">
        <f t="shared" si="1606"/>
        <v>VHF Replacement Programme</v>
      </c>
      <c r="E1196" s="1071" t="str">
        <f t="shared" si="1606"/>
        <v>Q006A</v>
      </c>
      <c r="F1196" s="1125" t="str">
        <f t="shared" si="1606"/>
        <v>2021-2024</v>
      </c>
      <c r="H1196" s="1071" t="s">
        <v>29</v>
      </c>
      <c r="BB1196" s="1108"/>
      <c r="BC1196" s="1109"/>
      <c r="BD1196" s="1109"/>
      <c r="BE1196" s="1109"/>
      <c r="BF1196" s="1109"/>
      <c r="BG1196" s="1109"/>
      <c r="BH1196" s="1109">
        <f t="shared" ref="BH1196:BL1196" si="1607">BH532*$BA229</f>
        <v>0</v>
      </c>
      <c r="BI1196" s="1109">
        <f t="shared" si="1607"/>
        <v>0</v>
      </c>
      <c r="BJ1196" s="1109">
        <f t="shared" si="1607"/>
        <v>0</v>
      </c>
      <c r="BK1196" s="1109">
        <f t="shared" si="1607"/>
        <v>0</v>
      </c>
      <c r="BL1196" s="1109">
        <f t="shared" si="1607"/>
        <v>0</v>
      </c>
    </row>
    <row r="1197" spans="2:64" hidden="1" outlineLevel="1">
      <c r="B1197" s="1094"/>
      <c r="C1197" s="1071" t="str">
        <f t="shared" ref="C1197:F1197" si="1608">C880</f>
        <v>Met Server  SHN</v>
      </c>
      <c r="D1197" s="1071" t="str">
        <f t="shared" si="1608"/>
        <v>Met Server</v>
      </c>
      <c r="E1197" s="1071" t="str">
        <f t="shared" si="1608"/>
        <v>R016A</v>
      </c>
      <c r="F1197" s="1125" t="str">
        <f t="shared" si="1608"/>
        <v>2021-2024</v>
      </c>
      <c r="H1197" s="1071" t="s">
        <v>29</v>
      </c>
      <c r="BB1197" s="1108"/>
      <c r="BC1197" s="1109"/>
      <c r="BD1197" s="1109"/>
      <c r="BE1197" s="1109"/>
      <c r="BF1197" s="1109"/>
      <c r="BG1197" s="1109"/>
      <c r="BH1197" s="1109">
        <f t="shared" ref="BH1197:BL1197" si="1609">BH533*$BA230</f>
        <v>0</v>
      </c>
      <c r="BI1197" s="1109">
        <f t="shared" si="1609"/>
        <v>0</v>
      </c>
      <c r="BJ1197" s="1109">
        <f t="shared" si="1609"/>
        <v>5.5534462500000004</v>
      </c>
      <c r="BK1197" s="1109">
        <f t="shared" si="1609"/>
        <v>22.213785000000001</v>
      </c>
      <c r="BL1197" s="1109">
        <f t="shared" si="1609"/>
        <v>22.213785000000001</v>
      </c>
    </row>
    <row r="1198" spans="2:64" hidden="1" outlineLevel="1">
      <c r="B1198" s="1094"/>
      <c r="C1198" s="1071" t="str">
        <f t="shared" ref="C1198:F1198" si="1610">C881</f>
        <v>Met Server  DUB</v>
      </c>
      <c r="D1198" s="1071" t="str">
        <f t="shared" si="1610"/>
        <v>Met Server</v>
      </c>
      <c r="E1198" s="1071" t="str">
        <f t="shared" si="1610"/>
        <v>R016A</v>
      </c>
      <c r="F1198" s="1125" t="str">
        <f t="shared" si="1610"/>
        <v>2021-2024</v>
      </c>
      <c r="H1198" s="1071" t="s">
        <v>29</v>
      </c>
      <c r="BB1198" s="1108"/>
      <c r="BC1198" s="1109"/>
      <c r="BD1198" s="1109"/>
      <c r="BE1198" s="1109"/>
      <c r="BF1198" s="1109"/>
      <c r="BG1198" s="1109"/>
      <c r="BH1198" s="1109">
        <f t="shared" ref="BH1198:BL1198" si="1611">BH534*$BA231</f>
        <v>0</v>
      </c>
      <c r="BI1198" s="1109">
        <f t="shared" si="1611"/>
        <v>5.5534462500000004</v>
      </c>
      <c r="BJ1198" s="1109">
        <f t="shared" si="1611"/>
        <v>22.213785000000001</v>
      </c>
      <c r="BK1198" s="1109">
        <f t="shared" si="1611"/>
        <v>22.213785000000001</v>
      </c>
      <c r="BL1198" s="1109">
        <f t="shared" si="1611"/>
        <v>22.213785000000001</v>
      </c>
    </row>
    <row r="1199" spans="2:64" hidden="1" outlineLevel="1">
      <c r="B1199" s="1094"/>
      <c r="C1199" s="1071" t="str">
        <f t="shared" ref="C1199:F1199" si="1612">C882</f>
        <v>Fire Safey Upgrade Works</v>
      </c>
      <c r="D1199" s="1071" t="str">
        <f t="shared" si="1612"/>
        <v>Fire Safey Upgrade Works</v>
      </c>
      <c r="E1199" s="1071" t="str">
        <f t="shared" si="1612"/>
        <v>T008</v>
      </c>
      <c r="F1199" s="1125" t="str">
        <f t="shared" si="1612"/>
        <v>2021-2024</v>
      </c>
      <c r="H1199" s="1071" t="s">
        <v>29</v>
      </c>
      <c r="BB1199" s="1108"/>
      <c r="BC1199" s="1109"/>
      <c r="BD1199" s="1109"/>
      <c r="BE1199" s="1109"/>
      <c r="BF1199" s="1109"/>
      <c r="BG1199" s="1109"/>
      <c r="BH1199" s="1109">
        <f t="shared" ref="BH1199:BL1199" si="1613">BH535*$BA232</f>
        <v>0</v>
      </c>
      <c r="BI1199" s="1109">
        <f t="shared" si="1613"/>
        <v>0</v>
      </c>
      <c r="BJ1199" s="1109">
        <f t="shared" si="1613"/>
        <v>0</v>
      </c>
      <c r="BK1199" s="1109">
        <f t="shared" si="1613"/>
        <v>0</v>
      </c>
      <c r="BL1199" s="1109">
        <f t="shared" si="1613"/>
        <v>0</v>
      </c>
    </row>
    <row r="1200" spans="2:64" hidden="1" outlineLevel="1">
      <c r="B1200" s="1094"/>
      <c r="C1200" s="1071" t="str">
        <f t="shared" ref="C1200:F1200" si="1614">C883</f>
        <v>Fire Safey Upgrade Works Dublin</v>
      </c>
      <c r="D1200" s="1071" t="str">
        <f t="shared" si="1614"/>
        <v>Fire Safey Upgrade Works</v>
      </c>
      <c r="E1200" s="1071" t="str">
        <f t="shared" si="1614"/>
        <v>T008A</v>
      </c>
      <c r="F1200" s="1125" t="str">
        <f t="shared" si="1614"/>
        <v>2021-2024</v>
      </c>
      <c r="H1200" s="1071" t="s">
        <v>29</v>
      </c>
      <c r="BB1200" s="1108"/>
      <c r="BC1200" s="1109"/>
      <c r="BD1200" s="1109"/>
      <c r="BE1200" s="1109"/>
      <c r="BF1200" s="1109"/>
      <c r="BG1200" s="1109"/>
      <c r="BH1200" s="1109">
        <f t="shared" ref="BH1200:BL1200" si="1615">BH536*$BA233</f>
        <v>0</v>
      </c>
      <c r="BI1200" s="1109">
        <f t="shared" si="1615"/>
        <v>11.131834309914352</v>
      </c>
      <c r="BJ1200" s="1109">
        <f t="shared" si="1615"/>
        <v>43.531279079885806</v>
      </c>
      <c r="BK1200" s="1109">
        <f t="shared" si="1615"/>
        <v>45.003779079885803</v>
      </c>
      <c r="BL1200" s="1109">
        <f t="shared" si="1615"/>
        <v>45.003779079885803</v>
      </c>
    </row>
    <row r="1201" spans="2:64" hidden="1" outlineLevel="1">
      <c r="B1201" s="1094"/>
      <c r="C1201" s="1071" t="str">
        <f t="shared" ref="C1201:F1201" si="1616">C884</f>
        <v>Fire Safey Upgrade Works Shannon</v>
      </c>
      <c r="D1201" s="1071" t="str">
        <f t="shared" si="1616"/>
        <v>Fire Safey Upgrade Works</v>
      </c>
      <c r="E1201" s="1071" t="str">
        <f t="shared" si="1616"/>
        <v>T008A</v>
      </c>
      <c r="F1201" s="1125" t="str">
        <f t="shared" si="1616"/>
        <v>2021-2024</v>
      </c>
      <c r="H1201" s="1071" t="s">
        <v>29</v>
      </c>
      <c r="BB1201" s="1108"/>
      <c r="BC1201" s="1109"/>
      <c r="BD1201" s="1109"/>
      <c r="BE1201" s="1109"/>
      <c r="BF1201" s="1109"/>
      <c r="BG1201" s="1109"/>
      <c r="BH1201" s="1109">
        <f t="shared" ref="BH1201:BL1201" si="1617">BH537*$BA234</f>
        <v>0</v>
      </c>
      <c r="BI1201" s="1109">
        <f t="shared" si="1617"/>
        <v>9.3373537687563317</v>
      </c>
      <c r="BJ1201" s="1109">
        <f t="shared" si="1617"/>
        <v>12.449805025008441</v>
      </c>
      <c r="BK1201" s="1109">
        <f t="shared" si="1617"/>
        <v>12.449805025008441</v>
      </c>
      <c r="BL1201" s="1109">
        <f t="shared" si="1617"/>
        <v>12.449805025008441</v>
      </c>
    </row>
    <row r="1202" spans="2:64" hidden="1" outlineLevel="1">
      <c r="B1202" s="1094"/>
      <c r="C1202" s="1071" t="str">
        <f t="shared" ref="C1202:F1202" si="1618">C885</f>
        <v>Fire Safey Upgrade Works Cork</v>
      </c>
      <c r="D1202" s="1071" t="str">
        <f t="shared" si="1618"/>
        <v>Fire Safey Upgrade Works</v>
      </c>
      <c r="E1202" s="1071" t="str">
        <f t="shared" si="1618"/>
        <v>T008A</v>
      </c>
      <c r="F1202" s="1125" t="str">
        <f t="shared" si="1618"/>
        <v>2021-2024</v>
      </c>
      <c r="H1202" s="1071" t="s">
        <v>29</v>
      </c>
      <c r="BB1202" s="1108"/>
      <c r="BC1202" s="1109"/>
      <c r="BD1202" s="1109"/>
      <c r="BE1202" s="1109"/>
      <c r="BF1202" s="1109"/>
      <c r="BG1202" s="1109"/>
      <c r="BH1202" s="1109">
        <f t="shared" ref="BH1202:BL1202" si="1619">BH538*$BA235</f>
        <v>0</v>
      </c>
      <c r="BI1202" s="1109">
        <f t="shared" si="1619"/>
        <v>2.0307516344426482</v>
      </c>
      <c r="BJ1202" s="1109">
        <f t="shared" si="1619"/>
        <v>9.9630065377705925</v>
      </c>
      <c r="BK1202" s="1109">
        <f t="shared" si="1619"/>
        <v>9.9630065377705925</v>
      </c>
      <c r="BL1202" s="1109">
        <f t="shared" si="1619"/>
        <v>9.9630065377705925</v>
      </c>
    </row>
    <row r="1203" spans="2:64" hidden="1" outlineLevel="1">
      <c r="B1203" s="1094"/>
      <c r="C1203" s="1071" t="str">
        <f t="shared" ref="C1203:F1203" si="1620">C886</f>
        <v>IT Other Projects</v>
      </c>
      <c r="D1203" s="1071" t="str">
        <f t="shared" si="1620"/>
        <v>IT Other Projects</v>
      </c>
      <c r="E1203" s="1071" t="str">
        <f t="shared" si="1620"/>
        <v>RP3-ICTS-1</v>
      </c>
      <c r="F1203" s="1125" t="str">
        <f t="shared" si="1620"/>
        <v>2021-2024</v>
      </c>
      <c r="H1203" s="1071" t="s">
        <v>29</v>
      </c>
      <c r="BB1203" s="1108"/>
      <c r="BC1203" s="1109"/>
      <c r="BD1203" s="1109"/>
      <c r="BE1203" s="1109"/>
      <c r="BF1203" s="1109"/>
      <c r="BG1203" s="1109"/>
      <c r="BH1203" s="1109">
        <f t="shared" ref="BH1203:BL1203" si="1621">BH539*$BA236</f>
        <v>0</v>
      </c>
      <c r="BI1203" s="1109">
        <f t="shared" si="1621"/>
        <v>0</v>
      </c>
      <c r="BJ1203" s="1109">
        <f t="shared" si="1621"/>
        <v>1.40625</v>
      </c>
      <c r="BK1203" s="1109">
        <f t="shared" si="1621"/>
        <v>10.3125</v>
      </c>
      <c r="BL1203" s="1109">
        <f t="shared" si="1621"/>
        <v>19.875</v>
      </c>
    </row>
    <row r="1204" spans="2:64" hidden="1" outlineLevel="1">
      <c r="B1204" s="1094"/>
      <c r="C1204" s="1071" t="str">
        <f t="shared" ref="C1204:F1204" si="1622">C887</f>
        <v>Barco Screen Replacement - BCY</v>
      </c>
      <c r="D1204" s="1071" t="str">
        <f t="shared" si="1622"/>
        <v>Barco Screen Replacement</v>
      </c>
      <c r="E1204" s="1071" t="str">
        <f t="shared" si="1622"/>
        <v>RP3-SURV-4</v>
      </c>
      <c r="F1204" s="1125" t="str">
        <f t="shared" si="1622"/>
        <v>2021-2024</v>
      </c>
      <c r="H1204" s="1071" t="s">
        <v>29</v>
      </c>
      <c r="BB1204" s="1108"/>
      <c r="BC1204" s="1109"/>
      <c r="BD1204" s="1109"/>
      <c r="BE1204" s="1109"/>
      <c r="BF1204" s="1109"/>
      <c r="BG1204" s="1109"/>
      <c r="BH1204" s="1109">
        <f t="shared" ref="BH1204:BL1204" si="1623">BH540*$BA237</f>
        <v>0</v>
      </c>
      <c r="BI1204" s="1109">
        <f t="shared" si="1623"/>
        <v>0</v>
      </c>
      <c r="BJ1204" s="1109">
        <f t="shared" si="1623"/>
        <v>0</v>
      </c>
      <c r="BK1204" s="1109">
        <f t="shared" si="1623"/>
        <v>6.09375</v>
      </c>
      <c r="BL1204" s="1109">
        <f t="shared" si="1623"/>
        <v>24.375</v>
      </c>
    </row>
    <row r="1205" spans="2:64" hidden="1" outlineLevel="1">
      <c r="B1205" s="1094"/>
      <c r="C1205" s="1071" t="str">
        <f t="shared" ref="C1205:F1205" si="1624">C888</f>
        <v>Barco Screen Replacement - DAP</v>
      </c>
      <c r="D1205" s="1071" t="str">
        <f t="shared" si="1624"/>
        <v>Barco Screen Replacement</v>
      </c>
      <c r="E1205" s="1071" t="str">
        <f t="shared" si="1624"/>
        <v>RP3-SURV-4</v>
      </c>
      <c r="F1205" s="1125" t="str">
        <f t="shared" si="1624"/>
        <v>2021-2024</v>
      </c>
      <c r="H1205" s="1071" t="s">
        <v>29</v>
      </c>
      <c r="BB1205" s="1108"/>
      <c r="BC1205" s="1109"/>
      <c r="BD1205" s="1109"/>
      <c r="BE1205" s="1109"/>
      <c r="BF1205" s="1109"/>
      <c r="BG1205" s="1109"/>
      <c r="BH1205" s="1109">
        <f t="shared" ref="BH1205:BL1205" si="1625">BH541*$BA238</f>
        <v>0</v>
      </c>
      <c r="BI1205" s="1109">
        <f t="shared" si="1625"/>
        <v>0</v>
      </c>
      <c r="BJ1205" s="1109">
        <f t="shared" si="1625"/>
        <v>0</v>
      </c>
      <c r="BK1205" s="1109">
        <f t="shared" si="1625"/>
        <v>0</v>
      </c>
      <c r="BL1205" s="1109">
        <f t="shared" si="1625"/>
        <v>3.28125</v>
      </c>
    </row>
    <row r="1206" spans="2:64" hidden="1" outlineLevel="1">
      <c r="B1206" s="1094"/>
      <c r="C1206" s="1071" t="str">
        <f t="shared" ref="C1206:F1206" si="1626">C889</f>
        <v>Security Upgrades</v>
      </c>
      <c r="D1206" s="1071" t="str">
        <f t="shared" si="1626"/>
        <v>Security Upgrades</v>
      </c>
      <c r="E1206" s="1071" t="str">
        <f t="shared" si="1626"/>
        <v>RP3-PROP-2</v>
      </c>
      <c r="F1206" s="1125" t="str">
        <f t="shared" si="1626"/>
        <v>2021-2024</v>
      </c>
      <c r="H1206" s="1071" t="s">
        <v>29</v>
      </c>
      <c r="BB1206" s="1108"/>
      <c r="BC1206" s="1109"/>
      <c r="BD1206" s="1109"/>
      <c r="BE1206" s="1109"/>
      <c r="BF1206" s="1109"/>
      <c r="BG1206" s="1109"/>
      <c r="BH1206" s="1109">
        <f t="shared" ref="BH1206:BL1206" si="1627">BH542*$BA239</f>
        <v>0</v>
      </c>
      <c r="BI1206" s="1109">
        <f t="shared" si="1627"/>
        <v>0</v>
      </c>
      <c r="BJ1206" s="1109">
        <f t="shared" si="1627"/>
        <v>0</v>
      </c>
      <c r="BK1206" s="1109">
        <f t="shared" si="1627"/>
        <v>0</v>
      </c>
      <c r="BL1206" s="1109">
        <f t="shared" si="1627"/>
        <v>0</v>
      </c>
    </row>
    <row r="1207" spans="2:64" hidden="1" outlineLevel="1">
      <c r="B1207" s="1094"/>
      <c r="C1207" s="1071" t="str">
        <f t="shared" ref="C1207:F1207" si="1628">C890</f>
        <v>Security Upgrades Shannon En Route</v>
      </c>
      <c r="D1207" s="1071" t="str">
        <f t="shared" si="1628"/>
        <v>Security Upgrades</v>
      </c>
      <c r="E1207" s="1071" t="str">
        <f t="shared" si="1628"/>
        <v>RP3-PROP-2</v>
      </c>
      <c r="F1207" s="1125" t="str">
        <f t="shared" si="1628"/>
        <v>2021-2024</v>
      </c>
      <c r="H1207" s="1071" t="s">
        <v>29</v>
      </c>
      <c r="BB1207" s="1108"/>
      <c r="BC1207" s="1109"/>
      <c r="BD1207" s="1109"/>
      <c r="BE1207" s="1109"/>
      <c r="BF1207" s="1109"/>
      <c r="BG1207" s="1109"/>
      <c r="BH1207" s="1109">
        <f t="shared" ref="BH1207:BL1207" si="1629">BH543*$BA240</f>
        <v>0</v>
      </c>
      <c r="BI1207" s="1109">
        <f t="shared" si="1629"/>
        <v>0</v>
      </c>
      <c r="BJ1207" s="1109">
        <f t="shared" si="1629"/>
        <v>0</v>
      </c>
      <c r="BK1207" s="1109">
        <f t="shared" si="1629"/>
        <v>0</v>
      </c>
      <c r="BL1207" s="1109">
        <f t="shared" si="1629"/>
        <v>0</v>
      </c>
    </row>
    <row r="1208" spans="2:64" hidden="1" outlineLevel="1">
      <c r="B1208" s="1094"/>
      <c r="C1208" s="1071" t="str">
        <f t="shared" ref="C1208:F1208" si="1630">C891</f>
        <v>Security Upgrades Shannon Joint</v>
      </c>
      <c r="D1208" s="1071" t="str">
        <f t="shared" si="1630"/>
        <v>Security Upgrades</v>
      </c>
      <c r="E1208" s="1071" t="str">
        <f t="shared" si="1630"/>
        <v>RP3-PROP-2</v>
      </c>
      <c r="F1208" s="1125" t="str">
        <f t="shared" si="1630"/>
        <v>2021-2024</v>
      </c>
      <c r="H1208" s="1071" t="s">
        <v>29</v>
      </c>
      <c r="BB1208" s="1108"/>
      <c r="BC1208" s="1109"/>
      <c r="BD1208" s="1109"/>
      <c r="BE1208" s="1109"/>
      <c r="BF1208" s="1109"/>
      <c r="BG1208" s="1109"/>
      <c r="BH1208" s="1109">
        <f t="shared" ref="BH1208:BL1208" si="1631">BH544*$BA241</f>
        <v>0</v>
      </c>
      <c r="BI1208" s="1109">
        <f t="shared" si="1631"/>
        <v>1.0111219999999999</v>
      </c>
      <c r="BJ1208" s="1109">
        <f t="shared" si="1631"/>
        <v>3.5199939999999996</v>
      </c>
      <c r="BK1208" s="1109">
        <f t="shared" si="1631"/>
        <v>5.2637440000000009</v>
      </c>
      <c r="BL1208" s="1109">
        <f t="shared" si="1631"/>
        <v>10.301244000000001</v>
      </c>
    </row>
    <row r="1209" spans="2:64" hidden="1" outlineLevel="1">
      <c r="B1209" s="1094"/>
      <c r="C1209" s="1071" t="str">
        <f t="shared" ref="C1209:F1209" si="1632">C892</f>
        <v>Security Upgrades Dublin Joint</v>
      </c>
      <c r="D1209" s="1071" t="str">
        <f t="shared" si="1632"/>
        <v>Security Upgrades</v>
      </c>
      <c r="E1209" s="1071" t="str">
        <f t="shared" si="1632"/>
        <v>RP3-PROP-2</v>
      </c>
      <c r="F1209" s="1125" t="str">
        <f t="shared" si="1632"/>
        <v>2021-2024</v>
      </c>
      <c r="H1209" s="1071" t="s">
        <v>29</v>
      </c>
      <c r="BB1209" s="1108"/>
      <c r="BC1209" s="1109"/>
      <c r="BD1209" s="1109"/>
      <c r="BE1209" s="1109"/>
      <c r="BF1209" s="1109"/>
      <c r="BG1209" s="1109"/>
      <c r="BH1209" s="1109">
        <f t="shared" ref="BH1209:BL1209" si="1633">BH545*$BA242</f>
        <v>0</v>
      </c>
      <c r="BI1209" s="1109">
        <f t="shared" si="1633"/>
        <v>0.69376290000000007</v>
      </c>
      <c r="BJ1209" s="1109">
        <f t="shared" si="1633"/>
        <v>3.5423016000000005</v>
      </c>
      <c r="BK1209" s="1109">
        <f t="shared" si="1633"/>
        <v>6.216051600000001</v>
      </c>
      <c r="BL1209" s="1109">
        <f t="shared" si="1633"/>
        <v>8.3085515999999995</v>
      </c>
    </row>
    <row r="1210" spans="2:64" hidden="1" outlineLevel="1">
      <c r="B1210" s="1094"/>
      <c r="C1210" s="1071" t="str">
        <f t="shared" ref="C1210:F1210" si="1634">C893</f>
        <v>Security Upgrades Dublin Terminal</v>
      </c>
      <c r="D1210" s="1071" t="str">
        <f t="shared" si="1634"/>
        <v>Security Upgrades</v>
      </c>
      <c r="E1210" s="1071" t="str">
        <f t="shared" si="1634"/>
        <v>RP3-PROP-2</v>
      </c>
      <c r="F1210" s="1125" t="str">
        <f t="shared" si="1634"/>
        <v>2021-2024</v>
      </c>
      <c r="H1210" s="1071" t="s">
        <v>29</v>
      </c>
      <c r="BB1210" s="1108"/>
      <c r="BC1210" s="1109"/>
      <c r="BD1210" s="1109"/>
      <c r="BE1210" s="1109"/>
      <c r="BF1210" s="1109"/>
      <c r="BG1210" s="1109"/>
      <c r="BH1210" s="1109">
        <f t="shared" ref="BH1210:BL1210" si="1635">BH546*$BA243</f>
        <v>0</v>
      </c>
      <c r="BI1210" s="1109">
        <f t="shared" si="1635"/>
        <v>0.7</v>
      </c>
      <c r="BJ1210" s="1109">
        <f t="shared" si="1635"/>
        <v>4.2570000000000006</v>
      </c>
      <c r="BK1210" s="1109">
        <f t="shared" si="1635"/>
        <v>8.6280000000000019</v>
      </c>
      <c r="BL1210" s="1109">
        <f t="shared" si="1635"/>
        <v>8.6280000000000019</v>
      </c>
    </row>
    <row r="1211" spans="2:64" hidden="1" outlineLevel="1">
      <c r="B1211" s="1094"/>
      <c r="C1211" s="1071" t="str">
        <f t="shared" ref="C1211:F1211" si="1636">C894</f>
        <v>Security Upgrades Cork Terminal</v>
      </c>
      <c r="D1211" s="1071" t="str">
        <f t="shared" si="1636"/>
        <v>Security Upgrades</v>
      </c>
      <c r="E1211" s="1071" t="str">
        <f t="shared" si="1636"/>
        <v>RP3-PROP-2</v>
      </c>
      <c r="F1211" s="1125" t="str">
        <f t="shared" si="1636"/>
        <v>2021-2024</v>
      </c>
      <c r="H1211" s="1071" t="s">
        <v>29</v>
      </c>
      <c r="BB1211" s="1108"/>
      <c r="BC1211" s="1109"/>
      <c r="BD1211" s="1109"/>
      <c r="BE1211" s="1109"/>
      <c r="BF1211" s="1109"/>
      <c r="BG1211" s="1109"/>
      <c r="BH1211" s="1109">
        <f t="shared" ref="BH1211:BL1211" si="1637">BH547*$BA244</f>
        <v>0</v>
      </c>
      <c r="BI1211" s="1109">
        <f t="shared" si="1637"/>
        <v>0.40299999999999997</v>
      </c>
      <c r="BJ1211" s="1109">
        <f t="shared" si="1637"/>
        <v>2.3620000000000001</v>
      </c>
      <c r="BK1211" s="1109">
        <f t="shared" si="1637"/>
        <v>4.6120000000000001</v>
      </c>
      <c r="BL1211" s="1109">
        <f t="shared" si="1637"/>
        <v>4.6120000000000001</v>
      </c>
    </row>
    <row r="1212" spans="2:64" hidden="1" outlineLevel="1">
      <c r="B1212" s="1094"/>
      <c r="C1212" s="1071" t="str">
        <f t="shared" ref="C1212:F1212" si="1638">C895</f>
        <v>Security Upgrades HQ Joint</v>
      </c>
      <c r="D1212" s="1071" t="str">
        <f t="shared" si="1638"/>
        <v>Security Upgrades</v>
      </c>
      <c r="E1212" s="1071" t="str">
        <f t="shared" si="1638"/>
        <v>RP3-PROP-2</v>
      </c>
      <c r="F1212" s="1125" t="str">
        <f t="shared" si="1638"/>
        <v>2021-2024</v>
      </c>
      <c r="H1212" s="1071" t="s">
        <v>29</v>
      </c>
      <c r="BB1212" s="1108"/>
      <c r="BC1212" s="1109"/>
      <c r="BD1212" s="1109"/>
      <c r="BE1212" s="1109"/>
      <c r="BF1212" s="1109"/>
      <c r="BG1212" s="1109"/>
      <c r="BH1212" s="1109">
        <f t="shared" ref="BH1212:BL1212" si="1639">BH548*$BA245</f>
        <v>0</v>
      </c>
      <c r="BI1212" s="1109">
        <f t="shared" si="1639"/>
        <v>0</v>
      </c>
      <c r="BJ1212" s="1109">
        <f t="shared" si="1639"/>
        <v>0</v>
      </c>
      <c r="BK1212" s="1109">
        <f t="shared" si="1639"/>
        <v>0.92999999999999994</v>
      </c>
      <c r="BL1212" s="1109">
        <f t="shared" si="1639"/>
        <v>0.92999999999999994</v>
      </c>
    </row>
    <row r="1213" spans="2:64" hidden="1" outlineLevel="1">
      <c r="B1213" s="1094"/>
      <c r="C1213" s="1071" t="str">
        <f t="shared" ref="C1213:F1213" si="1640">C896</f>
        <v>Rostering project</v>
      </c>
      <c r="D1213" s="1071" t="str">
        <f t="shared" si="1640"/>
        <v>Rostering project</v>
      </c>
      <c r="E1213" s="1071" t="str">
        <f t="shared" si="1640"/>
        <v>S027</v>
      </c>
      <c r="F1213" s="1125" t="str">
        <f t="shared" si="1640"/>
        <v>2021-2024</v>
      </c>
      <c r="H1213" s="1071" t="s">
        <v>29</v>
      </c>
      <c r="BB1213" s="1108"/>
      <c r="BC1213" s="1109"/>
      <c r="BD1213" s="1109"/>
      <c r="BE1213" s="1109"/>
      <c r="BF1213" s="1109"/>
      <c r="BG1213" s="1109"/>
      <c r="BH1213" s="1109">
        <f t="shared" ref="BH1213:BL1213" si="1641">BH549*$BA246</f>
        <v>0</v>
      </c>
      <c r="BI1213" s="1109">
        <f t="shared" si="1641"/>
        <v>0</v>
      </c>
      <c r="BJ1213" s="1109">
        <f t="shared" si="1641"/>
        <v>16.25</v>
      </c>
      <c r="BK1213" s="1109">
        <f t="shared" si="1641"/>
        <v>32.5</v>
      </c>
      <c r="BL1213" s="1109">
        <f t="shared" si="1641"/>
        <v>32.5</v>
      </c>
    </row>
    <row r="1214" spans="2:64" hidden="1" outlineLevel="1">
      <c r="B1214" s="1094"/>
      <c r="C1214" s="1071" t="str">
        <f t="shared" ref="C1214:F1214" si="1642">C897</f>
        <v>New Tower Simulator Dublin IATS</v>
      </c>
      <c r="D1214" s="1071" t="str">
        <f t="shared" si="1642"/>
        <v>New Tower Simulator Dublin IATS</v>
      </c>
      <c r="E1214" s="1071" t="str">
        <f t="shared" si="1642"/>
        <v>R017</v>
      </c>
      <c r="F1214" s="1125" t="str">
        <f t="shared" si="1642"/>
        <v>2021-2024</v>
      </c>
      <c r="H1214" s="1071" t="s">
        <v>29</v>
      </c>
      <c r="BB1214" s="1108"/>
      <c r="BC1214" s="1109"/>
      <c r="BD1214" s="1109"/>
      <c r="BE1214" s="1109"/>
      <c r="BF1214" s="1109"/>
      <c r="BG1214" s="1109"/>
      <c r="BH1214" s="1109">
        <f t="shared" ref="BH1214:BL1214" si="1643">BH550*$BA247</f>
        <v>0</v>
      </c>
      <c r="BI1214" s="1109">
        <f t="shared" si="1643"/>
        <v>0</v>
      </c>
      <c r="BJ1214" s="1109">
        <f t="shared" si="1643"/>
        <v>0</v>
      </c>
      <c r="BK1214" s="1109">
        <f t="shared" si="1643"/>
        <v>0</v>
      </c>
      <c r="BL1214" s="1109">
        <f t="shared" si="1643"/>
        <v>25</v>
      </c>
    </row>
    <row r="1215" spans="2:64" hidden="1" outlineLevel="1">
      <c r="B1215" s="1094"/>
      <c r="C1215" s="1071" t="str">
        <f t="shared" ref="C1215:F1215" si="1644">C898</f>
        <v>EDISON Core Network &amp; Cyber Security</v>
      </c>
      <c r="D1215" s="1071" t="str">
        <f t="shared" si="1644"/>
        <v>EDISON Core Network &amp; Cyber Security</v>
      </c>
      <c r="E1215" s="1071" t="str">
        <f t="shared" si="1644"/>
        <v>S007</v>
      </c>
      <c r="F1215" s="1125" t="str">
        <f t="shared" si="1644"/>
        <v>2021-2024</v>
      </c>
      <c r="H1215" s="1071" t="s">
        <v>29</v>
      </c>
      <c r="BB1215" s="1108"/>
      <c r="BC1215" s="1109"/>
      <c r="BD1215" s="1109"/>
      <c r="BE1215" s="1109"/>
      <c r="BF1215" s="1109"/>
      <c r="BG1215" s="1109"/>
      <c r="BH1215" s="1109">
        <f t="shared" ref="BH1215:BL1215" si="1645">BH551*$BA248</f>
        <v>0</v>
      </c>
      <c r="BI1215" s="1109">
        <f t="shared" si="1645"/>
        <v>0</v>
      </c>
      <c r="BJ1215" s="1109">
        <f t="shared" si="1645"/>
        <v>12.405976500000003</v>
      </c>
      <c r="BK1215" s="1109">
        <f t="shared" si="1645"/>
        <v>24.811953000000006</v>
      </c>
      <c r="BL1215" s="1109">
        <f t="shared" si="1645"/>
        <v>24.811953000000006</v>
      </c>
    </row>
    <row r="1216" spans="2:64" hidden="1" outlineLevel="1">
      <c r="B1216" s="1094"/>
      <c r="C1216" s="1071" t="str">
        <f t="shared" ref="C1216:F1216" si="1646">C899</f>
        <v>Chiller and AHU Replacement Dublin</v>
      </c>
      <c r="D1216" s="1071" t="str">
        <f t="shared" si="1646"/>
        <v>Chiller and AHU Replacement Dublin</v>
      </c>
      <c r="E1216" s="1071" t="str">
        <f t="shared" si="1646"/>
        <v>T014</v>
      </c>
      <c r="F1216" s="1125" t="str">
        <f t="shared" si="1646"/>
        <v>2021-2024</v>
      </c>
      <c r="H1216" s="1071" t="s">
        <v>29</v>
      </c>
      <c r="BB1216" s="1108"/>
      <c r="BC1216" s="1109"/>
      <c r="BD1216" s="1109"/>
      <c r="BE1216" s="1109"/>
      <c r="BF1216" s="1109"/>
      <c r="BG1216" s="1109"/>
      <c r="BH1216" s="1109">
        <f t="shared" ref="BH1216:BL1216" si="1647">BH552*$BA249</f>
        <v>0</v>
      </c>
      <c r="BI1216" s="1109">
        <f t="shared" si="1647"/>
        <v>2.854347333333334</v>
      </c>
      <c r="BJ1216" s="1109">
        <f t="shared" si="1647"/>
        <v>12.508694666666669</v>
      </c>
      <c r="BK1216" s="1109">
        <f t="shared" si="1647"/>
        <v>12.508694666666669</v>
      </c>
      <c r="BL1216" s="1109">
        <f t="shared" si="1647"/>
        <v>12.508694666666669</v>
      </c>
    </row>
    <row r="1217" spans="2:64" hidden="1" outlineLevel="1">
      <c r="B1217" s="1094"/>
      <c r="C1217" s="1071" t="str">
        <f t="shared" ref="C1217:F1217" si="1648">C900</f>
        <v>U023 2.6 GHz Filters (SHN)</v>
      </c>
      <c r="D1217" s="1071" t="str">
        <f t="shared" si="1648"/>
        <v>U023 2.6 GHz Filters</v>
      </c>
      <c r="E1217" s="1071" t="str">
        <f t="shared" si="1648"/>
        <v>U023</v>
      </c>
      <c r="F1217" s="1125" t="str">
        <f t="shared" si="1648"/>
        <v>2021-2024</v>
      </c>
      <c r="H1217" s="1071" t="s">
        <v>29</v>
      </c>
      <c r="BB1217" s="1108"/>
      <c r="BC1217" s="1109"/>
      <c r="BD1217" s="1109"/>
      <c r="BE1217" s="1109"/>
      <c r="BF1217" s="1109"/>
      <c r="BG1217" s="1109"/>
      <c r="BH1217" s="1109">
        <f t="shared" ref="BH1217:BL1217" si="1649">BH553*$BA250</f>
        <v>0</v>
      </c>
      <c r="BI1217" s="1109">
        <f t="shared" si="1649"/>
        <v>1.875</v>
      </c>
      <c r="BJ1217" s="1109">
        <f t="shared" si="1649"/>
        <v>7.5</v>
      </c>
      <c r="BK1217" s="1109">
        <f t="shared" si="1649"/>
        <v>7.5</v>
      </c>
      <c r="BL1217" s="1109">
        <f t="shared" si="1649"/>
        <v>7.5</v>
      </c>
    </row>
    <row r="1218" spans="2:64" hidden="1" outlineLevel="1">
      <c r="B1218" s="1094"/>
      <c r="C1218" s="1071" t="str">
        <f t="shared" ref="C1218:F1218" si="1650">C901</f>
        <v>U023 2.6 GHz Filters (CRK)</v>
      </c>
      <c r="D1218" s="1071" t="str">
        <f t="shared" si="1650"/>
        <v>U023 2.6 GHz Filters</v>
      </c>
      <c r="E1218" s="1071" t="str">
        <f t="shared" si="1650"/>
        <v>U023A</v>
      </c>
      <c r="F1218" s="1125" t="str">
        <f t="shared" si="1650"/>
        <v>2021-2024</v>
      </c>
      <c r="H1218" s="1071" t="s">
        <v>29</v>
      </c>
      <c r="BB1218" s="1108"/>
      <c r="BC1218" s="1109"/>
      <c r="BD1218" s="1109"/>
      <c r="BE1218" s="1109"/>
      <c r="BF1218" s="1109"/>
      <c r="BG1218" s="1109"/>
      <c r="BH1218" s="1109">
        <f t="shared" ref="BH1218:BL1218" si="1651">BH554*$BA251</f>
        <v>0</v>
      </c>
      <c r="BI1218" s="1109">
        <f t="shared" si="1651"/>
        <v>3.75</v>
      </c>
      <c r="BJ1218" s="1109">
        <f t="shared" si="1651"/>
        <v>15</v>
      </c>
      <c r="BK1218" s="1109">
        <f t="shared" si="1651"/>
        <v>15</v>
      </c>
      <c r="BL1218" s="1109">
        <f t="shared" si="1651"/>
        <v>15</v>
      </c>
    </row>
    <row r="1219" spans="2:64" hidden="1" outlineLevel="1">
      <c r="B1219" s="1094"/>
      <c r="C1219" s="1071" t="str">
        <f t="shared" ref="C1219:F1219" si="1652">C902</f>
        <v>U023 2.6 GHz Filters (DUB)</v>
      </c>
      <c r="D1219" s="1071" t="str">
        <f t="shared" si="1652"/>
        <v>U023 2.6 GHz Filters</v>
      </c>
      <c r="E1219" s="1071" t="str">
        <f t="shared" si="1652"/>
        <v>U023A</v>
      </c>
      <c r="F1219" s="1125" t="str">
        <f t="shared" si="1652"/>
        <v>2021-2024</v>
      </c>
      <c r="H1219" s="1071" t="s">
        <v>29</v>
      </c>
      <c r="BB1219" s="1108"/>
      <c r="BC1219" s="1109"/>
      <c r="BD1219" s="1109"/>
      <c r="BE1219" s="1109"/>
      <c r="BF1219" s="1109"/>
      <c r="BG1219" s="1109"/>
      <c r="BH1219" s="1109">
        <f t="shared" ref="BH1219:BL1219" si="1653">BH555*$BA252</f>
        <v>0</v>
      </c>
      <c r="BI1219" s="1109">
        <f t="shared" si="1653"/>
        <v>0</v>
      </c>
      <c r="BJ1219" s="1109">
        <f t="shared" si="1653"/>
        <v>7.5</v>
      </c>
      <c r="BK1219" s="1109">
        <f t="shared" si="1653"/>
        <v>7.5</v>
      </c>
      <c r="BL1219" s="1109">
        <f t="shared" si="1653"/>
        <v>7.5</v>
      </c>
    </row>
    <row r="1220" spans="2:64" hidden="1" outlineLevel="1">
      <c r="B1220" s="1094"/>
      <c r="C1220" s="1071" t="str">
        <f t="shared" ref="C1220:F1220" si="1654">C903</f>
        <v>SIEM &amp; SOC Software</v>
      </c>
      <c r="D1220" s="1071" t="str">
        <f t="shared" si="1654"/>
        <v>SIEM &amp; SOC Software</v>
      </c>
      <c r="E1220" s="1071" t="str">
        <f t="shared" si="1654"/>
        <v>U019</v>
      </c>
      <c r="F1220" s="1125" t="str">
        <f t="shared" si="1654"/>
        <v>2021-2024</v>
      </c>
      <c r="H1220" s="1071" t="s">
        <v>29</v>
      </c>
      <c r="BB1220" s="1108"/>
      <c r="BC1220" s="1109"/>
      <c r="BD1220" s="1109"/>
      <c r="BE1220" s="1109"/>
      <c r="BF1220" s="1109"/>
      <c r="BG1220" s="1109"/>
      <c r="BH1220" s="1109">
        <f t="shared" ref="BH1220:BL1220" si="1655">BH556*$BA253</f>
        <v>0</v>
      </c>
      <c r="BI1220" s="1109">
        <f t="shared" si="1655"/>
        <v>0</v>
      </c>
      <c r="BJ1220" s="1109">
        <f t="shared" si="1655"/>
        <v>12</v>
      </c>
      <c r="BK1220" s="1109">
        <f t="shared" si="1655"/>
        <v>16</v>
      </c>
      <c r="BL1220" s="1109">
        <f t="shared" si="1655"/>
        <v>20</v>
      </c>
    </row>
    <row r="1221" spans="2:64" hidden="1" outlineLevel="1">
      <c r="B1221" s="1094"/>
      <c r="C1221" s="1071" t="str">
        <f t="shared" ref="C1221:F1221" si="1656">C904</f>
        <v>Aireon Infrastructure</v>
      </c>
      <c r="D1221" s="1071" t="str">
        <f t="shared" si="1656"/>
        <v>Aireon Infrastructure</v>
      </c>
      <c r="E1221" s="1071" t="str">
        <f t="shared" si="1656"/>
        <v>Q002</v>
      </c>
      <c r="F1221" s="1125" t="str">
        <f t="shared" si="1656"/>
        <v>2021-2024</v>
      </c>
      <c r="H1221" s="1071" t="s">
        <v>29</v>
      </c>
      <c r="BB1221" s="1108"/>
      <c r="BC1221" s="1109"/>
      <c r="BD1221" s="1109"/>
      <c r="BE1221" s="1109"/>
      <c r="BF1221" s="1109"/>
      <c r="BG1221" s="1109"/>
      <c r="BH1221" s="1109">
        <f t="shared" ref="BH1221:BL1221" si="1657">BH557*$BA254</f>
        <v>0</v>
      </c>
      <c r="BI1221" s="1109">
        <f t="shared" si="1657"/>
        <v>0</v>
      </c>
      <c r="BJ1221" s="1109">
        <f t="shared" si="1657"/>
        <v>0</v>
      </c>
      <c r="BK1221" s="1109">
        <f t="shared" si="1657"/>
        <v>0</v>
      </c>
      <c r="BL1221" s="1109">
        <f t="shared" si="1657"/>
        <v>0</v>
      </c>
    </row>
    <row r="1222" spans="2:64" hidden="1" outlineLevel="1">
      <c r="B1222" s="1094"/>
      <c r="C1222" s="1071" t="str">
        <f t="shared" ref="C1222:F1222" si="1658">C905</f>
        <v>Fire supression system</v>
      </c>
      <c r="D1222" s="1071" t="str">
        <f t="shared" si="1658"/>
        <v>Fire supression system</v>
      </c>
      <c r="E1222" s="1071" t="str">
        <f t="shared" si="1658"/>
        <v>U015</v>
      </c>
      <c r="F1222" s="1125" t="str">
        <f t="shared" si="1658"/>
        <v>2021-2024</v>
      </c>
      <c r="H1222" s="1071" t="s">
        <v>29</v>
      </c>
      <c r="BB1222" s="1108"/>
      <c r="BC1222" s="1109"/>
      <c r="BD1222" s="1109"/>
      <c r="BE1222" s="1109"/>
      <c r="BF1222" s="1109"/>
      <c r="BG1222" s="1109"/>
      <c r="BH1222" s="1109">
        <f t="shared" ref="BH1222:BL1222" si="1659">BH558*$BA255</f>
        <v>0</v>
      </c>
      <c r="BI1222" s="1109">
        <f t="shared" si="1659"/>
        <v>0</v>
      </c>
      <c r="BJ1222" s="1109">
        <f t="shared" si="1659"/>
        <v>0</v>
      </c>
      <c r="BK1222" s="1109">
        <f t="shared" si="1659"/>
        <v>0</v>
      </c>
      <c r="BL1222" s="1109">
        <f t="shared" si="1659"/>
        <v>0</v>
      </c>
    </row>
    <row r="1223" spans="2:64" hidden="1" outlineLevel="1">
      <c r="B1223" s="1094"/>
      <c r="C1223" s="1071" t="str">
        <f t="shared" ref="C1223:F1223" si="1660">C906</f>
        <v>Fire suppression system - Woodcock Hill</v>
      </c>
      <c r="D1223" s="1071" t="str">
        <f t="shared" si="1660"/>
        <v>Fire supression system</v>
      </c>
      <c r="E1223" s="1071" t="str">
        <f t="shared" si="1660"/>
        <v>U015A</v>
      </c>
      <c r="F1223" s="1125" t="str">
        <f t="shared" si="1660"/>
        <v>2021-2024</v>
      </c>
      <c r="H1223" s="1071" t="s">
        <v>29</v>
      </c>
      <c r="BB1223" s="1108"/>
      <c r="BC1223" s="1109"/>
      <c r="BD1223" s="1109"/>
      <c r="BE1223" s="1109"/>
      <c r="BF1223" s="1109"/>
      <c r="BG1223" s="1109"/>
      <c r="BH1223" s="1109">
        <f t="shared" ref="BH1223:BL1223" si="1661">BH559*$BA256</f>
        <v>0</v>
      </c>
      <c r="BI1223" s="1109">
        <f t="shared" si="1661"/>
        <v>0</v>
      </c>
      <c r="BJ1223" s="1109">
        <f t="shared" si="1661"/>
        <v>0</v>
      </c>
      <c r="BK1223" s="1109">
        <f t="shared" si="1661"/>
        <v>0</v>
      </c>
      <c r="BL1223" s="1109">
        <f t="shared" si="1661"/>
        <v>0</v>
      </c>
    </row>
    <row r="1224" spans="2:64" hidden="1" outlineLevel="1">
      <c r="B1224" s="1094"/>
      <c r="C1224" s="1071" t="str">
        <f t="shared" ref="C1224:F1224" si="1662">C907</f>
        <v>Fire suppression system - Mt Gabriel</v>
      </c>
      <c r="D1224" s="1071" t="str">
        <f t="shared" si="1662"/>
        <v>Fire supression system</v>
      </c>
      <c r="E1224" s="1071" t="str">
        <f t="shared" si="1662"/>
        <v>U015A</v>
      </c>
      <c r="F1224" s="1125" t="str">
        <f t="shared" si="1662"/>
        <v>2021-2024</v>
      </c>
      <c r="H1224" s="1071" t="s">
        <v>29</v>
      </c>
      <c r="BB1224" s="1108"/>
      <c r="BC1224" s="1109"/>
      <c r="BD1224" s="1109"/>
      <c r="BE1224" s="1109"/>
      <c r="BF1224" s="1109"/>
      <c r="BG1224" s="1109"/>
      <c r="BH1224" s="1109">
        <f t="shared" ref="BH1224:BL1224" si="1663">BH560*$BA257</f>
        <v>0</v>
      </c>
      <c r="BI1224" s="1109">
        <f t="shared" si="1663"/>
        <v>0</v>
      </c>
      <c r="BJ1224" s="1109">
        <f t="shared" si="1663"/>
        <v>0</v>
      </c>
      <c r="BK1224" s="1109">
        <f t="shared" si="1663"/>
        <v>0</v>
      </c>
      <c r="BL1224" s="1109">
        <f t="shared" si="1663"/>
        <v>0</v>
      </c>
    </row>
    <row r="1225" spans="2:64" hidden="1" outlineLevel="1">
      <c r="B1225" s="1094"/>
      <c r="C1225" s="1071" t="str">
        <f t="shared" ref="C1225:F1225" si="1664">C908</f>
        <v>Fire suppression system - Dooncarton</v>
      </c>
      <c r="D1225" s="1071" t="str">
        <f t="shared" si="1664"/>
        <v>Fire supression system</v>
      </c>
      <c r="E1225" s="1071" t="str">
        <f t="shared" si="1664"/>
        <v>U015A</v>
      </c>
      <c r="F1225" s="1125" t="str">
        <f t="shared" si="1664"/>
        <v>2021-2024</v>
      </c>
      <c r="H1225" s="1071" t="s">
        <v>29</v>
      </c>
      <c r="BB1225" s="1108"/>
      <c r="BC1225" s="1109"/>
      <c r="BD1225" s="1109"/>
      <c r="BE1225" s="1109"/>
      <c r="BF1225" s="1109"/>
      <c r="BG1225" s="1109"/>
      <c r="BH1225" s="1109">
        <f t="shared" ref="BH1225:BL1225" si="1665">BH561*$BA258</f>
        <v>0</v>
      </c>
      <c r="BI1225" s="1109">
        <f t="shared" si="1665"/>
        <v>0</v>
      </c>
      <c r="BJ1225" s="1109">
        <f t="shared" si="1665"/>
        <v>0</v>
      </c>
      <c r="BK1225" s="1109">
        <f t="shared" si="1665"/>
        <v>0</v>
      </c>
      <c r="BL1225" s="1109">
        <f t="shared" si="1665"/>
        <v>0</v>
      </c>
    </row>
    <row r="1226" spans="2:64" hidden="1" outlineLevel="1">
      <c r="B1226" s="1094"/>
      <c r="C1226" s="1071" t="str">
        <f t="shared" ref="C1226:F1226" si="1666">C909</f>
        <v>Fire suppression system - Malin Head</v>
      </c>
      <c r="D1226" s="1071" t="str">
        <f t="shared" si="1666"/>
        <v>Fire supression system</v>
      </c>
      <c r="E1226" s="1071" t="str">
        <f t="shared" si="1666"/>
        <v>U015A</v>
      </c>
      <c r="F1226" s="1125" t="str">
        <f t="shared" si="1666"/>
        <v>2021-2024</v>
      </c>
      <c r="H1226" s="1071" t="s">
        <v>29</v>
      </c>
      <c r="BB1226" s="1108"/>
      <c r="BC1226" s="1109"/>
      <c r="BD1226" s="1109"/>
      <c r="BE1226" s="1109"/>
      <c r="BF1226" s="1109"/>
      <c r="BG1226" s="1109"/>
      <c r="BH1226" s="1109">
        <f t="shared" ref="BH1226:BL1226" si="1667">BH562*$BA259</f>
        <v>0</v>
      </c>
      <c r="BI1226" s="1109">
        <f t="shared" si="1667"/>
        <v>0</v>
      </c>
      <c r="BJ1226" s="1109">
        <f t="shared" si="1667"/>
        <v>0</v>
      </c>
      <c r="BK1226" s="1109">
        <f t="shared" si="1667"/>
        <v>0</v>
      </c>
      <c r="BL1226" s="1109">
        <f t="shared" si="1667"/>
        <v>0</v>
      </c>
    </row>
    <row r="1227" spans="2:64" hidden="1" outlineLevel="1">
      <c r="B1227" s="1094"/>
      <c r="C1227" s="1071" t="str">
        <f t="shared" ref="C1227:F1227" si="1668">C910</f>
        <v>Fire suppression system - Shannon Radar</v>
      </c>
      <c r="D1227" s="1071" t="str">
        <f t="shared" si="1668"/>
        <v>Fire supression system</v>
      </c>
      <c r="E1227" s="1071" t="str">
        <f t="shared" si="1668"/>
        <v>U015A</v>
      </c>
      <c r="F1227" s="1125" t="str">
        <f t="shared" si="1668"/>
        <v>2021-2024</v>
      </c>
      <c r="H1227" s="1071" t="s">
        <v>29</v>
      </c>
      <c r="BB1227" s="1108"/>
      <c r="BC1227" s="1109"/>
      <c r="BD1227" s="1109"/>
      <c r="BE1227" s="1109"/>
      <c r="BF1227" s="1109"/>
      <c r="BG1227" s="1109"/>
      <c r="BH1227" s="1109">
        <f t="shared" ref="BH1227:BL1227" si="1669">BH563*$BA260</f>
        <v>0</v>
      </c>
      <c r="BI1227" s="1109">
        <f t="shared" si="1669"/>
        <v>0.51666666666666672</v>
      </c>
      <c r="BJ1227" s="1109">
        <f t="shared" si="1669"/>
        <v>1.0333333333333334</v>
      </c>
      <c r="BK1227" s="1109">
        <f t="shared" si="1669"/>
        <v>1.0333333333333334</v>
      </c>
      <c r="BL1227" s="1109">
        <f t="shared" si="1669"/>
        <v>1.0333333333333334</v>
      </c>
    </row>
    <row r="1228" spans="2:64" hidden="1" outlineLevel="1">
      <c r="B1228" s="1094"/>
      <c r="C1228" s="1071" t="str">
        <f t="shared" ref="C1228:F1228" si="1670">C911</f>
        <v>Fire suppression system - Dublin Radar</v>
      </c>
      <c r="D1228" s="1071" t="str">
        <f t="shared" si="1670"/>
        <v>Fire supression system</v>
      </c>
      <c r="E1228" s="1071" t="str">
        <f t="shared" si="1670"/>
        <v>U015A</v>
      </c>
      <c r="F1228" s="1125" t="str">
        <f t="shared" si="1670"/>
        <v>2021-2024</v>
      </c>
      <c r="H1228" s="1071" t="s">
        <v>29</v>
      </c>
      <c r="BB1228" s="1108"/>
      <c r="BC1228" s="1109"/>
      <c r="BD1228" s="1109"/>
      <c r="BE1228" s="1109"/>
      <c r="BF1228" s="1109"/>
      <c r="BG1228" s="1109"/>
      <c r="BH1228" s="1109">
        <f t="shared" ref="BH1228:BL1228" si="1671">BH564*$BA261</f>
        <v>0</v>
      </c>
      <c r="BI1228" s="1109">
        <f t="shared" si="1671"/>
        <v>0</v>
      </c>
      <c r="BJ1228" s="1109">
        <f t="shared" si="1671"/>
        <v>0</v>
      </c>
      <c r="BK1228" s="1109">
        <f t="shared" si="1671"/>
        <v>0.25833333333333336</v>
      </c>
      <c r="BL1228" s="1109">
        <f t="shared" si="1671"/>
        <v>1.35</v>
      </c>
    </row>
    <row r="1229" spans="2:64" hidden="1" outlineLevel="1">
      <c r="B1229" s="1094"/>
      <c r="C1229" s="1071" t="str">
        <f t="shared" ref="C1229:F1229" si="1672">C912</f>
        <v>Cyber Security / Management</v>
      </c>
      <c r="D1229" s="1071" t="str">
        <f t="shared" si="1672"/>
        <v>Cyber Security / Management</v>
      </c>
      <c r="E1229" s="1071" t="str">
        <f t="shared" si="1672"/>
        <v>T001</v>
      </c>
      <c r="F1229" s="1125" t="str">
        <f t="shared" si="1672"/>
        <v>2021-2024</v>
      </c>
      <c r="H1229" s="1071" t="s">
        <v>29</v>
      </c>
      <c r="BB1229" s="1108"/>
      <c r="BC1229" s="1109"/>
      <c r="BD1229" s="1109"/>
      <c r="BE1229" s="1109"/>
      <c r="BF1229" s="1109"/>
      <c r="BG1229" s="1109"/>
      <c r="BH1229" s="1109">
        <f t="shared" ref="BH1229:BL1229" si="1673">BH565*$BA262</f>
        <v>0</v>
      </c>
      <c r="BI1229" s="1109">
        <f t="shared" si="1673"/>
        <v>0</v>
      </c>
      <c r="BJ1229" s="1109">
        <f t="shared" si="1673"/>
        <v>0</v>
      </c>
      <c r="BK1229" s="1109">
        <f t="shared" si="1673"/>
        <v>17.374625000000002</v>
      </c>
      <c r="BL1229" s="1109">
        <f t="shared" si="1673"/>
        <v>17.374625000000002</v>
      </c>
    </row>
    <row r="1230" spans="2:64" hidden="1" outlineLevel="1">
      <c r="B1230" s="1094"/>
      <c r="C1230" s="1071" t="str">
        <f t="shared" ref="C1230:F1230" si="1674">C913</f>
        <v>ICT Infrastructure</v>
      </c>
      <c r="D1230" s="1071" t="str">
        <f t="shared" si="1674"/>
        <v>ICT Infrastructure</v>
      </c>
      <c r="E1230" s="1071" t="str">
        <f t="shared" si="1674"/>
        <v>U020</v>
      </c>
      <c r="F1230" s="1125" t="str">
        <f t="shared" si="1674"/>
        <v>2021-2024</v>
      </c>
      <c r="H1230" s="1071" t="s">
        <v>29</v>
      </c>
      <c r="BB1230" s="1108"/>
      <c r="BC1230" s="1109"/>
      <c r="BD1230" s="1109"/>
      <c r="BE1230" s="1109"/>
      <c r="BF1230" s="1109"/>
      <c r="BG1230" s="1109"/>
      <c r="BH1230" s="1109">
        <f t="shared" ref="BH1230:BL1230" si="1675">BH566*$BA263</f>
        <v>0</v>
      </c>
      <c r="BI1230" s="1109">
        <f t="shared" si="1675"/>
        <v>0</v>
      </c>
      <c r="BJ1230" s="1109">
        <f t="shared" si="1675"/>
        <v>10.999999999999998</v>
      </c>
      <c r="BK1230" s="1109">
        <f t="shared" si="1675"/>
        <v>17</v>
      </c>
      <c r="BL1230" s="1109">
        <f t="shared" si="1675"/>
        <v>23</v>
      </c>
    </row>
    <row r="1231" spans="2:64" hidden="1" outlineLevel="1">
      <c r="B1231" s="1094"/>
      <c r="C1231" s="1071" t="str">
        <f t="shared" ref="C1231:F1231" si="1676">C914</f>
        <v>Upgrades to cable ducting - remote sites</v>
      </c>
      <c r="D1231" s="1071" t="str">
        <f t="shared" si="1676"/>
        <v>Upgrades to cable ducting</v>
      </c>
      <c r="E1231" s="1071" t="str">
        <f t="shared" si="1676"/>
        <v>R007</v>
      </c>
      <c r="F1231" s="1125" t="str">
        <f t="shared" si="1676"/>
        <v>2021-2024</v>
      </c>
      <c r="H1231" s="1071" t="s">
        <v>29</v>
      </c>
      <c r="BB1231" s="1108"/>
      <c r="BC1231" s="1109"/>
      <c r="BD1231" s="1109"/>
      <c r="BE1231" s="1109"/>
      <c r="BF1231" s="1109"/>
      <c r="BG1231" s="1109"/>
      <c r="BH1231" s="1109">
        <f t="shared" ref="BH1231:BL1231" si="1677">BH567*$BA264</f>
        <v>0</v>
      </c>
      <c r="BI1231" s="1109">
        <f t="shared" si="1677"/>
        <v>0</v>
      </c>
      <c r="BJ1231" s="1109">
        <f t="shared" si="1677"/>
        <v>0</v>
      </c>
      <c r="BK1231" s="1109">
        <f t="shared" si="1677"/>
        <v>0</v>
      </c>
      <c r="BL1231" s="1109">
        <f t="shared" si="1677"/>
        <v>0</v>
      </c>
    </row>
    <row r="1232" spans="2:64" hidden="1" outlineLevel="1">
      <c r="B1232" s="1094"/>
      <c r="C1232" s="1071" t="str">
        <f t="shared" ref="C1232:F1232" si="1678">C915</f>
        <v>Upgrades to cable ducting Woodcock Hill</v>
      </c>
      <c r="D1232" s="1071" t="str">
        <f t="shared" si="1678"/>
        <v>Upgrades to cable ducting</v>
      </c>
      <c r="E1232" s="1071" t="str">
        <f t="shared" si="1678"/>
        <v>R007A</v>
      </c>
      <c r="F1232" s="1125" t="str">
        <f t="shared" si="1678"/>
        <v>2021-2024</v>
      </c>
      <c r="H1232" s="1071" t="s">
        <v>29</v>
      </c>
      <c r="BB1232" s="1108"/>
      <c r="BC1232" s="1109"/>
      <c r="BD1232" s="1109"/>
      <c r="BE1232" s="1109"/>
      <c r="BF1232" s="1109"/>
      <c r="BG1232" s="1109"/>
      <c r="BH1232" s="1109">
        <f t="shared" ref="BH1232:BL1232" si="1679">BH568*$BA265</f>
        <v>0</v>
      </c>
      <c r="BI1232" s="1109">
        <f t="shared" si="1679"/>
        <v>0</v>
      </c>
      <c r="BJ1232" s="1109">
        <f t="shared" si="1679"/>
        <v>0</v>
      </c>
      <c r="BK1232" s="1109">
        <f t="shared" si="1679"/>
        <v>0</v>
      </c>
      <c r="BL1232" s="1109">
        <f t="shared" si="1679"/>
        <v>0</v>
      </c>
    </row>
    <row r="1233" spans="2:64" hidden="1" outlineLevel="1">
      <c r="B1233" s="1094"/>
      <c r="C1233" s="1071" t="str">
        <f t="shared" ref="C1233:F1233" si="1680">C916</f>
        <v>Upgrades to cable ducting Other remote sites</v>
      </c>
      <c r="D1233" s="1071" t="str">
        <f t="shared" si="1680"/>
        <v>Upgrades to cable ducting</v>
      </c>
      <c r="E1233" s="1071" t="str">
        <f t="shared" si="1680"/>
        <v>R007A</v>
      </c>
      <c r="F1233" s="1125" t="str">
        <f t="shared" si="1680"/>
        <v>2021-2024</v>
      </c>
      <c r="H1233" s="1071" t="s">
        <v>29</v>
      </c>
      <c r="BB1233" s="1108"/>
      <c r="BC1233" s="1109"/>
      <c r="BD1233" s="1109"/>
      <c r="BE1233" s="1109"/>
      <c r="BF1233" s="1109"/>
      <c r="BG1233" s="1109"/>
      <c r="BH1233" s="1109">
        <f t="shared" ref="BH1233:BL1233" si="1681">BH569*$BA266</f>
        <v>0</v>
      </c>
      <c r="BI1233" s="1109">
        <f t="shared" si="1681"/>
        <v>0</v>
      </c>
      <c r="BJ1233" s="1109">
        <f t="shared" si="1681"/>
        <v>0</v>
      </c>
      <c r="BK1233" s="1109">
        <f t="shared" si="1681"/>
        <v>0</v>
      </c>
      <c r="BL1233" s="1109">
        <f t="shared" si="1681"/>
        <v>0</v>
      </c>
    </row>
    <row r="1234" spans="2:64" hidden="1" outlineLevel="1">
      <c r="B1234" s="1094"/>
      <c r="C1234" s="1071" t="str">
        <f t="shared" ref="C1234:F1234" si="1682">C917</f>
        <v>IAA Smart Messenger (AFTN/SMHS) &amp; ROFDS Contingency</v>
      </c>
      <c r="D1234" s="1071" t="str">
        <f t="shared" si="1682"/>
        <v>IAA Smart Messenger</v>
      </c>
      <c r="E1234" s="1071" t="str">
        <f t="shared" si="1682"/>
        <v>U005</v>
      </c>
      <c r="F1234" s="1125" t="str">
        <f t="shared" si="1682"/>
        <v>2021-2024</v>
      </c>
      <c r="H1234" s="1071" t="s">
        <v>29</v>
      </c>
      <c r="BB1234" s="1108"/>
      <c r="BC1234" s="1109"/>
      <c r="BD1234" s="1109"/>
      <c r="BE1234" s="1109"/>
      <c r="BF1234" s="1109"/>
      <c r="BG1234" s="1109"/>
      <c r="BH1234" s="1109">
        <f t="shared" ref="BH1234:BL1234" si="1683">BH570*$BA267</f>
        <v>0</v>
      </c>
      <c r="BI1234" s="1109">
        <f t="shared" si="1683"/>
        <v>0</v>
      </c>
      <c r="BJ1234" s="1109">
        <f t="shared" si="1683"/>
        <v>0</v>
      </c>
      <c r="BK1234" s="1109">
        <f t="shared" si="1683"/>
        <v>0</v>
      </c>
      <c r="BL1234" s="1109">
        <f t="shared" si="1683"/>
        <v>0</v>
      </c>
    </row>
    <row r="1235" spans="2:64" hidden="1" outlineLevel="1">
      <c r="B1235" s="1094"/>
      <c r="C1235" s="1071" t="str">
        <f t="shared" ref="C1235:F1235" si="1684">C918</f>
        <v>IAA Smart Messenger (AFTN/SMHS)</v>
      </c>
      <c r="D1235" s="1071" t="str">
        <f t="shared" si="1684"/>
        <v>IAA Smart Messenger</v>
      </c>
      <c r="E1235" s="1071" t="str">
        <f t="shared" si="1684"/>
        <v>U005A</v>
      </c>
      <c r="F1235" s="1125" t="str">
        <f t="shared" si="1684"/>
        <v>2021-2024</v>
      </c>
      <c r="H1235" s="1071" t="s">
        <v>29</v>
      </c>
      <c r="BB1235" s="1108"/>
      <c r="BC1235" s="1109"/>
      <c r="BD1235" s="1109"/>
      <c r="BE1235" s="1109"/>
      <c r="BF1235" s="1109"/>
      <c r="BG1235" s="1109"/>
      <c r="BH1235" s="1109">
        <f t="shared" ref="BH1235:BL1235" si="1685">BH571*$BA268</f>
        <v>0</v>
      </c>
      <c r="BI1235" s="1109">
        <f t="shared" si="1685"/>
        <v>0</v>
      </c>
      <c r="BJ1235" s="1109">
        <f t="shared" si="1685"/>
        <v>0</v>
      </c>
      <c r="BK1235" s="1109">
        <f t="shared" si="1685"/>
        <v>12.5</v>
      </c>
      <c r="BL1235" s="1109">
        <f t="shared" si="1685"/>
        <v>12.5</v>
      </c>
    </row>
    <row r="1236" spans="2:64" hidden="1" outlineLevel="1">
      <c r="B1236" s="1094"/>
      <c r="C1236" s="1071" t="str">
        <f t="shared" ref="C1236:F1236" si="1686">C919</f>
        <v>BMS Upgrade Dublin / Ballycasey</v>
      </c>
      <c r="D1236" s="1071" t="str">
        <f t="shared" si="1686"/>
        <v>BMS Upgrade</v>
      </c>
      <c r="E1236" s="1071" t="str">
        <f t="shared" si="1686"/>
        <v>T010</v>
      </c>
      <c r="F1236" s="1125" t="str">
        <f t="shared" si="1686"/>
        <v>2021-2024</v>
      </c>
      <c r="H1236" s="1071" t="s">
        <v>29</v>
      </c>
      <c r="BB1236" s="1108"/>
      <c r="BC1236" s="1109"/>
      <c r="BD1236" s="1109"/>
      <c r="BE1236" s="1109"/>
      <c r="BF1236" s="1109"/>
      <c r="BG1236" s="1109"/>
      <c r="BH1236" s="1109">
        <f t="shared" ref="BH1236:BL1236" si="1687">BH572*$BA269</f>
        <v>0</v>
      </c>
      <c r="BI1236" s="1109">
        <f t="shared" si="1687"/>
        <v>0</v>
      </c>
      <c r="BJ1236" s="1109">
        <f t="shared" si="1687"/>
        <v>0</v>
      </c>
      <c r="BK1236" s="1109">
        <f t="shared" si="1687"/>
        <v>0</v>
      </c>
      <c r="BL1236" s="1109">
        <f t="shared" si="1687"/>
        <v>0</v>
      </c>
    </row>
    <row r="1237" spans="2:64" hidden="1" outlineLevel="1">
      <c r="B1237" s="1094"/>
      <c r="C1237" s="1071" t="str">
        <f t="shared" ref="C1237:F1237" si="1688">C920</f>
        <v>BMS Upgrade Dublin</v>
      </c>
      <c r="D1237" s="1071" t="str">
        <f t="shared" si="1688"/>
        <v>BMS Upgrade</v>
      </c>
      <c r="E1237" s="1071" t="str">
        <f t="shared" si="1688"/>
        <v>T010A</v>
      </c>
      <c r="F1237" s="1125" t="str">
        <f t="shared" si="1688"/>
        <v>2021-2024</v>
      </c>
      <c r="H1237" s="1071" t="s">
        <v>29</v>
      </c>
      <c r="BB1237" s="1108"/>
      <c r="BC1237" s="1109"/>
      <c r="BD1237" s="1109"/>
      <c r="BE1237" s="1109"/>
      <c r="BF1237" s="1109"/>
      <c r="BG1237" s="1109"/>
      <c r="BH1237" s="1109">
        <f t="shared" ref="BH1237:BL1237" si="1689">BH573*$BA270</f>
        <v>0</v>
      </c>
      <c r="BI1237" s="1109">
        <f t="shared" si="1689"/>
        <v>0</v>
      </c>
      <c r="BJ1237" s="1109">
        <f t="shared" si="1689"/>
        <v>1.5625</v>
      </c>
      <c r="BK1237" s="1109">
        <f t="shared" si="1689"/>
        <v>6.25</v>
      </c>
      <c r="BL1237" s="1109">
        <f t="shared" si="1689"/>
        <v>6.25</v>
      </c>
    </row>
    <row r="1238" spans="2:64" hidden="1" outlineLevel="1">
      <c r="B1238" s="1094"/>
      <c r="C1238" s="1071" t="str">
        <f t="shared" ref="C1238:F1238" si="1690">C921</f>
        <v>BMS Upgrade Ballycasey</v>
      </c>
      <c r="D1238" s="1071" t="str">
        <f t="shared" si="1690"/>
        <v>BMS Upgrade</v>
      </c>
      <c r="E1238" s="1071" t="str">
        <f t="shared" si="1690"/>
        <v>T010A</v>
      </c>
      <c r="F1238" s="1125" t="str">
        <f t="shared" si="1690"/>
        <v>2021-2024</v>
      </c>
      <c r="H1238" s="1071" t="s">
        <v>29</v>
      </c>
      <c r="BB1238" s="1108"/>
      <c r="BC1238" s="1109"/>
      <c r="BD1238" s="1109"/>
      <c r="BE1238" s="1109"/>
      <c r="BF1238" s="1109"/>
      <c r="BG1238" s="1109"/>
      <c r="BH1238" s="1109">
        <f t="shared" ref="BH1238:BL1238" si="1691">BH574*$BA271</f>
        <v>0</v>
      </c>
      <c r="BI1238" s="1109">
        <f t="shared" si="1691"/>
        <v>0</v>
      </c>
      <c r="BJ1238" s="1109">
        <f t="shared" si="1691"/>
        <v>0</v>
      </c>
      <c r="BK1238" s="1109">
        <f t="shared" si="1691"/>
        <v>0</v>
      </c>
      <c r="BL1238" s="1109">
        <f t="shared" si="1691"/>
        <v>0</v>
      </c>
    </row>
    <row r="1239" spans="2:64" hidden="1" outlineLevel="1">
      <c r="B1239" s="1094"/>
      <c r="C1239" s="1071" t="str">
        <f t="shared" ref="C1239:F1239" si="1692">C922</f>
        <v>ARTAS Upgrade</v>
      </c>
      <c r="D1239" s="1071" t="str">
        <f t="shared" si="1692"/>
        <v>ARTAS Upgrade</v>
      </c>
      <c r="E1239" s="1071" t="str">
        <f t="shared" si="1692"/>
        <v>RP3-SURV-2</v>
      </c>
      <c r="F1239" s="1125" t="str">
        <f t="shared" si="1692"/>
        <v>2021-2024</v>
      </c>
      <c r="H1239" s="1071" t="s">
        <v>29</v>
      </c>
      <c r="BB1239" s="1108"/>
      <c r="BC1239" s="1109"/>
      <c r="BD1239" s="1109"/>
      <c r="BE1239" s="1109"/>
      <c r="BF1239" s="1109"/>
      <c r="BG1239" s="1109"/>
      <c r="BH1239" s="1109">
        <f t="shared" ref="BH1239:BL1239" si="1693">BH575*$BA272</f>
        <v>0</v>
      </c>
      <c r="BI1239" s="1109">
        <f t="shared" si="1693"/>
        <v>0</v>
      </c>
      <c r="BJ1239" s="1109">
        <f t="shared" si="1693"/>
        <v>0</v>
      </c>
      <c r="BK1239" s="1109">
        <f t="shared" si="1693"/>
        <v>0</v>
      </c>
      <c r="BL1239" s="1109">
        <f t="shared" si="1693"/>
        <v>0</v>
      </c>
    </row>
    <row r="1240" spans="2:64" hidden="1" outlineLevel="1">
      <c r="B1240" s="1094"/>
      <c r="C1240" s="1071" t="str">
        <f t="shared" ref="C1240:F1240" si="1694">C923</f>
        <v>Frequency Expnasion Programme (Knock, Kerry &amp; Dublin)</v>
      </c>
      <c r="D1240" s="1071" t="str">
        <f t="shared" si="1694"/>
        <v>Frequency Expnasion Programme</v>
      </c>
      <c r="E1240" s="1071" t="str">
        <f t="shared" si="1694"/>
        <v>R009</v>
      </c>
      <c r="F1240" s="1125" t="str">
        <f t="shared" si="1694"/>
        <v>2021-2024</v>
      </c>
      <c r="H1240" s="1071" t="s">
        <v>29</v>
      </c>
      <c r="BB1240" s="1108"/>
      <c r="BC1240" s="1109"/>
      <c r="BD1240" s="1109"/>
      <c r="BE1240" s="1109"/>
      <c r="BF1240" s="1109"/>
      <c r="BG1240" s="1109"/>
      <c r="BH1240" s="1109">
        <f t="shared" ref="BH1240:BL1240" si="1695">BH576*$BA273</f>
        <v>0</v>
      </c>
      <c r="BI1240" s="1109">
        <f t="shared" si="1695"/>
        <v>0</v>
      </c>
      <c r="BJ1240" s="1109">
        <f t="shared" si="1695"/>
        <v>0</v>
      </c>
      <c r="BK1240" s="1109">
        <f t="shared" si="1695"/>
        <v>0</v>
      </c>
      <c r="BL1240" s="1109">
        <f t="shared" si="1695"/>
        <v>0</v>
      </c>
    </row>
    <row r="1241" spans="2:64" hidden="1" outlineLevel="1">
      <c r="B1241" s="1094"/>
      <c r="C1241" s="1071" t="str">
        <f t="shared" ref="C1241:F1241" si="1696">C924</f>
        <v>Frequency Expnasion Programme  Dublin</v>
      </c>
      <c r="D1241" s="1071" t="str">
        <f t="shared" si="1696"/>
        <v>Frequency Expnasion Programme</v>
      </c>
      <c r="E1241" s="1071" t="str">
        <f t="shared" si="1696"/>
        <v>R009A</v>
      </c>
      <c r="F1241" s="1125" t="str">
        <f t="shared" si="1696"/>
        <v>2021-2024</v>
      </c>
      <c r="H1241" s="1071" t="s">
        <v>29</v>
      </c>
      <c r="BB1241" s="1108"/>
      <c r="BC1241" s="1109"/>
      <c r="BD1241" s="1109"/>
      <c r="BE1241" s="1109"/>
      <c r="BF1241" s="1109"/>
      <c r="BG1241" s="1109"/>
      <c r="BH1241" s="1109">
        <f t="shared" ref="BH1241:BL1241" si="1697">BH577*$BA274</f>
        <v>0</v>
      </c>
      <c r="BI1241" s="1109">
        <f t="shared" si="1697"/>
        <v>1.7750000000000001</v>
      </c>
      <c r="BJ1241" s="1109">
        <f t="shared" si="1697"/>
        <v>3.5500000000000003</v>
      </c>
      <c r="BK1241" s="1109">
        <f t="shared" si="1697"/>
        <v>3.5500000000000003</v>
      </c>
      <c r="BL1241" s="1109">
        <f t="shared" si="1697"/>
        <v>3.5500000000000003</v>
      </c>
    </row>
    <row r="1242" spans="2:64" hidden="1" outlineLevel="1">
      <c r="B1242" s="1094"/>
      <c r="C1242" s="1071" t="str">
        <f t="shared" ref="C1242:F1242" si="1698">C925</f>
        <v>Frequency Expnasion Programme Knock</v>
      </c>
      <c r="D1242" s="1071" t="str">
        <f t="shared" si="1698"/>
        <v>Frequency Expnasion Programme</v>
      </c>
      <c r="E1242" s="1071" t="str">
        <f t="shared" si="1698"/>
        <v>R009A</v>
      </c>
      <c r="F1242" s="1125" t="str">
        <f t="shared" si="1698"/>
        <v>2021-2024</v>
      </c>
      <c r="H1242" s="1071" t="s">
        <v>29</v>
      </c>
      <c r="BB1242" s="1108"/>
      <c r="BC1242" s="1109"/>
      <c r="BD1242" s="1109"/>
      <c r="BE1242" s="1109"/>
      <c r="BF1242" s="1109"/>
      <c r="BG1242" s="1109"/>
      <c r="BH1242" s="1109">
        <f t="shared" ref="BH1242:BL1242" si="1699">BH578*$BA275</f>
        <v>0</v>
      </c>
      <c r="BI1242" s="1109">
        <f t="shared" si="1699"/>
        <v>0</v>
      </c>
      <c r="BJ1242" s="1109">
        <f t="shared" si="1699"/>
        <v>0</v>
      </c>
      <c r="BK1242" s="1109">
        <f t="shared" si="1699"/>
        <v>0</v>
      </c>
      <c r="BL1242" s="1109">
        <f t="shared" si="1699"/>
        <v>0</v>
      </c>
    </row>
    <row r="1243" spans="2:64" hidden="1" outlineLevel="1">
      <c r="B1243" s="1094"/>
      <c r="C1243" s="1071" t="str">
        <f t="shared" ref="C1243:F1243" si="1700">C926</f>
        <v>Frequency Expnasion Programme Shannon (Woodcock Hill, Dooncarton, Glc)</v>
      </c>
      <c r="D1243" s="1071" t="str">
        <f t="shared" si="1700"/>
        <v>Frequency Expnasion Programme</v>
      </c>
      <c r="E1243" s="1071" t="str">
        <f t="shared" si="1700"/>
        <v>R009A</v>
      </c>
      <c r="F1243" s="1125" t="str">
        <f t="shared" si="1700"/>
        <v>2021-2024</v>
      </c>
      <c r="H1243" s="1071" t="s">
        <v>29</v>
      </c>
      <c r="BB1243" s="1108"/>
      <c r="BC1243" s="1109"/>
      <c r="BD1243" s="1109"/>
      <c r="BE1243" s="1109"/>
      <c r="BF1243" s="1109"/>
      <c r="BG1243" s="1109"/>
      <c r="BH1243" s="1109">
        <f t="shared" ref="BH1243:BL1243" si="1701">BH579*$BA276</f>
        <v>0</v>
      </c>
      <c r="BI1243" s="1109">
        <f t="shared" si="1701"/>
        <v>0</v>
      </c>
      <c r="BJ1243" s="1109">
        <f t="shared" si="1701"/>
        <v>0</v>
      </c>
      <c r="BK1243" s="1109">
        <f t="shared" si="1701"/>
        <v>0</v>
      </c>
      <c r="BL1243" s="1109">
        <f t="shared" si="1701"/>
        <v>0</v>
      </c>
    </row>
    <row r="1244" spans="2:64" hidden="1" outlineLevel="1">
      <c r="B1244" s="1094"/>
      <c r="C1244" s="1071" t="str">
        <f t="shared" ref="C1244:F1244" si="1702">C927</f>
        <v>UPS System Replacement SHN/DUB</v>
      </c>
      <c r="D1244" s="1071" t="str">
        <f t="shared" si="1702"/>
        <v>UPS System Replacement</v>
      </c>
      <c r="E1244" s="1071" t="str">
        <f t="shared" si="1702"/>
        <v>S012</v>
      </c>
      <c r="F1244" s="1125" t="str">
        <f t="shared" si="1702"/>
        <v>2021-2024</v>
      </c>
      <c r="H1244" s="1071" t="s">
        <v>29</v>
      </c>
      <c r="BB1244" s="1108"/>
      <c r="BC1244" s="1109"/>
      <c r="BD1244" s="1109"/>
      <c r="BE1244" s="1109"/>
      <c r="BF1244" s="1109"/>
      <c r="BG1244" s="1109"/>
      <c r="BH1244" s="1109">
        <f t="shared" ref="BH1244:BL1244" si="1703">BH580*$BA277</f>
        <v>0</v>
      </c>
      <c r="BI1244" s="1109">
        <f t="shared" si="1703"/>
        <v>0</v>
      </c>
      <c r="BJ1244" s="1109">
        <f t="shared" si="1703"/>
        <v>0</v>
      </c>
      <c r="BK1244" s="1109">
        <f t="shared" si="1703"/>
        <v>0</v>
      </c>
      <c r="BL1244" s="1109">
        <f t="shared" si="1703"/>
        <v>0</v>
      </c>
    </row>
    <row r="1245" spans="2:64" hidden="1" outlineLevel="1">
      <c r="B1245" s="1094"/>
      <c r="C1245" s="1071" t="str">
        <f t="shared" ref="C1245:F1245" si="1704">C928</f>
        <v>UPS System Replacement DUB</v>
      </c>
      <c r="D1245" s="1071" t="str">
        <f t="shared" si="1704"/>
        <v>UPS System Replacement</v>
      </c>
      <c r="E1245" s="1071" t="str">
        <f t="shared" si="1704"/>
        <v>S012A</v>
      </c>
      <c r="F1245" s="1125" t="str">
        <f t="shared" si="1704"/>
        <v>2021-2024</v>
      </c>
      <c r="H1245" s="1071" t="s">
        <v>29</v>
      </c>
      <c r="BB1245" s="1108"/>
      <c r="BC1245" s="1109"/>
      <c r="BD1245" s="1109"/>
      <c r="BE1245" s="1109"/>
      <c r="BF1245" s="1109"/>
      <c r="BG1245" s="1109"/>
      <c r="BH1245" s="1109">
        <f t="shared" ref="BH1245:BL1245" si="1705">BH581*$BA278</f>
        <v>0</v>
      </c>
      <c r="BI1245" s="1109">
        <f t="shared" si="1705"/>
        <v>2.6890155</v>
      </c>
      <c r="BJ1245" s="1109">
        <f t="shared" si="1705"/>
        <v>5.378031</v>
      </c>
      <c r="BK1245" s="1109">
        <f t="shared" si="1705"/>
        <v>5.378031</v>
      </c>
      <c r="BL1245" s="1109">
        <f t="shared" si="1705"/>
        <v>5.378031</v>
      </c>
    </row>
    <row r="1246" spans="2:64" hidden="1" outlineLevel="1">
      <c r="B1246" s="1094"/>
      <c r="C1246" s="1071" t="str">
        <f t="shared" ref="C1246:F1246" si="1706">C929</f>
        <v>UPS System Replacement SHN</v>
      </c>
      <c r="D1246" s="1071" t="str">
        <f t="shared" si="1706"/>
        <v>UPS System Replacement</v>
      </c>
      <c r="E1246" s="1071" t="str">
        <f t="shared" si="1706"/>
        <v>S012A</v>
      </c>
      <c r="F1246" s="1125" t="str">
        <f t="shared" si="1706"/>
        <v>2021-2024</v>
      </c>
      <c r="H1246" s="1071" t="s">
        <v>29</v>
      </c>
      <c r="BB1246" s="1108"/>
      <c r="BC1246" s="1109"/>
      <c r="BD1246" s="1109"/>
      <c r="BE1246" s="1109"/>
      <c r="BF1246" s="1109"/>
      <c r="BG1246" s="1109"/>
      <c r="BH1246" s="1109">
        <f t="shared" ref="BH1246:BL1246" si="1707">BH582*$BA279</f>
        <v>0</v>
      </c>
      <c r="BI1246" s="1109">
        <f t="shared" si="1707"/>
        <v>2.5</v>
      </c>
      <c r="BJ1246" s="1109">
        <f t="shared" si="1707"/>
        <v>5</v>
      </c>
      <c r="BK1246" s="1109">
        <f t="shared" si="1707"/>
        <v>5</v>
      </c>
      <c r="BL1246" s="1109">
        <f t="shared" si="1707"/>
        <v>5</v>
      </c>
    </row>
    <row r="1247" spans="2:64" hidden="1" outlineLevel="1">
      <c r="B1247" s="1094"/>
      <c r="C1247" s="1071" t="str">
        <f t="shared" ref="C1247:F1247" si="1708">C930</f>
        <v>Remote Power Management</v>
      </c>
      <c r="D1247" s="1071" t="str">
        <f t="shared" si="1708"/>
        <v>Remote Power Management</v>
      </c>
      <c r="E1247" s="1071" t="str">
        <f t="shared" si="1708"/>
        <v>R012</v>
      </c>
      <c r="F1247" s="1125" t="str">
        <f t="shared" si="1708"/>
        <v>2021-2024</v>
      </c>
      <c r="H1247" s="1071" t="s">
        <v>29</v>
      </c>
      <c r="BB1247" s="1108"/>
      <c r="BC1247" s="1109"/>
      <c r="BD1247" s="1109"/>
      <c r="BE1247" s="1109"/>
      <c r="BF1247" s="1109"/>
      <c r="BG1247" s="1109"/>
      <c r="BH1247" s="1109">
        <f t="shared" ref="BH1247:BL1247" si="1709">BH583*$BA280</f>
        <v>0</v>
      </c>
      <c r="BI1247" s="1109">
        <f t="shared" si="1709"/>
        <v>0</v>
      </c>
      <c r="BJ1247" s="1109">
        <f t="shared" si="1709"/>
        <v>0</v>
      </c>
      <c r="BK1247" s="1109">
        <f t="shared" si="1709"/>
        <v>2.568815625</v>
      </c>
      <c r="BL1247" s="1109">
        <f t="shared" si="1709"/>
        <v>10.2752625</v>
      </c>
    </row>
    <row r="1248" spans="2:64" hidden="1" outlineLevel="1">
      <c r="B1248" s="1094"/>
      <c r="C1248" s="1071" t="str">
        <f t="shared" ref="C1248:F1248" si="1710">C931</f>
        <v>A-SMGCS Enhancements</v>
      </c>
      <c r="D1248" s="1071" t="str">
        <f t="shared" si="1710"/>
        <v>A-SMGCS Enhancements</v>
      </c>
      <c r="E1248" s="1071" t="str">
        <f t="shared" si="1710"/>
        <v>R015</v>
      </c>
      <c r="F1248" s="1125" t="str">
        <f t="shared" si="1710"/>
        <v>2021-2024</v>
      </c>
      <c r="H1248" s="1071" t="s">
        <v>29</v>
      </c>
      <c r="BB1248" s="1108"/>
      <c r="BC1248" s="1109"/>
      <c r="BD1248" s="1109"/>
      <c r="BE1248" s="1109"/>
      <c r="BF1248" s="1109"/>
      <c r="BG1248" s="1109"/>
      <c r="BH1248" s="1109">
        <f t="shared" ref="BH1248:BL1248" si="1711">BH584*$BA281</f>
        <v>0</v>
      </c>
      <c r="BI1248" s="1109">
        <f t="shared" si="1711"/>
        <v>6.4169412499999998</v>
      </c>
      <c r="BJ1248" s="1109">
        <f t="shared" si="1711"/>
        <v>25.667764999999999</v>
      </c>
      <c r="BK1248" s="1109">
        <f t="shared" si="1711"/>
        <v>40.667765000000003</v>
      </c>
      <c r="BL1248" s="1109">
        <f t="shared" si="1711"/>
        <v>40.667764999999996</v>
      </c>
    </row>
    <row r="1249" spans="2:64" hidden="1" outlineLevel="1">
      <c r="B1249" s="1094"/>
      <c r="C1249" s="1071" t="str">
        <f t="shared" ref="C1249:F1249" si="1712">C932</f>
        <v>LAN &amp; WAN Cybersecurity</v>
      </c>
      <c r="D1249" s="1071" t="str">
        <f t="shared" si="1712"/>
        <v>LAN &amp; WAN Cybersecurity</v>
      </c>
      <c r="E1249" s="1071" t="str">
        <f t="shared" si="1712"/>
        <v>V006</v>
      </c>
      <c r="F1249" s="1125" t="str">
        <f t="shared" si="1712"/>
        <v>2021-2024</v>
      </c>
      <c r="H1249" s="1071" t="s">
        <v>29</v>
      </c>
      <c r="BB1249" s="1108"/>
      <c r="BC1249" s="1109"/>
      <c r="BD1249" s="1109"/>
      <c r="BE1249" s="1109"/>
      <c r="BF1249" s="1109"/>
      <c r="BG1249" s="1109"/>
      <c r="BH1249" s="1109">
        <f t="shared" ref="BH1249:BL1249" si="1713">BH585*$BA282</f>
        <v>0</v>
      </c>
      <c r="BI1249" s="1109">
        <f t="shared" si="1713"/>
        <v>0</v>
      </c>
      <c r="BJ1249" s="1109">
        <f t="shared" si="1713"/>
        <v>0</v>
      </c>
      <c r="BK1249" s="1109">
        <f t="shared" si="1713"/>
        <v>0</v>
      </c>
      <c r="BL1249" s="1109">
        <f t="shared" si="1713"/>
        <v>0</v>
      </c>
    </row>
    <row r="1250" spans="2:64" hidden="1" outlineLevel="1">
      <c r="B1250" s="1094"/>
      <c r="C1250" s="1071" t="str">
        <f t="shared" ref="C1250:F1250" si="1714">C933</f>
        <v>LAN &amp; WAN Cybersecurity HQ</v>
      </c>
      <c r="D1250" s="1071" t="str">
        <f t="shared" si="1714"/>
        <v>LAN &amp; WAN Cybersecurity</v>
      </c>
      <c r="E1250" s="1071" t="str">
        <f t="shared" si="1714"/>
        <v>V006A</v>
      </c>
      <c r="F1250" s="1125" t="str">
        <f t="shared" si="1714"/>
        <v>2021-2024</v>
      </c>
      <c r="H1250" s="1071" t="s">
        <v>29</v>
      </c>
      <c r="BB1250" s="1108"/>
      <c r="BC1250" s="1109"/>
      <c r="BD1250" s="1109"/>
      <c r="BE1250" s="1109"/>
      <c r="BF1250" s="1109"/>
      <c r="BG1250" s="1109"/>
      <c r="BH1250" s="1109">
        <f t="shared" ref="BH1250:BL1250" si="1715">BH586*$BA283</f>
        <v>0</v>
      </c>
      <c r="BI1250" s="1109">
        <f t="shared" si="1715"/>
        <v>0</v>
      </c>
      <c r="BJ1250" s="1109">
        <f t="shared" si="1715"/>
        <v>4.55</v>
      </c>
      <c r="BK1250" s="1109">
        <f t="shared" si="1715"/>
        <v>9.1</v>
      </c>
      <c r="BL1250" s="1109">
        <f t="shared" si="1715"/>
        <v>9.1</v>
      </c>
    </row>
    <row r="1251" spans="2:64" hidden="1" outlineLevel="1">
      <c r="B1251" s="1094"/>
      <c r="C1251" s="1071" t="str">
        <f t="shared" ref="C1251:F1251" si="1716">C934</f>
        <v>LAN &amp; WAN Cybersecurity SHN</v>
      </c>
      <c r="D1251" s="1071" t="str">
        <f t="shared" si="1716"/>
        <v>LAN &amp; WAN Cybersecurity</v>
      </c>
      <c r="E1251" s="1071" t="str">
        <f t="shared" si="1716"/>
        <v>V006A</v>
      </c>
      <c r="F1251" s="1125" t="str">
        <f t="shared" si="1716"/>
        <v>2021-2024</v>
      </c>
      <c r="H1251" s="1071" t="s">
        <v>29</v>
      </c>
      <c r="BB1251" s="1108"/>
      <c r="BC1251" s="1109"/>
      <c r="BD1251" s="1109"/>
      <c r="BE1251" s="1109"/>
      <c r="BF1251" s="1109"/>
      <c r="BG1251" s="1109"/>
      <c r="BH1251" s="1109">
        <f t="shared" ref="BH1251:BL1251" si="1717">BH587*$BA284</f>
        <v>0</v>
      </c>
      <c r="BI1251" s="1109">
        <f t="shared" si="1717"/>
        <v>0</v>
      </c>
      <c r="BJ1251" s="1109">
        <f t="shared" si="1717"/>
        <v>4.083333333333333</v>
      </c>
      <c r="BK1251" s="1109">
        <f t="shared" si="1717"/>
        <v>8.1666666666666661</v>
      </c>
      <c r="BL1251" s="1109">
        <f t="shared" si="1717"/>
        <v>8.1666666666666661</v>
      </c>
    </row>
    <row r="1252" spans="2:64" hidden="1" outlineLevel="1">
      <c r="B1252" s="1094"/>
      <c r="C1252" s="1071" t="str">
        <f t="shared" ref="C1252:F1252" si="1718">C935</f>
        <v>Hardware &amp; Software Provision</v>
      </c>
      <c r="D1252" s="1071" t="str">
        <f t="shared" si="1718"/>
        <v>Hardware &amp; Software Provision</v>
      </c>
      <c r="E1252" s="1071" t="str">
        <f t="shared" si="1718"/>
        <v>T018</v>
      </c>
      <c r="F1252" s="1125" t="str">
        <f t="shared" si="1718"/>
        <v>2021-2024</v>
      </c>
      <c r="H1252" s="1071" t="s">
        <v>29</v>
      </c>
      <c r="BB1252" s="1108"/>
      <c r="BC1252" s="1109"/>
      <c r="BD1252" s="1109"/>
      <c r="BE1252" s="1109"/>
      <c r="BF1252" s="1109"/>
      <c r="BG1252" s="1109"/>
      <c r="BH1252" s="1109">
        <f t="shared" ref="BH1252:BL1252" si="1719">BH588*$BA285</f>
        <v>0</v>
      </c>
      <c r="BI1252" s="1109">
        <f t="shared" si="1719"/>
        <v>0</v>
      </c>
      <c r="BJ1252" s="1109">
        <f t="shared" si="1719"/>
        <v>0</v>
      </c>
      <c r="BK1252" s="1109">
        <f t="shared" si="1719"/>
        <v>0</v>
      </c>
      <c r="BL1252" s="1109">
        <f t="shared" si="1719"/>
        <v>0</v>
      </c>
    </row>
    <row r="1253" spans="2:64" hidden="1" outlineLevel="1">
      <c r="B1253" s="1094"/>
      <c r="C1253" s="1071" t="str">
        <f t="shared" ref="C1253:F1253" si="1720">C936</f>
        <v>HW/SW Provision HQ - OTHER</v>
      </c>
      <c r="D1253" s="1071" t="str">
        <f t="shared" si="1720"/>
        <v>Hardware &amp; Software Provision</v>
      </c>
      <c r="E1253" s="1071" t="str">
        <f t="shared" si="1720"/>
        <v>T018A</v>
      </c>
      <c r="F1253" s="1125" t="str">
        <f t="shared" si="1720"/>
        <v>2021-2024</v>
      </c>
      <c r="H1253" s="1071" t="s">
        <v>29</v>
      </c>
      <c r="BB1253" s="1108"/>
      <c r="BC1253" s="1109"/>
      <c r="BD1253" s="1109"/>
      <c r="BE1253" s="1109"/>
      <c r="BF1253" s="1109"/>
      <c r="BG1253" s="1109"/>
      <c r="BH1253" s="1109">
        <f t="shared" ref="BH1253:BL1253" si="1721">BH589*$BA286</f>
        <v>0</v>
      </c>
      <c r="BI1253" s="1109">
        <f t="shared" si="1721"/>
        <v>0.21873176774999994</v>
      </c>
      <c r="BJ1253" s="1109">
        <f t="shared" si="1721"/>
        <v>0.29164235699999991</v>
      </c>
      <c r="BK1253" s="1109">
        <f t="shared" si="1721"/>
        <v>0.29164235699999991</v>
      </c>
      <c r="BL1253" s="1109">
        <f t="shared" si="1721"/>
        <v>7.2910589249999977E-2</v>
      </c>
    </row>
    <row r="1254" spans="2:64" hidden="1" outlineLevel="1">
      <c r="B1254" s="1094"/>
      <c r="C1254" s="1071" t="str">
        <f t="shared" ref="C1254:F1254" si="1722">C937</f>
        <v>HW/SW Provision DUB</v>
      </c>
      <c r="D1254" s="1071" t="str">
        <f t="shared" si="1722"/>
        <v>Hardware &amp; Software Provision</v>
      </c>
      <c r="E1254" s="1071" t="str">
        <f t="shared" si="1722"/>
        <v>T018A</v>
      </c>
      <c r="F1254" s="1125" t="str">
        <f t="shared" si="1722"/>
        <v>2021-2024</v>
      </c>
      <c r="H1254" s="1071" t="s">
        <v>29</v>
      </c>
      <c r="BB1254" s="1108"/>
      <c r="BC1254" s="1109"/>
      <c r="BD1254" s="1109"/>
      <c r="BE1254" s="1109"/>
      <c r="BF1254" s="1109"/>
      <c r="BG1254" s="1109"/>
      <c r="BH1254" s="1109">
        <f t="shared" ref="BH1254:BL1254" si="1723">BH590*$BA287</f>
        <v>0</v>
      </c>
      <c r="BI1254" s="1109">
        <f t="shared" si="1723"/>
        <v>0.3645529462499999</v>
      </c>
      <c r="BJ1254" s="1109">
        <f t="shared" si="1723"/>
        <v>0.48607059499999988</v>
      </c>
      <c r="BK1254" s="1109">
        <f t="shared" si="1723"/>
        <v>0.48607059499999988</v>
      </c>
      <c r="BL1254" s="1109">
        <f t="shared" si="1723"/>
        <v>0.12151764874999997</v>
      </c>
    </row>
    <row r="1255" spans="2:64" hidden="1" outlineLevel="1">
      <c r="B1255" s="1094"/>
      <c r="C1255" s="1071" t="str">
        <f t="shared" ref="C1255:F1255" si="1724">C938</f>
        <v>HW/SW Provision SHN</v>
      </c>
      <c r="D1255" s="1071" t="str">
        <f t="shared" si="1724"/>
        <v>Hardware &amp; Software Provision</v>
      </c>
      <c r="E1255" s="1071" t="str">
        <f t="shared" si="1724"/>
        <v>T018A</v>
      </c>
      <c r="F1255" s="1125" t="str">
        <f t="shared" si="1724"/>
        <v>2021-2024</v>
      </c>
      <c r="H1255" s="1071" t="s">
        <v>29</v>
      </c>
      <c r="BB1255" s="1108"/>
      <c r="BC1255" s="1109"/>
      <c r="BD1255" s="1109"/>
      <c r="BE1255" s="1109"/>
      <c r="BF1255" s="1109"/>
      <c r="BG1255" s="1109"/>
      <c r="BH1255" s="1109">
        <f t="shared" ref="BH1255:BL1255" si="1725">BH591*$BA288</f>
        <v>0</v>
      </c>
      <c r="BI1255" s="1109">
        <f t="shared" si="1725"/>
        <v>0.3645529462499999</v>
      </c>
      <c r="BJ1255" s="1109">
        <f t="shared" si="1725"/>
        <v>0.48607059499999988</v>
      </c>
      <c r="BK1255" s="1109">
        <f t="shared" si="1725"/>
        <v>0.48607059499999988</v>
      </c>
      <c r="BL1255" s="1109">
        <f t="shared" si="1725"/>
        <v>0.12151764874999997</v>
      </c>
    </row>
    <row r="1256" spans="2:64" hidden="1" outlineLevel="1">
      <c r="B1256" s="1094"/>
      <c r="C1256" s="1071" t="str">
        <f t="shared" ref="C1256:F1256" si="1726">C939</f>
        <v>HW/SW Provision</v>
      </c>
      <c r="D1256" s="1071" t="str">
        <f t="shared" si="1726"/>
        <v>Hardware &amp; Software Provision</v>
      </c>
      <c r="E1256" s="1071" t="str">
        <f t="shared" si="1726"/>
        <v>V004</v>
      </c>
      <c r="F1256" s="1125" t="str">
        <f t="shared" si="1726"/>
        <v>2021-2024</v>
      </c>
      <c r="H1256" s="1071" t="s">
        <v>29</v>
      </c>
      <c r="BB1256" s="1108"/>
      <c r="BC1256" s="1109"/>
      <c r="BD1256" s="1109"/>
      <c r="BE1256" s="1109"/>
      <c r="BF1256" s="1109"/>
      <c r="BG1256" s="1109"/>
      <c r="BH1256" s="1109">
        <f t="shared" ref="BH1256:BL1256" si="1727">BH592*$BA289</f>
        <v>0</v>
      </c>
      <c r="BI1256" s="1109">
        <f t="shared" si="1727"/>
        <v>0</v>
      </c>
      <c r="BJ1256" s="1109">
        <f t="shared" si="1727"/>
        <v>0</v>
      </c>
      <c r="BK1256" s="1109">
        <f t="shared" si="1727"/>
        <v>0</v>
      </c>
      <c r="BL1256" s="1109">
        <f t="shared" si="1727"/>
        <v>0</v>
      </c>
    </row>
    <row r="1257" spans="2:64" hidden="1" outlineLevel="1">
      <c r="B1257" s="1094"/>
      <c r="C1257" s="1071" t="str">
        <f t="shared" ref="C1257:F1257" si="1728">C940</f>
        <v>HW/SW Provision HQ - OTHER</v>
      </c>
      <c r="D1257" s="1071" t="str">
        <f t="shared" si="1728"/>
        <v>Hardware &amp; Software Provision</v>
      </c>
      <c r="E1257" s="1071" t="str">
        <f t="shared" si="1728"/>
        <v>V004A</v>
      </c>
      <c r="F1257" s="1125" t="str">
        <f t="shared" si="1728"/>
        <v>2021-2024</v>
      </c>
      <c r="H1257" s="1071" t="s">
        <v>29</v>
      </c>
      <c r="BB1257" s="1108"/>
      <c r="BC1257" s="1109"/>
      <c r="BD1257" s="1109"/>
      <c r="BE1257" s="1109"/>
      <c r="BF1257" s="1109"/>
      <c r="BG1257" s="1109"/>
      <c r="BH1257" s="1109">
        <f t="shared" ref="BH1257:BL1257" si="1729">BH593*$BA290</f>
        <v>0</v>
      </c>
      <c r="BI1257" s="1109">
        <f t="shared" si="1729"/>
        <v>1.0937499999999998</v>
      </c>
      <c r="BJ1257" s="1109">
        <f t="shared" si="1729"/>
        <v>2.8437499999999991</v>
      </c>
      <c r="BK1257" s="1109">
        <f t="shared" si="1729"/>
        <v>4.59375</v>
      </c>
      <c r="BL1257" s="1109">
        <f t="shared" si="1729"/>
        <v>5.25</v>
      </c>
    </row>
    <row r="1258" spans="2:64" hidden="1" outlineLevel="1">
      <c r="B1258" s="1094"/>
      <c r="C1258" s="1071" t="str">
        <f t="shared" ref="C1258:F1258" si="1730">C941</f>
        <v>HW/SW Provision DUB</v>
      </c>
      <c r="D1258" s="1071" t="str">
        <f t="shared" si="1730"/>
        <v>Hardware &amp; Software Provision</v>
      </c>
      <c r="E1258" s="1071" t="str">
        <f t="shared" si="1730"/>
        <v>V004A</v>
      </c>
      <c r="F1258" s="1125" t="str">
        <f t="shared" si="1730"/>
        <v>2021-2024</v>
      </c>
      <c r="H1258" s="1071" t="s">
        <v>29</v>
      </c>
      <c r="BB1258" s="1108"/>
      <c r="BC1258" s="1109"/>
      <c r="BD1258" s="1109"/>
      <c r="BE1258" s="1109"/>
      <c r="BF1258" s="1109"/>
      <c r="BG1258" s="1109"/>
      <c r="BH1258" s="1109">
        <f t="shared" ref="BH1258:BL1258" si="1731">BH594*$BA291</f>
        <v>0</v>
      </c>
      <c r="BI1258" s="1109">
        <f t="shared" si="1731"/>
        <v>0.78125</v>
      </c>
      <c r="BJ1258" s="1109">
        <f t="shared" si="1731"/>
        <v>2.03125</v>
      </c>
      <c r="BK1258" s="1109">
        <f t="shared" si="1731"/>
        <v>3.28125</v>
      </c>
      <c r="BL1258" s="1109">
        <f t="shared" si="1731"/>
        <v>3.75</v>
      </c>
    </row>
    <row r="1259" spans="2:64" hidden="1" outlineLevel="1">
      <c r="B1259" s="1094"/>
      <c r="C1259" s="1071" t="str">
        <f t="shared" ref="C1259:F1259" si="1732">C942</f>
        <v>HW/SW Provision SHN</v>
      </c>
      <c r="D1259" s="1071" t="str">
        <f t="shared" si="1732"/>
        <v>Hardware &amp; Software Provision</v>
      </c>
      <c r="E1259" s="1071" t="str">
        <f t="shared" si="1732"/>
        <v>V004A</v>
      </c>
      <c r="F1259" s="1125" t="str">
        <f t="shared" si="1732"/>
        <v>2021-2024</v>
      </c>
      <c r="H1259" s="1071" t="s">
        <v>29</v>
      </c>
      <c r="BB1259" s="1108"/>
      <c r="BC1259" s="1109"/>
      <c r="BD1259" s="1109"/>
      <c r="BE1259" s="1109"/>
      <c r="BF1259" s="1109"/>
      <c r="BG1259" s="1109"/>
      <c r="BH1259" s="1109">
        <f t="shared" ref="BH1259:BL1259" si="1733">BH595*$BA292</f>
        <v>0</v>
      </c>
      <c r="BI1259" s="1109">
        <f t="shared" si="1733"/>
        <v>0.78125</v>
      </c>
      <c r="BJ1259" s="1109">
        <f t="shared" si="1733"/>
        <v>2.03125</v>
      </c>
      <c r="BK1259" s="1109">
        <f t="shared" si="1733"/>
        <v>3.28125</v>
      </c>
      <c r="BL1259" s="1109">
        <f t="shared" si="1733"/>
        <v>3.75</v>
      </c>
    </row>
    <row r="1260" spans="2:64" hidden="1" outlineLevel="1">
      <c r="B1260" s="1094"/>
      <c r="C1260" s="1071" t="str">
        <f t="shared" ref="C1260:F1260" si="1734">C943</f>
        <v>Automated Dependent Surveillance Broadcast Evaluation (ADS-B)</v>
      </c>
      <c r="D1260" s="1071" t="str">
        <f t="shared" si="1734"/>
        <v>Automated Dependent Surveillance Broadcast Evaluation (ADS-B)</v>
      </c>
      <c r="E1260" s="1071" t="str">
        <f t="shared" si="1734"/>
        <v>K010</v>
      </c>
      <c r="F1260" s="1125" t="str">
        <f t="shared" si="1734"/>
        <v>2021-2024</v>
      </c>
      <c r="H1260" s="1071" t="s">
        <v>29</v>
      </c>
      <c r="BB1260" s="1108"/>
      <c r="BC1260" s="1109"/>
      <c r="BD1260" s="1109"/>
      <c r="BE1260" s="1109"/>
      <c r="BF1260" s="1109"/>
      <c r="BG1260" s="1109"/>
      <c r="BH1260" s="1109">
        <f t="shared" ref="BH1260:BL1260" si="1735">BH596*$BA293</f>
        <v>0</v>
      </c>
      <c r="BI1260" s="1109">
        <f t="shared" si="1735"/>
        <v>0</v>
      </c>
      <c r="BJ1260" s="1109">
        <f t="shared" si="1735"/>
        <v>2.0898031875000003</v>
      </c>
      <c r="BK1260" s="1109">
        <f t="shared" si="1735"/>
        <v>8.3592127500000011</v>
      </c>
      <c r="BL1260" s="1109">
        <f t="shared" si="1735"/>
        <v>8.3592127500000011</v>
      </c>
    </row>
    <row r="1261" spans="2:64" hidden="1" outlineLevel="1">
      <c r="B1261" s="1094"/>
      <c r="C1261" s="1071" t="str">
        <f t="shared" ref="C1261:F1261" si="1736">C944</f>
        <v>Off the Glass Recording for VCCS Touchscreens</v>
      </c>
      <c r="D1261" s="1071" t="str">
        <f t="shared" si="1736"/>
        <v>Off the Glass Recording</v>
      </c>
      <c r="E1261" s="1071" t="str">
        <f t="shared" si="1736"/>
        <v>P004</v>
      </c>
      <c r="F1261" s="1125" t="str">
        <f t="shared" si="1736"/>
        <v>2021-2024</v>
      </c>
      <c r="H1261" s="1071" t="s">
        <v>29</v>
      </c>
      <c r="BB1261" s="1108"/>
      <c r="BC1261" s="1109"/>
      <c r="BD1261" s="1109"/>
      <c r="BE1261" s="1109"/>
      <c r="BF1261" s="1109"/>
      <c r="BG1261" s="1109"/>
      <c r="BH1261" s="1109">
        <f t="shared" ref="BH1261:BL1261" si="1737">BH597*$BA294</f>
        <v>0</v>
      </c>
      <c r="BI1261" s="1109">
        <f t="shared" si="1737"/>
        <v>0</v>
      </c>
      <c r="BJ1261" s="1109">
        <f t="shared" si="1737"/>
        <v>0</v>
      </c>
      <c r="BK1261" s="1109">
        <f t="shared" si="1737"/>
        <v>0</v>
      </c>
      <c r="BL1261" s="1109">
        <f t="shared" si="1737"/>
        <v>0</v>
      </c>
    </row>
    <row r="1262" spans="2:64" hidden="1" outlineLevel="1">
      <c r="B1262" s="1094"/>
      <c r="C1262" s="1071" t="str">
        <f t="shared" ref="C1262:F1262" si="1738">C945</f>
        <v>Off Glass Recording VCCS Dublin</v>
      </c>
      <c r="D1262" s="1071" t="str">
        <f t="shared" si="1738"/>
        <v>Off the Glass Recording</v>
      </c>
      <c r="E1262" s="1071" t="str">
        <f t="shared" si="1738"/>
        <v>P004A</v>
      </c>
      <c r="F1262" s="1125" t="str">
        <f t="shared" si="1738"/>
        <v>2021-2024</v>
      </c>
      <c r="H1262" s="1071" t="s">
        <v>29</v>
      </c>
      <c r="BB1262" s="1108"/>
      <c r="BC1262" s="1109"/>
      <c r="BD1262" s="1109"/>
      <c r="BE1262" s="1109"/>
      <c r="BF1262" s="1109"/>
      <c r="BG1262" s="1109"/>
      <c r="BH1262" s="1109">
        <f t="shared" ref="BH1262:BL1262" si="1739">BH598*$BA295</f>
        <v>0</v>
      </c>
      <c r="BI1262" s="1109">
        <f t="shared" si="1739"/>
        <v>4.030060625</v>
      </c>
      <c r="BJ1262" s="1109">
        <f t="shared" si="1739"/>
        <v>8.0601212499999999</v>
      </c>
      <c r="BK1262" s="1109">
        <f t="shared" si="1739"/>
        <v>8.0601212499999999</v>
      </c>
      <c r="BL1262" s="1109">
        <f t="shared" si="1739"/>
        <v>8.0601212499999999</v>
      </c>
    </row>
    <row r="1263" spans="2:64" hidden="1" outlineLevel="1">
      <c r="B1263" s="1094"/>
      <c r="C1263" s="1071" t="str">
        <f t="shared" ref="C1263:F1263" si="1740">C946</f>
        <v>Cessation of E1 Crcuits and Migration to IP (ERIN etc)</v>
      </c>
      <c r="D1263" s="1071" t="str">
        <f t="shared" si="1740"/>
        <v>Cessation of E1 Crcuits and Migration to IP (ERIN etc)</v>
      </c>
      <c r="E1263" s="1071" t="str">
        <f t="shared" si="1740"/>
        <v>V008</v>
      </c>
      <c r="F1263" s="1125" t="str">
        <f t="shared" si="1740"/>
        <v>2021-2024</v>
      </c>
      <c r="H1263" s="1071" t="s">
        <v>29</v>
      </c>
      <c r="BB1263" s="1108"/>
      <c r="BC1263" s="1109"/>
      <c r="BD1263" s="1109"/>
      <c r="BE1263" s="1109"/>
      <c r="BF1263" s="1109"/>
      <c r="BG1263" s="1109"/>
      <c r="BH1263" s="1109">
        <f t="shared" ref="BH1263:BL1263" si="1741">BH599*$BA296</f>
        <v>0</v>
      </c>
      <c r="BI1263" s="1109">
        <f t="shared" si="1741"/>
        <v>0</v>
      </c>
      <c r="BJ1263" s="1109">
        <f t="shared" si="1741"/>
        <v>0</v>
      </c>
      <c r="BK1263" s="1109">
        <f t="shared" si="1741"/>
        <v>7.5</v>
      </c>
      <c r="BL1263" s="1109">
        <f t="shared" si="1741"/>
        <v>7.5</v>
      </c>
    </row>
    <row r="1264" spans="2:64" hidden="1" outlineLevel="1">
      <c r="B1264" s="1094"/>
      <c r="C1264" s="1071" t="str">
        <f t="shared" ref="C1264:F1264" si="1742">C947</f>
        <v>Generator Replacement Programmes</v>
      </c>
      <c r="D1264" s="1071" t="str">
        <f t="shared" si="1742"/>
        <v>Generator Replacement Programmes</v>
      </c>
      <c r="E1264" s="1071" t="str">
        <f t="shared" si="1742"/>
        <v>RP3-SURV-3</v>
      </c>
      <c r="F1264" s="1125" t="str">
        <f t="shared" si="1742"/>
        <v>2021-2024</v>
      </c>
      <c r="H1264" s="1071" t="s">
        <v>29</v>
      </c>
      <c r="BB1264" s="1108"/>
      <c r="BC1264" s="1109"/>
      <c r="BD1264" s="1109"/>
      <c r="BE1264" s="1109"/>
      <c r="BF1264" s="1109"/>
      <c r="BG1264" s="1109"/>
      <c r="BH1264" s="1109">
        <f t="shared" ref="BH1264:BL1264" si="1743">BH600*$BA297</f>
        <v>0</v>
      </c>
      <c r="BI1264" s="1109">
        <f t="shared" si="1743"/>
        <v>0</v>
      </c>
      <c r="BJ1264" s="1109">
        <f t="shared" si="1743"/>
        <v>0</v>
      </c>
      <c r="BK1264" s="1109">
        <f t="shared" si="1743"/>
        <v>0</v>
      </c>
      <c r="BL1264" s="1109">
        <f t="shared" si="1743"/>
        <v>0</v>
      </c>
    </row>
    <row r="1265" spans="2:64" hidden="1" outlineLevel="1">
      <c r="B1265" s="1094"/>
      <c r="C1265" s="1071" t="str">
        <f t="shared" ref="C1265:F1265" si="1744">C948</f>
        <v>Generator Replacements Shannon Remote Sites</v>
      </c>
      <c r="D1265" s="1071" t="str">
        <f t="shared" si="1744"/>
        <v>Generator Replacement Programmes</v>
      </c>
      <c r="E1265" s="1071" t="str">
        <f t="shared" si="1744"/>
        <v>RP3-SURV-3</v>
      </c>
      <c r="F1265" s="1125" t="str">
        <f t="shared" si="1744"/>
        <v>2021-2024</v>
      </c>
      <c r="H1265" s="1071" t="s">
        <v>29</v>
      </c>
      <c r="BB1265" s="1108"/>
      <c r="BC1265" s="1109"/>
      <c r="BD1265" s="1109"/>
      <c r="BE1265" s="1109"/>
      <c r="BF1265" s="1109"/>
      <c r="BG1265" s="1109"/>
      <c r="BH1265" s="1109">
        <f t="shared" ref="BH1265:BL1265" si="1745">BH601*$BA298</f>
        <v>0</v>
      </c>
      <c r="BI1265" s="1109">
        <f t="shared" si="1745"/>
        <v>0</v>
      </c>
      <c r="BJ1265" s="1109">
        <f t="shared" si="1745"/>
        <v>0.9375</v>
      </c>
      <c r="BK1265" s="1109">
        <f t="shared" si="1745"/>
        <v>4.6875</v>
      </c>
      <c r="BL1265" s="1109">
        <f t="shared" si="1745"/>
        <v>7.5</v>
      </c>
    </row>
    <row r="1266" spans="2:64" hidden="1" outlineLevel="1">
      <c r="B1266" s="1094"/>
      <c r="C1266" s="1071" t="str">
        <f t="shared" ref="C1266:F1266" si="1746">C949</f>
        <v>Software Licencing</v>
      </c>
      <c r="D1266" s="1071" t="str">
        <f t="shared" si="1746"/>
        <v>Software Licencing</v>
      </c>
      <c r="E1266" s="1071" t="str">
        <f t="shared" si="1746"/>
        <v>V005</v>
      </c>
      <c r="F1266" s="1125" t="str">
        <f t="shared" si="1746"/>
        <v>2021-2024</v>
      </c>
      <c r="H1266" s="1071" t="s">
        <v>29</v>
      </c>
      <c r="BB1266" s="1108"/>
      <c r="BC1266" s="1109"/>
      <c r="BD1266" s="1109"/>
      <c r="BE1266" s="1109"/>
      <c r="BF1266" s="1109"/>
      <c r="BG1266" s="1109"/>
      <c r="BH1266" s="1109">
        <f t="shared" ref="BH1266:BL1266" si="1747">BH602*$BA299</f>
        <v>0</v>
      </c>
      <c r="BI1266" s="1109">
        <f t="shared" si="1747"/>
        <v>0</v>
      </c>
      <c r="BJ1266" s="1109">
        <f t="shared" si="1747"/>
        <v>0</v>
      </c>
      <c r="BK1266" s="1109">
        <f t="shared" si="1747"/>
        <v>0</v>
      </c>
      <c r="BL1266" s="1109">
        <f t="shared" si="1747"/>
        <v>0</v>
      </c>
    </row>
    <row r="1267" spans="2:64" hidden="1" outlineLevel="1">
      <c r="B1267" s="1094"/>
      <c r="C1267" s="1071" t="str">
        <f t="shared" ref="C1267:F1267" si="1748">C950</f>
        <v>Software Licencing HQ</v>
      </c>
      <c r="D1267" s="1071" t="str">
        <f t="shared" si="1748"/>
        <v>Software Licencing</v>
      </c>
      <c r="E1267" s="1071" t="str">
        <f t="shared" si="1748"/>
        <v>V005A</v>
      </c>
      <c r="F1267" s="1125" t="str">
        <f t="shared" si="1748"/>
        <v>2021-2024</v>
      </c>
      <c r="H1267" s="1071" t="s">
        <v>29</v>
      </c>
      <c r="BB1267" s="1108"/>
      <c r="BC1267" s="1109"/>
      <c r="BD1267" s="1109"/>
      <c r="BE1267" s="1109"/>
      <c r="BF1267" s="1109"/>
      <c r="BG1267" s="1109"/>
      <c r="BH1267" s="1109">
        <f t="shared" ref="BH1267:BL1267" si="1749">BH603*$BA300</f>
        <v>0</v>
      </c>
      <c r="BI1267" s="1109">
        <f t="shared" si="1749"/>
        <v>1.5</v>
      </c>
      <c r="BJ1267" s="1109">
        <f t="shared" si="1749"/>
        <v>5.25</v>
      </c>
      <c r="BK1267" s="1109">
        <f t="shared" si="1749"/>
        <v>6</v>
      </c>
      <c r="BL1267" s="1109">
        <f t="shared" si="1749"/>
        <v>4.5</v>
      </c>
    </row>
    <row r="1268" spans="2:64" hidden="1" outlineLevel="1">
      <c r="B1268" s="1094"/>
      <c r="C1268" s="1071" t="str">
        <f t="shared" ref="C1268:F1268" si="1750">C951</f>
        <v>Software Licencing SHN</v>
      </c>
      <c r="D1268" s="1071" t="str">
        <f t="shared" si="1750"/>
        <v>Software Licencing</v>
      </c>
      <c r="E1268" s="1071" t="str">
        <f t="shared" si="1750"/>
        <v>V005A</v>
      </c>
      <c r="F1268" s="1125" t="str">
        <f t="shared" si="1750"/>
        <v>2021-2024</v>
      </c>
      <c r="H1268" s="1071" t="s">
        <v>29</v>
      </c>
      <c r="BB1268" s="1108"/>
      <c r="BC1268" s="1109"/>
      <c r="BD1268" s="1109"/>
      <c r="BE1268" s="1109"/>
      <c r="BF1268" s="1109"/>
      <c r="BG1268" s="1109"/>
      <c r="BH1268" s="1109">
        <f t="shared" ref="BH1268:BL1268" si="1751">BH604*$BA301</f>
        <v>0</v>
      </c>
      <c r="BI1268" s="1109">
        <f t="shared" si="1751"/>
        <v>2.5</v>
      </c>
      <c r="BJ1268" s="1109">
        <f t="shared" si="1751"/>
        <v>8.75</v>
      </c>
      <c r="BK1268" s="1109">
        <f t="shared" si="1751"/>
        <v>10</v>
      </c>
      <c r="BL1268" s="1109">
        <f t="shared" si="1751"/>
        <v>7.5</v>
      </c>
    </row>
    <row r="1269" spans="2:64" hidden="1" outlineLevel="1">
      <c r="B1269" s="1094"/>
      <c r="C1269" s="1071" t="str">
        <f t="shared" ref="C1269:F1269" si="1752">C952</f>
        <v>PC / Laptop Replacements</v>
      </c>
      <c r="D1269" s="1071" t="str">
        <f t="shared" si="1752"/>
        <v>PC / Laptops</v>
      </c>
      <c r="E1269" s="1071" t="str">
        <f t="shared" si="1752"/>
        <v>T017</v>
      </c>
      <c r="F1269" s="1125" t="str">
        <f t="shared" si="1752"/>
        <v>2021-2024</v>
      </c>
      <c r="H1269" s="1071" t="s">
        <v>29</v>
      </c>
      <c r="BB1269" s="1108"/>
      <c r="BC1269" s="1109"/>
      <c r="BD1269" s="1109"/>
      <c r="BE1269" s="1109"/>
      <c r="BF1269" s="1109"/>
      <c r="BG1269" s="1109"/>
      <c r="BH1269" s="1109">
        <f t="shared" ref="BH1269:BL1269" si="1753">BH605*$BA302</f>
        <v>0</v>
      </c>
      <c r="BI1269" s="1109">
        <f t="shared" si="1753"/>
        <v>0</v>
      </c>
      <c r="BJ1269" s="1109">
        <f t="shared" si="1753"/>
        <v>0</v>
      </c>
      <c r="BK1269" s="1109">
        <f t="shared" si="1753"/>
        <v>0</v>
      </c>
      <c r="BL1269" s="1109">
        <f t="shared" si="1753"/>
        <v>0</v>
      </c>
    </row>
    <row r="1270" spans="2:64" hidden="1" outlineLevel="1">
      <c r="B1270" s="1094"/>
      <c r="C1270" s="1071" t="str">
        <f t="shared" ref="C1270:F1270" si="1754">C953</f>
        <v>PC/Laptops HQ - OTHER</v>
      </c>
      <c r="D1270" s="1071" t="str">
        <f t="shared" si="1754"/>
        <v>PC / Laptops</v>
      </c>
      <c r="E1270" s="1071" t="str">
        <f t="shared" si="1754"/>
        <v>T017A</v>
      </c>
      <c r="F1270" s="1125" t="str">
        <f t="shared" si="1754"/>
        <v>2021-2024</v>
      </c>
      <c r="H1270" s="1071" t="s">
        <v>29</v>
      </c>
      <c r="BB1270" s="1108"/>
      <c r="BC1270" s="1109"/>
      <c r="BD1270" s="1109"/>
      <c r="BE1270" s="1109"/>
      <c r="BF1270" s="1109"/>
      <c r="BG1270" s="1109"/>
      <c r="BH1270" s="1109">
        <f t="shared" ref="BH1270:BL1270" si="1755">BH606*$BA303</f>
        <v>0</v>
      </c>
      <c r="BI1270" s="1109">
        <f t="shared" si="1755"/>
        <v>0.43999379999999622</v>
      </c>
      <c r="BJ1270" s="1109">
        <f t="shared" si="1755"/>
        <v>0.58665839999999492</v>
      </c>
      <c r="BK1270" s="1109">
        <f t="shared" si="1755"/>
        <v>0.58665839999999492</v>
      </c>
      <c r="BL1270" s="1109">
        <f t="shared" si="1755"/>
        <v>0.14666459999999873</v>
      </c>
    </row>
    <row r="1271" spans="2:64" hidden="1" outlineLevel="1">
      <c r="B1271" s="1094"/>
      <c r="C1271" s="1071" t="str">
        <f t="shared" ref="C1271:F1271" si="1756">C954</f>
        <v>PC/Laptops DUB</v>
      </c>
      <c r="D1271" s="1071" t="str">
        <f t="shared" si="1756"/>
        <v>PC / Laptops</v>
      </c>
      <c r="E1271" s="1071" t="str">
        <f t="shared" si="1756"/>
        <v>T017A</v>
      </c>
      <c r="F1271" s="1125" t="str">
        <f t="shared" si="1756"/>
        <v>2021-2024</v>
      </c>
      <c r="H1271" s="1071" t="s">
        <v>29</v>
      </c>
      <c r="BB1271" s="1108"/>
      <c r="BC1271" s="1109"/>
      <c r="BD1271" s="1109"/>
      <c r="BE1271" s="1109"/>
      <c r="BF1271" s="1109"/>
      <c r="BG1271" s="1109"/>
      <c r="BH1271" s="1109">
        <f t="shared" ref="BH1271:BL1271" si="1757">BH607*$BA304</f>
        <v>0</v>
      </c>
      <c r="BI1271" s="1109">
        <f t="shared" si="1757"/>
        <v>0</v>
      </c>
      <c r="BJ1271" s="1109">
        <f t="shared" si="1757"/>
        <v>0</v>
      </c>
      <c r="BK1271" s="1109">
        <f t="shared" si="1757"/>
        <v>0</v>
      </c>
      <c r="BL1271" s="1109">
        <f t="shared" si="1757"/>
        <v>0</v>
      </c>
    </row>
    <row r="1272" spans="2:64" hidden="1" outlineLevel="1">
      <c r="B1272" s="1094"/>
      <c r="C1272" s="1071" t="str">
        <f t="shared" ref="C1272:F1272" si="1758">C955</f>
        <v>PC/Laptops SHN</v>
      </c>
      <c r="D1272" s="1071" t="str">
        <f t="shared" si="1758"/>
        <v>PC / Laptops</v>
      </c>
      <c r="E1272" s="1071" t="str">
        <f t="shared" si="1758"/>
        <v>T017A</v>
      </c>
      <c r="F1272" s="1125" t="str">
        <f t="shared" si="1758"/>
        <v>2021-2024</v>
      </c>
      <c r="H1272" s="1071" t="s">
        <v>29</v>
      </c>
      <c r="BB1272" s="1108"/>
      <c r="BC1272" s="1109"/>
      <c r="BD1272" s="1109"/>
      <c r="BE1272" s="1109"/>
      <c r="BF1272" s="1109"/>
      <c r="BG1272" s="1109"/>
      <c r="BH1272" s="1109">
        <f t="shared" ref="BH1272:BL1272" si="1759">BH608*$BA305</f>
        <v>0</v>
      </c>
      <c r="BI1272" s="1109">
        <f t="shared" si="1759"/>
        <v>0</v>
      </c>
      <c r="BJ1272" s="1109">
        <f t="shared" si="1759"/>
        <v>0</v>
      </c>
      <c r="BK1272" s="1109">
        <f t="shared" si="1759"/>
        <v>0</v>
      </c>
      <c r="BL1272" s="1109">
        <f t="shared" si="1759"/>
        <v>0</v>
      </c>
    </row>
    <row r="1273" spans="2:64" hidden="1" outlineLevel="1">
      <c r="B1273" s="1094"/>
      <c r="C1273" s="1071" t="str">
        <f t="shared" ref="C1273:F1273" si="1760">C956</f>
        <v>PC/Laptop Replacements</v>
      </c>
      <c r="D1273" s="1071" t="str">
        <f t="shared" si="1760"/>
        <v>PC / Laptops</v>
      </c>
      <c r="E1273" s="1071" t="str">
        <f t="shared" si="1760"/>
        <v>V003</v>
      </c>
      <c r="F1273" s="1125" t="str">
        <f t="shared" si="1760"/>
        <v>2021-2024</v>
      </c>
      <c r="H1273" s="1071" t="s">
        <v>29</v>
      </c>
      <c r="BB1273" s="1108"/>
      <c r="BC1273" s="1109"/>
      <c r="BD1273" s="1109"/>
      <c r="BE1273" s="1109"/>
      <c r="BF1273" s="1109"/>
      <c r="BG1273" s="1109"/>
      <c r="BH1273" s="1109">
        <f t="shared" ref="BH1273:BL1273" si="1761">BH609*$BA306</f>
        <v>0</v>
      </c>
      <c r="BI1273" s="1109">
        <f t="shared" si="1761"/>
        <v>0</v>
      </c>
      <c r="BJ1273" s="1109">
        <f t="shared" si="1761"/>
        <v>0</v>
      </c>
      <c r="BK1273" s="1109">
        <f t="shared" si="1761"/>
        <v>0</v>
      </c>
      <c r="BL1273" s="1109">
        <f t="shared" si="1761"/>
        <v>0</v>
      </c>
    </row>
    <row r="1274" spans="2:64" hidden="1" outlineLevel="1">
      <c r="B1274" s="1094"/>
      <c r="C1274" s="1071" t="str">
        <f t="shared" ref="C1274:F1274" si="1762">C957</f>
        <v>PC/Laptops HQ - OTHER</v>
      </c>
      <c r="D1274" s="1071" t="str">
        <f t="shared" si="1762"/>
        <v>PC / Laptops</v>
      </c>
      <c r="E1274" s="1071" t="str">
        <f t="shared" si="1762"/>
        <v>V003A</v>
      </c>
      <c r="F1274" s="1125" t="str">
        <f t="shared" si="1762"/>
        <v>2021-2024</v>
      </c>
      <c r="H1274" s="1071" t="s">
        <v>29</v>
      </c>
      <c r="BB1274" s="1108"/>
      <c r="BC1274" s="1109"/>
      <c r="BD1274" s="1109"/>
      <c r="BE1274" s="1109"/>
      <c r="BF1274" s="1109"/>
      <c r="BG1274" s="1109"/>
      <c r="BH1274" s="1109">
        <f t="shared" ref="BH1274:BL1274" si="1763">BH610*$BA307</f>
        <v>0</v>
      </c>
      <c r="BI1274" s="1109">
        <f t="shared" si="1763"/>
        <v>0.87500000000000022</v>
      </c>
      <c r="BJ1274" s="1109">
        <f t="shared" si="1763"/>
        <v>2.2750000000000004</v>
      </c>
      <c r="BK1274" s="1109">
        <f t="shared" si="1763"/>
        <v>3.6750000000000007</v>
      </c>
      <c r="BL1274" s="1109">
        <f t="shared" si="1763"/>
        <v>4.2000000000000011</v>
      </c>
    </row>
    <row r="1275" spans="2:64" hidden="1" outlineLevel="1">
      <c r="B1275" s="1094"/>
      <c r="C1275" s="1071" t="str">
        <f t="shared" ref="C1275:F1275" si="1764">C958</f>
        <v>PC/Laptops DUB</v>
      </c>
      <c r="D1275" s="1071" t="str">
        <f t="shared" si="1764"/>
        <v>PC / Laptops</v>
      </c>
      <c r="E1275" s="1071" t="str">
        <f t="shared" si="1764"/>
        <v>V003A</v>
      </c>
      <c r="F1275" s="1125" t="str">
        <f t="shared" si="1764"/>
        <v>2021-2024</v>
      </c>
      <c r="H1275" s="1071" t="s">
        <v>29</v>
      </c>
      <c r="BB1275" s="1108"/>
      <c r="BC1275" s="1109"/>
      <c r="BD1275" s="1109"/>
      <c r="BE1275" s="1109"/>
      <c r="BF1275" s="1109"/>
      <c r="BG1275" s="1109"/>
      <c r="BH1275" s="1109">
        <f t="shared" ref="BH1275:BL1275" si="1765">BH611*$BA308</f>
        <v>0</v>
      </c>
      <c r="BI1275" s="1109">
        <f t="shared" si="1765"/>
        <v>0.62499999999999978</v>
      </c>
      <c r="BJ1275" s="1109">
        <f t="shared" si="1765"/>
        <v>1.625</v>
      </c>
      <c r="BK1275" s="1109">
        <f t="shared" si="1765"/>
        <v>2.625</v>
      </c>
      <c r="BL1275" s="1109">
        <f t="shared" si="1765"/>
        <v>3</v>
      </c>
    </row>
    <row r="1276" spans="2:64" hidden="1" outlineLevel="1">
      <c r="B1276" s="1094"/>
      <c r="C1276" s="1071" t="str">
        <f t="shared" ref="C1276:F1276" si="1766">C959</f>
        <v>PC/Laptops SHN</v>
      </c>
      <c r="D1276" s="1071" t="str">
        <f t="shared" si="1766"/>
        <v>PC / Laptops</v>
      </c>
      <c r="E1276" s="1071" t="str">
        <f t="shared" si="1766"/>
        <v>V003A</v>
      </c>
      <c r="F1276" s="1125" t="str">
        <f t="shared" si="1766"/>
        <v>2021-2024</v>
      </c>
      <c r="H1276" s="1071" t="s">
        <v>29</v>
      </c>
      <c r="BB1276" s="1108"/>
      <c r="BC1276" s="1109"/>
      <c r="BD1276" s="1109"/>
      <c r="BE1276" s="1109"/>
      <c r="BF1276" s="1109"/>
      <c r="BG1276" s="1109"/>
      <c r="BH1276" s="1109">
        <f t="shared" ref="BH1276:BL1276" si="1767">BH612*$BA309</f>
        <v>0</v>
      </c>
      <c r="BI1276" s="1109">
        <f t="shared" si="1767"/>
        <v>0.62499999999999978</v>
      </c>
      <c r="BJ1276" s="1109">
        <f t="shared" si="1767"/>
        <v>1.625</v>
      </c>
      <c r="BK1276" s="1109">
        <f t="shared" si="1767"/>
        <v>2.625</v>
      </c>
      <c r="BL1276" s="1109">
        <f t="shared" si="1767"/>
        <v>3</v>
      </c>
    </row>
    <row r="1277" spans="2:64" hidden="1" outlineLevel="1">
      <c r="B1277" s="1094"/>
      <c r="C1277" s="1071" t="str">
        <f t="shared" ref="C1277:F1277" si="1768">C960</f>
        <v>Upgrades and Contingency IAA Net</v>
      </c>
      <c r="D1277" s="1071" t="str">
        <f t="shared" si="1768"/>
        <v>Upgrades and Contingency IAA Net</v>
      </c>
      <c r="E1277" s="1071" t="str">
        <f t="shared" si="1768"/>
        <v>S002</v>
      </c>
      <c r="F1277" s="1125" t="str">
        <f t="shared" si="1768"/>
        <v>2021-2024</v>
      </c>
      <c r="H1277" s="1071" t="s">
        <v>29</v>
      </c>
      <c r="BB1277" s="1108"/>
      <c r="BC1277" s="1109"/>
      <c r="BD1277" s="1109"/>
      <c r="BE1277" s="1109"/>
      <c r="BF1277" s="1109"/>
      <c r="BG1277" s="1109"/>
      <c r="BH1277" s="1109">
        <f t="shared" ref="BH1277:BL1277" si="1769">BH613*$BA310</f>
        <v>0</v>
      </c>
      <c r="BI1277" s="1109">
        <f t="shared" si="1769"/>
        <v>0</v>
      </c>
      <c r="BJ1277" s="1109">
        <f t="shared" si="1769"/>
        <v>1.25</v>
      </c>
      <c r="BK1277" s="1109">
        <f t="shared" si="1769"/>
        <v>5</v>
      </c>
      <c r="BL1277" s="1109">
        <f t="shared" si="1769"/>
        <v>5</v>
      </c>
    </row>
    <row r="1278" spans="2:64" hidden="1" outlineLevel="1">
      <c r="B1278" s="1094"/>
      <c r="C1278" s="1071" t="str">
        <f t="shared" ref="C1278:F1278" si="1770">C961</f>
        <v>New En Route Contingency Facility</v>
      </c>
      <c r="D1278" s="1071" t="str">
        <f t="shared" si="1770"/>
        <v>New En Route Contingency Facility</v>
      </c>
      <c r="E1278" s="1071" t="str">
        <f t="shared" si="1770"/>
        <v>N004</v>
      </c>
      <c r="F1278" s="1125" t="str">
        <f t="shared" si="1770"/>
        <v>2021-2024</v>
      </c>
      <c r="H1278" s="1071" t="s">
        <v>29</v>
      </c>
      <c r="BB1278" s="1108"/>
      <c r="BC1278" s="1109"/>
      <c r="BD1278" s="1109"/>
      <c r="BE1278" s="1109"/>
      <c r="BF1278" s="1109"/>
      <c r="BG1278" s="1109"/>
      <c r="BH1278" s="1109">
        <f t="shared" ref="BH1278:BL1278" si="1771">BH614*$BA311</f>
        <v>0</v>
      </c>
      <c r="BI1278" s="1109">
        <f t="shared" si="1771"/>
        <v>0</v>
      </c>
      <c r="BJ1278" s="1109">
        <f t="shared" si="1771"/>
        <v>0</v>
      </c>
      <c r="BK1278" s="1109">
        <f t="shared" si="1771"/>
        <v>0</v>
      </c>
      <c r="BL1278" s="1109">
        <f t="shared" si="1771"/>
        <v>0</v>
      </c>
    </row>
    <row r="1279" spans="2:64" hidden="1" outlineLevel="1">
      <c r="B1279" s="1094"/>
      <c r="C1279" s="1071" t="str">
        <f t="shared" ref="C1279:F1279" si="1772">C962</f>
        <v>New En Route Contingency Facility - ATM Equipment</v>
      </c>
      <c r="D1279" s="1071" t="str">
        <f t="shared" si="1772"/>
        <v>New En Route Contingency Facility</v>
      </c>
      <c r="E1279" s="1071" t="str">
        <f t="shared" si="1772"/>
        <v>N004A</v>
      </c>
      <c r="F1279" s="1125" t="str">
        <f t="shared" si="1772"/>
        <v>2021-2024</v>
      </c>
      <c r="H1279" s="1071" t="s">
        <v>29</v>
      </c>
      <c r="BB1279" s="1108"/>
      <c r="BC1279" s="1109"/>
      <c r="BD1279" s="1109"/>
      <c r="BE1279" s="1109"/>
      <c r="BF1279" s="1109"/>
      <c r="BG1279" s="1109"/>
      <c r="BH1279" s="1109">
        <f t="shared" ref="BH1279:BL1279" si="1773">BH615*$BA312</f>
        <v>0</v>
      </c>
      <c r="BI1279" s="1109">
        <f t="shared" si="1773"/>
        <v>0</v>
      </c>
      <c r="BJ1279" s="1109">
        <f t="shared" si="1773"/>
        <v>0</v>
      </c>
      <c r="BK1279" s="1109">
        <f t="shared" si="1773"/>
        <v>0</v>
      </c>
      <c r="BL1279" s="1109">
        <f t="shared" si="1773"/>
        <v>0</v>
      </c>
    </row>
    <row r="1280" spans="2:64" hidden="1" outlineLevel="1">
      <c r="B1280" s="1094"/>
      <c r="C1280" s="1071" t="str">
        <f t="shared" ref="C1280:F1280" si="1774">C963</f>
        <v>New En Route Contingency Facility - Building</v>
      </c>
      <c r="D1280" s="1071" t="str">
        <f t="shared" si="1774"/>
        <v>New En Route Contingency Facility</v>
      </c>
      <c r="E1280" s="1071" t="str">
        <f t="shared" si="1774"/>
        <v>N004A</v>
      </c>
      <c r="F1280" s="1125" t="str">
        <f t="shared" si="1774"/>
        <v>2021-2024</v>
      </c>
      <c r="H1280" s="1071" t="s">
        <v>29</v>
      </c>
      <c r="BB1280" s="1108"/>
      <c r="BC1280" s="1109"/>
      <c r="BD1280" s="1109"/>
      <c r="BE1280" s="1109"/>
      <c r="BF1280" s="1109"/>
      <c r="BG1280" s="1109"/>
      <c r="BH1280" s="1109">
        <f t="shared" ref="BH1280:BL1280" si="1775">BH616*$BA313</f>
        <v>0</v>
      </c>
      <c r="BI1280" s="1109">
        <f t="shared" si="1775"/>
        <v>0</v>
      </c>
      <c r="BJ1280" s="1109">
        <f t="shared" si="1775"/>
        <v>0</v>
      </c>
      <c r="BK1280" s="1109">
        <f t="shared" si="1775"/>
        <v>0</v>
      </c>
      <c r="BL1280" s="1109">
        <f t="shared" si="1775"/>
        <v>0</v>
      </c>
    </row>
    <row r="1281" spans="2:64" hidden="1" outlineLevel="1">
      <c r="B1281" s="1094"/>
      <c r="C1281" s="1071" t="str">
        <f t="shared" ref="C1281:F1281" si="1776">C964</f>
        <v>Shannon Tower MEP</v>
      </c>
      <c r="D1281" s="1071" t="str">
        <f t="shared" si="1776"/>
        <v>Shannon Tower MEP</v>
      </c>
      <c r="E1281" s="1071" t="str">
        <f t="shared" si="1776"/>
        <v>J004A</v>
      </c>
      <c r="F1281" s="1125" t="str">
        <f t="shared" si="1776"/>
        <v>2021-2024</v>
      </c>
      <c r="H1281" s="1071" t="s">
        <v>29</v>
      </c>
      <c r="BB1281" s="1108"/>
      <c r="BC1281" s="1109"/>
      <c r="BD1281" s="1109"/>
      <c r="BE1281" s="1109"/>
      <c r="BF1281" s="1109"/>
      <c r="BG1281" s="1109"/>
      <c r="BH1281" s="1109">
        <f t="shared" ref="BH1281:BL1281" si="1777">BH617*$BA314</f>
        <v>0</v>
      </c>
      <c r="BI1281" s="1109">
        <f t="shared" si="1777"/>
        <v>1.9163726250000064</v>
      </c>
      <c r="BJ1281" s="1109">
        <f t="shared" si="1777"/>
        <v>3.8327452500000128</v>
      </c>
      <c r="BK1281" s="1109">
        <f t="shared" si="1777"/>
        <v>3.8327452500000128</v>
      </c>
      <c r="BL1281" s="1109">
        <f t="shared" si="1777"/>
        <v>3.8327452500000128</v>
      </c>
    </row>
    <row r="1282" spans="2:64" hidden="1" outlineLevel="1">
      <c r="C1282" s="1071" t="str">
        <f t="shared" ref="C1282:F1282" si="1778">C965</f>
        <v>UMT Drone Protection System</v>
      </c>
      <c r="D1282" s="1071" t="str">
        <f t="shared" si="1778"/>
        <v>UMT Drone Protection System</v>
      </c>
      <c r="E1282" s="1071" t="str">
        <f t="shared" si="1778"/>
        <v>RP3-FDPS-2</v>
      </c>
      <c r="F1282" s="1125" t="str">
        <f t="shared" si="1778"/>
        <v>2021-2024</v>
      </c>
      <c r="H1282" s="1071" t="s">
        <v>29</v>
      </c>
      <c r="BB1282" s="1108"/>
      <c r="BC1282" s="1109"/>
      <c r="BD1282" s="1109"/>
      <c r="BE1282" s="1109"/>
      <c r="BF1282" s="1109"/>
      <c r="BG1282" s="1109"/>
      <c r="BH1282" s="1109">
        <f t="shared" ref="BH1282:BL1282" si="1779">BH618*$BA315</f>
        <v>0</v>
      </c>
      <c r="BI1282" s="1109">
        <f t="shared" si="1779"/>
        <v>0</v>
      </c>
      <c r="BJ1282" s="1109">
        <f t="shared" si="1779"/>
        <v>0</v>
      </c>
      <c r="BK1282" s="1109">
        <f t="shared" si="1779"/>
        <v>0</v>
      </c>
      <c r="BL1282" s="1109">
        <f t="shared" si="1779"/>
        <v>11.25</v>
      </c>
    </row>
    <row r="1283" spans="2:64" hidden="1" outlineLevel="1">
      <c r="C1283" s="1071" t="str">
        <f t="shared" ref="C1283:F1283" si="1780">C966</f>
        <v>Enhancements to Financial Management Systems</v>
      </c>
      <c r="D1283" s="1071" t="str">
        <f t="shared" si="1780"/>
        <v>Enhancements to Financial Management Systems</v>
      </c>
      <c r="E1283" s="1071" t="str">
        <f t="shared" si="1780"/>
        <v>Q019</v>
      </c>
      <c r="F1283" s="1125" t="str">
        <f t="shared" si="1780"/>
        <v>2021-2024</v>
      </c>
      <c r="H1283" s="1071" t="s">
        <v>29</v>
      </c>
      <c r="BB1283" s="1108"/>
      <c r="BC1283" s="1109"/>
      <c r="BD1283" s="1109"/>
      <c r="BE1283" s="1109"/>
      <c r="BF1283" s="1109"/>
      <c r="BG1283" s="1109"/>
      <c r="BH1283" s="1109">
        <f t="shared" ref="BH1283:BL1283" si="1781">BH619*$BA316</f>
        <v>0</v>
      </c>
      <c r="BI1283" s="1109">
        <f t="shared" si="1781"/>
        <v>0</v>
      </c>
      <c r="BJ1283" s="1109">
        <f t="shared" si="1781"/>
        <v>0</v>
      </c>
      <c r="BK1283" s="1109">
        <f t="shared" si="1781"/>
        <v>2.25</v>
      </c>
      <c r="BL1283" s="1109">
        <f t="shared" si="1781"/>
        <v>2.25</v>
      </c>
    </row>
    <row r="1284" spans="2:64" hidden="1" outlineLevel="1">
      <c r="C1284" s="1071" t="str">
        <f t="shared" ref="C1284:F1284" si="1782">C967</f>
        <v>Quadrant Roof-Light in Dublin ACC</v>
      </c>
      <c r="D1284" s="1071" t="str">
        <f t="shared" si="1782"/>
        <v>Quadrant Roof-Light in Dublin ACC</v>
      </c>
      <c r="E1284" s="1071" t="str">
        <f t="shared" si="1782"/>
        <v>S020</v>
      </c>
      <c r="F1284" s="1125" t="str">
        <f t="shared" si="1782"/>
        <v>2021-2024</v>
      </c>
      <c r="H1284" s="1071" t="s">
        <v>29</v>
      </c>
      <c r="BB1284" s="1108"/>
      <c r="BC1284" s="1109"/>
      <c r="BD1284" s="1109"/>
      <c r="BE1284" s="1109"/>
      <c r="BF1284" s="1109"/>
      <c r="BG1284" s="1109"/>
      <c r="BH1284" s="1109">
        <f t="shared" ref="BH1284:BL1284" si="1783">BH620*$BA317</f>
        <v>0</v>
      </c>
      <c r="BI1284" s="1109">
        <f t="shared" si="1783"/>
        <v>0</v>
      </c>
      <c r="BJ1284" s="1109">
        <f t="shared" si="1783"/>
        <v>1.04</v>
      </c>
      <c r="BK1284" s="1109">
        <f t="shared" si="1783"/>
        <v>1.04</v>
      </c>
      <c r="BL1284" s="1109">
        <f t="shared" si="1783"/>
        <v>1.04</v>
      </c>
    </row>
    <row r="1285" spans="2:64" hidden="1" outlineLevel="1">
      <c r="C1285" s="1071" t="str">
        <f t="shared" ref="C1285:F1285" si="1784">C968</f>
        <v>Generator replacement project</v>
      </c>
      <c r="D1285" s="1071" t="str">
        <f t="shared" si="1784"/>
        <v>Generator replacement project</v>
      </c>
      <c r="E1285" s="1071" t="str">
        <f t="shared" si="1784"/>
        <v>U010</v>
      </c>
      <c r="F1285" s="1125" t="str">
        <f t="shared" si="1784"/>
        <v>2021-2024</v>
      </c>
      <c r="H1285" s="1071" t="s">
        <v>29</v>
      </c>
      <c r="BB1285" s="1108"/>
      <c r="BC1285" s="1109"/>
      <c r="BD1285" s="1109"/>
      <c r="BE1285" s="1109"/>
      <c r="BF1285" s="1109"/>
      <c r="BG1285" s="1109"/>
      <c r="BH1285" s="1109">
        <f t="shared" ref="BH1285:BL1285" si="1785">BH621*$BA318</f>
        <v>0</v>
      </c>
      <c r="BI1285" s="1109">
        <f t="shared" si="1785"/>
        <v>0.71875</v>
      </c>
      <c r="BJ1285" s="1109">
        <f t="shared" si="1785"/>
        <v>2.875</v>
      </c>
      <c r="BK1285" s="1109">
        <f t="shared" si="1785"/>
        <v>2.875</v>
      </c>
      <c r="BL1285" s="1109">
        <f t="shared" si="1785"/>
        <v>2.875</v>
      </c>
    </row>
    <row r="1286" spans="2:64" hidden="1" outlineLevel="1">
      <c r="C1286" s="1071" t="str">
        <f t="shared" ref="C1286:F1286" si="1786">C969</f>
        <v>Replacement of COOPANS Hardware</v>
      </c>
      <c r="D1286" s="1071" t="str">
        <f t="shared" si="1786"/>
        <v>COOPANS Hardware</v>
      </c>
      <c r="E1286" s="1071" t="str">
        <f t="shared" si="1786"/>
        <v>Q001</v>
      </c>
      <c r="F1286" s="1125" t="str">
        <f t="shared" si="1786"/>
        <v>2021-2024</v>
      </c>
      <c r="H1286" s="1071" t="s">
        <v>29</v>
      </c>
      <c r="BB1286" s="1108"/>
      <c r="BC1286" s="1109"/>
      <c r="BD1286" s="1109"/>
      <c r="BE1286" s="1109"/>
      <c r="BF1286" s="1109"/>
      <c r="BG1286" s="1109"/>
      <c r="BH1286" s="1109">
        <f t="shared" ref="BH1286:BL1286" si="1787">BH622*$BA319</f>
        <v>0</v>
      </c>
      <c r="BI1286" s="1109">
        <f t="shared" si="1787"/>
        <v>0</v>
      </c>
      <c r="BJ1286" s="1109">
        <f t="shared" si="1787"/>
        <v>0</v>
      </c>
      <c r="BK1286" s="1109">
        <f t="shared" si="1787"/>
        <v>0</v>
      </c>
      <c r="BL1286" s="1109">
        <f t="shared" si="1787"/>
        <v>0</v>
      </c>
    </row>
    <row r="1287" spans="2:64" hidden="1" outlineLevel="1">
      <c r="C1287" s="1071" t="str">
        <f t="shared" ref="C1287:F1287" si="1788">C970</f>
        <v>COOPANS HARDWARE Shannon</v>
      </c>
      <c r="D1287" s="1071" t="str">
        <f t="shared" si="1788"/>
        <v>COOPANS Hardware</v>
      </c>
      <c r="E1287" s="1071" t="str">
        <f t="shared" si="1788"/>
        <v>Q001A</v>
      </c>
      <c r="F1287" s="1125" t="str">
        <f t="shared" si="1788"/>
        <v>2021-2024</v>
      </c>
      <c r="H1287" s="1071" t="s">
        <v>29</v>
      </c>
      <c r="BB1287" s="1108"/>
      <c r="BC1287" s="1109"/>
      <c r="BD1287" s="1109"/>
      <c r="BE1287" s="1109"/>
      <c r="BF1287" s="1109"/>
      <c r="BG1287" s="1109"/>
      <c r="BH1287" s="1109">
        <f t="shared" ref="BH1287:BL1287" si="1789">BH623*$BA320</f>
        <v>0</v>
      </c>
      <c r="BI1287" s="1109">
        <f t="shared" si="1789"/>
        <v>0.96584996825397251</v>
      </c>
      <c r="BJ1287" s="1109">
        <f t="shared" si="1789"/>
        <v>1.2783499682539725</v>
      </c>
      <c r="BK1287" s="1109">
        <f t="shared" si="1789"/>
        <v>1.2783499682539725</v>
      </c>
      <c r="BL1287" s="1109">
        <f t="shared" si="1789"/>
        <v>1.2783499682539725</v>
      </c>
    </row>
    <row r="1288" spans="2:64" hidden="1" outlineLevel="1">
      <c r="C1288" s="1071" t="str">
        <f t="shared" ref="C1288:F1288" si="1790">C971</f>
        <v>COOPANS HARDWARE Dublin</v>
      </c>
      <c r="D1288" s="1071" t="str">
        <f t="shared" si="1790"/>
        <v>COOPANS Hardware</v>
      </c>
      <c r="E1288" s="1071" t="str">
        <f t="shared" si="1790"/>
        <v>Q001A</v>
      </c>
      <c r="F1288" s="1125" t="str">
        <f t="shared" si="1790"/>
        <v>2021-2024</v>
      </c>
      <c r="H1288" s="1071" t="s">
        <v>29</v>
      </c>
      <c r="BB1288" s="1108"/>
      <c r="BC1288" s="1109"/>
      <c r="BD1288" s="1109"/>
      <c r="BE1288" s="1109"/>
      <c r="BF1288" s="1109"/>
      <c r="BG1288" s="1109"/>
      <c r="BH1288" s="1109">
        <f t="shared" ref="BH1288:BL1288" si="1791">BH624*$BA321</f>
        <v>0</v>
      </c>
      <c r="BI1288" s="1109">
        <f t="shared" si="1791"/>
        <v>0.9375</v>
      </c>
      <c r="BJ1288" s="1109">
        <f t="shared" si="1791"/>
        <v>1.25</v>
      </c>
      <c r="BK1288" s="1109">
        <f t="shared" si="1791"/>
        <v>1.25</v>
      </c>
      <c r="BL1288" s="1109">
        <f t="shared" si="1791"/>
        <v>1.25</v>
      </c>
    </row>
    <row r="1289" spans="2:64" hidden="1" outlineLevel="1">
      <c r="C1289" s="1071" t="str">
        <f t="shared" ref="C1289:F1289" si="1792">C972</f>
        <v>PABX Infrastructure Upgrade BCY/CRK</v>
      </c>
      <c r="D1289" s="1071" t="str">
        <f t="shared" si="1792"/>
        <v>PABX Infrastructure Upgrade BCY/CRK</v>
      </c>
      <c r="E1289" s="1071" t="str">
        <f t="shared" si="1792"/>
        <v>S009</v>
      </c>
      <c r="F1289" s="1125" t="str">
        <f t="shared" si="1792"/>
        <v>2021-2024</v>
      </c>
      <c r="H1289" s="1071" t="s">
        <v>29</v>
      </c>
      <c r="BB1289" s="1108"/>
      <c r="BC1289" s="1109"/>
      <c r="BD1289" s="1109"/>
      <c r="BE1289" s="1109"/>
      <c r="BF1289" s="1109"/>
      <c r="BG1289" s="1109"/>
      <c r="BH1289" s="1109">
        <f t="shared" ref="BH1289:BL1289" si="1793">BH625*$BA322</f>
        <v>0</v>
      </c>
      <c r="BI1289" s="1109">
        <f t="shared" si="1793"/>
        <v>0</v>
      </c>
      <c r="BJ1289" s="1109">
        <f t="shared" si="1793"/>
        <v>0.41666666666666669</v>
      </c>
      <c r="BK1289" s="1109">
        <f t="shared" si="1793"/>
        <v>1.6666666666666667</v>
      </c>
      <c r="BL1289" s="1109">
        <f t="shared" si="1793"/>
        <v>1.6666666666666667</v>
      </c>
    </row>
    <row r="1290" spans="2:64" hidden="1" outlineLevel="1">
      <c r="C1290" s="1071" t="str">
        <f t="shared" ref="C1290:F1290" si="1794">C973</f>
        <v>Test Equipment</v>
      </c>
      <c r="D1290" s="1071" t="str">
        <f t="shared" si="1794"/>
        <v>Test Equipment</v>
      </c>
      <c r="E1290" s="1071" t="str">
        <f t="shared" si="1794"/>
        <v>T003</v>
      </c>
      <c r="F1290" s="1125" t="str">
        <f t="shared" si="1794"/>
        <v>2021-2024</v>
      </c>
      <c r="H1290" s="1071" t="s">
        <v>29</v>
      </c>
      <c r="BB1290" s="1108"/>
      <c r="BC1290" s="1109"/>
      <c r="BD1290" s="1109"/>
      <c r="BE1290" s="1109"/>
      <c r="BF1290" s="1109"/>
      <c r="BG1290" s="1109"/>
      <c r="BH1290" s="1109">
        <f t="shared" ref="BH1290:BL1290" si="1795">BH626*$BA323</f>
        <v>0</v>
      </c>
      <c r="BI1290" s="1109">
        <f t="shared" si="1795"/>
        <v>1</v>
      </c>
      <c r="BJ1290" s="1109">
        <f t="shared" si="1795"/>
        <v>4</v>
      </c>
      <c r="BK1290" s="1109">
        <f t="shared" si="1795"/>
        <v>4</v>
      </c>
      <c r="BL1290" s="1109">
        <f t="shared" si="1795"/>
        <v>4</v>
      </c>
    </row>
    <row r="1291" spans="2:64" hidden="1" outlineLevel="1">
      <c r="C1291" s="1071" t="str">
        <f t="shared" ref="C1291:F1291" si="1796">C974</f>
        <v>Multifunctional Devices - Network Printers</v>
      </c>
      <c r="D1291" s="1071" t="str">
        <f t="shared" si="1796"/>
        <v>Multifunctional Devices - Network Printers</v>
      </c>
      <c r="E1291" s="1071" t="str">
        <f t="shared" si="1796"/>
        <v>U017</v>
      </c>
      <c r="F1291" s="1125" t="str">
        <f t="shared" si="1796"/>
        <v>2021-2024</v>
      </c>
      <c r="H1291" s="1071" t="s">
        <v>29</v>
      </c>
      <c r="BB1291" s="1108"/>
      <c r="BC1291" s="1109"/>
      <c r="BD1291" s="1109"/>
      <c r="BE1291" s="1109"/>
      <c r="BF1291" s="1109"/>
      <c r="BG1291" s="1109"/>
      <c r="BH1291" s="1109">
        <f t="shared" ref="BH1291:BL1291" si="1797">BH627*$BA324</f>
        <v>0</v>
      </c>
      <c r="BI1291" s="1109">
        <f t="shared" si="1797"/>
        <v>0.44999999999999996</v>
      </c>
      <c r="BJ1291" s="1109">
        <f t="shared" si="1797"/>
        <v>2.25</v>
      </c>
      <c r="BK1291" s="1109">
        <f t="shared" si="1797"/>
        <v>2.4</v>
      </c>
      <c r="BL1291" s="1109">
        <f t="shared" si="1797"/>
        <v>2.4</v>
      </c>
    </row>
    <row r="1292" spans="2:64" hidden="1" outlineLevel="1">
      <c r="C1292" s="1071" t="str">
        <f t="shared" ref="C1292:F1292" si="1798">C975</f>
        <v>Virtual Environment Server Replacements</v>
      </c>
      <c r="D1292" s="1071" t="str">
        <f t="shared" si="1798"/>
        <v>Virtual Environment Server Replacements</v>
      </c>
      <c r="E1292" s="1071" t="str">
        <f t="shared" si="1798"/>
        <v>U018</v>
      </c>
      <c r="F1292" s="1125" t="str">
        <f t="shared" si="1798"/>
        <v>2021-2024</v>
      </c>
      <c r="H1292" s="1071" t="s">
        <v>29</v>
      </c>
      <c r="BB1292" s="1108"/>
      <c r="BC1292" s="1109"/>
      <c r="BD1292" s="1109"/>
      <c r="BE1292" s="1109"/>
      <c r="BF1292" s="1109"/>
      <c r="BG1292" s="1109"/>
      <c r="BH1292" s="1109">
        <f t="shared" ref="BH1292:BL1292" si="1799">BH628*$BA325</f>
        <v>0</v>
      </c>
      <c r="BI1292" s="1109">
        <f t="shared" si="1799"/>
        <v>0.75</v>
      </c>
      <c r="BJ1292" s="1109">
        <f t="shared" si="1799"/>
        <v>3.75</v>
      </c>
      <c r="BK1292" s="1109">
        <f t="shared" si="1799"/>
        <v>4</v>
      </c>
      <c r="BL1292" s="1109">
        <f t="shared" si="1799"/>
        <v>3.25</v>
      </c>
    </row>
    <row r="1293" spans="2:64" hidden="1" outlineLevel="1">
      <c r="C1293" s="1071" t="str">
        <f t="shared" ref="C1293:F1293" si="1800">C976</f>
        <v>Server Replacements</v>
      </c>
      <c r="D1293" s="1071" t="str">
        <f t="shared" si="1800"/>
        <v>Server Replacements</v>
      </c>
      <c r="E1293" s="1071" t="str">
        <f t="shared" si="1800"/>
        <v>T019</v>
      </c>
      <c r="F1293" s="1125" t="str">
        <f t="shared" si="1800"/>
        <v>2021-2024</v>
      </c>
      <c r="H1293" s="1071" t="s">
        <v>29</v>
      </c>
      <c r="BB1293" s="1108"/>
      <c r="BC1293" s="1109"/>
      <c r="BD1293" s="1109"/>
      <c r="BE1293" s="1109"/>
      <c r="BF1293" s="1109"/>
      <c r="BG1293" s="1109"/>
      <c r="BH1293" s="1109">
        <f t="shared" ref="BH1293:BL1293" si="1801">BH629*$BA326</f>
        <v>0</v>
      </c>
      <c r="BI1293" s="1109">
        <f t="shared" si="1801"/>
        <v>0</v>
      </c>
      <c r="BJ1293" s="1109">
        <f t="shared" si="1801"/>
        <v>0</v>
      </c>
      <c r="BK1293" s="1109">
        <f t="shared" si="1801"/>
        <v>0</v>
      </c>
      <c r="BL1293" s="1109">
        <f t="shared" si="1801"/>
        <v>0</v>
      </c>
    </row>
    <row r="1294" spans="2:64" hidden="1" outlineLevel="1">
      <c r="C1294" s="1071" t="str">
        <f t="shared" ref="C1294:F1294" si="1802">C977</f>
        <v>Server Replacements HQ</v>
      </c>
      <c r="D1294" s="1071" t="str">
        <f t="shared" si="1802"/>
        <v>Server Replacements</v>
      </c>
      <c r="E1294" s="1071" t="str">
        <f t="shared" si="1802"/>
        <v>T019A</v>
      </c>
      <c r="F1294" s="1125" t="str">
        <f t="shared" si="1802"/>
        <v>2021-2024</v>
      </c>
      <c r="H1294" s="1071" t="s">
        <v>29</v>
      </c>
      <c r="BB1294" s="1108"/>
      <c r="BC1294" s="1109"/>
      <c r="BD1294" s="1109"/>
      <c r="BE1294" s="1109"/>
      <c r="BF1294" s="1109"/>
      <c r="BG1294" s="1109"/>
      <c r="BH1294" s="1109">
        <f t="shared" ref="BH1294:BL1294" si="1803">BH630*$BA327</f>
        <v>0</v>
      </c>
      <c r="BI1294" s="1109">
        <f t="shared" si="1803"/>
        <v>0.99271999999999982</v>
      </c>
      <c r="BJ1294" s="1109">
        <f t="shared" si="1803"/>
        <v>3.9708799999999993</v>
      </c>
      <c r="BK1294" s="1109">
        <f t="shared" si="1803"/>
        <v>3.9708799999999993</v>
      </c>
      <c r="BL1294" s="1109">
        <f t="shared" si="1803"/>
        <v>2.9781599999999995</v>
      </c>
    </row>
    <row r="1295" spans="2:64" hidden="1" outlineLevel="1">
      <c r="C1295" s="1071" t="str">
        <f t="shared" ref="C1295:F1295" si="1804">C978</f>
        <v>Server Replacements BCY</v>
      </c>
      <c r="D1295" s="1071" t="str">
        <f t="shared" si="1804"/>
        <v>Server Replacements</v>
      </c>
      <c r="E1295" s="1071" t="str">
        <f t="shared" si="1804"/>
        <v>T019A</v>
      </c>
      <c r="F1295" s="1125" t="str">
        <f t="shared" si="1804"/>
        <v>2021-2024</v>
      </c>
      <c r="H1295" s="1071" t="s">
        <v>29</v>
      </c>
      <c r="BB1295" s="1108"/>
      <c r="BC1295" s="1109"/>
      <c r="BD1295" s="1109"/>
      <c r="BE1295" s="1109"/>
      <c r="BF1295" s="1109"/>
      <c r="BG1295" s="1109"/>
      <c r="BH1295" s="1109">
        <f t="shared" ref="BH1295:BL1295" si="1805">BH631*$BA328</f>
        <v>0</v>
      </c>
      <c r="BI1295" s="1109">
        <f t="shared" si="1805"/>
        <v>0</v>
      </c>
      <c r="BJ1295" s="1109">
        <f t="shared" si="1805"/>
        <v>0</v>
      </c>
      <c r="BK1295" s="1109">
        <f t="shared" si="1805"/>
        <v>0</v>
      </c>
      <c r="BL1295" s="1109">
        <f t="shared" si="1805"/>
        <v>0</v>
      </c>
    </row>
    <row r="1296" spans="2:64" hidden="1" outlineLevel="1">
      <c r="C1296" s="1071" t="str">
        <f t="shared" ref="C1296:F1296" si="1806">C979</f>
        <v>Essential Security Upgrades</v>
      </c>
      <c r="D1296" s="1071" t="str">
        <f t="shared" si="1806"/>
        <v>Essential Security Upgrades</v>
      </c>
      <c r="E1296" s="1071" t="str">
        <f t="shared" si="1806"/>
        <v>T009</v>
      </c>
      <c r="F1296" s="1125" t="str">
        <f t="shared" si="1806"/>
        <v>2021-2024</v>
      </c>
      <c r="H1296" s="1071" t="s">
        <v>29</v>
      </c>
      <c r="BB1296" s="1108"/>
      <c r="BC1296" s="1109"/>
      <c r="BD1296" s="1109"/>
      <c r="BE1296" s="1109"/>
      <c r="BF1296" s="1109"/>
      <c r="BG1296" s="1109"/>
      <c r="BH1296" s="1109">
        <f t="shared" ref="BH1296:BL1296" si="1807">BH632*$BA329</f>
        <v>0</v>
      </c>
      <c r="BI1296" s="1109">
        <f t="shared" si="1807"/>
        <v>0</v>
      </c>
      <c r="BJ1296" s="1109">
        <f t="shared" si="1807"/>
        <v>0</v>
      </c>
      <c r="BK1296" s="1109">
        <f t="shared" si="1807"/>
        <v>0</v>
      </c>
      <c r="BL1296" s="1109">
        <f t="shared" si="1807"/>
        <v>0</v>
      </c>
    </row>
    <row r="1297" spans="3:64" hidden="1" outlineLevel="1">
      <c r="C1297" s="1071" t="str">
        <f t="shared" ref="C1297:F1297" si="1808">C980</f>
        <v>Essential Security Upgrades DUB</v>
      </c>
      <c r="D1297" s="1071" t="str">
        <f t="shared" si="1808"/>
        <v>Essential Security Upgrades</v>
      </c>
      <c r="E1297" s="1071" t="str">
        <f t="shared" si="1808"/>
        <v>T009A</v>
      </c>
      <c r="F1297" s="1125" t="str">
        <f t="shared" si="1808"/>
        <v>2021-2024</v>
      </c>
      <c r="H1297" s="1071" t="s">
        <v>29</v>
      </c>
      <c r="BB1297" s="1108"/>
      <c r="BC1297" s="1109"/>
      <c r="BD1297" s="1109"/>
      <c r="BE1297" s="1109"/>
      <c r="BF1297" s="1109"/>
      <c r="BG1297" s="1109"/>
      <c r="BH1297" s="1109">
        <f t="shared" ref="BH1297:BL1297" si="1809">BH633*$BA330</f>
        <v>0</v>
      </c>
      <c r="BI1297" s="1109">
        <f t="shared" si="1809"/>
        <v>0.74890000000000012</v>
      </c>
      <c r="BJ1297" s="1109">
        <f t="shared" si="1809"/>
        <v>1.4978000000000002</v>
      </c>
      <c r="BK1297" s="1109">
        <f t="shared" si="1809"/>
        <v>1.4978000000000002</v>
      </c>
      <c r="BL1297" s="1109">
        <f t="shared" si="1809"/>
        <v>1.4978000000000002</v>
      </c>
    </row>
    <row r="1298" spans="3:64" hidden="1" outlineLevel="1">
      <c r="C1298" s="1071" t="str">
        <f t="shared" ref="C1298:F1298" si="1810">C981</f>
        <v>Essential Security Upgrades Cork</v>
      </c>
      <c r="D1298" s="1071" t="str">
        <f t="shared" si="1810"/>
        <v>Essential Security Upgrades</v>
      </c>
      <c r="E1298" s="1071" t="str">
        <f t="shared" si="1810"/>
        <v>T009A</v>
      </c>
      <c r="F1298" s="1125" t="str">
        <f t="shared" si="1810"/>
        <v>2021-2024</v>
      </c>
      <c r="H1298" s="1071" t="s">
        <v>29</v>
      </c>
      <c r="BB1298" s="1108"/>
      <c r="BC1298" s="1109"/>
      <c r="BD1298" s="1109"/>
      <c r="BE1298" s="1109"/>
      <c r="BF1298" s="1109"/>
      <c r="BG1298" s="1109"/>
      <c r="BH1298" s="1109">
        <f t="shared" ref="BH1298:BL1298" si="1811">BH634*$BA331</f>
        <v>0</v>
      </c>
      <c r="BI1298" s="1109">
        <f t="shared" si="1811"/>
        <v>0</v>
      </c>
      <c r="BJ1298" s="1109">
        <f t="shared" si="1811"/>
        <v>0</v>
      </c>
      <c r="BK1298" s="1109">
        <f t="shared" si="1811"/>
        <v>0</v>
      </c>
      <c r="BL1298" s="1109">
        <f t="shared" si="1811"/>
        <v>0</v>
      </c>
    </row>
    <row r="1299" spans="3:64" hidden="1" outlineLevel="1">
      <c r="C1299" s="1071" t="str">
        <f t="shared" ref="C1299:F1299" si="1812">C982</f>
        <v>Essential Security Upgrades SHN</v>
      </c>
      <c r="D1299" s="1071" t="str">
        <f t="shared" si="1812"/>
        <v>Essential Security Upgrades</v>
      </c>
      <c r="E1299" s="1071" t="str">
        <f t="shared" si="1812"/>
        <v>T009A</v>
      </c>
      <c r="F1299" s="1125" t="str">
        <f t="shared" si="1812"/>
        <v>2021-2024</v>
      </c>
      <c r="H1299" s="1071" t="s">
        <v>29</v>
      </c>
      <c r="BB1299" s="1108"/>
      <c r="BC1299" s="1109"/>
      <c r="BD1299" s="1109"/>
      <c r="BE1299" s="1109"/>
      <c r="BF1299" s="1109"/>
      <c r="BG1299" s="1109"/>
      <c r="BH1299" s="1109">
        <f t="shared" ref="BH1299:BL1299" si="1813">BH635*$BA332</f>
        <v>0</v>
      </c>
      <c r="BI1299" s="1109">
        <f t="shared" si="1813"/>
        <v>0</v>
      </c>
      <c r="BJ1299" s="1109">
        <f t="shared" si="1813"/>
        <v>0</v>
      </c>
      <c r="BK1299" s="1109">
        <f t="shared" si="1813"/>
        <v>0</v>
      </c>
      <c r="BL1299" s="1109">
        <f t="shared" si="1813"/>
        <v>0</v>
      </c>
    </row>
    <row r="1300" spans="3:64" hidden="1" outlineLevel="1">
      <c r="C1300" s="1071" t="str">
        <f t="shared" ref="C1300:F1300" si="1814">C983</f>
        <v>Network test equipment</v>
      </c>
      <c r="D1300" s="1071" t="str">
        <f t="shared" si="1814"/>
        <v>Network test equipment</v>
      </c>
      <c r="E1300" s="1071" t="str">
        <f t="shared" si="1814"/>
        <v>U009</v>
      </c>
      <c r="F1300" s="1125" t="str">
        <f t="shared" si="1814"/>
        <v>2021-2024</v>
      </c>
      <c r="H1300" s="1071" t="s">
        <v>29</v>
      </c>
      <c r="BB1300" s="1108"/>
      <c r="BC1300" s="1109"/>
      <c r="BD1300" s="1109"/>
      <c r="BE1300" s="1109"/>
      <c r="BF1300" s="1109"/>
      <c r="BG1300" s="1109"/>
      <c r="BH1300" s="1109">
        <f t="shared" ref="BH1300:BL1300" si="1815">BH636*$BA333</f>
        <v>0</v>
      </c>
      <c r="BI1300" s="1109">
        <f t="shared" si="1815"/>
        <v>0</v>
      </c>
      <c r="BJ1300" s="1109">
        <f t="shared" si="1815"/>
        <v>0</v>
      </c>
      <c r="BK1300" s="1109">
        <f t="shared" si="1815"/>
        <v>0.9</v>
      </c>
      <c r="BL1300" s="1109">
        <f t="shared" si="1815"/>
        <v>3.6</v>
      </c>
    </row>
    <row r="1301" spans="3:64" hidden="1" outlineLevel="1">
      <c r="C1301" s="1071" t="str">
        <f t="shared" ref="C1301:F1301" si="1816">C984</f>
        <v>Audio visual rooms</v>
      </c>
      <c r="D1301" s="1071" t="str">
        <f t="shared" si="1816"/>
        <v>Audio visual rooms</v>
      </c>
      <c r="E1301" s="1071" t="str">
        <f t="shared" si="1816"/>
        <v>S026</v>
      </c>
      <c r="F1301" s="1125" t="str">
        <f t="shared" si="1816"/>
        <v>2021-2024</v>
      </c>
      <c r="H1301" s="1071" t="s">
        <v>29</v>
      </c>
      <c r="BB1301" s="1108"/>
      <c r="BC1301" s="1109"/>
      <c r="BD1301" s="1109"/>
      <c r="BE1301" s="1109"/>
      <c r="BF1301" s="1109"/>
      <c r="BG1301" s="1109"/>
      <c r="BH1301" s="1109">
        <f t="shared" ref="BH1301:BL1301" si="1817">BH637*$BA334</f>
        <v>0</v>
      </c>
      <c r="BI1301" s="1109">
        <f t="shared" si="1817"/>
        <v>0.89999999999999991</v>
      </c>
      <c r="BJ1301" s="1109">
        <f t="shared" si="1817"/>
        <v>3.5999999999999996</v>
      </c>
      <c r="BK1301" s="1109">
        <f t="shared" si="1817"/>
        <v>3.5999999999999996</v>
      </c>
      <c r="BL1301" s="1109">
        <f t="shared" si="1817"/>
        <v>2.6999999999999997</v>
      </c>
    </row>
    <row r="1302" spans="3:64" hidden="1" outlineLevel="1">
      <c r="C1302" s="1071" t="str">
        <f t="shared" ref="C1302:F1302" si="1818">C985</f>
        <v>Migration of FMTP from IPv4 to IPv6</v>
      </c>
      <c r="D1302" s="1071" t="str">
        <f t="shared" si="1818"/>
        <v>Migration of FMTP from IPv4 to IPv6</v>
      </c>
      <c r="E1302" s="1071" t="str">
        <f t="shared" si="1818"/>
        <v>Q004</v>
      </c>
      <c r="F1302" s="1125" t="str">
        <f t="shared" si="1818"/>
        <v>2021-2024</v>
      </c>
      <c r="H1302" s="1071" t="s">
        <v>29</v>
      </c>
      <c r="BB1302" s="1108"/>
      <c r="BC1302" s="1109"/>
      <c r="BD1302" s="1109"/>
      <c r="BE1302" s="1109"/>
      <c r="BF1302" s="1109"/>
      <c r="BG1302" s="1109"/>
      <c r="BH1302" s="1109">
        <f t="shared" ref="BH1302:BL1302" si="1819">BH638*$BA335</f>
        <v>0</v>
      </c>
      <c r="BI1302" s="1109">
        <f t="shared" si="1819"/>
        <v>0.52379343750000007</v>
      </c>
      <c r="BJ1302" s="1109">
        <f t="shared" si="1819"/>
        <v>2.0951737500000003</v>
      </c>
      <c r="BK1302" s="1109">
        <f t="shared" si="1819"/>
        <v>2.0951737500000003</v>
      </c>
      <c r="BL1302" s="1109">
        <f t="shared" si="1819"/>
        <v>2.0951737500000003</v>
      </c>
    </row>
    <row r="1303" spans="3:64" hidden="1" outlineLevel="1">
      <c r="C1303" s="1071" t="str">
        <f t="shared" ref="C1303:F1303" si="1820">C986</f>
        <v>PABX Infrastructure</v>
      </c>
      <c r="D1303" s="1071" t="str">
        <f t="shared" si="1820"/>
        <v>PABX Infrastructure</v>
      </c>
      <c r="E1303" s="1071" t="str">
        <f t="shared" si="1820"/>
        <v>P005</v>
      </c>
      <c r="F1303" s="1125" t="str">
        <f t="shared" si="1820"/>
        <v>2021-2024</v>
      </c>
      <c r="H1303" s="1071" t="s">
        <v>29</v>
      </c>
      <c r="BB1303" s="1108"/>
      <c r="BC1303" s="1109"/>
      <c r="BD1303" s="1109"/>
      <c r="BE1303" s="1109"/>
      <c r="BF1303" s="1109"/>
      <c r="BG1303" s="1109"/>
      <c r="BH1303" s="1109">
        <f t="shared" ref="BH1303:BL1303" si="1821">BH639*$BA336</f>
        <v>0</v>
      </c>
      <c r="BI1303" s="1109">
        <f t="shared" si="1821"/>
        <v>0.67997425</v>
      </c>
      <c r="BJ1303" s="1109">
        <f t="shared" si="1821"/>
        <v>1.3599485</v>
      </c>
      <c r="BK1303" s="1109">
        <f t="shared" si="1821"/>
        <v>1.3599485</v>
      </c>
      <c r="BL1303" s="1109">
        <f t="shared" si="1821"/>
        <v>1.3599485</v>
      </c>
    </row>
    <row r="1304" spans="3:64" hidden="1" outlineLevel="1">
      <c r="C1304" s="1071" t="str">
        <f t="shared" ref="C1304:F1304" si="1822">C987</f>
        <v>Gerator Upgrade Programme</v>
      </c>
      <c r="D1304" s="1071" t="str">
        <f t="shared" si="1822"/>
        <v>Gerator Upgrade Programme</v>
      </c>
      <c r="E1304" s="1071" t="str">
        <f t="shared" si="1822"/>
        <v>T004</v>
      </c>
      <c r="F1304" s="1125" t="str">
        <f t="shared" si="1822"/>
        <v>2021-2024</v>
      </c>
      <c r="H1304" s="1071" t="s">
        <v>29</v>
      </c>
      <c r="BB1304" s="1108"/>
      <c r="BC1304" s="1109"/>
      <c r="BD1304" s="1109"/>
      <c r="BE1304" s="1109"/>
      <c r="BF1304" s="1109"/>
      <c r="BG1304" s="1109"/>
      <c r="BH1304" s="1109">
        <f t="shared" ref="BH1304:BL1304" si="1823">BH640*$BA337</f>
        <v>0</v>
      </c>
      <c r="BI1304" s="1109">
        <f t="shared" si="1823"/>
        <v>0</v>
      </c>
      <c r="BJ1304" s="1109">
        <f t="shared" si="1823"/>
        <v>0</v>
      </c>
      <c r="BK1304" s="1109">
        <f t="shared" si="1823"/>
        <v>0</v>
      </c>
      <c r="BL1304" s="1109">
        <f t="shared" si="1823"/>
        <v>0</v>
      </c>
    </row>
    <row r="1305" spans="3:64" hidden="1" outlineLevel="1">
      <c r="C1305" s="1071" t="str">
        <f t="shared" ref="C1305:F1305" si="1824">C988</f>
        <v>Gerator Upgrade Programme - Woodcock Hill</v>
      </c>
      <c r="D1305" s="1071" t="str">
        <f t="shared" si="1824"/>
        <v>Gerator Upgrade Programme</v>
      </c>
      <c r="E1305" s="1071" t="str">
        <f t="shared" si="1824"/>
        <v>T004A</v>
      </c>
      <c r="F1305" s="1125" t="str">
        <f t="shared" si="1824"/>
        <v>2021-2024</v>
      </c>
      <c r="H1305" s="1071" t="s">
        <v>29</v>
      </c>
      <c r="BB1305" s="1108"/>
      <c r="BC1305" s="1109"/>
      <c r="BD1305" s="1109"/>
      <c r="BE1305" s="1109"/>
      <c r="BF1305" s="1109"/>
      <c r="BG1305" s="1109"/>
      <c r="BH1305" s="1109">
        <f t="shared" ref="BH1305:BL1305" si="1825">BH641*$BA338</f>
        <v>0</v>
      </c>
      <c r="BI1305" s="1109">
        <f t="shared" si="1825"/>
        <v>0</v>
      </c>
      <c r="BJ1305" s="1109">
        <f t="shared" si="1825"/>
        <v>2</v>
      </c>
      <c r="BK1305" s="1109">
        <f t="shared" si="1825"/>
        <v>2</v>
      </c>
      <c r="BL1305" s="1109">
        <f t="shared" si="1825"/>
        <v>2</v>
      </c>
    </row>
    <row r="1306" spans="3:64" hidden="1" outlineLevel="1">
      <c r="C1306" s="1071" t="str">
        <f t="shared" ref="C1306:F1306" si="1826">C989</f>
        <v>Test Equipment for Navigational Aid Systems</v>
      </c>
      <c r="D1306" s="1071" t="str">
        <f t="shared" si="1826"/>
        <v>Nav Aids Equipment</v>
      </c>
      <c r="E1306" s="1071" t="str">
        <f t="shared" si="1826"/>
        <v>S004</v>
      </c>
      <c r="F1306" s="1125" t="str">
        <f t="shared" si="1826"/>
        <v>2021-2024</v>
      </c>
      <c r="H1306" s="1071" t="s">
        <v>29</v>
      </c>
      <c r="BB1306" s="1108"/>
      <c r="BC1306" s="1109"/>
      <c r="BD1306" s="1109"/>
      <c r="BE1306" s="1109"/>
      <c r="BF1306" s="1109"/>
      <c r="BG1306" s="1109"/>
      <c r="BH1306" s="1109">
        <f t="shared" ref="BH1306:BL1306" si="1827">BH642*$BA339</f>
        <v>0</v>
      </c>
      <c r="BI1306" s="1109">
        <f t="shared" si="1827"/>
        <v>0</v>
      </c>
      <c r="BJ1306" s="1109">
        <f t="shared" si="1827"/>
        <v>0</v>
      </c>
      <c r="BK1306" s="1109">
        <f t="shared" si="1827"/>
        <v>0</v>
      </c>
      <c r="BL1306" s="1109">
        <f t="shared" si="1827"/>
        <v>0</v>
      </c>
    </row>
    <row r="1307" spans="3:64" hidden="1" outlineLevel="1">
      <c r="C1307" s="1071" t="str">
        <f t="shared" ref="C1307:F1307" si="1828">C990</f>
        <v>Nav Aids Equipment Dublin</v>
      </c>
      <c r="D1307" s="1071" t="str">
        <f t="shared" si="1828"/>
        <v>Nav Aids Equipment</v>
      </c>
      <c r="E1307" s="1071" t="str">
        <f t="shared" si="1828"/>
        <v>S004A</v>
      </c>
      <c r="F1307" s="1125" t="str">
        <f t="shared" si="1828"/>
        <v>2021-2024</v>
      </c>
      <c r="H1307" s="1071" t="s">
        <v>29</v>
      </c>
      <c r="BB1307" s="1108"/>
      <c r="BC1307" s="1109"/>
      <c r="BD1307" s="1109"/>
      <c r="BE1307" s="1109"/>
      <c r="BF1307" s="1109"/>
      <c r="BG1307" s="1109"/>
      <c r="BH1307" s="1109">
        <f t="shared" ref="BH1307:BL1307" si="1829">BH643*$BA340</f>
        <v>0</v>
      </c>
      <c r="BI1307" s="1109">
        <f t="shared" si="1829"/>
        <v>0.94781499999999885</v>
      </c>
      <c r="BJ1307" s="1109">
        <f t="shared" si="1829"/>
        <v>3.7912599999999954</v>
      </c>
      <c r="BK1307" s="1109">
        <f t="shared" si="1829"/>
        <v>3.7912599999999954</v>
      </c>
      <c r="BL1307" s="1109">
        <f t="shared" si="1829"/>
        <v>3.7912599999999954</v>
      </c>
    </row>
    <row r="1308" spans="3:64" hidden="1" outlineLevel="1">
      <c r="C1308" s="1071" t="str">
        <f t="shared" ref="C1308:F1308" si="1830">C991</f>
        <v>Nav Aids Equipment Cork</v>
      </c>
      <c r="D1308" s="1071" t="str">
        <f t="shared" si="1830"/>
        <v>Nav Aids Equipment</v>
      </c>
      <c r="E1308" s="1071" t="str">
        <f t="shared" si="1830"/>
        <v>S004A</v>
      </c>
      <c r="F1308" s="1125" t="str">
        <f t="shared" si="1830"/>
        <v>2021-2024</v>
      </c>
      <c r="H1308" s="1071" t="s">
        <v>29</v>
      </c>
      <c r="BB1308" s="1108"/>
      <c r="BC1308" s="1109"/>
      <c r="BD1308" s="1109"/>
      <c r="BE1308" s="1109"/>
      <c r="BF1308" s="1109"/>
      <c r="BG1308" s="1109"/>
      <c r="BH1308" s="1109">
        <f t="shared" ref="BH1308:BL1308" si="1831">BH644*$BA341</f>
        <v>0</v>
      </c>
      <c r="BI1308" s="1109">
        <f t="shared" si="1831"/>
        <v>0</v>
      </c>
      <c r="BJ1308" s="1109">
        <f t="shared" si="1831"/>
        <v>0</v>
      </c>
      <c r="BK1308" s="1109">
        <f t="shared" si="1831"/>
        <v>0</v>
      </c>
      <c r="BL1308" s="1109">
        <f t="shared" si="1831"/>
        <v>0</v>
      </c>
    </row>
    <row r="1309" spans="3:64" hidden="1" outlineLevel="1">
      <c r="C1309" s="1071" t="str">
        <f t="shared" ref="C1309:F1309" si="1832">C992</f>
        <v>Nav Aids Equipment Shannon</v>
      </c>
      <c r="D1309" s="1071" t="str">
        <f t="shared" si="1832"/>
        <v>Nav Aids Equipment</v>
      </c>
      <c r="E1309" s="1071" t="str">
        <f t="shared" si="1832"/>
        <v>S004A</v>
      </c>
      <c r="F1309" s="1125" t="str">
        <f t="shared" si="1832"/>
        <v>2021-2024</v>
      </c>
      <c r="H1309" s="1071" t="s">
        <v>29</v>
      </c>
      <c r="BB1309" s="1108"/>
      <c r="BC1309" s="1109"/>
      <c r="BD1309" s="1109"/>
      <c r="BE1309" s="1109"/>
      <c r="BF1309" s="1109"/>
      <c r="BG1309" s="1109"/>
      <c r="BH1309" s="1109">
        <f t="shared" ref="BH1309:BL1309" si="1833">BH645*$BA342</f>
        <v>0</v>
      </c>
      <c r="BI1309" s="1109">
        <f t="shared" si="1833"/>
        <v>0</v>
      </c>
      <c r="BJ1309" s="1109">
        <f t="shared" si="1833"/>
        <v>0.875</v>
      </c>
      <c r="BK1309" s="1109">
        <f t="shared" si="1833"/>
        <v>3.5</v>
      </c>
      <c r="BL1309" s="1109">
        <f t="shared" si="1833"/>
        <v>3.5</v>
      </c>
    </row>
    <row r="1310" spans="3:64" hidden="1" outlineLevel="1">
      <c r="C1310" s="1071" t="str">
        <f t="shared" ref="C1310:F1310" si="1834">C993</f>
        <v>Conference Centre Wi-FI &amp; UPS</v>
      </c>
      <c r="D1310" s="1071" t="str">
        <f t="shared" si="1834"/>
        <v>Conference Centre Wi-FI &amp; UPS</v>
      </c>
      <c r="E1310" s="1071" t="str">
        <f t="shared" si="1834"/>
        <v>S033</v>
      </c>
      <c r="F1310" s="1125" t="str">
        <f t="shared" si="1834"/>
        <v>2021-2024</v>
      </c>
      <c r="H1310" s="1071" t="s">
        <v>29</v>
      </c>
      <c r="BB1310" s="1108"/>
      <c r="BC1310" s="1109"/>
      <c r="BD1310" s="1109"/>
      <c r="BE1310" s="1109"/>
      <c r="BF1310" s="1109"/>
      <c r="BG1310" s="1109"/>
      <c r="BH1310" s="1109">
        <f t="shared" ref="BH1310:BL1310" si="1835">BH646*$BA343</f>
        <v>0</v>
      </c>
      <c r="BI1310" s="1109">
        <f t="shared" si="1835"/>
        <v>0.21</v>
      </c>
      <c r="BJ1310" s="1109">
        <f t="shared" si="1835"/>
        <v>0.84</v>
      </c>
      <c r="BK1310" s="1109">
        <f t="shared" si="1835"/>
        <v>0.84</v>
      </c>
      <c r="BL1310" s="1109">
        <f t="shared" si="1835"/>
        <v>0.84</v>
      </c>
    </row>
    <row r="1311" spans="3:64" hidden="1" outlineLevel="1">
      <c r="C1311" s="1071" t="str">
        <f t="shared" ref="C1311:F1311" si="1836">C994</f>
        <v>Mechanical and Electrical Requirements</v>
      </c>
      <c r="D1311" s="1071" t="str">
        <f t="shared" si="1836"/>
        <v>Mechanical and Electrical Requirements</v>
      </c>
      <c r="E1311" s="1071" t="str">
        <f t="shared" si="1836"/>
        <v>S022</v>
      </c>
      <c r="F1311" s="1125" t="str">
        <f t="shared" si="1836"/>
        <v>2021-2024</v>
      </c>
      <c r="H1311" s="1071" t="s">
        <v>29</v>
      </c>
      <c r="BB1311" s="1108"/>
      <c r="BC1311" s="1109"/>
      <c r="BD1311" s="1109"/>
      <c r="BE1311" s="1109"/>
      <c r="BF1311" s="1109"/>
      <c r="BG1311" s="1109"/>
      <c r="BH1311" s="1109">
        <f t="shared" ref="BH1311:BL1311" si="1837">BH647*$BA344</f>
        <v>0</v>
      </c>
      <c r="BI1311" s="1109">
        <f t="shared" si="1837"/>
        <v>0</v>
      </c>
      <c r="BJ1311" s="1109">
        <f t="shared" si="1837"/>
        <v>0.68782500000000013</v>
      </c>
      <c r="BK1311" s="1109">
        <f t="shared" si="1837"/>
        <v>0.68782500000000013</v>
      </c>
      <c r="BL1311" s="1109">
        <f t="shared" si="1837"/>
        <v>0.68782500000000013</v>
      </c>
    </row>
    <row r="1312" spans="3:64" hidden="1" outlineLevel="1">
      <c r="C1312" s="1071" t="str">
        <f t="shared" ref="C1312:F1312" si="1838">C995</f>
        <v>Controller Pilot Data Linking (CPDLC) SITA Ground Station expansion</v>
      </c>
      <c r="D1312" s="1071" t="str">
        <f t="shared" si="1838"/>
        <v>Controller Pilot Data Linking (CPDLC) SITA Ground Station expansion</v>
      </c>
      <c r="E1312" s="1071" t="str">
        <f t="shared" si="1838"/>
        <v>Q009</v>
      </c>
      <c r="F1312" s="1125" t="str">
        <f t="shared" si="1838"/>
        <v>2021-2024</v>
      </c>
      <c r="H1312" s="1071" t="s">
        <v>29</v>
      </c>
      <c r="BB1312" s="1108"/>
      <c r="BC1312" s="1109"/>
      <c r="BD1312" s="1109"/>
      <c r="BE1312" s="1109"/>
      <c r="BF1312" s="1109"/>
      <c r="BG1312" s="1109"/>
      <c r="BH1312" s="1109">
        <f t="shared" ref="BH1312:BL1312" si="1839">BH648*$BA345</f>
        <v>0</v>
      </c>
      <c r="BI1312" s="1109">
        <f t="shared" si="1839"/>
        <v>0</v>
      </c>
      <c r="BJ1312" s="1109">
        <f t="shared" si="1839"/>
        <v>0</v>
      </c>
      <c r="BK1312" s="1109">
        <f t="shared" si="1839"/>
        <v>0</v>
      </c>
      <c r="BL1312" s="1109">
        <f t="shared" si="1839"/>
        <v>0</v>
      </c>
    </row>
    <row r="1313" spans="2:65" hidden="1" outlineLevel="1">
      <c r="C1313" s="1071" t="str">
        <f t="shared" ref="C1313:F1313" si="1840">C996</f>
        <v>Piloting New Technology</v>
      </c>
      <c r="D1313" s="1071" t="str">
        <f t="shared" si="1840"/>
        <v>Piloting New Technology</v>
      </c>
      <c r="E1313" s="1071" t="str">
        <f t="shared" si="1840"/>
        <v>L016</v>
      </c>
      <c r="F1313" s="1125" t="str">
        <f t="shared" si="1840"/>
        <v>2021-2024</v>
      </c>
      <c r="H1313" s="1071" t="s">
        <v>29</v>
      </c>
      <c r="BB1313" s="1108"/>
      <c r="BC1313" s="1109"/>
      <c r="BD1313" s="1109"/>
      <c r="BE1313" s="1109"/>
      <c r="BF1313" s="1109"/>
      <c r="BG1313" s="1109"/>
      <c r="BH1313" s="1109">
        <f t="shared" ref="BH1313:BL1313" si="1841">BH649*$BA346</f>
        <v>0</v>
      </c>
      <c r="BI1313" s="1109">
        <f t="shared" si="1841"/>
        <v>0</v>
      </c>
      <c r="BJ1313" s="1109">
        <f t="shared" si="1841"/>
        <v>0</v>
      </c>
      <c r="BK1313" s="1109">
        <f t="shared" si="1841"/>
        <v>1.5458666666666667</v>
      </c>
      <c r="BL1313" s="1109">
        <f t="shared" si="1841"/>
        <v>1.5458666666666667</v>
      </c>
    </row>
    <row r="1314" spans="2:65" ht="10.15" customHeight="1" collapsed="1">
      <c r="C1314" s="1110"/>
      <c r="D1314" s="1110"/>
      <c r="E1314" s="1110"/>
      <c r="F1314" s="1110"/>
      <c r="G1314" s="1110"/>
      <c r="H1314" s="1110"/>
      <c r="I1314" s="1110"/>
      <c r="J1314" s="1110"/>
      <c r="K1314" s="1110"/>
      <c r="L1314" s="1110"/>
      <c r="M1314" s="1110"/>
      <c r="N1314" s="1110"/>
      <c r="O1314" s="1110"/>
      <c r="P1314" s="1110"/>
      <c r="Q1314" s="1110"/>
      <c r="R1314" s="1110"/>
      <c r="S1314" s="1110"/>
      <c r="T1314" s="1110"/>
      <c r="U1314" s="1110"/>
      <c r="V1314" s="1110"/>
      <c r="W1314" s="1110"/>
      <c r="X1314" s="1110"/>
      <c r="Y1314" s="1110"/>
      <c r="Z1314" s="1110"/>
      <c r="AA1314" s="1110"/>
      <c r="AB1314" s="1110"/>
      <c r="AC1314" s="1110"/>
      <c r="AD1314" s="1110"/>
      <c r="AE1314" s="1110"/>
      <c r="AF1314" s="1110"/>
      <c r="AG1314" s="1110"/>
      <c r="AH1314" s="1110"/>
      <c r="AI1314" s="1110"/>
      <c r="AJ1314" s="1110"/>
      <c r="AK1314" s="1110"/>
      <c r="AL1314" s="1110"/>
      <c r="AM1314" s="1110"/>
      <c r="AN1314" s="1110"/>
      <c r="AO1314" s="1110"/>
      <c r="AP1314" s="1110"/>
      <c r="AQ1314" s="1110"/>
      <c r="AR1314" s="1110"/>
      <c r="AS1314" s="1110"/>
      <c r="AT1314" s="1110"/>
      <c r="AU1314" s="1110"/>
      <c r="AV1314" s="1110"/>
      <c r="AW1314" s="1110"/>
      <c r="AX1314" s="1110"/>
      <c r="AY1314" s="1110"/>
      <c r="AZ1314" s="1110"/>
      <c r="BA1314" s="1110"/>
      <c r="BB1314" s="1110"/>
      <c r="BC1314" s="1111"/>
      <c r="BD1314" s="1111"/>
      <c r="BE1314" s="1111"/>
      <c r="BF1314" s="1111"/>
      <c r="BG1314" s="1111"/>
      <c r="BH1314" s="1111"/>
      <c r="BI1314" s="1111"/>
      <c r="BJ1314" s="1111"/>
      <c r="BK1314" s="1111"/>
      <c r="BL1314" s="1111"/>
    </row>
    <row r="1315" spans="2:65">
      <c r="C1315" s="1206" t="s">
        <v>727</v>
      </c>
      <c r="H1315" s="1104" t="s">
        <v>29</v>
      </c>
      <c r="BC1315" s="1071"/>
      <c r="BD1315" s="1071"/>
      <c r="BE1315" s="1071"/>
      <c r="BF1315" s="1071"/>
      <c r="BG1315" s="1071"/>
      <c r="BH1315" s="1105">
        <f>SUMPRODUCT(BH$49:BH$346,AS$49:AS$346,$M$49:$M$346,$BA$49:$BA$346)</f>
        <v>39.508804500000018</v>
      </c>
      <c r="BI1315" s="1105">
        <f>SUMPRODUCT(BI$49:BI$346,AT$49:AT$346,$M$49:$M$346,$BA$49:$BA$346)</f>
        <v>1112.8600234338553</v>
      </c>
      <c r="BJ1315" s="1105">
        <f>SUMPRODUCT(BJ$49:BJ$346,AU$49:AU$346,$M$49:$M$346,$BA$49:$BA$346)</f>
        <v>678.78526065042502</v>
      </c>
      <c r="BK1315" s="1105">
        <f>SUMPRODUCT(BK$49:BK$346,AV$49:AV$346,$M$49:$M$346,$BA$49:$BA$346)</f>
        <v>463.0030211927924</v>
      </c>
      <c r="BL1315" s="1105">
        <f>SUMPRODUCT(BL$49:BL$346,AW$49:AW$346,$M$49:$M$346,$BA$49:$BA$346)</f>
        <v>217.16564748751838</v>
      </c>
      <c r="BM1315" s="1105"/>
    </row>
    <row r="1316" spans="2:65">
      <c r="C1316" s="1206" t="s">
        <v>728</v>
      </c>
      <c r="H1316" s="1104" t="s">
        <v>29</v>
      </c>
      <c r="I1316" s="1104"/>
      <c r="BC1316" s="1105"/>
      <c r="BD1316" s="1105"/>
      <c r="BE1316" s="1105"/>
      <c r="BF1316" s="1105"/>
      <c r="BG1316" s="1105"/>
      <c r="BH1316" s="1105">
        <f>BH1317-BH1315</f>
        <v>0</v>
      </c>
      <c r="BI1316" s="1105">
        <f>BI1317-BI1315</f>
        <v>74.879767632319272</v>
      </c>
      <c r="BJ1316" s="1105">
        <f>BJ1317-BJ1315</f>
        <v>2412.3592559061353</v>
      </c>
      <c r="BK1316" s="1105">
        <f>BK1317-BK1315</f>
        <v>3703.2727739176853</v>
      </c>
      <c r="BL1316" s="1105">
        <f>BL1317-BL1315</f>
        <v>4446.7799952026799</v>
      </c>
      <c r="BM1316" s="1105"/>
    </row>
    <row r="1317" spans="2:65">
      <c r="C1317" s="1206" t="s">
        <v>729</v>
      </c>
      <c r="H1317" s="1104" t="s">
        <v>29</v>
      </c>
      <c r="I1317" s="1104"/>
      <c r="BC1317" s="1105"/>
      <c r="BD1317" s="1105"/>
      <c r="BE1317" s="1105"/>
      <c r="BF1317" s="1105"/>
      <c r="BG1317" s="1105"/>
      <c r="BH1317" s="1105">
        <f>SUM(BH1016:BH1313)</f>
        <v>39.508804500000018</v>
      </c>
      <c r="BI1317" s="1105">
        <f>SUM(BI1016:BI1313)</f>
        <v>1187.7397910661746</v>
      </c>
      <c r="BJ1317" s="1105">
        <f>SUM(BJ1016:BJ1313)</f>
        <v>3091.1445165565601</v>
      </c>
      <c r="BK1317" s="1105">
        <f>SUM(BK1016:BK1313)</f>
        <v>4166.2757951104777</v>
      </c>
      <c r="BL1317" s="1105">
        <f>SUM(BL1016:BL1313)</f>
        <v>4663.9456426901979</v>
      </c>
      <c r="BM1317" s="1105"/>
    </row>
    <row r="1318" spans="2:65">
      <c r="C1318" s="1206" t="s">
        <v>730</v>
      </c>
      <c r="H1318" s="1104" t="s">
        <v>29</v>
      </c>
      <c r="I1318" s="1104"/>
      <c r="BC1318" s="1105"/>
      <c r="BD1318" s="1105"/>
      <c r="BE1318" s="1105"/>
      <c r="BF1318" s="1105"/>
      <c r="BG1318" s="1105"/>
      <c r="BH1318" s="1105">
        <f>BH23</f>
        <v>2400.1864614425212</v>
      </c>
      <c r="BI1318" s="1105">
        <f>BI23</f>
        <v>2264.0940607550338</v>
      </c>
      <c r="BJ1318" s="1105">
        <f>BJ23</f>
        <v>1838.7897862966947</v>
      </c>
      <c r="BK1318" s="1105">
        <f>BK23</f>
        <v>1342.8672087883633</v>
      </c>
      <c r="BL1318" s="1105">
        <f>BL23</f>
        <v>938.30246644669683</v>
      </c>
    </row>
    <row r="1319" spans="2:65">
      <c r="C1319" s="1206" t="s">
        <v>731</v>
      </c>
      <c r="H1319" s="1104" t="s">
        <v>29</v>
      </c>
      <c r="I1319" s="1104"/>
      <c r="BC1319" s="1105"/>
      <c r="BD1319" s="1105"/>
      <c r="BE1319" s="1105"/>
      <c r="BF1319" s="1105"/>
      <c r="BG1319" s="1105"/>
      <c r="BH1319" s="1105">
        <f>SUM(BH1317:BH1318)</f>
        <v>2439.6952659425215</v>
      </c>
      <c r="BI1319" s="1105">
        <f>SUM(BI1317:BI1318)</f>
        <v>3451.8338518212086</v>
      </c>
      <c r="BJ1319" s="1105">
        <f>SUM(BJ1317:BJ1318)</f>
        <v>4929.9343028532548</v>
      </c>
      <c r="BK1319" s="1105">
        <f>SUM(BK1317:BK1318)</f>
        <v>5509.143003898841</v>
      </c>
      <c r="BL1319" s="1105">
        <f>SUM(BL1317:BL1318)</f>
        <v>5602.2481091368945</v>
      </c>
    </row>
    <row r="1320" spans="2:65">
      <c r="C1320" s="1104"/>
      <c r="H1320" s="1104"/>
      <c r="I1320" s="1104"/>
      <c r="BC1320" s="1105"/>
      <c r="BD1320" s="1105"/>
      <c r="BE1320" s="1105"/>
      <c r="BF1320" s="1105"/>
      <c r="BG1320" s="1582" t="s">
        <v>737</v>
      </c>
      <c r="BH1320" s="1583">
        <f>SUMPRODUCT(BH352:BH649,$BA$49:$BA$346)+BH23-BH1319</f>
        <v>0</v>
      </c>
      <c r="BI1320" s="1583">
        <f t="shared" ref="BI1320:BL1320" si="1842">SUMPRODUCT(BI352:BI649,$BA$49:$BA$346)+BI23-BI1319</f>
        <v>0</v>
      </c>
      <c r="BJ1320" s="1583">
        <f t="shared" si="1842"/>
        <v>0</v>
      </c>
      <c r="BK1320" s="1583">
        <f t="shared" si="1842"/>
        <v>0</v>
      </c>
      <c r="BL1320" s="1584">
        <f t="shared" si="1842"/>
        <v>0</v>
      </c>
    </row>
    <row r="1321" spans="2:65" ht="13.5" thickBot="1">
      <c r="B1321" s="1091" t="s">
        <v>732</v>
      </c>
      <c r="C1321" s="1091"/>
      <c r="D1321" s="1091"/>
      <c r="E1321" s="1091"/>
      <c r="F1321" s="1091"/>
      <c r="G1321" s="1091"/>
      <c r="H1321" s="1091"/>
      <c r="I1321" s="1091"/>
      <c r="J1321" s="1091"/>
      <c r="K1321" s="1091"/>
      <c r="L1321" s="1091"/>
      <c r="M1321" s="1091"/>
      <c r="N1321" s="1091"/>
      <c r="O1321" s="1091"/>
      <c r="P1321" s="1091"/>
      <c r="Q1321" s="1091"/>
      <c r="R1321" s="1091"/>
      <c r="S1321" s="1091"/>
      <c r="T1321" s="1091"/>
      <c r="U1321" s="1091"/>
      <c r="V1321" s="1091"/>
      <c r="W1321" s="1091"/>
      <c r="X1321" s="1091"/>
      <c r="Y1321" s="1091"/>
      <c r="Z1321" s="1091"/>
      <c r="AA1321" s="1091"/>
      <c r="AB1321" s="1091"/>
      <c r="AC1321" s="1091"/>
      <c r="AD1321" s="1091"/>
      <c r="AE1321" s="1091"/>
      <c r="AF1321" s="1091"/>
      <c r="AG1321" s="1091"/>
      <c r="AH1321" s="1091"/>
      <c r="AI1321" s="1091"/>
      <c r="AJ1321" s="1091"/>
      <c r="AK1321" s="1091"/>
      <c r="AL1321" s="1091"/>
      <c r="AM1321" s="1091"/>
      <c r="AN1321" s="1091"/>
      <c r="AO1321" s="1091"/>
      <c r="AP1321" s="1091"/>
      <c r="AQ1321" s="1091"/>
      <c r="AR1321" s="1091"/>
      <c r="AS1321" s="1091"/>
      <c r="AT1321" s="1091"/>
      <c r="AU1321" s="1091"/>
      <c r="AV1321" s="1091"/>
      <c r="AW1321" s="1091"/>
      <c r="AX1321" s="1091"/>
      <c r="AY1321" s="1091"/>
      <c r="AZ1321" s="1091"/>
      <c r="BA1321" s="1091"/>
      <c r="BB1321" s="1091"/>
      <c r="BC1321" s="1091"/>
      <c r="BD1321" s="1091"/>
      <c r="BE1321" s="1091"/>
      <c r="BF1321" s="1091"/>
      <c r="BG1321" s="1091"/>
      <c r="BH1321" s="1091"/>
      <c r="BI1321" s="1091"/>
      <c r="BJ1321" s="1091"/>
      <c r="BK1321" s="1091"/>
      <c r="BL1321" s="1091"/>
    </row>
    <row r="1322" spans="2:65">
      <c r="C1322" s="1207" t="s">
        <v>733</v>
      </c>
      <c r="H1322" s="1104" t="s">
        <v>29</v>
      </c>
      <c r="BC1322" s="1071"/>
      <c r="BD1322" s="1071"/>
      <c r="BE1322" s="1071"/>
      <c r="BF1322" s="1071"/>
      <c r="BG1322" s="1071"/>
      <c r="BH1322" s="1116">
        <f>((BG1324-BH1318-BH1316)+BG1324)/2</f>
        <v>9981.9850822212393</v>
      </c>
      <c r="BI1322" s="1116">
        <f>((BH1324-BI1318-BI1316)+BH1324)/2</f>
        <v>8009.7315363063026</v>
      </c>
      <c r="BJ1322" s="1116">
        <f>((BI1324-BJ1318-BJ1316)+BI1324)/2</f>
        <v>51555.880336193746</v>
      </c>
      <c r="BK1322" s="1116">
        <f>((BJ1324-BK1318-BK1316)+BJ1324)/2</f>
        <v>59341.889323589727</v>
      </c>
      <c r="BL1322" s="1116">
        <f>((BK1324-BL1318-BL1316)+BK1324)/2</f>
        <v>61716.90941115412</v>
      </c>
    </row>
    <row r="1323" spans="2:65">
      <c r="C1323" s="1104" t="s">
        <v>734</v>
      </c>
      <c r="H1323" s="1104" t="s">
        <v>29</v>
      </c>
      <c r="BC1323" s="1084"/>
      <c r="BD1323" s="1084"/>
      <c r="BE1323" s="1084"/>
      <c r="BF1323" s="1084"/>
      <c r="BG1323" s="1084"/>
      <c r="BH1323" s="1116">
        <f>BH1322+SUMPRODUCT(BH$49:BH$346,AS$49:AS$346,$AY$49:$AY$346)-BH1315</f>
        <v>11721.878378537907</v>
      </c>
      <c r="BI1323" s="1116">
        <f>BI1322+SUMPRODUCT(BI$49:BI$346,AT$49:AT$346,$AY$49:$AY$346)-BI1315</f>
        <v>10621.255694055189</v>
      </c>
      <c r="BJ1323" s="1116">
        <f>BJ1322+SUMPRODUCT(BJ$49:BJ$346,AU$49:AU$346,$AY$49:$AY$346)-BJ1315</f>
        <v>60432.702326436862</v>
      </c>
      <c r="BK1323" s="1116">
        <f>BK1322+SUMPRODUCT(BK$49:BK$346,AV$49:AV$346,$AY$49:$AY$346)-BK1315</f>
        <v>67777.573311023953</v>
      </c>
      <c r="BL1323" s="1116">
        <f>BL1322+SUMPRODUCT(BL$49:BL$346,AW$49:AW$346,$AY$49:$AY$346)-BL1315</f>
        <v>65003.107397367043</v>
      </c>
    </row>
    <row r="1324" spans="2:65">
      <c r="C1324" s="1104" t="s">
        <v>735</v>
      </c>
      <c r="H1324" s="1104" t="s">
        <v>29</v>
      </c>
      <c r="I1324" s="1104"/>
      <c r="BC1324" s="1084"/>
      <c r="BD1324" s="1084"/>
      <c r="BE1324" s="1084"/>
      <c r="BF1324" s="1084"/>
      <c r="BG1324" s="1116">
        <f>BG22</f>
        <v>11182.0783129425</v>
      </c>
      <c r="BH1324" s="1116">
        <f>BG1324+SUMPRODUCT(BH49:BH346,$BA$49:$BA$346)-BH1319</f>
        <v>9179.2184504999786</v>
      </c>
      <c r="BI1324" s="1116">
        <f>BH1324+SUMPRODUCT(BI49:BI346,$BA$49:$BA$346)-BI1319</f>
        <v>53681.454857295161</v>
      </c>
      <c r="BJ1324" s="1116">
        <f>BI1324+SUMPRODUCT(BJ49:BJ346,$BA$49:$BA$346)-BJ1319</f>
        <v>61864.959314942746</v>
      </c>
      <c r="BK1324" s="1116">
        <f>BJ1324+SUMPRODUCT(BK49:BK346,$BA$49:$BA$346)-BK1319</f>
        <v>64409.450641978801</v>
      </c>
      <c r="BL1324" s="1116">
        <f>BK1324+SUMPRODUCT(BL49:BL346,$BA$49:$BA$346)-BL1319</f>
        <v>64987.135972742049</v>
      </c>
    </row>
    <row r="1325" spans="2:65">
      <c r="BC1325" s="1084"/>
      <c r="BD1325" s="1084"/>
      <c r="BE1325" s="1084"/>
      <c r="BF1325" s="1084"/>
      <c r="BG1325" s="1582" t="s">
        <v>737</v>
      </c>
      <c r="BH1325" s="1583">
        <f>BG1324+SUMPRODUCT(BH$49:BH$346,$BA$49:$BA$346)-BH1319-BH1324</f>
        <v>0</v>
      </c>
      <c r="BI1325" s="1583">
        <f t="shared" ref="BI1325:BL1325" si="1843">BH1324+SUMPRODUCT(BI$49:BI$346,$BA$49:$BA$346)-BI1319-BI1324</f>
        <v>0</v>
      </c>
      <c r="BJ1325" s="1583">
        <f t="shared" si="1843"/>
        <v>0</v>
      </c>
      <c r="BK1325" s="1583">
        <f t="shared" si="1843"/>
        <v>0</v>
      </c>
      <c r="BL1325" s="1584">
        <f t="shared" si="1843"/>
        <v>0</v>
      </c>
    </row>
    <row r="1326" spans="2:65" ht="13.5" thickBot="1">
      <c r="B1326" s="1091" t="s">
        <v>743</v>
      </c>
      <c r="C1326" s="1091"/>
      <c r="D1326" s="1106"/>
      <c r="E1326" s="1106"/>
      <c r="F1326" s="1106"/>
      <c r="G1326" s="1106"/>
      <c r="H1326" s="1106"/>
      <c r="I1326" s="1106"/>
      <c r="J1326" s="1106"/>
      <c r="K1326" s="1106"/>
      <c r="L1326" s="1106"/>
      <c r="M1326" s="1106"/>
      <c r="N1326" s="1106"/>
      <c r="O1326" s="1106"/>
      <c r="P1326" s="1106"/>
      <c r="Q1326" s="1091"/>
      <c r="R1326" s="1091"/>
      <c r="S1326" s="1091"/>
      <c r="T1326" s="1091"/>
      <c r="U1326" s="1091"/>
      <c r="V1326" s="1091"/>
      <c r="W1326" s="1091"/>
      <c r="X1326" s="1091"/>
      <c r="Y1326" s="1091"/>
      <c r="Z1326" s="1091"/>
      <c r="AA1326" s="1091"/>
      <c r="AB1326" s="1091"/>
      <c r="AC1326" s="1091"/>
      <c r="AD1326" s="1091"/>
      <c r="AE1326" s="1091"/>
      <c r="AF1326" s="1091"/>
      <c r="AG1326" s="1091"/>
      <c r="AH1326" s="1091"/>
      <c r="AI1326" s="1091"/>
      <c r="AJ1326" s="1091"/>
      <c r="AK1326" s="1091"/>
      <c r="AL1326" s="1091"/>
      <c r="AM1326" s="1091"/>
      <c r="AN1326" s="1091"/>
      <c r="AO1326" s="1091"/>
      <c r="AP1326" s="1091"/>
      <c r="AQ1326" s="1106"/>
      <c r="AR1326" s="1106"/>
      <c r="AS1326" s="1106"/>
      <c r="AT1326" s="1106"/>
      <c r="AU1326" s="1106"/>
      <c r="AV1326" s="1106"/>
      <c r="AW1326" s="1106"/>
      <c r="AX1326" s="1106"/>
      <c r="AY1326" s="1106"/>
      <c r="AZ1326" s="1106"/>
      <c r="BA1326" s="1106"/>
      <c r="BB1326" s="1106"/>
      <c r="BC1326" s="1107"/>
      <c r="BD1326" s="1107"/>
      <c r="BE1326" s="1107"/>
      <c r="BF1326" s="1107"/>
      <c r="BG1326" s="1107"/>
      <c r="BH1326" s="1107"/>
      <c r="BI1326" s="1107"/>
      <c r="BJ1326" s="1107"/>
      <c r="BK1326" s="1107"/>
      <c r="BL1326" s="1107"/>
    </row>
    <row r="1327" spans="2:65">
      <c r="C1327" s="1104" t="s">
        <v>740</v>
      </c>
      <c r="H1327" s="1104" t="s">
        <v>29</v>
      </c>
      <c r="I1327" s="1104"/>
      <c r="BC1327" s="1105"/>
      <c r="BD1327" s="1105"/>
      <c r="BE1327" s="1105"/>
      <c r="BF1327" s="1105"/>
      <c r="BG1327" s="1105"/>
      <c r="BH1327" s="1105">
        <f>BH34</f>
        <v>128.52237419270833</v>
      </c>
      <c r="BI1327" s="1105">
        <f>BI34</f>
        <v>126.15983777083332</v>
      </c>
      <c r="BJ1327" s="1105">
        <f>BJ34</f>
        <v>101.21726667708332</v>
      </c>
      <c r="BK1327" s="1105">
        <f>BK34</f>
        <v>65.289993848958304</v>
      </c>
      <c r="BL1327" s="1105">
        <f>BL34</f>
        <v>46.653394760416653</v>
      </c>
    </row>
    <row r="1328" spans="2:65">
      <c r="C1328" s="1104" t="s">
        <v>741</v>
      </c>
      <c r="H1328" s="1104" t="s">
        <v>29</v>
      </c>
      <c r="I1328" s="1104"/>
      <c r="BC1328" s="1105"/>
      <c r="BD1328" s="1105"/>
      <c r="BE1328" s="1105"/>
      <c r="BF1328" s="1105"/>
      <c r="BG1328" s="1105"/>
      <c r="BH1328" s="1105">
        <f t="shared" ref="BH1328:BK1328" si="1844">SUMPRODUCT(BH$663:BH$690,$BA$663:$BA$690)</f>
        <v>0</v>
      </c>
      <c r="BI1328" s="1105">
        <f t="shared" si="1844"/>
        <v>98.987129541315269</v>
      </c>
      <c r="BJ1328" s="1105">
        <f t="shared" si="1844"/>
        <v>233.16818195712983</v>
      </c>
      <c r="BK1328" s="1105">
        <f t="shared" si="1844"/>
        <v>329.46935026159451</v>
      </c>
      <c r="BL1328" s="1105">
        <f>SUMPRODUCT(BL$663:BL$690,$BA$663:$BA$690)</f>
        <v>367.81764276226102</v>
      </c>
    </row>
    <row r="1329" spans="1:16379">
      <c r="C1329" s="1104" t="s">
        <v>742</v>
      </c>
      <c r="H1329" s="1104" t="s">
        <v>29</v>
      </c>
      <c r="I1329" s="1104"/>
      <c r="BC1329" s="1105"/>
      <c r="BD1329" s="1105"/>
      <c r="BE1329" s="1105"/>
      <c r="BF1329" s="1105"/>
      <c r="BG1329" s="1105"/>
      <c r="BH1329" s="1105">
        <f t="shared" ref="BH1329:BL1329" si="1845">SUM(BH1327:BH1328)</f>
        <v>128.52237419270833</v>
      </c>
      <c r="BI1329" s="1105">
        <f t="shared" si="1845"/>
        <v>225.1469673121486</v>
      </c>
      <c r="BJ1329" s="1105">
        <f t="shared" si="1845"/>
        <v>334.38544863421316</v>
      </c>
      <c r="BK1329" s="1105">
        <f t="shared" si="1845"/>
        <v>394.75934411055283</v>
      </c>
      <c r="BL1329" s="1105">
        <f t="shared" si="1845"/>
        <v>414.47103752267765</v>
      </c>
    </row>
    <row r="1330" spans="1:16379">
      <c r="BC1330" s="1084"/>
      <c r="BD1330" s="1084"/>
      <c r="BE1330" s="1084"/>
      <c r="BF1330" s="1084"/>
      <c r="BG1330" s="1084"/>
      <c r="BH1330" s="1084"/>
      <c r="BI1330" s="1084"/>
      <c r="BJ1330" s="1084"/>
      <c r="BK1330" s="1084"/>
      <c r="BL1330" s="1084"/>
    </row>
    <row r="1331" spans="1:16379" s="1117" customFormat="1">
      <c r="A1331" s="1071"/>
      <c r="B1331" s="1073" t="s">
        <v>60</v>
      </c>
      <c r="C1331" s="1072"/>
      <c r="D1331" s="1072"/>
      <c r="E1331" s="1072"/>
      <c r="F1331" s="1072"/>
      <c r="G1331" s="1072"/>
      <c r="H1331" s="1072"/>
      <c r="I1331" s="1072"/>
      <c r="J1331" s="1072"/>
      <c r="K1331" s="1072"/>
      <c r="L1331" s="1072"/>
      <c r="M1331" s="1072"/>
      <c r="N1331" s="1072"/>
      <c r="O1331" s="1072"/>
      <c r="P1331" s="1072"/>
      <c r="Q1331" s="1072"/>
      <c r="R1331" s="1072"/>
      <c r="S1331" s="1072"/>
      <c r="T1331" s="1072"/>
      <c r="U1331" s="1072"/>
      <c r="V1331" s="1072"/>
      <c r="W1331" s="1072"/>
      <c r="X1331" s="1072"/>
      <c r="Y1331" s="1072"/>
      <c r="Z1331" s="1072"/>
      <c r="AA1331" s="1072"/>
      <c r="AB1331" s="1072"/>
      <c r="AC1331" s="1072"/>
      <c r="AD1331" s="1072"/>
      <c r="AE1331" s="1072"/>
      <c r="AF1331" s="1072"/>
      <c r="AG1331" s="1072"/>
      <c r="AH1331" s="1072"/>
      <c r="AI1331" s="1072"/>
      <c r="AJ1331" s="1072"/>
      <c r="AK1331" s="1072"/>
      <c r="AL1331" s="1072"/>
      <c r="AM1331" s="1072"/>
      <c r="AN1331" s="1072"/>
      <c r="AO1331" s="1072"/>
      <c r="AP1331" s="1072"/>
      <c r="AQ1331" s="1072"/>
      <c r="AR1331" s="1072"/>
      <c r="AS1331" s="1072"/>
      <c r="AT1331" s="1072"/>
      <c r="AU1331" s="1072"/>
      <c r="AV1331" s="1072"/>
      <c r="AW1331" s="1072"/>
      <c r="AX1331" s="1072"/>
      <c r="AY1331" s="1072"/>
      <c r="AZ1331" s="1072"/>
      <c r="BA1331" s="1072"/>
      <c r="BB1331" s="1072"/>
      <c r="BC1331" s="1072"/>
      <c r="BD1331" s="1072"/>
      <c r="BE1331" s="1072"/>
      <c r="BF1331" s="1072"/>
      <c r="BG1331" s="1072"/>
      <c r="BH1331" s="1072"/>
      <c r="BI1331" s="1072"/>
      <c r="BJ1331" s="1072"/>
      <c r="BK1331" s="1072"/>
      <c r="BL1331" s="1072"/>
      <c r="BM1331" s="1071"/>
      <c r="BN1331" s="1072"/>
      <c r="BO1331" s="1072"/>
      <c r="BP1331" s="1072"/>
      <c r="BQ1331" s="1072"/>
      <c r="BR1331" s="1072"/>
      <c r="BS1331" s="1072"/>
      <c r="BT1331" s="1072"/>
      <c r="BU1331" s="1072"/>
      <c r="BV1331" s="1072"/>
      <c r="BW1331" s="1072"/>
      <c r="BX1331" s="1072"/>
      <c r="BY1331" s="1072"/>
      <c r="BZ1331" s="1072"/>
      <c r="CA1331" s="1072"/>
      <c r="CB1331" s="1072"/>
      <c r="CC1331" s="1072"/>
      <c r="CD1331" s="1072"/>
      <c r="CE1331" s="1072"/>
      <c r="CF1331" s="1072"/>
      <c r="CG1331" s="1072"/>
      <c r="CH1331" s="1072"/>
      <c r="CI1331" s="1072"/>
      <c r="CJ1331" s="1072"/>
      <c r="CK1331" s="1072"/>
      <c r="CL1331" s="1072"/>
      <c r="CM1331" s="1072"/>
      <c r="CN1331" s="1072"/>
      <c r="CO1331" s="1072"/>
      <c r="CP1331" s="1072"/>
      <c r="CQ1331" s="1072"/>
      <c r="CR1331" s="1072"/>
      <c r="CS1331" s="1072"/>
      <c r="CT1331" s="1072"/>
      <c r="CU1331" s="1072"/>
      <c r="CV1331" s="1072"/>
      <c r="CW1331" s="1072"/>
      <c r="CX1331" s="1072"/>
      <c r="CY1331" s="1072"/>
      <c r="CZ1331" s="1072"/>
      <c r="DA1331" s="1072"/>
      <c r="DB1331" s="1072"/>
      <c r="DC1331" s="1072"/>
      <c r="DD1331" s="1072"/>
      <c r="DE1331" s="1072"/>
      <c r="DF1331" s="1072"/>
      <c r="DG1331" s="1072"/>
      <c r="DH1331" s="1072"/>
      <c r="DI1331" s="1072"/>
      <c r="DJ1331" s="1072"/>
      <c r="DK1331" s="1072"/>
      <c r="DL1331" s="1072"/>
      <c r="DM1331" s="1072"/>
      <c r="DN1331" s="1072"/>
      <c r="DO1331" s="1072"/>
      <c r="DP1331" s="1072"/>
      <c r="DQ1331" s="1072"/>
      <c r="DR1331" s="1072"/>
      <c r="DS1331" s="1072"/>
      <c r="DT1331" s="1072"/>
      <c r="DU1331" s="1072"/>
      <c r="DV1331" s="1072"/>
      <c r="DW1331" s="1072"/>
      <c r="DX1331" s="1072"/>
      <c r="DY1331" s="1072"/>
      <c r="DZ1331" s="1072"/>
      <c r="EA1331" s="1072"/>
      <c r="EB1331" s="1072"/>
      <c r="EC1331" s="1072"/>
      <c r="ED1331" s="1072"/>
      <c r="EE1331" s="1072"/>
      <c r="EF1331" s="1072"/>
      <c r="EG1331" s="1072"/>
      <c r="EH1331" s="1072"/>
      <c r="EI1331" s="1072"/>
      <c r="EJ1331" s="1072"/>
      <c r="EK1331" s="1072"/>
      <c r="EL1331" s="1072"/>
      <c r="EM1331" s="1072"/>
      <c r="EN1331" s="1072"/>
      <c r="EO1331" s="1072"/>
      <c r="EP1331" s="1072"/>
      <c r="EQ1331" s="1072"/>
      <c r="ER1331" s="1072"/>
      <c r="ES1331" s="1072"/>
      <c r="ET1331" s="1072"/>
      <c r="EU1331" s="1072"/>
      <c r="EV1331" s="1072"/>
      <c r="EW1331" s="1072"/>
      <c r="EX1331" s="1072"/>
      <c r="EY1331" s="1072"/>
      <c r="EZ1331" s="1072"/>
      <c r="FA1331" s="1072"/>
      <c r="FB1331" s="1072"/>
      <c r="FC1331" s="1072"/>
      <c r="FD1331" s="1072"/>
      <c r="FE1331" s="1072"/>
      <c r="FF1331" s="1072"/>
      <c r="FG1331" s="1072"/>
      <c r="FH1331" s="1072"/>
      <c r="FI1331" s="1072"/>
      <c r="FJ1331" s="1072"/>
      <c r="FK1331" s="1072"/>
      <c r="FL1331" s="1072"/>
      <c r="FM1331" s="1072"/>
      <c r="FN1331" s="1072"/>
      <c r="FO1331" s="1072"/>
      <c r="FP1331" s="1072"/>
      <c r="FQ1331" s="1072"/>
      <c r="FR1331" s="1072"/>
      <c r="FS1331" s="1072"/>
      <c r="FT1331" s="1072"/>
      <c r="FU1331" s="1072"/>
      <c r="FV1331" s="1072"/>
      <c r="FW1331" s="1072"/>
      <c r="FX1331" s="1072"/>
      <c r="FY1331" s="1072"/>
      <c r="FZ1331" s="1072"/>
      <c r="GA1331" s="1072"/>
      <c r="GB1331" s="1072"/>
      <c r="GC1331" s="1072"/>
      <c r="GD1331" s="1072"/>
      <c r="GE1331" s="1072"/>
      <c r="GF1331" s="1072"/>
      <c r="GG1331" s="1072"/>
      <c r="GH1331" s="1072"/>
      <c r="GI1331" s="1072"/>
      <c r="GJ1331" s="1072"/>
      <c r="GK1331" s="1072"/>
      <c r="GL1331" s="1072"/>
      <c r="GM1331" s="1072"/>
      <c r="GN1331" s="1072"/>
      <c r="GO1331" s="1072"/>
      <c r="GP1331" s="1072"/>
      <c r="GQ1331" s="1072"/>
      <c r="GR1331" s="1072"/>
      <c r="GS1331" s="1072"/>
      <c r="GT1331" s="1072"/>
      <c r="GU1331" s="1072"/>
      <c r="GV1331" s="1072"/>
      <c r="GW1331" s="1072"/>
      <c r="GX1331" s="1072"/>
      <c r="GY1331" s="1072"/>
      <c r="GZ1331" s="1072"/>
      <c r="HA1331" s="1072"/>
      <c r="HB1331" s="1072"/>
      <c r="HC1331" s="1072"/>
      <c r="HD1331" s="1072"/>
      <c r="HE1331" s="1072"/>
      <c r="HF1331" s="1072"/>
      <c r="HG1331" s="1072"/>
      <c r="HH1331" s="1072"/>
      <c r="HI1331" s="1072"/>
      <c r="HJ1331" s="1072"/>
      <c r="HK1331" s="1072"/>
      <c r="HL1331" s="1072"/>
      <c r="HM1331" s="1072"/>
      <c r="HN1331" s="1072"/>
      <c r="HO1331" s="1072"/>
      <c r="HP1331" s="1072"/>
      <c r="HQ1331" s="1072"/>
      <c r="HR1331" s="1072"/>
      <c r="HS1331" s="1072"/>
      <c r="HT1331" s="1072"/>
      <c r="HU1331" s="1072"/>
      <c r="HV1331" s="1072"/>
      <c r="HW1331" s="1072"/>
      <c r="HX1331" s="1072"/>
      <c r="HY1331" s="1072"/>
      <c r="HZ1331" s="1072"/>
      <c r="IA1331" s="1072"/>
      <c r="IB1331" s="1072"/>
      <c r="IC1331" s="1072"/>
      <c r="ID1331" s="1072"/>
      <c r="IE1331" s="1072"/>
      <c r="IF1331" s="1072"/>
      <c r="IG1331" s="1072"/>
      <c r="IH1331" s="1072"/>
      <c r="II1331" s="1072"/>
      <c r="IJ1331" s="1072"/>
      <c r="IK1331" s="1072"/>
      <c r="IL1331" s="1072"/>
      <c r="IM1331" s="1072"/>
      <c r="IN1331" s="1072"/>
      <c r="IO1331" s="1072"/>
      <c r="IP1331" s="1072"/>
      <c r="IQ1331" s="1072"/>
      <c r="IR1331" s="1072"/>
      <c r="IS1331" s="1072"/>
      <c r="IT1331" s="1072"/>
      <c r="IU1331" s="1072"/>
      <c r="IV1331" s="1072"/>
      <c r="IW1331" s="1072"/>
      <c r="IX1331" s="1072"/>
      <c r="IY1331" s="1072"/>
      <c r="IZ1331" s="1072"/>
      <c r="JA1331" s="1072"/>
      <c r="JB1331" s="1072"/>
      <c r="JC1331" s="1072"/>
      <c r="JD1331" s="1072"/>
      <c r="JE1331" s="1072"/>
      <c r="JF1331" s="1072"/>
      <c r="JG1331" s="1072"/>
      <c r="JH1331" s="1072"/>
      <c r="JI1331" s="1072"/>
      <c r="JJ1331" s="1072"/>
      <c r="JK1331" s="1072"/>
      <c r="JL1331" s="1072"/>
      <c r="JM1331" s="1072"/>
      <c r="JN1331" s="1072"/>
      <c r="JO1331" s="1072"/>
      <c r="JP1331" s="1072"/>
      <c r="JQ1331" s="1072"/>
      <c r="JR1331" s="1072"/>
      <c r="JS1331" s="1072"/>
      <c r="JT1331" s="1072"/>
      <c r="JU1331" s="1072"/>
      <c r="JV1331" s="1072"/>
      <c r="JW1331" s="1072"/>
      <c r="JX1331" s="1072"/>
      <c r="JY1331" s="1072"/>
      <c r="JZ1331" s="1072"/>
      <c r="KA1331" s="1072"/>
      <c r="KB1331" s="1072"/>
      <c r="KC1331" s="1072"/>
      <c r="KD1331" s="1072"/>
      <c r="KE1331" s="1072"/>
      <c r="KF1331" s="1072"/>
      <c r="KG1331" s="1072"/>
      <c r="KH1331" s="1072"/>
      <c r="KI1331" s="1072"/>
      <c r="KJ1331" s="1072"/>
      <c r="KK1331" s="1072"/>
      <c r="KL1331" s="1072"/>
      <c r="KM1331" s="1072"/>
      <c r="KN1331" s="1072"/>
      <c r="KO1331" s="1072"/>
      <c r="KP1331" s="1072"/>
      <c r="KQ1331" s="1072"/>
      <c r="KR1331" s="1072"/>
      <c r="KS1331" s="1072"/>
      <c r="KT1331" s="1072"/>
      <c r="KU1331" s="1072"/>
      <c r="KV1331" s="1072"/>
      <c r="KW1331" s="1072"/>
      <c r="KX1331" s="1072"/>
      <c r="KY1331" s="1072"/>
      <c r="KZ1331" s="1072"/>
      <c r="LA1331" s="1072"/>
      <c r="LB1331" s="1072"/>
      <c r="LC1331" s="1072"/>
      <c r="LD1331" s="1072"/>
      <c r="LE1331" s="1072"/>
      <c r="LF1331" s="1072"/>
      <c r="LG1331" s="1072"/>
      <c r="LH1331" s="1072"/>
      <c r="LI1331" s="1072"/>
      <c r="LJ1331" s="1072"/>
      <c r="LK1331" s="1072"/>
      <c r="LL1331" s="1072"/>
      <c r="LM1331" s="1072"/>
      <c r="LN1331" s="1072"/>
      <c r="LO1331" s="1072"/>
      <c r="LP1331" s="1072"/>
      <c r="LQ1331" s="1072"/>
      <c r="LR1331" s="1072"/>
      <c r="LS1331" s="1072"/>
      <c r="LT1331" s="1072"/>
      <c r="LU1331" s="1072"/>
      <c r="LV1331" s="1072"/>
      <c r="LW1331" s="1072"/>
      <c r="LX1331" s="1072"/>
      <c r="LY1331" s="1072"/>
      <c r="LZ1331" s="1072"/>
      <c r="MA1331" s="1072"/>
      <c r="MB1331" s="1072"/>
      <c r="MC1331" s="1072"/>
      <c r="MD1331" s="1072"/>
      <c r="ME1331" s="1072"/>
      <c r="MF1331" s="1072"/>
      <c r="MG1331" s="1072"/>
      <c r="MH1331" s="1072"/>
      <c r="MI1331" s="1072"/>
      <c r="MJ1331" s="1072"/>
      <c r="MK1331" s="1072"/>
      <c r="ML1331" s="1072"/>
      <c r="MM1331" s="1072"/>
      <c r="MN1331" s="1072"/>
      <c r="MO1331" s="1072"/>
      <c r="MP1331" s="1072"/>
      <c r="MQ1331" s="1072"/>
      <c r="MR1331" s="1072"/>
      <c r="MS1331" s="1072"/>
      <c r="MT1331" s="1072"/>
      <c r="MU1331" s="1072"/>
      <c r="MV1331" s="1072"/>
      <c r="MW1331" s="1072"/>
      <c r="MX1331" s="1072"/>
      <c r="MY1331" s="1072"/>
      <c r="MZ1331" s="1072"/>
      <c r="NA1331" s="1072"/>
      <c r="NB1331" s="1072"/>
      <c r="NC1331" s="1072"/>
      <c r="ND1331" s="1072"/>
      <c r="NE1331" s="1072"/>
      <c r="NF1331" s="1072"/>
      <c r="NG1331" s="1072"/>
      <c r="NH1331" s="1072"/>
      <c r="NI1331" s="1072"/>
      <c r="NJ1331" s="1072"/>
      <c r="NK1331" s="1072"/>
      <c r="NL1331" s="1072"/>
      <c r="NM1331" s="1072"/>
      <c r="NN1331" s="1072"/>
      <c r="NO1331" s="1072"/>
      <c r="NP1331" s="1072"/>
      <c r="NQ1331" s="1072"/>
      <c r="NR1331" s="1072"/>
      <c r="NS1331" s="1072"/>
      <c r="NT1331" s="1072"/>
      <c r="NU1331" s="1072"/>
      <c r="NV1331" s="1072"/>
      <c r="NW1331" s="1072"/>
      <c r="NX1331" s="1072"/>
      <c r="NY1331" s="1072"/>
      <c r="NZ1331" s="1072"/>
      <c r="OA1331" s="1072"/>
      <c r="OB1331" s="1072"/>
      <c r="OC1331" s="1072"/>
      <c r="OD1331" s="1072"/>
      <c r="OE1331" s="1072"/>
      <c r="OF1331" s="1072"/>
      <c r="OG1331" s="1072"/>
      <c r="OH1331" s="1072"/>
      <c r="OI1331" s="1072"/>
      <c r="OJ1331" s="1072"/>
      <c r="OK1331" s="1072"/>
      <c r="OL1331" s="1072"/>
      <c r="OM1331" s="1072"/>
      <c r="ON1331" s="1072"/>
      <c r="OO1331" s="1072"/>
      <c r="OP1331" s="1072"/>
      <c r="OQ1331" s="1072"/>
      <c r="OR1331" s="1072"/>
      <c r="OS1331" s="1072"/>
      <c r="OT1331" s="1072"/>
      <c r="OU1331" s="1072"/>
      <c r="OV1331" s="1072"/>
      <c r="OW1331" s="1072"/>
      <c r="OX1331" s="1072"/>
      <c r="OY1331" s="1072"/>
      <c r="OZ1331" s="1072"/>
      <c r="PA1331" s="1072"/>
      <c r="PB1331" s="1072"/>
      <c r="PC1331" s="1072"/>
      <c r="PD1331" s="1072"/>
      <c r="PE1331" s="1072"/>
      <c r="PF1331" s="1072"/>
      <c r="PG1331" s="1072"/>
      <c r="PH1331" s="1072"/>
      <c r="PI1331" s="1072"/>
      <c r="PJ1331" s="1072"/>
      <c r="PK1331" s="1072"/>
      <c r="PL1331" s="1072"/>
      <c r="PM1331" s="1072"/>
      <c r="PN1331" s="1072"/>
      <c r="PO1331" s="1072"/>
      <c r="PP1331" s="1072"/>
      <c r="PQ1331" s="1072"/>
      <c r="PR1331" s="1072"/>
      <c r="PS1331" s="1072"/>
      <c r="PT1331" s="1072"/>
      <c r="PU1331" s="1072"/>
      <c r="PV1331" s="1072"/>
      <c r="PW1331" s="1072"/>
      <c r="PX1331" s="1072"/>
      <c r="PY1331" s="1072"/>
      <c r="PZ1331" s="1072"/>
      <c r="QA1331" s="1072"/>
      <c r="QB1331" s="1072"/>
      <c r="QC1331" s="1072"/>
      <c r="QD1331" s="1072"/>
      <c r="QE1331" s="1072"/>
      <c r="QF1331" s="1072"/>
      <c r="QG1331" s="1072"/>
      <c r="QH1331" s="1072"/>
      <c r="QI1331" s="1072"/>
      <c r="QJ1331" s="1072"/>
      <c r="QK1331" s="1072"/>
      <c r="QL1331" s="1072"/>
      <c r="QM1331" s="1072"/>
      <c r="QN1331" s="1072"/>
      <c r="QO1331" s="1072"/>
      <c r="QP1331" s="1072"/>
      <c r="QQ1331" s="1072"/>
      <c r="QR1331" s="1072"/>
      <c r="QS1331" s="1072"/>
      <c r="QT1331" s="1072"/>
      <c r="QU1331" s="1072"/>
      <c r="QV1331" s="1072"/>
      <c r="QW1331" s="1072"/>
      <c r="QX1331" s="1072"/>
      <c r="QY1331" s="1072"/>
      <c r="QZ1331" s="1072"/>
      <c r="RA1331" s="1072"/>
      <c r="RB1331" s="1072"/>
      <c r="RC1331" s="1072"/>
      <c r="RD1331" s="1072"/>
      <c r="RE1331" s="1072"/>
      <c r="RF1331" s="1072"/>
      <c r="RG1331" s="1072"/>
      <c r="RH1331" s="1072"/>
      <c r="RI1331" s="1072"/>
      <c r="RJ1331" s="1072"/>
      <c r="RK1331" s="1072"/>
      <c r="RL1331" s="1072"/>
      <c r="RM1331" s="1072"/>
      <c r="RN1331" s="1072"/>
      <c r="RO1331" s="1072"/>
      <c r="RP1331" s="1072"/>
      <c r="RQ1331" s="1072"/>
      <c r="RR1331" s="1072"/>
      <c r="RS1331" s="1072"/>
      <c r="RT1331" s="1072"/>
      <c r="RU1331" s="1072"/>
      <c r="RV1331" s="1072"/>
      <c r="RW1331" s="1072"/>
      <c r="RX1331" s="1072"/>
      <c r="RY1331" s="1072"/>
      <c r="RZ1331" s="1072"/>
      <c r="SA1331" s="1072"/>
      <c r="SB1331" s="1072"/>
      <c r="SC1331" s="1072"/>
      <c r="SD1331" s="1072"/>
      <c r="SE1331" s="1072"/>
      <c r="SF1331" s="1072"/>
      <c r="SG1331" s="1072"/>
      <c r="SH1331" s="1072"/>
      <c r="SI1331" s="1072"/>
      <c r="SJ1331" s="1072"/>
      <c r="SK1331" s="1072"/>
      <c r="SL1331" s="1072"/>
      <c r="SM1331" s="1072"/>
      <c r="SN1331" s="1072"/>
      <c r="SO1331" s="1072"/>
      <c r="SP1331" s="1072"/>
      <c r="SQ1331" s="1072"/>
      <c r="SR1331" s="1072"/>
      <c r="SS1331" s="1072"/>
      <c r="ST1331" s="1072"/>
      <c r="SU1331" s="1072"/>
      <c r="SV1331" s="1072"/>
      <c r="SW1331" s="1072"/>
      <c r="SX1331" s="1072"/>
      <c r="SY1331" s="1072"/>
      <c r="SZ1331" s="1072"/>
      <c r="TA1331" s="1072"/>
      <c r="TB1331" s="1072"/>
      <c r="TC1331" s="1072"/>
      <c r="TD1331" s="1072"/>
      <c r="TE1331" s="1072"/>
      <c r="TF1331" s="1072"/>
      <c r="TG1331" s="1072"/>
      <c r="TH1331" s="1072"/>
      <c r="TI1331" s="1072"/>
      <c r="TJ1331" s="1072"/>
      <c r="TK1331" s="1072"/>
      <c r="TL1331" s="1072"/>
      <c r="TM1331" s="1072"/>
      <c r="TN1331" s="1072"/>
      <c r="TO1331" s="1072"/>
      <c r="TP1331" s="1072"/>
      <c r="TQ1331" s="1072"/>
      <c r="TR1331" s="1072"/>
      <c r="TS1331" s="1072"/>
      <c r="TT1331" s="1072"/>
      <c r="TU1331" s="1072"/>
      <c r="TV1331" s="1072"/>
      <c r="TW1331" s="1072"/>
      <c r="TX1331" s="1072"/>
      <c r="TY1331" s="1072"/>
      <c r="TZ1331" s="1072"/>
      <c r="UA1331" s="1072"/>
      <c r="UB1331" s="1072"/>
      <c r="UC1331" s="1072"/>
      <c r="UD1331" s="1072"/>
      <c r="UE1331" s="1072"/>
      <c r="UF1331" s="1072"/>
      <c r="UG1331" s="1072"/>
      <c r="UH1331" s="1072"/>
      <c r="UI1331" s="1072"/>
      <c r="UJ1331" s="1072"/>
      <c r="UK1331" s="1072"/>
      <c r="UL1331" s="1072"/>
      <c r="UM1331" s="1072"/>
      <c r="UN1331" s="1072"/>
      <c r="UO1331" s="1072"/>
      <c r="UP1331" s="1072"/>
      <c r="UQ1331" s="1072"/>
      <c r="UR1331" s="1072"/>
      <c r="US1331" s="1072"/>
      <c r="UT1331" s="1072"/>
      <c r="UU1331" s="1072"/>
      <c r="UV1331" s="1072"/>
      <c r="UW1331" s="1072"/>
      <c r="UX1331" s="1072"/>
      <c r="UY1331" s="1072"/>
      <c r="UZ1331" s="1072"/>
      <c r="VA1331" s="1072"/>
      <c r="VB1331" s="1072"/>
      <c r="VC1331" s="1072"/>
      <c r="VD1331" s="1072"/>
      <c r="VE1331" s="1072"/>
      <c r="VF1331" s="1072"/>
      <c r="VG1331" s="1072"/>
      <c r="VH1331" s="1072"/>
      <c r="VI1331" s="1072"/>
      <c r="VJ1331" s="1072"/>
      <c r="VK1331" s="1072"/>
      <c r="VL1331" s="1072"/>
      <c r="VM1331" s="1072"/>
      <c r="VN1331" s="1072"/>
      <c r="VO1331" s="1072"/>
      <c r="VP1331" s="1072"/>
      <c r="VQ1331" s="1072"/>
      <c r="VR1331" s="1072"/>
      <c r="VS1331" s="1072"/>
      <c r="VT1331" s="1072"/>
      <c r="VU1331" s="1072"/>
      <c r="VV1331" s="1072"/>
      <c r="VW1331" s="1072"/>
      <c r="VX1331" s="1072"/>
      <c r="VY1331" s="1072"/>
      <c r="VZ1331" s="1072"/>
      <c r="WA1331" s="1072"/>
      <c r="WB1331" s="1072"/>
      <c r="WC1331" s="1072"/>
      <c r="WD1331" s="1072"/>
      <c r="WE1331" s="1072"/>
      <c r="WF1331" s="1072"/>
      <c r="WG1331" s="1072"/>
      <c r="WH1331" s="1072"/>
      <c r="WI1331" s="1072"/>
      <c r="WJ1331" s="1072"/>
      <c r="WK1331" s="1072"/>
      <c r="WL1331" s="1072"/>
      <c r="WM1331" s="1072"/>
      <c r="WN1331" s="1072"/>
      <c r="WO1331" s="1072"/>
      <c r="WP1331" s="1072"/>
      <c r="WQ1331" s="1072"/>
      <c r="WR1331" s="1072"/>
      <c r="WS1331" s="1072"/>
      <c r="WT1331" s="1072"/>
      <c r="WU1331" s="1072"/>
      <c r="WV1331" s="1072"/>
      <c r="WW1331" s="1072"/>
      <c r="WX1331" s="1072"/>
      <c r="WY1331" s="1072"/>
      <c r="WZ1331" s="1072"/>
      <c r="XA1331" s="1072"/>
      <c r="XB1331" s="1072"/>
      <c r="XC1331" s="1072"/>
      <c r="XD1331" s="1072"/>
      <c r="XE1331" s="1072"/>
      <c r="XF1331" s="1072"/>
      <c r="XG1331" s="1072"/>
      <c r="XH1331" s="1072"/>
      <c r="XI1331" s="1072"/>
      <c r="XJ1331" s="1072"/>
      <c r="XK1331" s="1072"/>
      <c r="XL1331" s="1072"/>
      <c r="XM1331" s="1072"/>
      <c r="XN1331" s="1072"/>
      <c r="XO1331" s="1072"/>
      <c r="XP1331" s="1072"/>
      <c r="XQ1331" s="1072"/>
      <c r="XR1331" s="1072"/>
      <c r="XS1331" s="1072"/>
      <c r="XT1331" s="1072"/>
      <c r="XU1331" s="1072"/>
      <c r="XV1331" s="1072"/>
      <c r="XW1331" s="1072"/>
      <c r="XX1331" s="1072"/>
      <c r="XY1331" s="1072"/>
      <c r="XZ1331" s="1072"/>
      <c r="YA1331" s="1072"/>
      <c r="YB1331" s="1072"/>
      <c r="YC1331" s="1072"/>
      <c r="YD1331" s="1072"/>
      <c r="YE1331" s="1072"/>
      <c r="YF1331" s="1072"/>
      <c r="YG1331" s="1072"/>
      <c r="YH1331" s="1072"/>
      <c r="YI1331" s="1072"/>
      <c r="YJ1331" s="1072"/>
      <c r="YK1331" s="1072"/>
      <c r="YL1331" s="1072"/>
      <c r="YM1331" s="1072"/>
      <c r="YN1331" s="1072"/>
      <c r="YO1331" s="1072"/>
      <c r="YP1331" s="1072"/>
      <c r="YQ1331" s="1072"/>
      <c r="YR1331" s="1072"/>
      <c r="YS1331" s="1072"/>
      <c r="YT1331" s="1072"/>
      <c r="YU1331" s="1072"/>
      <c r="YV1331" s="1072"/>
      <c r="YW1331" s="1072"/>
      <c r="YX1331" s="1072"/>
      <c r="YY1331" s="1072"/>
      <c r="YZ1331" s="1072"/>
      <c r="ZA1331" s="1072"/>
      <c r="ZB1331" s="1072"/>
      <c r="ZC1331" s="1072"/>
      <c r="ZD1331" s="1072"/>
      <c r="ZE1331" s="1072"/>
      <c r="ZF1331" s="1072"/>
      <c r="ZG1331" s="1072"/>
      <c r="ZH1331" s="1072"/>
      <c r="ZI1331" s="1072"/>
      <c r="ZJ1331" s="1072"/>
      <c r="ZK1331" s="1072"/>
      <c r="ZL1331" s="1072"/>
      <c r="ZM1331" s="1072"/>
      <c r="ZN1331" s="1072"/>
      <c r="ZO1331" s="1072"/>
      <c r="ZP1331" s="1072"/>
      <c r="ZQ1331" s="1072"/>
      <c r="ZR1331" s="1072"/>
      <c r="ZS1331" s="1072"/>
      <c r="ZT1331" s="1072"/>
      <c r="ZU1331" s="1072"/>
      <c r="ZV1331" s="1072"/>
      <c r="ZW1331" s="1072"/>
      <c r="ZX1331" s="1072"/>
      <c r="ZY1331" s="1072"/>
      <c r="ZZ1331" s="1072"/>
      <c r="AAA1331" s="1072"/>
      <c r="AAB1331" s="1072"/>
      <c r="AAC1331" s="1072"/>
      <c r="AAD1331" s="1072"/>
      <c r="AAE1331" s="1072"/>
      <c r="AAF1331" s="1072"/>
      <c r="AAG1331" s="1072"/>
      <c r="AAH1331" s="1072"/>
      <c r="AAI1331" s="1072"/>
      <c r="AAJ1331" s="1072"/>
      <c r="AAK1331" s="1072"/>
      <c r="AAL1331" s="1072"/>
      <c r="AAM1331" s="1072"/>
      <c r="AAN1331" s="1072"/>
      <c r="AAO1331" s="1072"/>
      <c r="AAP1331" s="1072"/>
      <c r="AAQ1331" s="1072"/>
      <c r="AAR1331" s="1072"/>
      <c r="AAS1331" s="1072"/>
      <c r="AAT1331" s="1072"/>
      <c r="AAU1331" s="1072"/>
      <c r="AAV1331" s="1072"/>
      <c r="AAW1331" s="1072"/>
      <c r="AAX1331" s="1072"/>
      <c r="AAY1331" s="1072"/>
      <c r="AAZ1331" s="1072"/>
      <c r="ABA1331" s="1072"/>
      <c r="ABB1331" s="1072"/>
      <c r="ABC1331" s="1072"/>
      <c r="ABD1331" s="1072"/>
      <c r="ABE1331" s="1072"/>
      <c r="ABF1331" s="1072"/>
      <c r="ABG1331" s="1072"/>
      <c r="ABH1331" s="1072"/>
      <c r="ABI1331" s="1072"/>
      <c r="ABJ1331" s="1072"/>
      <c r="ABK1331" s="1072"/>
      <c r="ABL1331" s="1072"/>
      <c r="ABM1331" s="1072"/>
      <c r="ABN1331" s="1072"/>
      <c r="ABO1331" s="1072"/>
      <c r="ABP1331" s="1072"/>
      <c r="ABQ1331" s="1072"/>
      <c r="ABR1331" s="1072"/>
      <c r="ABS1331" s="1072"/>
      <c r="ABT1331" s="1072"/>
      <c r="ABU1331" s="1072"/>
      <c r="ABV1331" s="1072"/>
      <c r="ABW1331" s="1072"/>
      <c r="ABX1331" s="1072"/>
      <c r="ABY1331" s="1072"/>
      <c r="ABZ1331" s="1072"/>
      <c r="ACA1331" s="1072"/>
      <c r="ACB1331" s="1072"/>
      <c r="ACC1331" s="1072"/>
      <c r="ACD1331" s="1072"/>
      <c r="ACE1331" s="1072"/>
      <c r="ACF1331" s="1072"/>
      <c r="ACG1331" s="1072"/>
      <c r="ACH1331" s="1072"/>
      <c r="ACI1331" s="1072"/>
      <c r="ACJ1331" s="1072"/>
      <c r="ACK1331" s="1072"/>
      <c r="ACL1331" s="1072"/>
      <c r="ACM1331" s="1072"/>
      <c r="ACN1331" s="1072"/>
      <c r="ACO1331" s="1072"/>
      <c r="ACP1331" s="1072"/>
      <c r="ACQ1331" s="1072"/>
      <c r="ACR1331" s="1072"/>
      <c r="ACS1331" s="1072"/>
      <c r="ACT1331" s="1072"/>
      <c r="ACU1331" s="1072"/>
      <c r="ACV1331" s="1072"/>
      <c r="ACW1331" s="1072"/>
      <c r="ACX1331" s="1072"/>
      <c r="ACY1331" s="1072"/>
      <c r="ACZ1331" s="1072"/>
      <c r="ADA1331" s="1072"/>
      <c r="ADB1331" s="1072"/>
      <c r="ADC1331" s="1072"/>
      <c r="ADD1331" s="1072"/>
      <c r="ADE1331" s="1072"/>
      <c r="ADF1331" s="1072"/>
      <c r="ADG1331" s="1072"/>
      <c r="ADH1331" s="1072"/>
      <c r="ADI1331" s="1072"/>
      <c r="ADJ1331" s="1072"/>
      <c r="ADK1331" s="1072"/>
      <c r="ADL1331" s="1072"/>
      <c r="ADM1331" s="1072"/>
      <c r="ADN1331" s="1072"/>
      <c r="ADO1331" s="1072"/>
      <c r="ADP1331" s="1072"/>
      <c r="ADQ1331" s="1072"/>
      <c r="ADR1331" s="1072"/>
      <c r="ADS1331" s="1072"/>
      <c r="ADT1331" s="1072"/>
      <c r="ADU1331" s="1072"/>
      <c r="ADV1331" s="1072"/>
      <c r="ADW1331" s="1072"/>
      <c r="ADX1331" s="1072"/>
      <c r="ADY1331" s="1072"/>
      <c r="ADZ1331" s="1072"/>
      <c r="AEA1331" s="1072"/>
      <c r="AEB1331" s="1072"/>
      <c r="AEC1331" s="1072"/>
      <c r="AED1331" s="1072"/>
      <c r="AEE1331" s="1072"/>
      <c r="AEF1331" s="1072"/>
      <c r="AEG1331" s="1072"/>
      <c r="AEH1331" s="1072"/>
      <c r="AEI1331" s="1072"/>
      <c r="AEJ1331" s="1072"/>
      <c r="AEK1331" s="1072"/>
      <c r="AEL1331" s="1072"/>
      <c r="AEM1331" s="1072"/>
      <c r="AEN1331" s="1072"/>
      <c r="AEO1331" s="1072"/>
      <c r="AEP1331" s="1072"/>
      <c r="AEQ1331" s="1072"/>
      <c r="AER1331" s="1072"/>
      <c r="AES1331" s="1072"/>
      <c r="AET1331" s="1072"/>
      <c r="AEU1331" s="1072"/>
      <c r="AEV1331" s="1072"/>
      <c r="AEW1331" s="1072"/>
      <c r="AEX1331" s="1072"/>
      <c r="AEY1331" s="1072"/>
      <c r="AEZ1331" s="1072"/>
      <c r="AFA1331" s="1072"/>
      <c r="AFB1331" s="1072"/>
      <c r="AFC1331" s="1072"/>
      <c r="AFD1331" s="1072"/>
      <c r="AFE1331" s="1072"/>
      <c r="AFF1331" s="1072"/>
      <c r="AFG1331" s="1072"/>
      <c r="AFH1331" s="1072"/>
      <c r="AFI1331" s="1072"/>
      <c r="AFJ1331" s="1072"/>
      <c r="AFK1331" s="1072"/>
      <c r="AFL1331" s="1072"/>
      <c r="AFM1331" s="1072"/>
      <c r="AFN1331" s="1072"/>
      <c r="AFO1331" s="1072"/>
      <c r="AFP1331" s="1072"/>
      <c r="AFQ1331" s="1072"/>
      <c r="AFR1331" s="1072"/>
      <c r="AFS1331" s="1072"/>
      <c r="AFT1331" s="1072"/>
      <c r="AFU1331" s="1072"/>
      <c r="AFV1331" s="1072"/>
      <c r="AFW1331" s="1072"/>
      <c r="AFX1331" s="1072"/>
      <c r="AFY1331" s="1072"/>
      <c r="AFZ1331" s="1072"/>
      <c r="AGA1331" s="1072"/>
      <c r="AGB1331" s="1072"/>
      <c r="AGC1331" s="1072"/>
      <c r="AGD1331" s="1072"/>
      <c r="AGE1331" s="1072"/>
      <c r="AGF1331" s="1072"/>
      <c r="AGG1331" s="1072"/>
      <c r="AGH1331" s="1072"/>
      <c r="AGI1331" s="1072"/>
      <c r="AGJ1331" s="1072"/>
      <c r="AGK1331" s="1072"/>
      <c r="AGL1331" s="1072"/>
      <c r="AGM1331" s="1072"/>
      <c r="AGN1331" s="1072"/>
      <c r="AGO1331" s="1072"/>
      <c r="AGP1331" s="1072"/>
      <c r="AGQ1331" s="1072"/>
      <c r="AGR1331" s="1072"/>
      <c r="AGS1331" s="1072"/>
      <c r="AGT1331" s="1072"/>
      <c r="AGU1331" s="1072"/>
      <c r="AGV1331" s="1072"/>
      <c r="AGW1331" s="1072"/>
      <c r="AGX1331" s="1072"/>
      <c r="AGY1331" s="1072"/>
      <c r="AGZ1331" s="1072"/>
      <c r="AHA1331" s="1072"/>
      <c r="AHB1331" s="1072"/>
      <c r="AHC1331" s="1072"/>
      <c r="AHD1331" s="1072"/>
      <c r="AHE1331" s="1072"/>
      <c r="AHF1331" s="1072"/>
      <c r="AHG1331" s="1072"/>
      <c r="AHH1331" s="1072"/>
      <c r="AHI1331" s="1072"/>
      <c r="AHJ1331" s="1072"/>
      <c r="AHK1331" s="1072"/>
      <c r="AHL1331" s="1072"/>
      <c r="AHM1331" s="1072"/>
      <c r="AHN1331" s="1072"/>
      <c r="AHO1331" s="1072"/>
      <c r="AHP1331" s="1072"/>
      <c r="AHQ1331" s="1072"/>
      <c r="AHR1331" s="1072"/>
      <c r="AHS1331" s="1072"/>
      <c r="AHT1331" s="1072"/>
      <c r="AHU1331" s="1072"/>
      <c r="AHV1331" s="1072"/>
      <c r="AHW1331" s="1072"/>
      <c r="AHX1331" s="1072"/>
      <c r="AHY1331" s="1072"/>
      <c r="AHZ1331" s="1072"/>
      <c r="AIA1331" s="1072"/>
      <c r="AIB1331" s="1072"/>
      <c r="AIC1331" s="1072"/>
      <c r="AID1331" s="1072"/>
      <c r="AIE1331" s="1072"/>
      <c r="AIF1331" s="1072"/>
      <c r="AIG1331" s="1072"/>
      <c r="AIH1331" s="1072"/>
      <c r="AII1331" s="1072"/>
      <c r="AIJ1331" s="1072"/>
      <c r="AIK1331" s="1072"/>
      <c r="AIL1331" s="1072"/>
      <c r="AIM1331" s="1072"/>
      <c r="AIN1331" s="1072"/>
      <c r="AIO1331" s="1072"/>
      <c r="AIP1331" s="1072"/>
      <c r="AIQ1331" s="1072"/>
      <c r="AIR1331" s="1072"/>
      <c r="AIS1331" s="1072"/>
      <c r="AIT1331" s="1072"/>
      <c r="AIU1331" s="1072"/>
      <c r="AIV1331" s="1072"/>
      <c r="AIW1331" s="1072"/>
      <c r="AIX1331" s="1072"/>
      <c r="AIY1331" s="1072"/>
      <c r="AIZ1331" s="1072"/>
      <c r="AJA1331" s="1072"/>
      <c r="AJB1331" s="1072"/>
      <c r="AJC1331" s="1072"/>
      <c r="AJD1331" s="1072"/>
      <c r="AJE1331" s="1072"/>
      <c r="AJF1331" s="1072"/>
      <c r="AJG1331" s="1072"/>
      <c r="AJH1331" s="1072"/>
      <c r="AJI1331" s="1072"/>
      <c r="AJJ1331" s="1072"/>
      <c r="AJK1331" s="1072"/>
      <c r="AJL1331" s="1072"/>
      <c r="AJM1331" s="1072"/>
      <c r="AJN1331" s="1072"/>
      <c r="AJO1331" s="1072"/>
      <c r="AJP1331" s="1072"/>
      <c r="AJQ1331" s="1072"/>
      <c r="AJR1331" s="1072"/>
      <c r="AJS1331" s="1072"/>
      <c r="AJT1331" s="1072"/>
      <c r="AJU1331" s="1072"/>
      <c r="AJV1331" s="1072"/>
      <c r="AJW1331" s="1072"/>
      <c r="AJX1331" s="1072"/>
      <c r="AJY1331" s="1072"/>
      <c r="AJZ1331" s="1072"/>
      <c r="AKA1331" s="1072"/>
      <c r="AKB1331" s="1072"/>
      <c r="AKC1331" s="1072"/>
      <c r="AKD1331" s="1072"/>
      <c r="AKE1331" s="1072"/>
      <c r="AKF1331" s="1072"/>
      <c r="AKG1331" s="1072"/>
      <c r="AKH1331" s="1072"/>
      <c r="AKI1331" s="1072"/>
      <c r="AKJ1331" s="1072"/>
      <c r="AKK1331" s="1072"/>
      <c r="AKL1331" s="1072"/>
      <c r="AKM1331" s="1072"/>
      <c r="AKN1331" s="1072"/>
      <c r="AKO1331" s="1072"/>
      <c r="AKP1331" s="1072"/>
      <c r="AKQ1331" s="1072"/>
      <c r="AKR1331" s="1072"/>
      <c r="AKS1331" s="1072"/>
      <c r="AKT1331" s="1072"/>
      <c r="AKU1331" s="1072"/>
      <c r="AKV1331" s="1072"/>
      <c r="AKW1331" s="1072"/>
      <c r="AKX1331" s="1072"/>
      <c r="AKY1331" s="1072"/>
      <c r="AKZ1331" s="1072"/>
      <c r="ALA1331" s="1072"/>
      <c r="ALB1331" s="1072"/>
      <c r="ALC1331" s="1072"/>
      <c r="ALD1331" s="1072"/>
      <c r="ALE1331" s="1072"/>
      <c r="ALF1331" s="1072"/>
      <c r="ALG1331" s="1072"/>
      <c r="ALH1331" s="1072"/>
      <c r="ALI1331" s="1072"/>
      <c r="ALJ1331" s="1072"/>
      <c r="ALK1331" s="1072"/>
      <c r="ALL1331" s="1072"/>
      <c r="ALM1331" s="1072"/>
      <c r="ALN1331" s="1072"/>
      <c r="ALO1331" s="1072"/>
      <c r="ALP1331" s="1072"/>
      <c r="ALQ1331" s="1072"/>
      <c r="ALR1331" s="1072"/>
      <c r="ALS1331" s="1072"/>
      <c r="ALT1331" s="1072"/>
      <c r="ALU1331" s="1072"/>
      <c r="ALV1331" s="1072"/>
      <c r="ALW1331" s="1072"/>
      <c r="ALX1331" s="1072"/>
      <c r="ALY1331" s="1072"/>
      <c r="ALZ1331" s="1072"/>
      <c r="AMA1331" s="1072"/>
      <c r="AMB1331" s="1072"/>
      <c r="AMC1331" s="1072"/>
      <c r="AMD1331" s="1072"/>
      <c r="AME1331" s="1072"/>
      <c r="AMF1331" s="1072"/>
      <c r="AMG1331" s="1072"/>
      <c r="AMH1331" s="1072"/>
      <c r="AMI1331" s="1072"/>
      <c r="AMJ1331" s="1072"/>
      <c r="AMK1331" s="1072"/>
      <c r="AML1331" s="1072"/>
      <c r="AMM1331" s="1072"/>
      <c r="AMN1331" s="1072"/>
      <c r="AMO1331" s="1072"/>
      <c r="AMP1331" s="1072"/>
      <c r="AMQ1331" s="1072"/>
      <c r="AMR1331" s="1072"/>
      <c r="AMS1331" s="1072"/>
      <c r="AMT1331" s="1072"/>
      <c r="AMU1331" s="1072"/>
      <c r="AMV1331" s="1072"/>
      <c r="AMW1331" s="1072"/>
      <c r="AMX1331" s="1072"/>
      <c r="AMY1331" s="1072"/>
      <c r="AMZ1331" s="1072"/>
      <c r="ANA1331" s="1072"/>
      <c r="ANB1331" s="1072"/>
      <c r="ANC1331" s="1072"/>
      <c r="AND1331" s="1072"/>
      <c r="ANE1331" s="1072"/>
      <c r="ANF1331" s="1072"/>
      <c r="ANG1331" s="1072"/>
      <c r="ANH1331" s="1072"/>
      <c r="ANI1331" s="1072"/>
      <c r="ANJ1331" s="1072"/>
      <c r="ANK1331" s="1072"/>
      <c r="ANL1331" s="1072"/>
      <c r="ANM1331" s="1072"/>
      <c r="ANN1331" s="1072"/>
      <c r="ANO1331" s="1072"/>
      <c r="ANP1331" s="1072"/>
      <c r="ANQ1331" s="1072"/>
      <c r="ANR1331" s="1072"/>
      <c r="ANS1331" s="1072"/>
      <c r="ANT1331" s="1072"/>
      <c r="ANU1331" s="1072"/>
      <c r="ANV1331" s="1072"/>
      <c r="ANW1331" s="1072"/>
      <c r="ANX1331" s="1072"/>
      <c r="ANY1331" s="1072"/>
      <c r="ANZ1331" s="1072"/>
      <c r="AOA1331" s="1072"/>
      <c r="AOB1331" s="1072"/>
      <c r="AOC1331" s="1072"/>
      <c r="AOD1331" s="1072"/>
      <c r="AOE1331" s="1072"/>
      <c r="AOF1331" s="1072"/>
      <c r="AOG1331" s="1072"/>
      <c r="AOH1331" s="1072"/>
      <c r="AOI1331" s="1072"/>
      <c r="AOJ1331" s="1072"/>
      <c r="AOK1331" s="1072"/>
      <c r="AOL1331" s="1072"/>
      <c r="AOM1331" s="1072"/>
      <c r="AON1331" s="1072"/>
      <c r="AOO1331" s="1072"/>
      <c r="AOP1331" s="1072"/>
      <c r="AOQ1331" s="1072"/>
      <c r="AOR1331" s="1072"/>
      <c r="AOS1331" s="1072"/>
      <c r="AOT1331" s="1072"/>
      <c r="AOU1331" s="1072"/>
      <c r="AOV1331" s="1072"/>
      <c r="AOW1331" s="1072"/>
      <c r="AOX1331" s="1072"/>
      <c r="AOY1331" s="1072"/>
      <c r="AOZ1331" s="1072"/>
      <c r="APA1331" s="1072"/>
      <c r="APB1331" s="1072"/>
      <c r="APC1331" s="1072"/>
      <c r="APD1331" s="1072"/>
      <c r="APE1331" s="1072"/>
      <c r="APF1331" s="1072"/>
      <c r="APG1331" s="1072"/>
      <c r="APH1331" s="1072"/>
      <c r="API1331" s="1072"/>
      <c r="APJ1331" s="1072"/>
      <c r="APK1331" s="1072"/>
      <c r="APL1331" s="1072"/>
      <c r="APM1331" s="1072"/>
      <c r="APN1331" s="1072"/>
      <c r="APO1331" s="1072"/>
      <c r="APP1331" s="1072"/>
      <c r="APQ1331" s="1072"/>
      <c r="APR1331" s="1072"/>
      <c r="APS1331" s="1072"/>
      <c r="APT1331" s="1072"/>
      <c r="APU1331" s="1072"/>
      <c r="APV1331" s="1072"/>
      <c r="APW1331" s="1072"/>
      <c r="APX1331" s="1072"/>
      <c r="APY1331" s="1072"/>
      <c r="APZ1331" s="1072"/>
      <c r="AQA1331" s="1072"/>
      <c r="AQB1331" s="1072"/>
      <c r="AQC1331" s="1072"/>
      <c r="AQD1331" s="1072"/>
      <c r="AQE1331" s="1072"/>
      <c r="AQF1331" s="1072"/>
      <c r="AQG1331" s="1072"/>
      <c r="AQH1331" s="1072"/>
      <c r="AQI1331" s="1072"/>
      <c r="AQJ1331" s="1072"/>
      <c r="AQK1331" s="1072"/>
      <c r="AQL1331" s="1072"/>
      <c r="AQM1331" s="1072"/>
      <c r="AQN1331" s="1072"/>
      <c r="AQO1331" s="1072"/>
      <c r="AQP1331" s="1072"/>
      <c r="AQQ1331" s="1072"/>
      <c r="AQR1331" s="1072"/>
      <c r="AQS1331" s="1072"/>
      <c r="AQT1331" s="1072"/>
      <c r="AQU1331" s="1072"/>
      <c r="AQV1331" s="1072"/>
      <c r="AQW1331" s="1072"/>
      <c r="AQX1331" s="1072"/>
      <c r="AQY1331" s="1072"/>
      <c r="AQZ1331" s="1072"/>
      <c r="ARA1331" s="1072"/>
      <c r="ARB1331" s="1072"/>
      <c r="ARC1331" s="1072"/>
      <c r="ARD1331" s="1072"/>
      <c r="ARE1331" s="1072"/>
      <c r="ARF1331" s="1072"/>
      <c r="ARG1331" s="1072"/>
      <c r="ARH1331" s="1072"/>
      <c r="ARI1331" s="1072"/>
      <c r="ARJ1331" s="1072"/>
      <c r="ARK1331" s="1072"/>
      <c r="ARL1331" s="1072"/>
      <c r="ARM1331" s="1072"/>
      <c r="ARN1331" s="1072"/>
      <c r="ARO1331" s="1072"/>
      <c r="ARP1331" s="1072"/>
      <c r="ARQ1331" s="1072"/>
      <c r="ARR1331" s="1072"/>
      <c r="ARS1331" s="1072"/>
      <c r="ART1331" s="1072"/>
      <c r="ARU1331" s="1072"/>
      <c r="ARV1331" s="1072"/>
      <c r="ARW1331" s="1072"/>
      <c r="ARX1331" s="1072"/>
      <c r="ARY1331" s="1072"/>
      <c r="ARZ1331" s="1072"/>
      <c r="ASA1331" s="1072"/>
      <c r="ASB1331" s="1072"/>
      <c r="ASC1331" s="1072"/>
      <c r="ASD1331" s="1072"/>
      <c r="ASE1331" s="1072"/>
      <c r="ASF1331" s="1072"/>
      <c r="ASG1331" s="1072"/>
      <c r="ASH1331" s="1072"/>
      <c r="ASI1331" s="1072"/>
      <c r="ASJ1331" s="1072"/>
      <c r="ASK1331" s="1072"/>
      <c r="ASL1331" s="1072"/>
      <c r="ASM1331" s="1072"/>
      <c r="ASN1331" s="1072"/>
      <c r="ASO1331" s="1072"/>
      <c r="ASP1331" s="1072"/>
      <c r="ASQ1331" s="1072"/>
      <c r="ASR1331" s="1072"/>
      <c r="ASS1331" s="1072"/>
      <c r="AST1331" s="1072"/>
      <c r="ASU1331" s="1072"/>
      <c r="ASV1331" s="1072"/>
      <c r="ASW1331" s="1072"/>
      <c r="ASX1331" s="1072"/>
      <c r="ASY1331" s="1072"/>
      <c r="ASZ1331" s="1072"/>
      <c r="ATA1331" s="1072"/>
      <c r="ATB1331" s="1072"/>
      <c r="ATC1331" s="1072"/>
      <c r="ATD1331" s="1072"/>
      <c r="ATE1331" s="1072"/>
      <c r="ATF1331" s="1072"/>
      <c r="ATG1331" s="1072"/>
      <c r="ATH1331" s="1072"/>
      <c r="ATI1331" s="1072"/>
      <c r="ATJ1331" s="1072"/>
      <c r="ATK1331" s="1072"/>
      <c r="ATL1331" s="1072"/>
      <c r="ATM1331" s="1072"/>
      <c r="ATN1331" s="1072"/>
      <c r="ATO1331" s="1072"/>
      <c r="ATP1331" s="1072"/>
      <c r="ATQ1331" s="1072"/>
      <c r="ATR1331" s="1072"/>
      <c r="ATS1331" s="1072"/>
      <c r="ATT1331" s="1072"/>
      <c r="ATU1331" s="1072"/>
      <c r="ATV1331" s="1072"/>
      <c r="ATW1331" s="1072"/>
      <c r="ATX1331" s="1072"/>
      <c r="ATY1331" s="1072"/>
      <c r="ATZ1331" s="1072"/>
      <c r="AUA1331" s="1072"/>
      <c r="AUB1331" s="1072"/>
      <c r="AUC1331" s="1072"/>
      <c r="AUD1331" s="1072"/>
      <c r="AUE1331" s="1072"/>
      <c r="AUF1331" s="1072"/>
      <c r="AUG1331" s="1072"/>
      <c r="AUH1331" s="1072"/>
      <c r="AUI1331" s="1072"/>
      <c r="AUJ1331" s="1072"/>
      <c r="AUK1331" s="1072"/>
      <c r="AUL1331" s="1072"/>
      <c r="AUM1331" s="1072"/>
      <c r="AUN1331" s="1072"/>
      <c r="AUO1331" s="1072"/>
      <c r="AUP1331" s="1072"/>
      <c r="AUQ1331" s="1072"/>
      <c r="AUR1331" s="1072"/>
      <c r="AUS1331" s="1072"/>
      <c r="AUT1331" s="1072"/>
      <c r="AUU1331" s="1072"/>
      <c r="AUV1331" s="1072"/>
      <c r="AUW1331" s="1072"/>
      <c r="AUX1331" s="1072"/>
      <c r="AUY1331" s="1072"/>
      <c r="AUZ1331" s="1072"/>
      <c r="AVA1331" s="1072"/>
      <c r="AVB1331" s="1072"/>
      <c r="AVC1331" s="1072"/>
      <c r="AVD1331" s="1072"/>
      <c r="AVE1331" s="1072"/>
      <c r="AVF1331" s="1072"/>
      <c r="AVG1331" s="1072"/>
      <c r="AVH1331" s="1072"/>
      <c r="AVI1331" s="1072"/>
      <c r="AVJ1331" s="1072"/>
      <c r="AVK1331" s="1072"/>
      <c r="AVL1331" s="1072"/>
      <c r="AVM1331" s="1072"/>
      <c r="AVN1331" s="1072"/>
      <c r="AVO1331" s="1072"/>
      <c r="AVP1331" s="1072"/>
      <c r="AVQ1331" s="1072"/>
      <c r="AVR1331" s="1072"/>
      <c r="AVS1331" s="1072"/>
      <c r="AVT1331" s="1072"/>
      <c r="AVU1331" s="1072"/>
      <c r="AVV1331" s="1072"/>
      <c r="AVW1331" s="1072"/>
      <c r="AVX1331" s="1072"/>
      <c r="AVY1331" s="1072"/>
      <c r="AVZ1331" s="1072"/>
      <c r="AWA1331" s="1072"/>
      <c r="AWB1331" s="1072"/>
      <c r="AWC1331" s="1072"/>
      <c r="AWD1331" s="1072"/>
      <c r="AWE1331" s="1072"/>
      <c r="AWF1331" s="1072"/>
      <c r="AWG1331" s="1072"/>
      <c r="AWH1331" s="1072"/>
      <c r="AWI1331" s="1072"/>
      <c r="AWJ1331" s="1072"/>
      <c r="AWK1331" s="1072"/>
      <c r="AWL1331" s="1072"/>
      <c r="AWM1331" s="1072"/>
      <c r="AWN1331" s="1072"/>
      <c r="AWO1331" s="1072"/>
      <c r="AWP1331" s="1072"/>
      <c r="AWQ1331" s="1072"/>
      <c r="AWR1331" s="1072"/>
      <c r="AWS1331" s="1072"/>
      <c r="AWT1331" s="1072"/>
      <c r="AWU1331" s="1072"/>
      <c r="AWV1331" s="1072"/>
      <c r="AWW1331" s="1072"/>
      <c r="AWX1331" s="1072"/>
      <c r="AWY1331" s="1072"/>
      <c r="AWZ1331" s="1072"/>
      <c r="AXA1331" s="1072"/>
      <c r="AXB1331" s="1072"/>
      <c r="AXC1331" s="1072"/>
      <c r="AXD1331" s="1072"/>
      <c r="AXE1331" s="1072"/>
      <c r="AXF1331" s="1072"/>
      <c r="AXG1331" s="1072"/>
      <c r="AXH1331" s="1072"/>
      <c r="AXI1331" s="1072"/>
      <c r="AXJ1331" s="1072"/>
      <c r="AXK1331" s="1072"/>
      <c r="AXL1331" s="1072"/>
      <c r="AXM1331" s="1072"/>
      <c r="AXN1331" s="1072"/>
      <c r="AXO1331" s="1072"/>
      <c r="AXP1331" s="1072"/>
      <c r="AXQ1331" s="1072"/>
      <c r="AXR1331" s="1072"/>
      <c r="AXS1331" s="1072"/>
      <c r="AXT1331" s="1072"/>
      <c r="AXU1331" s="1072"/>
      <c r="AXV1331" s="1072"/>
      <c r="AXW1331" s="1072"/>
      <c r="AXX1331" s="1072"/>
      <c r="AXY1331" s="1072"/>
      <c r="AXZ1331" s="1072"/>
      <c r="AYA1331" s="1072"/>
      <c r="AYB1331" s="1072"/>
      <c r="AYC1331" s="1072"/>
      <c r="AYD1331" s="1072"/>
      <c r="AYE1331" s="1072"/>
      <c r="AYF1331" s="1072"/>
      <c r="AYG1331" s="1072"/>
      <c r="AYH1331" s="1072"/>
      <c r="AYI1331" s="1072"/>
      <c r="AYJ1331" s="1072"/>
      <c r="AYK1331" s="1072"/>
      <c r="AYL1331" s="1072"/>
      <c r="AYM1331" s="1072"/>
      <c r="AYN1331" s="1072"/>
      <c r="AYO1331" s="1072"/>
      <c r="AYP1331" s="1072"/>
      <c r="AYQ1331" s="1072"/>
      <c r="AYR1331" s="1072"/>
      <c r="AYS1331" s="1072"/>
      <c r="AYT1331" s="1072"/>
      <c r="AYU1331" s="1072"/>
      <c r="AYV1331" s="1072"/>
      <c r="AYW1331" s="1072"/>
      <c r="AYX1331" s="1072"/>
      <c r="AYY1331" s="1072"/>
      <c r="AYZ1331" s="1072"/>
      <c r="AZA1331" s="1072"/>
      <c r="AZB1331" s="1072"/>
      <c r="AZC1331" s="1072"/>
      <c r="AZD1331" s="1072"/>
      <c r="AZE1331" s="1072"/>
      <c r="AZF1331" s="1072"/>
      <c r="AZG1331" s="1072"/>
      <c r="AZH1331" s="1072"/>
      <c r="AZI1331" s="1072"/>
      <c r="AZJ1331" s="1072"/>
      <c r="AZK1331" s="1072"/>
      <c r="AZL1331" s="1072"/>
      <c r="AZM1331" s="1072"/>
      <c r="AZN1331" s="1072"/>
      <c r="AZO1331" s="1072"/>
      <c r="AZP1331" s="1072"/>
      <c r="AZQ1331" s="1072"/>
      <c r="AZR1331" s="1072"/>
      <c r="AZS1331" s="1072"/>
      <c r="AZT1331" s="1072"/>
      <c r="AZU1331" s="1072"/>
      <c r="AZV1331" s="1072"/>
      <c r="AZW1331" s="1072"/>
      <c r="AZX1331" s="1072"/>
      <c r="AZY1331" s="1072"/>
      <c r="AZZ1331" s="1072"/>
      <c r="BAA1331" s="1072"/>
      <c r="BAB1331" s="1072"/>
      <c r="BAC1331" s="1072"/>
      <c r="BAD1331" s="1072"/>
      <c r="BAE1331" s="1072"/>
      <c r="BAF1331" s="1072"/>
      <c r="BAG1331" s="1072"/>
      <c r="BAH1331" s="1072"/>
      <c r="BAI1331" s="1072"/>
      <c r="BAJ1331" s="1072"/>
      <c r="BAK1331" s="1072"/>
      <c r="BAL1331" s="1072"/>
      <c r="BAM1331" s="1072"/>
      <c r="BAN1331" s="1072"/>
      <c r="BAO1331" s="1072"/>
      <c r="BAP1331" s="1072"/>
      <c r="BAQ1331" s="1072"/>
      <c r="BAR1331" s="1072"/>
      <c r="BAS1331" s="1072"/>
      <c r="BAT1331" s="1072"/>
      <c r="BAU1331" s="1072"/>
      <c r="BAV1331" s="1072"/>
      <c r="BAW1331" s="1072"/>
      <c r="BAX1331" s="1072"/>
      <c r="BAY1331" s="1072"/>
      <c r="BAZ1331" s="1072"/>
      <c r="BBA1331" s="1072"/>
      <c r="BBB1331" s="1072"/>
      <c r="BBC1331" s="1072"/>
      <c r="BBD1331" s="1072"/>
      <c r="BBE1331" s="1072"/>
      <c r="BBF1331" s="1072"/>
      <c r="BBG1331" s="1072"/>
      <c r="BBH1331" s="1072"/>
      <c r="BBI1331" s="1072"/>
      <c r="BBJ1331" s="1072"/>
      <c r="BBK1331" s="1072"/>
      <c r="BBL1331" s="1072"/>
      <c r="BBM1331" s="1072"/>
      <c r="BBN1331" s="1072"/>
      <c r="BBO1331" s="1072"/>
      <c r="BBP1331" s="1072"/>
      <c r="BBQ1331" s="1072"/>
      <c r="BBR1331" s="1072"/>
      <c r="BBS1331" s="1072"/>
      <c r="BBT1331" s="1072"/>
      <c r="BBU1331" s="1072"/>
      <c r="BBV1331" s="1072"/>
      <c r="BBW1331" s="1072"/>
      <c r="BBX1331" s="1072"/>
      <c r="BBY1331" s="1072"/>
      <c r="BBZ1331" s="1072"/>
      <c r="BCA1331" s="1072"/>
      <c r="BCB1331" s="1072"/>
      <c r="BCC1331" s="1072"/>
      <c r="BCD1331" s="1072"/>
      <c r="BCE1331" s="1072"/>
      <c r="BCF1331" s="1072"/>
      <c r="BCG1331" s="1072"/>
      <c r="BCH1331" s="1072"/>
      <c r="BCI1331" s="1072"/>
      <c r="BCJ1331" s="1072"/>
      <c r="BCK1331" s="1072"/>
      <c r="BCL1331" s="1072"/>
      <c r="BCM1331" s="1072"/>
      <c r="BCN1331" s="1072"/>
      <c r="BCO1331" s="1072"/>
      <c r="BCP1331" s="1072"/>
      <c r="BCQ1331" s="1072"/>
      <c r="BCR1331" s="1072"/>
      <c r="BCS1331" s="1072"/>
      <c r="BCT1331" s="1072"/>
      <c r="BCU1331" s="1072"/>
      <c r="BCV1331" s="1072"/>
      <c r="BCW1331" s="1072"/>
      <c r="BCX1331" s="1072"/>
      <c r="BCY1331" s="1072"/>
      <c r="BCZ1331" s="1072"/>
      <c r="BDA1331" s="1072"/>
      <c r="BDB1331" s="1072"/>
      <c r="BDC1331" s="1072"/>
      <c r="BDD1331" s="1072"/>
      <c r="BDE1331" s="1072"/>
      <c r="BDF1331" s="1072"/>
      <c r="BDG1331" s="1072"/>
      <c r="BDH1331" s="1072"/>
      <c r="BDI1331" s="1072"/>
      <c r="BDJ1331" s="1072"/>
      <c r="BDK1331" s="1072"/>
      <c r="BDL1331" s="1072"/>
      <c r="BDM1331" s="1072"/>
      <c r="BDN1331" s="1072"/>
      <c r="BDO1331" s="1072"/>
      <c r="BDP1331" s="1072"/>
      <c r="BDQ1331" s="1072"/>
      <c r="BDR1331" s="1072"/>
      <c r="BDS1331" s="1072"/>
      <c r="BDT1331" s="1072"/>
      <c r="BDU1331" s="1072"/>
      <c r="BDV1331" s="1072"/>
      <c r="BDW1331" s="1072"/>
      <c r="BDX1331" s="1072"/>
      <c r="BDY1331" s="1072"/>
      <c r="BDZ1331" s="1072"/>
      <c r="BEA1331" s="1072"/>
      <c r="BEB1331" s="1072"/>
      <c r="BEC1331" s="1072"/>
      <c r="BED1331" s="1072"/>
      <c r="BEE1331" s="1072"/>
      <c r="BEF1331" s="1072"/>
      <c r="BEG1331" s="1072"/>
      <c r="BEH1331" s="1072"/>
      <c r="BEI1331" s="1072"/>
      <c r="BEJ1331" s="1072"/>
      <c r="BEK1331" s="1072"/>
      <c r="BEL1331" s="1072"/>
      <c r="BEM1331" s="1072"/>
      <c r="BEN1331" s="1072"/>
      <c r="BEO1331" s="1072"/>
      <c r="BEP1331" s="1072"/>
      <c r="BEQ1331" s="1072"/>
      <c r="BER1331" s="1072"/>
      <c r="BES1331" s="1072"/>
      <c r="BET1331" s="1072"/>
      <c r="BEU1331" s="1072"/>
      <c r="BEV1331" s="1072"/>
      <c r="BEW1331" s="1072"/>
      <c r="BEX1331" s="1072"/>
      <c r="BEY1331" s="1072"/>
      <c r="BEZ1331" s="1072"/>
      <c r="BFA1331" s="1072"/>
      <c r="BFB1331" s="1072"/>
      <c r="BFC1331" s="1072"/>
      <c r="BFD1331" s="1072"/>
      <c r="BFE1331" s="1072"/>
      <c r="BFF1331" s="1072"/>
      <c r="BFG1331" s="1072"/>
      <c r="BFH1331" s="1072"/>
      <c r="BFI1331" s="1072"/>
      <c r="BFJ1331" s="1072"/>
      <c r="BFK1331" s="1072"/>
      <c r="BFL1331" s="1072"/>
      <c r="BFM1331" s="1072"/>
      <c r="BFN1331" s="1072"/>
      <c r="BFO1331" s="1072"/>
      <c r="BFP1331" s="1072"/>
      <c r="BFQ1331" s="1072"/>
      <c r="BFR1331" s="1072"/>
      <c r="BFS1331" s="1072"/>
      <c r="BFT1331" s="1072"/>
      <c r="BFU1331" s="1072"/>
      <c r="BFV1331" s="1072"/>
      <c r="BFW1331" s="1072"/>
      <c r="BFX1331" s="1072"/>
      <c r="BFY1331" s="1072"/>
      <c r="BFZ1331" s="1072"/>
      <c r="BGA1331" s="1072"/>
      <c r="BGB1331" s="1072"/>
      <c r="BGC1331" s="1072"/>
      <c r="BGD1331" s="1072"/>
      <c r="BGE1331" s="1072"/>
      <c r="BGF1331" s="1072"/>
      <c r="BGG1331" s="1072"/>
      <c r="BGH1331" s="1072"/>
      <c r="BGI1331" s="1072"/>
      <c r="BGJ1331" s="1072"/>
      <c r="BGK1331" s="1072"/>
      <c r="BGL1331" s="1072"/>
      <c r="BGM1331" s="1072"/>
      <c r="BGN1331" s="1072"/>
      <c r="BGO1331" s="1072"/>
      <c r="BGP1331" s="1072"/>
      <c r="BGQ1331" s="1072"/>
      <c r="BGR1331" s="1072"/>
      <c r="BGS1331" s="1072"/>
      <c r="BGT1331" s="1072"/>
      <c r="BGU1331" s="1072"/>
      <c r="BGV1331" s="1072"/>
      <c r="BGW1331" s="1072"/>
      <c r="BGX1331" s="1072"/>
      <c r="BGY1331" s="1072"/>
      <c r="BGZ1331" s="1072"/>
      <c r="BHA1331" s="1072"/>
      <c r="BHB1331" s="1072"/>
      <c r="BHC1331" s="1072"/>
      <c r="BHD1331" s="1072"/>
      <c r="BHE1331" s="1072"/>
      <c r="BHF1331" s="1072"/>
      <c r="BHG1331" s="1072"/>
      <c r="BHH1331" s="1072"/>
      <c r="BHI1331" s="1072"/>
      <c r="BHJ1331" s="1072"/>
      <c r="BHK1331" s="1072"/>
      <c r="BHL1331" s="1072"/>
      <c r="BHM1331" s="1072"/>
      <c r="BHN1331" s="1072"/>
      <c r="BHO1331" s="1072"/>
      <c r="BHP1331" s="1072"/>
      <c r="BHQ1331" s="1072"/>
      <c r="BHR1331" s="1072"/>
      <c r="BHS1331" s="1072"/>
      <c r="BHT1331" s="1072"/>
      <c r="BHU1331" s="1072"/>
      <c r="BHV1331" s="1072"/>
      <c r="BHW1331" s="1072"/>
      <c r="BHX1331" s="1072"/>
      <c r="BHY1331" s="1072"/>
      <c r="BHZ1331" s="1072"/>
      <c r="BIA1331" s="1072"/>
      <c r="BIB1331" s="1072"/>
      <c r="BIC1331" s="1072"/>
      <c r="BID1331" s="1072"/>
      <c r="BIE1331" s="1072"/>
      <c r="BIF1331" s="1072"/>
      <c r="BIG1331" s="1072"/>
      <c r="BIH1331" s="1072"/>
      <c r="BII1331" s="1072"/>
      <c r="BIJ1331" s="1072"/>
      <c r="BIK1331" s="1072"/>
      <c r="BIL1331" s="1072"/>
      <c r="BIM1331" s="1072"/>
      <c r="BIN1331" s="1072"/>
      <c r="BIO1331" s="1072"/>
      <c r="BIP1331" s="1072"/>
      <c r="BIQ1331" s="1072"/>
      <c r="BIR1331" s="1072"/>
      <c r="BIS1331" s="1072"/>
      <c r="BIT1331" s="1072"/>
      <c r="BIU1331" s="1072"/>
      <c r="BIV1331" s="1072"/>
      <c r="BIW1331" s="1072"/>
      <c r="BIX1331" s="1072"/>
      <c r="BIY1331" s="1072"/>
      <c r="BIZ1331" s="1072"/>
      <c r="BJA1331" s="1072"/>
      <c r="BJB1331" s="1072"/>
      <c r="BJC1331" s="1072"/>
      <c r="BJD1331" s="1072"/>
      <c r="BJE1331" s="1072"/>
      <c r="BJF1331" s="1072"/>
      <c r="BJG1331" s="1072"/>
      <c r="BJH1331" s="1072"/>
      <c r="BJI1331" s="1072"/>
      <c r="BJJ1331" s="1072"/>
      <c r="BJK1331" s="1072"/>
      <c r="BJL1331" s="1072"/>
      <c r="BJM1331" s="1072"/>
      <c r="BJN1331" s="1072"/>
      <c r="BJO1331" s="1072"/>
      <c r="BJP1331" s="1072"/>
      <c r="BJQ1331" s="1072"/>
      <c r="BJR1331" s="1072"/>
      <c r="BJS1331" s="1072"/>
      <c r="BJT1331" s="1072"/>
      <c r="BJU1331" s="1072"/>
      <c r="BJV1331" s="1072"/>
      <c r="BJW1331" s="1072"/>
      <c r="BJX1331" s="1072"/>
      <c r="BJY1331" s="1072"/>
      <c r="BJZ1331" s="1072"/>
      <c r="BKA1331" s="1072"/>
      <c r="BKB1331" s="1072"/>
      <c r="BKC1331" s="1072"/>
      <c r="BKD1331" s="1072"/>
      <c r="BKE1331" s="1072"/>
      <c r="BKF1331" s="1072"/>
      <c r="BKG1331" s="1072"/>
      <c r="BKH1331" s="1072"/>
      <c r="BKI1331" s="1072"/>
      <c r="BKJ1331" s="1072"/>
      <c r="BKK1331" s="1072"/>
      <c r="BKL1331" s="1072"/>
      <c r="BKM1331" s="1072"/>
      <c r="BKN1331" s="1072"/>
      <c r="BKO1331" s="1072"/>
      <c r="BKP1331" s="1072"/>
      <c r="BKQ1331" s="1072"/>
      <c r="BKR1331" s="1072"/>
      <c r="BKS1331" s="1072"/>
      <c r="BKT1331" s="1072"/>
      <c r="BKU1331" s="1072"/>
      <c r="BKV1331" s="1072"/>
      <c r="BKW1331" s="1072"/>
      <c r="BKX1331" s="1072"/>
      <c r="BKY1331" s="1072"/>
      <c r="BKZ1331" s="1072"/>
      <c r="BLA1331" s="1072"/>
      <c r="BLB1331" s="1072"/>
      <c r="BLC1331" s="1072"/>
      <c r="BLD1331" s="1072"/>
      <c r="BLE1331" s="1072"/>
      <c r="BLF1331" s="1072"/>
      <c r="BLG1331" s="1072"/>
      <c r="BLH1331" s="1072"/>
      <c r="BLI1331" s="1072"/>
      <c r="BLJ1331" s="1072"/>
      <c r="BLK1331" s="1072"/>
      <c r="BLL1331" s="1072"/>
      <c r="BLM1331" s="1072"/>
      <c r="BLN1331" s="1072"/>
      <c r="BLO1331" s="1072"/>
      <c r="BLP1331" s="1072"/>
      <c r="BLQ1331" s="1072"/>
      <c r="BLR1331" s="1072"/>
      <c r="BLS1331" s="1072"/>
      <c r="BLT1331" s="1072"/>
      <c r="BLU1331" s="1072"/>
      <c r="BLV1331" s="1072"/>
      <c r="BLW1331" s="1072"/>
      <c r="BLX1331" s="1072"/>
      <c r="BLY1331" s="1072"/>
      <c r="BLZ1331" s="1072"/>
      <c r="BMA1331" s="1072"/>
      <c r="BMB1331" s="1072"/>
      <c r="BMC1331" s="1072"/>
      <c r="BMD1331" s="1072"/>
      <c r="BME1331" s="1072"/>
      <c r="BMF1331" s="1072"/>
      <c r="BMG1331" s="1072"/>
      <c r="BMH1331" s="1072"/>
      <c r="BMI1331" s="1072"/>
      <c r="BMJ1331" s="1072"/>
      <c r="BMK1331" s="1072"/>
      <c r="BML1331" s="1072"/>
      <c r="BMM1331" s="1072"/>
      <c r="BMN1331" s="1072"/>
      <c r="BMO1331" s="1072"/>
      <c r="BMP1331" s="1072"/>
      <c r="BMQ1331" s="1072"/>
      <c r="BMR1331" s="1072"/>
      <c r="BMS1331" s="1072"/>
      <c r="BMT1331" s="1072"/>
      <c r="BMU1331" s="1072"/>
      <c r="BMV1331" s="1072"/>
      <c r="BMW1331" s="1072"/>
      <c r="BMX1331" s="1072"/>
      <c r="BMY1331" s="1072"/>
      <c r="BMZ1331" s="1072"/>
      <c r="BNA1331" s="1072"/>
      <c r="BNB1331" s="1072"/>
      <c r="BNC1331" s="1072"/>
      <c r="BND1331" s="1072"/>
      <c r="BNE1331" s="1072"/>
      <c r="BNF1331" s="1072"/>
      <c r="BNG1331" s="1072"/>
      <c r="BNH1331" s="1072"/>
      <c r="BNI1331" s="1072"/>
      <c r="BNJ1331" s="1072"/>
      <c r="BNK1331" s="1072"/>
      <c r="BNL1331" s="1072"/>
      <c r="BNM1331" s="1072"/>
      <c r="BNN1331" s="1072"/>
      <c r="BNO1331" s="1072"/>
      <c r="BNP1331" s="1072"/>
      <c r="BNQ1331" s="1072"/>
      <c r="BNR1331" s="1072"/>
      <c r="BNS1331" s="1072"/>
      <c r="BNT1331" s="1072"/>
      <c r="BNU1331" s="1072"/>
      <c r="BNV1331" s="1072"/>
      <c r="BNW1331" s="1072"/>
      <c r="BNX1331" s="1072"/>
      <c r="BNY1331" s="1072"/>
      <c r="BNZ1331" s="1072"/>
      <c r="BOA1331" s="1072"/>
      <c r="BOB1331" s="1072"/>
      <c r="BOC1331" s="1072"/>
      <c r="BOD1331" s="1072"/>
      <c r="BOE1331" s="1072"/>
      <c r="BOF1331" s="1072"/>
      <c r="BOG1331" s="1072"/>
      <c r="BOH1331" s="1072"/>
      <c r="BOI1331" s="1072"/>
      <c r="BOJ1331" s="1072"/>
      <c r="BOK1331" s="1072"/>
      <c r="BOL1331" s="1072"/>
      <c r="BOM1331" s="1072"/>
      <c r="BON1331" s="1072"/>
      <c r="BOO1331" s="1072"/>
      <c r="BOP1331" s="1072"/>
      <c r="BOQ1331" s="1072"/>
      <c r="BOR1331" s="1072"/>
      <c r="BOS1331" s="1072"/>
      <c r="BOT1331" s="1072"/>
      <c r="BOU1331" s="1072"/>
      <c r="BOV1331" s="1072"/>
      <c r="BOW1331" s="1072"/>
      <c r="BOX1331" s="1072"/>
      <c r="BOY1331" s="1072"/>
      <c r="BOZ1331" s="1072"/>
      <c r="BPA1331" s="1072"/>
      <c r="BPB1331" s="1072"/>
      <c r="BPC1331" s="1072"/>
      <c r="BPD1331" s="1072"/>
      <c r="BPE1331" s="1072"/>
      <c r="BPF1331" s="1072"/>
      <c r="BPG1331" s="1072"/>
      <c r="BPH1331" s="1072"/>
      <c r="BPI1331" s="1072"/>
      <c r="BPJ1331" s="1072"/>
      <c r="BPK1331" s="1072"/>
      <c r="BPL1331" s="1072"/>
      <c r="BPM1331" s="1072"/>
      <c r="BPN1331" s="1072"/>
      <c r="BPO1331" s="1072"/>
      <c r="BPP1331" s="1072"/>
      <c r="BPQ1331" s="1072"/>
      <c r="BPR1331" s="1072"/>
      <c r="BPS1331" s="1072"/>
      <c r="BPT1331" s="1072"/>
      <c r="BPU1331" s="1072"/>
      <c r="BPV1331" s="1072"/>
      <c r="BPW1331" s="1072"/>
      <c r="BPX1331" s="1072"/>
      <c r="BPY1331" s="1072"/>
      <c r="BPZ1331" s="1072"/>
      <c r="BQA1331" s="1072"/>
      <c r="BQB1331" s="1072"/>
      <c r="BQC1331" s="1072"/>
      <c r="BQD1331" s="1072"/>
      <c r="BQE1331" s="1072"/>
      <c r="BQF1331" s="1072"/>
      <c r="BQG1331" s="1072"/>
      <c r="BQH1331" s="1072"/>
      <c r="BQI1331" s="1072"/>
      <c r="BQJ1331" s="1072"/>
      <c r="BQK1331" s="1072"/>
      <c r="BQL1331" s="1072"/>
      <c r="BQM1331" s="1072"/>
      <c r="BQN1331" s="1072"/>
      <c r="BQO1331" s="1072"/>
      <c r="BQP1331" s="1072"/>
      <c r="BQQ1331" s="1072"/>
      <c r="BQR1331" s="1072"/>
      <c r="BQS1331" s="1072"/>
      <c r="BQT1331" s="1072"/>
      <c r="BQU1331" s="1072"/>
      <c r="BQV1331" s="1072"/>
      <c r="BQW1331" s="1072"/>
      <c r="BQX1331" s="1072"/>
      <c r="BQY1331" s="1072"/>
      <c r="BQZ1331" s="1072"/>
      <c r="BRA1331" s="1072"/>
      <c r="BRB1331" s="1072"/>
      <c r="BRC1331" s="1072"/>
      <c r="BRD1331" s="1072"/>
      <c r="BRE1331" s="1072"/>
      <c r="BRF1331" s="1072"/>
      <c r="BRG1331" s="1072"/>
      <c r="BRH1331" s="1072"/>
      <c r="BRI1331" s="1072"/>
      <c r="BRJ1331" s="1072"/>
      <c r="BRK1331" s="1072"/>
      <c r="BRL1331" s="1072"/>
      <c r="BRM1331" s="1072"/>
      <c r="BRN1331" s="1072"/>
      <c r="BRO1331" s="1072"/>
      <c r="BRP1331" s="1072"/>
      <c r="BRQ1331" s="1072"/>
      <c r="BRR1331" s="1072"/>
      <c r="BRS1331" s="1072"/>
      <c r="BRT1331" s="1072"/>
      <c r="BRU1331" s="1072"/>
      <c r="BRV1331" s="1072"/>
      <c r="BRW1331" s="1072"/>
      <c r="BRX1331" s="1072"/>
      <c r="BRY1331" s="1072"/>
      <c r="BRZ1331" s="1072"/>
      <c r="BSA1331" s="1072"/>
      <c r="BSB1331" s="1072"/>
      <c r="BSC1331" s="1072"/>
      <c r="BSD1331" s="1072"/>
      <c r="BSE1331" s="1072"/>
      <c r="BSF1331" s="1072"/>
      <c r="BSG1331" s="1072"/>
      <c r="BSH1331" s="1072"/>
      <c r="BSI1331" s="1072"/>
      <c r="BSJ1331" s="1072"/>
      <c r="BSK1331" s="1072"/>
      <c r="BSL1331" s="1072"/>
      <c r="BSM1331" s="1072"/>
      <c r="BSN1331" s="1072"/>
      <c r="BSO1331" s="1072"/>
      <c r="BSP1331" s="1072"/>
      <c r="BSQ1331" s="1072"/>
      <c r="BSR1331" s="1072"/>
      <c r="BSS1331" s="1072"/>
      <c r="BST1331" s="1072"/>
      <c r="BSU1331" s="1072"/>
      <c r="BSV1331" s="1072"/>
      <c r="BSW1331" s="1072"/>
      <c r="BSX1331" s="1072"/>
      <c r="BSY1331" s="1072"/>
      <c r="BSZ1331" s="1072"/>
      <c r="BTA1331" s="1072"/>
      <c r="BTB1331" s="1072"/>
      <c r="BTC1331" s="1072"/>
      <c r="BTD1331" s="1072"/>
      <c r="BTE1331" s="1072"/>
      <c r="BTF1331" s="1072"/>
      <c r="BTG1331" s="1072"/>
      <c r="BTH1331" s="1072"/>
      <c r="BTI1331" s="1072"/>
      <c r="BTJ1331" s="1072"/>
      <c r="BTK1331" s="1072"/>
      <c r="BTL1331" s="1072"/>
      <c r="BTM1331" s="1072"/>
      <c r="BTN1331" s="1072"/>
      <c r="BTO1331" s="1072"/>
      <c r="BTP1331" s="1072"/>
      <c r="BTQ1331" s="1072"/>
      <c r="BTR1331" s="1072"/>
      <c r="BTS1331" s="1072"/>
      <c r="BTT1331" s="1072"/>
      <c r="BTU1331" s="1072"/>
      <c r="BTV1331" s="1072"/>
      <c r="BTW1331" s="1072"/>
      <c r="BTX1331" s="1072"/>
      <c r="BTY1331" s="1072"/>
      <c r="BTZ1331" s="1072"/>
      <c r="BUA1331" s="1072"/>
      <c r="BUB1331" s="1072"/>
      <c r="BUC1331" s="1072"/>
      <c r="BUD1331" s="1072"/>
      <c r="BUE1331" s="1072"/>
      <c r="BUF1331" s="1072"/>
      <c r="BUG1331" s="1072"/>
      <c r="BUH1331" s="1072"/>
      <c r="BUI1331" s="1072"/>
      <c r="BUJ1331" s="1072"/>
      <c r="BUK1331" s="1072"/>
      <c r="BUL1331" s="1072"/>
      <c r="BUM1331" s="1072"/>
      <c r="BUN1331" s="1072"/>
      <c r="BUO1331" s="1072"/>
      <c r="BUP1331" s="1072"/>
      <c r="BUQ1331" s="1072"/>
      <c r="BUR1331" s="1072"/>
      <c r="BUS1331" s="1072"/>
      <c r="BUT1331" s="1072"/>
      <c r="BUU1331" s="1072"/>
      <c r="BUV1331" s="1072"/>
      <c r="BUW1331" s="1072"/>
      <c r="BUX1331" s="1072"/>
      <c r="BUY1331" s="1072"/>
      <c r="BUZ1331" s="1072"/>
      <c r="BVA1331" s="1072"/>
      <c r="BVB1331" s="1072"/>
      <c r="BVC1331" s="1072"/>
      <c r="BVD1331" s="1072"/>
      <c r="BVE1331" s="1072"/>
      <c r="BVF1331" s="1072"/>
      <c r="BVG1331" s="1072"/>
      <c r="BVH1331" s="1072"/>
      <c r="BVI1331" s="1072"/>
      <c r="BVJ1331" s="1072"/>
      <c r="BVK1331" s="1072"/>
      <c r="BVL1331" s="1072"/>
      <c r="BVM1331" s="1072"/>
      <c r="BVN1331" s="1072"/>
      <c r="BVO1331" s="1072"/>
      <c r="BVP1331" s="1072"/>
      <c r="BVQ1331" s="1072"/>
      <c r="BVR1331" s="1072"/>
      <c r="BVS1331" s="1072"/>
      <c r="BVT1331" s="1072"/>
      <c r="BVU1331" s="1072"/>
      <c r="BVV1331" s="1072"/>
      <c r="BVW1331" s="1072"/>
      <c r="BVX1331" s="1072"/>
      <c r="BVY1331" s="1072"/>
      <c r="BVZ1331" s="1072"/>
      <c r="BWA1331" s="1072"/>
      <c r="BWB1331" s="1072"/>
      <c r="BWC1331" s="1072"/>
      <c r="BWD1331" s="1072"/>
      <c r="BWE1331" s="1072"/>
      <c r="BWF1331" s="1072"/>
      <c r="BWG1331" s="1072"/>
      <c r="BWH1331" s="1072"/>
      <c r="BWI1331" s="1072"/>
      <c r="BWJ1331" s="1072"/>
      <c r="BWK1331" s="1072"/>
      <c r="BWL1331" s="1072"/>
      <c r="BWM1331" s="1072"/>
      <c r="BWN1331" s="1072"/>
      <c r="BWO1331" s="1072"/>
      <c r="BWP1331" s="1072"/>
      <c r="BWQ1331" s="1072"/>
      <c r="BWR1331" s="1072"/>
      <c r="BWS1331" s="1072"/>
      <c r="BWT1331" s="1072"/>
      <c r="BWU1331" s="1072"/>
      <c r="BWV1331" s="1072"/>
      <c r="BWW1331" s="1072"/>
      <c r="BWX1331" s="1072"/>
      <c r="BWY1331" s="1072"/>
      <c r="BWZ1331" s="1072"/>
      <c r="BXA1331" s="1072"/>
      <c r="BXB1331" s="1072"/>
      <c r="BXC1331" s="1072"/>
      <c r="BXD1331" s="1072"/>
      <c r="BXE1331" s="1072"/>
      <c r="BXF1331" s="1072"/>
      <c r="BXG1331" s="1072"/>
      <c r="BXH1331" s="1072"/>
      <c r="BXI1331" s="1072"/>
      <c r="BXJ1331" s="1072"/>
      <c r="BXK1331" s="1072"/>
      <c r="BXL1331" s="1072"/>
      <c r="BXM1331" s="1072"/>
      <c r="BXN1331" s="1072"/>
      <c r="BXO1331" s="1072"/>
      <c r="BXP1331" s="1072"/>
      <c r="BXQ1331" s="1072"/>
      <c r="BXR1331" s="1072"/>
      <c r="BXS1331" s="1072"/>
      <c r="BXT1331" s="1072"/>
      <c r="BXU1331" s="1072"/>
      <c r="BXV1331" s="1072"/>
      <c r="BXW1331" s="1072"/>
      <c r="BXX1331" s="1072"/>
      <c r="BXY1331" s="1072"/>
      <c r="BXZ1331" s="1072"/>
      <c r="BYA1331" s="1072"/>
      <c r="BYB1331" s="1072"/>
      <c r="BYC1331" s="1072"/>
      <c r="BYD1331" s="1072"/>
      <c r="BYE1331" s="1072"/>
      <c r="BYF1331" s="1072"/>
      <c r="BYG1331" s="1072"/>
      <c r="BYH1331" s="1072"/>
      <c r="BYI1331" s="1072"/>
      <c r="BYJ1331" s="1072"/>
      <c r="BYK1331" s="1072"/>
      <c r="BYL1331" s="1072"/>
      <c r="BYM1331" s="1072"/>
      <c r="BYN1331" s="1072"/>
      <c r="BYO1331" s="1072"/>
      <c r="BYP1331" s="1072"/>
      <c r="BYQ1331" s="1072"/>
      <c r="BYR1331" s="1072"/>
      <c r="BYS1331" s="1072"/>
      <c r="BYT1331" s="1072"/>
      <c r="BYU1331" s="1072"/>
      <c r="BYV1331" s="1072"/>
      <c r="BYW1331" s="1072"/>
      <c r="BYX1331" s="1072"/>
      <c r="BYY1331" s="1072"/>
      <c r="BYZ1331" s="1072"/>
      <c r="BZA1331" s="1072"/>
      <c r="BZB1331" s="1072"/>
      <c r="BZC1331" s="1072"/>
      <c r="BZD1331" s="1072"/>
      <c r="BZE1331" s="1072"/>
      <c r="BZF1331" s="1072"/>
      <c r="BZG1331" s="1072"/>
      <c r="BZH1331" s="1072"/>
      <c r="BZI1331" s="1072"/>
      <c r="BZJ1331" s="1072"/>
      <c r="BZK1331" s="1072"/>
      <c r="BZL1331" s="1072"/>
      <c r="BZM1331" s="1072"/>
      <c r="BZN1331" s="1072"/>
      <c r="BZO1331" s="1072"/>
      <c r="BZP1331" s="1072"/>
      <c r="BZQ1331" s="1072"/>
      <c r="BZR1331" s="1072"/>
      <c r="BZS1331" s="1072"/>
      <c r="BZT1331" s="1072"/>
      <c r="BZU1331" s="1072"/>
      <c r="BZV1331" s="1072"/>
      <c r="BZW1331" s="1072"/>
      <c r="BZX1331" s="1072"/>
      <c r="BZY1331" s="1072"/>
      <c r="BZZ1331" s="1072"/>
      <c r="CAA1331" s="1072"/>
      <c r="CAB1331" s="1072"/>
      <c r="CAC1331" s="1072"/>
      <c r="CAD1331" s="1072"/>
      <c r="CAE1331" s="1072"/>
      <c r="CAF1331" s="1072"/>
      <c r="CAG1331" s="1072"/>
      <c r="CAH1331" s="1072"/>
      <c r="CAI1331" s="1072"/>
      <c r="CAJ1331" s="1072"/>
      <c r="CAK1331" s="1072"/>
      <c r="CAL1331" s="1072"/>
      <c r="CAM1331" s="1072"/>
      <c r="CAN1331" s="1072"/>
      <c r="CAO1331" s="1072"/>
      <c r="CAP1331" s="1072"/>
      <c r="CAQ1331" s="1072"/>
      <c r="CAR1331" s="1072"/>
      <c r="CAS1331" s="1072"/>
      <c r="CAT1331" s="1072"/>
      <c r="CAU1331" s="1072"/>
      <c r="CAV1331" s="1072"/>
      <c r="CAW1331" s="1072"/>
      <c r="CAX1331" s="1072"/>
      <c r="CAY1331" s="1072"/>
      <c r="CAZ1331" s="1072"/>
      <c r="CBA1331" s="1072"/>
      <c r="CBB1331" s="1072"/>
      <c r="CBC1331" s="1072"/>
      <c r="CBD1331" s="1072"/>
      <c r="CBE1331" s="1072"/>
      <c r="CBF1331" s="1072"/>
      <c r="CBG1331" s="1072"/>
      <c r="CBH1331" s="1072"/>
      <c r="CBI1331" s="1072"/>
      <c r="CBJ1331" s="1072"/>
      <c r="CBK1331" s="1072"/>
      <c r="CBL1331" s="1072"/>
      <c r="CBM1331" s="1072"/>
      <c r="CBN1331" s="1072"/>
      <c r="CBO1331" s="1072"/>
      <c r="CBP1331" s="1072"/>
      <c r="CBQ1331" s="1072"/>
      <c r="CBR1331" s="1072"/>
      <c r="CBS1331" s="1072"/>
      <c r="CBT1331" s="1072"/>
      <c r="CBU1331" s="1072"/>
      <c r="CBV1331" s="1072"/>
      <c r="CBW1331" s="1072"/>
      <c r="CBX1331" s="1072"/>
      <c r="CBY1331" s="1072"/>
      <c r="CBZ1331" s="1072"/>
      <c r="CCA1331" s="1072"/>
      <c r="CCB1331" s="1072"/>
      <c r="CCC1331" s="1072"/>
      <c r="CCD1331" s="1072"/>
      <c r="CCE1331" s="1072"/>
      <c r="CCF1331" s="1072"/>
      <c r="CCG1331" s="1072"/>
      <c r="CCH1331" s="1072"/>
      <c r="CCI1331" s="1072"/>
      <c r="CCJ1331" s="1072"/>
      <c r="CCK1331" s="1072"/>
      <c r="CCL1331" s="1072"/>
      <c r="CCM1331" s="1072"/>
      <c r="CCN1331" s="1072"/>
      <c r="CCO1331" s="1072"/>
      <c r="CCP1331" s="1072"/>
      <c r="CCQ1331" s="1072"/>
      <c r="CCR1331" s="1072"/>
      <c r="CCS1331" s="1072"/>
      <c r="CCT1331" s="1072"/>
      <c r="CCU1331" s="1072"/>
      <c r="CCV1331" s="1072"/>
      <c r="CCW1331" s="1072"/>
      <c r="CCX1331" s="1072"/>
      <c r="CCY1331" s="1072"/>
      <c r="CCZ1331" s="1072"/>
      <c r="CDA1331" s="1072"/>
      <c r="CDB1331" s="1072"/>
      <c r="CDC1331" s="1072"/>
      <c r="CDD1331" s="1072"/>
      <c r="CDE1331" s="1072"/>
      <c r="CDF1331" s="1072"/>
      <c r="CDG1331" s="1072"/>
      <c r="CDH1331" s="1072"/>
      <c r="CDI1331" s="1072"/>
      <c r="CDJ1331" s="1072"/>
      <c r="CDK1331" s="1072"/>
      <c r="CDL1331" s="1072"/>
      <c r="CDM1331" s="1072"/>
      <c r="CDN1331" s="1072"/>
      <c r="CDO1331" s="1072"/>
      <c r="CDP1331" s="1072"/>
      <c r="CDQ1331" s="1072"/>
      <c r="CDR1331" s="1072"/>
      <c r="CDS1331" s="1072"/>
      <c r="CDT1331" s="1072"/>
      <c r="CDU1331" s="1072"/>
      <c r="CDV1331" s="1072"/>
      <c r="CDW1331" s="1072"/>
      <c r="CDX1331" s="1072"/>
      <c r="CDY1331" s="1072"/>
      <c r="CDZ1331" s="1072"/>
      <c r="CEA1331" s="1072"/>
      <c r="CEB1331" s="1072"/>
      <c r="CEC1331" s="1072"/>
      <c r="CED1331" s="1072"/>
      <c r="CEE1331" s="1072"/>
      <c r="CEF1331" s="1072"/>
      <c r="CEG1331" s="1072"/>
      <c r="CEH1331" s="1072"/>
      <c r="CEI1331" s="1072"/>
      <c r="CEJ1331" s="1072"/>
      <c r="CEK1331" s="1072"/>
      <c r="CEL1331" s="1072"/>
      <c r="CEM1331" s="1072"/>
      <c r="CEN1331" s="1072"/>
      <c r="CEO1331" s="1072"/>
      <c r="CEP1331" s="1072"/>
      <c r="CEQ1331" s="1072"/>
      <c r="CER1331" s="1072"/>
      <c r="CES1331" s="1072"/>
      <c r="CET1331" s="1072"/>
      <c r="CEU1331" s="1072"/>
      <c r="CEV1331" s="1072"/>
      <c r="CEW1331" s="1072"/>
      <c r="CEX1331" s="1072"/>
      <c r="CEY1331" s="1072"/>
      <c r="CEZ1331" s="1072"/>
      <c r="CFA1331" s="1072"/>
      <c r="CFB1331" s="1072"/>
      <c r="CFC1331" s="1072"/>
      <c r="CFD1331" s="1072"/>
      <c r="CFE1331" s="1072"/>
      <c r="CFF1331" s="1072"/>
      <c r="CFG1331" s="1072"/>
      <c r="CFH1331" s="1072"/>
      <c r="CFI1331" s="1072"/>
      <c r="CFJ1331" s="1072"/>
      <c r="CFK1331" s="1072"/>
      <c r="CFL1331" s="1072"/>
      <c r="CFM1331" s="1072"/>
      <c r="CFN1331" s="1072"/>
      <c r="CFO1331" s="1072"/>
      <c r="CFP1331" s="1072"/>
      <c r="CFQ1331" s="1072"/>
      <c r="CFR1331" s="1072"/>
      <c r="CFS1331" s="1072"/>
      <c r="CFT1331" s="1072"/>
      <c r="CFU1331" s="1072"/>
      <c r="CFV1331" s="1072"/>
      <c r="CFW1331" s="1072"/>
      <c r="CFX1331" s="1072"/>
      <c r="CFY1331" s="1072"/>
      <c r="CFZ1331" s="1072"/>
      <c r="CGA1331" s="1072"/>
      <c r="CGB1331" s="1072"/>
      <c r="CGC1331" s="1072"/>
      <c r="CGD1331" s="1072"/>
      <c r="CGE1331" s="1072"/>
      <c r="CGF1331" s="1072"/>
      <c r="CGG1331" s="1072"/>
      <c r="CGH1331" s="1072"/>
      <c r="CGI1331" s="1072"/>
      <c r="CGJ1331" s="1072"/>
      <c r="CGK1331" s="1072"/>
      <c r="CGL1331" s="1072"/>
      <c r="CGM1331" s="1072"/>
      <c r="CGN1331" s="1072"/>
      <c r="CGO1331" s="1072"/>
      <c r="CGP1331" s="1072"/>
      <c r="CGQ1331" s="1072"/>
      <c r="CGR1331" s="1072"/>
      <c r="CGS1331" s="1072"/>
      <c r="CGT1331" s="1072"/>
      <c r="CGU1331" s="1072"/>
      <c r="CGV1331" s="1072"/>
      <c r="CGW1331" s="1072"/>
      <c r="CGX1331" s="1072"/>
      <c r="CGY1331" s="1072"/>
      <c r="CGZ1331" s="1072"/>
      <c r="CHA1331" s="1072"/>
      <c r="CHB1331" s="1072"/>
      <c r="CHC1331" s="1072"/>
      <c r="CHD1331" s="1072"/>
      <c r="CHE1331" s="1072"/>
      <c r="CHF1331" s="1072"/>
      <c r="CHG1331" s="1072"/>
      <c r="CHH1331" s="1072"/>
      <c r="CHI1331" s="1072"/>
      <c r="CHJ1331" s="1072"/>
      <c r="CHK1331" s="1072"/>
      <c r="CHL1331" s="1072"/>
      <c r="CHM1331" s="1072"/>
      <c r="CHN1331" s="1072"/>
      <c r="CHO1331" s="1072"/>
      <c r="CHP1331" s="1072"/>
      <c r="CHQ1331" s="1072"/>
      <c r="CHR1331" s="1072"/>
      <c r="CHS1331" s="1072"/>
      <c r="CHT1331" s="1072"/>
      <c r="CHU1331" s="1072"/>
      <c r="CHV1331" s="1072"/>
      <c r="CHW1331" s="1072"/>
      <c r="CHX1331" s="1072"/>
      <c r="CHY1331" s="1072"/>
      <c r="CHZ1331" s="1072"/>
      <c r="CIA1331" s="1072"/>
      <c r="CIB1331" s="1072"/>
      <c r="CIC1331" s="1072"/>
      <c r="CID1331" s="1072"/>
      <c r="CIE1331" s="1072"/>
      <c r="CIF1331" s="1072"/>
      <c r="CIG1331" s="1072"/>
      <c r="CIH1331" s="1072"/>
      <c r="CII1331" s="1072"/>
      <c r="CIJ1331" s="1072"/>
      <c r="CIK1331" s="1072"/>
      <c r="CIL1331" s="1072"/>
      <c r="CIM1331" s="1072"/>
      <c r="CIN1331" s="1072"/>
      <c r="CIO1331" s="1072"/>
      <c r="CIP1331" s="1072"/>
      <c r="CIQ1331" s="1072"/>
      <c r="CIR1331" s="1072"/>
      <c r="CIS1331" s="1072"/>
      <c r="CIT1331" s="1072"/>
      <c r="CIU1331" s="1072"/>
      <c r="CIV1331" s="1072"/>
      <c r="CIW1331" s="1072"/>
      <c r="CIX1331" s="1072"/>
      <c r="CIY1331" s="1072"/>
      <c r="CIZ1331" s="1072"/>
      <c r="CJA1331" s="1072"/>
      <c r="CJB1331" s="1072"/>
      <c r="CJC1331" s="1072"/>
      <c r="CJD1331" s="1072"/>
      <c r="CJE1331" s="1072"/>
      <c r="CJF1331" s="1072"/>
      <c r="CJG1331" s="1072"/>
      <c r="CJH1331" s="1072"/>
      <c r="CJI1331" s="1072"/>
      <c r="CJJ1331" s="1072"/>
      <c r="CJK1331" s="1072"/>
      <c r="CJL1331" s="1072"/>
      <c r="CJM1331" s="1072"/>
      <c r="CJN1331" s="1072"/>
      <c r="CJO1331" s="1072"/>
      <c r="CJP1331" s="1072"/>
      <c r="CJQ1331" s="1072"/>
      <c r="CJR1331" s="1072"/>
      <c r="CJS1331" s="1072"/>
      <c r="CJT1331" s="1072"/>
      <c r="CJU1331" s="1072"/>
      <c r="CJV1331" s="1072"/>
      <c r="CJW1331" s="1072"/>
      <c r="CJX1331" s="1072"/>
      <c r="CJY1331" s="1072"/>
      <c r="CJZ1331" s="1072"/>
      <c r="CKA1331" s="1072"/>
      <c r="CKB1331" s="1072"/>
      <c r="CKC1331" s="1072"/>
      <c r="CKD1331" s="1072"/>
      <c r="CKE1331" s="1072"/>
      <c r="CKF1331" s="1072"/>
      <c r="CKG1331" s="1072"/>
      <c r="CKH1331" s="1072"/>
      <c r="CKI1331" s="1072"/>
      <c r="CKJ1331" s="1072"/>
      <c r="CKK1331" s="1072"/>
      <c r="CKL1331" s="1072"/>
      <c r="CKM1331" s="1072"/>
      <c r="CKN1331" s="1072"/>
      <c r="CKO1331" s="1072"/>
      <c r="CKP1331" s="1072"/>
      <c r="CKQ1331" s="1072"/>
      <c r="CKR1331" s="1072"/>
      <c r="CKS1331" s="1072"/>
      <c r="CKT1331" s="1072"/>
      <c r="CKU1331" s="1072"/>
      <c r="CKV1331" s="1072"/>
      <c r="CKW1331" s="1072"/>
      <c r="CKX1331" s="1072"/>
      <c r="CKY1331" s="1072"/>
      <c r="CKZ1331" s="1072"/>
      <c r="CLA1331" s="1072"/>
      <c r="CLB1331" s="1072"/>
      <c r="CLC1331" s="1072"/>
      <c r="CLD1331" s="1072"/>
      <c r="CLE1331" s="1072"/>
      <c r="CLF1331" s="1072"/>
      <c r="CLG1331" s="1072"/>
      <c r="CLH1331" s="1072"/>
      <c r="CLI1331" s="1072"/>
      <c r="CLJ1331" s="1072"/>
      <c r="CLK1331" s="1072"/>
      <c r="CLL1331" s="1072"/>
      <c r="CLM1331" s="1072"/>
      <c r="CLN1331" s="1072"/>
      <c r="CLO1331" s="1072"/>
      <c r="CLP1331" s="1072"/>
      <c r="CLQ1331" s="1072"/>
      <c r="CLR1331" s="1072"/>
      <c r="CLS1331" s="1072"/>
      <c r="CLT1331" s="1072"/>
      <c r="CLU1331" s="1072"/>
      <c r="CLV1331" s="1072"/>
      <c r="CLW1331" s="1072"/>
      <c r="CLX1331" s="1072"/>
      <c r="CLY1331" s="1072"/>
      <c r="CLZ1331" s="1072"/>
      <c r="CMA1331" s="1072"/>
      <c r="CMB1331" s="1072"/>
      <c r="CMC1331" s="1072"/>
      <c r="CMD1331" s="1072"/>
      <c r="CME1331" s="1072"/>
      <c r="CMF1331" s="1072"/>
      <c r="CMG1331" s="1072"/>
      <c r="CMH1331" s="1072"/>
      <c r="CMI1331" s="1072"/>
      <c r="CMJ1331" s="1072"/>
      <c r="CMK1331" s="1072"/>
      <c r="CML1331" s="1072"/>
      <c r="CMM1331" s="1072"/>
      <c r="CMN1331" s="1072"/>
      <c r="CMO1331" s="1072"/>
      <c r="CMP1331" s="1072"/>
      <c r="CMQ1331" s="1072"/>
      <c r="CMR1331" s="1072"/>
      <c r="CMS1331" s="1072"/>
      <c r="CMT1331" s="1072"/>
      <c r="CMU1331" s="1072"/>
      <c r="CMV1331" s="1072"/>
      <c r="CMW1331" s="1072"/>
      <c r="CMX1331" s="1072"/>
      <c r="CMY1331" s="1072"/>
      <c r="CMZ1331" s="1072"/>
      <c r="CNA1331" s="1072"/>
      <c r="CNB1331" s="1072"/>
      <c r="CNC1331" s="1072"/>
      <c r="CND1331" s="1072"/>
      <c r="CNE1331" s="1072"/>
      <c r="CNF1331" s="1072"/>
      <c r="CNG1331" s="1072"/>
      <c r="CNH1331" s="1072"/>
      <c r="CNI1331" s="1072"/>
      <c r="CNJ1331" s="1072"/>
      <c r="CNK1331" s="1072"/>
      <c r="CNL1331" s="1072"/>
      <c r="CNM1331" s="1072"/>
      <c r="CNN1331" s="1072"/>
      <c r="CNO1331" s="1072"/>
      <c r="CNP1331" s="1072"/>
      <c r="CNQ1331" s="1072"/>
      <c r="CNR1331" s="1072"/>
      <c r="CNS1331" s="1072"/>
      <c r="CNT1331" s="1072"/>
      <c r="CNU1331" s="1072"/>
      <c r="CNV1331" s="1072"/>
      <c r="CNW1331" s="1072"/>
      <c r="CNX1331" s="1072"/>
      <c r="CNY1331" s="1072"/>
      <c r="CNZ1331" s="1072"/>
      <c r="COA1331" s="1072"/>
      <c r="COB1331" s="1072"/>
      <c r="COC1331" s="1072"/>
      <c r="COD1331" s="1072"/>
      <c r="COE1331" s="1072"/>
      <c r="COF1331" s="1072"/>
      <c r="COG1331" s="1072"/>
      <c r="COH1331" s="1072"/>
      <c r="COI1331" s="1072"/>
      <c r="COJ1331" s="1072"/>
      <c r="COK1331" s="1072"/>
      <c r="COL1331" s="1072"/>
      <c r="COM1331" s="1072"/>
      <c r="CON1331" s="1072"/>
      <c r="COO1331" s="1072"/>
      <c r="COP1331" s="1072"/>
      <c r="COQ1331" s="1072"/>
      <c r="COR1331" s="1072"/>
      <c r="COS1331" s="1072"/>
      <c r="COT1331" s="1072"/>
      <c r="COU1331" s="1072"/>
      <c r="COV1331" s="1072"/>
      <c r="COW1331" s="1072"/>
      <c r="COX1331" s="1072"/>
      <c r="COY1331" s="1072"/>
      <c r="COZ1331" s="1072"/>
      <c r="CPA1331" s="1072"/>
      <c r="CPB1331" s="1072"/>
      <c r="CPC1331" s="1072"/>
      <c r="CPD1331" s="1072"/>
      <c r="CPE1331" s="1072"/>
      <c r="CPF1331" s="1072"/>
      <c r="CPG1331" s="1072"/>
      <c r="CPH1331" s="1072"/>
      <c r="CPI1331" s="1072"/>
      <c r="CPJ1331" s="1072"/>
      <c r="CPK1331" s="1072"/>
      <c r="CPL1331" s="1072"/>
      <c r="CPM1331" s="1072"/>
      <c r="CPN1331" s="1072"/>
      <c r="CPO1331" s="1072"/>
      <c r="CPP1331" s="1072"/>
      <c r="CPQ1331" s="1072"/>
      <c r="CPR1331" s="1072"/>
      <c r="CPS1331" s="1072"/>
      <c r="CPT1331" s="1072"/>
      <c r="CPU1331" s="1072"/>
      <c r="CPV1331" s="1072"/>
      <c r="CPW1331" s="1072"/>
      <c r="CPX1331" s="1072"/>
      <c r="CPY1331" s="1072"/>
      <c r="CPZ1331" s="1072"/>
      <c r="CQA1331" s="1072"/>
      <c r="CQB1331" s="1072"/>
      <c r="CQC1331" s="1072"/>
      <c r="CQD1331" s="1072"/>
      <c r="CQE1331" s="1072"/>
      <c r="CQF1331" s="1072"/>
      <c r="CQG1331" s="1072"/>
      <c r="CQH1331" s="1072"/>
      <c r="CQI1331" s="1072"/>
      <c r="CQJ1331" s="1072"/>
      <c r="CQK1331" s="1072"/>
      <c r="CQL1331" s="1072"/>
      <c r="CQM1331" s="1072"/>
      <c r="CQN1331" s="1072"/>
      <c r="CQO1331" s="1072"/>
      <c r="CQP1331" s="1072"/>
      <c r="CQQ1331" s="1072"/>
      <c r="CQR1331" s="1072"/>
      <c r="CQS1331" s="1072"/>
      <c r="CQT1331" s="1072"/>
      <c r="CQU1331" s="1072"/>
      <c r="CQV1331" s="1072"/>
      <c r="CQW1331" s="1072"/>
      <c r="CQX1331" s="1072"/>
      <c r="CQY1331" s="1072"/>
      <c r="CQZ1331" s="1072"/>
      <c r="CRA1331" s="1072"/>
      <c r="CRB1331" s="1072"/>
      <c r="CRC1331" s="1072"/>
      <c r="CRD1331" s="1072"/>
      <c r="CRE1331" s="1072"/>
      <c r="CRF1331" s="1072"/>
      <c r="CRG1331" s="1072"/>
      <c r="CRH1331" s="1072"/>
      <c r="CRI1331" s="1072"/>
      <c r="CRJ1331" s="1072"/>
      <c r="CRK1331" s="1072"/>
      <c r="CRL1331" s="1072"/>
      <c r="CRM1331" s="1072"/>
      <c r="CRN1331" s="1072"/>
      <c r="CRO1331" s="1072"/>
      <c r="CRP1331" s="1072"/>
      <c r="CRQ1331" s="1072"/>
      <c r="CRR1331" s="1072"/>
      <c r="CRS1331" s="1072"/>
      <c r="CRT1331" s="1072"/>
      <c r="CRU1331" s="1072"/>
      <c r="CRV1331" s="1072"/>
      <c r="CRW1331" s="1072"/>
      <c r="CRX1331" s="1072"/>
      <c r="CRY1331" s="1072"/>
      <c r="CRZ1331" s="1072"/>
      <c r="CSA1331" s="1072"/>
      <c r="CSB1331" s="1072"/>
      <c r="CSC1331" s="1072"/>
      <c r="CSD1331" s="1072"/>
      <c r="CSE1331" s="1072"/>
      <c r="CSF1331" s="1072"/>
      <c r="CSG1331" s="1072"/>
      <c r="CSH1331" s="1072"/>
      <c r="CSI1331" s="1072"/>
      <c r="CSJ1331" s="1072"/>
      <c r="CSK1331" s="1072"/>
      <c r="CSL1331" s="1072"/>
      <c r="CSM1331" s="1072"/>
      <c r="CSN1331" s="1072"/>
      <c r="CSO1331" s="1072"/>
      <c r="CSP1331" s="1072"/>
      <c r="CSQ1331" s="1072"/>
      <c r="CSR1331" s="1072"/>
      <c r="CSS1331" s="1072"/>
      <c r="CST1331" s="1072"/>
      <c r="CSU1331" s="1072"/>
      <c r="CSV1331" s="1072"/>
      <c r="CSW1331" s="1072"/>
      <c r="CSX1331" s="1072"/>
      <c r="CSY1331" s="1072"/>
      <c r="CSZ1331" s="1072"/>
      <c r="CTA1331" s="1072"/>
      <c r="CTB1331" s="1072"/>
      <c r="CTC1331" s="1072"/>
      <c r="CTD1331" s="1072"/>
      <c r="CTE1331" s="1072"/>
      <c r="CTF1331" s="1072"/>
      <c r="CTG1331" s="1072"/>
      <c r="CTH1331" s="1072"/>
      <c r="CTI1331" s="1072"/>
      <c r="CTJ1331" s="1072"/>
      <c r="CTK1331" s="1072"/>
      <c r="CTL1331" s="1072"/>
      <c r="CTM1331" s="1072"/>
      <c r="CTN1331" s="1072"/>
      <c r="CTO1331" s="1072"/>
      <c r="CTP1331" s="1072"/>
      <c r="CTQ1331" s="1072"/>
      <c r="CTR1331" s="1072"/>
      <c r="CTS1331" s="1072"/>
      <c r="CTT1331" s="1072"/>
      <c r="CTU1331" s="1072"/>
      <c r="CTV1331" s="1072"/>
      <c r="CTW1331" s="1072"/>
      <c r="CTX1331" s="1072"/>
      <c r="CTY1331" s="1072"/>
      <c r="CTZ1331" s="1072"/>
      <c r="CUA1331" s="1072"/>
      <c r="CUB1331" s="1072"/>
      <c r="CUC1331" s="1072"/>
      <c r="CUD1331" s="1072"/>
      <c r="CUE1331" s="1072"/>
      <c r="CUF1331" s="1072"/>
      <c r="CUG1331" s="1072"/>
      <c r="CUH1331" s="1072"/>
      <c r="CUI1331" s="1072"/>
      <c r="CUJ1331" s="1072"/>
      <c r="CUK1331" s="1072"/>
      <c r="CUL1331" s="1072"/>
      <c r="CUM1331" s="1072"/>
      <c r="CUN1331" s="1072"/>
      <c r="CUO1331" s="1072"/>
      <c r="CUP1331" s="1072"/>
      <c r="CUQ1331" s="1072"/>
      <c r="CUR1331" s="1072"/>
      <c r="CUS1331" s="1072"/>
      <c r="CUT1331" s="1072"/>
      <c r="CUU1331" s="1072"/>
      <c r="CUV1331" s="1072"/>
      <c r="CUW1331" s="1072"/>
      <c r="CUX1331" s="1072"/>
      <c r="CUY1331" s="1072"/>
      <c r="CUZ1331" s="1072"/>
      <c r="CVA1331" s="1072"/>
      <c r="CVB1331" s="1072"/>
      <c r="CVC1331" s="1072"/>
      <c r="CVD1331" s="1072"/>
      <c r="CVE1331" s="1072"/>
      <c r="CVF1331" s="1072"/>
      <c r="CVG1331" s="1072"/>
      <c r="CVH1331" s="1072"/>
      <c r="CVI1331" s="1072"/>
      <c r="CVJ1331" s="1072"/>
      <c r="CVK1331" s="1072"/>
      <c r="CVL1331" s="1072"/>
      <c r="CVM1331" s="1072"/>
      <c r="CVN1331" s="1072"/>
      <c r="CVO1331" s="1072"/>
      <c r="CVP1331" s="1072"/>
      <c r="CVQ1331" s="1072"/>
      <c r="CVR1331" s="1072"/>
      <c r="CVS1331" s="1072"/>
      <c r="CVT1331" s="1072"/>
      <c r="CVU1331" s="1072"/>
      <c r="CVV1331" s="1072"/>
      <c r="CVW1331" s="1072"/>
      <c r="CVX1331" s="1072"/>
      <c r="CVY1331" s="1072"/>
      <c r="CVZ1331" s="1072"/>
      <c r="CWA1331" s="1072"/>
      <c r="CWB1331" s="1072"/>
      <c r="CWC1331" s="1072"/>
      <c r="CWD1331" s="1072"/>
      <c r="CWE1331" s="1072"/>
      <c r="CWF1331" s="1072"/>
      <c r="CWG1331" s="1072"/>
      <c r="CWH1331" s="1072"/>
      <c r="CWI1331" s="1072"/>
      <c r="CWJ1331" s="1072"/>
      <c r="CWK1331" s="1072"/>
      <c r="CWL1331" s="1072"/>
      <c r="CWM1331" s="1072"/>
      <c r="CWN1331" s="1072"/>
      <c r="CWO1331" s="1072"/>
      <c r="CWP1331" s="1072"/>
      <c r="CWQ1331" s="1072"/>
      <c r="CWR1331" s="1072"/>
      <c r="CWS1331" s="1072"/>
      <c r="CWT1331" s="1072"/>
      <c r="CWU1331" s="1072"/>
      <c r="CWV1331" s="1072"/>
      <c r="CWW1331" s="1072"/>
      <c r="CWX1331" s="1072"/>
      <c r="CWY1331" s="1072"/>
      <c r="CWZ1331" s="1072"/>
      <c r="CXA1331" s="1072"/>
      <c r="CXB1331" s="1072"/>
      <c r="CXC1331" s="1072"/>
      <c r="CXD1331" s="1072"/>
      <c r="CXE1331" s="1072"/>
      <c r="CXF1331" s="1072"/>
      <c r="CXG1331" s="1072"/>
      <c r="CXH1331" s="1072"/>
      <c r="CXI1331" s="1072"/>
      <c r="CXJ1331" s="1072"/>
      <c r="CXK1331" s="1072"/>
      <c r="CXL1331" s="1072"/>
      <c r="CXM1331" s="1072"/>
      <c r="CXN1331" s="1072"/>
      <c r="CXO1331" s="1072"/>
      <c r="CXP1331" s="1072"/>
      <c r="CXQ1331" s="1072"/>
      <c r="CXR1331" s="1072"/>
      <c r="CXS1331" s="1072"/>
      <c r="CXT1331" s="1072"/>
      <c r="CXU1331" s="1072"/>
      <c r="CXV1331" s="1072"/>
      <c r="CXW1331" s="1072"/>
      <c r="CXX1331" s="1072"/>
      <c r="CXY1331" s="1072"/>
      <c r="CXZ1331" s="1072"/>
      <c r="CYA1331" s="1072"/>
      <c r="CYB1331" s="1072"/>
      <c r="CYC1331" s="1072"/>
      <c r="CYD1331" s="1072"/>
      <c r="CYE1331" s="1072"/>
      <c r="CYF1331" s="1072"/>
      <c r="CYG1331" s="1072"/>
      <c r="CYH1331" s="1072"/>
      <c r="CYI1331" s="1072"/>
      <c r="CYJ1331" s="1072"/>
      <c r="CYK1331" s="1072"/>
      <c r="CYL1331" s="1072"/>
      <c r="CYM1331" s="1072"/>
      <c r="CYN1331" s="1072"/>
      <c r="CYO1331" s="1072"/>
      <c r="CYP1331" s="1072"/>
      <c r="CYQ1331" s="1072"/>
      <c r="CYR1331" s="1072"/>
      <c r="CYS1331" s="1072"/>
      <c r="CYT1331" s="1072"/>
      <c r="CYU1331" s="1072"/>
      <c r="CYV1331" s="1072"/>
      <c r="CYW1331" s="1072"/>
      <c r="CYX1331" s="1072"/>
      <c r="CYY1331" s="1072"/>
      <c r="CYZ1331" s="1072"/>
      <c r="CZA1331" s="1072"/>
      <c r="CZB1331" s="1072"/>
      <c r="CZC1331" s="1072"/>
      <c r="CZD1331" s="1072"/>
      <c r="CZE1331" s="1072"/>
      <c r="CZF1331" s="1072"/>
      <c r="CZG1331" s="1072"/>
      <c r="CZH1331" s="1072"/>
      <c r="CZI1331" s="1072"/>
      <c r="CZJ1331" s="1072"/>
      <c r="CZK1331" s="1072"/>
      <c r="CZL1331" s="1072"/>
      <c r="CZM1331" s="1072"/>
      <c r="CZN1331" s="1072"/>
      <c r="CZO1331" s="1072"/>
      <c r="CZP1331" s="1072"/>
      <c r="CZQ1331" s="1072"/>
      <c r="CZR1331" s="1072"/>
      <c r="CZS1331" s="1072"/>
      <c r="CZT1331" s="1072"/>
      <c r="CZU1331" s="1072"/>
      <c r="CZV1331" s="1072"/>
      <c r="CZW1331" s="1072"/>
      <c r="CZX1331" s="1072"/>
      <c r="CZY1331" s="1072"/>
      <c r="CZZ1331" s="1072"/>
      <c r="DAA1331" s="1072"/>
      <c r="DAB1331" s="1072"/>
      <c r="DAC1331" s="1072"/>
      <c r="DAD1331" s="1072"/>
      <c r="DAE1331" s="1072"/>
      <c r="DAF1331" s="1072"/>
      <c r="DAG1331" s="1072"/>
      <c r="DAH1331" s="1072"/>
      <c r="DAI1331" s="1072"/>
      <c r="DAJ1331" s="1072"/>
      <c r="DAK1331" s="1072"/>
      <c r="DAL1331" s="1072"/>
      <c r="DAM1331" s="1072"/>
      <c r="DAN1331" s="1072"/>
      <c r="DAO1331" s="1072"/>
      <c r="DAP1331" s="1072"/>
      <c r="DAQ1331" s="1072"/>
      <c r="DAR1331" s="1072"/>
      <c r="DAS1331" s="1072"/>
      <c r="DAT1331" s="1072"/>
      <c r="DAU1331" s="1072"/>
      <c r="DAV1331" s="1072"/>
      <c r="DAW1331" s="1072"/>
      <c r="DAX1331" s="1072"/>
      <c r="DAY1331" s="1072"/>
      <c r="DAZ1331" s="1072"/>
      <c r="DBA1331" s="1072"/>
      <c r="DBB1331" s="1072"/>
      <c r="DBC1331" s="1072"/>
      <c r="DBD1331" s="1072"/>
      <c r="DBE1331" s="1072"/>
      <c r="DBF1331" s="1072"/>
      <c r="DBG1331" s="1072"/>
      <c r="DBH1331" s="1072"/>
      <c r="DBI1331" s="1072"/>
      <c r="DBJ1331" s="1072"/>
      <c r="DBK1331" s="1072"/>
      <c r="DBL1331" s="1072"/>
      <c r="DBM1331" s="1072"/>
      <c r="DBN1331" s="1072"/>
      <c r="DBO1331" s="1072"/>
      <c r="DBP1331" s="1072"/>
      <c r="DBQ1331" s="1072"/>
      <c r="DBR1331" s="1072"/>
      <c r="DBS1331" s="1072"/>
      <c r="DBT1331" s="1072"/>
      <c r="DBU1331" s="1072"/>
      <c r="DBV1331" s="1072"/>
      <c r="DBW1331" s="1072"/>
      <c r="DBX1331" s="1072"/>
      <c r="DBY1331" s="1072"/>
      <c r="DBZ1331" s="1072"/>
      <c r="DCA1331" s="1072"/>
      <c r="DCB1331" s="1072"/>
      <c r="DCC1331" s="1072"/>
      <c r="DCD1331" s="1072"/>
      <c r="DCE1331" s="1072"/>
      <c r="DCF1331" s="1072"/>
      <c r="DCG1331" s="1072"/>
      <c r="DCH1331" s="1072"/>
      <c r="DCI1331" s="1072"/>
      <c r="DCJ1331" s="1072"/>
      <c r="DCK1331" s="1072"/>
      <c r="DCL1331" s="1072"/>
      <c r="DCM1331" s="1072"/>
      <c r="DCN1331" s="1072"/>
      <c r="DCO1331" s="1072"/>
      <c r="DCP1331" s="1072"/>
      <c r="DCQ1331" s="1072"/>
      <c r="DCR1331" s="1072"/>
      <c r="DCS1331" s="1072"/>
      <c r="DCT1331" s="1072"/>
      <c r="DCU1331" s="1072"/>
      <c r="DCV1331" s="1072"/>
      <c r="DCW1331" s="1072"/>
      <c r="DCX1331" s="1072"/>
      <c r="DCY1331" s="1072"/>
      <c r="DCZ1331" s="1072"/>
      <c r="DDA1331" s="1072"/>
      <c r="DDB1331" s="1072"/>
      <c r="DDC1331" s="1072"/>
      <c r="DDD1331" s="1072"/>
      <c r="DDE1331" s="1072"/>
      <c r="DDF1331" s="1072"/>
      <c r="DDG1331" s="1072"/>
      <c r="DDH1331" s="1072"/>
      <c r="DDI1331" s="1072"/>
      <c r="DDJ1331" s="1072"/>
      <c r="DDK1331" s="1072"/>
      <c r="DDL1331" s="1072"/>
      <c r="DDM1331" s="1072"/>
      <c r="DDN1331" s="1072"/>
      <c r="DDO1331" s="1072"/>
      <c r="DDP1331" s="1072"/>
      <c r="DDQ1331" s="1072"/>
      <c r="DDR1331" s="1072"/>
      <c r="DDS1331" s="1072"/>
      <c r="DDT1331" s="1072"/>
      <c r="DDU1331" s="1072"/>
      <c r="DDV1331" s="1072"/>
      <c r="DDW1331" s="1072"/>
      <c r="DDX1331" s="1072"/>
      <c r="DDY1331" s="1072"/>
      <c r="DDZ1331" s="1072"/>
      <c r="DEA1331" s="1072"/>
      <c r="DEB1331" s="1072"/>
      <c r="DEC1331" s="1072"/>
      <c r="DED1331" s="1072"/>
      <c r="DEE1331" s="1072"/>
      <c r="DEF1331" s="1072"/>
      <c r="DEG1331" s="1072"/>
      <c r="DEH1331" s="1072"/>
      <c r="DEI1331" s="1072"/>
      <c r="DEJ1331" s="1072"/>
      <c r="DEK1331" s="1072"/>
      <c r="DEL1331" s="1072"/>
      <c r="DEM1331" s="1072"/>
      <c r="DEN1331" s="1072"/>
      <c r="DEO1331" s="1072"/>
      <c r="DEP1331" s="1072"/>
      <c r="DEQ1331" s="1072"/>
      <c r="DER1331" s="1072"/>
      <c r="DES1331" s="1072"/>
      <c r="DET1331" s="1072"/>
      <c r="DEU1331" s="1072"/>
      <c r="DEV1331" s="1072"/>
      <c r="DEW1331" s="1072"/>
      <c r="DEX1331" s="1072"/>
      <c r="DEY1331" s="1072"/>
      <c r="DEZ1331" s="1072"/>
      <c r="DFA1331" s="1072"/>
      <c r="DFB1331" s="1072"/>
      <c r="DFC1331" s="1072"/>
      <c r="DFD1331" s="1072"/>
      <c r="DFE1331" s="1072"/>
      <c r="DFF1331" s="1072"/>
      <c r="DFG1331" s="1072"/>
      <c r="DFH1331" s="1072"/>
      <c r="DFI1331" s="1072"/>
      <c r="DFJ1331" s="1072"/>
      <c r="DFK1331" s="1072"/>
      <c r="DFL1331" s="1072"/>
      <c r="DFM1331" s="1072"/>
      <c r="DFN1331" s="1072"/>
      <c r="DFO1331" s="1072"/>
      <c r="DFP1331" s="1072"/>
      <c r="DFQ1331" s="1072"/>
      <c r="DFR1331" s="1072"/>
      <c r="DFS1331" s="1072"/>
      <c r="DFT1331" s="1072"/>
      <c r="DFU1331" s="1072"/>
      <c r="DFV1331" s="1072"/>
      <c r="DFW1331" s="1072"/>
      <c r="DFX1331" s="1072"/>
      <c r="DFY1331" s="1072"/>
      <c r="DFZ1331" s="1072"/>
      <c r="DGA1331" s="1072"/>
      <c r="DGB1331" s="1072"/>
      <c r="DGC1331" s="1072"/>
      <c r="DGD1331" s="1072"/>
      <c r="DGE1331" s="1072"/>
      <c r="DGF1331" s="1072"/>
      <c r="DGG1331" s="1072"/>
      <c r="DGH1331" s="1072"/>
      <c r="DGI1331" s="1072"/>
      <c r="DGJ1331" s="1072"/>
      <c r="DGK1331" s="1072"/>
      <c r="DGL1331" s="1072"/>
      <c r="DGM1331" s="1072"/>
      <c r="DGN1331" s="1072"/>
      <c r="DGO1331" s="1072"/>
      <c r="DGP1331" s="1072"/>
      <c r="DGQ1331" s="1072"/>
      <c r="DGR1331" s="1072"/>
      <c r="DGS1331" s="1072"/>
      <c r="DGT1331" s="1072"/>
      <c r="DGU1331" s="1072"/>
      <c r="DGV1331" s="1072"/>
      <c r="DGW1331" s="1072"/>
      <c r="DGX1331" s="1072"/>
      <c r="DGY1331" s="1072"/>
      <c r="DGZ1331" s="1072"/>
      <c r="DHA1331" s="1072"/>
      <c r="DHB1331" s="1072"/>
      <c r="DHC1331" s="1072"/>
      <c r="DHD1331" s="1072"/>
      <c r="DHE1331" s="1072"/>
      <c r="DHF1331" s="1072"/>
      <c r="DHG1331" s="1072"/>
      <c r="DHH1331" s="1072"/>
      <c r="DHI1331" s="1072"/>
      <c r="DHJ1331" s="1072"/>
      <c r="DHK1331" s="1072"/>
      <c r="DHL1331" s="1072"/>
      <c r="DHM1331" s="1072"/>
      <c r="DHN1331" s="1072"/>
      <c r="DHO1331" s="1072"/>
      <c r="DHP1331" s="1072"/>
      <c r="DHQ1331" s="1072"/>
      <c r="DHR1331" s="1072"/>
      <c r="DHS1331" s="1072"/>
      <c r="DHT1331" s="1072"/>
      <c r="DHU1331" s="1072"/>
      <c r="DHV1331" s="1072"/>
      <c r="DHW1331" s="1072"/>
      <c r="DHX1331" s="1072"/>
      <c r="DHY1331" s="1072"/>
      <c r="DHZ1331" s="1072"/>
      <c r="DIA1331" s="1072"/>
      <c r="DIB1331" s="1072"/>
      <c r="DIC1331" s="1072"/>
      <c r="DID1331" s="1072"/>
      <c r="DIE1331" s="1072"/>
      <c r="DIF1331" s="1072"/>
      <c r="DIG1331" s="1072"/>
      <c r="DIH1331" s="1072"/>
      <c r="DII1331" s="1072"/>
      <c r="DIJ1331" s="1072"/>
      <c r="DIK1331" s="1072"/>
      <c r="DIL1331" s="1072"/>
      <c r="DIM1331" s="1072"/>
      <c r="DIN1331" s="1072"/>
      <c r="DIO1331" s="1072"/>
      <c r="DIP1331" s="1072"/>
      <c r="DIQ1331" s="1072"/>
      <c r="DIR1331" s="1072"/>
      <c r="DIS1331" s="1072"/>
      <c r="DIT1331" s="1072"/>
      <c r="DIU1331" s="1072"/>
      <c r="DIV1331" s="1072"/>
      <c r="DIW1331" s="1072"/>
      <c r="DIX1331" s="1072"/>
      <c r="DIY1331" s="1072"/>
      <c r="DIZ1331" s="1072"/>
      <c r="DJA1331" s="1072"/>
      <c r="DJB1331" s="1072"/>
      <c r="DJC1331" s="1072"/>
      <c r="DJD1331" s="1072"/>
      <c r="DJE1331" s="1072"/>
      <c r="DJF1331" s="1072"/>
      <c r="DJG1331" s="1072"/>
      <c r="DJH1331" s="1072"/>
      <c r="DJI1331" s="1072"/>
      <c r="DJJ1331" s="1072"/>
      <c r="DJK1331" s="1072"/>
      <c r="DJL1331" s="1072"/>
      <c r="DJM1331" s="1072"/>
      <c r="DJN1331" s="1072"/>
      <c r="DJO1331" s="1072"/>
      <c r="DJP1331" s="1072"/>
      <c r="DJQ1331" s="1072"/>
      <c r="DJR1331" s="1072"/>
      <c r="DJS1331" s="1072"/>
      <c r="DJT1331" s="1072"/>
      <c r="DJU1331" s="1072"/>
      <c r="DJV1331" s="1072"/>
      <c r="DJW1331" s="1072"/>
      <c r="DJX1331" s="1072"/>
      <c r="DJY1331" s="1072"/>
      <c r="DJZ1331" s="1072"/>
      <c r="DKA1331" s="1072"/>
      <c r="DKB1331" s="1072"/>
      <c r="DKC1331" s="1072"/>
      <c r="DKD1331" s="1072"/>
      <c r="DKE1331" s="1072"/>
      <c r="DKF1331" s="1072"/>
      <c r="DKG1331" s="1072"/>
      <c r="DKH1331" s="1072"/>
      <c r="DKI1331" s="1072"/>
      <c r="DKJ1331" s="1072"/>
      <c r="DKK1331" s="1072"/>
      <c r="DKL1331" s="1072"/>
      <c r="DKM1331" s="1072"/>
      <c r="DKN1331" s="1072"/>
      <c r="DKO1331" s="1072"/>
      <c r="DKP1331" s="1072"/>
      <c r="DKQ1331" s="1072"/>
      <c r="DKR1331" s="1072"/>
      <c r="DKS1331" s="1072"/>
      <c r="DKT1331" s="1072"/>
      <c r="DKU1331" s="1072"/>
      <c r="DKV1331" s="1072"/>
      <c r="DKW1331" s="1072"/>
      <c r="DKX1331" s="1072"/>
      <c r="DKY1331" s="1072"/>
      <c r="DKZ1331" s="1072"/>
      <c r="DLA1331" s="1072"/>
      <c r="DLB1331" s="1072"/>
      <c r="DLC1331" s="1072"/>
      <c r="DLD1331" s="1072"/>
      <c r="DLE1331" s="1072"/>
      <c r="DLF1331" s="1072"/>
      <c r="DLG1331" s="1072"/>
      <c r="DLH1331" s="1072"/>
      <c r="DLI1331" s="1072"/>
      <c r="DLJ1331" s="1072"/>
      <c r="DLK1331" s="1072"/>
      <c r="DLL1331" s="1072"/>
      <c r="DLM1331" s="1072"/>
      <c r="DLN1331" s="1072"/>
      <c r="DLO1331" s="1072"/>
      <c r="DLP1331" s="1072"/>
      <c r="DLQ1331" s="1072"/>
      <c r="DLR1331" s="1072"/>
      <c r="DLS1331" s="1072"/>
      <c r="DLT1331" s="1072"/>
      <c r="DLU1331" s="1072"/>
      <c r="DLV1331" s="1072"/>
      <c r="DLW1331" s="1072"/>
      <c r="DLX1331" s="1072"/>
      <c r="DLY1331" s="1072"/>
      <c r="DLZ1331" s="1072"/>
      <c r="DMA1331" s="1072"/>
      <c r="DMB1331" s="1072"/>
      <c r="DMC1331" s="1072"/>
      <c r="DMD1331" s="1072"/>
      <c r="DME1331" s="1072"/>
      <c r="DMF1331" s="1072"/>
      <c r="DMG1331" s="1072"/>
      <c r="DMH1331" s="1072"/>
      <c r="DMI1331" s="1072"/>
      <c r="DMJ1331" s="1072"/>
      <c r="DMK1331" s="1072"/>
      <c r="DML1331" s="1072"/>
      <c r="DMM1331" s="1072"/>
      <c r="DMN1331" s="1072"/>
      <c r="DMO1331" s="1072"/>
      <c r="DMP1331" s="1072"/>
      <c r="DMQ1331" s="1072"/>
      <c r="DMR1331" s="1072"/>
      <c r="DMS1331" s="1072"/>
      <c r="DMT1331" s="1072"/>
      <c r="DMU1331" s="1072"/>
      <c r="DMV1331" s="1072"/>
      <c r="DMW1331" s="1072"/>
      <c r="DMX1331" s="1072"/>
      <c r="DMY1331" s="1072"/>
      <c r="DMZ1331" s="1072"/>
      <c r="DNA1331" s="1072"/>
      <c r="DNB1331" s="1072"/>
      <c r="DNC1331" s="1072"/>
      <c r="DND1331" s="1072"/>
      <c r="DNE1331" s="1072"/>
      <c r="DNF1331" s="1072"/>
      <c r="DNG1331" s="1072"/>
      <c r="DNH1331" s="1072"/>
      <c r="DNI1331" s="1072"/>
      <c r="DNJ1331" s="1072"/>
      <c r="DNK1331" s="1072"/>
      <c r="DNL1331" s="1072"/>
      <c r="DNM1331" s="1072"/>
      <c r="DNN1331" s="1072"/>
      <c r="DNO1331" s="1072"/>
      <c r="DNP1331" s="1072"/>
      <c r="DNQ1331" s="1072"/>
      <c r="DNR1331" s="1072"/>
      <c r="DNS1331" s="1072"/>
      <c r="DNT1331" s="1072"/>
      <c r="DNU1331" s="1072"/>
      <c r="DNV1331" s="1072"/>
      <c r="DNW1331" s="1072"/>
      <c r="DNX1331" s="1072"/>
      <c r="DNY1331" s="1072"/>
      <c r="DNZ1331" s="1072"/>
      <c r="DOA1331" s="1072"/>
      <c r="DOB1331" s="1072"/>
      <c r="DOC1331" s="1072"/>
      <c r="DOD1331" s="1072"/>
      <c r="DOE1331" s="1072"/>
      <c r="DOF1331" s="1072"/>
      <c r="DOG1331" s="1072"/>
      <c r="DOH1331" s="1072"/>
      <c r="DOI1331" s="1072"/>
      <c r="DOJ1331" s="1072"/>
      <c r="DOK1331" s="1072"/>
      <c r="DOL1331" s="1072"/>
      <c r="DOM1331" s="1072"/>
      <c r="DON1331" s="1072"/>
      <c r="DOO1331" s="1072"/>
      <c r="DOP1331" s="1072"/>
      <c r="DOQ1331" s="1072"/>
      <c r="DOR1331" s="1072"/>
      <c r="DOS1331" s="1072"/>
      <c r="DOT1331" s="1072"/>
      <c r="DOU1331" s="1072"/>
      <c r="DOV1331" s="1072"/>
      <c r="DOW1331" s="1072"/>
      <c r="DOX1331" s="1072"/>
      <c r="DOY1331" s="1072"/>
      <c r="DOZ1331" s="1072"/>
      <c r="DPA1331" s="1072"/>
      <c r="DPB1331" s="1072"/>
      <c r="DPC1331" s="1072"/>
      <c r="DPD1331" s="1072"/>
      <c r="DPE1331" s="1072"/>
      <c r="DPF1331" s="1072"/>
      <c r="DPG1331" s="1072"/>
      <c r="DPH1331" s="1072"/>
      <c r="DPI1331" s="1072"/>
      <c r="DPJ1331" s="1072"/>
      <c r="DPK1331" s="1072"/>
      <c r="DPL1331" s="1072"/>
      <c r="DPM1331" s="1072"/>
      <c r="DPN1331" s="1072"/>
      <c r="DPO1331" s="1072"/>
      <c r="DPP1331" s="1072"/>
      <c r="DPQ1331" s="1072"/>
      <c r="DPR1331" s="1072"/>
      <c r="DPS1331" s="1072"/>
      <c r="DPT1331" s="1072"/>
      <c r="DPU1331" s="1072"/>
      <c r="DPV1331" s="1072"/>
      <c r="DPW1331" s="1072"/>
      <c r="DPX1331" s="1072"/>
      <c r="DPY1331" s="1072"/>
      <c r="DPZ1331" s="1072"/>
      <c r="DQA1331" s="1072"/>
      <c r="DQB1331" s="1072"/>
      <c r="DQC1331" s="1072"/>
      <c r="DQD1331" s="1072"/>
      <c r="DQE1331" s="1072"/>
      <c r="DQF1331" s="1072"/>
      <c r="DQG1331" s="1072"/>
      <c r="DQH1331" s="1072"/>
      <c r="DQI1331" s="1072"/>
      <c r="DQJ1331" s="1072"/>
      <c r="DQK1331" s="1072"/>
      <c r="DQL1331" s="1072"/>
      <c r="DQM1331" s="1072"/>
      <c r="DQN1331" s="1072"/>
      <c r="DQO1331" s="1072"/>
      <c r="DQP1331" s="1072"/>
      <c r="DQQ1331" s="1072"/>
      <c r="DQR1331" s="1072"/>
      <c r="DQS1331" s="1072"/>
      <c r="DQT1331" s="1072"/>
      <c r="DQU1331" s="1072"/>
      <c r="DQV1331" s="1072"/>
      <c r="DQW1331" s="1072"/>
      <c r="DQX1331" s="1072"/>
      <c r="DQY1331" s="1072"/>
      <c r="DQZ1331" s="1072"/>
      <c r="DRA1331" s="1072"/>
      <c r="DRB1331" s="1072"/>
      <c r="DRC1331" s="1072"/>
      <c r="DRD1331" s="1072"/>
      <c r="DRE1331" s="1072"/>
      <c r="DRF1331" s="1072"/>
      <c r="DRG1331" s="1072"/>
      <c r="DRH1331" s="1072"/>
      <c r="DRI1331" s="1072"/>
      <c r="DRJ1331" s="1072"/>
      <c r="DRK1331" s="1072"/>
      <c r="DRL1331" s="1072"/>
      <c r="DRM1331" s="1072"/>
      <c r="DRN1331" s="1072"/>
      <c r="DRO1331" s="1072"/>
      <c r="DRP1331" s="1072"/>
      <c r="DRQ1331" s="1072"/>
      <c r="DRR1331" s="1072"/>
      <c r="DRS1331" s="1072"/>
      <c r="DRT1331" s="1072"/>
      <c r="DRU1331" s="1072"/>
      <c r="DRV1331" s="1072"/>
      <c r="DRW1331" s="1072"/>
      <c r="DRX1331" s="1072"/>
      <c r="DRY1331" s="1072"/>
      <c r="DRZ1331" s="1072"/>
      <c r="DSA1331" s="1072"/>
      <c r="DSB1331" s="1072"/>
      <c r="DSC1331" s="1072"/>
      <c r="DSD1331" s="1072"/>
      <c r="DSE1331" s="1072"/>
      <c r="DSF1331" s="1072"/>
      <c r="DSG1331" s="1072"/>
      <c r="DSH1331" s="1072"/>
      <c r="DSI1331" s="1072"/>
      <c r="DSJ1331" s="1072"/>
      <c r="DSK1331" s="1072"/>
      <c r="DSL1331" s="1072"/>
      <c r="DSM1331" s="1072"/>
      <c r="DSN1331" s="1072"/>
      <c r="DSO1331" s="1072"/>
      <c r="DSP1331" s="1072"/>
      <c r="DSQ1331" s="1072"/>
      <c r="DSR1331" s="1072"/>
      <c r="DSS1331" s="1072"/>
      <c r="DST1331" s="1072"/>
      <c r="DSU1331" s="1072"/>
      <c r="DSV1331" s="1072"/>
      <c r="DSW1331" s="1072"/>
      <c r="DSX1331" s="1072"/>
      <c r="DSY1331" s="1072"/>
      <c r="DSZ1331" s="1072"/>
      <c r="DTA1331" s="1072"/>
      <c r="DTB1331" s="1072"/>
      <c r="DTC1331" s="1072"/>
      <c r="DTD1331" s="1072"/>
      <c r="DTE1331" s="1072"/>
      <c r="DTF1331" s="1072"/>
      <c r="DTG1331" s="1072"/>
      <c r="DTH1331" s="1072"/>
      <c r="DTI1331" s="1072"/>
      <c r="DTJ1331" s="1072"/>
      <c r="DTK1331" s="1072"/>
      <c r="DTL1331" s="1072"/>
      <c r="DTM1331" s="1072"/>
      <c r="DTN1331" s="1072"/>
      <c r="DTO1331" s="1072"/>
      <c r="DTP1331" s="1072"/>
      <c r="DTQ1331" s="1072"/>
      <c r="DTR1331" s="1072"/>
      <c r="DTS1331" s="1072"/>
      <c r="DTT1331" s="1072"/>
      <c r="DTU1331" s="1072"/>
      <c r="DTV1331" s="1072"/>
      <c r="DTW1331" s="1072"/>
      <c r="DTX1331" s="1072"/>
      <c r="DTY1331" s="1072"/>
      <c r="DTZ1331" s="1072"/>
      <c r="DUA1331" s="1072"/>
      <c r="DUB1331" s="1072"/>
      <c r="DUC1331" s="1072"/>
      <c r="DUD1331" s="1072"/>
      <c r="DUE1331" s="1072"/>
      <c r="DUF1331" s="1072"/>
      <c r="DUG1331" s="1072"/>
      <c r="DUH1331" s="1072"/>
      <c r="DUI1331" s="1072"/>
      <c r="DUJ1331" s="1072"/>
      <c r="DUK1331" s="1072"/>
      <c r="DUL1331" s="1072"/>
      <c r="DUM1331" s="1072"/>
      <c r="DUN1331" s="1072"/>
      <c r="DUO1331" s="1072"/>
      <c r="DUP1331" s="1072"/>
      <c r="DUQ1331" s="1072"/>
      <c r="DUR1331" s="1072"/>
      <c r="DUS1331" s="1072"/>
      <c r="DUT1331" s="1072"/>
      <c r="DUU1331" s="1072"/>
      <c r="DUV1331" s="1072"/>
      <c r="DUW1331" s="1072"/>
      <c r="DUX1331" s="1072"/>
      <c r="DUY1331" s="1072"/>
      <c r="DUZ1331" s="1072"/>
      <c r="DVA1331" s="1072"/>
      <c r="DVB1331" s="1072"/>
      <c r="DVC1331" s="1072"/>
      <c r="DVD1331" s="1072"/>
      <c r="DVE1331" s="1072"/>
      <c r="DVF1331" s="1072"/>
      <c r="DVG1331" s="1072"/>
      <c r="DVH1331" s="1072"/>
      <c r="DVI1331" s="1072"/>
      <c r="DVJ1331" s="1072"/>
      <c r="DVK1331" s="1072"/>
      <c r="DVL1331" s="1072"/>
      <c r="DVM1331" s="1072"/>
      <c r="DVN1331" s="1072"/>
      <c r="DVO1331" s="1072"/>
      <c r="DVP1331" s="1072"/>
      <c r="DVQ1331" s="1072"/>
      <c r="DVR1331" s="1072"/>
      <c r="DVS1331" s="1072"/>
      <c r="DVT1331" s="1072"/>
      <c r="DVU1331" s="1072"/>
      <c r="DVV1331" s="1072"/>
      <c r="DVW1331" s="1072"/>
      <c r="DVX1331" s="1072"/>
      <c r="DVY1331" s="1072"/>
      <c r="DVZ1331" s="1072"/>
      <c r="DWA1331" s="1072"/>
      <c r="DWB1331" s="1072"/>
      <c r="DWC1331" s="1072"/>
      <c r="DWD1331" s="1072"/>
      <c r="DWE1331" s="1072"/>
      <c r="DWF1331" s="1072"/>
      <c r="DWG1331" s="1072"/>
      <c r="DWH1331" s="1072"/>
      <c r="DWI1331" s="1072"/>
      <c r="DWJ1331" s="1072"/>
      <c r="DWK1331" s="1072"/>
      <c r="DWL1331" s="1072"/>
      <c r="DWM1331" s="1072"/>
      <c r="DWN1331" s="1072"/>
      <c r="DWO1331" s="1072"/>
      <c r="DWP1331" s="1072"/>
      <c r="DWQ1331" s="1072"/>
      <c r="DWR1331" s="1072"/>
      <c r="DWS1331" s="1072"/>
      <c r="DWT1331" s="1072"/>
      <c r="DWU1331" s="1072"/>
      <c r="DWV1331" s="1072"/>
      <c r="DWW1331" s="1072"/>
      <c r="DWX1331" s="1072"/>
      <c r="DWY1331" s="1072"/>
      <c r="DWZ1331" s="1072"/>
      <c r="DXA1331" s="1072"/>
      <c r="DXB1331" s="1072"/>
      <c r="DXC1331" s="1072"/>
      <c r="DXD1331" s="1072"/>
      <c r="DXE1331" s="1072"/>
      <c r="DXF1331" s="1072"/>
      <c r="DXG1331" s="1072"/>
      <c r="DXH1331" s="1072"/>
      <c r="DXI1331" s="1072"/>
      <c r="DXJ1331" s="1072"/>
      <c r="DXK1331" s="1072"/>
      <c r="DXL1331" s="1072"/>
      <c r="DXM1331" s="1072"/>
      <c r="DXN1331" s="1072"/>
      <c r="DXO1331" s="1072"/>
      <c r="DXP1331" s="1072"/>
      <c r="DXQ1331" s="1072"/>
      <c r="DXR1331" s="1072"/>
      <c r="DXS1331" s="1072"/>
      <c r="DXT1331" s="1072"/>
      <c r="DXU1331" s="1072"/>
      <c r="DXV1331" s="1072"/>
      <c r="DXW1331" s="1072"/>
      <c r="DXX1331" s="1072"/>
      <c r="DXY1331" s="1072"/>
      <c r="DXZ1331" s="1072"/>
      <c r="DYA1331" s="1072"/>
      <c r="DYB1331" s="1072"/>
      <c r="DYC1331" s="1072"/>
      <c r="DYD1331" s="1072"/>
      <c r="DYE1331" s="1072"/>
      <c r="DYF1331" s="1072"/>
      <c r="DYG1331" s="1072"/>
      <c r="DYH1331" s="1072"/>
      <c r="DYI1331" s="1072"/>
      <c r="DYJ1331" s="1072"/>
      <c r="DYK1331" s="1072"/>
      <c r="DYL1331" s="1072"/>
      <c r="DYM1331" s="1072"/>
      <c r="DYN1331" s="1072"/>
      <c r="DYO1331" s="1072"/>
      <c r="DYP1331" s="1072"/>
      <c r="DYQ1331" s="1072"/>
      <c r="DYR1331" s="1072"/>
      <c r="DYS1331" s="1072"/>
      <c r="DYT1331" s="1072"/>
      <c r="DYU1331" s="1072"/>
      <c r="DYV1331" s="1072"/>
      <c r="DYW1331" s="1072"/>
      <c r="DYX1331" s="1072"/>
      <c r="DYY1331" s="1072"/>
      <c r="DYZ1331" s="1072"/>
      <c r="DZA1331" s="1072"/>
      <c r="DZB1331" s="1072"/>
      <c r="DZC1331" s="1072"/>
      <c r="DZD1331" s="1072"/>
      <c r="DZE1331" s="1072"/>
      <c r="DZF1331" s="1072"/>
      <c r="DZG1331" s="1072"/>
      <c r="DZH1331" s="1072"/>
      <c r="DZI1331" s="1072"/>
      <c r="DZJ1331" s="1072"/>
      <c r="DZK1331" s="1072"/>
      <c r="DZL1331" s="1072"/>
      <c r="DZM1331" s="1072"/>
      <c r="DZN1331" s="1072"/>
      <c r="DZO1331" s="1072"/>
      <c r="DZP1331" s="1072"/>
      <c r="DZQ1331" s="1072"/>
      <c r="DZR1331" s="1072"/>
      <c r="DZS1331" s="1072"/>
      <c r="DZT1331" s="1072"/>
      <c r="DZU1331" s="1072"/>
      <c r="DZV1331" s="1072"/>
      <c r="DZW1331" s="1072"/>
      <c r="DZX1331" s="1072"/>
      <c r="DZY1331" s="1072"/>
      <c r="DZZ1331" s="1072"/>
      <c r="EAA1331" s="1072"/>
      <c r="EAB1331" s="1072"/>
      <c r="EAC1331" s="1072"/>
      <c r="EAD1331" s="1072"/>
      <c r="EAE1331" s="1072"/>
      <c r="EAF1331" s="1072"/>
      <c r="EAG1331" s="1072"/>
      <c r="EAH1331" s="1072"/>
      <c r="EAI1331" s="1072"/>
      <c r="EAJ1331" s="1072"/>
      <c r="EAK1331" s="1072"/>
      <c r="EAL1331" s="1072"/>
      <c r="EAM1331" s="1072"/>
      <c r="EAN1331" s="1072"/>
      <c r="EAO1331" s="1072"/>
      <c r="EAP1331" s="1072"/>
      <c r="EAQ1331" s="1072"/>
      <c r="EAR1331" s="1072"/>
      <c r="EAS1331" s="1072"/>
      <c r="EAT1331" s="1072"/>
      <c r="EAU1331" s="1072"/>
      <c r="EAV1331" s="1072"/>
      <c r="EAW1331" s="1072"/>
      <c r="EAX1331" s="1072"/>
      <c r="EAY1331" s="1072"/>
      <c r="EAZ1331" s="1072"/>
      <c r="EBA1331" s="1072"/>
      <c r="EBB1331" s="1072"/>
      <c r="EBC1331" s="1072"/>
      <c r="EBD1331" s="1072"/>
      <c r="EBE1331" s="1072"/>
      <c r="EBF1331" s="1072"/>
      <c r="EBG1331" s="1072"/>
      <c r="EBH1331" s="1072"/>
      <c r="EBI1331" s="1072"/>
      <c r="EBJ1331" s="1072"/>
      <c r="EBK1331" s="1072"/>
      <c r="EBL1331" s="1072"/>
      <c r="EBM1331" s="1072"/>
      <c r="EBN1331" s="1072"/>
      <c r="EBO1331" s="1072"/>
      <c r="EBP1331" s="1072"/>
      <c r="EBQ1331" s="1072"/>
      <c r="EBR1331" s="1072"/>
      <c r="EBS1331" s="1072"/>
      <c r="EBT1331" s="1072"/>
      <c r="EBU1331" s="1072"/>
      <c r="EBV1331" s="1072"/>
      <c r="EBW1331" s="1072"/>
      <c r="EBX1331" s="1072"/>
      <c r="EBY1331" s="1072"/>
      <c r="EBZ1331" s="1072"/>
      <c r="ECA1331" s="1072"/>
      <c r="ECB1331" s="1072"/>
      <c r="ECC1331" s="1072"/>
      <c r="ECD1331" s="1072"/>
      <c r="ECE1331" s="1072"/>
      <c r="ECF1331" s="1072"/>
      <c r="ECG1331" s="1072"/>
      <c r="ECH1331" s="1072"/>
      <c r="ECI1331" s="1072"/>
      <c r="ECJ1331" s="1072"/>
      <c r="ECK1331" s="1072"/>
      <c r="ECL1331" s="1072"/>
      <c r="ECM1331" s="1072"/>
      <c r="ECN1331" s="1072"/>
      <c r="ECO1331" s="1072"/>
      <c r="ECP1331" s="1072"/>
      <c r="ECQ1331" s="1072"/>
      <c r="ECR1331" s="1072"/>
      <c r="ECS1331" s="1072"/>
      <c r="ECT1331" s="1072"/>
      <c r="ECU1331" s="1072"/>
      <c r="ECV1331" s="1072"/>
      <c r="ECW1331" s="1072"/>
      <c r="ECX1331" s="1072"/>
      <c r="ECY1331" s="1072"/>
      <c r="ECZ1331" s="1072"/>
      <c r="EDA1331" s="1072"/>
      <c r="EDB1331" s="1072"/>
      <c r="EDC1331" s="1072"/>
      <c r="EDD1331" s="1072"/>
      <c r="EDE1331" s="1072"/>
      <c r="EDF1331" s="1072"/>
      <c r="EDG1331" s="1072"/>
      <c r="EDH1331" s="1072"/>
      <c r="EDI1331" s="1072"/>
      <c r="EDJ1331" s="1072"/>
      <c r="EDK1331" s="1072"/>
      <c r="EDL1331" s="1072"/>
      <c r="EDM1331" s="1072"/>
      <c r="EDN1331" s="1072"/>
      <c r="EDO1331" s="1072"/>
      <c r="EDP1331" s="1072"/>
      <c r="EDQ1331" s="1072"/>
      <c r="EDR1331" s="1072"/>
      <c r="EDS1331" s="1072"/>
      <c r="EDT1331" s="1072"/>
      <c r="EDU1331" s="1072"/>
      <c r="EDV1331" s="1072"/>
      <c r="EDW1331" s="1072"/>
      <c r="EDX1331" s="1072"/>
      <c r="EDY1331" s="1072"/>
      <c r="EDZ1331" s="1072"/>
      <c r="EEA1331" s="1072"/>
      <c r="EEB1331" s="1072"/>
      <c r="EEC1331" s="1072"/>
      <c r="EED1331" s="1072"/>
      <c r="EEE1331" s="1072"/>
      <c r="EEF1331" s="1072"/>
      <c r="EEG1331" s="1072"/>
      <c r="EEH1331" s="1072"/>
      <c r="EEI1331" s="1072"/>
      <c r="EEJ1331" s="1072"/>
      <c r="EEK1331" s="1072"/>
      <c r="EEL1331" s="1072"/>
      <c r="EEM1331" s="1072"/>
      <c r="EEN1331" s="1072"/>
      <c r="EEO1331" s="1072"/>
      <c r="EEP1331" s="1072"/>
      <c r="EEQ1331" s="1072"/>
      <c r="EER1331" s="1072"/>
      <c r="EES1331" s="1072"/>
      <c r="EET1331" s="1072"/>
      <c r="EEU1331" s="1072"/>
      <c r="EEV1331" s="1072"/>
      <c r="EEW1331" s="1072"/>
      <c r="EEX1331" s="1072"/>
      <c r="EEY1331" s="1072"/>
      <c r="EEZ1331" s="1072"/>
      <c r="EFA1331" s="1072"/>
      <c r="EFB1331" s="1072"/>
      <c r="EFC1331" s="1072"/>
      <c r="EFD1331" s="1072"/>
      <c r="EFE1331" s="1072"/>
      <c r="EFF1331" s="1072"/>
      <c r="EFG1331" s="1072"/>
      <c r="EFH1331" s="1072"/>
      <c r="EFI1331" s="1072"/>
      <c r="EFJ1331" s="1072"/>
      <c r="EFK1331" s="1072"/>
      <c r="EFL1331" s="1072"/>
      <c r="EFM1331" s="1072"/>
      <c r="EFN1331" s="1072"/>
      <c r="EFO1331" s="1072"/>
      <c r="EFP1331" s="1072"/>
      <c r="EFQ1331" s="1072"/>
      <c r="EFR1331" s="1072"/>
      <c r="EFS1331" s="1072"/>
      <c r="EFT1331" s="1072"/>
      <c r="EFU1331" s="1072"/>
      <c r="EFV1331" s="1072"/>
      <c r="EFW1331" s="1072"/>
      <c r="EFX1331" s="1072"/>
      <c r="EFY1331" s="1072"/>
      <c r="EFZ1331" s="1072"/>
      <c r="EGA1331" s="1072"/>
      <c r="EGB1331" s="1072"/>
      <c r="EGC1331" s="1072"/>
      <c r="EGD1331" s="1072"/>
      <c r="EGE1331" s="1072"/>
      <c r="EGF1331" s="1072"/>
      <c r="EGG1331" s="1072"/>
      <c r="EGH1331" s="1072"/>
      <c r="EGI1331" s="1072"/>
      <c r="EGJ1331" s="1072"/>
      <c r="EGK1331" s="1072"/>
      <c r="EGL1331" s="1072"/>
      <c r="EGM1331" s="1072"/>
      <c r="EGN1331" s="1072"/>
      <c r="EGO1331" s="1072"/>
      <c r="EGP1331" s="1072"/>
      <c r="EGQ1331" s="1072"/>
      <c r="EGR1331" s="1072"/>
      <c r="EGS1331" s="1072"/>
      <c r="EGT1331" s="1072"/>
      <c r="EGU1331" s="1072"/>
      <c r="EGV1331" s="1072"/>
      <c r="EGW1331" s="1072"/>
      <c r="EGX1331" s="1072"/>
      <c r="EGY1331" s="1072"/>
      <c r="EGZ1331" s="1072"/>
      <c r="EHA1331" s="1072"/>
      <c r="EHB1331" s="1072"/>
      <c r="EHC1331" s="1072"/>
      <c r="EHD1331" s="1072"/>
      <c r="EHE1331" s="1072"/>
      <c r="EHF1331" s="1072"/>
      <c r="EHG1331" s="1072"/>
      <c r="EHH1331" s="1072"/>
      <c r="EHI1331" s="1072"/>
      <c r="EHJ1331" s="1072"/>
      <c r="EHK1331" s="1072"/>
      <c r="EHL1331" s="1072"/>
      <c r="EHM1331" s="1072"/>
      <c r="EHN1331" s="1072"/>
      <c r="EHO1331" s="1072"/>
      <c r="EHP1331" s="1072"/>
      <c r="EHQ1331" s="1072"/>
      <c r="EHR1331" s="1072"/>
      <c r="EHS1331" s="1072"/>
      <c r="EHT1331" s="1072"/>
      <c r="EHU1331" s="1072"/>
      <c r="EHV1331" s="1072"/>
      <c r="EHW1331" s="1072"/>
      <c r="EHX1331" s="1072"/>
      <c r="EHY1331" s="1072"/>
      <c r="EHZ1331" s="1072"/>
      <c r="EIA1331" s="1072"/>
      <c r="EIB1331" s="1072"/>
      <c r="EIC1331" s="1072"/>
      <c r="EID1331" s="1072"/>
      <c r="EIE1331" s="1072"/>
      <c r="EIF1331" s="1072"/>
      <c r="EIG1331" s="1072"/>
      <c r="EIH1331" s="1072"/>
      <c r="EII1331" s="1072"/>
      <c r="EIJ1331" s="1072"/>
      <c r="EIK1331" s="1072"/>
      <c r="EIL1331" s="1072"/>
      <c r="EIM1331" s="1072"/>
      <c r="EIN1331" s="1072"/>
      <c r="EIO1331" s="1072"/>
      <c r="EIP1331" s="1072"/>
      <c r="EIQ1331" s="1072"/>
      <c r="EIR1331" s="1072"/>
      <c r="EIS1331" s="1072"/>
      <c r="EIT1331" s="1072"/>
      <c r="EIU1331" s="1072"/>
      <c r="EIV1331" s="1072"/>
      <c r="EIW1331" s="1072"/>
      <c r="EIX1331" s="1072"/>
      <c r="EIY1331" s="1072"/>
      <c r="EIZ1331" s="1072"/>
      <c r="EJA1331" s="1072"/>
      <c r="EJB1331" s="1072"/>
      <c r="EJC1331" s="1072"/>
      <c r="EJD1331" s="1072"/>
      <c r="EJE1331" s="1072"/>
      <c r="EJF1331" s="1072"/>
      <c r="EJG1331" s="1072"/>
      <c r="EJH1331" s="1072"/>
      <c r="EJI1331" s="1072"/>
      <c r="EJJ1331" s="1072"/>
      <c r="EJK1331" s="1072"/>
      <c r="EJL1331" s="1072"/>
      <c r="EJM1331" s="1072"/>
      <c r="EJN1331" s="1072"/>
      <c r="EJO1331" s="1072"/>
      <c r="EJP1331" s="1072"/>
      <c r="EJQ1331" s="1072"/>
      <c r="EJR1331" s="1072"/>
      <c r="EJS1331" s="1072"/>
      <c r="EJT1331" s="1072"/>
      <c r="EJU1331" s="1072"/>
      <c r="EJV1331" s="1072"/>
      <c r="EJW1331" s="1072"/>
      <c r="EJX1331" s="1072"/>
      <c r="EJY1331" s="1072"/>
      <c r="EJZ1331" s="1072"/>
      <c r="EKA1331" s="1072"/>
      <c r="EKB1331" s="1072"/>
      <c r="EKC1331" s="1072"/>
      <c r="EKD1331" s="1072"/>
      <c r="EKE1331" s="1072"/>
      <c r="EKF1331" s="1072"/>
      <c r="EKG1331" s="1072"/>
      <c r="EKH1331" s="1072"/>
      <c r="EKI1331" s="1072"/>
      <c r="EKJ1331" s="1072"/>
      <c r="EKK1331" s="1072"/>
      <c r="EKL1331" s="1072"/>
      <c r="EKM1331" s="1072"/>
      <c r="EKN1331" s="1072"/>
      <c r="EKO1331" s="1072"/>
      <c r="EKP1331" s="1072"/>
      <c r="EKQ1331" s="1072"/>
      <c r="EKR1331" s="1072"/>
      <c r="EKS1331" s="1072"/>
      <c r="EKT1331" s="1072"/>
      <c r="EKU1331" s="1072"/>
      <c r="EKV1331" s="1072"/>
      <c r="EKW1331" s="1072"/>
      <c r="EKX1331" s="1072"/>
      <c r="EKY1331" s="1072"/>
      <c r="EKZ1331" s="1072"/>
      <c r="ELA1331" s="1072"/>
      <c r="ELB1331" s="1072"/>
      <c r="ELC1331" s="1072"/>
      <c r="ELD1331" s="1072"/>
      <c r="ELE1331" s="1072"/>
      <c r="ELF1331" s="1072"/>
      <c r="ELG1331" s="1072"/>
      <c r="ELH1331" s="1072"/>
      <c r="ELI1331" s="1072"/>
      <c r="ELJ1331" s="1072"/>
      <c r="ELK1331" s="1072"/>
      <c r="ELL1331" s="1072"/>
      <c r="ELM1331" s="1072"/>
      <c r="ELN1331" s="1072"/>
      <c r="ELO1331" s="1072"/>
      <c r="ELP1331" s="1072"/>
      <c r="ELQ1331" s="1072"/>
      <c r="ELR1331" s="1072"/>
      <c r="ELS1331" s="1072"/>
      <c r="ELT1331" s="1072"/>
      <c r="ELU1331" s="1072"/>
      <c r="ELV1331" s="1072"/>
      <c r="ELW1331" s="1072"/>
      <c r="ELX1331" s="1072"/>
      <c r="ELY1331" s="1072"/>
      <c r="ELZ1331" s="1072"/>
      <c r="EMA1331" s="1072"/>
      <c r="EMB1331" s="1072"/>
      <c r="EMC1331" s="1072"/>
      <c r="EMD1331" s="1072"/>
      <c r="EME1331" s="1072"/>
      <c r="EMF1331" s="1072"/>
      <c r="EMG1331" s="1072"/>
      <c r="EMH1331" s="1072"/>
      <c r="EMI1331" s="1072"/>
      <c r="EMJ1331" s="1072"/>
      <c r="EMK1331" s="1072"/>
      <c r="EML1331" s="1072"/>
      <c r="EMM1331" s="1072"/>
      <c r="EMN1331" s="1072"/>
      <c r="EMO1331" s="1072"/>
      <c r="EMP1331" s="1072"/>
      <c r="EMQ1331" s="1072"/>
      <c r="EMR1331" s="1072"/>
      <c r="EMS1331" s="1072"/>
      <c r="EMT1331" s="1072"/>
      <c r="EMU1331" s="1072"/>
      <c r="EMV1331" s="1072"/>
      <c r="EMW1331" s="1072"/>
      <c r="EMX1331" s="1072"/>
      <c r="EMY1331" s="1072"/>
      <c r="EMZ1331" s="1072"/>
      <c r="ENA1331" s="1072"/>
      <c r="ENB1331" s="1072"/>
      <c r="ENC1331" s="1072"/>
      <c r="END1331" s="1072"/>
      <c r="ENE1331" s="1072"/>
      <c r="ENF1331" s="1072"/>
      <c r="ENG1331" s="1072"/>
      <c r="ENH1331" s="1072"/>
      <c r="ENI1331" s="1072"/>
      <c r="ENJ1331" s="1072"/>
      <c r="ENK1331" s="1072"/>
      <c r="ENL1331" s="1072"/>
      <c r="ENM1331" s="1072"/>
      <c r="ENN1331" s="1072"/>
      <c r="ENO1331" s="1072"/>
      <c r="ENP1331" s="1072"/>
      <c r="ENQ1331" s="1072"/>
      <c r="ENR1331" s="1072"/>
      <c r="ENS1331" s="1072"/>
      <c r="ENT1331" s="1072"/>
      <c r="ENU1331" s="1072"/>
      <c r="ENV1331" s="1072"/>
      <c r="ENW1331" s="1072"/>
      <c r="ENX1331" s="1072"/>
      <c r="ENY1331" s="1072"/>
      <c r="ENZ1331" s="1072"/>
      <c r="EOA1331" s="1072"/>
      <c r="EOB1331" s="1072"/>
      <c r="EOC1331" s="1072"/>
      <c r="EOD1331" s="1072"/>
      <c r="EOE1331" s="1072"/>
      <c r="EOF1331" s="1072"/>
      <c r="EOG1331" s="1072"/>
      <c r="EOH1331" s="1072"/>
      <c r="EOI1331" s="1072"/>
      <c r="EOJ1331" s="1072"/>
      <c r="EOK1331" s="1072"/>
      <c r="EOL1331" s="1072"/>
      <c r="EOM1331" s="1072"/>
      <c r="EON1331" s="1072"/>
      <c r="EOO1331" s="1072"/>
      <c r="EOP1331" s="1072"/>
      <c r="EOQ1331" s="1072"/>
      <c r="EOR1331" s="1072"/>
      <c r="EOS1331" s="1072"/>
      <c r="EOT1331" s="1072"/>
      <c r="EOU1331" s="1072"/>
      <c r="EOV1331" s="1072"/>
      <c r="EOW1331" s="1072"/>
      <c r="EOX1331" s="1072"/>
      <c r="EOY1331" s="1072"/>
      <c r="EOZ1331" s="1072"/>
      <c r="EPA1331" s="1072"/>
      <c r="EPB1331" s="1072"/>
      <c r="EPC1331" s="1072"/>
      <c r="EPD1331" s="1072"/>
      <c r="EPE1331" s="1072"/>
      <c r="EPF1331" s="1072"/>
      <c r="EPG1331" s="1072"/>
      <c r="EPH1331" s="1072"/>
      <c r="EPI1331" s="1072"/>
      <c r="EPJ1331" s="1072"/>
      <c r="EPK1331" s="1072"/>
      <c r="EPL1331" s="1072"/>
      <c r="EPM1331" s="1072"/>
      <c r="EPN1331" s="1072"/>
      <c r="EPO1331" s="1072"/>
      <c r="EPP1331" s="1072"/>
      <c r="EPQ1331" s="1072"/>
      <c r="EPR1331" s="1072"/>
      <c r="EPS1331" s="1072"/>
      <c r="EPT1331" s="1072"/>
      <c r="EPU1331" s="1072"/>
      <c r="EPV1331" s="1072"/>
      <c r="EPW1331" s="1072"/>
      <c r="EPX1331" s="1072"/>
      <c r="EPY1331" s="1072"/>
      <c r="EPZ1331" s="1072"/>
      <c r="EQA1331" s="1072"/>
      <c r="EQB1331" s="1072"/>
      <c r="EQC1331" s="1072"/>
      <c r="EQD1331" s="1072"/>
      <c r="EQE1331" s="1072"/>
      <c r="EQF1331" s="1072"/>
      <c r="EQG1331" s="1072"/>
      <c r="EQH1331" s="1072"/>
      <c r="EQI1331" s="1072"/>
      <c r="EQJ1331" s="1072"/>
      <c r="EQK1331" s="1072"/>
      <c r="EQL1331" s="1072"/>
      <c r="EQM1331" s="1072"/>
      <c r="EQN1331" s="1072"/>
      <c r="EQO1331" s="1072"/>
      <c r="EQP1331" s="1072"/>
      <c r="EQQ1331" s="1072"/>
      <c r="EQR1331" s="1072"/>
      <c r="EQS1331" s="1072"/>
      <c r="EQT1331" s="1072"/>
      <c r="EQU1331" s="1072"/>
      <c r="EQV1331" s="1072"/>
      <c r="EQW1331" s="1072"/>
      <c r="EQX1331" s="1072"/>
      <c r="EQY1331" s="1072"/>
      <c r="EQZ1331" s="1072"/>
      <c r="ERA1331" s="1072"/>
      <c r="ERB1331" s="1072"/>
      <c r="ERC1331" s="1072"/>
      <c r="ERD1331" s="1072"/>
      <c r="ERE1331" s="1072"/>
      <c r="ERF1331" s="1072"/>
      <c r="ERG1331" s="1072"/>
      <c r="ERH1331" s="1072"/>
      <c r="ERI1331" s="1072"/>
      <c r="ERJ1331" s="1072"/>
      <c r="ERK1331" s="1072"/>
      <c r="ERL1331" s="1072"/>
      <c r="ERM1331" s="1072"/>
      <c r="ERN1331" s="1072"/>
      <c r="ERO1331" s="1072"/>
      <c r="ERP1331" s="1072"/>
      <c r="ERQ1331" s="1072"/>
      <c r="ERR1331" s="1072"/>
      <c r="ERS1331" s="1072"/>
      <c r="ERT1331" s="1072"/>
      <c r="ERU1331" s="1072"/>
      <c r="ERV1331" s="1072"/>
      <c r="ERW1331" s="1072"/>
      <c r="ERX1331" s="1072"/>
      <c r="ERY1331" s="1072"/>
      <c r="ERZ1331" s="1072"/>
      <c r="ESA1331" s="1072"/>
      <c r="ESB1331" s="1072"/>
      <c r="ESC1331" s="1072"/>
      <c r="ESD1331" s="1072"/>
      <c r="ESE1331" s="1072"/>
      <c r="ESF1331" s="1072"/>
      <c r="ESG1331" s="1072"/>
      <c r="ESH1331" s="1072"/>
      <c r="ESI1331" s="1072"/>
      <c r="ESJ1331" s="1072"/>
      <c r="ESK1331" s="1072"/>
      <c r="ESL1331" s="1072"/>
      <c r="ESM1331" s="1072"/>
      <c r="ESN1331" s="1072"/>
      <c r="ESO1331" s="1072"/>
      <c r="ESP1331" s="1072"/>
      <c r="ESQ1331" s="1072"/>
      <c r="ESR1331" s="1072"/>
      <c r="ESS1331" s="1072"/>
      <c r="EST1331" s="1072"/>
      <c r="ESU1331" s="1072"/>
      <c r="ESV1331" s="1072"/>
      <c r="ESW1331" s="1072"/>
      <c r="ESX1331" s="1072"/>
      <c r="ESY1331" s="1072"/>
      <c r="ESZ1331" s="1072"/>
      <c r="ETA1331" s="1072"/>
      <c r="ETB1331" s="1072"/>
      <c r="ETC1331" s="1072"/>
      <c r="ETD1331" s="1072"/>
      <c r="ETE1331" s="1072"/>
      <c r="ETF1331" s="1072"/>
      <c r="ETG1331" s="1072"/>
      <c r="ETH1331" s="1072"/>
      <c r="ETI1331" s="1072"/>
      <c r="ETJ1331" s="1072"/>
      <c r="ETK1331" s="1072"/>
      <c r="ETL1331" s="1072"/>
      <c r="ETM1331" s="1072"/>
      <c r="ETN1331" s="1072"/>
      <c r="ETO1331" s="1072"/>
      <c r="ETP1331" s="1072"/>
      <c r="ETQ1331" s="1072"/>
      <c r="ETR1331" s="1072"/>
      <c r="ETS1331" s="1072"/>
      <c r="ETT1331" s="1072"/>
      <c r="ETU1331" s="1072"/>
      <c r="ETV1331" s="1072"/>
      <c r="ETW1331" s="1072"/>
      <c r="ETX1331" s="1072"/>
      <c r="ETY1331" s="1072"/>
      <c r="ETZ1331" s="1072"/>
      <c r="EUA1331" s="1072"/>
      <c r="EUB1331" s="1072"/>
      <c r="EUC1331" s="1072"/>
      <c r="EUD1331" s="1072"/>
      <c r="EUE1331" s="1072"/>
      <c r="EUF1331" s="1072"/>
      <c r="EUG1331" s="1072"/>
      <c r="EUH1331" s="1072"/>
      <c r="EUI1331" s="1072"/>
      <c r="EUJ1331" s="1072"/>
      <c r="EUK1331" s="1072"/>
      <c r="EUL1331" s="1072"/>
      <c r="EUM1331" s="1072"/>
      <c r="EUN1331" s="1072"/>
      <c r="EUO1331" s="1072"/>
      <c r="EUP1331" s="1072"/>
      <c r="EUQ1331" s="1072"/>
      <c r="EUR1331" s="1072"/>
      <c r="EUS1331" s="1072"/>
      <c r="EUT1331" s="1072"/>
      <c r="EUU1331" s="1072"/>
      <c r="EUV1331" s="1072"/>
      <c r="EUW1331" s="1072"/>
      <c r="EUX1331" s="1072"/>
      <c r="EUY1331" s="1072"/>
      <c r="EUZ1331" s="1072"/>
      <c r="EVA1331" s="1072"/>
      <c r="EVB1331" s="1072"/>
      <c r="EVC1331" s="1072"/>
      <c r="EVD1331" s="1072"/>
      <c r="EVE1331" s="1072"/>
      <c r="EVF1331" s="1072"/>
      <c r="EVG1331" s="1072"/>
      <c r="EVH1331" s="1072"/>
      <c r="EVI1331" s="1072"/>
      <c r="EVJ1331" s="1072"/>
      <c r="EVK1331" s="1072"/>
      <c r="EVL1331" s="1072"/>
      <c r="EVM1331" s="1072"/>
      <c r="EVN1331" s="1072"/>
      <c r="EVO1331" s="1072"/>
      <c r="EVP1331" s="1072"/>
      <c r="EVQ1331" s="1072"/>
      <c r="EVR1331" s="1072"/>
      <c r="EVS1331" s="1072"/>
      <c r="EVT1331" s="1072"/>
      <c r="EVU1331" s="1072"/>
      <c r="EVV1331" s="1072"/>
      <c r="EVW1331" s="1072"/>
      <c r="EVX1331" s="1072"/>
      <c r="EVY1331" s="1072"/>
      <c r="EVZ1331" s="1072"/>
      <c r="EWA1331" s="1072"/>
      <c r="EWB1331" s="1072"/>
      <c r="EWC1331" s="1072"/>
      <c r="EWD1331" s="1072"/>
      <c r="EWE1331" s="1072"/>
      <c r="EWF1331" s="1072"/>
      <c r="EWG1331" s="1072"/>
      <c r="EWH1331" s="1072"/>
      <c r="EWI1331" s="1072"/>
      <c r="EWJ1331" s="1072"/>
      <c r="EWK1331" s="1072"/>
      <c r="EWL1331" s="1072"/>
      <c r="EWM1331" s="1072"/>
      <c r="EWN1331" s="1072"/>
      <c r="EWO1331" s="1072"/>
      <c r="EWP1331" s="1072"/>
      <c r="EWQ1331" s="1072"/>
      <c r="EWR1331" s="1072"/>
      <c r="EWS1331" s="1072"/>
      <c r="EWT1331" s="1072"/>
      <c r="EWU1331" s="1072"/>
      <c r="EWV1331" s="1072"/>
      <c r="EWW1331" s="1072"/>
      <c r="EWX1331" s="1072"/>
      <c r="EWY1331" s="1072"/>
      <c r="EWZ1331" s="1072"/>
      <c r="EXA1331" s="1072"/>
      <c r="EXB1331" s="1072"/>
      <c r="EXC1331" s="1072"/>
      <c r="EXD1331" s="1072"/>
      <c r="EXE1331" s="1072"/>
      <c r="EXF1331" s="1072"/>
      <c r="EXG1331" s="1072"/>
      <c r="EXH1331" s="1072"/>
      <c r="EXI1331" s="1072"/>
      <c r="EXJ1331" s="1072"/>
      <c r="EXK1331" s="1072"/>
      <c r="EXL1331" s="1072"/>
      <c r="EXM1331" s="1072"/>
      <c r="EXN1331" s="1072"/>
      <c r="EXO1331" s="1072"/>
      <c r="EXP1331" s="1072"/>
      <c r="EXQ1331" s="1072"/>
      <c r="EXR1331" s="1072"/>
      <c r="EXS1331" s="1072"/>
      <c r="EXT1331" s="1072"/>
      <c r="EXU1331" s="1072"/>
      <c r="EXV1331" s="1072"/>
      <c r="EXW1331" s="1072"/>
      <c r="EXX1331" s="1072"/>
      <c r="EXY1331" s="1072"/>
      <c r="EXZ1331" s="1072"/>
      <c r="EYA1331" s="1072"/>
      <c r="EYB1331" s="1072"/>
      <c r="EYC1331" s="1072"/>
      <c r="EYD1331" s="1072"/>
      <c r="EYE1331" s="1072"/>
      <c r="EYF1331" s="1072"/>
      <c r="EYG1331" s="1072"/>
      <c r="EYH1331" s="1072"/>
      <c r="EYI1331" s="1072"/>
      <c r="EYJ1331" s="1072"/>
      <c r="EYK1331" s="1072"/>
      <c r="EYL1331" s="1072"/>
      <c r="EYM1331" s="1072"/>
      <c r="EYN1331" s="1072"/>
      <c r="EYO1331" s="1072"/>
      <c r="EYP1331" s="1072"/>
      <c r="EYQ1331" s="1072"/>
      <c r="EYR1331" s="1072"/>
      <c r="EYS1331" s="1072"/>
      <c r="EYT1331" s="1072"/>
      <c r="EYU1331" s="1072"/>
      <c r="EYV1331" s="1072"/>
      <c r="EYW1331" s="1072"/>
      <c r="EYX1331" s="1072"/>
      <c r="EYY1331" s="1072"/>
      <c r="EYZ1331" s="1072"/>
      <c r="EZA1331" s="1072"/>
      <c r="EZB1331" s="1072"/>
      <c r="EZC1331" s="1072"/>
      <c r="EZD1331" s="1072"/>
      <c r="EZE1331" s="1072"/>
      <c r="EZF1331" s="1072"/>
      <c r="EZG1331" s="1072"/>
      <c r="EZH1331" s="1072"/>
      <c r="EZI1331" s="1072"/>
      <c r="EZJ1331" s="1072"/>
      <c r="EZK1331" s="1072"/>
      <c r="EZL1331" s="1072"/>
      <c r="EZM1331" s="1072"/>
      <c r="EZN1331" s="1072"/>
      <c r="EZO1331" s="1072"/>
      <c r="EZP1331" s="1072"/>
      <c r="EZQ1331" s="1072"/>
      <c r="EZR1331" s="1072"/>
      <c r="EZS1331" s="1072"/>
      <c r="EZT1331" s="1072"/>
      <c r="EZU1331" s="1072"/>
      <c r="EZV1331" s="1072"/>
      <c r="EZW1331" s="1072"/>
      <c r="EZX1331" s="1072"/>
      <c r="EZY1331" s="1072"/>
      <c r="EZZ1331" s="1072"/>
      <c r="FAA1331" s="1072"/>
      <c r="FAB1331" s="1072"/>
      <c r="FAC1331" s="1072"/>
      <c r="FAD1331" s="1072"/>
      <c r="FAE1331" s="1072"/>
      <c r="FAF1331" s="1072"/>
      <c r="FAG1331" s="1072"/>
      <c r="FAH1331" s="1072"/>
      <c r="FAI1331" s="1072"/>
      <c r="FAJ1331" s="1072"/>
      <c r="FAK1331" s="1072"/>
      <c r="FAL1331" s="1072"/>
      <c r="FAM1331" s="1072"/>
      <c r="FAN1331" s="1072"/>
      <c r="FAO1331" s="1072"/>
      <c r="FAP1331" s="1072"/>
      <c r="FAQ1331" s="1072"/>
      <c r="FAR1331" s="1072"/>
      <c r="FAS1331" s="1072"/>
      <c r="FAT1331" s="1072"/>
      <c r="FAU1331" s="1072"/>
      <c r="FAV1331" s="1072"/>
      <c r="FAW1331" s="1072"/>
      <c r="FAX1331" s="1072"/>
      <c r="FAY1331" s="1072"/>
      <c r="FAZ1331" s="1072"/>
      <c r="FBA1331" s="1072"/>
      <c r="FBB1331" s="1072"/>
      <c r="FBC1331" s="1072"/>
      <c r="FBD1331" s="1072"/>
      <c r="FBE1331" s="1072"/>
      <c r="FBF1331" s="1072"/>
      <c r="FBG1331" s="1072"/>
      <c r="FBH1331" s="1072"/>
      <c r="FBI1331" s="1072"/>
      <c r="FBJ1331" s="1072"/>
      <c r="FBK1331" s="1072"/>
      <c r="FBL1331" s="1072"/>
      <c r="FBM1331" s="1072"/>
      <c r="FBN1331" s="1072"/>
      <c r="FBO1331" s="1072"/>
      <c r="FBP1331" s="1072"/>
      <c r="FBQ1331" s="1072"/>
      <c r="FBR1331" s="1072"/>
      <c r="FBS1331" s="1072"/>
      <c r="FBT1331" s="1072"/>
      <c r="FBU1331" s="1072"/>
      <c r="FBV1331" s="1072"/>
      <c r="FBW1331" s="1072"/>
      <c r="FBX1331" s="1072"/>
      <c r="FBY1331" s="1072"/>
      <c r="FBZ1331" s="1072"/>
      <c r="FCA1331" s="1072"/>
      <c r="FCB1331" s="1072"/>
      <c r="FCC1331" s="1072"/>
      <c r="FCD1331" s="1072"/>
      <c r="FCE1331" s="1072"/>
      <c r="FCF1331" s="1072"/>
      <c r="FCG1331" s="1072"/>
      <c r="FCH1331" s="1072"/>
      <c r="FCI1331" s="1072"/>
      <c r="FCJ1331" s="1072"/>
      <c r="FCK1331" s="1072"/>
      <c r="FCL1331" s="1072"/>
      <c r="FCM1331" s="1072"/>
      <c r="FCN1331" s="1072"/>
      <c r="FCO1331" s="1072"/>
      <c r="FCP1331" s="1072"/>
      <c r="FCQ1331" s="1072"/>
      <c r="FCR1331" s="1072"/>
      <c r="FCS1331" s="1072"/>
      <c r="FCT1331" s="1072"/>
      <c r="FCU1331" s="1072"/>
      <c r="FCV1331" s="1072"/>
      <c r="FCW1331" s="1072"/>
      <c r="FCX1331" s="1072"/>
      <c r="FCY1331" s="1072"/>
      <c r="FCZ1331" s="1072"/>
      <c r="FDA1331" s="1072"/>
      <c r="FDB1331" s="1072"/>
      <c r="FDC1331" s="1072"/>
      <c r="FDD1331" s="1072"/>
      <c r="FDE1331" s="1072"/>
      <c r="FDF1331" s="1072"/>
      <c r="FDG1331" s="1072"/>
      <c r="FDH1331" s="1072"/>
      <c r="FDI1331" s="1072"/>
      <c r="FDJ1331" s="1072"/>
      <c r="FDK1331" s="1072"/>
      <c r="FDL1331" s="1072"/>
      <c r="FDM1331" s="1072"/>
      <c r="FDN1331" s="1072"/>
      <c r="FDO1331" s="1072"/>
      <c r="FDP1331" s="1072"/>
      <c r="FDQ1331" s="1072"/>
      <c r="FDR1331" s="1072"/>
      <c r="FDS1331" s="1072"/>
      <c r="FDT1331" s="1072"/>
      <c r="FDU1331" s="1072"/>
      <c r="FDV1331" s="1072"/>
      <c r="FDW1331" s="1072"/>
      <c r="FDX1331" s="1072"/>
      <c r="FDY1331" s="1072"/>
      <c r="FDZ1331" s="1072"/>
      <c r="FEA1331" s="1072"/>
      <c r="FEB1331" s="1072"/>
      <c r="FEC1331" s="1072"/>
      <c r="FED1331" s="1072"/>
      <c r="FEE1331" s="1072"/>
      <c r="FEF1331" s="1072"/>
      <c r="FEG1331" s="1072"/>
      <c r="FEH1331" s="1072"/>
      <c r="FEI1331" s="1072"/>
      <c r="FEJ1331" s="1072"/>
      <c r="FEK1331" s="1072"/>
      <c r="FEL1331" s="1072"/>
      <c r="FEM1331" s="1072"/>
      <c r="FEN1331" s="1072"/>
      <c r="FEO1331" s="1072"/>
      <c r="FEP1331" s="1072"/>
      <c r="FEQ1331" s="1072"/>
      <c r="FER1331" s="1072"/>
      <c r="FES1331" s="1072"/>
      <c r="FET1331" s="1072"/>
      <c r="FEU1331" s="1072"/>
      <c r="FEV1331" s="1072"/>
      <c r="FEW1331" s="1072"/>
      <c r="FEX1331" s="1072"/>
      <c r="FEY1331" s="1072"/>
      <c r="FEZ1331" s="1072"/>
      <c r="FFA1331" s="1072"/>
      <c r="FFB1331" s="1072"/>
      <c r="FFC1331" s="1072"/>
      <c r="FFD1331" s="1072"/>
      <c r="FFE1331" s="1072"/>
      <c r="FFF1331" s="1072"/>
      <c r="FFG1331" s="1072"/>
      <c r="FFH1331" s="1072"/>
      <c r="FFI1331" s="1072"/>
      <c r="FFJ1331" s="1072"/>
      <c r="FFK1331" s="1072"/>
      <c r="FFL1331" s="1072"/>
      <c r="FFM1331" s="1072"/>
      <c r="FFN1331" s="1072"/>
      <c r="FFO1331" s="1072"/>
      <c r="FFP1331" s="1072"/>
      <c r="FFQ1331" s="1072"/>
      <c r="FFR1331" s="1072"/>
      <c r="FFS1331" s="1072"/>
      <c r="FFT1331" s="1072"/>
      <c r="FFU1331" s="1072"/>
      <c r="FFV1331" s="1072"/>
      <c r="FFW1331" s="1072"/>
      <c r="FFX1331" s="1072"/>
      <c r="FFY1331" s="1072"/>
      <c r="FFZ1331" s="1072"/>
      <c r="FGA1331" s="1072"/>
      <c r="FGB1331" s="1072"/>
      <c r="FGC1331" s="1072"/>
      <c r="FGD1331" s="1072"/>
      <c r="FGE1331" s="1072"/>
      <c r="FGF1331" s="1072"/>
      <c r="FGG1331" s="1072"/>
      <c r="FGH1331" s="1072"/>
      <c r="FGI1331" s="1072"/>
      <c r="FGJ1331" s="1072"/>
      <c r="FGK1331" s="1072"/>
      <c r="FGL1331" s="1072"/>
      <c r="FGM1331" s="1072"/>
      <c r="FGN1331" s="1072"/>
      <c r="FGO1331" s="1072"/>
      <c r="FGP1331" s="1072"/>
      <c r="FGQ1331" s="1072"/>
      <c r="FGR1331" s="1072"/>
      <c r="FGS1331" s="1072"/>
      <c r="FGT1331" s="1072"/>
      <c r="FGU1331" s="1072"/>
      <c r="FGV1331" s="1072"/>
      <c r="FGW1331" s="1072"/>
      <c r="FGX1331" s="1072"/>
      <c r="FGY1331" s="1072"/>
      <c r="FGZ1331" s="1072"/>
      <c r="FHA1331" s="1072"/>
      <c r="FHB1331" s="1072"/>
      <c r="FHC1331" s="1072"/>
      <c r="FHD1331" s="1072"/>
      <c r="FHE1331" s="1072"/>
      <c r="FHF1331" s="1072"/>
      <c r="FHG1331" s="1072"/>
      <c r="FHH1331" s="1072"/>
      <c r="FHI1331" s="1072"/>
      <c r="FHJ1331" s="1072"/>
      <c r="FHK1331" s="1072"/>
      <c r="FHL1331" s="1072"/>
      <c r="FHM1331" s="1072"/>
      <c r="FHN1331" s="1072"/>
      <c r="FHO1331" s="1072"/>
      <c r="FHP1331" s="1072"/>
      <c r="FHQ1331" s="1072"/>
      <c r="FHR1331" s="1072"/>
      <c r="FHS1331" s="1072"/>
      <c r="FHT1331" s="1072"/>
      <c r="FHU1331" s="1072"/>
      <c r="FHV1331" s="1072"/>
      <c r="FHW1331" s="1072"/>
      <c r="FHX1331" s="1072"/>
      <c r="FHY1331" s="1072"/>
      <c r="FHZ1331" s="1072"/>
      <c r="FIA1331" s="1072"/>
      <c r="FIB1331" s="1072"/>
      <c r="FIC1331" s="1072"/>
      <c r="FID1331" s="1072"/>
      <c r="FIE1331" s="1072"/>
      <c r="FIF1331" s="1072"/>
      <c r="FIG1331" s="1072"/>
      <c r="FIH1331" s="1072"/>
      <c r="FII1331" s="1072"/>
      <c r="FIJ1331" s="1072"/>
      <c r="FIK1331" s="1072"/>
      <c r="FIL1331" s="1072"/>
      <c r="FIM1331" s="1072"/>
      <c r="FIN1331" s="1072"/>
      <c r="FIO1331" s="1072"/>
      <c r="FIP1331" s="1072"/>
      <c r="FIQ1331" s="1072"/>
      <c r="FIR1331" s="1072"/>
      <c r="FIS1331" s="1072"/>
      <c r="FIT1331" s="1072"/>
      <c r="FIU1331" s="1072"/>
      <c r="FIV1331" s="1072"/>
      <c r="FIW1331" s="1072"/>
      <c r="FIX1331" s="1072"/>
      <c r="FIY1331" s="1072"/>
      <c r="FIZ1331" s="1072"/>
      <c r="FJA1331" s="1072"/>
      <c r="FJB1331" s="1072"/>
      <c r="FJC1331" s="1072"/>
      <c r="FJD1331" s="1072"/>
      <c r="FJE1331" s="1072"/>
      <c r="FJF1331" s="1072"/>
      <c r="FJG1331" s="1072"/>
      <c r="FJH1331" s="1072"/>
      <c r="FJI1331" s="1072"/>
      <c r="FJJ1331" s="1072"/>
      <c r="FJK1331" s="1072"/>
      <c r="FJL1331" s="1072"/>
      <c r="FJM1331" s="1072"/>
      <c r="FJN1331" s="1072"/>
      <c r="FJO1331" s="1072"/>
      <c r="FJP1331" s="1072"/>
      <c r="FJQ1331" s="1072"/>
      <c r="FJR1331" s="1072"/>
      <c r="FJS1331" s="1072"/>
      <c r="FJT1331" s="1072"/>
      <c r="FJU1331" s="1072"/>
      <c r="FJV1331" s="1072"/>
      <c r="FJW1331" s="1072"/>
      <c r="FJX1331" s="1072"/>
      <c r="FJY1331" s="1072"/>
      <c r="FJZ1331" s="1072"/>
      <c r="FKA1331" s="1072"/>
      <c r="FKB1331" s="1072"/>
      <c r="FKC1331" s="1072"/>
      <c r="FKD1331" s="1072"/>
      <c r="FKE1331" s="1072"/>
      <c r="FKF1331" s="1072"/>
      <c r="FKG1331" s="1072"/>
      <c r="FKH1331" s="1072"/>
      <c r="FKI1331" s="1072"/>
      <c r="FKJ1331" s="1072"/>
      <c r="FKK1331" s="1072"/>
      <c r="FKL1331" s="1072"/>
      <c r="FKM1331" s="1072"/>
      <c r="FKN1331" s="1072"/>
      <c r="FKO1331" s="1072"/>
      <c r="FKP1331" s="1072"/>
      <c r="FKQ1331" s="1072"/>
      <c r="FKR1331" s="1072"/>
      <c r="FKS1331" s="1072"/>
      <c r="FKT1331" s="1072"/>
      <c r="FKU1331" s="1072"/>
      <c r="FKV1331" s="1072"/>
      <c r="FKW1331" s="1072"/>
      <c r="FKX1331" s="1072"/>
      <c r="FKY1331" s="1072"/>
      <c r="FKZ1331" s="1072"/>
      <c r="FLA1331" s="1072"/>
      <c r="FLB1331" s="1072"/>
      <c r="FLC1331" s="1072"/>
      <c r="FLD1331" s="1072"/>
      <c r="FLE1331" s="1072"/>
      <c r="FLF1331" s="1072"/>
      <c r="FLG1331" s="1072"/>
      <c r="FLH1331" s="1072"/>
      <c r="FLI1331" s="1072"/>
      <c r="FLJ1331" s="1072"/>
      <c r="FLK1331" s="1072"/>
      <c r="FLL1331" s="1072"/>
      <c r="FLM1331" s="1072"/>
      <c r="FLN1331" s="1072"/>
      <c r="FLO1331" s="1072"/>
      <c r="FLP1331" s="1072"/>
      <c r="FLQ1331" s="1072"/>
      <c r="FLR1331" s="1072"/>
      <c r="FLS1331" s="1072"/>
      <c r="FLT1331" s="1072"/>
      <c r="FLU1331" s="1072"/>
      <c r="FLV1331" s="1072"/>
      <c r="FLW1331" s="1072"/>
      <c r="FLX1331" s="1072"/>
      <c r="FLY1331" s="1072"/>
      <c r="FLZ1331" s="1072"/>
      <c r="FMA1331" s="1072"/>
      <c r="FMB1331" s="1072"/>
      <c r="FMC1331" s="1072"/>
      <c r="FMD1331" s="1072"/>
      <c r="FME1331" s="1072"/>
      <c r="FMF1331" s="1072"/>
      <c r="FMG1331" s="1072"/>
      <c r="FMH1331" s="1072"/>
      <c r="FMI1331" s="1072"/>
      <c r="FMJ1331" s="1072"/>
      <c r="FMK1331" s="1072"/>
      <c r="FML1331" s="1072"/>
      <c r="FMM1331" s="1072"/>
      <c r="FMN1331" s="1072"/>
      <c r="FMO1331" s="1072"/>
      <c r="FMP1331" s="1072"/>
      <c r="FMQ1331" s="1072"/>
      <c r="FMR1331" s="1072"/>
      <c r="FMS1331" s="1072"/>
      <c r="FMT1331" s="1072"/>
      <c r="FMU1331" s="1072"/>
      <c r="FMV1331" s="1072"/>
      <c r="FMW1331" s="1072"/>
      <c r="FMX1331" s="1072"/>
      <c r="FMY1331" s="1072"/>
      <c r="FMZ1331" s="1072"/>
      <c r="FNA1331" s="1072"/>
      <c r="FNB1331" s="1072"/>
      <c r="FNC1331" s="1072"/>
      <c r="FND1331" s="1072"/>
      <c r="FNE1331" s="1072"/>
      <c r="FNF1331" s="1072"/>
      <c r="FNG1331" s="1072"/>
      <c r="FNH1331" s="1072"/>
      <c r="FNI1331" s="1072"/>
      <c r="FNJ1331" s="1072"/>
      <c r="FNK1331" s="1072"/>
      <c r="FNL1331" s="1072"/>
      <c r="FNM1331" s="1072"/>
      <c r="FNN1331" s="1072"/>
      <c r="FNO1331" s="1072"/>
      <c r="FNP1331" s="1072"/>
      <c r="FNQ1331" s="1072"/>
      <c r="FNR1331" s="1072"/>
      <c r="FNS1331" s="1072"/>
      <c r="FNT1331" s="1072"/>
      <c r="FNU1331" s="1072"/>
      <c r="FNV1331" s="1072"/>
      <c r="FNW1331" s="1072"/>
      <c r="FNX1331" s="1072"/>
      <c r="FNY1331" s="1072"/>
      <c r="FNZ1331" s="1072"/>
      <c r="FOA1331" s="1072"/>
      <c r="FOB1331" s="1072"/>
      <c r="FOC1331" s="1072"/>
      <c r="FOD1331" s="1072"/>
      <c r="FOE1331" s="1072"/>
      <c r="FOF1331" s="1072"/>
      <c r="FOG1331" s="1072"/>
      <c r="FOH1331" s="1072"/>
      <c r="FOI1331" s="1072"/>
      <c r="FOJ1331" s="1072"/>
      <c r="FOK1331" s="1072"/>
      <c r="FOL1331" s="1072"/>
      <c r="FOM1331" s="1072"/>
      <c r="FON1331" s="1072"/>
      <c r="FOO1331" s="1072"/>
      <c r="FOP1331" s="1072"/>
      <c r="FOQ1331" s="1072"/>
      <c r="FOR1331" s="1072"/>
      <c r="FOS1331" s="1072"/>
      <c r="FOT1331" s="1072"/>
      <c r="FOU1331" s="1072"/>
      <c r="FOV1331" s="1072"/>
      <c r="FOW1331" s="1072"/>
      <c r="FOX1331" s="1072"/>
      <c r="FOY1331" s="1072"/>
      <c r="FOZ1331" s="1072"/>
      <c r="FPA1331" s="1072"/>
      <c r="FPB1331" s="1072"/>
      <c r="FPC1331" s="1072"/>
      <c r="FPD1331" s="1072"/>
      <c r="FPE1331" s="1072"/>
      <c r="FPF1331" s="1072"/>
      <c r="FPG1331" s="1072"/>
      <c r="FPH1331" s="1072"/>
      <c r="FPI1331" s="1072"/>
      <c r="FPJ1331" s="1072"/>
      <c r="FPK1331" s="1072"/>
      <c r="FPL1331" s="1072"/>
      <c r="FPM1331" s="1072"/>
      <c r="FPN1331" s="1072"/>
      <c r="FPO1331" s="1072"/>
      <c r="FPP1331" s="1072"/>
      <c r="FPQ1331" s="1072"/>
      <c r="FPR1331" s="1072"/>
      <c r="FPS1331" s="1072"/>
      <c r="FPT1331" s="1072"/>
      <c r="FPU1331" s="1072"/>
      <c r="FPV1331" s="1072"/>
      <c r="FPW1331" s="1072"/>
      <c r="FPX1331" s="1072"/>
      <c r="FPY1331" s="1072"/>
      <c r="FPZ1331" s="1072"/>
      <c r="FQA1331" s="1072"/>
      <c r="FQB1331" s="1072"/>
      <c r="FQC1331" s="1072"/>
      <c r="FQD1331" s="1072"/>
      <c r="FQE1331" s="1072"/>
      <c r="FQF1331" s="1072"/>
      <c r="FQG1331" s="1072"/>
      <c r="FQH1331" s="1072"/>
      <c r="FQI1331" s="1072"/>
      <c r="FQJ1331" s="1072"/>
      <c r="FQK1331" s="1072"/>
      <c r="FQL1331" s="1072"/>
      <c r="FQM1331" s="1072"/>
      <c r="FQN1331" s="1072"/>
      <c r="FQO1331" s="1072"/>
      <c r="FQP1331" s="1072"/>
      <c r="FQQ1331" s="1072"/>
      <c r="FQR1331" s="1072"/>
      <c r="FQS1331" s="1072"/>
      <c r="FQT1331" s="1072"/>
      <c r="FQU1331" s="1072"/>
      <c r="FQV1331" s="1072"/>
      <c r="FQW1331" s="1072"/>
      <c r="FQX1331" s="1072"/>
      <c r="FQY1331" s="1072"/>
      <c r="FQZ1331" s="1072"/>
      <c r="FRA1331" s="1072"/>
      <c r="FRB1331" s="1072"/>
      <c r="FRC1331" s="1072"/>
      <c r="FRD1331" s="1072"/>
      <c r="FRE1331" s="1072"/>
      <c r="FRF1331" s="1072"/>
      <c r="FRG1331" s="1072"/>
      <c r="FRH1331" s="1072"/>
      <c r="FRI1331" s="1072"/>
      <c r="FRJ1331" s="1072"/>
      <c r="FRK1331" s="1072"/>
      <c r="FRL1331" s="1072"/>
      <c r="FRM1331" s="1072"/>
      <c r="FRN1331" s="1072"/>
      <c r="FRO1331" s="1072"/>
      <c r="FRP1331" s="1072"/>
      <c r="FRQ1331" s="1072"/>
      <c r="FRR1331" s="1072"/>
      <c r="FRS1331" s="1072"/>
      <c r="FRT1331" s="1072"/>
      <c r="FRU1331" s="1072"/>
      <c r="FRV1331" s="1072"/>
      <c r="FRW1331" s="1072"/>
      <c r="FRX1331" s="1072"/>
      <c r="FRY1331" s="1072"/>
      <c r="FRZ1331" s="1072"/>
      <c r="FSA1331" s="1072"/>
      <c r="FSB1331" s="1072"/>
      <c r="FSC1331" s="1072"/>
      <c r="FSD1331" s="1072"/>
      <c r="FSE1331" s="1072"/>
      <c r="FSF1331" s="1072"/>
      <c r="FSG1331" s="1072"/>
      <c r="FSH1331" s="1072"/>
      <c r="FSI1331" s="1072"/>
      <c r="FSJ1331" s="1072"/>
      <c r="FSK1331" s="1072"/>
      <c r="FSL1331" s="1072"/>
      <c r="FSM1331" s="1072"/>
      <c r="FSN1331" s="1072"/>
      <c r="FSO1331" s="1072"/>
      <c r="FSP1331" s="1072"/>
      <c r="FSQ1331" s="1072"/>
      <c r="FSR1331" s="1072"/>
      <c r="FSS1331" s="1072"/>
      <c r="FST1331" s="1072"/>
      <c r="FSU1331" s="1072"/>
      <c r="FSV1331" s="1072"/>
      <c r="FSW1331" s="1072"/>
      <c r="FSX1331" s="1072"/>
      <c r="FSY1331" s="1072"/>
      <c r="FSZ1331" s="1072"/>
      <c r="FTA1331" s="1072"/>
      <c r="FTB1331" s="1072"/>
      <c r="FTC1331" s="1072"/>
      <c r="FTD1331" s="1072"/>
      <c r="FTE1331" s="1072"/>
      <c r="FTF1331" s="1072"/>
      <c r="FTG1331" s="1072"/>
      <c r="FTH1331" s="1072"/>
      <c r="FTI1331" s="1072"/>
      <c r="FTJ1331" s="1072"/>
      <c r="FTK1331" s="1072"/>
      <c r="FTL1331" s="1072"/>
      <c r="FTM1331" s="1072"/>
      <c r="FTN1331" s="1072"/>
      <c r="FTO1331" s="1072"/>
      <c r="FTP1331" s="1072"/>
      <c r="FTQ1331" s="1072"/>
      <c r="FTR1331" s="1072"/>
      <c r="FTS1331" s="1072"/>
      <c r="FTT1331" s="1072"/>
      <c r="FTU1331" s="1072"/>
      <c r="FTV1331" s="1072"/>
      <c r="FTW1331" s="1072"/>
      <c r="FTX1331" s="1072"/>
      <c r="FTY1331" s="1072"/>
      <c r="FTZ1331" s="1072"/>
      <c r="FUA1331" s="1072"/>
      <c r="FUB1331" s="1072"/>
      <c r="FUC1331" s="1072"/>
      <c r="FUD1331" s="1072"/>
      <c r="FUE1331" s="1072"/>
      <c r="FUF1331" s="1072"/>
      <c r="FUG1331" s="1072"/>
      <c r="FUH1331" s="1072"/>
      <c r="FUI1331" s="1072"/>
      <c r="FUJ1331" s="1072"/>
      <c r="FUK1331" s="1072"/>
      <c r="FUL1331" s="1072"/>
      <c r="FUM1331" s="1072"/>
      <c r="FUN1331" s="1072"/>
      <c r="FUO1331" s="1072"/>
      <c r="FUP1331" s="1072"/>
      <c r="FUQ1331" s="1072"/>
      <c r="FUR1331" s="1072"/>
      <c r="FUS1331" s="1072"/>
      <c r="FUT1331" s="1072"/>
      <c r="FUU1331" s="1072"/>
      <c r="FUV1331" s="1072"/>
      <c r="FUW1331" s="1072"/>
      <c r="FUX1331" s="1072"/>
      <c r="FUY1331" s="1072"/>
      <c r="FUZ1331" s="1072"/>
      <c r="FVA1331" s="1072"/>
      <c r="FVB1331" s="1072"/>
      <c r="FVC1331" s="1072"/>
      <c r="FVD1331" s="1072"/>
      <c r="FVE1331" s="1072"/>
      <c r="FVF1331" s="1072"/>
      <c r="FVG1331" s="1072"/>
      <c r="FVH1331" s="1072"/>
      <c r="FVI1331" s="1072"/>
      <c r="FVJ1331" s="1072"/>
      <c r="FVK1331" s="1072"/>
      <c r="FVL1331" s="1072"/>
      <c r="FVM1331" s="1072"/>
      <c r="FVN1331" s="1072"/>
      <c r="FVO1331" s="1072"/>
      <c r="FVP1331" s="1072"/>
      <c r="FVQ1331" s="1072"/>
      <c r="FVR1331" s="1072"/>
      <c r="FVS1331" s="1072"/>
      <c r="FVT1331" s="1072"/>
      <c r="FVU1331" s="1072"/>
      <c r="FVV1331" s="1072"/>
      <c r="FVW1331" s="1072"/>
      <c r="FVX1331" s="1072"/>
      <c r="FVY1331" s="1072"/>
      <c r="FVZ1331" s="1072"/>
      <c r="FWA1331" s="1072"/>
      <c r="FWB1331" s="1072"/>
      <c r="FWC1331" s="1072"/>
      <c r="FWD1331" s="1072"/>
      <c r="FWE1331" s="1072"/>
      <c r="FWF1331" s="1072"/>
      <c r="FWG1331" s="1072"/>
      <c r="FWH1331" s="1072"/>
      <c r="FWI1331" s="1072"/>
      <c r="FWJ1331" s="1072"/>
      <c r="FWK1331" s="1072"/>
      <c r="FWL1331" s="1072"/>
      <c r="FWM1331" s="1072"/>
      <c r="FWN1331" s="1072"/>
      <c r="FWO1331" s="1072"/>
      <c r="FWP1331" s="1072"/>
      <c r="FWQ1331" s="1072"/>
      <c r="FWR1331" s="1072"/>
      <c r="FWS1331" s="1072"/>
      <c r="FWT1331" s="1072"/>
      <c r="FWU1331" s="1072"/>
      <c r="FWV1331" s="1072"/>
      <c r="FWW1331" s="1072"/>
      <c r="FWX1331" s="1072"/>
      <c r="FWY1331" s="1072"/>
      <c r="FWZ1331" s="1072"/>
      <c r="FXA1331" s="1072"/>
      <c r="FXB1331" s="1072"/>
      <c r="FXC1331" s="1072"/>
      <c r="FXD1331" s="1072"/>
      <c r="FXE1331" s="1072"/>
      <c r="FXF1331" s="1072"/>
      <c r="FXG1331" s="1072"/>
      <c r="FXH1331" s="1072"/>
      <c r="FXI1331" s="1072"/>
      <c r="FXJ1331" s="1072"/>
      <c r="FXK1331" s="1072"/>
      <c r="FXL1331" s="1072"/>
      <c r="FXM1331" s="1072"/>
      <c r="FXN1331" s="1072"/>
      <c r="FXO1331" s="1072"/>
      <c r="FXP1331" s="1072"/>
      <c r="FXQ1331" s="1072"/>
      <c r="FXR1331" s="1072"/>
      <c r="FXS1331" s="1072"/>
      <c r="FXT1331" s="1072"/>
      <c r="FXU1331" s="1072"/>
      <c r="FXV1331" s="1072"/>
      <c r="FXW1331" s="1072"/>
      <c r="FXX1331" s="1072"/>
      <c r="FXY1331" s="1072"/>
      <c r="FXZ1331" s="1072"/>
      <c r="FYA1331" s="1072"/>
      <c r="FYB1331" s="1072"/>
      <c r="FYC1331" s="1072"/>
      <c r="FYD1331" s="1072"/>
      <c r="FYE1331" s="1072"/>
      <c r="FYF1331" s="1072"/>
      <c r="FYG1331" s="1072"/>
      <c r="FYH1331" s="1072"/>
      <c r="FYI1331" s="1072"/>
      <c r="FYJ1331" s="1072"/>
      <c r="FYK1331" s="1072"/>
      <c r="FYL1331" s="1072"/>
      <c r="FYM1331" s="1072"/>
      <c r="FYN1331" s="1072"/>
      <c r="FYO1331" s="1072"/>
      <c r="FYP1331" s="1072"/>
      <c r="FYQ1331" s="1072"/>
      <c r="FYR1331" s="1072"/>
      <c r="FYS1331" s="1072"/>
      <c r="FYT1331" s="1072"/>
      <c r="FYU1331" s="1072"/>
      <c r="FYV1331" s="1072"/>
      <c r="FYW1331" s="1072"/>
      <c r="FYX1331" s="1072"/>
      <c r="FYY1331" s="1072"/>
      <c r="FYZ1331" s="1072"/>
      <c r="FZA1331" s="1072"/>
      <c r="FZB1331" s="1072"/>
      <c r="FZC1331" s="1072"/>
      <c r="FZD1331" s="1072"/>
      <c r="FZE1331" s="1072"/>
      <c r="FZF1331" s="1072"/>
      <c r="FZG1331" s="1072"/>
      <c r="FZH1331" s="1072"/>
      <c r="FZI1331" s="1072"/>
      <c r="FZJ1331" s="1072"/>
      <c r="FZK1331" s="1072"/>
      <c r="FZL1331" s="1072"/>
      <c r="FZM1331" s="1072"/>
      <c r="FZN1331" s="1072"/>
      <c r="FZO1331" s="1072"/>
      <c r="FZP1331" s="1072"/>
      <c r="FZQ1331" s="1072"/>
      <c r="FZR1331" s="1072"/>
      <c r="FZS1331" s="1072"/>
      <c r="FZT1331" s="1072"/>
      <c r="FZU1331" s="1072"/>
      <c r="FZV1331" s="1072"/>
      <c r="FZW1331" s="1072"/>
      <c r="FZX1331" s="1072"/>
      <c r="FZY1331" s="1072"/>
      <c r="FZZ1331" s="1072"/>
      <c r="GAA1331" s="1072"/>
      <c r="GAB1331" s="1072"/>
      <c r="GAC1331" s="1072"/>
      <c r="GAD1331" s="1072"/>
      <c r="GAE1331" s="1072"/>
      <c r="GAF1331" s="1072"/>
      <c r="GAG1331" s="1072"/>
      <c r="GAH1331" s="1072"/>
      <c r="GAI1331" s="1072"/>
      <c r="GAJ1331" s="1072"/>
      <c r="GAK1331" s="1072"/>
      <c r="GAL1331" s="1072"/>
      <c r="GAM1331" s="1072"/>
      <c r="GAN1331" s="1072"/>
      <c r="GAO1331" s="1072"/>
      <c r="GAP1331" s="1072"/>
      <c r="GAQ1331" s="1072"/>
      <c r="GAR1331" s="1072"/>
      <c r="GAS1331" s="1072"/>
      <c r="GAT1331" s="1072"/>
      <c r="GAU1331" s="1072"/>
      <c r="GAV1331" s="1072"/>
      <c r="GAW1331" s="1072"/>
      <c r="GAX1331" s="1072"/>
      <c r="GAY1331" s="1072"/>
      <c r="GAZ1331" s="1072"/>
      <c r="GBA1331" s="1072"/>
      <c r="GBB1331" s="1072"/>
      <c r="GBC1331" s="1072"/>
      <c r="GBD1331" s="1072"/>
      <c r="GBE1331" s="1072"/>
      <c r="GBF1331" s="1072"/>
      <c r="GBG1331" s="1072"/>
      <c r="GBH1331" s="1072"/>
      <c r="GBI1331" s="1072"/>
      <c r="GBJ1331" s="1072"/>
      <c r="GBK1331" s="1072"/>
      <c r="GBL1331" s="1072"/>
      <c r="GBM1331" s="1072"/>
      <c r="GBN1331" s="1072"/>
      <c r="GBO1331" s="1072"/>
      <c r="GBP1331" s="1072"/>
      <c r="GBQ1331" s="1072"/>
      <c r="GBR1331" s="1072"/>
      <c r="GBS1331" s="1072"/>
      <c r="GBT1331" s="1072"/>
      <c r="GBU1331" s="1072"/>
      <c r="GBV1331" s="1072"/>
      <c r="GBW1331" s="1072"/>
      <c r="GBX1331" s="1072"/>
      <c r="GBY1331" s="1072"/>
      <c r="GBZ1331" s="1072"/>
      <c r="GCA1331" s="1072"/>
      <c r="GCB1331" s="1072"/>
      <c r="GCC1331" s="1072"/>
      <c r="GCD1331" s="1072"/>
      <c r="GCE1331" s="1072"/>
      <c r="GCF1331" s="1072"/>
      <c r="GCG1331" s="1072"/>
      <c r="GCH1331" s="1072"/>
      <c r="GCI1331" s="1072"/>
      <c r="GCJ1331" s="1072"/>
      <c r="GCK1331" s="1072"/>
      <c r="GCL1331" s="1072"/>
      <c r="GCM1331" s="1072"/>
      <c r="GCN1331" s="1072"/>
      <c r="GCO1331" s="1072"/>
      <c r="GCP1331" s="1072"/>
      <c r="GCQ1331" s="1072"/>
      <c r="GCR1331" s="1072"/>
      <c r="GCS1331" s="1072"/>
      <c r="GCT1331" s="1072"/>
      <c r="GCU1331" s="1072"/>
      <c r="GCV1331" s="1072"/>
      <c r="GCW1331" s="1072"/>
      <c r="GCX1331" s="1072"/>
      <c r="GCY1331" s="1072"/>
      <c r="GCZ1331" s="1072"/>
      <c r="GDA1331" s="1072"/>
      <c r="GDB1331" s="1072"/>
      <c r="GDC1331" s="1072"/>
      <c r="GDD1331" s="1072"/>
      <c r="GDE1331" s="1072"/>
      <c r="GDF1331" s="1072"/>
      <c r="GDG1331" s="1072"/>
      <c r="GDH1331" s="1072"/>
      <c r="GDI1331" s="1072"/>
      <c r="GDJ1331" s="1072"/>
      <c r="GDK1331" s="1072"/>
      <c r="GDL1331" s="1072"/>
      <c r="GDM1331" s="1072"/>
      <c r="GDN1331" s="1072"/>
      <c r="GDO1331" s="1072"/>
      <c r="GDP1331" s="1072"/>
      <c r="GDQ1331" s="1072"/>
      <c r="GDR1331" s="1072"/>
      <c r="GDS1331" s="1072"/>
      <c r="GDT1331" s="1072"/>
      <c r="GDU1331" s="1072"/>
      <c r="GDV1331" s="1072"/>
      <c r="GDW1331" s="1072"/>
      <c r="GDX1331" s="1072"/>
      <c r="GDY1331" s="1072"/>
      <c r="GDZ1331" s="1072"/>
      <c r="GEA1331" s="1072"/>
      <c r="GEB1331" s="1072"/>
      <c r="GEC1331" s="1072"/>
      <c r="GED1331" s="1072"/>
      <c r="GEE1331" s="1072"/>
      <c r="GEF1331" s="1072"/>
      <c r="GEG1331" s="1072"/>
      <c r="GEH1331" s="1072"/>
      <c r="GEI1331" s="1072"/>
      <c r="GEJ1331" s="1072"/>
      <c r="GEK1331" s="1072"/>
      <c r="GEL1331" s="1072"/>
      <c r="GEM1331" s="1072"/>
      <c r="GEN1331" s="1072"/>
      <c r="GEO1331" s="1072"/>
      <c r="GEP1331" s="1072"/>
      <c r="GEQ1331" s="1072"/>
      <c r="GER1331" s="1072"/>
      <c r="GES1331" s="1072"/>
      <c r="GET1331" s="1072"/>
      <c r="GEU1331" s="1072"/>
      <c r="GEV1331" s="1072"/>
      <c r="GEW1331" s="1072"/>
      <c r="GEX1331" s="1072"/>
      <c r="GEY1331" s="1072"/>
      <c r="GEZ1331" s="1072"/>
      <c r="GFA1331" s="1072"/>
      <c r="GFB1331" s="1072"/>
      <c r="GFC1331" s="1072"/>
      <c r="GFD1331" s="1072"/>
      <c r="GFE1331" s="1072"/>
      <c r="GFF1331" s="1072"/>
      <c r="GFG1331" s="1072"/>
      <c r="GFH1331" s="1072"/>
      <c r="GFI1331" s="1072"/>
      <c r="GFJ1331" s="1072"/>
      <c r="GFK1331" s="1072"/>
      <c r="GFL1331" s="1072"/>
      <c r="GFM1331" s="1072"/>
      <c r="GFN1331" s="1072"/>
      <c r="GFO1331" s="1072"/>
      <c r="GFP1331" s="1072"/>
      <c r="GFQ1331" s="1072"/>
      <c r="GFR1331" s="1072"/>
      <c r="GFS1331" s="1072"/>
      <c r="GFT1331" s="1072"/>
      <c r="GFU1331" s="1072"/>
      <c r="GFV1331" s="1072"/>
      <c r="GFW1331" s="1072"/>
      <c r="GFX1331" s="1072"/>
      <c r="GFY1331" s="1072"/>
      <c r="GFZ1331" s="1072"/>
      <c r="GGA1331" s="1072"/>
      <c r="GGB1331" s="1072"/>
      <c r="GGC1331" s="1072"/>
      <c r="GGD1331" s="1072"/>
      <c r="GGE1331" s="1072"/>
      <c r="GGF1331" s="1072"/>
      <c r="GGG1331" s="1072"/>
      <c r="GGH1331" s="1072"/>
      <c r="GGI1331" s="1072"/>
      <c r="GGJ1331" s="1072"/>
      <c r="GGK1331" s="1072"/>
      <c r="GGL1331" s="1072"/>
      <c r="GGM1331" s="1072"/>
      <c r="GGN1331" s="1072"/>
      <c r="GGO1331" s="1072"/>
      <c r="GGP1331" s="1072"/>
      <c r="GGQ1331" s="1072"/>
      <c r="GGR1331" s="1072"/>
      <c r="GGS1331" s="1072"/>
      <c r="GGT1331" s="1072"/>
      <c r="GGU1331" s="1072"/>
      <c r="GGV1331" s="1072"/>
      <c r="GGW1331" s="1072"/>
      <c r="GGX1331" s="1072"/>
      <c r="GGY1331" s="1072"/>
      <c r="GGZ1331" s="1072"/>
      <c r="GHA1331" s="1072"/>
      <c r="GHB1331" s="1072"/>
      <c r="GHC1331" s="1072"/>
      <c r="GHD1331" s="1072"/>
      <c r="GHE1331" s="1072"/>
      <c r="GHF1331" s="1072"/>
      <c r="GHG1331" s="1072"/>
      <c r="GHH1331" s="1072"/>
      <c r="GHI1331" s="1072"/>
      <c r="GHJ1331" s="1072"/>
      <c r="GHK1331" s="1072"/>
      <c r="GHL1331" s="1072"/>
      <c r="GHM1331" s="1072"/>
      <c r="GHN1331" s="1072"/>
      <c r="GHO1331" s="1072"/>
      <c r="GHP1331" s="1072"/>
      <c r="GHQ1331" s="1072"/>
      <c r="GHR1331" s="1072"/>
      <c r="GHS1331" s="1072"/>
      <c r="GHT1331" s="1072"/>
      <c r="GHU1331" s="1072"/>
      <c r="GHV1331" s="1072"/>
      <c r="GHW1331" s="1072"/>
      <c r="GHX1331" s="1072"/>
      <c r="GHY1331" s="1072"/>
      <c r="GHZ1331" s="1072"/>
      <c r="GIA1331" s="1072"/>
      <c r="GIB1331" s="1072"/>
      <c r="GIC1331" s="1072"/>
      <c r="GID1331" s="1072"/>
      <c r="GIE1331" s="1072"/>
      <c r="GIF1331" s="1072"/>
      <c r="GIG1331" s="1072"/>
      <c r="GIH1331" s="1072"/>
      <c r="GII1331" s="1072"/>
      <c r="GIJ1331" s="1072"/>
      <c r="GIK1331" s="1072"/>
      <c r="GIL1331" s="1072"/>
      <c r="GIM1331" s="1072"/>
      <c r="GIN1331" s="1072"/>
      <c r="GIO1331" s="1072"/>
      <c r="GIP1331" s="1072"/>
      <c r="GIQ1331" s="1072"/>
      <c r="GIR1331" s="1072"/>
      <c r="GIS1331" s="1072"/>
      <c r="GIT1331" s="1072"/>
      <c r="GIU1331" s="1072"/>
      <c r="GIV1331" s="1072"/>
      <c r="GIW1331" s="1072"/>
      <c r="GIX1331" s="1072"/>
      <c r="GIY1331" s="1072"/>
      <c r="GIZ1331" s="1072"/>
      <c r="GJA1331" s="1072"/>
      <c r="GJB1331" s="1072"/>
      <c r="GJC1331" s="1072"/>
      <c r="GJD1331" s="1072"/>
      <c r="GJE1331" s="1072"/>
      <c r="GJF1331" s="1072"/>
      <c r="GJG1331" s="1072"/>
      <c r="GJH1331" s="1072"/>
      <c r="GJI1331" s="1072"/>
      <c r="GJJ1331" s="1072"/>
      <c r="GJK1331" s="1072"/>
      <c r="GJL1331" s="1072"/>
      <c r="GJM1331" s="1072"/>
      <c r="GJN1331" s="1072"/>
      <c r="GJO1331" s="1072"/>
      <c r="GJP1331" s="1072"/>
      <c r="GJQ1331" s="1072"/>
      <c r="GJR1331" s="1072"/>
      <c r="GJS1331" s="1072"/>
      <c r="GJT1331" s="1072"/>
      <c r="GJU1331" s="1072"/>
      <c r="GJV1331" s="1072"/>
      <c r="GJW1331" s="1072"/>
      <c r="GJX1331" s="1072"/>
      <c r="GJY1331" s="1072"/>
      <c r="GJZ1331" s="1072"/>
      <c r="GKA1331" s="1072"/>
      <c r="GKB1331" s="1072"/>
      <c r="GKC1331" s="1072"/>
      <c r="GKD1331" s="1072"/>
      <c r="GKE1331" s="1072"/>
      <c r="GKF1331" s="1072"/>
      <c r="GKG1331" s="1072"/>
      <c r="GKH1331" s="1072"/>
      <c r="GKI1331" s="1072"/>
      <c r="GKJ1331" s="1072"/>
      <c r="GKK1331" s="1072"/>
      <c r="GKL1331" s="1072"/>
      <c r="GKM1331" s="1072"/>
      <c r="GKN1331" s="1072"/>
      <c r="GKO1331" s="1072"/>
      <c r="GKP1331" s="1072"/>
      <c r="GKQ1331" s="1072"/>
      <c r="GKR1331" s="1072"/>
      <c r="GKS1331" s="1072"/>
      <c r="GKT1331" s="1072"/>
      <c r="GKU1331" s="1072"/>
      <c r="GKV1331" s="1072"/>
      <c r="GKW1331" s="1072"/>
      <c r="GKX1331" s="1072"/>
      <c r="GKY1331" s="1072"/>
      <c r="GKZ1331" s="1072"/>
      <c r="GLA1331" s="1072"/>
      <c r="GLB1331" s="1072"/>
      <c r="GLC1331" s="1072"/>
      <c r="GLD1331" s="1072"/>
      <c r="GLE1331" s="1072"/>
      <c r="GLF1331" s="1072"/>
      <c r="GLG1331" s="1072"/>
      <c r="GLH1331" s="1072"/>
      <c r="GLI1331" s="1072"/>
      <c r="GLJ1331" s="1072"/>
      <c r="GLK1331" s="1072"/>
      <c r="GLL1331" s="1072"/>
      <c r="GLM1331" s="1072"/>
      <c r="GLN1331" s="1072"/>
      <c r="GLO1331" s="1072"/>
      <c r="GLP1331" s="1072"/>
      <c r="GLQ1331" s="1072"/>
      <c r="GLR1331" s="1072"/>
      <c r="GLS1331" s="1072"/>
      <c r="GLT1331" s="1072"/>
      <c r="GLU1331" s="1072"/>
      <c r="GLV1331" s="1072"/>
      <c r="GLW1331" s="1072"/>
      <c r="GLX1331" s="1072"/>
      <c r="GLY1331" s="1072"/>
      <c r="GLZ1331" s="1072"/>
      <c r="GMA1331" s="1072"/>
      <c r="GMB1331" s="1072"/>
      <c r="GMC1331" s="1072"/>
      <c r="GMD1331" s="1072"/>
      <c r="GME1331" s="1072"/>
      <c r="GMF1331" s="1072"/>
      <c r="GMG1331" s="1072"/>
      <c r="GMH1331" s="1072"/>
      <c r="GMI1331" s="1072"/>
      <c r="GMJ1331" s="1072"/>
      <c r="GMK1331" s="1072"/>
      <c r="GML1331" s="1072"/>
      <c r="GMM1331" s="1072"/>
      <c r="GMN1331" s="1072"/>
      <c r="GMO1331" s="1072"/>
      <c r="GMP1331" s="1072"/>
      <c r="GMQ1331" s="1072"/>
      <c r="GMR1331" s="1072"/>
      <c r="GMS1331" s="1072"/>
      <c r="GMT1331" s="1072"/>
      <c r="GMU1331" s="1072"/>
      <c r="GMV1331" s="1072"/>
      <c r="GMW1331" s="1072"/>
      <c r="GMX1331" s="1072"/>
      <c r="GMY1331" s="1072"/>
      <c r="GMZ1331" s="1072"/>
      <c r="GNA1331" s="1072"/>
      <c r="GNB1331" s="1072"/>
      <c r="GNC1331" s="1072"/>
      <c r="GND1331" s="1072"/>
      <c r="GNE1331" s="1072"/>
      <c r="GNF1331" s="1072"/>
      <c r="GNG1331" s="1072"/>
      <c r="GNH1331" s="1072"/>
      <c r="GNI1331" s="1072"/>
      <c r="GNJ1331" s="1072"/>
      <c r="GNK1331" s="1072"/>
      <c r="GNL1331" s="1072"/>
      <c r="GNM1331" s="1072"/>
      <c r="GNN1331" s="1072"/>
      <c r="GNO1331" s="1072"/>
      <c r="GNP1331" s="1072"/>
      <c r="GNQ1331" s="1072"/>
      <c r="GNR1331" s="1072"/>
      <c r="GNS1331" s="1072"/>
      <c r="GNT1331" s="1072"/>
      <c r="GNU1331" s="1072"/>
      <c r="GNV1331" s="1072"/>
      <c r="GNW1331" s="1072"/>
      <c r="GNX1331" s="1072"/>
      <c r="GNY1331" s="1072"/>
      <c r="GNZ1331" s="1072"/>
      <c r="GOA1331" s="1072"/>
      <c r="GOB1331" s="1072"/>
      <c r="GOC1331" s="1072"/>
      <c r="GOD1331" s="1072"/>
      <c r="GOE1331" s="1072"/>
      <c r="GOF1331" s="1072"/>
      <c r="GOG1331" s="1072"/>
      <c r="GOH1331" s="1072"/>
      <c r="GOI1331" s="1072"/>
      <c r="GOJ1331" s="1072"/>
      <c r="GOK1331" s="1072"/>
      <c r="GOL1331" s="1072"/>
      <c r="GOM1331" s="1072"/>
      <c r="GON1331" s="1072"/>
      <c r="GOO1331" s="1072"/>
      <c r="GOP1331" s="1072"/>
      <c r="GOQ1331" s="1072"/>
      <c r="GOR1331" s="1072"/>
      <c r="GOS1331" s="1072"/>
      <c r="GOT1331" s="1072"/>
      <c r="GOU1331" s="1072"/>
      <c r="GOV1331" s="1072"/>
      <c r="GOW1331" s="1072"/>
      <c r="GOX1331" s="1072"/>
      <c r="GOY1331" s="1072"/>
      <c r="GOZ1331" s="1072"/>
      <c r="GPA1331" s="1072"/>
      <c r="GPB1331" s="1072"/>
      <c r="GPC1331" s="1072"/>
      <c r="GPD1331" s="1072"/>
      <c r="GPE1331" s="1072"/>
      <c r="GPF1331" s="1072"/>
      <c r="GPG1331" s="1072"/>
      <c r="GPH1331" s="1072"/>
      <c r="GPI1331" s="1072"/>
      <c r="GPJ1331" s="1072"/>
      <c r="GPK1331" s="1072"/>
      <c r="GPL1331" s="1072"/>
      <c r="GPM1331" s="1072"/>
      <c r="GPN1331" s="1072"/>
      <c r="GPO1331" s="1072"/>
      <c r="GPP1331" s="1072"/>
      <c r="GPQ1331" s="1072"/>
      <c r="GPR1331" s="1072"/>
      <c r="GPS1331" s="1072"/>
      <c r="GPT1331" s="1072"/>
      <c r="GPU1331" s="1072"/>
      <c r="GPV1331" s="1072"/>
      <c r="GPW1331" s="1072"/>
      <c r="GPX1331" s="1072"/>
      <c r="GPY1331" s="1072"/>
      <c r="GPZ1331" s="1072"/>
      <c r="GQA1331" s="1072"/>
      <c r="GQB1331" s="1072"/>
      <c r="GQC1331" s="1072"/>
      <c r="GQD1331" s="1072"/>
      <c r="GQE1331" s="1072"/>
      <c r="GQF1331" s="1072"/>
      <c r="GQG1331" s="1072"/>
      <c r="GQH1331" s="1072"/>
      <c r="GQI1331" s="1072"/>
      <c r="GQJ1331" s="1072"/>
      <c r="GQK1331" s="1072"/>
      <c r="GQL1331" s="1072"/>
      <c r="GQM1331" s="1072"/>
      <c r="GQN1331" s="1072"/>
      <c r="GQO1331" s="1072"/>
      <c r="GQP1331" s="1072"/>
      <c r="GQQ1331" s="1072"/>
      <c r="GQR1331" s="1072"/>
      <c r="GQS1331" s="1072"/>
      <c r="GQT1331" s="1072"/>
      <c r="GQU1331" s="1072"/>
      <c r="GQV1331" s="1072"/>
      <c r="GQW1331" s="1072"/>
      <c r="GQX1331" s="1072"/>
      <c r="GQY1331" s="1072"/>
      <c r="GQZ1331" s="1072"/>
      <c r="GRA1331" s="1072"/>
      <c r="GRB1331" s="1072"/>
      <c r="GRC1331" s="1072"/>
      <c r="GRD1331" s="1072"/>
      <c r="GRE1331" s="1072"/>
      <c r="GRF1331" s="1072"/>
      <c r="GRG1331" s="1072"/>
      <c r="GRH1331" s="1072"/>
      <c r="GRI1331" s="1072"/>
      <c r="GRJ1331" s="1072"/>
      <c r="GRK1331" s="1072"/>
      <c r="GRL1331" s="1072"/>
      <c r="GRM1331" s="1072"/>
      <c r="GRN1331" s="1072"/>
      <c r="GRO1331" s="1072"/>
      <c r="GRP1331" s="1072"/>
      <c r="GRQ1331" s="1072"/>
      <c r="GRR1331" s="1072"/>
      <c r="GRS1331" s="1072"/>
      <c r="GRT1331" s="1072"/>
      <c r="GRU1331" s="1072"/>
      <c r="GRV1331" s="1072"/>
      <c r="GRW1331" s="1072"/>
      <c r="GRX1331" s="1072"/>
      <c r="GRY1331" s="1072"/>
      <c r="GRZ1331" s="1072"/>
      <c r="GSA1331" s="1072"/>
      <c r="GSB1331" s="1072"/>
      <c r="GSC1331" s="1072"/>
      <c r="GSD1331" s="1072"/>
      <c r="GSE1331" s="1072"/>
      <c r="GSF1331" s="1072"/>
      <c r="GSG1331" s="1072"/>
      <c r="GSH1331" s="1072"/>
      <c r="GSI1331" s="1072"/>
      <c r="GSJ1331" s="1072"/>
      <c r="GSK1331" s="1072"/>
      <c r="GSL1331" s="1072"/>
      <c r="GSM1331" s="1072"/>
      <c r="GSN1331" s="1072"/>
      <c r="GSO1331" s="1072"/>
      <c r="GSP1331" s="1072"/>
      <c r="GSQ1331" s="1072"/>
      <c r="GSR1331" s="1072"/>
      <c r="GSS1331" s="1072"/>
      <c r="GST1331" s="1072"/>
      <c r="GSU1331" s="1072"/>
      <c r="GSV1331" s="1072"/>
      <c r="GSW1331" s="1072"/>
      <c r="GSX1331" s="1072"/>
      <c r="GSY1331" s="1072"/>
      <c r="GSZ1331" s="1072"/>
      <c r="GTA1331" s="1072"/>
      <c r="GTB1331" s="1072"/>
      <c r="GTC1331" s="1072"/>
      <c r="GTD1331" s="1072"/>
      <c r="GTE1331" s="1072"/>
      <c r="GTF1331" s="1072"/>
      <c r="GTG1331" s="1072"/>
      <c r="GTH1331" s="1072"/>
      <c r="GTI1331" s="1072"/>
      <c r="GTJ1331" s="1072"/>
      <c r="GTK1331" s="1072"/>
      <c r="GTL1331" s="1072"/>
      <c r="GTM1331" s="1072"/>
      <c r="GTN1331" s="1072"/>
      <c r="GTO1331" s="1072"/>
      <c r="GTP1331" s="1072"/>
      <c r="GTQ1331" s="1072"/>
      <c r="GTR1331" s="1072"/>
      <c r="GTS1331" s="1072"/>
      <c r="GTT1331" s="1072"/>
      <c r="GTU1331" s="1072"/>
      <c r="GTV1331" s="1072"/>
      <c r="GTW1331" s="1072"/>
      <c r="GTX1331" s="1072"/>
      <c r="GTY1331" s="1072"/>
      <c r="GTZ1331" s="1072"/>
      <c r="GUA1331" s="1072"/>
      <c r="GUB1331" s="1072"/>
      <c r="GUC1331" s="1072"/>
      <c r="GUD1331" s="1072"/>
      <c r="GUE1331" s="1072"/>
      <c r="GUF1331" s="1072"/>
      <c r="GUG1331" s="1072"/>
      <c r="GUH1331" s="1072"/>
      <c r="GUI1331" s="1072"/>
      <c r="GUJ1331" s="1072"/>
      <c r="GUK1331" s="1072"/>
      <c r="GUL1331" s="1072"/>
      <c r="GUM1331" s="1072"/>
      <c r="GUN1331" s="1072"/>
      <c r="GUO1331" s="1072"/>
      <c r="GUP1331" s="1072"/>
      <c r="GUQ1331" s="1072"/>
      <c r="GUR1331" s="1072"/>
      <c r="GUS1331" s="1072"/>
      <c r="GUT1331" s="1072"/>
      <c r="GUU1331" s="1072"/>
      <c r="GUV1331" s="1072"/>
      <c r="GUW1331" s="1072"/>
      <c r="GUX1331" s="1072"/>
      <c r="GUY1331" s="1072"/>
      <c r="GUZ1331" s="1072"/>
      <c r="GVA1331" s="1072"/>
      <c r="GVB1331" s="1072"/>
      <c r="GVC1331" s="1072"/>
      <c r="GVD1331" s="1072"/>
      <c r="GVE1331" s="1072"/>
      <c r="GVF1331" s="1072"/>
      <c r="GVG1331" s="1072"/>
      <c r="GVH1331" s="1072"/>
      <c r="GVI1331" s="1072"/>
      <c r="GVJ1331" s="1072"/>
      <c r="GVK1331" s="1072"/>
      <c r="GVL1331" s="1072"/>
      <c r="GVM1331" s="1072"/>
      <c r="GVN1331" s="1072"/>
      <c r="GVO1331" s="1072"/>
      <c r="GVP1331" s="1072"/>
      <c r="GVQ1331" s="1072"/>
      <c r="GVR1331" s="1072"/>
      <c r="GVS1331" s="1072"/>
      <c r="GVT1331" s="1072"/>
      <c r="GVU1331" s="1072"/>
      <c r="GVV1331" s="1072"/>
      <c r="GVW1331" s="1072"/>
      <c r="GVX1331" s="1072"/>
      <c r="GVY1331" s="1072"/>
      <c r="GVZ1331" s="1072"/>
      <c r="GWA1331" s="1072"/>
      <c r="GWB1331" s="1072"/>
      <c r="GWC1331" s="1072"/>
      <c r="GWD1331" s="1072"/>
      <c r="GWE1331" s="1072"/>
      <c r="GWF1331" s="1072"/>
      <c r="GWG1331" s="1072"/>
      <c r="GWH1331" s="1072"/>
      <c r="GWI1331" s="1072"/>
      <c r="GWJ1331" s="1072"/>
      <c r="GWK1331" s="1072"/>
      <c r="GWL1331" s="1072"/>
      <c r="GWM1331" s="1072"/>
      <c r="GWN1331" s="1072"/>
      <c r="GWO1331" s="1072"/>
      <c r="GWP1331" s="1072"/>
      <c r="GWQ1331" s="1072"/>
      <c r="GWR1331" s="1072"/>
      <c r="GWS1331" s="1072"/>
      <c r="GWT1331" s="1072"/>
      <c r="GWU1331" s="1072"/>
      <c r="GWV1331" s="1072"/>
      <c r="GWW1331" s="1072"/>
      <c r="GWX1331" s="1072"/>
      <c r="GWY1331" s="1072"/>
      <c r="GWZ1331" s="1072"/>
      <c r="GXA1331" s="1072"/>
      <c r="GXB1331" s="1072"/>
      <c r="GXC1331" s="1072"/>
      <c r="GXD1331" s="1072"/>
      <c r="GXE1331" s="1072"/>
      <c r="GXF1331" s="1072"/>
      <c r="GXG1331" s="1072"/>
      <c r="GXH1331" s="1072"/>
      <c r="GXI1331" s="1072"/>
      <c r="GXJ1331" s="1072"/>
      <c r="GXK1331" s="1072"/>
      <c r="GXL1331" s="1072"/>
      <c r="GXM1331" s="1072"/>
      <c r="GXN1331" s="1072"/>
      <c r="GXO1331" s="1072"/>
      <c r="GXP1331" s="1072"/>
      <c r="GXQ1331" s="1072"/>
      <c r="GXR1331" s="1072"/>
      <c r="GXS1331" s="1072"/>
      <c r="GXT1331" s="1072"/>
      <c r="GXU1331" s="1072"/>
      <c r="GXV1331" s="1072"/>
      <c r="GXW1331" s="1072"/>
      <c r="GXX1331" s="1072"/>
      <c r="GXY1331" s="1072"/>
      <c r="GXZ1331" s="1072"/>
      <c r="GYA1331" s="1072"/>
      <c r="GYB1331" s="1072"/>
      <c r="GYC1331" s="1072"/>
      <c r="GYD1331" s="1072"/>
      <c r="GYE1331" s="1072"/>
      <c r="GYF1331" s="1072"/>
      <c r="GYG1331" s="1072"/>
      <c r="GYH1331" s="1072"/>
      <c r="GYI1331" s="1072"/>
      <c r="GYJ1331" s="1072"/>
      <c r="GYK1331" s="1072"/>
      <c r="GYL1331" s="1072"/>
      <c r="GYM1331" s="1072"/>
      <c r="GYN1331" s="1072"/>
      <c r="GYO1331" s="1072"/>
      <c r="GYP1331" s="1072"/>
      <c r="GYQ1331" s="1072"/>
      <c r="GYR1331" s="1072"/>
      <c r="GYS1331" s="1072"/>
      <c r="GYT1331" s="1072"/>
      <c r="GYU1331" s="1072"/>
      <c r="GYV1331" s="1072"/>
      <c r="GYW1331" s="1072"/>
      <c r="GYX1331" s="1072"/>
      <c r="GYY1331" s="1072"/>
      <c r="GYZ1331" s="1072"/>
      <c r="GZA1331" s="1072"/>
      <c r="GZB1331" s="1072"/>
      <c r="GZC1331" s="1072"/>
      <c r="GZD1331" s="1072"/>
      <c r="GZE1331" s="1072"/>
      <c r="GZF1331" s="1072"/>
      <c r="GZG1331" s="1072"/>
      <c r="GZH1331" s="1072"/>
      <c r="GZI1331" s="1072"/>
      <c r="GZJ1331" s="1072"/>
      <c r="GZK1331" s="1072"/>
      <c r="GZL1331" s="1072"/>
      <c r="GZM1331" s="1072"/>
      <c r="GZN1331" s="1072"/>
      <c r="GZO1331" s="1072"/>
      <c r="GZP1331" s="1072"/>
      <c r="GZQ1331" s="1072"/>
      <c r="GZR1331" s="1072"/>
      <c r="GZS1331" s="1072"/>
      <c r="GZT1331" s="1072"/>
      <c r="GZU1331" s="1072"/>
      <c r="GZV1331" s="1072"/>
      <c r="GZW1331" s="1072"/>
      <c r="GZX1331" s="1072"/>
      <c r="GZY1331" s="1072"/>
      <c r="GZZ1331" s="1072"/>
      <c r="HAA1331" s="1072"/>
      <c r="HAB1331" s="1072"/>
      <c r="HAC1331" s="1072"/>
      <c r="HAD1331" s="1072"/>
      <c r="HAE1331" s="1072"/>
      <c r="HAF1331" s="1072"/>
      <c r="HAG1331" s="1072"/>
      <c r="HAH1331" s="1072"/>
      <c r="HAI1331" s="1072"/>
      <c r="HAJ1331" s="1072"/>
      <c r="HAK1331" s="1072"/>
      <c r="HAL1331" s="1072"/>
      <c r="HAM1331" s="1072"/>
      <c r="HAN1331" s="1072"/>
      <c r="HAO1331" s="1072"/>
      <c r="HAP1331" s="1072"/>
      <c r="HAQ1331" s="1072"/>
      <c r="HAR1331" s="1072"/>
      <c r="HAS1331" s="1072"/>
      <c r="HAT1331" s="1072"/>
      <c r="HAU1331" s="1072"/>
      <c r="HAV1331" s="1072"/>
      <c r="HAW1331" s="1072"/>
      <c r="HAX1331" s="1072"/>
      <c r="HAY1331" s="1072"/>
      <c r="HAZ1331" s="1072"/>
      <c r="HBA1331" s="1072"/>
      <c r="HBB1331" s="1072"/>
      <c r="HBC1331" s="1072"/>
      <c r="HBD1331" s="1072"/>
      <c r="HBE1331" s="1072"/>
      <c r="HBF1331" s="1072"/>
      <c r="HBG1331" s="1072"/>
      <c r="HBH1331" s="1072"/>
      <c r="HBI1331" s="1072"/>
      <c r="HBJ1331" s="1072"/>
      <c r="HBK1331" s="1072"/>
      <c r="HBL1331" s="1072"/>
      <c r="HBM1331" s="1072"/>
      <c r="HBN1331" s="1072"/>
      <c r="HBO1331" s="1072"/>
      <c r="HBP1331" s="1072"/>
      <c r="HBQ1331" s="1072"/>
      <c r="HBR1331" s="1072"/>
      <c r="HBS1331" s="1072"/>
      <c r="HBT1331" s="1072"/>
      <c r="HBU1331" s="1072"/>
      <c r="HBV1331" s="1072"/>
      <c r="HBW1331" s="1072"/>
      <c r="HBX1331" s="1072"/>
      <c r="HBY1331" s="1072"/>
      <c r="HBZ1331" s="1072"/>
      <c r="HCA1331" s="1072"/>
      <c r="HCB1331" s="1072"/>
      <c r="HCC1331" s="1072"/>
      <c r="HCD1331" s="1072"/>
      <c r="HCE1331" s="1072"/>
      <c r="HCF1331" s="1072"/>
      <c r="HCG1331" s="1072"/>
      <c r="HCH1331" s="1072"/>
      <c r="HCI1331" s="1072"/>
      <c r="HCJ1331" s="1072"/>
      <c r="HCK1331" s="1072"/>
      <c r="HCL1331" s="1072"/>
      <c r="HCM1331" s="1072"/>
      <c r="HCN1331" s="1072"/>
      <c r="HCO1331" s="1072"/>
      <c r="HCP1331" s="1072"/>
      <c r="HCQ1331" s="1072"/>
      <c r="HCR1331" s="1072"/>
      <c r="HCS1331" s="1072"/>
      <c r="HCT1331" s="1072"/>
      <c r="HCU1331" s="1072"/>
      <c r="HCV1331" s="1072"/>
      <c r="HCW1331" s="1072"/>
      <c r="HCX1331" s="1072"/>
      <c r="HCY1331" s="1072"/>
      <c r="HCZ1331" s="1072"/>
      <c r="HDA1331" s="1072"/>
      <c r="HDB1331" s="1072"/>
      <c r="HDC1331" s="1072"/>
      <c r="HDD1331" s="1072"/>
      <c r="HDE1331" s="1072"/>
      <c r="HDF1331" s="1072"/>
      <c r="HDG1331" s="1072"/>
      <c r="HDH1331" s="1072"/>
      <c r="HDI1331" s="1072"/>
      <c r="HDJ1331" s="1072"/>
      <c r="HDK1331" s="1072"/>
      <c r="HDL1331" s="1072"/>
      <c r="HDM1331" s="1072"/>
      <c r="HDN1331" s="1072"/>
      <c r="HDO1331" s="1072"/>
      <c r="HDP1331" s="1072"/>
      <c r="HDQ1331" s="1072"/>
      <c r="HDR1331" s="1072"/>
      <c r="HDS1331" s="1072"/>
      <c r="HDT1331" s="1072"/>
      <c r="HDU1331" s="1072"/>
      <c r="HDV1331" s="1072"/>
      <c r="HDW1331" s="1072"/>
      <c r="HDX1331" s="1072"/>
      <c r="HDY1331" s="1072"/>
      <c r="HDZ1331" s="1072"/>
      <c r="HEA1331" s="1072"/>
      <c r="HEB1331" s="1072"/>
      <c r="HEC1331" s="1072"/>
      <c r="HED1331" s="1072"/>
      <c r="HEE1331" s="1072"/>
      <c r="HEF1331" s="1072"/>
      <c r="HEG1331" s="1072"/>
      <c r="HEH1331" s="1072"/>
      <c r="HEI1331" s="1072"/>
      <c r="HEJ1331" s="1072"/>
      <c r="HEK1331" s="1072"/>
      <c r="HEL1331" s="1072"/>
      <c r="HEM1331" s="1072"/>
      <c r="HEN1331" s="1072"/>
      <c r="HEO1331" s="1072"/>
      <c r="HEP1331" s="1072"/>
      <c r="HEQ1331" s="1072"/>
      <c r="HER1331" s="1072"/>
      <c r="HES1331" s="1072"/>
      <c r="HET1331" s="1072"/>
      <c r="HEU1331" s="1072"/>
      <c r="HEV1331" s="1072"/>
      <c r="HEW1331" s="1072"/>
      <c r="HEX1331" s="1072"/>
      <c r="HEY1331" s="1072"/>
      <c r="HEZ1331" s="1072"/>
      <c r="HFA1331" s="1072"/>
      <c r="HFB1331" s="1072"/>
      <c r="HFC1331" s="1072"/>
      <c r="HFD1331" s="1072"/>
      <c r="HFE1331" s="1072"/>
      <c r="HFF1331" s="1072"/>
      <c r="HFG1331" s="1072"/>
      <c r="HFH1331" s="1072"/>
      <c r="HFI1331" s="1072"/>
      <c r="HFJ1331" s="1072"/>
      <c r="HFK1331" s="1072"/>
      <c r="HFL1331" s="1072"/>
      <c r="HFM1331" s="1072"/>
      <c r="HFN1331" s="1072"/>
      <c r="HFO1331" s="1072"/>
      <c r="HFP1331" s="1072"/>
      <c r="HFQ1331" s="1072"/>
      <c r="HFR1331" s="1072"/>
      <c r="HFS1331" s="1072"/>
      <c r="HFT1331" s="1072"/>
      <c r="HFU1331" s="1072"/>
      <c r="HFV1331" s="1072"/>
      <c r="HFW1331" s="1072"/>
      <c r="HFX1331" s="1072"/>
      <c r="HFY1331" s="1072"/>
      <c r="HFZ1331" s="1072"/>
      <c r="HGA1331" s="1072"/>
      <c r="HGB1331" s="1072"/>
      <c r="HGC1331" s="1072"/>
      <c r="HGD1331" s="1072"/>
      <c r="HGE1331" s="1072"/>
      <c r="HGF1331" s="1072"/>
      <c r="HGG1331" s="1072"/>
      <c r="HGH1331" s="1072"/>
      <c r="HGI1331" s="1072"/>
      <c r="HGJ1331" s="1072"/>
      <c r="HGK1331" s="1072"/>
      <c r="HGL1331" s="1072"/>
      <c r="HGM1331" s="1072"/>
      <c r="HGN1331" s="1072"/>
      <c r="HGO1331" s="1072"/>
      <c r="HGP1331" s="1072"/>
      <c r="HGQ1331" s="1072"/>
      <c r="HGR1331" s="1072"/>
      <c r="HGS1331" s="1072"/>
      <c r="HGT1331" s="1072"/>
      <c r="HGU1331" s="1072"/>
      <c r="HGV1331" s="1072"/>
      <c r="HGW1331" s="1072"/>
      <c r="HGX1331" s="1072"/>
      <c r="HGY1331" s="1072"/>
      <c r="HGZ1331" s="1072"/>
      <c r="HHA1331" s="1072"/>
      <c r="HHB1331" s="1072"/>
      <c r="HHC1331" s="1072"/>
      <c r="HHD1331" s="1072"/>
      <c r="HHE1331" s="1072"/>
      <c r="HHF1331" s="1072"/>
      <c r="HHG1331" s="1072"/>
      <c r="HHH1331" s="1072"/>
      <c r="HHI1331" s="1072"/>
      <c r="HHJ1331" s="1072"/>
      <c r="HHK1331" s="1072"/>
      <c r="HHL1331" s="1072"/>
      <c r="HHM1331" s="1072"/>
      <c r="HHN1331" s="1072"/>
      <c r="HHO1331" s="1072"/>
      <c r="HHP1331" s="1072"/>
      <c r="HHQ1331" s="1072"/>
      <c r="HHR1331" s="1072"/>
      <c r="HHS1331" s="1072"/>
      <c r="HHT1331" s="1072"/>
      <c r="HHU1331" s="1072"/>
      <c r="HHV1331" s="1072"/>
      <c r="HHW1331" s="1072"/>
      <c r="HHX1331" s="1072"/>
      <c r="HHY1331" s="1072"/>
      <c r="HHZ1331" s="1072"/>
      <c r="HIA1331" s="1072"/>
      <c r="HIB1331" s="1072"/>
      <c r="HIC1331" s="1072"/>
      <c r="HID1331" s="1072"/>
      <c r="HIE1331" s="1072"/>
      <c r="HIF1331" s="1072"/>
      <c r="HIG1331" s="1072"/>
      <c r="HIH1331" s="1072"/>
      <c r="HII1331" s="1072"/>
      <c r="HIJ1331" s="1072"/>
      <c r="HIK1331" s="1072"/>
      <c r="HIL1331" s="1072"/>
      <c r="HIM1331" s="1072"/>
      <c r="HIN1331" s="1072"/>
      <c r="HIO1331" s="1072"/>
      <c r="HIP1331" s="1072"/>
      <c r="HIQ1331" s="1072"/>
      <c r="HIR1331" s="1072"/>
      <c r="HIS1331" s="1072"/>
      <c r="HIT1331" s="1072"/>
      <c r="HIU1331" s="1072"/>
      <c r="HIV1331" s="1072"/>
      <c r="HIW1331" s="1072"/>
      <c r="HIX1331" s="1072"/>
      <c r="HIY1331" s="1072"/>
      <c r="HIZ1331" s="1072"/>
      <c r="HJA1331" s="1072"/>
      <c r="HJB1331" s="1072"/>
      <c r="HJC1331" s="1072"/>
      <c r="HJD1331" s="1072"/>
      <c r="HJE1331" s="1072"/>
      <c r="HJF1331" s="1072"/>
      <c r="HJG1331" s="1072"/>
      <c r="HJH1331" s="1072"/>
      <c r="HJI1331" s="1072"/>
      <c r="HJJ1331" s="1072"/>
      <c r="HJK1331" s="1072"/>
      <c r="HJL1331" s="1072"/>
      <c r="HJM1331" s="1072"/>
      <c r="HJN1331" s="1072"/>
      <c r="HJO1331" s="1072"/>
      <c r="HJP1331" s="1072"/>
      <c r="HJQ1331" s="1072"/>
      <c r="HJR1331" s="1072"/>
      <c r="HJS1331" s="1072"/>
      <c r="HJT1331" s="1072"/>
      <c r="HJU1331" s="1072"/>
      <c r="HJV1331" s="1072"/>
      <c r="HJW1331" s="1072"/>
      <c r="HJX1331" s="1072"/>
      <c r="HJY1331" s="1072"/>
      <c r="HJZ1331" s="1072"/>
      <c r="HKA1331" s="1072"/>
      <c r="HKB1331" s="1072"/>
      <c r="HKC1331" s="1072"/>
      <c r="HKD1331" s="1072"/>
      <c r="HKE1331" s="1072"/>
      <c r="HKF1331" s="1072"/>
      <c r="HKG1331" s="1072"/>
      <c r="HKH1331" s="1072"/>
      <c r="HKI1331" s="1072"/>
      <c r="HKJ1331" s="1072"/>
      <c r="HKK1331" s="1072"/>
      <c r="HKL1331" s="1072"/>
      <c r="HKM1331" s="1072"/>
      <c r="HKN1331" s="1072"/>
      <c r="HKO1331" s="1072"/>
      <c r="HKP1331" s="1072"/>
      <c r="HKQ1331" s="1072"/>
      <c r="HKR1331" s="1072"/>
      <c r="HKS1331" s="1072"/>
      <c r="HKT1331" s="1072"/>
      <c r="HKU1331" s="1072"/>
      <c r="HKV1331" s="1072"/>
      <c r="HKW1331" s="1072"/>
      <c r="HKX1331" s="1072"/>
      <c r="HKY1331" s="1072"/>
      <c r="HKZ1331" s="1072"/>
      <c r="HLA1331" s="1072"/>
      <c r="HLB1331" s="1072"/>
      <c r="HLC1331" s="1072"/>
      <c r="HLD1331" s="1072"/>
      <c r="HLE1331" s="1072"/>
      <c r="HLF1331" s="1072"/>
      <c r="HLG1331" s="1072"/>
      <c r="HLH1331" s="1072"/>
      <c r="HLI1331" s="1072"/>
      <c r="HLJ1331" s="1072"/>
      <c r="HLK1331" s="1072"/>
      <c r="HLL1331" s="1072"/>
      <c r="HLM1331" s="1072"/>
      <c r="HLN1331" s="1072"/>
      <c r="HLO1331" s="1072"/>
      <c r="HLP1331" s="1072"/>
      <c r="HLQ1331" s="1072"/>
      <c r="HLR1331" s="1072"/>
      <c r="HLS1331" s="1072"/>
      <c r="HLT1331" s="1072"/>
      <c r="HLU1331" s="1072"/>
      <c r="HLV1331" s="1072"/>
      <c r="HLW1331" s="1072"/>
      <c r="HLX1331" s="1072"/>
      <c r="HLY1331" s="1072"/>
      <c r="HLZ1331" s="1072"/>
      <c r="HMA1331" s="1072"/>
      <c r="HMB1331" s="1072"/>
      <c r="HMC1331" s="1072"/>
      <c r="HMD1331" s="1072"/>
      <c r="HME1331" s="1072"/>
      <c r="HMF1331" s="1072"/>
      <c r="HMG1331" s="1072"/>
      <c r="HMH1331" s="1072"/>
      <c r="HMI1331" s="1072"/>
      <c r="HMJ1331" s="1072"/>
      <c r="HMK1331" s="1072"/>
      <c r="HML1331" s="1072"/>
      <c r="HMM1331" s="1072"/>
      <c r="HMN1331" s="1072"/>
      <c r="HMO1331" s="1072"/>
      <c r="HMP1331" s="1072"/>
      <c r="HMQ1331" s="1072"/>
      <c r="HMR1331" s="1072"/>
      <c r="HMS1331" s="1072"/>
      <c r="HMT1331" s="1072"/>
      <c r="HMU1331" s="1072"/>
      <c r="HMV1331" s="1072"/>
      <c r="HMW1331" s="1072"/>
      <c r="HMX1331" s="1072"/>
      <c r="HMY1331" s="1072"/>
      <c r="HMZ1331" s="1072"/>
      <c r="HNA1331" s="1072"/>
      <c r="HNB1331" s="1072"/>
      <c r="HNC1331" s="1072"/>
      <c r="HND1331" s="1072"/>
      <c r="HNE1331" s="1072"/>
      <c r="HNF1331" s="1072"/>
      <c r="HNG1331" s="1072"/>
      <c r="HNH1331" s="1072"/>
      <c r="HNI1331" s="1072"/>
      <c r="HNJ1331" s="1072"/>
      <c r="HNK1331" s="1072"/>
      <c r="HNL1331" s="1072"/>
      <c r="HNM1331" s="1072"/>
      <c r="HNN1331" s="1072"/>
      <c r="HNO1331" s="1072"/>
      <c r="HNP1331" s="1072"/>
      <c r="HNQ1331" s="1072"/>
      <c r="HNR1331" s="1072"/>
      <c r="HNS1331" s="1072"/>
      <c r="HNT1331" s="1072"/>
      <c r="HNU1331" s="1072"/>
      <c r="HNV1331" s="1072"/>
      <c r="HNW1331" s="1072"/>
      <c r="HNX1331" s="1072"/>
      <c r="HNY1331" s="1072"/>
      <c r="HNZ1331" s="1072"/>
      <c r="HOA1331" s="1072"/>
      <c r="HOB1331" s="1072"/>
      <c r="HOC1331" s="1072"/>
      <c r="HOD1331" s="1072"/>
      <c r="HOE1331" s="1072"/>
      <c r="HOF1331" s="1072"/>
      <c r="HOG1331" s="1072"/>
      <c r="HOH1331" s="1072"/>
      <c r="HOI1331" s="1072"/>
      <c r="HOJ1331" s="1072"/>
      <c r="HOK1331" s="1072"/>
      <c r="HOL1331" s="1072"/>
      <c r="HOM1331" s="1072"/>
      <c r="HON1331" s="1072"/>
      <c r="HOO1331" s="1072"/>
      <c r="HOP1331" s="1072"/>
      <c r="HOQ1331" s="1072"/>
      <c r="HOR1331" s="1072"/>
      <c r="HOS1331" s="1072"/>
      <c r="HOT1331" s="1072"/>
      <c r="HOU1331" s="1072"/>
      <c r="HOV1331" s="1072"/>
      <c r="HOW1331" s="1072"/>
      <c r="HOX1331" s="1072"/>
      <c r="HOY1331" s="1072"/>
      <c r="HOZ1331" s="1072"/>
      <c r="HPA1331" s="1072"/>
      <c r="HPB1331" s="1072"/>
      <c r="HPC1331" s="1072"/>
      <c r="HPD1331" s="1072"/>
      <c r="HPE1331" s="1072"/>
      <c r="HPF1331" s="1072"/>
      <c r="HPG1331" s="1072"/>
      <c r="HPH1331" s="1072"/>
      <c r="HPI1331" s="1072"/>
      <c r="HPJ1331" s="1072"/>
      <c r="HPK1331" s="1072"/>
      <c r="HPL1331" s="1072"/>
      <c r="HPM1331" s="1072"/>
      <c r="HPN1331" s="1072"/>
      <c r="HPO1331" s="1072"/>
      <c r="HPP1331" s="1072"/>
      <c r="HPQ1331" s="1072"/>
      <c r="HPR1331" s="1072"/>
      <c r="HPS1331" s="1072"/>
      <c r="HPT1331" s="1072"/>
      <c r="HPU1331" s="1072"/>
      <c r="HPV1331" s="1072"/>
      <c r="HPW1331" s="1072"/>
      <c r="HPX1331" s="1072"/>
      <c r="HPY1331" s="1072"/>
      <c r="HPZ1331" s="1072"/>
      <c r="HQA1331" s="1072"/>
      <c r="HQB1331" s="1072"/>
      <c r="HQC1331" s="1072"/>
      <c r="HQD1331" s="1072"/>
      <c r="HQE1331" s="1072"/>
      <c r="HQF1331" s="1072"/>
      <c r="HQG1331" s="1072"/>
      <c r="HQH1331" s="1072"/>
      <c r="HQI1331" s="1072"/>
      <c r="HQJ1331" s="1072"/>
      <c r="HQK1331" s="1072"/>
      <c r="HQL1331" s="1072"/>
      <c r="HQM1331" s="1072"/>
      <c r="HQN1331" s="1072"/>
      <c r="HQO1331" s="1072"/>
      <c r="HQP1331" s="1072"/>
      <c r="HQQ1331" s="1072"/>
      <c r="HQR1331" s="1072"/>
      <c r="HQS1331" s="1072"/>
      <c r="HQT1331" s="1072"/>
      <c r="HQU1331" s="1072"/>
      <c r="HQV1331" s="1072"/>
      <c r="HQW1331" s="1072"/>
      <c r="HQX1331" s="1072"/>
      <c r="HQY1331" s="1072"/>
      <c r="HQZ1331" s="1072"/>
      <c r="HRA1331" s="1072"/>
      <c r="HRB1331" s="1072"/>
      <c r="HRC1331" s="1072"/>
      <c r="HRD1331" s="1072"/>
      <c r="HRE1331" s="1072"/>
      <c r="HRF1331" s="1072"/>
      <c r="HRG1331" s="1072"/>
      <c r="HRH1331" s="1072"/>
      <c r="HRI1331" s="1072"/>
      <c r="HRJ1331" s="1072"/>
      <c r="HRK1331" s="1072"/>
      <c r="HRL1331" s="1072"/>
      <c r="HRM1331" s="1072"/>
      <c r="HRN1331" s="1072"/>
      <c r="HRO1331" s="1072"/>
      <c r="HRP1331" s="1072"/>
      <c r="HRQ1331" s="1072"/>
      <c r="HRR1331" s="1072"/>
      <c r="HRS1331" s="1072"/>
      <c r="HRT1331" s="1072"/>
      <c r="HRU1331" s="1072"/>
      <c r="HRV1331" s="1072"/>
      <c r="HRW1331" s="1072"/>
      <c r="HRX1331" s="1072"/>
      <c r="HRY1331" s="1072"/>
      <c r="HRZ1331" s="1072"/>
      <c r="HSA1331" s="1072"/>
      <c r="HSB1331" s="1072"/>
      <c r="HSC1331" s="1072"/>
      <c r="HSD1331" s="1072"/>
      <c r="HSE1331" s="1072"/>
      <c r="HSF1331" s="1072"/>
      <c r="HSG1331" s="1072"/>
      <c r="HSH1331" s="1072"/>
      <c r="HSI1331" s="1072"/>
      <c r="HSJ1331" s="1072"/>
      <c r="HSK1331" s="1072"/>
      <c r="HSL1331" s="1072"/>
      <c r="HSM1331" s="1072"/>
      <c r="HSN1331" s="1072"/>
      <c r="HSO1331" s="1072"/>
      <c r="HSP1331" s="1072"/>
      <c r="HSQ1331" s="1072"/>
      <c r="HSR1331" s="1072"/>
      <c r="HSS1331" s="1072"/>
      <c r="HST1331" s="1072"/>
      <c r="HSU1331" s="1072"/>
      <c r="HSV1331" s="1072"/>
      <c r="HSW1331" s="1072"/>
      <c r="HSX1331" s="1072"/>
      <c r="HSY1331" s="1072"/>
      <c r="HSZ1331" s="1072"/>
      <c r="HTA1331" s="1072"/>
      <c r="HTB1331" s="1072"/>
      <c r="HTC1331" s="1072"/>
      <c r="HTD1331" s="1072"/>
      <c r="HTE1331" s="1072"/>
      <c r="HTF1331" s="1072"/>
      <c r="HTG1331" s="1072"/>
      <c r="HTH1331" s="1072"/>
      <c r="HTI1331" s="1072"/>
      <c r="HTJ1331" s="1072"/>
      <c r="HTK1331" s="1072"/>
      <c r="HTL1331" s="1072"/>
      <c r="HTM1331" s="1072"/>
      <c r="HTN1331" s="1072"/>
      <c r="HTO1331" s="1072"/>
      <c r="HTP1331" s="1072"/>
      <c r="HTQ1331" s="1072"/>
      <c r="HTR1331" s="1072"/>
      <c r="HTS1331" s="1072"/>
      <c r="HTT1331" s="1072"/>
      <c r="HTU1331" s="1072"/>
      <c r="HTV1331" s="1072"/>
      <c r="HTW1331" s="1072"/>
      <c r="HTX1331" s="1072"/>
      <c r="HTY1331" s="1072"/>
      <c r="HTZ1331" s="1072"/>
      <c r="HUA1331" s="1072"/>
      <c r="HUB1331" s="1072"/>
      <c r="HUC1331" s="1072"/>
      <c r="HUD1331" s="1072"/>
      <c r="HUE1331" s="1072"/>
      <c r="HUF1331" s="1072"/>
      <c r="HUG1331" s="1072"/>
      <c r="HUH1331" s="1072"/>
      <c r="HUI1331" s="1072"/>
      <c r="HUJ1331" s="1072"/>
      <c r="HUK1331" s="1072"/>
      <c r="HUL1331" s="1072"/>
      <c r="HUM1331" s="1072"/>
      <c r="HUN1331" s="1072"/>
      <c r="HUO1331" s="1072"/>
      <c r="HUP1331" s="1072"/>
      <c r="HUQ1331" s="1072"/>
      <c r="HUR1331" s="1072"/>
      <c r="HUS1331" s="1072"/>
      <c r="HUT1331" s="1072"/>
      <c r="HUU1331" s="1072"/>
      <c r="HUV1331" s="1072"/>
      <c r="HUW1331" s="1072"/>
      <c r="HUX1331" s="1072"/>
      <c r="HUY1331" s="1072"/>
      <c r="HUZ1331" s="1072"/>
      <c r="HVA1331" s="1072"/>
      <c r="HVB1331" s="1072"/>
      <c r="HVC1331" s="1072"/>
      <c r="HVD1331" s="1072"/>
      <c r="HVE1331" s="1072"/>
      <c r="HVF1331" s="1072"/>
      <c r="HVG1331" s="1072"/>
      <c r="HVH1331" s="1072"/>
      <c r="HVI1331" s="1072"/>
      <c r="HVJ1331" s="1072"/>
      <c r="HVK1331" s="1072"/>
      <c r="HVL1331" s="1072"/>
      <c r="HVM1331" s="1072"/>
      <c r="HVN1331" s="1072"/>
      <c r="HVO1331" s="1072"/>
      <c r="HVP1331" s="1072"/>
      <c r="HVQ1331" s="1072"/>
      <c r="HVR1331" s="1072"/>
      <c r="HVS1331" s="1072"/>
      <c r="HVT1331" s="1072"/>
      <c r="HVU1331" s="1072"/>
      <c r="HVV1331" s="1072"/>
      <c r="HVW1331" s="1072"/>
      <c r="HVX1331" s="1072"/>
      <c r="HVY1331" s="1072"/>
      <c r="HVZ1331" s="1072"/>
      <c r="HWA1331" s="1072"/>
      <c r="HWB1331" s="1072"/>
      <c r="HWC1331" s="1072"/>
      <c r="HWD1331" s="1072"/>
      <c r="HWE1331" s="1072"/>
      <c r="HWF1331" s="1072"/>
      <c r="HWG1331" s="1072"/>
      <c r="HWH1331" s="1072"/>
      <c r="HWI1331" s="1072"/>
      <c r="HWJ1331" s="1072"/>
      <c r="HWK1331" s="1072"/>
      <c r="HWL1331" s="1072"/>
      <c r="HWM1331" s="1072"/>
      <c r="HWN1331" s="1072"/>
      <c r="HWO1331" s="1072"/>
      <c r="HWP1331" s="1072"/>
      <c r="HWQ1331" s="1072"/>
      <c r="HWR1331" s="1072"/>
      <c r="HWS1331" s="1072"/>
      <c r="HWT1331" s="1072"/>
      <c r="HWU1331" s="1072"/>
      <c r="HWV1331" s="1072"/>
      <c r="HWW1331" s="1072"/>
      <c r="HWX1331" s="1072"/>
      <c r="HWY1331" s="1072"/>
      <c r="HWZ1331" s="1072"/>
      <c r="HXA1331" s="1072"/>
      <c r="HXB1331" s="1072"/>
      <c r="HXC1331" s="1072"/>
      <c r="HXD1331" s="1072"/>
      <c r="HXE1331" s="1072"/>
      <c r="HXF1331" s="1072"/>
      <c r="HXG1331" s="1072"/>
      <c r="HXH1331" s="1072"/>
      <c r="HXI1331" s="1072"/>
      <c r="HXJ1331" s="1072"/>
      <c r="HXK1331" s="1072"/>
      <c r="HXL1331" s="1072"/>
      <c r="HXM1331" s="1072"/>
      <c r="HXN1331" s="1072"/>
      <c r="HXO1331" s="1072"/>
      <c r="HXP1331" s="1072"/>
      <c r="HXQ1331" s="1072"/>
      <c r="HXR1331" s="1072"/>
      <c r="HXS1331" s="1072"/>
      <c r="HXT1331" s="1072"/>
      <c r="HXU1331" s="1072"/>
      <c r="HXV1331" s="1072"/>
      <c r="HXW1331" s="1072"/>
      <c r="HXX1331" s="1072"/>
      <c r="HXY1331" s="1072"/>
      <c r="HXZ1331" s="1072"/>
      <c r="HYA1331" s="1072"/>
      <c r="HYB1331" s="1072"/>
      <c r="HYC1331" s="1072"/>
      <c r="HYD1331" s="1072"/>
      <c r="HYE1331" s="1072"/>
      <c r="HYF1331" s="1072"/>
      <c r="HYG1331" s="1072"/>
      <c r="HYH1331" s="1072"/>
      <c r="HYI1331" s="1072"/>
      <c r="HYJ1331" s="1072"/>
      <c r="HYK1331" s="1072"/>
      <c r="HYL1331" s="1072"/>
      <c r="HYM1331" s="1072"/>
      <c r="HYN1331" s="1072"/>
      <c r="HYO1331" s="1072"/>
      <c r="HYP1331" s="1072"/>
      <c r="HYQ1331" s="1072"/>
      <c r="HYR1331" s="1072"/>
      <c r="HYS1331" s="1072"/>
      <c r="HYT1331" s="1072"/>
      <c r="HYU1331" s="1072"/>
      <c r="HYV1331" s="1072"/>
      <c r="HYW1331" s="1072"/>
      <c r="HYX1331" s="1072"/>
      <c r="HYY1331" s="1072"/>
      <c r="HYZ1331" s="1072"/>
      <c r="HZA1331" s="1072"/>
      <c r="HZB1331" s="1072"/>
      <c r="HZC1331" s="1072"/>
      <c r="HZD1331" s="1072"/>
      <c r="HZE1331" s="1072"/>
      <c r="HZF1331" s="1072"/>
      <c r="HZG1331" s="1072"/>
      <c r="HZH1331" s="1072"/>
      <c r="HZI1331" s="1072"/>
      <c r="HZJ1331" s="1072"/>
      <c r="HZK1331" s="1072"/>
      <c r="HZL1331" s="1072"/>
      <c r="HZM1331" s="1072"/>
      <c r="HZN1331" s="1072"/>
      <c r="HZO1331" s="1072"/>
      <c r="HZP1331" s="1072"/>
      <c r="HZQ1331" s="1072"/>
      <c r="HZR1331" s="1072"/>
      <c r="HZS1331" s="1072"/>
      <c r="HZT1331" s="1072"/>
      <c r="HZU1331" s="1072"/>
      <c r="HZV1331" s="1072"/>
      <c r="HZW1331" s="1072"/>
      <c r="HZX1331" s="1072"/>
      <c r="HZY1331" s="1072"/>
      <c r="HZZ1331" s="1072"/>
      <c r="IAA1331" s="1072"/>
      <c r="IAB1331" s="1072"/>
      <c r="IAC1331" s="1072"/>
      <c r="IAD1331" s="1072"/>
      <c r="IAE1331" s="1072"/>
      <c r="IAF1331" s="1072"/>
      <c r="IAG1331" s="1072"/>
      <c r="IAH1331" s="1072"/>
      <c r="IAI1331" s="1072"/>
      <c r="IAJ1331" s="1072"/>
      <c r="IAK1331" s="1072"/>
      <c r="IAL1331" s="1072"/>
      <c r="IAM1331" s="1072"/>
      <c r="IAN1331" s="1072"/>
      <c r="IAO1331" s="1072"/>
      <c r="IAP1331" s="1072"/>
      <c r="IAQ1331" s="1072"/>
      <c r="IAR1331" s="1072"/>
      <c r="IAS1331" s="1072"/>
      <c r="IAT1331" s="1072"/>
      <c r="IAU1331" s="1072"/>
      <c r="IAV1331" s="1072"/>
      <c r="IAW1331" s="1072"/>
      <c r="IAX1331" s="1072"/>
      <c r="IAY1331" s="1072"/>
      <c r="IAZ1331" s="1072"/>
      <c r="IBA1331" s="1072"/>
      <c r="IBB1331" s="1072"/>
      <c r="IBC1331" s="1072"/>
      <c r="IBD1331" s="1072"/>
      <c r="IBE1331" s="1072"/>
      <c r="IBF1331" s="1072"/>
      <c r="IBG1331" s="1072"/>
      <c r="IBH1331" s="1072"/>
      <c r="IBI1331" s="1072"/>
      <c r="IBJ1331" s="1072"/>
      <c r="IBK1331" s="1072"/>
      <c r="IBL1331" s="1072"/>
      <c r="IBM1331" s="1072"/>
      <c r="IBN1331" s="1072"/>
      <c r="IBO1331" s="1072"/>
      <c r="IBP1331" s="1072"/>
      <c r="IBQ1331" s="1072"/>
      <c r="IBR1331" s="1072"/>
      <c r="IBS1331" s="1072"/>
      <c r="IBT1331" s="1072"/>
      <c r="IBU1331" s="1072"/>
      <c r="IBV1331" s="1072"/>
      <c r="IBW1331" s="1072"/>
      <c r="IBX1331" s="1072"/>
      <c r="IBY1331" s="1072"/>
      <c r="IBZ1331" s="1072"/>
      <c r="ICA1331" s="1072"/>
      <c r="ICB1331" s="1072"/>
      <c r="ICC1331" s="1072"/>
      <c r="ICD1331" s="1072"/>
      <c r="ICE1331" s="1072"/>
      <c r="ICF1331" s="1072"/>
      <c r="ICG1331" s="1072"/>
      <c r="ICH1331" s="1072"/>
      <c r="ICI1331" s="1072"/>
      <c r="ICJ1331" s="1072"/>
      <c r="ICK1331" s="1072"/>
      <c r="ICL1331" s="1072"/>
      <c r="ICM1331" s="1072"/>
      <c r="ICN1331" s="1072"/>
      <c r="ICO1331" s="1072"/>
      <c r="ICP1331" s="1072"/>
      <c r="ICQ1331" s="1072"/>
      <c r="ICR1331" s="1072"/>
      <c r="ICS1331" s="1072"/>
      <c r="ICT1331" s="1072"/>
      <c r="ICU1331" s="1072"/>
      <c r="ICV1331" s="1072"/>
      <c r="ICW1331" s="1072"/>
      <c r="ICX1331" s="1072"/>
      <c r="ICY1331" s="1072"/>
      <c r="ICZ1331" s="1072"/>
      <c r="IDA1331" s="1072"/>
      <c r="IDB1331" s="1072"/>
      <c r="IDC1331" s="1072"/>
      <c r="IDD1331" s="1072"/>
      <c r="IDE1331" s="1072"/>
      <c r="IDF1331" s="1072"/>
      <c r="IDG1331" s="1072"/>
      <c r="IDH1331" s="1072"/>
      <c r="IDI1331" s="1072"/>
      <c r="IDJ1331" s="1072"/>
      <c r="IDK1331" s="1072"/>
      <c r="IDL1331" s="1072"/>
      <c r="IDM1331" s="1072"/>
      <c r="IDN1331" s="1072"/>
      <c r="IDO1331" s="1072"/>
      <c r="IDP1331" s="1072"/>
      <c r="IDQ1331" s="1072"/>
      <c r="IDR1331" s="1072"/>
      <c r="IDS1331" s="1072"/>
      <c r="IDT1331" s="1072"/>
      <c r="IDU1331" s="1072"/>
      <c r="IDV1331" s="1072"/>
      <c r="IDW1331" s="1072"/>
      <c r="IDX1331" s="1072"/>
      <c r="IDY1331" s="1072"/>
      <c r="IDZ1331" s="1072"/>
      <c r="IEA1331" s="1072"/>
      <c r="IEB1331" s="1072"/>
      <c r="IEC1331" s="1072"/>
      <c r="IED1331" s="1072"/>
      <c r="IEE1331" s="1072"/>
      <c r="IEF1331" s="1072"/>
      <c r="IEG1331" s="1072"/>
      <c r="IEH1331" s="1072"/>
      <c r="IEI1331" s="1072"/>
      <c r="IEJ1331" s="1072"/>
      <c r="IEK1331" s="1072"/>
      <c r="IEL1331" s="1072"/>
      <c r="IEM1331" s="1072"/>
      <c r="IEN1331" s="1072"/>
      <c r="IEO1331" s="1072"/>
      <c r="IEP1331" s="1072"/>
      <c r="IEQ1331" s="1072"/>
      <c r="IER1331" s="1072"/>
      <c r="IES1331" s="1072"/>
      <c r="IET1331" s="1072"/>
      <c r="IEU1331" s="1072"/>
      <c r="IEV1331" s="1072"/>
      <c r="IEW1331" s="1072"/>
      <c r="IEX1331" s="1072"/>
      <c r="IEY1331" s="1072"/>
      <c r="IEZ1331" s="1072"/>
      <c r="IFA1331" s="1072"/>
      <c r="IFB1331" s="1072"/>
      <c r="IFC1331" s="1072"/>
      <c r="IFD1331" s="1072"/>
      <c r="IFE1331" s="1072"/>
      <c r="IFF1331" s="1072"/>
      <c r="IFG1331" s="1072"/>
      <c r="IFH1331" s="1072"/>
      <c r="IFI1331" s="1072"/>
      <c r="IFJ1331" s="1072"/>
      <c r="IFK1331" s="1072"/>
      <c r="IFL1331" s="1072"/>
      <c r="IFM1331" s="1072"/>
      <c r="IFN1331" s="1072"/>
      <c r="IFO1331" s="1072"/>
      <c r="IFP1331" s="1072"/>
      <c r="IFQ1331" s="1072"/>
      <c r="IFR1331" s="1072"/>
      <c r="IFS1331" s="1072"/>
      <c r="IFT1331" s="1072"/>
      <c r="IFU1331" s="1072"/>
      <c r="IFV1331" s="1072"/>
      <c r="IFW1331" s="1072"/>
      <c r="IFX1331" s="1072"/>
      <c r="IFY1331" s="1072"/>
      <c r="IFZ1331" s="1072"/>
      <c r="IGA1331" s="1072"/>
      <c r="IGB1331" s="1072"/>
      <c r="IGC1331" s="1072"/>
      <c r="IGD1331" s="1072"/>
      <c r="IGE1331" s="1072"/>
      <c r="IGF1331" s="1072"/>
      <c r="IGG1331" s="1072"/>
      <c r="IGH1331" s="1072"/>
      <c r="IGI1331" s="1072"/>
      <c r="IGJ1331" s="1072"/>
      <c r="IGK1331" s="1072"/>
      <c r="IGL1331" s="1072"/>
      <c r="IGM1331" s="1072"/>
      <c r="IGN1331" s="1072"/>
      <c r="IGO1331" s="1072"/>
      <c r="IGP1331" s="1072"/>
      <c r="IGQ1331" s="1072"/>
      <c r="IGR1331" s="1072"/>
      <c r="IGS1331" s="1072"/>
      <c r="IGT1331" s="1072"/>
      <c r="IGU1331" s="1072"/>
      <c r="IGV1331" s="1072"/>
      <c r="IGW1331" s="1072"/>
      <c r="IGX1331" s="1072"/>
      <c r="IGY1331" s="1072"/>
      <c r="IGZ1331" s="1072"/>
      <c r="IHA1331" s="1072"/>
      <c r="IHB1331" s="1072"/>
      <c r="IHC1331" s="1072"/>
      <c r="IHD1331" s="1072"/>
      <c r="IHE1331" s="1072"/>
      <c r="IHF1331" s="1072"/>
      <c r="IHG1331" s="1072"/>
      <c r="IHH1331" s="1072"/>
      <c r="IHI1331" s="1072"/>
      <c r="IHJ1331" s="1072"/>
      <c r="IHK1331" s="1072"/>
      <c r="IHL1331" s="1072"/>
      <c r="IHM1331" s="1072"/>
      <c r="IHN1331" s="1072"/>
      <c r="IHO1331" s="1072"/>
      <c r="IHP1331" s="1072"/>
      <c r="IHQ1331" s="1072"/>
      <c r="IHR1331" s="1072"/>
      <c r="IHS1331" s="1072"/>
      <c r="IHT1331" s="1072"/>
      <c r="IHU1331" s="1072"/>
      <c r="IHV1331" s="1072"/>
      <c r="IHW1331" s="1072"/>
      <c r="IHX1331" s="1072"/>
      <c r="IHY1331" s="1072"/>
      <c r="IHZ1331" s="1072"/>
      <c r="IIA1331" s="1072"/>
      <c r="IIB1331" s="1072"/>
      <c r="IIC1331" s="1072"/>
      <c r="IID1331" s="1072"/>
      <c r="IIE1331" s="1072"/>
      <c r="IIF1331" s="1072"/>
      <c r="IIG1331" s="1072"/>
      <c r="IIH1331" s="1072"/>
      <c r="III1331" s="1072"/>
      <c r="IIJ1331" s="1072"/>
      <c r="IIK1331" s="1072"/>
      <c r="IIL1331" s="1072"/>
      <c r="IIM1331" s="1072"/>
      <c r="IIN1331" s="1072"/>
      <c r="IIO1331" s="1072"/>
      <c r="IIP1331" s="1072"/>
      <c r="IIQ1331" s="1072"/>
      <c r="IIR1331" s="1072"/>
      <c r="IIS1331" s="1072"/>
      <c r="IIT1331" s="1072"/>
      <c r="IIU1331" s="1072"/>
      <c r="IIV1331" s="1072"/>
      <c r="IIW1331" s="1072"/>
      <c r="IIX1331" s="1072"/>
      <c r="IIY1331" s="1072"/>
      <c r="IIZ1331" s="1072"/>
      <c r="IJA1331" s="1072"/>
      <c r="IJB1331" s="1072"/>
      <c r="IJC1331" s="1072"/>
      <c r="IJD1331" s="1072"/>
      <c r="IJE1331" s="1072"/>
      <c r="IJF1331" s="1072"/>
      <c r="IJG1331" s="1072"/>
      <c r="IJH1331" s="1072"/>
      <c r="IJI1331" s="1072"/>
      <c r="IJJ1331" s="1072"/>
      <c r="IJK1331" s="1072"/>
      <c r="IJL1331" s="1072"/>
      <c r="IJM1331" s="1072"/>
      <c r="IJN1331" s="1072"/>
      <c r="IJO1331" s="1072"/>
      <c r="IJP1331" s="1072"/>
      <c r="IJQ1331" s="1072"/>
      <c r="IJR1331" s="1072"/>
      <c r="IJS1331" s="1072"/>
      <c r="IJT1331" s="1072"/>
      <c r="IJU1331" s="1072"/>
      <c r="IJV1331" s="1072"/>
      <c r="IJW1331" s="1072"/>
      <c r="IJX1331" s="1072"/>
      <c r="IJY1331" s="1072"/>
      <c r="IJZ1331" s="1072"/>
      <c r="IKA1331" s="1072"/>
      <c r="IKB1331" s="1072"/>
      <c r="IKC1331" s="1072"/>
      <c r="IKD1331" s="1072"/>
      <c r="IKE1331" s="1072"/>
      <c r="IKF1331" s="1072"/>
      <c r="IKG1331" s="1072"/>
      <c r="IKH1331" s="1072"/>
      <c r="IKI1331" s="1072"/>
      <c r="IKJ1331" s="1072"/>
      <c r="IKK1331" s="1072"/>
      <c r="IKL1331" s="1072"/>
      <c r="IKM1331" s="1072"/>
      <c r="IKN1331" s="1072"/>
      <c r="IKO1331" s="1072"/>
      <c r="IKP1331" s="1072"/>
      <c r="IKQ1331" s="1072"/>
      <c r="IKR1331" s="1072"/>
      <c r="IKS1331" s="1072"/>
      <c r="IKT1331" s="1072"/>
      <c r="IKU1331" s="1072"/>
      <c r="IKV1331" s="1072"/>
      <c r="IKW1331" s="1072"/>
      <c r="IKX1331" s="1072"/>
      <c r="IKY1331" s="1072"/>
      <c r="IKZ1331" s="1072"/>
      <c r="ILA1331" s="1072"/>
      <c r="ILB1331" s="1072"/>
      <c r="ILC1331" s="1072"/>
      <c r="ILD1331" s="1072"/>
      <c r="ILE1331" s="1072"/>
      <c r="ILF1331" s="1072"/>
      <c r="ILG1331" s="1072"/>
      <c r="ILH1331" s="1072"/>
      <c r="ILI1331" s="1072"/>
      <c r="ILJ1331" s="1072"/>
      <c r="ILK1331" s="1072"/>
      <c r="ILL1331" s="1072"/>
      <c r="ILM1331" s="1072"/>
      <c r="ILN1331" s="1072"/>
      <c r="ILO1331" s="1072"/>
      <c r="ILP1331" s="1072"/>
      <c r="ILQ1331" s="1072"/>
      <c r="ILR1331" s="1072"/>
      <c r="ILS1331" s="1072"/>
      <c r="ILT1331" s="1072"/>
      <c r="ILU1331" s="1072"/>
      <c r="ILV1331" s="1072"/>
      <c r="ILW1331" s="1072"/>
      <c r="ILX1331" s="1072"/>
      <c r="ILY1331" s="1072"/>
      <c r="ILZ1331" s="1072"/>
      <c r="IMA1331" s="1072"/>
      <c r="IMB1331" s="1072"/>
      <c r="IMC1331" s="1072"/>
      <c r="IMD1331" s="1072"/>
      <c r="IME1331" s="1072"/>
      <c r="IMF1331" s="1072"/>
      <c r="IMG1331" s="1072"/>
      <c r="IMH1331" s="1072"/>
      <c r="IMI1331" s="1072"/>
      <c r="IMJ1331" s="1072"/>
      <c r="IMK1331" s="1072"/>
      <c r="IML1331" s="1072"/>
      <c r="IMM1331" s="1072"/>
      <c r="IMN1331" s="1072"/>
      <c r="IMO1331" s="1072"/>
      <c r="IMP1331" s="1072"/>
      <c r="IMQ1331" s="1072"/>
      <c r="IMR1331" s="1072"/>
      <c r="IMS1331" s="1072"/>
      <c r="IMT1331" s="1072"/>
      <c r="IMU1331" s="1072"/>
      <c r="IMV1331" s="1072"/>
      <c r="IMW1331" s="1072"/>
      <c r="IMX1331" s="1072"/>
      <c r="IMY1331" s="1072"/>
      <c r="IMZ1331" s="1072"/>
      <c r="INA1331" s="1072"/>
      <c r="INB1331" s="1072"/>
      <c r="INC1331" s="1072"/>
      <c r="IND1331" s="1072"/>
      <c r="INE1331" s="1072"/>
      <c r="INF1331" s="1072"/>
      <c r="ING1331" s="1072"/>
      <c r="INH1331" s="1072"/>
      <c r="INI1331" s="1072"/>
      <c r="INJ1331" s="1072"/>
      <c r="INK1331" s="1072"/>
      <c r="INL1331" s="1072"/>
      <c r="INM1331" s="1072"/>
      <c r="INN1331" s="1072"/>
      <c r="INO1331" s="1072"/>
      <c r="INP1331" s="1072"/>
      <c r="INQ1331" s="1072"/>
      <c r="INR1331" s="1072"/>
      <c r="INS1331" s="1072"/>
      <c r="INT1331" s="1072"/>
      <c r="INU1331" s="1072"/>
      <c r="INV1331" s="1072"/>
      <c r="INW1331" s="1072"/>
      <c r="INX1331" s="1072"/>
      <c r="INY1331" s="1072"/>
      <c r="INZ1331" s="1072"/>
      <c r="IOA1331" s="1072"/>
      <c r="IOB1331" s="1072"/>
      <c r="IOC1331" s="1072"/>
      <c r="IOD1331" s="1072"/>
      <c r="IOE1331" s="1072"/>
      <c r="IOF1331" s="1072"/>
      <c r="IOG1331" s="1072"/>
      <c r="IOH1331" s="1072"/>
      <c r="IOI1331" s="1072"/>
      <c r="IOJ1331" s="1072"/>
      <c r="IOK1331" s="1072"/>
      <c r="IOL1331" s="1072"/>
      <c r="IOM1331" s="1072"/>
      <c r="ION1331" s="1072"/>
      <c r="IOO1331" s="1072"/>
      <c r="IOP1331" s="1072"/>
      <c r="IOQ1331" s="1072"/>
      <c r="IOR1331" s="1072"/>
      <c r="IOS1331" s="1072"/>
      <c r="IOT1331" s="1072"/>
      <c r="IOU1331" s="1072"/>
      <c r="IOV1331" s="1072"/>
      <c r="IOW1331" s="1072"/>
      <c r="IOX1331" s="1072"/>
      <c r="IOY1331" s="1072"/>
      <c r="IOZ1331" s="1072"/>
      <c r="IPA1331" s="1072"/>
      <c r="IPB1331" s="1072"/>
      <c r="IPC1331" s="1072"/>
      <c r="IPD1331" s="1072"/>
      <c r="IPE1331" s="1072"/>
      <c r="IPF1331" s="1072"/>
      <c r="IPG1331" s="1072"/>
      <c r="IPH1331" s="1072"/>
      <c r="IPI1331" s="1072"/>
      <c r="IPJ1331" s="1072"/>
      <c r="IPK1331" s="1072"/>
      <c r="IPL1331" s="1072"/>
      <c r="IPM1331" s="1072"/>
      <c r="IPN1331" s="1072"/>
      <c r="IPO1331" s="1072"/>
      <c r="IPP1331" s="1072"/>
      <c r="IPQ1331" s="1072"/>
      <c r="IPR1331" s="1072"/>
      <c r="IPS1331" s="1072"/>
      <c r="IPT1331" s="1072"/>
      <c r="IPU1331" s="1072"/>
      <c r="IPV1331" s="1072"/>
      <c r="IPW1331" s="1072"/>
      <c r="IPX1331" s="1072"/>
      <c r="IPY1331" s="1072"/>
      <c r="IPZ1331" s="1072"/>
      <c r="IQA1331" s="1072"/>
      <c r="IQB1331" s="1072"/>
      <c r="IQC1331" s="1072"/>
      <c r="IQD1331" s="1072"/>
      <c r="IQE1331" s="1072"/>
      <c r="IQF1331" s="1072"/>
      <c r="IQG1331" s="1072"/>
      <c r="IQH1331" s="1072"/>
      <c r="IQI1331" s="1072"/>
      <c r="IQJ1331" s="1072"/>
      <c r="IQK1331" s="1072"/>
      <c r="IQL1331" s="1072"/>
      <c r="IQM1331" s="1072"/>
      <c r="IQN1331" s="1072"/>
      <c r="IQO1331" s="1072"/>
      <c r="IQP1331" s="1072"/>
      <c r="IQQ1331" s="1072"/>
      <c r="IQR1331" s="1072"/>
      <c r="IQS1331" s="1072"/>
      <c r="IQT1331" s="1072"/>
      <c r="IQU1331" s="1072"/>
      <c r="IQV1331" s="1072"/>
      <c r="IQW1331" s="1072"/>
      <c r="IQX1331" s="1072"/>
      <c r="IQY1331" s="1072"/>
      <c r="IQZ1331" s="1072"/>
      <c r="IRA1331" s="1072"/>
      <c r="IRB1331" s="1072"/>
      <c r="IRC1331" s="1072"/>
      <c r="IRD1331" s="1072"/>
      <c r="IRE1331" s="1072"/>
      <c r="IRF1331" s="1072"/>
      <c r="IRG1331" s="1072"/>
      <c r="IRH1331" s="1072"/>
      <c r="IRI1331" s="1072"/>
      <c r="IRJ1331" s="1072"/>
      <c r="IRK1331" s="1072"/>
      <c r="IRL1331" s="1072"/>
      <c r="IRM1331" s="1072"/>
      <c r="IRN1331" s="1072"/>
      <c r="IRO1331" s="1072"/>
      <c r="IRP1331" s="1072"/>
      <c r="IRQ1331" s="1072"/>
      <c r="IRR1331" s="1072"/>
      <c r="IRS1331" s="1072"/>
      <c r="IRT1331" s="1072"/>
      <c r="IRU1331" s="1072"/>
      <c r="IRV1331" s="1072"/>
      <c r="IRW1331" s="1072"/>
      <c r="IRX1331" s="1072"/>
      <c r="IRY1331" s="1072"/>
      <c r="IRZ1331" s="1072"/>
      <c r="ISA1331" s="1072"/>
      <c r="ISB1331" s="1072"/>
      <c r="ISC1331" s="1072"/>
      <c r="ISD1331" s="1072"/>
      <c r="ISE1331" s="1072"/>
      <c r="ISF1331" s="1072"/>
      <c r="ISG1331" s="1072"/>
      <c r="ISH1331" s="1072"/>
      <c r="ISI1331" s="1072"/>
      <c r="ISJ1331" s="1072"/>
      <c r="ISK1331" s="1072"/>
      <c r="ISL1331" s="1072"/>
      <c r="ISM1331" s="1072"/>
      <c r="ISN1331" s="1072"/>
      <c r="ISO1331" s="1072"/>
      <c r="ISP1331" s="1072"/>
      <c r="ISQ1331" s="1072"/>
      <c r="ISR1331" s="1072"/>
      <c r="ISS1331" s="1072"/>
      <c r="IST1331" s="1072"/>
      <c r="ISU1331" s="1072"/>
      <c r="ISV1331" s="1072"/>
      <c r="ISW1331" s="1072"/>
      <c r="ISX1331" s="1072"/>
      <c r="ISY1331" s="1072"/>
      <c r="ISZ1331" s="1072"/>
      <c r="ITA1331" s="1072"/>
      <c r="ITB1331" s="1072"/>
      <c r="ITC1331" s="1072"/>
      <c r="ITD1331" s="1072"/>
      <c r="ITE1331" s="1072"/>
      <c r="ITF1331" s="1072"/>
      <c r="ITG1331" s="1072"/>
      <c r="ITH1331" s="1072"/>
      <c r="ITI1331" s="1072"/>
      <c r="ITJ1331" s="1072"/>
      <c r="ITK1331" s="1072"/>
      <c r="ITL1331" s="1072"/>
      <c r="ITM1331" s="1072"/>
      <c r="ITN1331" s="1072"/>
      <c r="ITO1331" s="1072"/>
      <c r="ITP1331" s="1072"/>
      <c r="ITQ1331" s="1072"/>
      <c r="ITR1331" s="1072"/>
      <c r="ITS1331" s="1072"/>
      <c r="ITT1331" s="1072"/>
      <c r="ITU1331" s="1072"/>
      <c r="ITV1331" s="1072"/>
      <c r="ITW1331" s="1072"/>
      <c r="ITX1331" s="1072"/>
      <c r="ITY1331" s="1072"/>
      <c r="ITZ1331" s="1072"/>
      <c r="IUA1331" s="1072"/>
      <c r="IUB1331" s="1072"/>
      <c r="IUC1331" s="1072"/>
      <c r="IUD1331" s="1072"/>
      <c r="IUE1331" s="1072"/>
      <c r="IUF1331" s="1072"/>
      <c r="IUG1331" s="1072"/>
      <c r="IUH1331" s="1072"/>
      <c r="IUI1331" s="1072"/>
      <c r="IUJ1331" s="1072"/>
      <c r="IUK1331" s="1072"/>
      <c r="IUL1331" s="1072"/>
      <c r="IUM1331" s="1072"/>
      <c r="IUN1331" s="1072"/>
      <c r="IUO1331" s="1072"/>
      <c r="IUP1331" s="1072"/>
      <c r="IUQ1331" s="1072"/>
      <c r="IUR1331" s="1072"/>
      <c r="IUS1331" s="1072"/>
      <c r="IUT1331" s="1072"/>
      <c r="IUU1331" s="1072"/>
      <c r="IUV1331" s="1072"/>
      <c r="IUW1331" s="1072"/>
      <c r="IUX1331" s="1072"/>
      <c r="IUY1331" s="1072"/>
      <c r="IUZ1331" s="1072"/>
      <c r="IVA1331" s="1072"/>
      <c r="IVB1331" s="1072"/>
      <c r="IVC1331" s="1072"/>
      <c r="IVD1331" s="1072"/>
      <c r="IVE1331" s="1072"/>
      <c r="IVF1331" s="1072"/>
      <c r="IVG1331" s="1072"/>
      <c r="IVH1331" s="1072"/>
      <c r="IVI1331" s="1072"/>
      <c r="IVJ1331" s="1072"/>
      <c r="IVK1331" s="1072"/>
      <c r="IVL1331" s="1072"/>
      <c r="IVM1331" s="1072"/>
      <c r="IVN1331" s="1072"/>
      <c r="IVO1331" s="1072"/>
      <c r="IVP1331" s="1072"/>
      <c r="IVQ1331" s="1072"/>
      <c r="IVR1331" s="1072"/>
      <c r="IVS1331" s="1072"/>
      <c r="IVT1331" s="1072"/>
      <c r="IVU1331" s="1072"/>
      <c r="IVV1331" s="1072"/>
      <c r="IVW1331" s="1072"/>
      <c r="IVX1331" s="1072"/>
      <c r="IVY1331" s="1072"/>
      <c r="IVZ1331" s="1072"/>
      <c r="IWA1331" s="1072"/>
      <c r="IWB1331" s="1072"/>
      <c r="IWC1331" s="1072"/>
      <c r="IWD1331" s="1072"/>
      <c r="IWE1331" s="1072"/>
      <c r="IWF1331" s="1072"/>
      <c r="IWG1331" s="1072"/>
      <c r="IWH1331" s="1072"/>
      <c r="IWI1331" s="1072"/>
      <c r="IWJ1331" s="1072"/>
      <c r="IWK1331" s="1072"/>
      <c r="IWL1331" s="1072"/>
      <c r="IWM1331" s="1072"/>
      <c r="IWN1331" s="1072"/>
      <c r="IWO1331" s="1072"/>
      <c r="IWP1331" s="1072"/>
      <c r="IWQ1331" s="1072"/>
      <c r="IWR1331" s="1072"/>
      <c r="IWS1331" s="1072"/>
      <c r="IWT1331" s="1072"/>
      <c r="IWU1331" s="1072"/>
      <c r="IWV1331" s="1072"/>
      <c r="IWW1331" s="1072"/>
      <c r="IWX1331" s="1072"/>
      <c r="IWY1331" s="1072"/>
      <c r="IWZ1331" s="1072"/>
      <c r="IXA1331" s="1072"/>
      <c r="IXB1331" s="1072"/>
      <c r="IXC1331" s="1072"/>
      <c r="IXD1331" s="1072"/>
      <c r="IXE1331" s="1072"/>
      <c r="IXF1331" s="1072"/>
      <c r="IXG1331" s="1072"/>
      <c r="IXH1331" s="1072"/>
      <c r="IXI1331" s="1072"/>
      <c r="IXJ1331" s="1072"/>
      <c r="IXK1331" s="1072"/>
      <c r="IXL1331" s="1072"/>
      <c r="IXM1331" s="1072"/>
      <c r="IXN1331" s="1072"/>
      <c r="IXO1331" s="1072"/>
      <c r="IXP1331" s="1072"/>
      <c r="IXQ1331" s="1072"/>
      <c r="IXR1331" s="1072"/>
      <c r="IXS1331" s="1072"/>
      <c r="IXT1331" s="1072"/>
      <c r="IXU1331" s="1072"/>
      <c r="IXV1331" s="1072"/>
      <c r="IXW1331" s="1072"/>
      <c r="IXX1331" s="1072"/>
      <c r="IXY1331" s="1072"/>
      <c r="IXZ1331" s="1072"/>
      <c r="IYA1331" s="1072"/>
      <c r="IYB1331" s="1072"/>
      <c r="IYC1331" s="1072"/>
      <c r="IYD1331" s="1072"/>
      <c r="IYE1331" s="1072"/>
      <c r="IYF1331" s="1072"/>
      <c r="IYG1331" s="1072"/>
      <c r="IYH1331" s="1072"/>
      <c r="IYI1331" s="1072"/>
      <c r="IYJ1331" s="1072"/>
      <c r="IYK1331" s="1072"/>
      <c r="IYL1331" s="1072"/>
      <c r="IYM1331" s="1072"/>
      <c r="IYN1331" s="1072"/>
      <c r="IYO1331" s="1072"/>
      <c r="IYP1331" s="1072"/>
      <c r="IYQ1331" s="1072"/>
      <c r="IYR1331" s="1072"/>
      <c r="IYS1331" s="1072"/>
      <c r="IYT1331" s="1072"/>
      <c r="IYU1331" s="1072"/>
      <c r="IYV1331" s="1072"/>
      <c r="IYW1331" s="1072"/>
      <c r="IYX1331" s="1072"/>
      <c r="IYY1331" s="1072"/>
      <c r="IYZ1331" s="1072"/>
      <c r="IZA1331" s="1072"/>
      <c r="IZB1331" s="1072"/>
      <c r="IZC1331" s="1072"/>
      <c r="IZD1331" s="1072"/>
      <c r="IZE1331" s="1072"/>
      <c r="IZF1331" s="1072"/>
      <c r="IZG1331" s="1072"/>
      <c r="IZH1331" s="1072"/>
      <c r="IZI1331" s="1072"/>
      <c r="IZJ1331" s="1072"/>
      <c r="IZK1331" s="1072"/>
      <c r="IZL1331" s="1072"/>
      <c r="IZM1331" s="1072"/>
      <c r="IZN1331" s="1072"/>
      <c r="IZO1331" s="1072"/>
      <c r="IZP1331" s="1072"/>
      <c r="IZQ1331" s="1072"/>
      <c r="IZR1331" s="1072"/>
      <c r="IZS1331" s="1072"/>
      <c r="IZT1331" s="1072"/>
      <c r="IZU1331" s="1072"/>
      <c r="IZV1331" s="1072"/>
      <c r="IZW1331" s="1072"/>
      <c r="IZX1331" s="1072"/>
      <c r="IZY1331" s="1072"/>
      <c r="IZZ1331" s="1072"/>
      <c r="JAA1331" s="1072"/>
      <c r="JAB1331" s="1072"/>
      <c r="JAC1331" s="1072"/>
      <c r="JAD1331" s="1072"/>
      <c r="JAE1331" s="1072"/>
      <c r="JAF1331" s="1072"/>
      <c r="JAG1331" s="1072"/>
      <c r="JAH1331" s="1072"/>
      <c r="JAI1331" s="1072"/>
      <c r="JAJ1331" s="1072"/>
      <c r="JAK1331" s="1072"/>
      <c r="JAL1331" s="1072"/>
      <c r="JAM1331" s="1072"/>
      <c r="JAN1331" s="1072"/>
      <c r="JAO1331" s="1072"/>
      <c r="JAP1331" s="1072"/>
      <c r="JAQ1331" s="1072"/>
      <c r="JAR1331" s="1072"/>
      <c r="JAS1331" s="1072"/>
      <c r="JAT1331" s="1072"/>
      <c r="JAU1331" s="1072"/>
      <c r="JAV1331" s="1072"/>
      <c r="JAW1331" s="1072"/>
      <c r="JAX1331" s="1072"/>
      <c r="JAY1331" s="1072"/>
      <c r="JAZ1331" s="1072"/>
      <c r="JBA1331" s="1072"/>
      <c r="JBB1331" s="1072"/>
      <c r="JBC1331" s="1072"/>
      <c r="JBD1331" s="1072"/>
      <c r="JBE1331" s="1072"/>
      <c r="JBF1331" s="1072"/>
      <c r="JBG1331" s="1072"/>
      <c r="JBH1331" s="1072"/>
      <c r="JBI1331" s="1072"/>
      <c r="JBJ1331" s="1072"/>
      <c r="JBK1331" s="1072"/>
      <c r="JBL1331" s="1072"/>
      <c r="JBM1331" s="1072"/>
      <c r="JBN1331" s="1072"/>
      <c r="JBO1331" s="1072"/>
      <c r="JBP1331" s="1072"/>
      <c r="JBQ1331" s="1072"/>
      <c r="JBR1331" s="1072"/>
      <c r="JBS1331" s="1072"/>
      <c r="JBT1331" s="1072"/>
      <c r="JBU1331" s="1072"/>
      <c r="JBV1331" s="1072"/>
      <c r="JBW1331" s="1072"/>
      <c r="JBX1331" s="1072"/>
      <c r="JBY1331" s="1072"/>
      <c r="JBZ1331" s="1072"/>
      <c r="JCA1331" s="1072"/>
      <c r="JCB1331" s="1072"/>
      <c r="JCC1331" s="1072"/>
      <c r="JCD1331" s="1072"/>
      <c r="JCE1331" s="1072"/>
      <c r="JCF1331" s="1072"/>
      <c r="JCG1331" s="1072"/>
      <c r="JCH1331" s="1072"/>
      <c r="JCI1331" s="1072"/>
      <c r="JCJ1331" s="1072"/>
      <c r="JCK1331" s="1072"/>
      <c r="JCL1331" s="1072"/>
      <c r="JCM1331" s="1072"/>
      <c r="JCN1331" s="1072"/>
      <c r="JCO1331" s="1072"/>
      <c r="JCP1331" s="1072"/>
      <c r="JCQ1331" s="1072"/>
      <c r="JCR1331" s="1072"/>
      <c r="JCS1331" s="1072"/>
      <c r="JCT1331" s="1072"/>
      <c r="JCU1331" s="1072"/>
      <c r="JCV1331" s="1072"/>
      <c r="JCW1331" s="1072"/>
      <c r="JCX1331" s="1072"/>
      <c r="JCY1331" s="1072"/>
      <c r="JCZ1331" s="1072"/>
      <c r="JDA1331" s="1072"/>
      <c r="JDB1331" s="1072"/>
      <c r="JDC1331" s="1072"/>
      <c r="JDD1331" s="1072"/>
      <c r="JDE1331" s="1072"/>
      <c r="JDF1331" s="1072"/>
      <c r="JDG1331" s="1072"/>
      <c r="JDH1331" s="1072"/>
      <c r="JDI1331" s="1072"/>
      <c r="JDJ1331" s="1072"/>
      <c r="JDK1331" s="1072"/>
      <c r="JDL1331" s="1072"/>
      <c r="JDM1331" s="1072"/>
      <c r="JDN1331" s="1072"/>
      <c r="JDO1331" s="1072"/>
      <c r="JDP1331" s="1072"/>
      <c r="JDQ1331" s="1072"/>
      <c r="JDR1331" s="1072"/>
      <c r="JDS1331" s="1072"/>
      <c r="JDT1331" s="1072"/>
      <c r="JDU1331" s="1072"/>
      <c r="JDV1331" s="1072"/>
      <c r="JDW1331" s="1072"/>
      <c r="JDX1331" s="1072"/>
      <c r="JDY1331" s="1072"/>
      <c r="JDZ1331" s="1072"/>
      <c r="JEA1331" s="1072"/>
      <c r="JEB1331" s="1072"/>
      <c r="JEC1331" s="1072"/>
      <c r="JED1331" s="1072"/>
      <c r="JEE1331" s="1072"/>
      <c r="JEF1331" s="1072"/>
      <c r="JEG1331" s="1072"/>
      <c r="JEH1331" s="1072"/>
      <c r="JEI1331" s="1072"/>
      <c r="JEJ1331" s="1072"/>
      <c r="JEK1331" s="1072"/>
      <c r="JEL1331" s="1072"/>
      <c r="JEM1331" s="1072"/>
      <c r="JEN1331" s="1072"/>
      <c r="JEO1331" s="1072"/>
      <c r="JEP1331" s="1072"/>
      <c r="JEQ1331" s="1072"/>
      <c r="JER1331" s="1072"/>
      <c r="JES1331" s="1072"/>
      <c r="JET1331" s="1072"/>
      <c r="JEU1331" s="1072"/>
      <c r="JEV1331" s="1072"/>
      <c r="JEW1331" s="1072"/>
      <c r="JEX1331" s="1072"/>
      <c r="JEY1331" s="1072"/>
      <c r="JEZ1331" s="1072"/>
      <c r="JFA1331" s="1072"/>
      <c r="JFB1331" s="1072"/>
      <c r="JFC1331" s="1072"/>
      <c r="JFD1331" s="1072"/>
      <c r="JFE1331" s="1072"/>
      <c r="JFF1331" s="1072"/>
      <c r="JFG1331" s="1072"/>
      <c r="JFH1331" s="1072"/>
      <c r="JFI1331" s="1072"/>
      <c r="JFJ1331" s="1072"/>
      <c r="JFK1331" s="1072"/>
      <c r="JFL1331" s="1072"/>
      <c r="JFM1331" s="1072"/>
      <c r="JFN1331" s="1072"/>
      <c r="JFO1331" s="1072"/>
      <c r="JFP1331" s="1072"/>
      <c r="JFQ1331" s="1072"/>
      <c r="JFR1331" s="1072"/>
      <c r="JFS1331" s="1072"/>
      <c r="JFT1331" s="1072"/>
      <c r="JFU1331" s="1072"/>
      <c r="JFV1331" s="1072"/>
      <c r="JFW1331" s="1072"/>
      <c r="JFX1331" s="1072"/>
      <c r="JFY1331" s="1072"/>
      <c r="JFZ1331" s="1072"/>
      <c r="JGA1331" s="1072"/>
      <c r="JGB1331" s="1072"/>
      <c r="JGC1331" s="1072"/>
      <c r="JGD1331" s="1072"/>
      <c r="JGE1331" s="1072"/>
      <c r="JGF1331" s="1072"/>
      <c r="JGG1331" s="1072"/>
      <c r="JGH1331" s="1072"/>
      <c r="JGI1331" s="1072"/>
      <c r="JGJ1331" s="1072"/>
      <c r="JGK1331" s="1072"/>
      <c r="JGL1331" s="1072"/>
      <c r="JGM1331" s="1072"/>
      <c r="JGN1331" s="1072"/>
      <c r="JGO1331" s="1072"/>
      <c r="JGP1331" s="1072"/>
      <c r="JGQ1331" s="1072"/>
      <c r="JGR1331" s="1072"/>
      <c r="JGS1331" s="1072"/>
      <c r="JGT1331" s="1072"/>
      <c r="JGU1331" s="1072"/>
      <c r="JGV1331" s="1072"/>
      <c r="JGW1331" s="1072"/>
      <c r="JGX1331" s="1072"/>
      <c r="JGY1331" s="1072"/>
      <c r="JGZ1331" s="1072"/>
      <c r="JHA1331" s="1072"/>
      <c r="JHB1331" s="1072"/>
      <c r="JHC1331" s="1072"/>
      <c r="JHD1331" s="1072"/>
      <c r="JHE1331" s="1072"/>
      <c r="JHF1331" s="1072"/>
      <c r="JHG1331" s="1072"/>
      <c r="JHH1331" s="1072"/>
      <c r="JHI1331" s="1072"/>
      <c r="JHJ1331" s="1072"/>
      <c r="JHK1331" s="1072"/>
      <c r="JHL1331" s="1072"/>
      <c r="JHM1331" s="1072"/>
      <c r="JHN1331" s="1072"/>
      <c r="JHO1331" s="1072"/>
      <c r="JHP1331" s="1072"/>
      <c r="JHQ1331" s="1072"/>
      <c r="JHR1331" s="1072"/>
      <c r="JHS1331" s="1072"/>
      <c r="JHT1331" s="1072"/>
      <c r="JHU1331" s="1072"/>
      <c r="JHV1331" s="1072"/>
      <c r="JHW1331" s="1072"/>
      <c r="JHX1331" s="1072"/>
      <c r="JHY1331" s="1072"/>
      <c r="JHZ1331" s="1072"/>
      <c r="JIA1331" s="1072"/>
      <c r="JIB1331" s="1072"/>
      <c r="JIC1331" s="1072"/>
      <c r="JID1331" s="1072"/>
      <c r="JIE1331" s="1072"/>
      <c r="JIF1331" s="1072"/>
      <c r="JIG1331" s="1072"/>
      <c r="JIH1331" s="1072"/>
      <c r="JII1331" s="1072"/>
      <c r="JIJ1331" s="1072"/>
      <c r="JIK1331" s="1072"/>
      <c r="JIL1331" s="1072"/>
      <c r="JIM1331" s="1072"/>
      <c r="JIN1331" s="1072"/>
      <c r="JIO1331" s="1072"/>
      <c r="JIP1331" s="1072"/>
      <c r="JIQ1331" s="1072"/>
      <c r="JIR1331" s="1072"/>
      <c r="JIS1331" s="1072"/>
      <c r="JIT1331" s="1072"/>
      <c r="JIU1331" s="1072"/>
      <c r="JIV1331" s="1072"/>
      <c r="JIW1331" s="1072"/>
      <c r="JIX1331" s="1072"/>
      <c r="JIY1331" s="1072"/>
      <c r="JIZ1331" s="1072"/>
      <c r="JJA1331" s="1072"/>
      <c r="JJB1331" s="1072"/>
      <c r="JJC1331" s="1072"/>
      <c r="JJD1331" s="1072"/>
      <c r="JJE1331" s="1072"/>
      <c r="JJF1331" s="1072"/>
      <c r="JJG1331" s="1072"/>
      <c r="JJH1331" s="1072"/>
      <c r="JJI1331" s="1072"/>
      <c r="JJJ1331" s="1072"/>
      <c r="JJK1331" s="1072"/>
      <c r="JJL1331" s="1072"/>
      <c r="JJM1331" s="1072"/>
      <c r="JJN1331" s="1072"/>
      <c r="JJO1331" s="1072"/>
      <c r="JJP1331" s="1072"/>
      <c r="JJQ1331" s="1072"/>
      <c r="JJR1331" s="1072"/>
      <c r="JJS1331" s="1072"/>
      <c r="JJT1331" s="1072"/>
      <c r="JJU1331" s="1072"/>
      <c r="JJV1331" s="1072"/>
      <c r="JJW1331" s="1072"/>
      <c r="JJX1331" s="1072"/>
      <c r="JJY1331" s="1072"/>
      <c r="JJZ1331" s="1072"/>
      <c r="JKA1331" s="1072"/>
      <c r="JKB1331" s="1072"/>
      <c r="JKC1331" s="1072"/>
      <c r="JKD1331" s="1072"/>
      <c r="JKE1331" s="1072"/>
      <c r="JKF1331" s="1072"/>
      <c r="JKG1331" s="1072"/>
      <c r="JKH1331" s="1072"/>
      <c r="JKI1331" s="1072"/>
      <c r="JKJ1331" s="1072"/>
      <c r="JKK1331" s="1072"/>
      <c r="JKL1331" s="1072"/>
      <c r="JKM1331" s="1072"/>
      <c r="JKN1331" s="1072"/>
      <c r="JKO1331" s="1072"/>
      <c r="JKP1331" s="1072"/>
      <c r="JKQ1331" s="1072"/>
      <c r="JKR1331" s="1072"/>
      <c r="JKS1331" s="1072"/>
      <c r="JKT1331" s="1072"/>
      <c r="JKU1331" s="1072"/>
      <c r="JKV1331" s="1072"/>
      <c r="JKW1331" s="1072"/>
      <c r="JKX1331" s="1072"/>
      <c r="JKY1331" s="1072"/>
      <c r="JKZ1331" s="1072"/>
      <c r="JLA1331" s="1072"/>
      <c r="JLB1331" s="1072"/>
      <c r="JLC1331" s="1072"/>
      <c r="JLD1331" s="1072"/>
      <c r="JLE1331" s="1072"/>
      <c r="JLF1331" s="1072"/>
      <c r="JLG1331" s="1072"/>
      <c r="JLH1331" s="1072"/>
      <c r="JLI1331" s="1072"/>
      <c r="JLJ1331" s="1072"/>
      <c r="JLK1331" s="1072"/>
      <c r="JLL1331" s="1072"/>
      <c r="JLM1331" s="1072"/>
      <c r="JLN1331" s="1072"/>
      <c r="JLO1331" s="1072"/>
      <c r="JLP1331" s="1072"/>
      <c r="JLQ1331" s="1072"/>
      <c r="JLR1331" s="1072"/>
      <c r="JLS1331" s="1072"/>
      <c r="JLT1331" s="1072"/>
      <c r="JLU1331" s="1072"/>
      <c r="JLV1331" s="1072"/>
      <c r="JLW1331" s="1072"/>
      <c r="JLX1331" s="1072"/>
      <c r="JLY1331" s="1072"/>
      <c r="JLZ1331" s="1072"/>
      <c r="JMA1331" s="1072"/>
      <c r="JMB1331" s="1072"/>
      <c r="JMC1331" s="1072"/>
      <c r="JMD1331" s="1072"/>
      <c r="JME1331" s="1072"/>
      <c r="JMF1331" s="1072"/>
      <c r="JMG1331" s="1072"/>
      <c r="JMH1331" s="1072"/>
      <c r="JMI1331" s="1072"/>
      <c r="JMJ1331" s="1072"/>
      <c r="JMK1331" s="1072"/>
      <c r="JML1331" s="1072"/>
      <c r="JMM1331" s="1072"/>
      <c r="JMN1331" s="1072"/>
      <c r="JMO1331" s="1072"/>
      <c r="JMP1331" s="1072"/>
      <c r="JMQ1331" s="1072"/>
      <c r="JMR1331" s="1072"/>
      <c r="JMS1331" s="1072"/>
      <c r="JMT1331" s="1072"/>
      <c r="JMU1331" s="1072"/>
      <c r="JMV1331" s="1072"/>
      <c r="JMW1331" s="1072"/>
      <c r="JMX1331" s="1072"/>
      <c r="JMY1331" s="1072"/>
      <c r="JMZ1331" s="1072"/>
      <c r="JNA1331" s="1072"/>
      <c r="JNB1331" s="1072"/>
      <c r="JNC1331" s="1072"/>
      <c r="JND1331" s="1072"/>
      <c r="JNE1331" s="1072"/>
      <c r="JNF1331" s="1072"/>
      <c r="JNG1331" s="1072"/>
      <c r="JNH1331" s="1072"/>
      <c r="JNI1331" s="1072"/>
      <c r="JNJ1331" s="1072"/>
      <c r="JNK1331" s="1072"/>
      <c r="JNL1331" s="1072"/>
      <c r="JNM1331" s="1072"/>
      <c r="JNN1331" s="1072"/>
      <c r="JNO1331" s="1072"/>
      <c r="JNP1331" s="1072"/>
      <c r="JNQ1331" s="1072"/>
      <c r="JNR1331" s="1072"/>
      <c r="JNS1331" s="1072"/>
      <c r="JNT1331" s="1072"/>
      <c r="JNU1331" s="1072"/>
      <c r="JNV1331" s="1072"/>
      <c r="JNW1331" s="1072"/>
      <c r="JNX1331" s="1072"/>
      <c r="JNY1331" s="1072"/>
      <c r="JNZ1331" s="1072"/>
      <c r="JOA1331" s="1072"/>
      <c r="JOB1331" s="1072"/>
      <c r="JOC1331" s="1072"/>
      <c r="JOD1331" s="1072"/>
      <c r="JOE1331" s="1072"/>
      <c r="JOF1331" s="1072"/>
      <c r="JOG1331" s="1072"/>
      <c r="JOH1331" s="1072"/>
      <c r="JOI1331" s="1072"/>
      <c r="JOJ1331" s="1072"/>
      <c r="JOK1331" s="1072"/>
      <c r="JOL1331" s="1072"/>
      <c r="JOM1331" s="1072"/>
      <c r="JON1331" s="1072"/>
      <c r="JOO1331" s="1072"/>
      <c r="JOP1331" s="1072"/>
      <c r="JOQ1331" s="1072"/>
      <c r="JOR1331" s="1072"/>
      <c r="JOS1331" s="1072"/>
      <c r="JOT1331" s="1072"/>
      <c r="JOU1331" s="1072"/>
      <c r="JOV1331" s="1072"/>
      <c r="JOW1331" s="1072"/>
      <c r="JOX1331" s="1072"/>
      <c r="JOY1331" s="1072"/>
      <c r="JOZ1331" s="1072"/>
      <c r="JPA1331" s="1072"/>
      <c r="JPB1331" s="1072"/>
      <c r="JPC1331" s="1072"/>
      <c r="JPD1331" s="1072"/>
      <c r="JPE1331" s="1072"/>
      <c r="JPF1331" s="1072"/>
      <c r="JPG1331" s="1072"/>
      <c r="JPH1331" s="1072"/>
      <c r="JPI1331" s="1072"/>
      <c r="JPJ1331" s="1072"/>
      <c r="JPK1331" s="1072"/>
      <c r="JPL1331" s="1072"/>
      <c r="JPM1331" s="1072"/>
      <c r="JPN1331" s="1072"/>
      <c r="JPO1331" s="1072"/>
      <c r="JPP1331" s="1072"/>
      <c r="JPQ1331" s="1072"/>
      <c r="JPR1331" s="1072"/>
      <c r="JPS1331" s="1072"/>
      <c r="JPT1331" s="1072"/>
      <c r="JPU1331" s="1072"/>
      <c r="JPV1331" s="1072"/>
      <c r="JPW1331" s="1072"/>
      <c r="JPX1331" s="1072"/>
      <c r="JPY1331" s="1072"/>
      <c r="JPZ1331" s="1072"/>
      <c r="JQA1331" s="1072"/>
      <c r="JQB1331" s="1072"/>
      <c r="JQC1331" s="1072"/>
      <c r="JQD1331" s="1072"/>
      <c r="JQE1331" s="1072"/>
      <c r="JQF1331" s="1072"/>
      <c r="JQG1331" s="1072"/>
      <c r="JQH1331" s="1072"/>
      <c r="JQI1331" s="1072"/>
      <c r="JQJ1331" s="1072"/>
      <c r="JQK1331" s="1072"/>
      <c r="JQL1331" s="1072"/>
      <c r="JQM1331" s="1072"/>
      <c r="JQN1331" s="1072"/>
      <c r="JQO1331" s="1072"/>
      <c r="JQP1331" s="1072"/>
      <c r="JQQ1331" s="1072"/>
      <c r="JQR1331" s="1072"/>
      <c r="JQS1331" s="1072"/>
      <c r="JQT1331" s="1072"/>
      <c r="JQU1331" s="1072"/>
      <c r="JQV1331" s="1072"/>
      <c r="JQW1331" s="1072"/>
      <c r="JQX1331" s="1072"/>
      <c r="JQY1331" s="1072"/>
      <c r="JQZ1331" s="1072"/>
      <c r="JRA1331" s="1072"/>
      <c r="JRB1331" s="1072"/>
      <c r="JRC1331" s="1072"/>
      <c r="JRD1331" s="1072"/>
      <c r="JRE1331" s="1072"/>
      <c r="JRF1331" s="1072"/>
      <c r="JRG1331" s="1072"/>
      <c r="JRH1331" s="1072"/>
      <c r="JRI1331" s="1072"/>
      <c r="JRJ1331" s="1072"/>
      <c r="JRK1331" s="1072"/>
      <c r="JRL1331" s="1072"/>
      <c r="JRM1331" s="1072"/>
      <c r="JRN1331" s="1072"/>
      <c r="JRO1331" s="1072"/>
      <c r="JRP1331" s="1072"/>
      <c r="JRQ1331" s="1072"/>
      <c r="JRR1331" s="1072"/>
      <c r="JRS1331" s="1072"/>
      <c r="JRT1331" s="1072"/>
      <c r="JRU1331" s="1072"/>
      <c r="JRV1331" s="1072"/>
      <c r="JRW1331" s="1072"/>
      <c r="JRX1331" s="1072"/>
      <c r="JRY1331" s="1072"/>
      <c r="JRZ1331" s="1072"/>
      <c r="JSA1331" s="1072"/>
      <c r="JSB1331" s="1072"/>
      <c r="JSC1331" s="1072"/>
      <c r="JSD1331" s="1072"/>
      <c r="JSE1331" s="1072"/>
      <c r="JSF1331" s="1072"/>
      <c r="JSG1331" s="1072"/>
      <c r="JSH1331" s="1072"/>
      <c r="JSI1331" s="1072"/>
      <c r="JSJ1331" s="1072"/>
      <c r="JSK1331" s="1072"/>
      <c r="JSL1331" s="1072"/>
      <c r="JSM1331" s="1072"/>
      <c r="JSN1331" s="1072"/>
      <c r="JSO1331" s="1072"/>
      <c r="JSP1331" s="1072"/>
      <c r="JSQ1331" s="1072"/>
      <c r="JSR1331" s="1072"/>
      <c r="JSS1331" s="1072"/>
      <c r="JST1331" s="1072"/>
      <c r="JSU1331" s="1072"/>
      <c r="JSV1331" s="1072"/>
      <c r="JSW1331" s="1072"/>
      <c r="JSX1331" s="1072"/>
      <c r="JSY1331" s="1072"/>
      <c r="JSZ1331" s="1072"/>
      <c r="JTA1331" s="1072"/>
      <c r="JTB1331" s="1072"/>
      <c r="JTC1331" s="1072"/>
      <c r="JTD1331" s="1072"/>
      <c r="JTE1331" s="1072"/>
      <c r="JTF1331" s="1072"/>
      <c r="JTG1331" s="1072"/>
      <c r="JTH1331" s="1072"/>
      <c r="JTI1331" s="1072"/>
      <c r="JTJ1331" s="1072"/>
      <c r="JTK1331" s="1072"/>
      <c r="JTL1331" s="1072"/>
      <c r="JTM1331" s="1072"/>
      <c r="JTN1331" s="1072"/>
      <c r="JTO1331" s="1072"/>
      <c r="JTP1331" s="1072"/>
      <c r="JTQ1331" s="1072"/>
      <c r="JTR1331" s="1072"/>
      <c r="JTS1331" s="1072"/>
      <c r="JTT1331" s="1072"/>
      <c r="JTU1331" s="1072"/>
      <c r="JTV1331" s="1072"/>
      <c r="JTW1331" s="1072"/>
      <c r="JTX1331" s="1072"/>
      <c r="JTY1331" s="1072"/>
      <c r="JTZ1331" s="1072"/>
      <c r="JUA1331" s="1072"/>
      <c r="JUB1331" s="1072"/>
      <c r="JUC1331" s="1072"/>
      <c r="JUD1331" s="1072"/>
      <c r="JUE1331" s="1072"/>
      <c r="JUF1331" s="1072"/>
      <c r="JUG1331" s="1072"/>
      <c r="JUH1331" s="1072"/>
      <c r="JUI1331" s="1072"/>
      <c r="JUJ1331" s="1072"/>
      <c r="JUK1331" s="1072"/>
      <c r="JUL1331" s="1072"/>
      <c r="JUM1331" s="1072"/>
      <c r="JUN1331" s="1072"/>
      <c r="JUO1331" s="1072"/>
      <c r="JUP1331" s="1072"/>
      <c r="JUQ1331" s="1072"/>
      <c r="JUR1331" s="1072"/>
      <c r="JUS1331" s="1072"/>
      <c r="JUT1331" s="1072"/>
      <c r="JUU1331" s="1072"/>
      <c r="JUV1331" s="1072"/>
      <c r="JUW1331" s="1072"/>
      <c r="JUX1331" s="1072"/>
      <c r="JUY1331" s="1072"/>
      <c r="JUZ1331" s="1072"/>
      <c r="JVA1331" s="1072"/>
      <c r="JVB1331" s="1072"/>
      <c r="JVC1331" s="1072"/>
      <c r="JVD1331" s="1072"/>
      <c r="JVE1331" s="1072"/>
      <c r="JVF1331" s="1072"/>
      <c r="JVG1331" s="1072"/>
      <c r="JVH1331" s="1072"/>
      <c r="JVI1331" s="1072"/>
      <c r="JVJ1331" s="1072"/>
      <c r="JVK1331" s="1072"/>
      <c r="JVL1331" s="1072"/>
      <c r="JVM1331" s="1072"/>
      <c r="JVN1331" s="1072"/>
      <c r="JVO1331" s="1072"/>
      <c r="JVP1331" s="1072"/>
      <c r="JVQ1331" s="1072"/>
      <c r="JVR1331" s="1072"/>
      <c r="JVS1331" s="1072"/>
      <c r="JVT1331" s="1072"/>
      <c r="JVU1331" s="1072"/>
      <c r="JVV1331" s="1072"/>
      <c r="JVW1331" s="1072"/>
      <c r="JVX1331" s="1072"/>
      <c r="JVY1331" s="1072"/>
      <c r="JVZ1331" s="1072"/>
      <c r="JWA1331" s="1072"/>
      <c r="JWB1331" s="1072"/>
      <c r="JWC1331" s="1072"/>
      <c r="JWD1331" s="1072"/>
      <c r="JWE1331" s="1072"/>
      <c r="JWF1331" s="1072"/>
      <c r="JWG1331" s="1072"/>
      <c r="JWH1331" s="1072"/>
      <c r="JWI1331" s="1072"/>
      <c r="JWJ1331" s="1072"/>
      <c r="JWK1331" s="1072"/>
      <c r="JWL1331" s="1072"/>
      <c r="JWM1331" s="1072"/>
      <c r="JWN1331" s="1072"/>
      <c r="JWO1331" s="1072"/>
      <c r="JWP1331" s="1072"/>
      <c r="JWQ1331" s="1072"/>
      <c r="JWR1331" s="1072"/>
      <c r="JWS1331" s="1072"/>
      <c r="JWT1331" s="1072"/>
      <c r="JWU1331" s="1072"/>
      <c r="JWV1331" s="1072"/>
      <c r="JWW1331" s="1072"/>
      <c r="JWX1331" s="1072"/>
      <c r="JWY1331" s="1072"/>
      <c r="JWZ1331" s="1072"/>
      <c r="JXA1331" s="1072"/>
      <c r="JXB1331" s="1072"/>
      <c r="JXC1331" s="1072"/>
      <c r="JXD1331" s="1072"/>
      <c r="JXE1331" s="1072"/>
      <c r="JXF1331" s="1072"/>
      <c r="JXG1331" s="1072"/>
      <c r="JXH1331" s="1072"/>
      <c r="JXI1331" s="1072"/>
      <c r="JXJ1331" s="1072"/>
      <c r="JXK1331" s="1072"/>
      <c r="JXL1331" s="1072"/>
      <c r="JXM1331" s="1072"/>
      <c r="JXN1331" s="1072"/>
      <c r="JXO1331" s="1072"/>
      <c r="JXP1331" s="1072"/>
      <c r="JXQ1331" s="1072"/>
      <c r="JXR1331" s="1072"/>
      <c r="JXS1331" s="1072"/>
      <c r="JXT1331" s="1072"/>
      <c r="JXU1331" s="1072"/>
      <c r="JXV1331" s="1072"/>
      <c r="JXW1331" s="1072"/>
      <c r="JXX1331" s="1072"/>
      <c r="JXY1331" s="1072"/>
      <c r="JXZ1331" s="1072"/>
      <c r="JYA1331" s="1072"/>
      <c r="JYB1331" s="1072"/>
      <c r="JYC1331" s="1072"/>
      <c r="JYD1331" s="1072"/>
      <c r="JYE1331" s="1072"/>
      <c r="JYF1331" s="1072"/>
      <c r="JYG1331" s="1072"/>
      <c r="JYH1331" s="1072"/>
      <c r="JYI1331" s="1072"/>
      <c r="JYJ1331" s="1072"/>
      <c r="JYK1331" s="1072"/>
      <c r="JYL1331" s="1072"/>
      <c r="JYM1331" s="1072"/>
      <c r="JYN1331" s="1072"/>
      <c r="JYO1331" s="1072"/>
      <c r="JYP1331" s="1072"/>
      <c r="JYQ1331" s="1072"/>
      <c r="JYR1331" s="1072"/>
      <c r="JYS1331" s="1072"/>
      <c r="JYT1331" s="1072"/>
      <c r="JYU1331" s="1072"/>
      <c r="JYV1331" s="1072"/>
      <c r="JYW1331" s="1072"/>
      <c r="JYX1331" s="1072"/>
      <c r="JYY1331" s="1072"/>
      <c r="JYZ1331" s="1072"/>
      <c r="JZA1331" s="1072"/>
      <c r="JZB1331" s="1072"/>
      <c r="JZC1331" s="1072"/>
      <c r="JZD1331" s="1072"/>
      <c r="JZE1331" s="1072"/>
      <c r="JZF1331" s="1072"/>
      <c r="JZG1331" s="1072"/>
      <c r="JZH1331" s="1072"/>
      <c r="JZI1331" s="1072"/>
      <c r="JZJ1331" s="1072"/>
      <c r="JZK1331" s="1072"/>
      <c r="JZL1331" s="1072"/>
      <c r="JZM1331" s="1072"/>
      <c r="JZN1331" s="1072"/>
      <c r="JZO1331" s="1072"/>
      <c r="JZP1331" s="1072"/>
      <c r="JZQ1331" s="1072"/>
      <c r="JZR1331" s="1072"/>
      <c r="JZS1331" s="1072"/>
      <c r="JZT1331" s="1072"/>
      <c r="JZU1331" s="1072"/>
      <c r="JZV1331" s="1072"/>
      <c r="JZW1331" s="1072"/>
      <c r="JZX1331" s="1072"/>
      <c r="JZY1331" s="1072"/>
      <c r="JZZ1331" s="1072"/>
      <c r="KAA1331" s="1072"/>
      <c r="KAB1331" s="1072"/>
      <c r="KAC1331" s="1072"/>
      <c r="KAD1331" s="1072"/>
      <c r="KAE1331" s="1072"/>
      <c r="KAF1331" s="1072"/>
      <c r="KAG1331" s="1072"/>
      <c r="KAH1331" s="1072"/>
      <c r="KAI1331" s="1072"/>
      <c r="KAJ1331" s="1072"/>
      <c r="KAK1331" s="1072"/>
      <c r="KAL1331" s="1072"/>
      <c r="KAM1331" s="1072"/>
      <c r="KAN1331" s="1072"/>
      <c r="KAO1331" s="1072"/>
      <c r="KAP1331" s="1072"/>
      <c r="KAQ1331" s="1072"/>
      <c r="KAR1331" s="1072"/>
      <c r="KAS1331" s="1072"/>
      <c r="KAT1331" s="1072"/>
      <c r="KAU1331" s="1072"/>
      <c r="KAV1331" s="1072"/>
      <c r="KAW1331" s="1072"/>
      <c r="KAX1331" s="1072"/>
      <c r="KAY1331" s="1072"/>
      <c r="KAZ1331" s="1072"/>
      <c r="KBA1331" s="1072"/>
      <c r="KBB1331" s="1072"/>
      <c r="KBC1331" s="1072"/>
      <c r="KBD1331" s="1072"/>
      <c r="KBE1331" s="1072"/>
      <c r="KBF1331" s="1072"/>
      <c r="KBG1331" s="1072"/>
      <c r="KBH1331" s="1072"/>
      <c r="KBI1331" s="1072"/>
      <c r="KBJ1331" s="1072"/>
      <c r="KBK1331" s="1072"/>
      <c r="KBL1331" s="1072"/>
      <c r="KBM1331" s="1072"/>
      <c r="KBN1331" s="1072"/>
      <c r="KBO1331" s="1072"/>
      <c r="KBP1331" s="1072"/>
      <c r="KBQ1331" s="1072"/>
      <c r="KBR1331" s="1072"/>
      <c r="KBS1331" s="1072"/>
      <c r="KBT1331" s="1072"/>
      <c r="KBU1331" s="1072"/>
      <c r="KBV1331" s="1072"/>
      <c r="KBW1331" s="1072"/>
      <c r="KBX1331" s="1072"/>
      <c r="KBY1331" s="1072"/>
      <c r="KBZ1331" s="1072"/>
      <c r="KCA1331" s="1072"/>
      <c r="KCB1331" s="1072"/>
      <c r="KCC1331" s="1072"/>
      <c r="KCD1331" s="1072"/>
      <c r="KCE1331" s="1072"/>
      <c r="KCF1331" s="1072"/>
      <c r="KCG1331" s="1072"/>
      <c r="KCH1331" s="1072"/>
      <c r="KCI1331" s="1072"/>
      <c r="KCJ1331" s="1072"/>
      <c r="KCK1331" s="1072"/>
      <c r="KCL1331" s="1072"/>
      <c r="KCM1331" s="1072"/>
      <c r="KCN1331" s="1072"/>
      <c r="KCO1331" s="1072"/>
      <c r="KCP1331" s="1072"/>
      <c r="KCQ1331" s="1072"/>
      <c r="KCR1331" s="1072"/>
      <c r="KCS1331" s="1072"/>
      <c r="KCT1331" s="1072"/>
      <c r="KCU1331" s="1072"/>
      <c r="KCV1331" s="1072"/>
      <c r="KCW1331" s="1072"/>
      <c r="KCX1331" s="1072"/>
      <c r="KCY1331" s="1072"/>
      <c r="KCZ1331" s="1072"/>
      <c r="KDA1331" s="1072"/>
      <c r="KDB1331" s="1072"/>
      <c r="KDC1331" s="1072"/>
      <c r="KDD1331" s="1072"/>
      <c r="KDE1331" s="1072"/>
      <c r="KDF1331" s="1072"/>
      <c r="KDG1331" s="1072"/>
      <c r="KDH1331" s="1072"/>
      <c r="KDI1331" s="1072"/>
      <c r="KDJ1331" s="1072"/>
      <c r="KDK1331" s="1072"/>
      <c r="KDL1331" s="1072"/>
      <c r="KDM1331" s="1072"/>
      <c r="KDN1331" s="1072"/>
      <c r="KDO1331" s="1072"/>
      <c r="KDP1331" s="1072"/>
      <c r="KDQ1331" s="1072"/>
      <c r="KDR1331" s="1072"/>
      <c r="KDS1331" s="1072"/>
      <c r="KDT1331" s="1072"/>
      <c r="KDU1331" s="1072"/>
      <c r="KDV1331" s="1072"/>
      <c r="KDW1331" s="1072"/>
      <c r="KDX1331" s="1072"/>
      <c r="KDY1331" s="1072"/>
      <c r="KDZ1331" s="1072"/>
      <c r="KEA1331" s="1072"/>
      <c r="KEB1331" s="1072"/>
      <c r="KEC1331" s="1072"/>
      <c r="KED1331" s="1072"/>
      <c r="KEE1331" s="1072"/>
      <c r="KEF1331" s="1072"/>
      <c r="KEG1331" s="1072"/>
      <c r="KEH1331" s="1072"/>
      <c r="KEI1331" s="1072"/>
      <c r="KEJ1331" s="1072"/>
      <c r="KEK1331" s="1072"/>
      <c r="KEL1331" s="1072"/>
      <c r="KEM1331" s="1072"/>
      <c r="KEN1331" s="1072"/>
      <c r="KEO1331" s="1072"/>
      <c r="KEP1331" s="1072"/>
      <c r="KEQ1331" s="1072"/>
      <c r="KER1331" s="1072"/>
      <c r="KES1331" s="1072"/>
      <c r="KET1331" s="1072"/>
      <c r="KEU1331" s="1072"/>
      <c r="KEV1331" s="1072"/>
      <c r="KEW1331" s="1072"/>
      <c r="KEX1331" s="1072"/>
      <c r="KEY1331" s="1072"/>
      <c r="KEZ1331" s="1072"/>
      <c r="KFA1331" s="1072"/>
      <c r="KFB1331" s="1072"/>
      <c r="KFC1331" s="1072"/>
      <c r="KFD1331" s="1072"/>
      <c r="KFE1331" s="1072"/>
      <c r="KFF1331" s="1072"/>
      <c r="KFG1331" s="1072"/>
      <c r="KFH1331" s="1072"/>
      <c r="KFI1331" s="1072"/>
      <c r="KFJ1331" s="1072"/>
      <c r="KFK1331" s="1072"/>
      <c r="KFL1331" s="1072"/>
      <c r="KFM1331" s="1072"/>
      <c r="KFN1331" s="1072"/>
      <c r="KFO1331" s="1072"/>
      <c r="KFP1331" s="1072"/>
      <c r="KFQ1331" s="1072"/>
      <c r="KFR1331" s="1072"/>
      <c r="KFS1331" s="1072"/>
      <c r="KFT1331" s="1072"/>
      <c r="KFU1331" s="1072"/>
      <c r="KFV1331" s="1072"/>
      <c r="KFW1331" s="1072"/>
      <c r="KFX1331" s="1072"/>
      <c r="KFY1331" s="1072"/>
      <c r="KFZ1331" s="1072"/>
      <c r="KGA1331" s="1072"/>
      <c r="KGB1331" s="1072"/>
      <c r="KGC1331" s="1072"/>
      <c r="KGD1331" s="1072"/>
      <c r="KGE1331" s="1072"/>
      <c r="KGF1331" s="1072"/>
      <c r="KGG1331" s="1072"/>
      <c r="KGH1331" s="1072"/>
      <c r="KGI1331" s="1072"/>
      <c r="KGJ1331" s="1072"/>
      <c r="KGK1331" s="1072"/>
      <c r="KGL1331" s="1072"/>
      <c r="KGM1331" s="1072"/>
      <c r="KGN1331" s="1072"/>
      <c r="KGO1331" s="1072"/>
      <c r="KGP1331" s="1072"/>
      <c r="KGQ1331" s="1072"/>
      <c r="KGR1331" s="1072"/>
      <c r="KGS1331" s="1072"/>
      <c r="KGT1331" s="1072"/>
      <c r="KGU1331" s="1072"/>
      <c r="KGV1331" s="1072"/>
      <c r="KGW1331" s="1072"/>
      <c r="KGX1331" s="1072"/>
      <c r="KGY1331" s="1072"/>
      <c r="KGZ1331" s="1072"/>
      <c r="KHA1331" s="1072"/>
      <c r="KHB1331" s="1072"/>
      <c r="KHC1331" s="1072"/>
      <c r="KHD1331" s="1072"/>
      <c r="KHE1331" s="1072"/>
      <c r="KHF1331" s="1072"/>
      <c r="KHG1331" s="1072"/>
      <c r="KHH1331" s="1072"/>
      <c r="KHI1331" s="1072"/>
      <c r="KHJ1331" s="1072"/>
      <c r="KHK1331" s="1072"/>
      <c r="KHL1331" s="1072"/>
      <c r="KHM1331" s="1072"/>
      <c r="KHN1331" s="1072"/>
      <c r="KHO1331" s="1072"/>
      <c r="KHP1331" s="1072"/>
      <c r="KHQ1331" s="1072"/>
      <c r="KHR1331" s="1072"/>
      <c r="KHS1331" s="1072"/>
      <c r="KHT1331" s="1072"/>
      <c r="KHU1331" s="1072"/>
      <c r="KHV1331" s="1072"/>
      <c r="KHW1331" s="1072"/>
      <c r="KHX1331" s="1072"/>
      <c r="KHY1331" s="1072"/>
      <c r="KHZ1331" s="1072"/>
      <c r="KIA1331" s="1072"/>
      <c r="KIB1331" s="1072"/>
      <c r="KIC1331" s="1072"/>
      <c r="KID1331" s="1072"/>
      <c r="KIE1331" s="1072"/>
      <c r="KIF1331" s="1072"/>
      <c r="KIG1331" s="1072"/>
      <c r="KIH1331" s="1072"/>
      <c r="KII1331" s="1072"/>
      <c r="KIJ1331" s="1072"/>
      <c r="KIK1331" s="1072"/>
      <c r="KIL1331" s="1072"/>
      <c r="KIM1331" s="1072"/>
      <c r="KIN1331" s="1072"/>
      <c r="KIO1331" s="1072"/>
      <c r="KIP1331" s="1072"/>
      <c r="KIQ1331" s="1072"/>
      <c r="KIR1331" s="1072"/>
      <c r="KIS1331" s="1072"/>
      <c r="KIT1331" s="1072"/>
      <c r="KIU1331" s="1072"/>
      <c r="KIV1331" s="1072"/>
      <c r="KIW1331" s="1072"/>
      <c r="KIX1331" s="1072"/>
      <c r="KIY1331" s="1072"/>
      <c r="KIZ1331" s="1072"/>
      <c r="KJA1331" s="1072"/>
      <c r="KJB1331" s="1072"/>
      <c r="KJC1331" s="1072"/>
      <c r="KJD1331" s="1072"/>
      <c r="KJE1331" s="1072"/>
      <c r="KJF1331" s="1072"/>
      <c r="KJG1331" s="1072"/>
      <c r="KJH1331" s="1072"/>
      <c r="KJI1331" s="1072"/>
      <c r="KJJ1331" s="1072"/>
      <c r="KJK1331" s="1072"/>
      <c r="KJL1331" s="1072"/>
      <c r="KJM1331" s="1072"/>
      <c r="KJN1331" s="1072"/>
      <c r="KJO1331" s="1072"/>
      <c r="KJP1331" s="1072"/>
      <c r="KJQ1331" s="1072"/>
      <c r="KJR1331" s="1072"/>
      <c r="KJS1331" s="1072"/>
      <c r="KJT1331" s="1072"/>
      <c r="KJU1331" s="1072"/>
      <c r="KJV1331" s="1072"/>
      <c r="KJW1331" s="1072"/>
      <c r="KJX1331" s="1072"/>
      <c r="KJY1331" s="1072"/>
      <c r="KJZ1331" s="1072"/>
      <c r="KKA1331" s="1072"/>
      <c r="KKB1331" s="1072"/>
      <c r="KKC1331" s="1072"/>
      <c r="KKD1331" s="1072"/>
      <c r="KKE1331" s="1072"/>
      <c r="KKF1331" s="1072"/>
      <c r="KKG1331" s="1072"/>
      <c r="KKH1331" s="1072"/>
      <c r="KKI1331" s="1072"/>
      <c r="KKJ1331" s="1072"/>
      <c r="KKK1331" s="1072"/>
      <c r="KKL1331" s="1072"/>
      <c r="KKM1331" s="1072"/>
      <c r="KKN1331" s="1072"/>
      <c r="KKO1331" s="1072"/>
      <c r="KKP1331" s="1072"/>
      <c r="KKQ1331" s="1072"/>
      <c r="KKR1331" s="1072"/>
      <c r="KKS1331" s="1072"/>
      <c r="KKT1331" s="1072"/>
      <c r="KKU1331" s="1072"/>
      <c r="KKV1331" s="1072"/>
      <c r="KKW1331" s="1072"/>
      <c r="KKX1331" s="1072"/>
      <c r="KKY1331" s="1072"/>
      <c r="KKZ1331" s="1072"/>
      <c r="KLA1331" s="1072"/>
      <c r="KLB1331" s="1072"/>
      <c r="KLC1331" s="1072"/>
      <c r="KLD1331" s="1072"/>
      <c r="KLE1331" s="1072"/>
      <c r="KLF1331" s="1072"/>
      <c r="KLG1331" s="1072"/>
      <c r="KLH1331" s="1072"/>
      <c r="KLI1331" s="1072"/>
      <c r="KLJ1331" s="1072"/>
      <c r="KLK1331" s="1072"/>
      <c r="KLL1331" s="1072"/>
      <c r="KLM1331" s="1072"/>
      <c r="KLN1331" s="1072"/>
      <c r="KLO1331" s="1072"/>
      <c r="KLP1331" s="1072"/>
      <c r="KLQ1331" s="1072"/>
      <c r="KLR1331" s="1072"/>
      <c r="KLS1331" s="1072"/>
      <c r="KLT1331" s="1072"/>
      <c r="KLU1331" s="1072"/>
      <c r="KLV1331" s="1072"/>
      <c r="KLW1331" s="1072"/>
      <c r="KLX1331" s="1072"/>
      <c r="KLY1331" s="1072"/>
      <c r="KLZ1331" s="1072"/>
      <c r="KMA1331" s="1072"/>
      <c r="KMB1331" s="1072"/>
      <c r="KMC1331" s="1072"/>
      <c r="KMD1331" s="1072"/>
      <c r="KME1331" s="1072"/>
      <c r="KMF1331" s="1072"/>
      <c r="KMG1331" s="1072"/>
      <c r="KMH1331" s="1072"/>
      <c r="KMI1331" s="1072"/>
      <c r="KMJ1331" s="1072"/>
      <c r="KMK1331" s="1072"/>
      <c r="KML1331" s="1072"/>
      <c r="KMM1331" s="1072"/>
      <c r="KMN1331" s="1072"/>
      <c r="KMO1331" s="1072"/>
      <c r="KMP1331" s="1072"/>
      <c r="KMQ1331" s="1072"/>
      <c r="KMR1331" s="1072"/>
      <c r="KMS1331" s="1072"/>
      <c r="KMT1331" s="1072"/>
      <c r="KMU1331" s="1072"/>
      <c r="KMV1331" s="1072"/>
      <c r="KMW1331" s="1072"/>
      <c r="KMX1331" s="1072"/>
      <c r="KMY1331" s="1072"/>
      <c r="KMZ1331" s="1072"/>
      <c r="KNA1331" s="1072"/>
      <c r="KNB1331" s="1072"/>
      <c r="KNC1331" s="1072"/>
      <c r="KND1331" s="1072"/>
      <c r="KNE1331" s="1072"/>
      <c r="KNF1331" s="1072"/>
      <c r="KNG1331" s="1072"/>
      <c r="KNH1331" s="1072"/>
      <c r="KNI1331" s="1072"/>
      <c r="KNJ1331" s="1072"/>
      <c r="KNK1331" s="1072"/>
      <c r="KNL1331" s="1072"/>
      <c r="KNM1331" s="1072"/>
      <c r="KNN1331" s="1072"/>
      <c r="KNO1331" s="1072"/>
      <c r="KNP1331" s="1072"/>
      <c r="KNQ1331" s="1072"/>
      <c r="KNR1331" s="1072"/>
      <c r="KNS1331" s="1072"/>
      <c r="KNT1331" s="1072"/>
      <c r="KNU1331" s="1072"/>
      <c r="KNV1331" s="1072"/>
      <c r="KNW1331" s="1072"/>
      <c r="KNX1331" s="1072"/>
      <c r="KNY1331" s="1072"/>
      <c r="KNZ1331" s="1072"/>
      <c r="KOA1331" s="1072"/>
      <c r="KOB1331" s="1072"/>
      <c r="KOC1331" s="1072"/>
      <c r="KOD1331" s="1072"/>
      <c r="KOE1331" s="1072"/>
      <c r="KOF1331" s="1072"/>
      <c r="KOG1331" s="1072"/>
      <c r="KOH1331" s="1072"/>
      <c r="KOI1331" s="1072"/>
      <c r="KOJ1331" s="1072"/>
      <c r="KOK1331" s="1072"/>
      <c r="KOL1331" s="1072"/>
      <c r="KOM1331" s="1072"/>
      <c r="KON1331" s="1072"/>
      <c r="KOO1331" s="1072"/>
      <c r="KOP1331" s="1072"/>
      <c r="KOQ1331" s="1072"/>
      <c r="KOR1331" s="1072"/>
      <c r="KOS1331" s="1072"/>
      <c r="KOT1331" s="1072"/>
      <c r="KOU1331" s="1072"/>
      <c r="KOV1331" s="1072"/>
      <c r="KOW1331" s="1072"/>
      <c r="KOX1331" s="1072"/>
      <c r="KOY1331" s="1072"/>
      <c r="KOZ1331" s="1072"/>
      <c r="KPA1331" s="1072"/>
      <c r="KPB1331" s="1072"/>
      <c r="KPC1331" s="1072"/>
      <c r="KPD1331" s="1072"/>
      <c r="KPE1331" s="1072"/>
      <c r="KPF1331" s="1072"/>
      <c r="KPG1331" s="1072"/>
      <c r="KPH1331" s="1072"/>
      <c r="KPI1331" s="1072"/>
      <c r="KPJ1331" s="1072"/>
      <c r="KPK1331" s="1072"/>
      <c r="KPL1331" s="1072"/>
      <c r="KPM1331" s="1072"/>
      <c r="KPN1331" s="1072"/>
      <c r="KPO1331" s="1072"/>
      <c r="KPP1331" s="1072"/>
      <c r="KPQ1331" s="1072"/>
      <c r="KPR1331" s="1072"/>
      <c r="KPS1331" s="1072"/>
      <c r="KPT1331" s="1072"/>
      <c r="KPU1331" s="1072"/>
      <c r="KPV1331" s="1072"/>
      <c r="KPW1331" s="1072"/>
      <c r="KPX1331" s="1072"/>
      <c r="KPY1331" s="1072"/>
      <c r="KPZ1331" s="1072"/>
      <c r="KQA1331" s="1072"/>
      <c r="KQB1331" s="1072"/>
      <c r="KQC1331" s="1072"/>
      <c r="KQD1331" s="1072"/>
      <c r="KQE1331" s="1072"/>
      <c r="KQF1331" s="1072"/>
      <c r="KQG1331" s="1072"/>
      <c r="KQH1331" s="1072"/>
      <c r="KQI1331" s="1072"/>
      <c r="KQJ1331" s="1072"/>
      <c r="KQK1331" s="1072"/>
      <c r="KQL1331" s="1072"/>
      <c r="KQM1331" s="1072"/>
      <c r="KQN1331" s="1072"/>
      <c r="KQO1331" s="1072"/>
      <c r="KQP1331" s="1072"/>
      <c r="KQQ1331" s="1072"/>
      <c r="KQR1331" s="1072"/>
      <c r="KQS1331" s="1072"/>
      <c r="KQT1331" s="1072"/>
      <c r="KQU1331" s="1072"/>
      <c r="KQV1331" s="1072"/>
      <c r="KQW1331" s="1072"/>
      <c r="KQX1331" s="1072"/>
      <c r="KQY1331" s="1072"/>
      <c r="KQZ1331" s="1072"/>
      <c r="KRA1331" s="1072"/>
      <c r="KRB1331" s="1072"/>
      <c r="KRC1331" s="1072"/>
      <c r="KRD1331" s="1072"/>
      <c r="KRE1331" s="1072"/>
      <c r="KRF1331" s="1072"/>
      <c r="KRG1331" s="1072"/>
      <c r="KRH1331" s="1072"/>
      <c r="KRI1331" s="1072"/>
      <c r="KRJ1331" s="1072"/>
      <c r="KRK1331" s="1072"/>
      <c r="KRL1331" s="1072"/>
      <c r="KRM1331" s="1072"/>
      <c r="KRN1331" s="1072"/>
      <c r="KRO1331" s="1072"/>
      <c r="KRP1331" s="1072"/>
      <c r="KRQ1331" s="1072"/>
      <c r="KRR1331" s="1072"/>
      <c r="KRS1331" s="1072"/>
      <c r="KRT1331" s="1072"/>
      <c r="KRU1331" s="1072"/>
      <c r="KRV1331" s="1072"/>
      <c r="KRW1331" s="1072"/>
      <c r="KRX1331" s="1072"/>
      <c r="KRY1331" s="1072"/>
      <c r="KRZ1331" s="1072"/>
      <c r="KSA1331" s="1072"/>
      <c r="KSB1331" s="1072"/>
      <c r="KSC1331" s="1072"/>
      <c r="KSD1331" s="1072"/>
      <c r="KSE1331" s="1072"/>
      <c r="KSF1331" s="1072"/>
      <c r="KSG1331" s="1072"/>
      <c r="KSH1331" s="1072"/>
      <c r="KSI1331" s="1072"/>
      <c r="KSJ1331" s="1072"/>
      <c r="KSK1331" s="1072"/>
      <c r="KSL1331" s="1072"/>
      <c r="KSM1331" s="1072"/>
      <c r="KSN1331" s="1072"/>
      <c r="KSO1331" s="1072"/>
      <c r="KSP1331" s="1072"/>
      <c r="KSQ1331" s="1072"/>
      <c r="KSR1331" s="1072"/>
      <c r="KSS1331" s="1072"/>
      <c r="KST1331" s="1072"/>
      <c r="KSU1331" s="1072"/>
      <c r="KSV1331" s="1072"/>
      <c r="KSW1331" s="1072"/>
      <c r="KSX1331" s="1072"/>
      <c r="KSY1331" s="1072"/>
      <c r="KSZ1331" s="1072"/>
      <c r="KTA1331" s="1072"/>
      <c r="KTB1331" s="1072"/>
      <c r="KTC1331" s="1072"/>
      <c r="KTD1331" s="1072"/>
      <c r="KTE1331" s="1072"/>
      <c r="KTF1331" s="1072"/>
      <c r="KTG1331" s="1072"/>
      <c r="KTH1331" s="1072"/>
      <c r="KTI1331" s="1072"/>
      <c r="KTJ1331" s="1072"/>
      <c r="KTK1331" s="1072"/>
      <c r="KTL1331" s="1072"/>
      <c r="KTM1331" s="1072"/>
      <c r="KTN1331" s="1072"/>
      <c r="KTO1331" s="1072"/>
      <c r="KTP1331" s="1072"/>
      <c r="KTQ1331" s="1072"/>
      <c r="KTR1331" s="1072"/>
      <c r="KTS1331" s="1072"/>
      <c r="KTT1331" s="1072"/>
      <c r="KTU1331" s="1072"/>
      <c r="KTV1331" s="1072"/>
      <c r="KTW1331" s="1072"/>
      <c r="KTX1331" s="1072"/>
      <c r="KTY1331" s="1072"/>
      <c r="KTZ1331" s="1072"/>
      <c r="KUA1331" s="1072"/>
      <c r="KUB1331" s="1072"/>
      <c r="KUC1331" s="1072"/>
      <c r="KUD1331" s="1072"/>
      <c r="KUE1331" s="1072"/>
      <c r="KUF1331" s="1072"/>
      <c r="KUG1331" s="1072"/>
      <c r="KUH1331" s="1072"/>
      <c r="KUI1331" s="1072"/>
      <c r="KUJ1331" s="1072"/>
      <c r="KUK1331" s="1072"/>
      <c r="KUL1331" s="1072"/>
      <c r="KUM1331" s="1072"/>
      <c r="KUN1331" s="1072"/>
      <c r="KUO1331" s="1072"/>
      <c r="KUP1331" s="1072"/>
      <c r="KUQ1331" s="1072"/>
      <c r="KUR1331" s="1072"/>
      <c r="KUS1331" s="1072"/>
      <c r="KUT1331" s="1072"/>
      <c r="KUU1331" s="1072"/>
      <c r="KUV1331" s="1072"/>
      <c r="KUW1331" s="1072"/>
      <c r="KUX1331" s="1072"/>
      <c r="KUY1331" s="1072"/>
      <c r="KUZ1331" s="1072"/>
      <c r="KVA1331" s="1072"/>
      <c r="KVB1331" s="1072"/>
      <c r="KVC1331" s="1072"/>
      <c r="KVD1331" s="1072"/>
      <c r="KVE1331" s="1072"/>
      <c r="KVF1331" s="1072"/>
      <c r="KVG1331" s="1072"/>
      <c r="KVH1331" s="1072"/>
      <c r="KVI1331" s="1072"/>
      <c r="KVJ1331" s="1072"/>
      <c r="KVK1331" s="1072"/>
      <c r="KVL1331" s="1072"/>
      <c r="KVM1331" s="1072"/>
      <c r="KVN1331" s="1072"/>
      <c r="KVO1331" s="1072"/>
      <c r="KVP1331" s="1072"/>
      <c r="KVQ1331" s="1072"/>
      <c r="KVR1331" s="1072"/>
      <c r="KVS1331" s="1072"/>
      <c r="KVT1331" s="1072"/>
      <c r="KVU1331" s="1072"/>
      <c r="KVV1331" s="1072"/>
      <c r="KVW1331" s="1072"/>
      <c r="KVX1331" s="1072"/>
      <c r="KVY1331" s="1072"/>
      <c r="KVZ1331" s="1072"/>
      <c r="KWA1331" s="1072"/>
      <c r="KWB1331" s="1072"/>
      <c r="KWC1331" s="1072"/>
      <c r="KWD1331" s="1072"/>
      <c r="KWE1331" s="1072"/>
      <c r="KWF1331" s="1072"/>
      <c r="KWG1331" s="1072"/>
      <c r="KWH1331" s="1072"/>
      <c r="KWI1331" s="1072"/>
      <c r="KWJ1331" s="1072"/>
      <c r="KWK1331" s="1072"/>
      <c r="KWL1331" s="1072"/>
      <c r="KWM1331" s="1072"/>
      <c r="KWN1331" s="1072"/>
      <c r="KWO1331" s="1072"/>
      <c r="KWP1331" s="1072"/>
      <c r="KWQ1331" s="1072"/>
      <c r="KWR1331" s="1072"/>
      <c r="KWS1331" s="1072"/>
      <c r="KWT1331" s="1072"/>
      <c r="KWU1331" s="1072"/>
      <c r="KWV1331" s="1072"/>
      <c r="KWW1331" s="1072"/>
      <c r="KWX1331" s="1072"/>
      <c r="KWY1331" s="1072"/>
      <c r="KWZ1331" s="1072"/>
      <c r="KXA1331" s="1072"/>
      <c r="KXB1331" s="1072"/>
      <c r="KXC1331" s="1072"/>
      <c r="KXD1331" s="1072"/>
      <c r="KXE1331" s="1072"/>
      <c r="KXF1331" s="1072"/>
      <c r="KXG1331" s="1072"/>
      <c r="KXH1331" s="1072"/>
      <c r="KXI1331" s="1072"/>
      <c r="KXJ1331" s="1072"/>
      <c r="KXK1331" s="1072"/>
      <c r="KXL1331" s="1072"/>
      <c r="KXM1331" s="1072"/>
      <c r="KXN1331" s="1072"/>
      <c r="KXO1331" s="1072"/>
      <c r="KXP1331" s="1072"/>
      <c r="KXQ1331" s="1072"/>
      <c r="KXR1331" s="1072"/>
      <c r="KXS1331" s="1072"/>
      <c r="KXT1331" s="1072"/>
      <c r="KXU1331" s="1072"/>
      <c r="KXV1331" s="1072"/>
      <c r="KXW1331" s="1072"/>
      <c r="KXX1331" s="1072"/>
      <c r="KXY1331" s="1072"/>
      <c r="KXZ1331" s="1072"/>
      <c r="KYA1331" s="1072"/>
      <c r="KYB1331" s="1072"/>
      <c r="KYC1331" s="1072"/>
      <c r="KYD1331" s="1072"/>
      <c r="KYE1331" s="1072"/>
      <c r="KYF1331" s="1072"/>
      <c r="KYG1331" s="1072"/>
      <c r="KYH1331" s="1072"/>
      <c r="KYI1331" s="1072"/>
      <c r="KYJ1331" s="1072"/>
      <c r="KYK1331" s="1072"/>
      <c r="KYL1331" s="1072"/>
      <c r="KYM1331" s="1072"/>
      <c r="KYN1331" s="1072"/>
      <c r="KYO1331" s="1072"/>
      <c r="KYP1331" s="1072"/>
      <c r="KYQ1331" s="1072"/>
      <c r="KYR1331" s="1072"/>
      <c r="KYS1331" s="1072"/>
      <c r="KYT1331" s="1072"/>
      <c r="KYU1331" s="1072"/>
      <c r="KYV1331" s="1072"/>
      <c r="KYW1331" s="1072"/>
      <c r="KYX1331" s="1072"/>
      <c r="KYY1331" s="1072"/>
      <c r="KYZ1331" s="1072"/>
      <c r="KZA1331" s="1072"/>
      <c r="KZB1331" s="1072"/>
      <c r="KZC1331" s="1072"/>
      <c r="KZD1331" s="1072"/>
      <c r="KZE1331" s="1072"/>
      <c r="KZF1331" s="1072"/>
      <c r="KZG1331" s="1072"/>
      <c r="KZH1331" s="1072"/>
      <c r="KZI1331" s="1072"/>
      <c r="KZJ1331" s="1072"/>
      <c r="KZK1331" s="1072"/>
      <c r="KZL1331" s="1072"/>
      <c r="KZM1331" s="1072"/>
      <c r="KZN1331" s="1072"/>
      <c r="KZO1331" s="1072"/>
      <c r="KZP1331" s="1072"/>
      <c r="KZQ1331" s="1072"/>
      <c r="KZR1331" s="1072"/>
      <c r="KZS1331" s="1072"/>
      <c r="KZT1331" s="1072"/>
      <c r="KZU1331" s="1072"/>
      <c r="KZV1331" s="1072"/>
      <c r="KZW1331" s="1072"/>
      <c r="KZX1331" s="1072"/>
      <c r="KZY1331" s="1072"/>
      <c r="KZZ1331" s="1072"/>
      <c r="LAA1331" s="1072"/>
      <c r="LAB1331" s="1072"/>
      <c r="LAC1331" s="1072"/>
      <c r="LAD1331" s="1072"/>
      <c r="LAE1331" s="1072"/>
      <c r="LAF1331" s="1072"/>
      <c r="LAG1331" s="1072"/>
      <c r="LAH1331" s="1072"/>
      <c r="LAI1331" s="1072"/>
      <c r="LAJ1331" s="1072"/>
      <c r="LAK1331" s="1072"/>
      <c r="LAL1331" s="1072"/>
      <c r="LAM1331" s="1072"/>
      <c r="LAN1331" s="1072"/>
      <c r="LAO1331" s="1072"/>
      <c r="LAP1331" s="1072"/>
      <c r="LAQ1331" s="1072"/>
      <c r="LAR1331" s="1072"/>
      <c r="LAS1331" s="1072"/>
      <c r="LAT1331" s="1072"/>
      <c r="LAU1331" s="1072"/>
      <c r="LAV1331" s="1072"/>
      <c r="LAW1331" s="1072"/>
      <c r="LAX1331" s="1072"/>
      <c r="LAY1331" s="1072"/>
      <c r="LAZ1331" s="1072"/>
      <c r="LBA1331" s="1072"/>
      <c r="LBB1331" s="1072"/>
      <c r="LBC1331" s="1072"/>
      <c r="LBD1331" s="1072"/>
      <c r="LBE1331" s="1072"/>
      <c r="LBF1331" s="1072"/>
      <c r="LBG1331" s="1072"/>
      <c r="LBH1331" s="1072"/>
      <c r="LBI1331" s="1072"/>
      <c r="LBJ1331" s="1072"/>
      <c r="LBK1331" s="1072"/>
      <c r="LBL1331" s="1072"/>
      <c r="LBM1331" s="1072"/>
      <c r="LBN1331" s="1072"/>
      <c r="LBO1331" s="1072"/>
      <c r="LBP1331" s="1072"/>
      <c r="LBQ1331" s="1072"/>
      <c r="LBR1331" s="1072"/>
      <c r="LBS1331" s="1072"/>
      <c r="LBT1331" s="1072"/>
      <c r="LBU1331" s="1072"/>
      <c r="LBV1331" s="1072"/>
      <c r="LBW1331" s="1072"/>
      <c r="LBX1331" s="1072"/>
      <c r="LBY1331" s="1072"/>
      <c r="LBZ1331" s="1072"/>
      <c r="LCA1331" s="1072"/>
      <c r="LCB1331" s="1072"/>
      <c r="LCC1331" s="1072"/>
      <c r="LCD1331" s="1072"/>
      <c r="LCE1331" s="1072"/>
      <c r="LCF1331" s="1072"/>
      <c r="LCG1331" s="1072"/>
      <c r="LCH1331" s="1072"/>
      <c r="LCI1331" s="1072"/>
      <c r="LCJ1331" s="1072"/>
      <c r="LCK1331" s="1072"/>
      <c r="LCL1331" s="1072"/>
      <c r="LCM1331" s="1072"/>
      <c r="LCN1331" s="1072"/>
      <c r="LCO1331" s="1072"/>
      <c r="LCP1331" s="1072"/>
      <c r="LCQ1331" s="1072"/>
      <c r="LCR1331" s="1072"/>
      <c r="LCS1331" s="1072"/>
      <c r="LCT1331" s="1072"/>
      <c r="LCU1331" s="1072"/>
      <c r="LCV1331" s="1072"/>
      <c r="LCW1331" s="1072"/>
      <c r="LCX1331" s="1072"/>
      <c r="LCY1331" s="1072"/>
      <c r="LCZ1331" s="1072"/>
      <c r="LDA1331" s="1072"/>
      <c r="LDB1331" s="1072"/>
      <c r="LDC1331" s="1072"/>
      <c r="LDD1331" s="1072"/>
      <c r="LDE1331" s="1072"/>
      <c r="LDF1331" s="1072"/>
      <c r="LDG1331" s="1072"/>
      <c r="LDH1331" s="1072"/>
      <c r="LDI1331" s="1072"/>
      <c r="LDJ1331" s="1072"/>
      <c r="LDK1331" s="1072"/>
      <c r="LDL1331" s="1072"/>
      <c r="LDM1331" s="1072"/>
      <c r="LDN1331" s="1072"/>
      <c r="LDO1331" s="1072"/>
      <c r="LDP1331" s="1072"/>
      <c r="LDQ1331" s="1072"/>
      <c r="LDR1331" s="1072"/>
      <c r="LDS1331" s="1072"/>
      <c r="LDT1331" s="1072"/>
      <c r="LDU1331" s="1072"/>
      <c r="LDV1331" s="1072"/>
      <c r="LDW1331" s="1072"/>
      <c r="LDX1331" s="1072"/>
      <c r="LDY1331" s="1072"/>
      <c r="LDZ1331" s="1072"/>
      <c r="LEA1331" s="1072"/>
      <c r="LEB1331" s="1072"/>
      <c r="LEC1331" s="1072"/>
      <c r="LED1331" s="1072"/>
      <c r="LEE1331" s="1072"/>
      <c r="LEF1331" s="1072"/>
      <c r="LEG1331" s="1072"/>
      <c r="LEH1331" s="1072"/>
      <c r="LEI1331" s="1072"/>
      <c r="LEJ1331" s="1072"/>
      <c r="LEK1331" s="1072"/>
      <c r="LEL1331" s="1072"/>
      <c r="LEM1331" s="1072"/>
      <c r="LEN1331" s="1072"/>
      <c r="LEO1331" s="1072"/>
      <c r="LEP1331" s="1072"/>
      <c r="LEQ1331" s="1072"/>
      <c r="LER1331" s="1072"/>
      <c r="LES1331" s="1072"/>
      <c r="LET1331" s="1072"/>
      <c r="LEU1331" s="1072"/>
      <c r="LEV1331" s="1072"/>
      <c r="LEW1331" s="1072"/>
      <c r="LEX1331" s="1072"/>
      <c r="LEY1331" s="1072"/>
      <c r="LEZ1331" s="1072"/>
      <c r="LFA1331" s="1072"/>
      <c r="LFB1331" s="1072"/>
      <c r="LFC1331" s="1072"/>
      <c r="LFD1331" s="1072"/>
      <c r="LFE1331" s="1072"/>
      <c r="LFF1331" s="1072"/>
      <c r="LFG1331" s="1072"/>
      <c r="LFH1331" s="1072"/>
      <c r="LFI1331" s="1072"/>
      <c r="LFJ1331" s="1072"/>
      <c r="LFK1331" s="1072"/>
      <c r="LFL1331" s="1072"/>
      <c r="LFM1331" s="1072"/>
      <c r="LFN1331" s="1072"/>
      <c r="LFO1331" s="1072"/>
      <c r="LFP1331" s="1072"/>
      <c r="LFQ1331" s="1072"/>
      <c r="LFR1331" s="1072"/>
      <c r="LFS1331" s="1072"/>
      <c r="LFT1331" s="1072"/>
      <c r="LFU1331" s="1072"/>
      <c r="LFV1331" s="1072"/>
      <c r="LFW1331" s="1072"/>
      <c r="LFX1331" s="1072"/>
      <c r="LFY1331" s="1072"/>
      <c r="LFZ1331" s="1072"/>
      <c r="LGA1331" s="1072"/>
      <c r="LGB1331" s="1072"/>
      <c r="LGC1331" s="1072"/>
      <c r="LGD1331" s="1072"/>
      <c r="LGE1331" s="1072"/>
      <c r="LGF1331" s="1072"/>
      <c r="LGG1331" s="1072"/>
      <c r="LGH1331" s="1072"/>
      <c r="LGI1331" s="1072"/>
      <c r="LGJ1331" s="1072"/>
      <c r="LGK1331" s="1072"/>
      <c r="LGL1331" s="1072"/>
      <c r="LGM1331" s="1072"/>
      <c r="LGN1331" s="1072"/>
      <c r="LGO1331" s="1072"/>
      <c r="LGP1331" s="1072"/>
      <c r="LGQ1331" s="1072"/>
      <c r="LGR1331" s="1072"/>
      <c r="LGS1331" s="1072"/>
      <c r="LGT1331" s="1072"/>
      <c r="LGU1331" s="1072"/>
      <c r="LGV1331" s="1072"/>
      <c r="LGW1331" s="1072"/>
      <c r="LGX1331" s="1072"/>
      <c r="LGY1331" s="1072"/>
      <c r="LGZ1331" s="1072"/>
      <c r="LHA1331" s="1072"/>
      <c r="LHB1331" s="1072"/>
      <c r="LHC1331" s="1072"/>
      <c r="LHD1331" s="1072"/>
      <c r="LHE1331" s="1072"/>
      <c r="LHF1331" s="1072"/>
      <c r="LHG1331" s="1072"/>
      <c r="LHH1331" s="1072"/>
      <c r="LHI1331" s="1072"/>
      <c r="LHJ1331" s="1072"/>
      <c r="LHK1331" s="1072"/>
      <c r="LHL1331" s="1072"/>
      <c r="LHM1331" s="1072"/>
      <c r="LHN1331" s="1072"/>
      <c r="LHO1331" s="1072"/>
      <c r="LHP1331" s="1072"/>
      <c r="LHQ1331" s="1072"/>
      <c r="LHR1331" s="1072"/>
      <c r="LHS1331" s="1072"/>
      <c r="LHT1331" s="1072"/>
      <c r="LHU1331" s="1072"/>
      <c r="LHV1331" s="1072"/>
      <c r="LHW1331" s="1072"/>
      <c r="LHX1331" s="1072"/>
      <c r="LHY1331" s="1072"/>
      <c r="LHZ1331" s="1072"/>
      <c r="LIA1331" s="1072"/>
      <c r="LIB1331" s="1072"/>
      <c r="LIC1331" s="1072"/>
      <c r="LID1331" s="1072"/>
      <c r="LIE1331" s="1072"/>
      <c r="LIF1331" s="1072"/>
      <c r="LIG1331" s="1072"/>
      <c r="LIH1331" s="1072"/>
      <c r="LII1331" s="1072"/>
      <c r="LIJ1331" s="1072"/>
      <c r="LIK1331" s="1072"/>
      <c r="LIL1331" s="1072"/>
      <c r="LIM1331" s="1072"/>
      <c r="LIN1331" s="1072"/>
      <c r="LIO1331" s="1072"/>
      <c r="LIP1331" s="1072"/>
      <c r="LIQ1331" s="1072"/>
      <c r="LIR1331" s="1072"/>
      <c r="LIS1331" s="1072"/>
      <c r="LIT1331" s="1072"/>
      <c r="LIU1331" s="1072"/>
      <c r="LIV1331" s="1072"/>
      <c r="LIW1331" s="1072"/>
      <c r="LIX1331" s="1072"/>
      <c r="LIY1331" s="1072"/>
      <c r="LIZ1331" s="1072"/>
      <c r="LJA1331" s="1072"/>
      <c r="LJB1331" s="1072"/>
      <c r="LJC1331" s="1072"/>
      <c r="LJD1331" s="1072"/>
      <c r="LJE1331" s="1072"/>
      <c r="LJF1331" s="1072"/>
      <c r="LJG1331" s="1072"/>
      <c r="LJH1331" s="1072"/>
      <c r="LJI1331" s="1072"/>
      <c r="LJJ1331" s="1072"/>
      <c r="LJK1331" s="1072"/>
      <c r="LJL1331" s="1072"/>
      <c r="LJM1331" s="1072"/>
      <c r="LJN1331" s="1072"/>
      <c r="LJO1331" s="1072"/>
      <c r="LJP1331" s="1072"/>
      <c r="LJQ1331" s="1072"/>
      <c r="LJR1331" s="1072"/>
      <c r="LJS1331" s="1072"/>
      <c r="LJT1331" s="1072"/>
      <c r="LJU1331" s="1072"/>
      <c r="LJV1331" s="1072"/>
      <c r="LJW1331" s="1072"/>
      <c r="LJX1331" s="1072"/>
      <c r="LJY1331" s="1072"/>
      <c r="LJZ1331" s="1072"/>
      <c r="LKA1331" s="1072"/>
      <c r="LKB1331" s="1072"/>
      <c r="LKC1331" s="1072"/>
      <c r="LKD1331" s="1072"/>
      <c r="LKE1331" s="1072"/>
      <c r="LKF1331" s="1072"/>
      <c r="LKG1331" s="1072"/>
      <c r="LKH1331" s="1072"/>
      <c r="LKI1331" s="1072"/>
      <c r="LKJ1331" s="1072"/>
      <c r="LKK1331" s="1072"/>
      <c r="LKL1331" s="1072"/>
      <c r="LKM1331" s="1072"/>
      <c r="LKN1331" s="1072"/>
      <c r="LKO1331" s="1072"/>
      <c r="LKP1331" s="1072"/>
      <c r="LKQ1331" s="1072"/>
      <c r="LKR1331" s="1072"/>
      <c r="LKS1331" s="1072"/>
      <c r="LKT1331" s="1072"/>
      <c r="LKU1331" s="1072"/>
      <c r="LKV1331" s="1072"/>
      <c r="LKW1331" s="1072"/>
      <c r="LKX1331" s="1072"/>
      <c r="LKY1331" s="1072"/>
      <c r="LKZ1331" s="1072"/>
      <c r="LLA1331" s="1072"/>
      <c r="LLB1331" s="1072"/>
      <c r="LLC1331" s="1072"/>
      <c r="LLD1331" s="1072"/>
      <c r="LLE1331" s="1072"/>
      <c r="LLF1331" s="1072"/>
      <c r="LLG1331" s="1072"/>
      <c r="LLH1331" s="1072"/>
      <c r="LLI1331" s="1072"/>
      <c r="LLJ1331" s="1072"/>
      <c r="LLK1331" s="1072"/>
      <c r="LLL1331" s="1072"/>
      <c r="LLM1331" s="1072"/>
      <c r="LLN1331" s="1072"/>
      <c r="LLO1331" s="1072"/>
      <c r="LLP1331" s="1072"/>
      <c r="LLQ1331" s="1072"/>
      <c r="LLR1331" s="1072"/>
      <c r="LLS1331" s="1072"/>
      <c r="LLT1331" s="1072"/>
      <c r="LLU1331" s="1072"/>
      <c r="LLV1331" s="1072"/>
      <c r="LLW1331" s="1072"/>
      <c r="LLX1331" s="1072"/>
      <c r="LLY1331" s="1072"/>
      <c r="LLZ1331" s="1072"/>
      <c r="LMA1331" s="1072"/>
      <c r="LMB1331" s="1072"/>
      <c r="LMC1331" s="1072"/>
      <c r="LMD1331" s="1072"/>
      <c r="LME1331" s="1072"/>
      <c r="LMF1331" s="1072"/>
      <c r="LMG1331" s="1072"/>
      <c r="LMH1331" s="1072"/>
      <c r="LMI1331" s="1072"/>
      <c r="LMJ1331" s="1072"/>
      <c r="LMK1331" s="1072"/>
      <c r="LML1331" s="1072"/>
      <c r="LMM1331" s="1072"/>
      <c r="LMN1331" s="1072"/>
      <c r="LMO1331" s="1072"/>
      <c r="LMP1331" s="1072"/>
      <c r="LMQ1331" s="1072"/>
      <c r="LMR1331" s="1072"/>
      <c r="LMS1331" s="1072"/>
      <c r="LMT1331" s="1072"/>
      <c r="LMU1331" s="1072"/>
      <c r="LMV1331" s="1072"/>
      <c r="LMW1331" s="1072"/>
      <c r="LMX1331" s="1072"/>
      <c r="LMY1331" s="1072"/>
      <c r="LMZ1331" s="1072"/>
      <c r="LNA1331" s="1072"/>
      <c r="LNB1331" s="1072"/>
      <c r="LNC1331" s="1072"/>
      <c r="LND1331" s="1072"/>
      <c r="LNE1331" s="1072"/>
      <c r="LNF1331" s="1072"/>
      <c r="LNG1331" s="1072"/>
      <c r="LNH1331" s="1072"/>
      <c r="LNI1331" s="1072"/>
      <c r="LNJ1331" s="1072"/>
      <c r="LNK1331" s="1072"/>
      <c r="LNL1331" s="1072"/>
      <c r="LNM1331" s="1072"/>
      <c r="LNN1331" s="1072"/>
      <c r="LNO1331" s="1072"/>
      <c r="LNP1331" s="1072"/>
      <c r="LNQ1331" s="1072"/>
      <c r="LNR1331" s="1072"/>
      <c r="LNS1331" s="1072"/>
      <c r="LNT1331" s="1072"/>
      <c r="LNU1331" s="1072"/>
      <c r="LNV1331" s="1072"/>
      <c r="LNW1331" s="1072"/>
      <c r="LNX1331" s="1072"/>
      <c r="LNY1331" s="1072"/>
      <c r="LNZ1331" s="1072"/>
      <c r="LOA1331" s="1072"/>
      <c r="LOB1331" s="1072"/>
      <c r="LOC1331" s="1072"/>
      <c r="LOD1331" s="1072"/>
      <c r="LOE1331" s="1072"/>
      <c r="LOF1331" s="1072"/>
      <c r="LOG1331" s="1072"/>
      <c r="LOH1331" s="1072"/>
      <c r="LOI1331" s="1072"/>
      <c r="LOJ1331" s="1072"/>
      <c r="LOK1331" s="1072"/>
      <c r="LOL1331" s="1072"/>
      <c r="LOM1331" s="1072"/>
      <c r="LON1331" s="1072"/>
      <c r="LOO1331" s="1072"/>
      <c r="LOP1331" s="1072"/>
      <c r="LOQ1331" s="1072"/>
      <c r="LOR1331" s="1072"/>
      <c r="LOS1331" s="1072"/>
      <c r="LOT1331" s="1072"/>
      <c r="LOU1331" s="1072"/>
      <c r="LOV1331" s="1072"/>
      <c r="LOW1331" s="1072"/>
      <c r="LOX1331" s="1072"/>
      <c r="LOY1331" s="1072"/>
      <c r="LOZ1331" s="1072"/>
      <c r="LPA1331" s="1072"/>
      <c r="LPB1331" s="1072"/>
      <c r="LPC1331" s="1072"/>
      <c r="LPD1331" s="1072"/>
      <c r="LPE1331" s="1072"/>
      <c r="LPF1331" s="1072"/>
      <c r="LPG1331" s="1072"/>
      <c r="LPH1331" s="1072"/>
      <c r="LPI1331" s="1072"/>
      <c r="LPJ1331" s="1072"/>
      <c r="LPK1331" s="1072"/>
      <c r="LPL1331" s="1072"/>
      <c r="LPM1331" s="1072"/>
      <c r="LPN1331" s="1072"/>
      <c r="LPO1331" s="1072"/>
      <c r="LPP1331" s="1072"/>
      <c r="LPQ1331" s="1072"/>
      <c r="LPR1331" s="1072"/>
      <c r="LPS1331" s="1072"/>
      <c r="LPT1331" s="1072"/>
      <c r="LPU1331" s="1072"/>
      <c r="LPV1331" s="1072"/>
      <c r="LPW1331" s="1072"/>
      <c r="LPX1331" s="1072"/>
      <c r="LPY1331" s="1072"/>
      <c r="LPZ1331" s="1072"/>
      <c r="LQA1331" s="1072"/>
      <c r="LQB1331" s="1072"/>
      <c r="LQC1331" s="1072"/>
      <c r="LQD1331" s="1072"/>
      <c r="LQE1331" s="1072"/>
      <c r="LQF1331" s="1072"/>
      <c r="LQG1331" s="1072"/>
      <c r="LQH1331" s="1072"/>
      <c r="LQI1331" s="1072"/>
      <c r="LQJ1331" s="1072"/>
      <c r="LQK1331" s="1072"/>
      <c r="LQL1331" s="1072"/>
      <c r="LQM1331" s="1072"/>
      <c r="LQN1331" s="1072"/>
      <c r="LQO1331" s="1072"/>
      <c r="LQP1331" s="1072"/>
      <c r="LQQ1331" s="1072"/>
      <c r="LQR1331" s="1072"/>
      <c r="LQS1331" s="1072"/>
      <c r="LQT1331" s="1072"/>
      <c r="LQU1331" s="1072"/>
      <c r="LQV1331" s="1072"/>
      <c r="LQW1331" s="1072"/>
      <c r="LQX1331" s="1072"/>
      <c r="LQY1331" s="1072"/>
      <c r="LQZ1331" s="1072"/>
      <c r="LRA1331" s="1072"/>
      <c r="LRB1331" s="1072"/>
      <c r="LRC1331" s="1072"/>
      <c r="LRD1331" s="1072"/>
      <c r="LRE1331" s="1072"/>
      <c r="LRF1331" s="1072"/>
      <c r="LRG1331" s="1072"/>
      <c r="LRH1331" s="1072"/>
      <c r="LRI1331" s="1072"/>
      <c r="LRJ1331" s="1072"/>
      <c r="LRK1331" s="1072"/>
      <c r="LRL1331" s="1072"/>
      <c r="LRM1331" s="1072"/>
      <c r="LRN1331" s="1072"/>
      <c r="LRO1331" s="1072"/>
      <c r="LRP1331" s="1072"/>
      <c r="LRQ1331" s="1072"/>
      <c r="LRR1331" s="1072"/>
      <c r="LRS1331" s="1072"/>
      <c r="LRT1331" s="1072"/>
      <c r="LRU1331" s="1072"/>
      <c r="LRV1331" s="1072"/>
      <c r="LRW1331" s="1072"/>
      <c r="LRX1331" s="1072"/>
      <c r="LRY1331" s="1072"/>
      <c r="LRZ1331" s="1072"/>
      <c r="LSA1331" s="1072"/>
      <c r="LSB1331" s="1072"/>
      <c r="LSC1331" s="1072"/>
      <c r="LSD1331" s="1072"/>
      <c r="LSE1331" s="1072"/>
      <c r="LSF1331" s="1072"/>
      <c r="LSG1331" s="1072"/>
      <c r="LSH1331" s="1072"/>
      <c r="LSI1331" s="1072"/>
      <c r="LSJ1331" s="1072"/>
      <c r="LSK1331" s="1072"/>
      <c r="LSL1331" s="1072"/>
      <c r="LSM1331" s="1072"/>
      <c r="LSN1331" s="1072"/>
      <c r="LSO1331" s="1072"/>
      <c r="LSP1331" s="1072"/>
      <c r="LSQ1331" s="1072"/>
      <c r="LSR1331" s="1072"/>
      <c r="LSS1331" s="1072"/>
      <c r="LST1331" s="1072"/>
      <c r="LSU1331" s="1072"/>
      <c r="LSV1331" s="1072"/>
      <c r="LSW1331" s="1072"/>
      <c r="LSX1331" s="1072"/>
      <c r="LSY1331" s="1072"/>
      <c r="LSZ1331" s="1072"/>
      <c r="LTA1331" s="1072"/>
      <c r="LTB1331" s="1072"/>
      <c r="LTC1331" s="1072"/>
      <c r="LTD1331" s="1072"/>
      <c r="LTE1331" s="1072"/>
      <c r="LTF1331" s="1072"/>
      <c r="LTG1331" s="1072"/>
      <c r="LTH1331" s="1072"/>
      <c r="LTI1331" s="1072"/>
      <c r="LTJ1331" s="1072"/>
      <c r="LTK1331" s="1072"/>
      <c r="LTL1331" s="1072"/>
      <c r="LTM1331" s="1072"/>
      <c r="LTN1331" s="1072"/>
      <c r="LTO1331" s="1072"/>
      <c r="LTP1331" s="1072"/>
      <c r="LTQ1331" s="1072"/>
      <c r="LTR1331" s="1072"/>
      <c r="LTS1331" s="1072"/>
      <c r="LTT1331" s="1072"/>
      <c r="LTU1331" s="1072"/>
      <c r="LTV1331" s="1072"/>
      <c r="LTW1331" s="1072"/>
      <c r="LTX1331" s="1072"/>
      <c r="LTY1331" s="1072"/>
      <c r="LTZ1331" s="1072"/>
      <c r="LUA1331" s="1072"/>
      <c r="LUB1331" s="1072"/>
      <c r="LUC1331" s="1072"/>
      <c r="LUD1331" s="1072"/>
      <c r="LUE1331" s="1072"/>
      <c r="LUF1331" s="1072"/>
      <c r="LUG1331" s="1072"/>
      <c r="LUH1331" s="1072"/>
      <c r="LUI1331" s="1072"/>
      <c r="LUJ1331" s="1072"/>
      <c r="LUK1331" s="1072"/>
      <c r="LUL1331" s="1072"/>
      <c r="LUM1331" s="1072"/>
      <c r="LUN1331" s="1072"/>
      <c r="LUO1331" s="1072"/>
      <c r="LUP1331" s="1072"/>
      <c r="LUQ1331" s="1072"/>
      <c r="LUR1331" s="1072"/>
      <c r="LUS1331" s="1072"/>
      <c r="LUT1331" s="1072"/>
      <c r="LUU1331" s="1072"/>
      <c r="LUV1331" s="1072"/>
      <c r="LUW1331" s="1072"/>
      <c r="LUX1331" s="1072"/>
      <c r="LUY1331" s="1072"/>
      <c r="LUZ1331" s="1072"/>
      <c r="LVA1331" s="1072"/>
      <c r="LVB1331" s="1072"/>
      <c r="LVC1331" s="1072"/>
      <c r="LVD1331" s="1072"/>
      <c r="LVE1331" s="1072"/>
      <c r="LVF1331" s="1072"/>
      <c r="LVG1331" s="1072"/>
      <c r="LVH1331" s="1072"/>
      <c r="LVI1331" s="1072"/>
      <c r="LVJ1331" s="1072"/>
      <c r="LVK1331" s="1072"/>
      <c r="LVL1331" s="1072"/>
      <c r="LVM1331" s="1072"/>
      <c r="LVN1331" s="1072"/>
      <c r="LVO1331" s="1072"/>
      <c r="LVP1331" s="1072"/>
      <c r="LVQ1331" s="1072"/>
      <c r="LVR1331" s="1072"/>
      <c r="LVS1331" s="1072"/>
      <c r="LVT1331" s="1072"/>
      <c r="LVU1331" s="1072"/>
      <c r="LVV1331" s="1072"/>
      <c r="LVW1331" s="1072"/>
      <c r="LVX1331" s="1072"/>
      <c r="LVY1331" s="1072"/>
      <c r="LVZ1331" s="1072"/>
      <c r="LWA1331" s="1072"/>
      <c r="LWB1331" s="1072"/>
      <c r="LWC1331" s="1072"/>
      <c r="LWD1331" s="1072"/>
      <c r="LWE1331" s="1072"/>
      <c r="LWF1331" s="1072"/>
      <c r="LWG1331" s="1072"/>
      <c r="LWH1331" s="1072"/>
      <c r="LWI1331" s="1072"/>
      <c r="LWJ1331" s="1072"/>
      <c r="LWK1331" s="1072"/>
      <c r="LWL1331" s="1072"/>
      <c r="LWM1331" s="1072"/>
      <c r="LWN1331" s="1072"/>
      <c r="LWO1331" s="1072"/>
      <c r="LWP1331" s="1072"/>
      <c r="LWQ1331" s="1072"/>
      <c r="LWR1331" s="1072"/>
      <c r="LWS1331" s="1072"/>
      <c r="LWT1331" s="1072"/>
      <c r="LWU1331" s="1072"/>
      <c r="LWV1331" s="1072"/>
      <c r="LWW1331" s="1072"/>
      <c r="LWX1331" s="1072"/>
      <c r="LWY1331" s="1072"/>
      <c r="LWZ1331" s="1072"/>
      <c r="LXA1331" s="1072"/>
      <c r="LXB1331" s="1072"/>
      <c r="LXC1331" s="1072"/>
      <c r="LXD1331" s="1072"/>
      <c r="LXE1331" s="1072"/>
      <c r="LXF1331" s="1072"/>
      <c r="LXG1331" s="1072"/>
      <c r="LXH1331" s="1072"/>
      <c r="LXI1331" s="1072"/>
      <c r="LXJ1331" s="1072"/>
      <c r="LXK1331" s="1072"/>
      <c r="LXL1331" s="1072"/>
      <c r="LXM1331" s="1072"/>
      <c r="LXN1331" s="1072"/>
      <c r="LXO1331" s="1072"/>
      <c r="LXP1331" s="1072"/>
      <c r="LXQ1331" s="1072"/>
      <c r="LXR1331" s="1072"/>
      <c r="LXS1331" s="1072"/>
      <c r="LXT1331" s="1072"/>
      <c r="LXU1331" s="1072"/>
      <c r="LXV1331" s="1072"/>
      <c r="LXW1331" s="1072"/>
      <c r="LXX1331" s="1072"/>
      <c r="LXY1331" s="1072"/>
      <c r="LXZ1331" s="1072"/>
      <c r="LYA1331" s="1072"/>
      <c r="LYB1331" s="1072"/>
      <c r="LYC1331" s="1072"/>
      <c r="LYD1331" s="1072"/>
      <c r="LYE1331" s="1072"/>
      <c r="LYF1331" s="1072"/>
      <c r="LYG1331" s="1072"/>
      <c r="LYH1331" s="1072"/>
      <c r="LYI1331" s="1072"/>
      <c r="LYJ1331" s="1072"/>
      <c r="LYK1331" s="1072"/>
      <c r="LYL1331" s="1072"/>
      <c r="LYM1331" s="1072"/>
      <c r="LYN1331" s="1072"/>
      <c r="LYO1331" s="1072"/>
      <c r="LYP1331" s="1072"/>
      <c r="LYQ1331" s="1072"/>
      <c r="LYR1331" s="1072"/>
      <c r="LYS1331" s="1072"/>
      <c r="LYT1331" s="1072"/>
      <c r="LYU1331" s="1072"/>
      <c r="LYV1331" s="1072"/>
      <c r="LYW1331" s="1072"/>
      <c r="LYX1331" s="1072"/>
      <c r="LYY1331" s="1072"/>
      <c r="LYZ1331" s="1072"/>
      <c r="LZA1331" s="1072"/>
      <c r="LZB1331" s="1072"/>
      <c r="LZC1331" s="1072"/>
      <c r="LZD1331" s="1072"/>
      <c r="LZE1331" s="1072"/>
      <c r="LZF1331" s="1072"/>
      <c r="LZG1331" s="1072"/>
      <c r="LZH1331" s="1072"/>
      <c r="LZI1331" s="1072"/>
      <c r="LZJ1331" s="1072"/>
      <c r="LZK1331" s="1072"/>
      <c r="LZL1331" s="1072"/>
      <c r="LZM1331" s="1072"/>
      <c r="LZN1331" s="1072"/>
      <c r="LZO1331" s="1072"/>
      <c r="LZP1331" s="1072"/>
      <c r="LZQ1331" s="1072"/>
      <c r="LZR1331" s="1072"/>
      <c r="LZS1331" s="1072"/>
      <c r="LZT1331" s="1072"/>
      <c r="LZU1331" s="1072"/>
      <c r="LZV1331" s="1072"/>
      <c r="LZW1331" s="1072"/>
      <c r="LZX1331" s="1072"/>
      <c r="LZY1331" s="1072"/>
      <c r="LZZ1331" s="1072"/>
      <c r="MAA1331" s="1072"/>
      <c r="MAB1331" s="1072"/>
      <c r="MAC1331" s="1072"/>
      <c r="MAD1331" s="1072"/>
      <c r="MAE1331" s="1072"/>
      <c r="MAF1331" s="1072"/>
      <c r="MAG1331" s="1072"/>
      <c r="MAH1331" s="1072"/>
      <c r="MAI1331" s="1072"/>
      <c r="MAJ1331" s="1072"/>
      <c r="MAK1331" s="1072"/>
      <c r="MAL1331" s="1072"/>
      <c r="MAM1331" s="1072"/>
      <c r="MAN1331" s="1072"/>
      <c r="MAO1331" s="1072"/>
      <c r="MAP1331" s="1072"/>
      <c r="MAQ1331" s="1072"/>
      <c r="MAR1331" s="1072"/>
      <c r="MAS1331" s="1072"/>
      <c r="MAT1331" s="1072"/>
      <c r="MAU1331" s="1072"/>
      <c r="MAV1331" s="1072"/>
      <c r="MAW1331" s="1072"/>
      <c r="MAX1331" s="1072"/>
      <c r="MAY1331" s="1072"/>
      <c r="MAZ1331" s="1072"/>
      <c r="MBA1331" s="1072"/>
      <c r="MBB1331" s="1072"/>
      <c r="MBC1331" s="1072"/>
      <c r="MBD1331" s="1072"/>
      <c r="MBE1331" s="1072"/>
      <c r="MBF1331" s="1072"/>
      <c r="MBG1331" s="1072"/>
      <c r="MBH1331" s="1072"/>
      <c r="MBI1331" s="1072"/>
      <c r="MBJ1331" s="1072"/>
      <c r="MBK1331" s="1072"/>
      <c r="MBL1331" s="1072"/>
      <c r="MBM1331" s="1072"/>
      <c r="MBN1331" s="1072"/>
      <c r="MBO1331" s="1072"/>
      <c r="MBP1331" s="1072"/>
      <c r="MBQ1331" s="1072"/>
      <c r="MBR1331" s="1072"/>
      <c r="MBS1331" s="1072"/>
      <c r="MBT1331" s="1072"/>
      <c r="MBU1331" s="1072"/>
      <c r="MBV1331" s="1072"/>
      <c r="MBW1331" s="1072"/>
      <c r="MBX1331" s="1072"/>
      <c r="MBY1331" s="1072"/>
      <c r="MBZ1331" s="1072"/>
      <c r="MCA1331" s="1072"/>
      <c r="MCB1331" s="1072"/>
      <c r="MCC1331" s="1072"/>
      <c r="MCD1331" s="1072"/>
      <c r="MCE1331" s="1072"/>
      <c r="MCF1331" s="1072"/>
      <c r="MCG1331" s="1072"/>
      <c r="MCH1331" s="1072"/>
      <c r="MCI1331" s="1072"/>
      <c r="MCJ1331" s="1072"/>
      <c r="MCK1331" s="1072"/>
      <c r="MCL1331" s="1072"/>
      <c r="MCM1331" s="1072"/>
      <c r="MCN1331" s="1072"/>
      <c r="MCO1331" s="1072"/>
      <c r="MCP1331" s="1072"/>
      <c r="MCQ1331" s="1072"/>
      <c r="MCR1331" s="1072"/>
      <c r="MCS1331" s="1072"/>
      <c r="MCT1331" s="1072"/>
      <c r="MCU1331" s="1072"/>
      <c r="MCV1331" s="1072"/>
      <c r="MCW1331" s="1072"/>
      <c r="MCX1331" s="1072"/>
      <c r="MCY1331" s="1072"/>
      <c r="MCZ1331" s="1072"/>
      <c r="MDA1331" s="1072"/>
      <c r="MDB1331" s="1072"/>
      <c r="MDC1331" s="1072"/>
      <c r="MDD1331" s="1072"/>
      <c r="MDE1331" s="1072"/>
      <c r="MDF1331" s="1072"/>
      <c r="MDG1331" s="1072"/>
      <c r="MDH1331" s="1072"/>
      <c r="MDI1331" s="1072"/>
      <c r="MDJ1331" s="1072"/>
      <c r="MDK1331" s="1072"/>
      <c r="MDL1331" s="1072"/>
      <c r="MDM1331" s="1072"/>
      <c r="MDN1331" s="1072"/>
      <c r="MDO1331" s="1072"/>
      <c r="MDP1331" s="1072"/>
      <c r="MDQ1331" s="1072"/>
      <c r="MDR1331" s="1072"/>
      <c r="MDS1331" s="1072"/>
      <c r="MDT1331" s="1072"/>
      <c r="MDU1331" s="1072"/>
      <c r="MDV1331" s="1072"/>
      <c r="MDW1331" s="1072"/>
      <c r="MDX1331" s="1072"/>
      <c r="MDY1331" s="1072"/>
      <c r="MDZ1331" s="1072"/>
      <c r="MEA1331" s="1072"/>
      <c r="MEB1331" s="1072"/>
      <c r="MEC1331" s="1072"/>
      <c r="MED1331" s="1072"/>
      <c r="MEE1331" s="1072"/>
      <c r="MEF1331" s="1072"/>
      <c r="MEG1331" s="1072"/>
      <c r="MEH1331" s="1072"/>
      <c r="MEI1331" s="1072"/>
      <c r="MEJ1331" s="1072"/>
      <c r="MEK1331" s="1072"/>
      <c r="MEL1331" s="1072"/>
      <c r="MEM1331" s="1072"/>
      <c r="MEN1331" s="1072"/>
      <c r="MEO1331" s="1072"/>
      <c r="MEP1331" s="1072"/>
      <c r="MEQ1331" s="1072"/>
      <c r="MER1331" s="1072"/>
      <c r="MES1331" s="1072"/>
      <c r="MET1331" s="1072"/>
      <c r="MEU1331" s="1072"/>
      <c r="MEV1331" s="1072"/>
      <c r="MEW1331" s="1072"/>
      <c r="MEX1331" s="1072"/>
      <c r="MEY1331" s="1072"/>
      <c r="MEZ1331" s="1072"/>
      <c r="MFA1331" s="1072"/>
      <c r="MFB1331" s="1072"/>
      <c r="MFC1331" s="1072"/>
      <c r="MFD1331" s="1072"/>
      <c r="MFE1331" s="1072"/>
      <c r="MFF1331" s="1072"/>
      <c r="MFG1331" s="1072"/>
      <c r="MFH1331" s="1072"/>
      <c r="MFI1331" s="1072"/>
      <c r="MFJ1331" s="1072"/>
      <c r="MFK1331" s="1072"/>
      <c r="MFL1331" s="1072"/>
      <c r="MFM1331" s="1072"/>
      <c r="MFN1331" s="1072"/>
      <c r="MFO1331" s="1072"/>
      <c r="MFP1331" s="1072"/>
      <c r="MFQ1331" s="1072"/>
      <c r="MFR1331" s="1072"/>
      <c r="MFS1331" s="1072"/>
      <c r="MFT1331" s="1072"/>
      <c r="MFU1331" s="1072"/>
      <c r="MFV1331" s="1072"/>
      <c r="MFW1331" s="1072"/>
      <c r="MFX1331" s="1072"/>
      <c r="MFY1331" s="1072"/>
      <c r="MFZ1331" s="1072"/>
      <c r="MGA1331" s="1072"/>
      <c r="MGB1331" s="1072"/>
      <c r="MGC1331" s="1072"/>
      <c r="MGD1331" s="1072"/>
      <c r="MGE1331" s="1072"/>
      <c r="MGF1331" s="1072"/>
      <c r="MGG1331" s="1072"/>
      <c r="MGH1331" s="1072"/>
      <c r="MGI1331" s="1072"/>
      <c r="MGJ1331" s="1072"/>
      <c r="MGK1331" s="1072"/>
      <c r="MGL1331" s="1072"/>
      <c r="MGM1331" s="1072"/>
      <c r="MGN1331" s="1072"/>
      <c r="MGO1331" s="1072"/>
      <c r="MGP1331" s="1072"/>
      <c r="MGQ1331" s="1072"/>
      <c r="MGR1331" s="1072"/>
      <c r="MGS1331" s="1072"/>
      <c r="MGT1331" s="1072"/>
      <c r="MGU1331" s="1072"/>
      <c r="MGV1331" s="1072"/>
      <c r="MGW1331" s="1072"/>
      <c r="MGX1331" s="1072"/>
      <c r="MGY1331" s="1072"/>
      <c r="MGZ1331" s="1072"/>
      <c r="MHA1331" s="1072"/>
      <c r="MHB1331" s="1072"/>
      <c r="MHC1331" s="1072"/>
      <c r="MHD1331" s="1072"/>
      <c r="MHE1331" s="1072"/>
      <c r="MHF1331" s="1072"/>
      <c r="MHG1331" s="1072"/>
      <c r="MHH1331" s="1072"/>
      <c r="MHI1331" s="1072"/>
      <c r="MHJ1331" s="1072"/>
      <c r="MHK1331" s="1072"/>
      <c r="MHL1331" s="1072"/>
      <c r="MHM1331" s="1072"/>
      <c r="MHN1331" s="1072"/>
      <c r="MHO1331" s="1072"/>
      <c r="MHP1331" s="1072"/>
      <c r="MHQ1331" s="1072"/>
      <c r="MHR1331" s="1072"/>
      <c r="MHS1331" s="1072"/>
      <c r="MHT1331" s="1072"/>
      <c r="MHU1331" s="1072"/>
      <c r="MHV1331" s="1072"/>
      <c r="MHW1331" s="1072"/>
      <c r="MHX1331" s="1072"/>
      <c r="MHY1331" s="1072"/>
      <c r="MHZ1331" s="1072"/>
      <c r="MIA1331" s="1072"/>
      <c r="MIB1331" s="1072"/>
      <c r="MIC1331" s="1072"/>
      <c r="MID1331" s="1072"/>
      <c r="MIE1331" s="1072"/>
      <c r="MIF1331" s="1072"/>
      <c r="MIG1331" s="1072"/>
      <c r="MIH1331" s="1072"/>
      <c r="MII1331" s="1072"/>
      <c r="MIJ1331" s="1072"/>
      <c r="MIK1331" s="1072"/>
      <c r="MIL1331" s="1072"/>
      <c r="MIM1331" s="1072"/>
      <c r="MIN1331" s="1072"/>
      <c r="MIO1331" s="1072"/>
      <c r="MIP1331" s="1072"/>
      <c r="MIQ1331" s="1072"/>
      <c r="MIR1331" s="1072"/>
      <c r="MIS1331" s="1072"/>
      <c r="MIT1331" s="1072"/>
      <c r="MIU1331" s="1072"/>
      <c r="MIV1331" s="1072"/>
      <c r="MIW1331" s="1072"/>
      <c r="MIX1331" s="1072"/>
      <c r="MIY1331" s="1072"/>
      <c r="MIZ1331" s="1072"/>
      <c r="MJA1331" s="1072"/>
      <c r="MJB1331" s="1072"/>
      <c r="MJC1331" s="1072"/>
      <c r="MJD1331" s="1072"/>
      <c r="MJE1331" s="1072"/>
      <c r="MJF1331" s="1072"/>
      <c r="MJG1331" s="1072"/>
      <c r="MJH1331" s="1072"/>
      <c r="MJI1331" s="1072"/>
      <c r="MJJ1331" s="1072"/>
      <c r="MJK1331" s="1072"/>
      <c r="MJL1331" s="1072"/>
      <c r="MJM1331" s="1072"/>
      <c r="MJN1331" s="1072"/>
      <c r="MJO1331" s="1072"/>
      <c r="MJP1331" s="1072"/>
      <c r="MJQ1331" s="1072"/>
      <c r="MJR1331" s="1072"/>
      <c r="MJS1331" s="1072"/>
      <c r="MJT1331" s="1072"/>
      <c r="MJU1331" s="1072"/>
      <c r="MJV1331" s="1072"/>
      <c r="MJW1331" s="1072"/>
      <c r="MJX1331" s="1072"/>
      <c r="MJY1331" s="1072"/>
      <c r="MJZ1331" s="1072"/>
      <c r="MKA1331" s="1072"/>
      <c r="MKB1331" s="1072"/>
      <c r="MKC1331" s="1072"/>
      <c r="MKD1331" s="1072"/>
      <c r="MKE1331" s="1072"/>
      <c r="MKF1331" s="1072"/>
      <c r="MKG1331" s="1072"/>
      <c r="MKH1331" s="1072"/>
      <c r="MKI1331" s="1072"/>
      <c r="MKJ1331" s="1072"/>
      <c r="MKK1331" s="1072"/>
      <c r="MKL1331" s="1072"/>
      <c r="MKM1331" s="1072"/>
      <c r="MKN1331" s="1072"/>
      <c r="MKO1331" s="1072"/>
      <c r="MKP1331" s="1072"/>
      <c r="MKQ1331" s="1072"/>
      <c r="MKR1331" s="1072"/>
      <c r="MKS1331" s="1072"/>
      <c r="MKT1331" s="1072"/>
      <c r="MKU1331" s="1072"/>
      <c r="MKV1331" s="1072"/>
      <c r="MKW1331" s="1072"/>
      <c r="MKX1331" s="1072"/>
      <c r="MKY1331" s="1072"/>
      <c r="MKZ1331" s="1072"/>
      <c r="MLA1331" s="1072"/>
      <c r="MLB1331" s="1072"/>
      <c r="MLC1331" s="1072"/>
      <c r="MLD1331" s="1072"/>
      <c r="MLE1331" s="1072"/>
      <c r="MLF1331" s="1072"/>
      <c r="MLG1331" s="1072"/>
      <c r="MLH1331" s="1072"/>
      <c r="MLI1331" s="1072"/>
      <c r="MLJ1331" s="1072"/>
      <c r="MLK1331" s="1072"/>
      <c r="MLL1331" s="1072"/>
      <c r="MLM1331" s="1072"/>
      <c r="MLN1331" s="1072"/>
      <c r="MLO1331" s="1072"/>
      <c r="MLP1331" s="1072"/>
      <c r="MLQ1331" s="1072"/>
      <c r="MLR1331" s="1072"/>
      <c r="MLS1331" s="1072"/>
      <c r="MLT1331" s="1072"/>
      <c r="MLU1331" s="1072"/>
      <c r="MLV1331" s="1072"/>
      <c r="MLW1331" s="1072"/>
      <c r="MLX1331" s="1072"/>
      <c r="MLY1331" s="1072"/>
      <c r="MLZ1331" s="1072"/>
      <c r="MMA1331" s="1072"/>
      <c r="MMB1331" s="1072"/>
      <c r="MMC1331" s="1072"/>
      <c r="MMD1331" s="1072"/>
      <c r="MME1331" s="1072"/>
      <c r="MMF1331" s="1072"/>
      <c r="MMG1331" s="1072"/>
      <c r="MMH1331" s="1072"/>
      <c r="MMI1331" s="1072"/>
      <c r="MMJ1331" s="1072"/>
      <c r="MMK1331" s="1072"/>
      <c r="MML1331" s="1072"/>
      <c r="MMM1331" s="1072"/>
      <c r="MMN1331" s="1072"/>
      <c r="MMO1331" s="1072"/>
      <c r="MMP1331" s="1072"/>
      <c r="MMQ1331" s="1072"/>
      <c r="MMR1331" s="1072"/>
      <c r="MMS1331" s="1072"/>
      <c r="MMT1331" s="1072"/>
      <c r="MMU1331" s="1072"/>
      <c r="MMV1331" s="1072"/>
      <c r="MMW1331" s="1072"/>
      <c r="MMX1331" s="1072"/>
      <c r="MMY1331" s="1072"/>
      <c r="MMZ1331" s="1072"/>
      <c r="MNA1331" s="1072"/>
      <c r="MNB1331" s="1072"/>
      <c r="MNC1331" s="1072"/>
      <c r="MND1331" s="1072"/>
      <c r="MNE1331" s="1072"/>
      <c r="MNF1331" s="1072"/>
      <c r="MNG1331" s="1072"/>
      <c r="MNH1331" s="1072"/>
      <c r="MNI1331" s="1072"/>
      <c r="MNJ1331" s="1072"/>
      <c r="MNK1331" s="1072"/>
      <c r="MNL1331" s="1072"/>
      <c r="MNM1331" s="1072"/>
      <c r="MNN1331" s="1072"/>
      <c r="MNO1331" s="1072"/>
      <c r="MNP1331" s="1072"/>
      <c r="MNQ1331" s="1072"/>
      <c r="MNR1331" s="1072"/>
      <c r="MNS1331" s="1072"/>
      <c r="MNT1331" s="1072"/>
      <c r="MNU1331" s="1072"/>
      <c r="MNV1331" s="1072"/>
      <c r="MNW1331" s="1072"/>
      <c r="MNX1331" s="1072"/>
      <c r="MNY1331" s="1072"/>
      <c r="MNZ1331" s="1072"/>
      <c r="MOA1331" s="1072"/>
      <c r="MOB1331" s="1072"/>
      <c r="MOC1331" s="1072"/>
      <c r="MOD1331" s="1072"/>
      <c r="MOE1331" s="1072"/>
      <c r="MOF1331" s="1072"/>
      <c r="MOG1331" s="1072"/>
      <c r="MOH1331" s="1072"/>
      <c r="MOI1331" s="1072"/>
      <c r="MOJ1331" s="1072"/>
      <c r="MOK1331" s="1072"/>
      <c r="MOL1331" s="1072"/>
      <c r="MOM1331" s="1072"/>
      <c r="MON1331" s="1072"/>
      <c r="MOO1331" s="1072"/>
      <c r="MOP1331" s="1072"/>
      <c r="MOQ1331" s="1072"/>
      <c r="MOR1331" s="1072"/>
      <c r="MOS1331" s="1072"/>
      <c r="MOT1331" s="1072"/>
      <c r="MOU1331" s="1072"/>
      <c r="MOV1331" s="1072"/>
      <c r="MOW1331" s="1072"/>
      <c r="MOX1331" s="1072"/>
      <c r="MOY1331" s="1072"/>
      <c r="MOZ1331" s="1072"/>
      <c r="MPA1331" s="1072"/>
      <c r="MPB1331" s="1072"/>
      <c r="MPC1331" s="1072"/>
      <c r="MPD1331" s="1072"/>
      <c r="MPE1331" s="1072"/>
      <c r="MPF1331" s="1072"/>
      <c r="MPG1331" s="1072"/>
      <c r="MPH1331" s="1072"/>
      <c r="MPI1331" s="1072"/>
      <c r="MPJ1331" s="1072"/>
      <c r="MPK1331" s="1072"/>
      <c r="MPL1331" s="1072"/>
      <c r="MPM1331" s="1072"/>
      <c r="MPN1331" s="1072"/>
      <c r="MPO1331" s="1072"/>
      <c r="MPP1331" s="1072"/>
      <c r="MPQ1331" s="1072"/>
      <c r="MPR1331" s="1072"/>
      <c r="MPS1331" s="1072"/>
      <c r="MPT1331" s="1072"/>
      <c r="MPU1331" s="1072"/>
      <c r="MPV1331" s="1072"/>
      <c r="MPW1331" s="1072"/>
      <c r="MPX1331" s="1072"/>
      <c r="MPY1331" s="1072"/>
      <c r="MPZ1331" s="1072"/>
      <c r="MQA1331" s="1072"/>
      <c r="MQB1331" s="1072"/>
      <c r="MQC1331" s="1072"/>
      <c r="MQD1331" s="1072"/>
      <c r="MQE1331" s="1072"/>
      <c r="MQF1331" s="1072"/>
      <c r="MQG1331" s="1072"/>
      <c r="MQH1331" s="1072"/>
      <c r="MQI1331" s="1072"/>
      <c r="MQJ1331" s="1072"/>
      <c r="MQK1331" s="1072"/>
      <c r="MQL1331" s="1072"/>
      <c r="MQM1331" s="1072"/>
      <c r="MQN1331" s="1072"/>
      <c r="MQO1331" s="1072"/>
      <c r="MQP1331" s="1072"/>
      <c r="MQQ1331" s="1072"/>
      <c r="MQR1331" s="1072"/>
      <c r="MQS1331" s="1072"/>
      <c r="MQT1331" s="1072"/>
      <c r="MQU1331" s="1072"/>
      <c r="MQV1331" s="1072"/>
      <c r="MQW1331" s="1072"/>
      <c r="MQX1331" s="1072"/>
      <c r="MQY1331" s="1072"/>
      <c r="MQZ1331" s="1072"/>
      <c r="MRA1331" s="1072"/>
      <c r="MRB1331" s="1072"/>
      <c r="MRC1331" s="1072"/>
      <c r="MRD1331" s="1072"/>
      <c r="MRE1331" s="1072"/>
      <c r="MRF1331" s="1072"/>
      <c r="MRG1331" s="1072"/>
      <c r="MRH1331" s="1072"/>
      <c r="MRI1331" s="1072"/>
      <c r="MRJ1331" s="1072"/>
      <c r="MRK1331" s="1072"/>
      <c r="MRL1331" s="1072"/>
      <c r="MRM1331" s="1072"/>
      <c r="MRN1331" s="1072"/>
      <c r="MRO1331" s="1072"/>
      <c r="MRP1331" s="1072"/>
      <c r="MRQ1331" s="1072"/>
      <c r="MRR1331" s="1072"/>
      <c r="MRS1331" s="1072"/>
      <c r="MRT1331" s="1072"/>
      <c r="MRU1331" s="1072"/>
      <c r="MRV1331" s="1072"/>
      <c r="MRW1331" s="1072"/>
      <c r="MRX1331" s="1072"/>
      <c r="MRY1331" s="1072"/>
      <c r="MRZ1331" s="1072"/>
      <c r="MSA1331" s="1072"/>
      <c r="MSB1331" s="1072"/>
      <c r="MSC1331" s="1072"/>
      <c r="MSD1331" s="1072"/>
      <c r="MSE1331" s="1072"/>
      <c r="MSF1331" s="1072"/>
      <c r="MSG1331" s="1072"/>
      <c r="MSH1331" s="1072"/>
      <c r="MSI1331" s="1072"/>
      <c r="MSJ1331" s="1072"/>
      <c r="MSK1331" s="1072"/>
      <c r="MSL1331" s="1072"/>
      <c r="MSM1331" s="1072"/>
      <c r="MSN1331" s="1072"/>
      <c r="MSO1331" s="1072"/>
      <c r="MSP1331" s="1072"/>
      <c r="MSQ1331" s="1072"/>
      <c r="MSR1331" s="1072"/>
      <c r="MSS1331" s="1072"/>
      <c r="MST1331" s="1072"/>
      <c r="MSU1331" s="1072"/>
      <c r="MSV1331" s="1072"/>
      <c r="MSW1331" s="1072"/>
      <c r="MSX1331" s="1072"/>
      <c r="MSY1331" s="1072"/>
      <c r="MSZ1331" s="1072"/>
      <c r="MTA1331" s="1072"/>
      <c r="MTB1331" s="1072"/>
      <c r="MTC1331" s="1072"/>
      <c r="MTD1331" s="1072"/>
      <c r="MTE1331" s="1072"/>
      <c r="MTF1331" s="1072"/>
      <c r="MTG1331" s="1072"/>
      <c r="MTH1331" s="1072"/>
      <c r="MTI1331" s="1072"/>
      <c r="MTJ1331" s="1072"/>
      <c r="MTK1331" s="1072"/>
      <c r="MTL1331" s="1072"/>
      <c r="MTM1331" s="1072"/>
      <c r="MTN1331" s="1072"/>
      <c r="MTO1331" s="1072"/>
      <c r="MTP1331" s="1072"/>
      <c r="MTQ1331" s="1072"/>
      <c r="MTR1331" s="1072"/>
      <c r="MTS1331" s="1072"/>
      <c r="MTT1331" s="1072"/>
      <c r="MTU1331" s="1072"/>
      <c r="MTV1331" s="1072"/>
      <c r="MTW1331" s="1072"/>
      <c r="MTX1331" s="1072"/>
      <c r="MTY1331" s="1072"/>
      <c r="MTZ1331" s="1072"/>
      <c r="MUA1331" s="1072"/>
      <c r="MUB1331" s="1072"/>
      <c r="MUC1331" s="1072"/>
      <c r="MUD1331" s="1072"/>
      <c r="MUE1331" s="1072"/>
      <c r="MUF1331" s="1072"/>
      <c r="MUG1331" s="1072"/>
      <c r="MUH1331" s="1072"/>
      <c r="MUI1331" s="1072"/>
      <c r="MUJ1331" s="1072"/>
      <c r="MUK1331" s="1072"/>
      <c r="MUL1331" s="1072"/>
      <c r="MUM1331" s="1072"/>
      <c r="MUN1331" s="1072"/>
      <c r="MUO1331" s="1072"/>
      <c r="MUP1331" s="1072"/>
      <c r="MUQ1331" s="1072"/>
      <c r="MUR1331" s="1072"/>
      <c r="MUS1331" s="1072"/>
      <c r="MUT1331" s="1072"/>
      <c r="MUU1331" s="1072"/>
      <c r="MUV1331" s="1072"/>
      <c r="MUW1331" s="1072"/>
      <c r="MUX1331" s="1072"/>
      <c r="MUY1331" s="1072"/>
      <c r="MUZ1331" s="1072"/>
      <c r="MVA1331" s="1072"/>
      <c r="MVB1331" s="1072"/>
      <c r="MVC1331" s="1072"/>
      <c r="MVD1331" s="1072"/>
      <c r="MVE1331" s="1072"/>
      <c r="MVF1331" s="1072"/>
      <c r="MVG1331" s="1072"/>
      <c r="MVH1331" s="1072"/>
      <c r="MVI1331" s="1072"/>
      <c r="MVJ1331" s="1072"/>
      <c r="MVK1331" s="1072"/>
      <c r="MVL1331" s="1072"/>
      <c r="MVM1331" s="1072"/>
      <c r="MVN1331" s="1072"/>
      <c r="MVO1331" s="1072"/>
      <c r="MVP1331" s="1072"/>
      <c r="MVQ1331" s="1072"/>
      <c r="MVR1331" s="1072"/>
      <c r="MVS1331" s="1072"/>
      <c r="MVT1331" s="1072"/>
      <c r="MVU1331" s="1072"/>
      <c r="MVV1331" s="1072"/>
      <c r="MVW1331" s="1072"/>
      <c r="MVX1331" s="1072"/>
      <c r="MVY1331" s="1072"/>
      <c r="MVZ1331" s="1072"/>
      <c r="MWA1331" s="1072"/>
      <c r="MWB1331" s="1072"/>
      <c r="MWC1331" s="1072"/>
      <c r="MWD1331" s="1072"/>
      <c r="MWE1331" s="1072"/>
      <c r="MWF1331" s="1072"/>
      <c r="MWG1331" s="1072"/>
      <c r="MWH1331" s="1072"/>
      <c r="MWI1331" s="1072"/>
      <c r="MWJ1331" s="1072"/>
      <c r="MWK1331" s="1072"/>
      <c r="MWL1331" s="1072"/>
      <c r="MWM1331" s="1072"/>
      <c r="MWN1331" s="1072"/>
      <c r="MWO1331" s="1072"/>
      <c r="MWP1331" s="1072"/>
      <c r="MWQ1331" s="1072"/>
      <c r="MWR1331" s="1072"/>
      <c r="MWS1331" s="1072"/>
      <c r="MWT1331" s="1072"/>
      <c r="MWU1331" s="1072"/>
      <c r="MWV1331" s="1072"/>
      <c r="MWW1331" s="1072"/>
      <c r="MWX1331" s="1072"/>
      <c r="MWY1331" s="1072"/>
      <c r="MWZ1331" s="1072"/>
      <c r="MXA1331" s="1072"/>
      <c r="MXB1331" s="1072"/>
      <c r="MXC1331" s="1072"/>
      <c r="MXD1331" s="1072"/>
      <c r="MXE1331" s="1072"/>
      <c r="MXF1331" s="1072"/>
      <c r="MXG1331" s="1072"/>
      <c r="MXH1331" s="1072"/>
      <c r="MXI1331" s="1072"/>
      <c r="MXJ1331" s="1072"/>
      <c r="MXK1331" s="1072"/>
      <c r="MXL1331" s="1072"/>
      <c r="MXM1331" s="1072"/>
      <c r="MXN1331" s="1072"/>
      <c r="MXO1331" s="1072"/>
      <c r="MXP1331" s="1072"/>
      <c r="MXQ1331" s="1072"/>
      <c r="MXR1331" s="1072"/>
      <c r="MXS1331" s="1072"/>
      <c r="MXT1331" s="1072"/>
      <c r="MXU1331" s="1072"/>
      <c r="MXV1331" s="1072"/>
      <c r="MXW1331" s="1072"/>
      <c r="MXX1331" s="1072"/>
      <c r="MXY1331" s="1072"/>
      <c r="MXZ1331" s="1072"/>
      <c r="MYA1331" s="1072"/>
      <c r="MYB1331" s="1072"/>
      <c r="MYC1331" s="1072"/>
      <c r="MYD1331" s="1072"/>
      <c r="MYE1331" s="1072"/>
      <c r="MYF1331" s="1072"/>
      <c r="MYG1331" s="1072"/>
      <c r="MYH1331" s="1072"/>
      <c r="MYI1331" s="1072"/>
      <c r="MYJ1331" s="1072"/>
      <c r="MYK1331" s="1072"/>
      <c r="MYL1331" s="1072"/>
      <c r="MYM1331" s="1072"/>
      <c r="MYN1331" s="1072"/>
      <c r="MYO1331" s="1072"/>
      <c r="MYP1331" s="1072"/>
      <c r="MYQ1331" s="1072"/>
      <c r="MYR1331" s="1072"/>
      <c r="MYS1331" s="1072"/>
      <c r="MYT1331" s="1072"/>
      <c r="MYU1331" s="1072"/>
      <c r="MYV1331" s="1072"/>
      <c r="MYW1331" s="1072"/>
      <c r="MYX1331" s="1072"/>
      <c r="MYY1331" s="1072"/>
      <c r="MYZ1331" s="1072"/>
      <c r="MZA1331" s="1072"/>
      <c r="MZB1331" s="1072"/>
      <c r="MZC1331" s="1072"/>
      <c r="MZD1331" s="1072"/>
      <c r="MZE1331" s="1072"/>
      <c r="MZF1331" s="1072"/>
      <c r="MZG1331" s="1072"/>
      <c r="MZH1331" s="1072"/>
      <c r="MZI1331" s="1072"/>
      <c r="MZJ1331" s="1072"/>
      <c r="MZK1331" s="1072"/>
      <c r="MZL1331" s="1072"/>
      <c r="MZM1331" s="1072"/>
      <c r="MZN1331" s="1072"/>
      <c r="MZO1331" s="1072"/>
      <c r="MZP1331" s="1072"/>
      <c r="MZQ1331" s="1072"/>
      <c r="MZR1331" s="1072"/>
      <c r="MZS1331" s="1072"/>
      <c r="MZT1331" s="1072"/>
      <c r="MZU1331" s="1072"/>
      <c r="MZV1331" s="1072"/>
      <c r="MZW1331" s="1072"/>
      <c r="MZX1331" s="1072"/>
      <c r="MZY1331" s="1072"/>
      <c r="MZZ1331" s="1072"/>
      <c r="NAA1331" s="1072"/>
      <c r="NAB1331" s="1072"/>
      <c r="NAC1331" s="1072"/>
      <c r="NAD1331" s="1072"/>
      <c r="NAE1331" s="1072"/>
      <c r="NAF1331" s="1072"/>
      <c r="NAG1331" s="1072"/>
      <c r="NAH1331" s="1072"/>
      <c r="NAI1331" s="1072"/>
      <c r="NAJ1331" s="1072"/>
      <c r="NAK1331" s="1072"/>
      <c r="NAL1331" s="1072"/>
      <c r="NAM1331" s="1072"/>
      <c r="NAN1331" s="1072"/>
      <c r="NAO1331" s="1072"/>
      <c r="NAP1331" s="1072"/>
      <c r="NAQ1331" s="1072"/>
      <c r="NAR1331" s="1072"/>
      <c r="NAS1331" s="1072"/>
      <c r="NAT1331" s="1072"/>
      <c r="NAU1331" s="1072"/>
      <c r="NAV1331" s="1072"/>
      <c r="NAW1331" s="1072"/>
      <c r="NAX1331" s="1072"/>
      <c r="NAY1331" s="1072"/>
      <c r="NAZ1331" s="1072"/>
      <c r="NBA1331" s="1072"/>
      <c r="NBB1331" s="1072"/>
      <c r="NBC1331" s="1072"/>
      <c r="NBD1331" s="1072"/>
      <c r="NBE1331" s="1072"/>
      <c r="NBF1331" s="1072"/>
      <c r="NBG1331" s="1072"/>
      <c r="NBH1331" s="1072"/>
      <c r="NBI1331" s="1072"/>
      <c r="NBJ1331" s="1072"/>
      <c r="NBK1331" s="1072"/>
      <c r="NBL1331" s="1072"/>
      <c r="NBM1331" s="1072"/>
      <c r="NBN1331" s="1072"/>
      <c r="NBO1331" s="1072"/>
      <c r="NBP1331" s="1072"/>
      <c r="NBQ1331" s="1072"/>
      <c r="NBR1331" s="1072"/>
      <c r="NBS1331" s="1072"/>
      <c r="NBT1331" s="1072"/>
      <c r="NBU1331" s="1072"/>
      <c r="NBV1331" s="1072"/>
      <c r="NBW1331" s="1072"/>
      <c r="NBX1331" s="1072"/>
      <c r="NBY1331" s="1072"/>
      <c r="NBZ1331" s="1072"/>
      <c r="NCA1331" s="1072"/>
      <c r="NCB1331" s="1072"/>
      <c r="NCC1331" s="1072"/>
      <c r="NCD1331" s="1072"/>
      <c r="NCE1331" s="1072"/>
      <c r="NCF1331" s="1072"/>
      <c r="NCG1331" s="1072"/>
      <c r="NCH1331" s="1072"/>
      <c r="NCI1331" s="1072"/>
      <c r="NCJ1331" s="1072"/>
      <c r="NCK1331" s="1072"/>
      <c r="NCL1331" s="1072"/>
      <c r="NCM1331" s="1072"/>
      <c r="NCN1331" s="1072"/>
      <c r="NCO1331" s="1072"/>
      <c r="NCP1331" s="1072"/>
      <c r="NCQ1331" s="1072"/>
      <c r="NCR1331" s="1072"/>
      <c r="NCS1331" s="1072"/>
      <c r="NCT1331" s="1072"/>
      <c r="NCU1331" s="1072"/>
      <c r="NCV1331" s="1072"/>
      <c r="NCW1331" s="1072"/>
      <c r="NCX1331" s="1072"/>
      <c r="NCY1331" s="1072"/>
      <c r="NCZ1331" s="1072"/>
      <c r="NDA1331" s="1072"/>
      <c r="NDB1331" s="1072"/>
      <c r="NDC1331" s="1072"/>
      <c r="NDD1331" s="1072"/>
      <c r="NDE1331" s="1072"/>
      <c r="NDF1331" s="1072"/>
      <c r="NDG1331" s="1072"/>
      <c r="NDH1331" s="1072"/>
      <c r="NDI1331" s="1072"/>
      <c r="NDJ1331" s="1072"/>
      <c r="NDK1331" s="1072"/>
      <c r="NDL1331" s="1072"/>
      <c r="NDM1331" s="1072"/>
      <c r="NDN1331" s="1072"/>
      <c r="NDO1331" s="1072"/>
      <c r="NDP1331" s="1072"/>
      <c r="NDQ1331" s="1072"/>
      <c r="NDR1331" s="1072"/>
      <c r="NDS1331" s="1072"/>
      <c r="NDT1331" s="1072"/>
      <c r="NDU1331" s="1072"/>
      <c r="NDV1331" s="1072"/>
      <c r="NDW1331" s="1072"/>
      <c r="NDX1331" s="1072"/>
      <c r="NDY1331" s="1072"/>
      <c r="NDZ1331" s="1072"/>
      <c r="NEA1331" s="1072"/>
      <c r="NEB1331" s="1072"/>
      <c r="NEC1331" s="1072"/>
      <c r="NED1331" s="1072"/>
      <c r="NEE1331" s="1072"/>
      <c r="NEF1331" s="1072"/>
      <c r="NEG1331" s="1072"/>
      <c r="NEH1331" s="1072"/>
      <c r="NEI1331" s="1072"/>
      <c r="NEJ1331" s="1072"/>
      <c r="NEK1331" s="1072"/>
      <c r="NEL1331" s="1072"/>
      <c r="NEM1331" s="1072"/>
      <c r="NEN1331" s="1072"/>
      <c r="NEO1331" s="1072"/>
      <c r="NEP1331" s="1072"/>
      <c r="NEQ1331" s="1072"/>
      <c r="NER1331" s="1072"/>
      <c r="NES1331" s="1072"/>
      <c r="NET1331" s="1072"/>
      <c r="NEU1331" s="1072"/>
      <c r="NEV1331" s="1072"/>
      <c r="NEW1331" s="1072"/>
      <c r="NEX1331" s="1072"/>
      <c r="NEY1331" s="1072"/>
      <c r="NEZ1331" s="1072"/>
      <c r="NFA1331" s="1072"/>
      <c r="NFB1331" s="1072"/>
      <c r="NFC1331" s="1072"/>
      <c r="NFD1331" s="1072"/>
      <c r="NFE1331" s="1072"/>
      <c r="NFF1331" s="1072"/>
      <c r="NFG1331" s="1072"/>
      <c r="NFH1331" s="1072"/>
      <c r="NFI1331" s="1072"/>
      <c r="NFJ1331" s="1072"/>
      <c r="NFK1331" s="1072"/>
      <c r="NFL1331" s="1072"/>
      <c r="NFM1331" s="1072"/>
      <c r="NFN1331" s="1072"/>
      <c r="NFO1331" s="1072"/>
      <c r="NFP1331" s="1072"/>
      <c r="NFQ1331" s="1072"/>
      <c r="NFR1331" s="1072"/>
      <c r="NFS1331" s="1072"/>
      <c r="NFT1331" s="1072"/>
      <c r="NFU1331" s="1072"/>
      <c r="NFV1331" s="1072"/>
      <c r="NFW1331" s="1072"/>
      <c r="NFX1331" s="1072"/>
      <c r="NFY1331" s="1072"/>
      <c r="NFZ1331" s="1072"/>
      <c r="NGA1331" s="1072"/>
      <c r="NGB1331" s="1072"/>
      <c r="NGC1331" s="1072"/>
      <c r="NGD1331" s="1072"/>
      <c r="NGE1331" s="1072"/>
      <c r="NGF1331" s="1072"/>
      <c r="NGG1331" s="1072"/>
      <c r="NGH1331" s="1072"/>
      <c r="NGI1331" s="1072"/>
      <c r="NGJ1331" s="1072"/>
      <c r="NGK1331" s="1072"/>
      <c r="NGL1331" s="1072"/>
      <c r="NGM1331" s="1072"/>
      <c r="NGN1331" s="1072"/>
      <c r="NGO1331" s="1072"/>
      <c r="NGP1331" s="1072"/>
      <c r="NGQ1331" s="1072"/>
      <c r="NGR1331" s="1072"/>
      <c r="NGS1331" s="1072"/>
      <c r="NGT1331" s="1072"/>
      <c r="NGU1331" s="1072"/>
      <c r="NGV1331" s="1072"/>
      <c r="NGW1331" s="1072"/>
      <c r="NGX1331" s="1072"/>
      <c r="NGY1331" s="1072"/>
      <c r="NGZ1331" s="1072"/>
      <c r="NHA1331" s="1072"/>
      <c r="NHB1331" s="1072"/>
      <c r="NHC1331" s="1072"/>
      <c r="NHD1331" s="1072"/>
      <c r="NHE1331" s="1072"/>
      <c r="NHF1331" s="1072"/>
      <c r="NHG1331" s="1072"/>
      <c r="NHH1331" s="1072"/>
      <c r="NHI1331" s="1072"/>
      <c r="NHJ1331" s="1072"/>
      <c r="NHK1331" s="1072"/>
      <c r="NHL1331" s="1072"/>
      <c r="NHM1331" s="1072"/>
      <c r="NHN1331" s="1072"/>
      <c r="NHO1331" s="1072"/>
      <c r="NHP1331" s="1072"/>
      <c r="NHQ1331" s="1072"/>
      <c r="NHR1331" s="1072"/>
      <c r="NHS1331" s="1072"/>
      <c r="NHT1331" s="1072"/>
      <c r="NHU1331" s="1072"/>
      <c r="NHV1331" s="1072"/>
      <c r="NHW1331" s="1072"/>
      <c r="NHX1331" s="1072"/>
      <c r="NHY1331" s="1072"/>
      <c r="NHZ1331" s="1072"/>
      <c r="NIA1331" s="1072"/>
      <c r="NIB1331" s="1072"/>
      <c r="NIC1331" s="1072"/>
      <c r="NID1331" s="1072"/>
      <c r="NIE1331" s="1072"/>
      <c r="NIF1331" s="1072"/>
      <c r="NIG1331" s="1072"/>
      <c r="NIH1331" s="1072"/>
      <c r="NII1331" s="1072"/>
      <c r="NIJ1331" s="1072"/>
      <c r="NIK1331" s="1072"/>
      <c r="NIL1331" s="1072"/>
      <c r="NIM1331" s="1072"/>
      <c r="NIN1331" s="1072"/>
      <c r="NIO1331" s="1072"/>
      <c r="NIP1331" s="1072"/>
      <c r="NIQ1331" s="1072"/>
      <c r="NIR1331" s="1072"/>
      <c r="NIS1331" s="1072"/>
      <c r="NIT1331" s="1072"/>
      <c r="NIU1331" s="1072"/>
      <c r="NIV1331" s="1072"/>
      <c r="NIW1331" s="1072"/>
      <c r="NIX1331" s="1072"/>
      <c r="NIY1331" s="1072"/>
      <c r="NIZ1331" s="1072"/>
      <c r="NJA1331" s="1072"/>
      <c r="NJB1331" s="1072"/>
      <c r="NJC1331" s="1072"/>
      <c r="NJD1331" s="1072"/>
      <c r="NJE1331" s="1072"/>
      <c r="NJF1331" s="1072"/>
      <c r="NJG1331" s="1072"/>
      <c r="NJH1331" s="1072"/>
      <c r="NJI1331" s="1072"/>
      <c r="NJJ1331" s="1072"/>
      <c r="NJK1331" s="1072"/>
      <c r="NJL1331" s="1072"/>
      <c r="NJM1331" s="1072"/>
      <c r="NJN1331" s="1072"/>
      <c r="NJO1331" s="1072"/>
      <c r="NJP1331" s="1072"/>
      <c r="NJQ1331" s="1072"/>
      <c r="NJR1331" s="1072"/>
      <c r="NJS1331" s="1072"/>
      <c r="NJT1331" s="1072"/>
      <c r="NJU1331" s="1072"/>
      <c r="NJV1331" s="1072"/>
      <c r="NJW1331" s="1072"/>
      <c r="NJX1331" s="1072"/>
      <c r="NJY1331" s="1072"/>
      <c r="NJZ1331" s="1072"/>
      <c r="NKA1331" s="1072"/>
      <c r="NKB1331" s="1072"/>
      <c r="NKC1331" s="1072"/>
      <c r="NKD1331" s="1072"/>
      <c r="NKE1331" s="1072"/>
      <c r="NKF1331" s="1072"/>
      <c r="NKG1331" s="1072"/>
      <c r="NKH1331" s="1072"/>
      <c r="NKI1331" s="1072"/>
      <c r="NKJ1331" s="1072"/>
      <c r="NKK1331" s="1072"/>
      <c r="NKL1331" s="1072"/>
      <c r="NKM1331" s="1072"/>
      <c r="NKN1331" s="1072"/>
      <c r="NKO1331" s="1072"/>
      <c r="NKP1331" s="1072"/>
      <c r="NKQ1331" s="1072"/>
      <c r="NKR1331" s="1072"/>
      <c r="NKS1331" s="1072"/>
      <c r="NKT1331" s="1072"/>
      <c r="NKU1331" s="1072"/>
      <c r="NKV1331" s="1072"/>
      <c r="NKW1331" s="1072"/>
      <c r="NKX1331" s="1072"/>
      <c r="NKY1331" s="1072"/>
      <c r="NKZ1331" s="1072"/>
      <c r="NLA1331" s="1072"/>
      <c r="NLB1331" s="1072"/>
      <c r="NLC1331" s="1072"/>
      <c r="NLD1331" s="1072"/>
      <c r="NLE1331" s="1072"/>
      <c r="NLF1331" s="1072"/>
      <c r="NLG1331" s="1072"/>
      <c r="NLH1331" s="1072"/>
      <c r="NLI1331" s="1072"/>
      <c r="NLJ1331" s="1072"/>
      <c r="NLK1331" s="1072"/>
      <c r="NLL1331" s="1072"/>
      <c r="NLM1331" s="1072"/>
      <c r="NLN1331" s="1072"/>
      <c r="NLO1331" s="1072"/>
      <c r="NLP1331" s="1072"/>
      <c r="NLQ1331" s="1072"/>
      <c r="NLR1331" s="1072"/>
      <c r="NLS1331" s="1072"/>
      <c r="NLT1331" s="1072"/>
      <c r="NLU1331" s="1072"/>
      <c r="NLV1331" s="1072"/>
      <c r="NLW1331" s="1072"/>
      <c r="NLX1331" s="1072"/>
      <c r="NLY1331" s="1072"/>
      <c r="NLZ1331" s="1072"/>
      <c r="NMA1331" s="1072"/>
      <c r="NMB1331" s="1072"/>
      <c r="NMC1331" s="1072"/>
      <c r="NMD1331" s="1072"/>
      <c r="NME1331" s="1072"/>
      <c r="NMF1331" s="1072"/>
      <c r="NMG1331" s="1072"/>
      <c r="NMH1331" s="1072"/>
      <c r="NMI1331" s="1072"/>
      <c r="NMJ1331" s="1072"/>
      <c r="NMK1331" s="1072"/>
      <c r="NML1331" s="1072"/>
      <c r="NMM1331" s="1072"/>
      <c r="NMN1331" s="1072"/>
      <c r="NMO1331" s="1072"/>
      <c r="NMP1331" s="1072"/>
      <c r="NMQ1331" s="1072"/>
      <c r="NMR1331" s="1072"/>
      <c r="NMS1331" s="1072"/>
      <c r="NMT1331" s="1072"/>
      <c r="NMU1331" s="1072"/>
      <c r="NMV1331" s="1072"/>
      <c r="NMW1331" s="1072"/>
      <c r="NMX1331" s="1072"/>
      <c r="NMY1331" s="1072"/>
      <c r="NMZ1331" s="1072"/>
      <c r="NNA1331" s="1072"/>
      <c r="NNB1331" s="1072"/>
      <c r="NNC1331" s="1072"/>
      <c r="NND1331" s="1072"/>
      <c r="NNE1331" s="1072"/>
      <c r="NNF1331" s="1072"/>
      <c r="NNG1331" s="1072"/>
      <c r="NNH1331" s="1072"/>
      <c r="NNI1331" s="1072"/>
      <c r="NNJ1331" s="1072"/>
      <c r="NNK1331" s="1072"/>
      <c r="NNL1331" s="1072"/>
      <c r="NNM1331" s="1072"/>
      <c r="NNN1331" s="1072"/>
      <c r="NNO1331" s="1072"/>
      <c r="NNP1331" s="1072"/>
      <c r="NNQ1331" s="1072"/>
      <c r="NNR1331" s="1072"/>
      <c r="NNS1331" s="1072"/>
      <c r="NNT1331" s="1072"/>
      <c r="NNU1331" s="1072"/>
      <c r="NNV1331" s="1072"/>
      <c r="NNW1331" s="1072"/>
      <c r="NNX1331" s="1072"/>
      <c r="NNY1331" s="1072"/>
      <c r="NNZ1331" s="1072"/>
      <c r="NOA1331" s="1072"/>
      <c r="NOB1331" s="1072"/>
      <c r="NOC1331" s="1072"/>
      <c r="NOD1331" s="1072"/>
      <c r="NOE1331" s="1072"/>
      <c r="NOF1331" s="1072"/>
      <c r="NOG1331" s="1072"/>
      <c r="NOH1331" s="1072"/>
      <c r="NOI1331" s="1072"/>
      <c r="NOJ1331" s="1072"/>
      <c r="NOK1331" s="1072"/>
      <c r="NOL1331" s="1072"/>
      <c r="NOM1331" s="1072"/>
      <c r="NON1331" s="1072"/>
      <c r="NOO1331" s="1072"/>
      <c r="NOP1331" s="1072"/>
      <c r="NOQ1331" s="1072"/>
      <c r="NOR1331" s="1072"/>
      <c r="NOS1331" s="1072"/>
      <c r="NOT1331" s="1072"/>
      <c r="NOU1331" s="1072"/>
      <c r="NOV1331" s="1072"/>
      <c r="NOW1331" s="1072"/>
      <c r="NOX1331" s="1072"/>
      <c r="NOY1331" s="1072"/>
      <c r="NOZ1331" s="1072"/>
      <c r="NPA1331" s="1072"/>
      <c r="NPB1331" s="1072"/>
      <c r="NPC1331" s="1072"/>
      <c r="NPD1331" s="1072"/>
      <c r="NPE1331" s="1072"/>
      <c r="NPF1331" s="1072"/>
      <c r="NPG1331" s="1072"/>
      <c r="NPH1331" s="1072"/>
      <c r="NPI1331" s="1072"/>
      <c r="NPJ1331" s="1072"/>
      <c r="NPK1331" s="1072"/>
      <c r="NPL1331" s="1072"/>
      <c r="NPM1331" s="1072"/>
      <c r="NPN1331" s="1072"/>
      <c r="NPO1331" s="1072"/>
      <c r="NPP1331" s="1072"/>
      <c r="NPQ1331" s="1072"/>
      <c r="NPR1331" s="1072"/>
      <c r="NPS1331" s="1072"/>
      <c r="NPT1331" s="1072"/>
      <c r="NPU1331" s="1072"/>
      <c r="NPV1331" s="1072"/>
      <c r="NPW1331" s="1072"/>
      <c r="NPX1331" s="1072"/>
      <c r="NPY1331" s="1072"/>
      <c r="NPZ1331" s="1072"/>
      <c r="NQA1331" s="1072"/>
      <c r="NQB1331" s="1072"/>
      <c r="NQC1331" s="1072"/>
      <c r="NQD1331" s="1072"/>
      <c r="NQE1331" s="1072"/>
      <c r="NQF1331" s="1072"/>
      <c r="NQG1331" s="1072"/>
      <c r="NQH1331" s="1072"/>
      <c r="NQI1331" s="1072"/>
      <c r="NQJ1331" s="1072"/>
      <c r="NQK1331" s="1072"/>
      <c r="NQL1331" s="1072"/>
      <c r="NQM1331" s="1072"/>
      <c r="NQN1331" s="1072"/>
      <c r="NQO1331" s="1072"/>
      <c r="NQP1331" s="1072"/>
      <c r="NQQ1331" s="1072"/>
      <c r="NQR1331" s="1072"/>
      <c r="NQS1331" s="1072"/>
      <c r="NQT1331" s="1072"/>
      <c r="NQU1331" s="1072"/>
      <c r="NQV1331" s="1072"/>
      <c r="NQW1331" s="1072"/>
      <c r="NQX1331" s="1072"/>
      <c r="NQY1331" s="1072"/>
      <c r="NQZ1331" s="1072"/>
      <c r="NRA1331" s="1072"/>
      <c r="NRB1331" s="1072"/>
      <c r="NRC1331" s="1072"/>
      <c r="NRD1331" s="1072"/>
      <c r="NRE1331" s="1072"/>
      <c r="NRF1331" s="1072"/>
      <c r="NRG1331" s="1072"/>
      <c r="NRH1331" s="1072"/>
      <c r="NRI1331" s="1072"/>
      <c r="NRJ1331" s="1072"/>
      <c r="NRK1331" s="1072"/>
      <c r="NRL1331" s="1072"/>
      <c r="NRM1331" s="1072"/>
      <c r="NRN1331" s="1072"/>
      <c r="NRO1331" s="1072"/>
      <c r="NRP1331" s="1072"/>
      <c r="NRQ1331" s="1072"/>
      <c r="NRR1331" s="1072"/>
      <c r="NRS1331" s="1072"/>
      <c r="NRT1331" s="1072"/>
      <c r="NRU1331" s="1072"/>
      <c r="NRV1331" s="1072"/>
      <c r="NRW1331" s="1072"/>
      <c r="NRX1331" s="1072"/>
      <c r="NRY1331" s="1072"/>
      <c r="NRZ1331" s="1072"/>
      <c r="NSA1331" s="1072"/>
      <c r="NSB1331" s="1072"/>
      <c r="NSC1331" s="1072"/>
      <c r="NSD1331" s="1072"/>
      <c r="NSE1331" s="1072"/>
      <c r="NSF1331" s="1072"/>
      <c r="NSG1331" s="1072"/>
      <c r="NSH1331" s="1072"/>
      <c r="NSI1331" s="1072"/>
      <c r="NSJ1331" s="1072"/>
      <c r="NSK1331" s="1072"/>
      <c r="NSL1331" s="1072"/>
      <c r="NSM1331" s="1072"/>
      <c r="NSN1331" s="1072"/>
      <c r="NSO1331" s="1072"/>
      <c r="NSP1331" s="1072"/>
      <c r="NSQ1331" s="1072"/>
      <c r="NSR1331" s="1072"/>
      <c r="NSS1331" s="1072"/>
      <c r="NST1331" s="1072"/>
      <c r="NSU1331" s="1072"/>
      <c r="NSV1331" s="1072"/>
      <c r="NSW1331" s="1072"/>
      <c r="NSX1331" s="1072"/>
      <c r="NSY1331" s="1072"/>
      <c r="NSZ1331" s="1072"/>
      <c r="NTA1331" s="1072"/>
      <c r="NTB1331" s="1072"/>
      <c r="NTC1331" s="1072"/>
      <c r="NTD1331" s="1072"/>
      <c r="NTE1331" s="1072"/>
      <c r="NTF1331" s="1072"/>
      <c r="NTG1331" s="1072"/>
      <c r="NTH1331" s="1072"/>
      <c r="NTI1331" s="1072"/>
      <c r="NTJ1331" s="1072"/>
      <c r="NTK1331" s="1072"/>
      <c r="NTL1331" s="1072"/>
      <c r="NTM1331" s="1072"/>
      <c r="NTN1331" s="1072"/>
      <c r="NTO1331" s="1072"/>
      <c r="NTP1331" s="1072"/>
      <c r="NTQ1331" s="1072"/>
      <c r="NTR1331" s="1072"/>
      <c r="NTS1331" s="1072"/>
      <c r="NTT1331" s="1072"/>
      <c r="NTU1331" s="1072"/>
      <c r="NTV1331" s="1072"/>
      <c r="NTW1331" s="1072"/>
      <c r="NTX1331" s="1072"/>
      <c r="NTY1331" s="1072"/>
      <c r="NTZ1331" s="1072"/>
      <c r="NUA1331" s="1072"/>
      <c r="NUB1331" s="1072"/>
      <c r="NUC1331" s="1072"/>
      <c r="NUD1331" s="1072"/>
      <c r="NUE1331" s="1072"/>
      <c r="NUF1331" s="1072"/>
      <c r="NUG1331" s="1072"/>
      <c r="NUH1331" s="1072"/>
      <c r="NUI1331" s="1072"/>
      <c r="NUJ1331" s="1072"/>
      <c r="NUK1331" s="1072"/>
      <c r="NUL1331" s="1072"/>
      <c r="NUM1331" s="1072"/>
      <c r="NUN1331" s="1072"/>
      <c r="NUO1331" s="1072"/>
      <c r="NUP1331" s="1072"/>
      <c r="NUQ1331" s="1072"/>
      <c r="NUR1331" s="1072"/>
      <c r="NUS1331" s="1072"/>
      <c r="NUT1331" s="1072"/>
      <c r="NUU1331" s="1072"/>
      <c r="NUV1331" s="1072"/>
      <c r="NUW1331" s="1072"/>
      <c r="NUX1331" s="1072"/>
      <c r="NUY1331" s="1072"/>
      <c r="NUZ1331" s="1072"/>
      <c r="NVA1331" s="1072"/>
      <c r="NVB1331" s="1072"/>
      <c r="NVC1331" s="1072"/>
      <c r="NVD1331" s="1072"/>
      <c r="NVE1331" s="1072"/>
      <c r="NVF1331" s="1072"/>
      <c r="NVG1331" s="1072"/>
      <c r="NVH1331" s="1072"/>
      <c r="NVI1331" s="1072"/>
      <c r="NVJ1331" s="1072"/>
      <c r="NVK1331" s="1072"/>
      <c r="NVL1331" s="1072"/>
      <c r="NVM1331" s="1072"/>
      <c r="NVN1331" s="1072"/>
      <c r="NVO1331" s="1072"/>
      <c r="NVP1331" s="1072"/>
      <c r="NVQ1331" s="1072"/>
      <c r="NVR1331" s="1072"/>
      <c r="NVS1331" s="1072"/>
      <c r="NVT1331" s="1072"/>
      <c r="NVU1331" s="1072"/>
      <c r="NVV1331" s="1072"/>
      <c r="NVW1331" s="1072"/>
      <c r="NVX1331" s="1072"/>
      <c r="NVY1331" s="1072"/>
      <c r="NVZ1331" s="1072"/>
      <c r="NWA1331" s="1072"/>
      <c r="NWB1331" s="1072"/>
      <c r="NWC1331" s="1072"/>
      <c r="NWD1331" s="1072"/>
      <c r="NWE1331" s="1072"/>
      <c r="NWF1331" s="1072"/>
      <c r="NWG1331" s="1072"/>
      <c r="NWH1331" s="1072"/>
      <c r="NWI1331" s="1072"/>
      <c r="NWJ1331" s="1072"/>
      <c r="NWK1331" s="1072"/>
      <c r="NWL1331" s="1072"/>
      <c r="NWM1331" s="1072"/>
      <c r="NWN1331" s="1072"/>
      <c r="NWO1331" s="1072"/>
      <c r="NWP1331" s="1072"/>
      <c r="NWQ1331" s="1072"/>
      <c r="NWR1331" s="1072"/>
      <c r="NWS1331" s="1072"/>
      <c r="NWT1331" s="1072"/>
      <c r="NWU1331" s="1072"/>
      <c r="NWV1331" s="1072"/>
      <c r="NWW1331" s="1072"/>
      <c r="NWX1331" s="1072"/>
      <c r="NWY1331" s="1072"/>
      <c r="NWZ1331" s="1072"/>
      <c r="NXA1331" s="1072"/>
      <c r="NXB1331" s="1072"/>
      <c r="NXC1331" s="1072"/>
      <c r="NXD1331" s="1072"/>
      <c r="NXE1331" s="1072"/>
      <c r="NXF1331" s="1072"/>
      <c r="NXG1331" s="1072"/>
      <c r="NXH1331" s="1072"/>
      <c r="NXI1331" s="1072"/>
      <c r="NXJ1331" s="1072"/>
      <c r="NXK1331" s="1072"/>
      <c r="NXL1331" s="1072"/>
      <c r="NXM1331" s="1072"/>
      <c r="NXN1331" s="1072"/>
      <c r="NXO1331" s="1072"/>
      <c r="NXP1331" s="1072"/>
      <c r="NXQ1331" s="1072"/>
      <c r="NXR1331" s="1072"/>
      <c r="NXS1331" s="1072"/>
      <c r="NXT1331" s="1072"/>
      <c r="NXU1331" s="1072"/>
      <c r="NXV1331" s="1072"/>
      <c r="NXW1331" s="1072"/>
      <c r="NXX1331" s="1072"/>
      <c r="NXY1331" s="1072"/>
      <c r="NXZ1331" s="1072"/>
      <c r="NYA1331" s="1072"/>
      <c r="NYB1331" s="1072"/>
      <c r="NYC1331" s="1072"/>
      <c r="NYD1331" s="1072"/>
      <c r="NYE1331" s="1072"/>
      <c r="NYF1331" s="1072"/>
      <c r="NYG1331" s="1072"/>
      <c r="NYH1331" s="1072"/>
      <c r="NYI1331" s="1072"/>
      <c r="NYJ1331" s="1072"/>
      <c r="NYK1331" s="1072"/>
      <c r="NYL1331" s="1072"/>
      <c r="NYM1331" s="1072"/>
      <c r="NYN1331" s="1072"/>
      <c r="NYO1331" s="1072"/>
      <c r="NYP1331" s="1072"/>
      <c r="NYQ1331" s="1072"/>
      <c r="NYR1331" s="1072"/>
      <c r="NYS1331" s="1072"/>
      <c r="NYT1331" s="1072"/>
      <c r="NYU1331" s="1072"/>
      <c r="NYV1331" s="1072"/>
      <c r="NYW1331" s="1072"/>
      <c r="NYX1331" s="1072"/>
      <c r="NYY1331" s="1072"/>
      <c r="NYZ1331" s="1072"/>
      <c r="NZA1331" s="1072"/>
      <c r="NZB1331" s="1072"/>
      <c r="NZC1331" s="1072"/>
      <c r="NZD1331" s="1072"/>
      <c r="NZE1331" s="1072"/>
      <c r="NZF1331" s="1072"/>
      <c r="NZG1331" s="1072"/>
      <c r="NZH1331" s="1072"/>
      <c r="NZI1331" s="1072"/>
      <c r="NZJ1331" s="1072"/>
      <c r="NZK1331" s="1072"/>
      <c r="NZL1331" s="1072"/>
      <c r="NZM1331" s="1072"/>
      <c r="NZN1331" s="1072"/>
      <c r="NZO1331" s="1072"/>
      <c r="NZP1331" s="1072"/>
      <c r="NZQ1331" s="1072"/>
      <c r="NZR1331" s="1072"/>
      <c r="NZS1331" s="1072"/>
      <c r="NZT1331" s="1072"/>
      <c r="NZU1331" s="1072"/>
      <c r="NZV1331" s="1072"/>
      <c r="NZW1331" s="1072"/>
      <c r="NZX1331" s="1072"/>
      <c r="NZY1331" s="1072"/>
      <c r="NZZ1331" s="1072"/>
      <c r="OAA1331" s="1072"/>
      <c r="OAB1331" s="1072"/>
      <c r="OAC1331" s="1072"/>
      <c r="OAD1331" s="1072"/>
      <c r="OAE1331" s="1072"/>
      <c r="OAF1331" s="1072"/>
      <c r="OAG1331" s="1072"/>
      <c r="OAH1331" s="1072"/>
      <c r="OAI1331" s="1072"/>
      <c r="OAJ1331" s="1072"/>
      <c r="OAK1331" s="1072"/>
      <c r="OAL1331" s="1072"/>
      <c r="OAM1331" s="1072"/>
      <c r="OAN1331" s="1072"/>
      <c r="OAO1331" s="1072"/>
      <c r="OAP1331" s="1072"/>
      <c r="OAQ1331" s="1072"/>
      <c r="OAR1331" s="1072"/>
      <c r="OAS1331" s="1072"/>
      <c r="OAT1331" s="1072"/>
      <c r="OAU1331" s="1072"/>
      <c r="OAV1331" s="1072"/>
      <c r="OAW1331" s="1072"/>
      <c r="OAX1331" s="1072"/>
      <c r="OAY1331" s="1072"/>
      <c r="OAZ1331" s="1072"/>
      <c r="OBA1331" s="1072"/>
      <c r="OBB1331" s="1072"/>
      <c r="OBC1331" s="1072"/>
      <c r="OBD1331" s="1072"/>
      <c r="OBE1331" s="1072"/>
      <c r="OBF1331" s="1072"/>
      <c r="OBG1331" s="1072"/>
      <c r="OBH1331" s="1072"/>
      <c r="OBI1331" s="1072"/>
      <c r="OBJ1331" s="1072"/>
      <c r="OBK1331" s="1072"/>
      <c r="OBL1331" s="1072"/>
      <c r="OBM1331" s="1072"/>
      <c r="OBN1331" s="1072"/>
      <c r="OBO1331" s="1072"/>
      <c r="OBP1331" s="1072"/>
      <c r="OBQ1331" s="1072"/>
      <c r="OBR1331" s="1072"/>
      <c r="OBS1331" s="1072"/>
      <c r="OBT1331" s="1072"/>
      <c r="OBU1331" s="1072"/>
      <c r="OBV1331" s="1072"/>
      <c r="OBW1331" s="1072"/>
      <c r="OBX1331" s="1072"/>
      <c r="OBY1331" s="1072"/>
      <c r="OBZ1331" s="1072"/>
      <c r="OCA1331" s="1072"/>
      <c r="OCB1331" s="1072"/>
      <c r="OCC1331" s="1072"/>
      <c r="OCD1331" s="1072"/>
      <c r="OCE1331" s="1072"/>
      <c r="OCF1331" s="1072"/>
      <c r="OCG1331" s="1072"/>
      <c r="OCH1331" s="1072"/>
      <c r="OCI1331" s="1072"/>
      <c r="OCJ1331" s="1072"/>
      <c r="OCK1331" s="1072"/>
      <c r="OCL1331" s="1072"/>
      <c r="OCM1331" s="1072"/>
      <c r="OCN1331" s="1072"/>
      <c r="OCO1331" s="1072"/>
      <c r="OCP1331" s="1072"/>
      <c r="OCQ1331" s="1072"/>
      <c r="OCR1331" s="1072"/>
      <c r="OCS1331" s="1072"/>
      <c r="OCT1331" s="1072"/>
      <c r="OCU1331" s="1072"/>
      <c r="OCV1331" s="1072"/>
      <c r="OCW1331" s="1072"/>
      <c r="OCX1331" s="1072"/>
      <c r="OCY1331" s="1072"/>
      <c r="OCZ1331" s="1072"/>
      <c r="ODA1331" s="1072"/>
      <c r="ODB1331" s="1072"/>
      <c r="ODC1331" s="1072"/>
      <c r="ODD1331" s="1072"/>
      <c r="ODE1331" s="1072"/>
      <c r="ODF1331" s="1072"/>
      <c r="ODG1331" s="1072"/>
      <c r="ODH1331" s="1072"/>
      <c r="ODI1331" s="1072"/>
      <c r="ODJ1331" s="1072"/>
      <c r="ODK1331" s="1072"/>
      <c r="ODL1331" s="1072"/>
      <c r="ODM1331" s="1072"/>
      <c r="ODN1331" s="1072"/>
      <c r="ODO1331" s="1072"/>
      <c r="ODP1331" s="1072"/>
      <c r="ODQ1331" s="1072"/>
      <c r="ODR1331" s="1072"/>
      <c r="ODS1331" s="1072"/>
      <c r="ODT1331" s="1072"/>
      <c r="ODU1331" s="1072"/>
      <c r="ODV1331" s="1072"/>
      <c r="ODW1331" s="1072"/>
      <c r="ODX1331" s="1072"/>
      <c r="ODY1331" s="1072"/>
      <c r="ODZ1331" s="1072"/>
      <c r="OEA1331" s="1072"/>
      <c r="OEB1331" s="1072"/>
      <c r="OEC1331" s="1072"/>
      <c r="OED1331" s="1072"/>
      <c r="OEE1331" s="1072"/>
      <c r="OEF1331" s="1072"/>
      <c r="OEG1331" s="1072"/>
      <c r="OEH1331" s="1072"/>
      <c r="OEI1331" s="1072"/>
      <c r="OEJ1331" s="1072"/>
      <c r="OEK1331" s="1072"/>
      <c r="OEL1331" s="1072"/>
      <c r="OEM1331" s="1072"/>
      <c r="OEN1331" s="1072"/>
      <c r="OEO1331" s="1072"/>
      <c r="OEP1331" s="1072"/>
      <c r="OEQ1331" s="1072"/>
      <c r="OER1331" s="1072"/>
      <c r="OES1331" s="1072"/>
      <c r="OET1331" s="1072"/>
      <c r="OEU1331" s="1072"/>
      <c r="OEV1331" s="1072"/>
      <c r="OEW1331" s="1072"/>
      <c r="OEX1331" s="1072"/>
      <c r="OEY1331" s="1072"/>
      <c r="OEZ1331" s="1072"/>
      <c r="OFA1331" s="1072"/>
      <c r="OFB1331" s="1072"/>
      <c r="OFC1331" s="1072"/>
      <c r="OFD1331" s="1072"/>
      <c r="OFE1331" s="1072"/>
      <c r="OFF1331" s="1072"/>
      <c r="OFG1331" s="1072"/>
      <c r="OFH1331" s="1072"/>
      <c r="OFI1331" s="1072"/>
      <c r="OFJ1331" s="1072"/>
      <c r="OFK1331" s="1072"/>
      <c r="OFL1331" s="1072"/>
      <c r="OFM1331" s="1072"/>
      <c r="OFN1331" s="1072"/>
      <c r="OFO1331" s="1072"/>
      <c r="OFP1331" s="1072"/>
      <c r="OFQ1331" s="1072"/>
      <c r="OFR1331" s="1072"/>
      <c r="OFS1331" s="1072"/>
      <c r="OFT1331" s="1072"/>
      <c r="OFU1331" s="1072"/>
      <c r="OFV1331" s="1072"/>
      <c r="OFW1331" s="1072"/>
      <c r="OFX1331" s="1072"/>
      <c r="OFY1331" s="1072"/>
      <c r="OFZ1331" s="1072"/>
      <c r="OGA1331" s="1072"/>
      <c r="OGB1331" s="1072"/>
      <c r="OGC1331" s="1072"/>
      <c r="OGD1331" s="1072"/>
      <c r="OGE1331" s="1072"/>
      <c r="OGF1331" s="1072"/>
      <c r="OGG1331" s="1072"/>
      <c r="OGH1331" s="1072"/>
      <c r="OGI1331" s="1072"/>
      <c r="OGJ1331" s="1072"/>
      <c r="OGK1331" s="1072"/>
      <c r="OGL1331" s="1072"/>
      <c r="OGM1331" s="1072"/>
      <c r="OGN1331" s="1072"/>
      <c r="OGO1331" s="1072"/>
      <c r="OGP1331" s="1072"/>
      <c r="OGQ1331" s="1072"/>
      <c r="OGR1331" s="1072"/>
      <c r="OGS1331" s="1072"/>
      <c r="OGT1331" s="1072"/>
      <c r="OGU1331" s="1072"/>
      <c r="OGV1331" s="1072"/>
      <c r="OGW1331" s="1072"/>
      <c r="OGX1331" s="1072"/>
      <c r="OGY1331" s="1072"/>
      <c r="OGZ1331" s="1072"/>
      <c r="OHA1331" s="1072"/>
      <c r="OHB1331" s="1072"/>
      <c r="OHC1331" s="1072"/>
      <c r="OHD1331" s="1072"/>
      <c r="OHE1331" s="1072"/>
      <c r="OHF1331" s="1072"/>
      <c r="OHG1331" s="1072"/>
      <c r="OHH1331" s="1072"/>
      <c r="OHI1331" s="1072"/>
      <c r="OHJ1331" s="1072"/>
      <c r="OHK1331" s="1072"/>
      <c r="OHL1331" s="1072"/>
      <c r="OHM1331" s="1072"/>
      <c r="OHN1331" s="1072"/>
      <c r="OHO1331" s="1072"/>
      <c r="OHP1331" s="1072"/>
      <c r="OHQ1331" s="1072"/>
      <c r="OHR1331" s="1072"/>
      <c r="OHS1331" s="1072"/>
      <c r="OHT1331" s="1072"/>
      <c r="OHU1331" s="1072"/>
      <c r="OHV1331" s="1072"/>
      <c r="OHW1331" s="1072"/>
      <c r="OHX1331" s="1072"/>
      <c r="OHY1331" s="1072"/>
      <c r="OHZ1331" s="1072"/>
      <c r="OIA1331" s="1072"/>
      <c r="OIB1331" s="1072"/>
      <c r="OIC1331" s="1072"/>
      <c r="OID1331" s="1072"/>
      <c r="OIE1331" s="1072"/>
      <c r="OIF1331" s="1072"/>
      <c r="OIG1331" s="1072"/>
      <c r="OIH1331" s="1072"/>
      <c r="OII1331" s="1072"/>
      <c r="OIJ1331" s="1072"/>
      <c r="OIK1331" s="1072"/>
      <c r="OIL1331" s="1072"/>
      <c r="OIM1331" s="1072"/>
      <c r="OIN1331" s="1072"/>
      <c r="OIO1331" s="1072"/>
      <c r="OIP1331" s="1072"/>
      <c r="OIQ1331" s="1072"/>
      <c r="OIR1331" s="1072"/>
      <c r="OIS1331" s="1072"/>
      <c r="OIT1331" s="1072"/>
      <c r="OIU1331" s="1072"/>
      <c r="OIV1331" s="1072"/>
      <c r="OIW1331" s="1072"/>
      <c r="OIX1331" s="1072"/>
      <c r="OIY1331" s="1072"/>
      <c r="OIZ1331" s="1072"/>
      <c r="OJA1331" s="1072"/>
      <c r="OJB1331" s="1072"/>
      <c r="OJC1331" s="1072"/>
      <c r="OJD1331" s="1072"/>
      <c r="OJE1331" s="1072"/>
      <c r="OJF1331" s="1072"/>
      <c r="OJG1331" s="1072"/>
      <c r="OJH1331" s="1072"/>
      <c r="OJI1331" s="1072"/>
      <c r="OJJ1331" s="1072"/>
      <c r="OJK1331" s="1072"/>
      <c r="OJL1331" s="1072"/>
      <c r="OJM1331" s="1072"/>
      <c r="OJN1331" s="1072"/>
      <c r="OJO1331" s="1072"/>
      <c r="OJP1331" s="1072"/>
      <c r="OJQ1331" s="1072"/>
      <c r="OJR1331" s="1072"/>
      <c r="OJS1331" s="1072"/>
      <c r="OJT1331" s="1072"/>
      <c r="OJU1331" s="1072"/>
      <c r="OJV1331" s="1072"/>
      <c r="OJW1331" s="1072"/>
      <c r="OJX1331" s="1072"/>
      <c r="OJY1331" s="1072"/>
      <c r="OJZ1331" s="1072"/>
      <c r="OKA1331" s="1072"/>
      <c r="OKB1331" s="1072"/>
      <c r="OKC1331" s="1072"/>
      <c r="OKD1331" s="1072"/>
      <c r="OKE1331" s="1072"/>
      <c r="OKF1331" s="1072"/>
      <c r="OKG1331" s="1072"/>
      <c r="OKH1331" s="1072"/>
      <c r="OKI1331" s="1072"/>
      <c r="OKJ1331" s="1072"/>
      <c r="OKK1331" s="1072"/>
      <c r="OKL1331" s="1072"/>
      <c r="OKM1331" s="1072"/>
      <c r="OKN1331" s="1072"/>
      <c r="OKO1331" s="1072"/>
      <c r="OKP1331" s="1072"/>
      <c r="OKQ1331" s="1072"/>
      <c r="OKR1331" s="1072"/>
      <c r="OKS1331" s="1072"/>
      <c r="OKT1331" s="1072"/>
      <c r="OKU1331" s="1072"/>
      <c r="OKV1331" s="1072"/>
      <c r="OKW1331" s="1072"/>
      <c r="OKX1331" s="1072"/>
      <c r="OKY1331" s="1072"/>
      <c r="OKZ1331" s="1072"/>
      <c r="OLA1331" s="1072"/>
      <c r="OLB1331" s="1072"/>
      <c r="OLC1331" s="1072"/>
      <c r="OLD1331" s="1072"/>
      <c r="OLE1331" s="1072"/>
      <c r="OLF1331" s="1072"/>
      <c r="OLG1331" s="1072"/>
      <c r="OLH1331" s="1072"/>
      <c r="OLI1331" s="1072"/>
      <c r="OLJ1331" s="1072"/>
      <c r="OLK1331" s="1072"/>
      <c r="OLL1331" s="1072"/>
      <c r="OLM1331" s="1072"/>
      <c r="OLN1331" s="1072"/>
      <c r="OLO1331" s="1072"/>
      <c r="OLP1331" s="1072"/>
      <c r="OLQ1331" s="1072"/>
      <c r="OLR1331" s="1072"/>
      <c r="OLS1331" s="1072"/>
      <c r="OLT1331" s="1072"/>
      <c r="OLU1331" s="1072"/>
      <c r="OLV1331" s="1072"/>
      <c r="OLW1331" s="1072"/>
      <c r="OLX1331" s="1072"/>
      <c r="OLY1331" s="1072"/>
      <c r="OLZ1331" s="1072"/>
      <c r="OMA1331" s="1072"/>
      <c r="OMB1331" s="1072"/>
      <c r="OMC1331" s="1072"/>
      <c r="OMD1331" s="1072"/>
      <c r="OME1331" s="1072"/>
      <c r="OMF1331" s="1072"/>
      <c r="OMG1331" s="1072"/>
      <c r="OMH1331" s="1072"/>
      <c r="OMI1331" s="1072"/>
      <c r="OMJ1331" s="1072"/>
      <c r="OMK1331" s="1072"/>
      <c r="OML1331" s="1072"/>
      <c r="OMM1331" s="1072"/>
      <c r="OMN1331" s="1072"/>
      <c r="OMO1331" s="1072"/>
      <c r="OMP1331" s="1072"/>
      <c r="OMQ1331" s="1072"/>
      <c r="OMR1331" s="1072"/>
      <c r="OMS1331" s="1072"/>
      <c r="OMT1331" s="1072"/>
      <c r="OMU1331" s="1072"/>
      <c r="OMV1331" s="1072"/>
      <c r="OMW1331" s="1072"/>
      <c r="OMX1331" s="1072"/>
      <c r="OMY1331" s="1072"/>
      <c r="OMZ1331" s="1072"/>
      <c r="ONA1331" s="1072"/>
      <c r="ONB1331" s="1072"/>
      <c r="ONC1331" s="1072"/>
      <c r="OND1331" s="1072"/>
      <c r="ONE1331" s="1072"/>
      <c r="ONF1331" s="1072"/>
      <c r="ONG1331" s="1072"/>
      <c r="ONH1331" s="1072"/>
      <c r="ONI1331" s="1072"/>
      <c r="ONJ1331" s="1072"/>
      <c r="ONK1331" s="1072"/>
      <c r="ONL1331" s="1072"/>
      <c r="ONM1331" s="1072"/>
      <c r="ONN1331" s="1072"/>
      <c r="ONO1331" s="1072"/>
      <c r="ONP1331" s="1072"/>
      <c r="ONQ1331" s="1072"/>
      <c r="ONR1331" s="1072"/>
      <c r="ONS1331" s="1072"/>
      <c r="ONT1331" s="1072"/>
      <c r="ONU1331" s="1072"/>
      <c r="ONV1331" s="1072"/>
      <c r="ONW1331" s="1072"/>
      <c r="ONX1331" s="1072"/>
      <c r="ONY1331" s="1072"/>
      <c r="ONZ1331" s="1072"/>
      <c r="OOA1331" s="1072"/>
      <c r="OOB1331" s="1072"/>
      <c r="OOC1331" s="1072"/>
      <c r="OOD1331" s="1072"/>
      <c r="OOE1331" s="1072"/>
      <c r="OOF1331" s="1072"/>
      <c r="OOG1331" s="1072"/>
      <c r="OOH1331" s="1072"/>
      <c r="OOI1331" s="1072"/>
      <c r="OOJ1331" s="1072"/>
      <c r="OOK1331" s="1072"/>
      <c r="OOL1331" s="1072"/>
      <c r="OOM1331" s="1072"/>
      <c r="OON1331" s="1072"/>
      <c r="OOO1331" s="1072"/>
      <c r="OOP1331" s="1072"/>
      <c r="OOQ1331" s="1072"/>
      <c r="OOR1331" s="1072"/>
      <c r="OOS1331" s="1072"/>
      <c r="OOT1331" s="1072"/>
      <c r="OOU1331" s="1072"/>
      <c r="OOV1331" s="1072"/>
      <c r="OOW1331" s="1072"/>
      <c r="OOX1331" s="1072"/>
      <c r="OOY1331" s="1072"/>
      <c r="OOZ1331" s="1072"/>
      <c r="OPA1331" s="1072"/>
      <c r="OPB1331" s="1072"/>
      <c r="OPC1331" s="1072"/>
      <c r="OPD1331" s="1072"/>
      <c r="OPE1331" s="1072"/>
      <c r="OPF1331" s="1072"/>
      <c r="OPG1331" s="1072"/>
      <c r="OPH1331" s="1072"/>
      <c r="OPI1331" s="1072"/>
      <c r="OPJ1331" s="1072"/>
      <c r="OPK1331" s="1072"/>
      <c r="OPL1331" s="1072"/>
      <c r="OPM1331" s="1072"/>
      <c r="OPN1331" s="1072"/>
      <c r="OPO1331" s="1072"/>
      <c r="OPP1331" s="1072"/>
      <c r="OPQ1331" s="1072"/>
      <c r="OPR1331" s="1072"/>
      <c r="OPS1331" s="1072"/>
      <c r="OPT1331" s="1072"/>
      <c r="OPU1331" s="1072"/>
      <c r="OPV1331" s="1072"/>
      <c r="OPW1331" s="1072"/>
      <c r="OPX1331" s="1072"/>
      <c r="OPY1331" s="1072"/>
      <c r="OPZ1331" s="1072"/>
      <c r="OQA1331" s="1072"/>
      <c r="OQB1331" s="1072"/>
      <c r="OQC1331" s="1072"/>
      <c r="OQD1331" s="1072"/>
      <c r="OQE1331" s="1072"/>
      <c r="OQF1331" s="1072"/>
      <c r="OQG1331" s="1072"/>
      <c r="OQH1331" s="1072"/>
      <c r="OQI1331" s="1072"/>
      <c r="OQJ1331" s="1072"/>
      <c r="OQK1331" s="1072"/>
      <c r="OQL1331" s="1072"/>
      <c r="OQM1331" s="1072"/>
      <c r="OQN1331" s="1072"/>
      <c r="OQO1331" s="1072"/>
      <c r="OQP1331" s="1072"/>
      <c r="OQQ1331" s="1072"/>
      <c r="OQR1331" s="1072"/>
      <c r="OQS1331" s="1072"/>
      <c r="OQT1331" s="1072"/>
      <c r="OQU1331" s="1072"/>
      <c r="OQV1331" s="1072"/>
      <c r="OQW1331" s="1072"/>
      <c r="OQX1331" s="1072"/>
      <c r="OQY1331" s="1072"/>
      <c r="OQZ1331" s="1072"/>
      <c r="ORA1331" s="1072"/>
      <c r="ORB1331" s="1072"/>
      <c r="ORC1331" s="1072"/>
      <c r="ORD1331" s="1072"/>
      <c r="ORE1331" s="1072"/>
      <c r="ORF1331" s="1072"/>
      <c r="ORG1331" s="1072"/>
      <c r="ORH1331" s="1072"/>
      <c r="ORI1331" s="1072"/>
      <c r="ORJ1331" s="1072"/>
      <c r="ORK1331" s="1072"/>
      <c r="ORL1331" s="1072"/>
      <c r="ORM1331" s="1072"/>
      <c r="ORN1331" s="1072"/>
      <c r="ORO1331" s="1072"/>
      <c r="ORP1331" s="1072"/>
      <c r="ORQ1331" s="1072"/>
      <c r="ORR1331" s="1072"/>
      <c r="ORS1331" s="1072"/>
      <c r="ORT1331" s="1072"/>
      <c r="ORU1331" s="1072"/>
      <c r="ORV1331" s="1072"/>
      <c r="ORW1331" s="1072"/>
      <c r="ORX1331" s="1072"/>
      <c r="ORY1331" s="1072"/>
      <c r="ORZ1331" s="1072"/>
      <c r="OSA1331" s="1072"/>
      <c r="OSB1331" s="1072"/>
      <c r="OSC1331" s="1072"/>
      <c r="OSD1331" s="1072"/>
      <c r="OSE1331" s="1072"/>
      <c r="OSF1331" s="1072"/>
      <c r="OSG1331" s="1072"/>
      <c r="OSH1331" s="1072"/>
      <c r="OSI1331" s="1072"/>
      <c r="OSJ1331" s="1072"/>
      <c r="OSK1331" s="1072"/>
      <c r="OSL1331" s="1072"/>
      <c r="OSM1331" s="1072"/>
      <c r="OSN1331" s="1072"/>
      <c r="OSO1331" s="1072"/>
      <c r="OSP1331" s="1072"/>
      <c r="OSQ1331" s="1072"/>
      <c r="OSR1331" s="1072"/>
      <c r="OSS1331" s="1072"/>
      <c r="OST1331" s="1072"/>
      <c r="OSU1331" s="1072"/>
      <c r="OSV1331" s="1072"/>
      <c r="OSW1331" s="1072"/>
      <c r="OSX1331" s="1072"/>
      <c r="OSY1331" s="1072"/>
      <c r="OSZ1331" s="1072"/>
      <c r="OTA1331" s="1072"/>
      <c r="OTB1331" s="1072"/>
      <c r="OTC1331" s="1072"/>
      <c r="OTD1331" s="1072"/>
      <c r="OTE1331" s="1072"/>
      <c r="OTF1331" s="1072"/>
      <c r="OTG1331" s="1072"/>
      <c r="OTH1331" s="1072"/>
      <c r="OTI1331" s="1072"/>
      <c r="OTJ1331" s="1072"/>
      <c r="OTK1331" s="1072"/>
      <c r="OTL1331" s="1072"/>
      <c r="OTM1331" s="1072"/>
      <c r="OTN1331" s="1072"/>
      <c r="OTO1331" s="1072"/>
      <c r="OTP1331" s="1072"/>
      <c r="OTQ1331" s="1072"/>
      <c r="OTR1331" s="1072"/>
      <c r="OTS1331" s="1072"/>
      <c r="OTT1331" s="1072"/>
      <c r="OTU1331" s="1072"/>
      <c r="OTV1331" s="1072"/>
      <c r="OTW1331" s="1072"/>
      <c r="OTX1331" s="1072"/>
      <c r="OTY1331" s="1072"/>
      <c r="OTZ1331" s="1072"/>
      <c r="OUA1331" s="1072"/>
      <c r="OUB1331" s="1072"/>
      <c r="OUC1331" s="1072"/>
      <c r="OUD1331" s="1072"/>
      <c r="OUE1331" s="1072"/>
      <c r="OUF1331" s="1072"/>
      <c r="OUG1331" s="1072"/>
      <c r="OUH1331" s="1072"/>
      <c r="OUI1331" s="1072"/>
      <c r="OUJ1331" s="1072"/>
      <c r="OUK1331" s="1072"/>
      <c r="OUL1331" s="1072"/>
      <c r="OUM1331" s="1072"/>
      <c r="OUN1331" s="1072"/>
      <c r="OUO1331" s="1072"/>
      <c r="OUP1331" s="1072"/>
      <c r="OUQ1331" s="1072"/>
      <c r="OUR1331" s="1072"/>
      <c r="OUS1331" s="1072"/>
      <c r="OUT1331" s="1072"/>
      <c r="OUU1331" s="1072"/>
      <c r="OUV1331" s="1072"/>
      <c r="OUW1331" s="1072"/>
      <c r="OUX1331" s="1072"/>
      <c r="OUY1331" s="1072"/>
      <c r="OUZ1331" s="1072"/>
      <c r="OVA1331" s="1072"/>
      <c r="OVB1331" s="1072"/>
      <c r="OVC1331" s="1072"/>
      <c r="OVD1331" s="1072"/>
      <c r="OVE1331" s="1072"/>
      <c r="OVF1331" s="1072"/>
      <c r="OVG1331" s="1072"/>
      <c r="OVH1331" s="1072"/>
      <c r="OVI1331" s="1072"/>
      <c r="OVJ1331" s="1072"/>
      <c r="OVK1331" s="1072"/>
      <c r="OVL1331" s="1072"/>
      <c r="OVM1331" s="1072"/>
      <c r="OVN1331" s="1072"/>
      <c r="OVO1331" s="1072"/>
      <c r="OVP1331" s="1072"/>
      <c r="OVQ1331" s="1072"/>
      <c r="OVR1331" s="1072"/>
      <c r="OVS1331" s="1072"/>
      <c r="OVT1331" s="1072"/>
      <c r="OVU1331" s="1072"/>
      <c r="OVV1331" s="1072"/>
      <c r="OVW1331" s="1072"/>
      <c r="OVX1331" s="1072"/>
      <c r="OVY1331" s="1072"/>
      <c r="OVZ1331" s="1072"/>
      <c r="OWA1331" s="1072"/>
      <c r="OWB1331" s="1072"/>
      <c r="OWC1331" s="1072"/>
      <c r="OWD1331" s="1072"/>
      <c r="OWE1331" s="1072"/>
      <c r="OWF1331" s="1072"/>
      <c r="OWG1331" s="1072"/>
      <c r="OWH1331" s="1072"/>
      <c r="OWI1331" s="1072"/>
      <c r="OWJ1331" s="1072"/>
      <c r="OWK1331" s="1072"/>
      <c r="OWL1331" s="1072"/>
      <c r="OWM1331" s="1072"/>
      <c r="OWN1331" s="1072"/>
      <c r="OWO1331" s="1072"/>
      <c r="OWP1331" s="1072"/>
      <c r="OWQ1331" s="1072"/>
      <c r="OWR1331" s="1072"/>
      <c r="OWS1331" s="1072"/>
      <c r="OWT1331" s="1072"/>
      <c r="OWU1331" s="1072"/>
      <c r="OWV1331" s="1072"/>
      <c r="OWW1331" s="1072"/>
      <c r="OWX1331" s="1072"/>
      <c r="OWY1331" s="1072"/>
      <c r="OWZ1331" s="1072"/>
      <c r="OXA1331" s="1072"/>
      <c r="OXB1331" s="1072"/>
      <c r="OXC1331" s="1072"/>
      <c r="OXD1331" s="1072"/>
      <c r="OXE1331" s="1072"/>
      <c r="OXF1331" s="1072"/>
      <c r="OXG1331" s="1072"/>
      <c r="OXH1331" s="1072"/>
      <c r="OXI1331" s="1072"/>
      <c r="OXJ1331" s="1072"/>
      <c r="OXK1331" s="1072"/>
      <c r="OXL1331" s="1072"/>
      <c r="OXM1331" s="1072"/>
      <c r="OXN1331" s="1072"/>
      <c r="OXO1331" s="1072"/>
      <c r="OXP1331" s="1072"/>
      <c r="OXQ1331" s="1072"/>
      <c r="OXR1331" s="1072"/>
      <c r="OXS1331" s="1072"/>
      <c r="OXT1331" s="1072"/>
      <c r="OXU1331" s="1072"/>
      <c r="OXV1331" s="1072"/>
      <c r="OXW1331" s="1072"/>
      <c r="OXX1331" s="1072"/>
      <c r="OXY1331" s="1072"/>
      <c r="OXZ1331" s="1072"/>
      <c r="OYA1331" s="1072"/>
      <c r="OYB1331" s="1072"/>
      <c r="OYC1331" s="1072"/>
      <c r="OYD1331" s="1072"/>
      <c r="OYE1331" s="1072"/>
      <c r="OYF1331" s="1072"/>
      <c r="OYG1331" s="1072"/>
      <c r="OYH1331" s="1072"/>
      <c r="OYI1331" s="1072"/>
      <c r="OYJ1331" s="1072"/>
      <c r="OYK1331" s="1072"/>
      <c r="OYL1331" s="1072"/>
      <c r="OYM1331" s="1072"/>
      <c r="OYN1331" s="1072"/>
      <c r="OYO1331" s="1072"/>
      <c r="OYP1331" s="1072"/>
      <c r="OYQ1331" s="1072"/>
      <c r="OYR1331" s="1072"/>
      <c r="OYS1331" s="1072"/>
      <c r="OYT1331" s="1072"/>
      <c r="OYU1331" s="1072"/>
      <c r="OYV1331" s="1072"/>
      <c r="OYW1331" s="1072"/>
      <c r="OYX1331" s="1072"/>
      <c r="OYY1331" s="1072"/>
      <c r="OYZ1331" s="1072"/>
      <c r="OZA1331" s="1072"/>
      <c r="OZB1331" s="1072"/>
      <c r="OZC1331" s="1072"/>
      <c r="OZD1331" s="1072"/>
      <c r="OZE1331" s="1072"/>
      <c r="OZF1331" s="1072"/>
      <c r="OZG1331" s="1072"/>
      <c r="OZH1331" s="1072"/>
      <c r="OZI1331" s="1072"/>
      <c r="OZJ1331" s="1072"/>
      <c r="OZK1331" s="1072"/>
      <c r="OZL1331" s="1072"/>
      <c r="OZM1331" s="1072"/>
      <c r="OZN1331" s="1072"/>
      <c r="OZO1331" s="1072"/>
      <c r="OZP1331" s="1072"/>
      <c r="OZQ1331" s="1072"/>
      <c r="OZR1331" s="1072"/>
      <c r="OZS1331" s="1072"/>
      <c r="OZT1331" s="1072"/>
      <c r="OZU1331" s="1072"/>
      <c r="OZV1331" s="1072"/>
      <c r="OZW1331" s="1072"/>
      <c r="OZX1331" s="1072"/>
      <c r="OZY1331" s="1072"/>
      <c r="OZZ1331" s="1072"/>
      <c r="PAA1331" s="1072"/>
      <c r="PAB1331" s="1072"/>
      <c r="PAC1331" s="1072"/>
      <c r="PAD1331" s="1072"/>
      <c r="PAE1331" s="1072"/>
      <c r="PAF1331" s="1072"/>
      <c r="PAG1331" s="1072"/>
      <c r="PAH1331" s="1072"/>
      <c r="PAI1331" s="1072"/>
      <c r="PAJ1331" s="1072"/>
      <c r="PAK1331" s="1072"/>
      <c r="PAL1331" s="1072"/>
      <c r="PAM1331" s="1072"/>
      <c r="PAN1331" s="1072"/>
      <c r="PAO1331" s="1072"/>
      <c r="PAP1331" s="1072"/>
      <c r="PAQ1331" s="1072"/>
      <c r="PAR1331" s="1072"/>
      <c r="PAS1331" s="1072"/>
      <c r="PAT1331" s="1072"/>
      <c r="PAU1331" s="1072"/>
      <c r="PAV1331" s="1072"/>
      <c r="PAW1331" s="1072"/>
      <c r="PAX1331" s="1072"/>
      <c r="PAY1331" s="1072"/>
      <c r="PAZ1331" s="1072"/>
      <c r="PBA1331" s="1072"/>
      <c r="PBB1331" s="1072"/>
      <c r="PBC1331" s="1072"/>
      <c r="PBD1331" s="1072"/>
      <c r="PBE1331" s="1072"/>
      <c r="PBF1331" s="1072"/>
      <c r="PBG1331" s="1072"/>
      <c r="PBH1331" s="1072"/>
      <c r="PBI1331" s="1072"/>
      <c r="PBJ1331" s="1072"/>
      <c r="PBK1331" s="1072"/>
      <c r="PBL1331" s="1072"/>
      <c r="PBM1331" s="1072"/>
      <c r="PBN1331" s="1072"/>
      <c r="PBO1331" s="1072"/>
      <c r="PBP1331" s="1072"/>
      <c r="PBQ1331" s="1072"/>
      <c r="PBR1331" s="1072"/>
      <c r="PBS1331" s="1072"/>
      <c r="PBT1331" s="1072"/>
      <c r="PBU1331" s="1072"/>
      <c r="PBV1331" s="1072"/>
      <c r="PBW1331" s="1072"/>
      <c r="PBX1331" s="1072"/>
      <c r="PBY1331" s="1072"/>
      <c r="PBZ1331" s="1072"/>
      <c r="PCA1331" s="1072"/>
      <c r="PCB1331" s="1072"/>
      <c r="PCC1331" s="1072"/>
      <c r="PCD1331" s="1072"/>
      <c r="PCE1331" s="1072"/>
      <c r="PCF1331" s="1072"/>
      <c r="PCG1331" s="1072"/>
      <c r="PCH1331" s="1072"/>
      <c r="PCI1331" s="1072"/>
      <c r="PCJ1331" s="1072"/>
      <c r="PCK1331" s="1072"/>
      <c r="PCL1331" s="1072"/>
      <c r="PCM1331" s="1072"/>
      <c r="PCN1331" s="1072"/>
      <c r="PCO1331" s="1072"/>
      <c r="PCP1331" s="1072"/>
      <c r="PCQ1331" s="1072"/>
      <c r="PCR1331" s="1072"/>
      <c r="PCS1331" s="1072"/>
      <c r="PCT1331" s="1072"/>
      <c r="PCU1331" s="1072"/>
      <c r="PCV1331" s="1072"/>
      <c r="PCW1331" s="1072"/>
      <c r="PCX1331" s="1072"/>
      <c r="PCY1331" s="1072"/>
      <c r="PCZ1331" s="1072"/>
      <c r="PDA1331" s="1072"/>
      <c r="PDB1331" s="1072"/>
      <c r="PDC1331" s="1072"/>
      <c r="PDD1331" s="1072"/>
      <c r="PDE1331" s="1072"/>
      <c r="PDF1331" s="1072"/>
      <c r="PDG1331" s="1072"/>
      <c r="PDH1331" s="1072"/>
      <c r="PDI1331" s="1072"/>
      <c r="PDJ1331" s="1072"/>
      <c r="PDK1331" s="1072"/>
      <c r="PDL1331" s="1072"/>
      <c r="PDM1331" s="1072"/>
      <c r="PDN1331" s="1072"/>
      <c r="PDO1331" s="1072"/>
      <c r="PDP1331" s="1072"/>
      <c r="PDQ1331" s="1072"/>
      <c r="PDR1331" s="1072"/>
      <c r="PDS1331" s="1072"/>
      <c r="PDT1331" s="1072"/>
      <c r="PDU1331" s="1072"/>
      <c r="PDV1331" s="1072"/>
      <c r="PDW1331" s="1072"/>
      <c r="PDX1331" s="1072"/>
      <c r="PDY1331" s="1072"/>
      <c r="PDZ1331" s="1072"/>
      <c r="PEA1331" s="1072"/>
      <c r="PEB1331" s="1072"/>
      <c r="PEC1331" s="1072"/>
      <c r="PED1331" s="1072"/>
      <c r="PEE1331" s="1072"/>
      <c r="PEF1331" s="1072"/>
      <c r="PEG1331" s="1072"/>
      <c r="PEH1331" s="1072"/>
      <c r="PEI1331" s="1072"/>
      <c r="PEJ1331" s="1072"/>
      <c r="PEK1331" s="1072"/>
      <c r="PEL1331" s="1072"/>
      <c r="PEM1331" s="1072"/>
      <c r="PEN1331" s="1072"/>
      <c r="PEO1331" s="1072"/>
      <c r="PEP1331" s="1072"/>
      <c r="PEQ1331" s="1072"/>
      <c r="PER1331" s="1072"/>
      <c r="PES1331" s="1072"/>
      <c r="PET1331" s="1072"/>
      <c r="PEU1331" s="1072"/>
      <c r="PEV1331" s="1072"/>
      <c r="PEW1331" s="1072"/>
      <c r="PEX1331" s="1072"/>
      <c r="PEY1331" s="1072"/>
      <c r="PEZ1331" s="1072"/>
      <c r="PFA1331" s="1072"/>
      <c r="PFB1331" s="1072"/>
      <c r="PFC1331" s="1072"/>
      <c r="PFD1331" s="1072"/>
      <c r="PFE1331" s="1072"/>
      <c r="PFF1331" s="1072"/>
      <c r="PFG1331" s="1072"/>
      <c r="PFH1331" s="1072"/>
      <c r="PFI1331" s="1072"/>
      <c r="PFJ1331" s="1072"/>
      <c r="PFK1331" s="1072"/>
      <c r="PFL1331" s="1072"/>
      <c r="PFM1331" s="1072"/>
      <c r="PFN1331" s="1072"/>
      <c r="PFO1331" s="1072"/>
      <c r="PFP1331" s="1072"/>
      <c r="PFQ1331" s="1072"/>
      <c r="PFR1331" s="1072"/>
      <c r="PFS1331" s="1072"/>
      <c r="PFT1331" s="1072"/>
      <c r="PFU1331" s="1072"/>
      <c r="PFV1331" s="1072"/>
      <c r="PFW1331" s="1072"/>
      <c r="PFX1331" s="1072"/>
      <c r="PFY1331" s="1072"/>
      <c r="PFZ1331" s="1072"/>
      <c r="PGA1331" s="1072"/>
      <c r="PGB1331" s="1072"/>
      <c r="PGC1331" s="1072"/>
      <c r="PGD1331" s="1072"/>
      <c r="PGE1331" s="1072"/>
      <c r="PGF1331" s="1072"/>
      <c r="PGG1331" s="1072"/>
      <c r="PGH1331" s="1072"/>
      <c r="PGI1331" s="1072"/>
      <c r="PGJ1331" s="1072"/>
      <c r="PGK1331" s="1072"/>
      <c r="PGL1331" s="1072"/>
      <c r="PGM1331" s="1072"/>
      <c r="PGN1331" s="1072"/>
      <c r="PGO1331" s="1072"/>
      <c r="PGP1331" s="1072"/>
      <c r="PGQ1331" s="1072"/>
      <c r="PGR1331" s="1072"/>
      <c r="PGS1331" s="1072"/>
      <c r="PGT1331" s="1072"/>
      <c r="PGU1331" s="1072"/>
      <c r="PGV1331" s="1072"/>
      <c r="PGW1331" s="1072"/>
      <c r="PGX1331" s="1072"/>
      <c r="PGY1331" s="1072"/>
      <c r="PGZ1331" s="1072"/>
      <c r="PHA1331" s="1072"/>
      <c r="PHB1331" s="1072"/>
      <c r="PHC1331" s="1072"/>
      <c r="PHD1331" s="1072"/>
      <c r="PHE1331" s="1072"/>
      <c r="PHF1331" s="1072"/>
      <c r="PHG1331" s="1072"/>
      <c r="PHH1331" s="1072"/>
      <c r="PHI1331" s="1072"/>
      <c r="PHJ1331" s="1072"/>
      <c r="PHK1331" s="1072"/>
      <c r="PHL1331" s="1072"/>
      <c r="PHM1331" s="1072"/>
      <c r="PHN1331" s="1072"/>
      <c r="PHO1331" s="1072"/>
      <c r="PHP1331" s="1072"/>
      <c r="PHQ1331" s="1072"/>
      <c r="PHR1331" s="1072"/>
      <c r="PHS1331" s="1072"/>
      <c r="PHT1331" s="1072"/>
      <c r="PHU1331" s="1072"/>
      <c r="PHV1331" s="1072"/>
      <c r="PHW1331" s="1072"/>
      <c r="PHX1331" s="1072"/>
      <c r="PHY1331" s="1072"/>
      <c r="PHZ1331" s="1072"/>
      <c r="PIA1331" s="1072"/>
      <c r="PIB1331" s="1072"/>
      <c r="PIC1331" s="1072"/>
      <c r="PID1331" s="1072"/>
      <c r="PIE1331" s="1072"/>
      <c r="PIF1331" s="1072"/>
      <c r="PIG1331" s="1072"/>
      <c r="PIH1331" s="1072"/>
      <c r="PII1331" s="1072"/>
      <c r="PIJ1331" s="1072"/>
      <c r="PIK1331" s="1072"/>
      <c r="PIL1331" s="1072"/>
      <c r="PIM1331" s="1072"/>
      <c r="PIN1331" s="1072"/>
      <c r="PIO1331" s="1072"/>
      <c r="PIP1331" s="1072"/>
      <c r="PIQ1331" s="1072"/>
      <c r="PIR1331" s="1072"/>
      <c r="PIS1331" s="1072"/>
      <c r="PIT1331" s="1072"/>
      <c r="PIU1331" s="1072"/>
      <c r="PIV1331" s="1072"/>
      <c r="PIW1331" s="1072"/>
      <c r="PIX1331" s="1072"/>
      <c r="PIY1331" s="1072"/>
      <c r="PIZ1331" s="1072"/>
      <c r="PJA1331" s="1072"/>
      <c r="PJB1331" s="1072"/>
      <c r="PJC1331" s="1072"/>
      <c r="PJD1331" s="1072"/>
      <c r="PJE1331" s="1072"/>
      <c r="PJF1331" s="1072"/>
      <c r="PJG1331" s="1072"/>
      <c r="PJH1331" s="1072"/>
      <c r="PJI1331" s="1072"/>
      <c r="PJJ1331" s="1072"/>
      <c r="PJK1331" s="1072"/>
      <c r="PJL1331" s="1072"/>
      <c r="PJM1331" s="1072"/>
      <c r="PJN1331" s="1072"/>
      <c r="PJO1331" s="1072"/>
      <c r="PJP1331" s="1072"/>
      <c r="PJQ1331" s="1072"/>
      <c r="PJR1331" s="1072"/>
      <c r="PJS1331" s="1072"/>
      <c r="PJT1331" s="1072"/>
      <c r="PJU1331" s="1072"/>
      <c r="PJV1331" s="1072"/>
      <c r="PJW1331" s="1072"/>
      <c r="PJX1331" s="1072"/>
      <c r="PJY1331" s="1072"/>
      <c r="PJZ1331" s="1072"/>
      <c r="PKA1331" s="1072"/>
      <c r="PKB1331" s="1072"/>
      <c r="PKC1331" s="1072"/>
      <c r="PKD1331" s="1072"/>
      <c r="PKE1331" s="1072"/>
      <c r="PKF1331" s="1072"/>
      <c r="PKG1331" s="1072"/>
      <c r="PKH1331" s="1072"/>
      <c r="PKI1331" s="1072"/>
      <c r="PKJ1331" s="1072"/>
      <c r="PKK1331" s="1072"/>
      <c r="PKL1331" s="1072"/>
      <c r="PKM1331" s="1072"/>
      <c r="PKN1331" s="1072"/>
      <c r="PKO1331" s="1072"/>
      <c r="PKP1331" s="1072"/>
      <c r="PKQ1331" s="1072"/>
      <c r="PKR1331" s="1072"/>
      <c r="PKS1331" s="1072"/>
      <c r="PKT1331" s="1072"/>
      <c r="PKU1331" s="1072"/>
      <c r="PKV1331" s="1072"/>
      <c r="PKW1331" s="1072"/>
      <c r="PKX1331" s="1072"/>
      <c r="PKY1331" s="1072"/>
      <c r="PKZ1331" s="1072"/>
      <c r="PLA1331" s="1072"/>
      <c r="PLB1331" s="1072"/>
      <c r="PLC1331" s="1072"/>
      <c r="PLD1331" s="1072"/>
      <c r="PLE1331" s="1072"/>
      <c r="PLF1331" s="1072"/>
      <c r="PLG1331" s="1072"/>
      <c r="PLH1331" s="1072"/>
      <c r="PLI1331" s="1072"/>
      <c r="PLJ1331" s="1072"/>
      <c r="PLK1331" s="1072"/>
      <c r="PLL1331" s="1072"/>
      <c r="PLM1331" s="1072"/>
      <c r="PLN1331" s="1072"/>
      <c r="PLO1331" s="1072"/>
      <c r="PLP1331" s="1072"/>
      <c r="PLQ1331" s="1072"/>
      <c r="PLR1331" s="1072"/>
      <c r="PLS1331" s="1072"/>
      <c r="PLT1331" s="1072"/>
      <c r="PLU1331" s="1072"/>
      <c r="PLV1331" s="1072"/>
      <c r="PLW1331" s="1072"/>
      <c r="PLX1331" s="1072"/>
      <c r="PLY1331" s="1072"/>
      <c r="PLZ1331" s="1072"/>
      <c r="PMA1331" s="1072"/>
      <c r="PMB1331" s="1072"/>
      <c r="PMC1331" s="1072"/>
      <c r="PMD1331" s="1072"/>
      <c r="PME1331" s="1072"/>
      <c r="PMF1331" s="1072"/>
      <c r="PMG1331" s="1072"/>
      <c r="PMH1331" s="1072"/>
      <c r="PMI1331" s="1072"/>
      <c r="PMJ1331" s="1072"/>
      <c r="PMK1331" s="1072"/>
      <c r="PML1331" s="1072"/>
      <c r="PMM1331" s="1072"/>
      <c r="PMN1331" s="1072"/>
      <c r="PMO1331" s="1072"/>
      <c r="PMP1331" s="1072"/>
      <c r="PMQ1331" s="1072"/>
      <c r="PMR1331" s="1072"/>
      <c r="PMS1331" s="1072"/>
      <c r="PMT1331" s="1072"/>
      <c r="PMU1331" s="1072"/>
      <c r="PMV1331" s="1072"/>
      <c r="PMW1331" s="1072"/>
      <c r="PMX1331" s="1072"/>
      <c r="PMY1331" s="1072"/>
      <c r="PMZ1331" s="1072"/>
      <c r="PNA1331" s="1072"/>
      <c r="PNB1331" s="1072"/>
      <c r="PNC1331" s="1072"/>
      <c r="PND1331" s="1072"/>
      <c r="PNE1331" s="1072"/>
      <c r="PNF1331" s="1072"/>
      <c r="PNG1331" s="1072"/>
      <c r="PNH1331" s="1072"/>
      <c r="PNI1331" s="1072"/>
      <c r="PNJ1331" s="1072"/>
      <c r="PNK1331" s="1072"/>
      <c r="PNL1331" s="1072"/>
      <c r="PNM1331" s="1072"/>
      <c r="PNN1331" s="1072"/>
      <c r="PNO1331" s="1072"/>
      <c r="PNP1331" s="1072"/>
      <c r="PNQ1331" s="1072"/>
      <c r="PNR1331" s="1072"/>
      <c r="PNS1331" s="1072"/>
      <c r="PNT1331" s="1072"/>
      <c r="PNU1331" s="1072"/>
      <c r="PNV1331" s="1072"/>
      <c r="PNW1331" s="1072"/>
      <c r="PNX1331" s="1072"/>
      <c r="PNY1331" s="1072"/>
      <c r="PNZ1331" s="1072"/>
      <c r="POA1331" s="1072"/>
      <c r="POB1331" s="1072"/>
      <c r="POC1331" s="1072"/>
      <c r="POD1331" s="1072"/>
      <c r="POE1331" s="1072"/>
      <c r="POF1331" s="1072"/>
      <c r="POG1331" s="1072"/>
      <c r="POH1331" s="1072"/>
      <c r="POI1331" s="1072"/>
      <c r="POJ1331" s="1072"/>
      <c r="POK1331" s="1072"/>
      <c r="POL1331" s="1072"/>
      <c r="POM1331" s="1072"/>
      <c r="PON1331" s="1072"/>
      <c r="POO1331" s="1072"/>
      <c r="POP1331" s="1072"/>
      <c r="POQ1331" s="1072"/>
      <c r="POR1331" s="1072"/>
      <c r="POS1331" s="1072"/>
      <c r="POT1331" s="1072"/>
      <c r="POU1331" s="1072"/>
      <c r="POV1331" s="1072"/>
      <c r="POW1331" s="1072"/>
      <c r="POX1331" s="1072"/>
      <c r="POY1331" s="1072"/>
      <c r="POZ1331" s="1072"/>
      <c r="PPA1331" s="1072"/>
      <c r="PPB1331" s="1072"/>
      <c r="PPC1331" s="1072"/>
      <c r="PPD1331" s="1072"/>
      <c r="PPE1331" s="1072"/>
      <c r="PPF1331" s="1072"/>
      <c r="PPG1331" s="1072"/>
      <c r="PPH1331" s="1072"/>
      <c r="PPI1331" s="1072"/>
      <c r="PPJ1331" s="1072"/>
      <c r="PPK1331" s="1072"/>
      <c r="PPL1331" s="1072"/>
      <c r="PPM1331" s="1072"/>
      <c r="PPN1331" s="1072"/>
      <c r="PPO1331" s="1072"/>
      <c r="PPP1331" s="1072"/>
      <c r="PPQ1331" s="1072"/>
      <c r="PPR1331" s="1072"/>
      <c r="PPS1331" s="1072"/>
      <c r="PPT1331" s="1072"/>
      <c r="PPU1331" s="1072"/>
      <c r="PPV1331" s="1072"/>
      <c r="PPW1331" s="1072"/>
      <c r="PPX1331" s="1072"/>
      <c r="PPY1331" s="1072"/>
      <c r="PPZ1331" s="1072"/>
      <c r="PQA1331" s="1072"/>
      <c r="PQB1331" s="1072"/>
      <c r="PQC1331" s="1072"/>
      <c r="PQD1331" s="1072"/>
      <c r="PQE1331" s="1072"/>
      <c r="PQF1331" s="1072"/>
      <c r="PQG1331" s="1072"/>
      <c r="PQH1331" s="1072"/>
      <c r="PQI1331" s="1072"/>
      <c r="PQJ1331" s="1072"/>
      <c r="PQK1331" s="1072"/>
      <c r="PQL1331" s="1072"/>
      <c r="PQM1331" s="1072"/>
      <c r="PQN1331" s="1072"/>
      <c r="PQO1331" s="1072"/>
      <c r="PQP1331" s="1072"/>
      <c r="PQQ1331" s="1072"/>
      <c r="PQR1331" s="1072"/>
      <c r="PQS1331" s="1072"/>
      <c r="PQT1331" s="1072"/>
      <c r="PQU1331" s="1072"/>
      <c r="PQV1331" s="1072"/>
      <c r="PQW1331" s="1072"/>
      <c r="PQX1331" s="1072"/>
      <c r="PQY1331" s="1072"/>
      <c r="PQZ1331" s="1072"/>
      <c r="PRA1331" s="1072"/>
      <c r="PRB1331" s="1072"/>
      <c r="PRC1331" s="1072"/>
      <c r="PRD1331" s="1072"/>
      <c r="PRE1331" s="1072"/>
      <c r="PRF1331" s="1072"/>
      <c r="PRG1331" s="1072"/>
      <c r="PRH1331" s="1072"/>
      <c r="PRI1331" s="1072"/>
      <c r="PRJ1331" s="1072"/>
      <c r="PRK1331" s="1072"/>
      <c r="PRL1331" s="1072"/>
      <c r="PRM1331" s="1072"/>
      <c r="PRN1331" s="1072"/>
      <c r="PRO1331" s="1072"/>
      <c r="PRP1331" s="1072"/>
      <c r="PRQ1331" s="1072"/>
      <c r="PRR1331" s="1072"/>
      <c r="PRS1331" s="1072"/>
      <c r="PRT1331" s="1072"/>
      <c r="PRU1331" s="1072"/>
      <c r="PRV1331" s="1072"/>
      <c r="PRW1331" s="1072"/>
      <c r="PRX1331" s="1072"/>
      <c r="PRY1331" s="1072"/>
      <c r="PRZ1331" s="1072"/>
      <c r="PSA1331" s="1072"/>
      <c r="PSB1331" s="1072"/>
      <c r="PSC1331" s="1072"/>
      <c r="PSD1331" s="1072"/>
      <c r="PSE1331" s="1072"/>
      <c r="PSF1331" s="1072"/>
      <c r="PSG1331" s="1072"/>
      <c r="PSH1331" s="1072"/>
      <c r="PSI1331" s="1072"/>
      <c r="PSJ1331" s="1072"/>
      <c r="PSK1331" s="1072"/>
      <c r="PSL1331" s="1072"/>
      <c r="PSM1331" s="1072"/>
      <c r="PSN1331" s="1072"/>
      <c r="PSO1331" s="1072"/>
      <c r="PSP1331" s="1072"/>
      <c r="PSQ1331" s="1072"/>
      <c r="PSR1331" s="1072"/>
      <c r="PSS1331" s="1072"/>
      <c r="PST1331" s="1072"/>
      <c r="PSU1331" s="1072"/>
      <c r="PSV1331" s="1072"/>
      <c r="PSW1331" s="1072"/>
      <c r="PSX1331" s="1072"/>
      <c r="PSY1331" s="1072"/>
      <c r="PSZ1331" s="1072"/>
      <c r="PTA1331" s="1072"/>
      <c r="PTB1331" s="1072"/>
      <c r="PTC1331" s="1072"/>
      <c r="PTD1331" s="1072"/>
      <c r="PTE1331" s="1072"/>
      <c r="PTF1331" s="1072"/>
      <c r="PTG1331" s="1072"/>
      <c r="PTH1331" s="1072"/>
      <c r="PTI1331" s="1072"/>
      <c r="PTJ1331" s="1072"/>
      <c r="PTK1331" s="1072"/>
      <c r="PTL1331" s="1072"/>
      <c r="PTM1331" s="1072"/>
      <c r="PTN1331" s="1072"/>
      <c r="PTO1331" s="1072"/>
      <c r="PTP1331" s="1072"/>
      <c r="PTQ1331" s="1072"/>
      <c r="PTR1331" s="1072"/>
      <c r="PTS1331" s="1072"/>
      <c r="PTT1331" s="1072"/>
      <c r="PTU1331" s="1072"/>
      <c r="PTV1331" s="1072"/>
      <c r="PTW1331" s="1072"/>
      <c r="PTX1331" s="1072"/>
      <c r="PTY1331" s="1072"/>
      <c r="PTZ1331" s="1072"/>
      <c r="PUA1331" s="1072"/>
      <c r="PUB1331" s="1072"/>
      <c r="PUC1331" s="1072"/>
      <c r="PUD1331" s="1072"/>
      <c r="PUE1331" s="1072"/>
      <c r="PUF1331" s="1072"/>
      <c r="PUG1331" s="1072"/>
      <c r="PUH1331" s="1072"/>
      <c r="PUI1331" s="1072"/>
      <c r="PUJ1331" s="1072"/>
      <c r="PUK1331" s="1072"/>
      <c r="PUL1331" s="1072"/>
      <c r="PUM1331" s="1072"/>
      <c r="PUN1331" s="1072"/>
      <c r="PUO1331" s="1072"/>
      <c r="PUP1331" s="1072"/>
      <c r="PUQ1331" s="1072"/>
      <c r="PUR1331" s="1072"/>
      <c r="PUS1331" s="1072"/>
      <c r="PUT1331" s="1072"/>
      <c r="PUU1331" s="1072"/>
      <c r="PUV1331" s="1072"/>
      <c r="PUW1331" s="1072"/>
      <c r="PUX1331" s="1072"/>
      <c r="PUY1331" s="1072"/>
      <c r="PUZ1331" s="1072"/>
      <c r="PVA1331" s="1072"/>
      <c r="PVB1331" s="1072"/>
      <c r="PVC1331" s="1072"/>
      <c r="PVD1331" s="1072"/>
      <c r="PVE1331" s="1072"/>
      <c r="PVF1331" s="1072"/>
      <c r="PVG1331" s="1072"/>
      <c r="PVH1331" s="1072"/>
      <c r="PVI1331" s="1072"/>
      <c r="PVJ1331" s="1072"/>
      <c r="PVK1331" s="1072"/>
      <c r="PVL1331" s="1072"/>
      <c r="PVM1331" s="1072"/>
      <c r="PVN1331" s="1072"/>
      <c r="PVO1331" s="1072"/>
      <c r="PVP1331" s="1072"/>
      <c r="PVQ1331" s="1072"/>
      <c r="PVR1331" s="1072"/>
      <c r="PVS1331" s="1072"/>
      <c r="PVT1331" s="1072"/>
      <c r="PVU1331" s="1072"/>
      <c r="PVV1331" s="1072"/>
      <c r="PVW1331" s="1072"/>
      <c r="PVX1331" s="1072"/>
      <c r="PVY1331" s="1072"/>
      <c r="PVZ1331" s="1072"/>
      <c r="PWA1331" s="1072"/>
      <c r="PWB1331" s="1072"/>
      <c r="PWC1331" s="1072"/>
      <c r="PWD1331" s="1072"/>
      <c r="PWE1331" s="1072"/>
      <c r="PWF1331" s="1072"/>
      <c r="PWG1331" s="1072"/>
      <c r="PWH1331" s="1072"/>
      <c r="PWI1331" s="1072"/>
      <c r="PWJ1331" s="1072"/>
      <c r="PWK1331" s="1072"/>
      <c r="PWL1331" s="1072"/>
      <c r="PWM1331" s="1072"/>
      <c r="PWN1331" s="1072"/>
      <c r="PWO1331" s="1072"/>
      <c r="PWP1331" s="1072"/>
      <c r="PWQ1331" s="1072"/>
      <c r="PWR1331" s="1072"/>
      <c r="PWS1331" s="1072"/>
      <c r="PWT1331" s="1072"/>
      <c r="PWU1331" s="1072"/>
      <c r="PWV1331" s="1072"/>
      <c r="PWW1331" s="1072"/>
      <c r="PWX1331" s="1072"/>
      <c r="PWY1331" s="1072"/>
      <c r="PWZ1331" s="1072"/>
      <c r="PXA1331" s="1072"/>
      <c r="PXB1331" s="1072"/>
      <c r="PXC1331" s="1072"/>
      <c r="PXD1331" s="1072"/>
      <c r="PXE1331" s="1072"/>
      <c r="PXF1331" s="1072"/>
      <c r="PXG1331" s="1072"/>
      <c r="PXH1331" s="1072"/>
      <c r="PXI1331" s="1072"/>
      <c r="PXJ1331" s="1072"/>
      <c r="PXK1331" s="1072"/>
      <c r="PXL1331" s="1072"/>
      <c r="PXM1331" s="1072"/>
      <c r="PXN1331" s="1072"/>
      <c r="PXO1331" s="1072"/>
      <c r="PXP1331" s="1072"/>
      <c r="PXQ1331" s="1072"/>
      <c r="PXR1331" s="1072"/>
      <c r="PXS1331" s="1072"/>
      <c r="PXT1331" s="1072"/>
      <c r="PXU1331" s="1072"/>
      <c r="PXV1331" s="1072"/>
      <c r="PXW1331" s="1072"/>
      <c r="PXX1331" s="1072"/>
      <c r="PXY1331" s="1072"/>
      <c r="PXZ1331" s="1072"/>
      <c r="PYA1331" s="1072"/>
      <c r="PYB1331" s="1072"/>
      <c r="PYC1331" s="1072"/>
      <c r="PYD1331" s="1072"/>
      <c r="PYE1331" s="1072"/>
      <c r="PYF1331" s="1072"/>
      <c r="PYG1331" s="1072"/>
      <c r="PYH1331" s="1072"/>
      <c r="PYI1331" s="1072"/>
      <c r="PYJ1331" s="1072"/>
      <c r="PYK1331" s="1072"/>
      <c r="PYL1331" s="1072"/>
      <c r="PYM1331" s="1072"/>
      <c r="PYN1331" s="1072"/>
      <c r="PYO1331" s="1072"/>
      <c r="PYP1331" s="1072"/>
      <c r="PYQ1331" s="1072"/>
      <c r="PYR1331" s="1072"/>
      <c r="PYS1331" s="1072"/>
      <c r="PYT1331" s="1072"/>
      <c r="PYU1331" s="1072"/>
      <c r="PYV1331" s="1072"/>
      <c r="PYW1331" s="1072"/>
      <c r="PYX1331" s="1072"/>
      <c r="PYY1331" s="1072"/>
      <c r="PYZ1331" s="1072"/>
      <c r="PZA1331" s="1072"/>
      <c r="PZB1331" s="1072"/>
      <c r="PZC1331" s="1072"/>
      <c r="PZD1331" s="1072"/>
      <c r="PZE1331" s="1072"/>
      <c r="PZF1331" s="1072"/>
      <c r="PZG1331" s="1072"/>
      <c r="PZH1331" s="1072"/>
      <c r="PZI1331" s="1072"/>
      <c r="PZJ1331" s="1072"/>
      <c r="PZK1331" s="1072"/>
      <c r="PZL1331" s="1072"/>
      <c r="PZM1331" s="1072"/>
      <c r="PZN1331" s="1072"/>
      <c r="PZO1331" s="1072"/>
      <c r="PZP1331" s="1072"/>
      <c r="PZQ1331" s="1072"/>
      <c r="PZR1331" s="1072"/>
      <c r="PZS1331" s="1072"/>
      <c r="PZT1331" s="1072"/>
      <c r="PZU1331" s="1072"/>
      <c r="PZV1331" s="1072"/>
      <c r="PZW1331" s="1072"/>
      <c r="PZX1331" s="1072"/>
      <c r="PZY1331" s="1072"/>
      <c r="PZZ1331" s="1072"/>
      <c r="QAA1331" s="1072"/>
      <c r="QAB1331" s="1072"/>
      <c r="QAC1331" s="1072"/>
      <c r="QAD1331" s="1072"/>
      <c r="QAE1331" s="1072"/>
      <c r="QAF1331" s="1072"/>
      <c r="QAG1331" s="1072"/>
      <c r="QAH1331" s="1072"/>
      <c r="QAI1331" s="1072"/>
      <c r="QAJ1331" s="1072"/>
      <c r="QAK1331" s="1072"/>
      <c r="QAL1331" s="1072"/>
      <c r="QAM1331" s="1072"/>
      <c r="QAN1331" s="1072"/>
      <c r="QAO1331" s="1072"/>
      <c r="QAP1331" s="1072"/>
      <c r="QAQ1331" s="1072"/>
      <c r="QAR1331" s="1072"/>
      <c r="QAS1331" s="1072"/>
      <c r="QAT1331" s="1072"/>
      <c r="QAU1331" s="1072"/>
      <c r="QAV1331" s="1072"/>
      <c r="QAW1331" s="1072"/>
      <c r="QAX1331" s="1072"/>
      <c r="QAY1331" s="1072"/>
      <c r="QAZ1331" s="1072"/>
      <c r="QBA1331" s="1072"/>
      <c r="QBB1331" s="1072"/>
      <c r="QBC1331" s="1072"/>
      <c r="QBD1331" s="1072"/>
      <c r="QBE1331" s="1072"/>
      <c r="QBF1331" s="1072"/>
      <c r="QBG1331" s="1072"/>
      <c r="QBH1331" s="1072"/>
      <c r="QBI1331" s="1072"/>
      <c r="QBJ1331" s="1072"/>
      <c r="QBK1331" s="1072"/>
      <c r="QBL1331" s="1072"/>
      <c r="QBM1331" s="1072"/>
      <c r="QBN1331" s="1072"/>
      <c r="QBO1331" s="1072"/>
      <c r="QBP1331" s="1072"/>
      <c r="QBQ1331" s="1072"/>
      <c r="QBR1331" s="1072"/>
      <c r="QBS1331" s="1072"/>
      <c r="QBT1331" s="1072"/>
      <c r="QBU1331" s="1072"/>
      <c r="QBV1331" s="1072"/>
      <c r="QBW1331" s="1072"/>
      <c r="QBX1331" s="1072"/>
      <c r="QBY1331" s="1072"/>
      <c r="QBZ1331" s="1072"/>
      <c r="QCA1331" s="1072"/>
      <c r="QCB1331" s="1072"/>
      <c r="QCC1331" s="1072"/>
      <c r="QCD1331" s="1072"/>
      <c r="QCE1331" s="1072"/>
      <c r="QCF1331" s="1072"/>
      <c r="QCG1331" s="1072"/>
      <c r="QCH1331" s="1072"/>
      <c r="QCI1331" s="1072"/>
      <c r="QCJ1331" s="1072"/>
      <c r="QCK1331" s="1072"/>
      <c r="QCL1331" s="1072"/>
      <c r="QCM1331" s="1072"/>
      <c r="QCN1331" s="1072"/>
      <c r="QCO1331" s="1072"/>
      <c r="QCP1331" s="1072"/>
      <c r="QCQ1331" s="1072"/>
      <c r="QCR1331" s="1072"/>
      <c r="QCS1331" s="1072"/>
      <c r="QCT1331" s="1072"/>
      <c r="QCU1331" s="1072"/>
      <c r="QCV1331" s="1072"/>
      <c r="QCW1331" s="1072"/>
      <c r="QCX1331" s="1072"/>
      <c r="QCY1331" s="1072"/>
      <c r="QCZ1331" s="1072"/>
      <c r="QDA1331" s="1072"/>
      <c r="QDB1331" s="1072"/>
      <c r="QDC1331" s="1072"/>
      <c r="QDD1331" s="1072"/>
      <c r="QDE1331" s="1072"/>
      <c r="QDF1331" s="1072"/>
      <c r="QDG1331" s="1072"/>
      <c r="QDH1331" s="1072"/>
      <c r="QDI1331" s="1072"/>
      <c r="QDJ1331" s="1072"/>
      <c r="QDK1331" s="1072"/>
      <c r="QDL1331" s="1072"/>
      <c r="QDM1331" s="1072"/>
      <c r="QDN1331" s="1072"/>
      <c r="QDO1331" s="1072"/>
      <c r="QDP1331" s="1072"/>
      <c r="QDQ1331" s="1072"/>
      <c r="QDR1331" s="1072"/>
      <c r="QDS1331" s="1072"/>
      <c r="QDT1331" s="1072"/>
      <c r="QDU1331" s="1072"/>
      <c r="QDV1331" s="1072"/>
      <c r="QDW1331" s="1072"/>
      <c r="QDX1331" s="1072"/>
      <c r="QDY1331" s="1072"/>
      <c r="QDZ1331" s="1072"/>
      <c r="QEA1331" s="1072"/>
      <c r="QEB1331" s="1072"/>
      <c r="QEC1331" s="1072"/>
      <c r="QED1331" s="1072"/>
      <c r="QEE1331" s="1072"/>
      <c r="QEF1331" s="1072"/>
      <c r="QEG1331" s="1072"/>
      <c r="QEH1331" s="1072"/>
      <c r="QEI1331" s="1072"/>
      <c r="QEJ1331" s="1072"/>
      <c r="QEK1331" s="1072"/>
      <c r="QEL1331" s="1072"/>
      <c r="QEM1331" s="1072"/>
      <c r="QEN1331" s="1072"/>
      <c r="QEO1331" s="1072"/>
      <c r="QEP1331" s="1072"/>
      <c r="QEQ1331" s="1072"/>
      <c r="QER1331" s="1072"/>
      <c r="QES1331" s="1072"/>
      <c r="QET1331" s="1072"/>
      <c r="QEU1331" s="1072"/>
      <c r="QEV1331" s="1072"/>
      <c r="QEW1331" s="1072"/>
      <c r="QEX1331" s="1072"/>
      <c r="QEY1331" s="1072"/>
      <c r="QEZ1331" s="1072"/>
      <c r="QFA1331" s="1072"/>
      <c r="QFB1331" s="1072"/>
      <c r="QFC1331" s="1072"/>
      <c r="QFD1331" s="1072"/>
      <c r="QFE1331" s="1072"/>
      <c r="QFF1331" s="1072"/>
      <c r="QFG1331" s="1072"/>
      <c r="QFH1331" s="1072"/>
      <c r="QFI1331" s="1072"/>
      <c r="QFJ1331" s="1072"/>
      <c r="QFK1331" s="1072"/>
      <c r="QFL1331" s="1072"/>
      <c r="QFM1331" s="1072"/>
      <c r="QFN1331" s="1072"/>
      <c r="QFO1331" s="1072"/>
      <c r="QFP1331" s="1072"/>
      <c r="QFQ1331" s="1072"/>
      <c r="QFR1331" s="1072"/>
      <c r="QFS1331" s="1072"/>
      <c r="QFT1331" s="1072"/>
      <c r="QFU1331" s="1072"/>
      <c r="QFV1331" s="1072"/>
      <c r="QFW1331" s="1072"/>
      <c r="QFX1331" s="1072"/>
      <c r="QFY1331" s="1072"/>
      <c r="QFZ1331" s="1072"/>
      <c r="QGA1331" s="1072"/>
      <c r="QGB1331" s="1072"/>
      <c r="QGC1331" s="1072"/>
      <c r="QGD1331" s="1072"/>
      <c r="QGE1331" s="1072"/>
      <c r="QGF1331" s="1072"/>
      <c r="QGG1331" s="1072"/>
      <c r="QGH1331" s="1072"/>
      <c r="QGI1331" s="1072"/>
      <c r="QGJ1331" s="1072"/>
      <c r="QGK1331" s="1072"/>
      <c r="QGL1331" s="1072"/>
      <c r="QGM1331" s="1072"/>
      <c r="QGN1331" s="1072"/>
      <c r="QGO1331" s="1072"/>
      <c r="QGP1331" s="1072"/>
      <c r="QGQ1331" s="1072"/>
      <c r="QGR1331" s="1072"/>
      <c r="QGS1331" s="1072"/>
      <c r="QGT1331" s="1072"/>
      <c r="QGU1331" s="1072"/>
      <c r="QGV1331" s="1072"/>
      <c r="QGW1331" s="1072"/>
      <c r="QGX1331" s="1072"/>
      <c r="QGY1331" s="1072"/>
      <c r="QGZ1331" s="1072"/>
      <c r="QHA1331" s="1072"/>
      <c r="QHB1331" s="1072"/>
      <c r="QHC1331" s="1072"/>
      <c r="QHD1331" s="1072"/>
      <c r="QHE1331" s="1072"/>
      <c r="QHF1331" s="1072"/>
      <c r="QHG1331" s="1072"/>
      <c r="QHH1331" s="1072"/>
      <c r="QHI1331" s="1072"/>
      <c r="QHJ1331" s="1072"/>
      <c r="QHK1331" s="1072"/>
      <c r="QHL1331" s="1072"/>
      <c r="QHM1331" s="1072"/>
      <c r="QHN1331" s="1072"/>
      <c r="QHO1331" s="1072"/>
      <c r="QHP1331" s="1072"/>
      <c r="QHQ1331" s="1072"/>
      <c r="QHR1331" s="1072"/>
      <c r="QHS1331" s="1072"/>
      <c r="QHT1331" s="1072"/>
      <c r="QHU1331" s="1072"/>
      <c r="QHV1331" s="1072"/>
      <c r="QHW1331" s="1072"/>
      <c r="QHX1331" s="1072"/>
      <c r="QHY1331" s="1072"/>
      <c r="QHZ1331" s="1072"/>
      <c r="QIA1331" s="1072"/>
      <c r="QIB1331" s="1072"/>
      <c r="QIC1331" s="1072"/>
      <c r="QID1331" s="1072"/>
      <c r="QIE1331" s="1072"/>
      <c r="QIF1331" s="1072"/>
      <c r="QIG1331" s="1072"/>
      <c r="QIH1331" s="1072"/>
      <c r="QII1331" s="1072"/>
      <c r="QIJ1331" s="1072"/>
      <c r="QIK1331" s="1072"/>
      <c r="QIL1331" s="1072"/>
      <c r="QIM1331" s="1072"/>
      <c r="QIN1331" s="1072"/>
      <c r="QIO1331" s="1072"/>
      <c r="QIP1331" s="1072"/>
      <c r="QIQ1331" s="1072"/>
      <c r="QIR1331" s="1072"/>
      <c r="QIS1331" s="1072"/>
      <c r="QIT1331" s="1072"/>
      <c r="QIU1331" s="1072"/>
      <c r="QIV1331" s="1072"/>
      <c r="QIW1331" s="1072"/>
      <c r="QIX1331" s="1072"/>
      <c r="QIY1331" s="1072"/>
      <c r="QIZ1331" s="1072"/>
      <c r="QJA1331" s="1072"/>
      <c r="QJB1331" s="1072"/>
      <c r="QJC1331" s="1072"/>
      <c r="QJD1331" s="1072"/>
      <c r="QJE1331" s="1072"/>
      <c r="QJF1331" s="1072"/>
      <c r="QJG1331" s="1072"/>
      <c r="QJH1331" s="1072"/>
      <c r="QJI1331" s="1072"/>
      <c r="QJJ1331" s="1072"/>
      <c r="QJK1331" s="1072"/>
      <c r="QJL1331" s="1072"/>
      <c r="QJM1331" s="1072"/>
      <c r="QJN1331" s="1072"/>
      <c r="QJO1331" s="1072"/>
      <c r="QJP1331" s="1072"/>
      <c r="QJQ1331" s="1072"/>
      <c r="QJR1331" s="1072"/>
      <c r="QJS1331" s="1072"/>
      <c r="QJT1331" s="1072"/>
      <c r="QJU1331" s="1072"/>
      <c r="QJV1331" s="1072"/>
      <c r="QJW1331" s="1072"/>
      <c r="QJX1331" s="1072"/>
      <c r="QJY1331" s="1072"/>
      <c r="QJZ1331" s="1072"/>
      <c r="QKA1331" s="1072"/>
      <c r="QKB1331" s="1072"/>
      <c r="QKC1331" s="1072"/>
      <c r="QKD1331" s="1072"/>
      <c r="QKE1331" s="1072"/>
      <c r="QKF1331" s="1072"/>
      <c r="QKG1331" s="1072"/>
      <c r="QKH1331" s="1072"/>
      <c r="QKI1331" s="1072"/>
      <c r="QKJ1331" s="1072"/>
      <c r="QKK1331" s="1072"/>
      <c r="QKL1331" s="1072"/>
      <c r="QKM1331" s="1072"/>
      <c r="QKN1331" s="1072"/>
      <c r="QKO1331" s="1072"/>
      <c r="QKP1331" s="1072"/>
      <c r="QKQ1331" s="1072"/>
      <c r="QKR1331" s="1072"/>
      <c r="QKS1331" s="1072"/>
      <c r="QKT1331" s="1072"/>
      <c r="QKU1331" s="1072"/>
      <c r="QKV1331" s="1072"/>
      <c r="QKW1331" s="1072"/>
      <c r="QKX1331" s="1072"/>
      <c r="QKY1331" s="1072"/>
      <c r="QKZ1331" s="1072"/>
      <c r="QLA1331" s="1072"/>
      <c r="QLB1331" s="1072"/>
      <c r="QLC1331" s="1072"/>
      <c r="QLD1331" s="1072"/>
      <c r="QLE1331" s="1072"/>
      <c r="QLF1331" s="1072"/>
      <c r="QLG1331" s="1072"/>
      <c r="QLH1331" s="1072"/>
      <c r="QLI1331" s="1072"/>
      <c r="QLJ1331" s="1072"/>
      <c r="QLK1331" s="1072"/>
      <c r="QLL1331" s="1072"/>
      <c r="QLM1331" s="1072"/>
      <c r="QLN1331" s="1072"/>
      <c r="QLO1331" s="1072"/>
      <c r="QLP1331" s="1072"/>
      <c r="QLQ1331" s="1072"/>
      <c r="QLR1331" s="1072"/>
      <c r="QLS1331" s="1072"/>
      <c r="QLT1331" s="1072"/>
      <c r="QLU1331" s="1072"/>
      <c r="QLV1331" s="1072"/>
      <c r="QLW1331" s="1072"/>
      <c r="QLX1331" s="1072"/>
      <c r="QLY1331" s="1072"/>
      <c r="QLZ1331" s="1072"/>
      <c r="QMA1331" s="1072"/>
      <c r="QMB1331" s="1072"/>
      <c r="QMC1331" s="1072"/>
      <c r="QMD1331" s="1072"/>
      <c r="QME1331" s="1072"/>
      <c r="QMF1331" s="1072"/>
      <c r="QMG1331" s="1072"/>
      <c r="QMH1331" s="1072"/>
      <c r="QMI1331" s="1072"/>
      <c r="QMJ1331" s="1072"/>
      <c r="QMK1331" s="1072"/>
      <c r="QML1331" s="1072"/>
      <c r="QMM1331" s="1072"/>
      <c r="QMN1331" s="1072"/>
      <c r="QMO1331" s="1072"/>
      <c r="QMP1331" s="1072"/>
      <c r="QMQ1331" s="1072"/>
      <c r="QMR1331" s="1072"/>
      <c r="QMS1331" s="1072"/>
      <c r="QMT1331" s="1072"/>
      <c r="QMU1331" s="1072"/>
      <c r="QMV1331" s="1072"/>
      <c r="QMW1331" s="1072"/>
      <c r="QMX1331" s="1072"/>
      <c r="QMY1331" s="1072"/>
      <c r="QMZ1331" s="1072"/>
      <c r="QNA1331" s="1072"/>
      <c r="QNB1331" s="1072"/>
      <c r="QNC1331" s="1072"/>
      <c r="QND1331" s="1072"/>
      <c r="QNE1331" s="1072"/>
      <c r="QNF1331" s="1072"/>
      <c r="QNG1331" s="1072"/>
      <c r="QNH1331" s="1072"/>
      <c r="QNI1331" s="1072"/>
      <c r="QNJ1331" s="1072"/>
      <c r="QNK1331" s="1072"/>
      <c r="QNL1331" s="1072"/>
      <c r="QNM1331" s="1072"/>
      <c r="QNN1331" s="1072"/>
      <c r="QNO1331" s="1072"/>
      <c r="QNP1331" s="1072"/>
      <c r="QNQ1331" s="1072"/>
      <c r="QNR1331" s="1072"/>
      <c r="QNS1331" s="1072"/>
      <c r="QNT1331" s="1072"/>
      <c r="QNU1331" s="1072"/>
      <c r="QNV1331" s="1072"/>
      <c r="QNW1331" s="1072"/>
      <c r="QNX1331" s="1072"/>
      <c r="QNY1331" s="1072"/>
      <c r="QNZ1331" s="1072"/>
      <c r="QOA1331" s="1072"/>
      <c r="QOB1331" s="1072"/>
      <c r="QOC1331" s="1072"/>
      <c r="QOD1331" s="1072"/>
      <c r="QOE1331" s="1072"/>
      <c r="QOF1331" s="1072"/>
      <c r="QOG1331" s="1072"/>
      <c r="QOH1331" s="1072"/>
      <c r="QOI1331" s="1072"/>
      <c r="QOJ1331" s="1072"/>
      <c r="QOK1331" s="1072"/>
      <c r="QOL1331" s="1072"/>
      <c r="QOM1331" s="1072"/>
      <c r="QON1331" s="1072"/>
      <c r="QOO1331" s="1072"/>
      <c r="QOP1331" s="1072"/>
      <c r="QOQ1331" s="1072"/>
      <c r="QOR1331" s="1072"/>
      <c r="QOS1331" s="1072"/>
      <c r="QOT1331" s="1072"/>
      <c r="QOU1331" s="1072"/>
      <c r="QOV1331" s="1072"/>
      <c r="QOW1331" s="1072"/>
      <c r="QOX1331" s="1072"/>
      <c r="QOY1331" s="1072"/>
      <c r="QOZ1331" s="1072"/>
      <c r="QPA1331" s="1072"/>
      <c r="QPB1331" s="1072"/>
      <c r="QPC1331" s="1072"/>
      <c r="QPD1331" s="1072"/>
      <c r="QPE1331" s="1072"/>
      <c r="QPF1331" s="1072"/>
      <c r="QPG1331" s="1072"/>
      <c r="QPH1331" s="1072"/>
      <c r="QPI1331" s="1072"/>
      <c r="QPJ1331" s="1072"/>
      <c r="QPK1331" s="1072"/>
      <c r="QPL1331" s="1072"/>
      <c r="QPM1331" s="1072"/>
      <c r="QPN1331" s="1072"/>
      <c r="QPO1331" s="1072"/>
      <c r="QPP1331" s="1072"/>
      <c r="QPQ1331" s="1072"/>
      <c r="QPR1331" s="1072"/>
      <c r="QPS1331" s="1072"/>
      <c r="QPT1331" s="1072"/>
      <c r="QPU1331" s="1072"/>
      <c r="QPV1331" s="1072"/>
      <c r="QPW1331" s="1072"/>
      <c r="QPX1331" s="1072"/>
      <c r="QPY1331" s="1072"/>
      <c r="QPZ1331" s="1072"/>
      <c r="QQA1331" s="1072"/>
      <c r="QQB1331" s="1072"/>
      <c r="QQC1331" s="1072"/>
      <c r="QQD1331" s="1072"/>
      <c r="QQE1331" s="1072"/>
      <c r="QQF1331" s="1072"/>
      <c r="QQG1331" s="1072"/>
      <c r="QQH1331" s="1072"/>
      <c r="QQI1331" s="1072"/>
      <c r="QQJ1331" s="1072"/>
      <c r="QQK1331" s="1072"/>
      <c r="QQL1331" s="1072"/>
      <c r="QQM1331" s="1072"/>
      <c r="QQN1331" s="1072"/>
      <c r="QQO1331" s="1072"/>
      <c r="QQP1331" s="1072"/>
      <c r="QQQ1331" s="1072"/>
      <c r="QQR1331" s="1072"/>
      <c r="QQS1331" s="1072"/>
      <c r="QQT1331" s="1072"/>
      <c r="QQU1331" s="1072"/>
      <c r="QQV1331" s="1072"/>
      <c r="QQW1331" s="1072"/>
      <c r="QQX1331" s="1072"/>
      <c r="QQY1331" s="1072"/>
      <c r="QQZ1331" s="1072"/>
      <c r="QRA1331" s="1072"/>
      <c r="QRB1331" s="1072"/>
      <c r="QRC1331" s="1072"/>
      <c r="QRD1331" s="1072"/>
      <c r="QRE1331" s="1072"/>
      <c r="QRF1331" s="1072"/>
      <c r="QRG1331" s="1072"/>
      <c r="QRH1331" s="1072"/>
      <c r="QRI1331" s="1072"/>
      <c r="QRJ1331" s="1072"/>
      <c r="QRK1331" s="1072"/>
      <c r="QRL1331" s="1072"/>
      <c r="QRM1331" s="1072"/>
      <c r="QRN1331" s="1072"/>
      <c r="QRO1331" s="1072"/>
      <c r="QRP1331" s="1072"/>
      <c r="QRQ1331" s="1072"/>
      <c r="QRR1331" s="1072"/>
      <c r="QRS1331" s="1072"/>
      <c r="QRT1331" s="1072"/>
      <c r="QRU1331" s="1072"/>
      <c r="QRV1331" s="1072"/>
      <c r="QRW1331" s="1072"/>
      <c r="QRX1331" s="1072"/>
      <c r="QRY1331" s="1072"/>
      <c r="QRZ1331" s="1072"/>
      <c r="QSA1331" s="1072"/>
      <c r="QSB1331" s="1072"/>
      <c r="QSC1331" s="1072"/>
      <c r="QSD1331" s="1072"/>
      <c r="QSE1331" s="1072"/>
      <c r="QSF1331" s="1072"/>
      <c r="QSG1331" s="1072"/>
      <c r="QSH1331" s="1072"/>
      <c r="QSI1331" s="1072"/>
      <c r="QSJ1331" s="1072"/>
      <c r="QSK1331" s="1072"/>
      <c r="QSL1331" s="1072"/>
      <c r="QSM1331" s="1072"/>
      <c r="QSN1331" s="1072"/>
      <c r="QSO1331" s="1072"/>
      <c r="QSP1331" s="1072"/>
      <c r="QSQ1331" s="1072"/>
      <c r="QSR1331" s="1072"/>
      <c r="QSS1331" s="1072"/>
      <c r="QST1331" s="1072"/>
      <c r="QSU1331" s="1072"/>
      <c r="QSV1331" s="1072"/>
      <c r="QSW1331" s="1072"/>
      <c r="QSX1331" s="1072"/>
      <c r="QSY1331" s="1072"/>
      <c r="QSZ1331" s="1072"/>
      <c r="QTA1331" s="1072"/>
      <c r="QTB1331" s="1072"/>
      <c r="QTC1331" s="1072"/>
      <c r="QTD1331" s="1072"/>
      <c r="QTE1331" s="1072"/>
      <c r="QTF1331" s="1072"/>
      <c r="QTG1331" s="1072"/>
      <c r="QTH1331" s="1072"/>
      <c r="QTI1331" s="1072"/>
      <c r="QTJ1331" s="1072"/>
      <c r="QTK1331" s="1072"/>
      <c r="QTL1331" s="1072"/>
      <c r="QTM1331" s="1072"/>
      <c r="QTN1331" s="1072"/>
      <c r="QTO1331" s="1072"/>
      <c r="QTP1331" s="1072"/>
      <c r="QTQ1331" s="1072"/>
      <c r="QTR1331" s="1072"/>
      <c r="QTS1331" s="1072"/>
      <c r="QTT1331" s="1072"/>
      <c r="QTU1331" s="1072"/>
      <c r="QTV1331" s="1072"/>
      <c r="QTW1331" s="1072"/>
      <c r="QTX1331" s="1072"/>
      <c r="QTY1331" s="1072"/>
      <c r="QTZ1331" s="1072"/>
      <c r="QUA1331" s="1072"/>
      <c r="QUB1331" s="1072"/>
      <c r="QUC1331" s="1072"/>
      <c r="QUD1331" s="1072"/>
      <c r="QUE1331" s="1072"/>
      <c r="QUF1331" s="1072"/>
      <c r="QUG1331" s="1072"/>
      <c r="QUH1331" s="1072"/>
      <c r="QUI1331" s="1072"/>
      <c r="QUJ1331" s="1072"/>
      <c r="QUK1331" s="1072"/>
      <c r="QUL1331" s="1072"/>
      <c r="QUM1331" s="1072"/>
      <c r="QUN1331" s="1072"/>
      <c r="QUO1331" s="1072"/>
      <c r="QUP1331" s="1072"/>
      <c r="QUQ1331" s="1072"/>
      <c r="QUR1331" s="1072"/>
      <c r="QUS1331" s="1072"/>
      <c r="QUT1331" s="1072"/>
      <c r="QUU1331" s="1072"/>
      <c r="QUV1331" s="1072"/>
      <c r="QUW1331" s="1072"/>
      <c r="QUX1331" s="1072"/>
      <c r="QUY1331" s="1072"/>
      <c r="QUZ1331" s="1072"/>
      <c r="QVA1331" s="1072"/>
      <c r="QVB1331" s="1072"/>
      <c r="QVC1331" s="1072"/>
      <c r="QVD1331" s="1072"/>
      <c r="QVE1331" s="1072"/>
      <c r="QVF1331" s="1072"/>
      <c r="QVG1331" s="1072"/>
      <c r="QVH1331" s="1072"/>
      <c r="QVI1331" s="1072"/>
      <c r="QVJ1331" s="1072"/>
      <c r="QVK1331" s="1072"/>
      <c r="QVL1331" s="1072"/>
      <c r="QVM1331" s="1072"/>
      <c r="QVN1331" s="1072"/>
      <c r="QVO1331" s="1072"/>
      <c r="QVP1331" s="1072"/>
      <c r="QVQ1331" s="1072"/>
      <c r="QVR1331" s="1072"/>
      <c r="QVS1331" s="1072"/>
      <c r="QVT1331" s="1072"/>
      <c r="QVU1331" s="1072"/>
      <c r="QVV1331" s="1072"/>
      <c r="QVW1331" s="1072"/>
      <c r="QVX1331" s="1072"/>
      <c r="QVY1331" s="1072"/>
      <c r="QVZ1331" s="1072"/>
      <c r="QWA1331" s="1072"/>
      <c r="QWB1331" s="1072"/>
      <c r="QWC1331" s="1072"/>
      <c r="QWD1331" s="1072"/>
      <c r="QWE1331" s="1072"/>
      <c r="QWF1331" s="1072"/>
      <c r="QWG1331" s="1072"/>
      <c r="QWH1331" s="1072"/>
      <c r="QWI1331" s="1072"/>
      <c r="QWJ1331" s="1072"/>
      <c r="QWK1331" s="1072"/>
      <c r="QWL1331" s="1072"/>
      <c r="QWM1331" s="1072"/>
      <c r="QWN1331" s="1072"/>
      <c r="QWO1331" s="1072"/>
      <c r="QWP1331" s="1072"/>
      <c r="QWQ1331" s="1072"/>
      <c r="QWR1331" s="1072"/>
      <c r="QWS1331" s="1072"/>
      <c r="QWT1331" s="1072"/>
      <c r="QWU1331" s="1072"/>
      <c r="QWV1331" s="1072"/>
      <c r="QWW1331" s="1072"/>
      <c r="QWX1331" s="1072"/>
      <c r="QWY1331" s="1072"/>
      <c r="QWZ1331" s="1072"/>
      <c r="QXA1331" s="1072"/>
      <c r="QXB1331" s="1072"/>
      <c r="QXC1331" s="1072"/>
      <c r="QXD1331" s="1072"/>
      <c r="QXE1331" s="1072"/>
      <c r="QXF1331" s="1072"/>
      <c r="QXG1331" s="1072"/>
      <c r="QXH1331" s="1072"/>
      <c r="QXI1331" s="1072"/>
      <c r="QXJ1331" s="1072"/>
      <c r="QXK1331" s="1072"/>
      <c r="QXL1331" s="1072"/>
      <c r="QXM1331" s="1072"/>
      <c r="QXN1331" s="1072"/>
      <c r="QXO1331" s="1072"/>
      <c r="QXP1331" s="1072"/>
      <c r="QXQ1331" s="1072"/>
      <c r="QXR1331" s="1072"/>
      <c r="QXS1331" s="1072"/>
      <c r="QXT1331" s="1072"/>
      <c r="QXU1331" s="1072"/>
      <c r="QXV1331" s="1072"/>
      <c r="QXW1331" s="1072"/>
      <c r="QXX1331" s="1072"/>
      <c r="QXY1331" s="1072"/>
      <c r="QXZ1331" s="1072"/>
      <c r="QYA1331" s="1072"/>
      <c r="QYB1331" s="1072"/>
      <c r="QYC1331" s="1072"/>
      <c r="QYD1331" s="1072"/>
      <c r="QYE1331" s="1072"/>
      <c r="QYF1331" s="1072"/>
      <c r="QYG1331" s="1072"/>
      <c r="QYH1331" s="1072"/>
      <c r="QYI1331" s="1072"/>
      <c r="QYJ1331" s="1072"/>
      <c r="QYK1331" s="1072"/>
      <c r="QYL1331" s="1072"/>
      <c r="QYM1331" s="1072"/>
      <c r="QYN1331" s="1072"/>
      <c r="QYO1331" s="1072"/>
      <c r="QYP1331" s="1072"/>
      <c r="QYQ1331" s="1072"/>
      <c r="QYR1331" s="1072"/>
      <c r="QYS1331" s="1072"/>
      <c r="QYT1331" s="1072"/>
      <c r="QYU1331" s="1072"/>
      <c r="QYV1331" s="1072"/>
      <c r="QYW1331" s="1072"/>
      <c r="QYX1331" s="1072"/>
      <c r="QYY1331" s="1072"/>
      <c r="QYZ1331" s="1072"/>
      <c r="QZA1331" s="1072"/>
      <c r="QZB1331" s="1072"/>
      <c r="QZC1331" s="1072"/>
      <c r="QZD1331" s="1072"/>
      <c r="QZE1331" s="1072"/>
      <c r="QZF1331" s="1072"/>
      <c r="QZG1331" s="1072"/>
      <c r="QZH1331" s="1072"/>
      <c r="QZI1331" s="1072"/>
      <c r="QZJ1331" s="1072"/>
      <c r="QZK1331" s="1072"/>
      <c r="QZL1331" s="1072"/>
      <c r="QZM1331" s="1072"/>
      <c r="QZN1331" s="1072"/>
      <c r="QZO1331" s="1072"/>
      <c r="QZP1331" s="1072"/>
      <c r="QZQ1331" s="1072"/>
      <c r="QZR1331" s="1072"/>
      <c r="QZS1331" s="1072"/>
      <c r="QZT1331" s="1072"/>
      <c r="QZU1331" s="1072"/>
      <c r="QZV1331" s="1072"/>
      <c r="QZW1331" s="1072"/>
      <c r="QZX1331" s="1072"/>
      <c r="QZY1331" s="1072"/>
      <c r="QZZ1331" s="1072"/>
      <c r="RAA1331" s="1072"/>
      <c r="RAB1331" s="1072"/>
      <c r="RAC1331" s="1072"/>
      <c r="RAD1331" s="1072"/>
      <c r="RAE1331" s="1072"/>
      <c r="RAF1331" s="1072"/>
      <c r="RAG1331" s="1072"/>
      <c r="RAH1331" s="1072"/>
      <c r="RAI1331" s="1072"/>
      <c r="RAJ1331" s="1072"/>
      <c r="RAK1331" s="1072"/>
      <c r="RAL1331" s="1072"/>
      <c r="RAM1331" s="1072"/>
      <c r="RAN1331" s="1072"/>
      <c r="RAO1331" s="1072"/>
      <c r="RAP1331" s="1072"/>
      <c r="RAQ1331" s="1072"/>
      <c r="RAR1331" s="1072"/>
      <c r="RAS1331" s="1072"/>
      <c r="RAT1331" s="1072"/>
      <c r="RAU1331" s="1072"/>
      <c r="RAV1331" s="1072"/>
      <c r="RAW1331" s="1072"/>
      <c r="RAX1331" s="1072"/>
      <c r="RAY1331" s="1072"/>
      <c r="RAZ1331" s="1072"/>
      <c r="RBA1331" s="1072"/>
      <c r="RBB1331" s="1072"/>
      <c r="RBC1331" s="1072"/>
      <c r="RBD1331" s="1072"/>
      <c r="RBE1331" s="1072"/>
      <c r="RBF1331" s="1072"/>
      <c r="RBG1331" s="1072"/>
      <c r="RBH1331" s="1072"/>
      <c r="RBI1331" s="1072"/>
      <c r="RBJ1331" s="1072"/>
      <c r="RBK1331" s="1072"/>
      <c r="RBL1331" s="1072"/>
      <c r="RBM1331" s="1072"/>
      <c r="RBN1331" s="1072"/>
      <c r="RBO1331" s="1072"/>
      <c r="RBP1331" s="1072"/>
      <c r="RBQ1331" s="1072"/>
      <c r="RBR1331" s="1072"/>
      <c r="RBS1331" s="1072"/>
      <c r="RBT1331" s="1072"/>
      <c r="RBU1331" s="1072"/>
      <c r="RBV1331" s="1072"/>
      <c r="RBW1331" s="1072"/>
      <c r="RBX1331" s="1072"/>
      <c r="RBY1331" s="1072"/>
      <c r="RBZ1331" s="1072"/>
      <c r="RCA1331" s="1072"/>
      <c r="RCB1331" s="1072"/>
      <c r="RCC1331" s="1072"/>
      <c r="RCD1331" s="1072"/>
      <c r="RCE1331" s="1072"/>
      <c r="RCF1331" s="1072"/>
      <c r="RCG1331" s="1072"/>
      <c r="RCH1331" s="1072"/>
      <c r="RCI1331" s="1072"/>
      <c r="RCJ1331" s="1072"/>
      <c r="RCK1331" s="1072"/>
      <c r="RCL1331" s="1072"/>
      <c r="RCM1331" s="1072"/>
      <c r="RCN1331" s="1072"/>
      <c r="RCO1331" s="1072"/>
      <c r="RCP1331" s="1072"/>
      <c r="RCQ1331" s="1072"/>
      <c r="RCR1331" s="1072"/>
      <c r="RCS1331" s="1072"/>
      <c r="RCT1331" s="1072"/>
      <c r="RCU1331" s="1072"/>
      <c r="RCV1331" s="1072"/>
      <c r="RCW1331" s="1072"/>
      <c r="RCX1331" s="1072"/>
      <c r="RCY1331" s="1072"/>
      <c r="RCZ1331" s="1072"/>
      <c r="RDA1331" s="1072"/>
      <c r="RDB1331" s="1072"/>
      <c r="RDC1331" s="1072"/>
      <c r="RDD1331" s="1072"/>
      <c r="RDE1331" s="1072"/>
      <c r="RDF1331" s="1072"/>
      <c r="RDG1331" s="1072"/>
      <c r="RDH1331" s="1072"/>
      <c r="RDI1331" s="1072"/>
      <c r="RDJ1331" s="1072"/>
      <c r="RDK1331" s="1072"/>
      <c r="RDL1331" s="1072"/>
      <c r="RDM1331" s="1072"/>
      <c r="RDN1331" s="1072"/>
      <c r="RDO1331" s="1072"/>
      <c r="RDP1331" s="1072"/>
      <c r="RDQ1331" s="1072"/>
      <c r="RDR1331" s="1072"/>
      <c r="RDS1331" s="1072"/>
      <c r="RDT1331" s="1072"/>
      <c r="RDU1331" s="1072"/>
      <c r="RDV1331" s="1072"/>
      <c r="RDW1331" s="1072"/>
      <c r="RDX1331" s="1072"/>
      <c r="RDY1331" s="1072"/>
      <c r="RDZ1331" s="1072"/>
      <c r="REA1331" s="1072"/>
      <c r="REB1331" s="1072"/>
      <c r="REC1331" s="1072"/>
      <c r="RED1331" s="1072"/>
      <c r="REE1331" s="1072"/>
      <c r="REF1331" s="1072"/>
      <c r="REG1331" s="1072"/>
      <c r="REH1331" s="1072"/>
      <c r="REI1331" s="1072"/>
      <c r="REJ1331" s="1072"/>
      <c r="REK1331" s="1072"/>
      <c r="REL1331" s="1072"/>
      <c r="REM1331" s="1072"/>
      <c r="REN1331" s="1072"/>
      <c r="REO1331" s="1072"/>
      <c r="REP1331" s="1072"/>
      <c r="REQ1331" s="1072"/>
      <c r="RER1331" s="1072"/>
      <c r="RES1331" s="1072"/>
      <c r="RET1331" s="1072"/>
      <c r="REU1331" s="1072"/>
      <c r="REV1331" s="1072"/>
      <c r="REW1331" s="1072"/>
      <c r="REX1331" s="1072"/>
      <c r="REY1331" s="1072"/>
      <c r="REZ1331" s="1072"/>
      <c r="RFA1331" s="1072"/>
      <c r="RFB1331" s="1072"/>
      <c r="RFC1331" s="1072"/>
      <c r="RFD1331" s="1072"/>
      <c r="RFE1331" s="1072"/>
      <c r="RFF1331" s="1072"/>
      <c r="RFG1331" s="1072"/>
      <c r="RFH1331" s="1072"/>
      <c r="RFI1331" s="1072"/>
      <c r="RFJ1331" s="1072"/>
      <c r="RFK1331" s="1072"/>
      <c r="RFL1331" s="1072"/>
      <c r="RFM1331" s="1072"/>
      <c r="RFN1331" s="1072"/>
      <c r="RFO1331" s="1072"/>
      <c r="RFP1331" s="1072"/>
      <c r="RFQ1331" s="1072"/>
      <c r="RFR1331" s="1072"/>
      <c r="RFS1331" s="1072"/>
      <c r="RFT1331" s="1072"/>
      <c r="RFU1331" s="1072"/>
      <c r="RFV1331" s="1072"/>
      <c r="RFW1331" s="1072"/>
      <c r="RFX1331" s="1072"/>
      <c r="RFY1331" s="1072"/>
      <c r="RFZ1331" s="1072"/>
      <c r="RGA1331" s="1072"/>
      <c r="RGB1331" s="1072"/>
      <c r="RGC1331" s="1072"/>
      <c r="RGD1331" s="1072"/>
      <c r="RGE1331" s="1072"/>
      <c r="RGF1331" s="1072"/>
      <c r="RGG1331" s="1072"/>
      <c r="RGH1331" s="1072"/>
      <c r="RGI1331" s="1072"/>
      <c r="RGJ1331" s="1072"/>
      <c r="RGK1331" s="1072"/>
      <c r="RGL1331" s="1072"/>
      <c r="RGM1331" s="1072"/>
      <c r="RGN1331" s="1072"/>
      <c r="RGO1331" s="1072"/>
      <c r="RGP1331" s="1072"/>
      <c r="RGQ1331" s="1072"/>
      <c r="RGR1331" s="1072"/>
      <c r="RGS1331" s="1072"/>
      <c r="RGT1331" s="1072"/>
      <c r="RGU1331" s="1072"/>
      <c r="RGV1331" s="1072"/>
      <c r="RGW1331" s="1072"/>
      <c r="RGX1331" s="1072"/>
      <c r="RGY1331" s="1072"/>
      <c r="RGZ1331" s="1072"/>
      <c r="RHA1331" s="1072"/>
      <c r="RHB1331" s="1072"/>
      <c r="RHC1331" s="1072"/>
      <c r="RHD1331" s="1072"/>
      <c r="RHE1331" s="1072"/>
      <c r="RHF1331" s="1072"/>
      <c r="RHG1331" s="1072"/>
      <c r="RHH1331" s="1072"/>
      <c r="RHI1331" s="1072"/>
      <c r="RHJ1331" s="1072"/>
      <c r="RHK1331" s="1072"/>
      <c r="RHL1331" s="1072"/>
      <c r="RHM1331" s="1072"/>
      <c r="RHN1331" s="1072"/>
      <c r="RHO1331" s="1072"/>
      <c r="RHP1331" s="1072"/>
      <c r="RHQ1331" s="1072"/>
      <c r="RHR1331" s="1072"/>
      <c r="RHS1331" s="1072"/>
      <c r="RHT1331" s="1072"/>
      <c r="RHU1331" s="1072"/>
      <c r="RHV1331" s="1072"/>
      <c r="RHW1331" s="1072"/>
      <c r="RHX1331" s="1072"/>
      <c r="RHY1331" s="1072"/>
      <c r="RHZ1331" s="1072"/>
      <c r="RIA1331" s="1072"/>
      <c r="RIB1331" s="1072"/>
      <c r="RIC1331" s="1072"/>
      <c r="RID1331" s="1072"/>
      <c r="RIE1331" s="1072"/>
      <c r="RIF1331" s="1072"/>
      <c r="RIG1331" s="1072"/>
      <c r="RIH1331" s="1072"/>
      <c r="RII1331" s="1072"/>
      <c r="RIJ1331" s="1072"/>
      <c r="RIK1331" s="1072"/>
      <c r="RIL1331" s="1072"/>
      <c r="RIM1331" s="1072"/>
      <c r="RIN1331" s="1072"/>
      <c r="RIO1331" s="1072"/>
      <c r="RIP1331" s="1072"/>
      <c r="RIQ1331" s="1072"/>
      <c r="RIR1331" s="1072"/>
      <c r="RIS1331" s="1072"/>
      <c r="RIT1331" s="1072"/>
      <c r="RIU1331" s="1072"/>
      <c r="RIV1331" s="1072"/>
      <c r="RIW1331" s="1072"/>
      <c r="RIX1331" s="1072"/>
      <c r="RIY1331" s="1072"/>
      <c r="RIZ1331" s="1072"/>
      <c r="RJA1331" s="1072"/>
      <c r="RJB1331" s="1072"/>
      <c r="RJC1331" s="1072"/>
      <c r="RJD1331" s="1072"/>
      <c r="RJE1331" s="1072"/>
      <c r="RJF1331" s="1072"/>
      <c r="RJG1331" s="1072"/>
      <c r="RJH1331" s="1072"/>
      <c r="RJI1331" s="1072"/>
      <c r="RJJ1331" s="1072"/>
      <c r="RJK1331" s="1072"/>
      <c r="RJL1331" s="1072"/>
      <c r="RJM1331" s="1072"/>
      <c r="RJN1331" s="1072"/>
      <c r="RJO1331" s="1072"/>
      <c r="RJP1331" s="1072"/>
      <c r="RJQ1331" s="1072"/>
      <c r="RJR1331" s="1072"/>
      <c r="RJS1331" s="1072"/>
      <c r="RJT1331" s="1072"/>
      <c r="RJU1331" s="1072"/>
      <c r="RJV1331" s="1072"/>
      <c r="RJW1331" s="1072"/>
      <c r="RJX1331" s="1072"/>
      <c r="RJY1331" s="1072"/>
      <c r="RJZ1331" s="1072"/>
      <c r="RKA1331" s="1072"/>
      <c r="RKB1331" s="1072"/>
      <c r="RKC1331" s="1072"/>
      <c r="RKD1331" s="1072"/>
      <c r="RKE1331" s="1072"/>
      <c r="RKF1331" s="1072"/>
      <c r="RKG1331" s="1072"/>
      <c r="RKH1331" s="1072"/>
      <c r="RKI1331" s="1072"/>
      <c r="RKJ1331" s="1072"/>
      <c r="RKK1331" s="1072"/>
      <c r="RKL1331" s="1072"/>
      <c r="RKM1331" s="1072"/>
      <c r="RKN1331" s="1072"/>
      <c r="RKO1331" s="1072"/>
      <c r="RKP1331" s="1072"/>
      <c r="RKQ1331" s="1072"/>
      <c r="RKR1331" s="1072"/>
      <c r="RKS1331" s="1072"/>
      <c r="RKT1331" s="1072"/>
      <c r="RKU1331" s="1072"/>
      <c r="RKV1331" s="1072"/>
      <c r="RKW1331" s="1072"/>
      <c r="RKX1331" s="1072"/>
      <c r="RKY1331" s="1072"/>
      <c r="RKZ1331" s="1072"/>
      <c r="RLA1331" s="1072"/>
      <c r="RLB1331" s="1072"/>
      <c r="RLC1331" s="1072"/>
      <c r="RLD1331" s="1072"/>
      <c r="RLE1331" s="1072"/>
      <c r="RLF1331" s="1072"/>
      <c r="RLG1331" s="1072"/>
      <c r="RLH1331" s="1072"/>
      <c r="RLI1331" s="1072"/>
      <c r="RLJ1331" s="1072"/>
      <c r="RLK1331" s="1072"/>
      <c r="RLL1331" s="1072"/>
      <c r="RLM1331" s="1072"/>
      <c r="RLN1331" s="1072"/>
      <c r="RLO1331" s="1072"/>
      <c r="RLP1331" s="1072"/>
      <c r="RLQ1331" s="1072"/>
      <c r="RLR1331" s="1072"/>
      <c r="RLS1331" s="1072"/>
      <c r="RLT1331" s="1072"/>
      <c r="RLU1331" s="1072"/>
      <c r="RLV1331" s="1072"/>
      <c r="RLW1331" s="1072"/>
      <c r="RLX1331" s="1072"/>
      <c r="RLY1331" s="1072"/>
      <c r="RLZ1331" s="1072"/>
      <c r="RMA1331" s="1072"/>
      <c r="RMB1331" s="1072"/>
      <c r="RMC1331" s="1072"/>
      <c r="RMD1331" s="1072"/>
      <c r="RME1331" s="1072"/>
      <c r="RMF1331" s="1072"/>
      <c r="RMG1331" s="1072"/>
      <c r="RMH1331" s="1072"/>
      <c r="RMI1331" s="1072"/>
      <c r="RMJ1331" s="1072"/>
      <c r="RMK1331" s="1072"/>
      <c r="RML1331" s="1072"/>
      <c r="RMM1331" s="1072"/>
      <c r="RMN1331" s="1072"/>
      <c r="RMO1331" s="1072"/>
      <c r="RMP1331" s="1072"/>
      <c r="RMQ1331" s="1072"/>
      <c r="RMR1331" s="1072"/>
      <c r="RMS1331" s="1072"/>
      <c r="RMT1331" s="1072"/>
      <c r="RMU1331" s="1072"/>
      <c r="RMV1331" s="1072"/>
      <c r="RMW1331" s="1072"/>
      <c r="RMX1331" s="1072"/>
      <c r="RMY1331" s="1072"/>
      <c r="RMZ1331" s="1072"/>
      <c r="RNA1331" s="1072"/>
      <c r="RNB1331" s="1072"/>
      <c r="RNC1331" s="1072"/>
      <c r="RND1331" s="1072"/>
      <c r="RNE1331" s="1072"/>
      <c r="RNF1331" s="1072"/>
      <c r="RNG1331" s="1072"/>
      <c r="RNH1331" s="1072"/>
      <c r="RNI1331" s="1072"/>
      <c r="RNJ1331" s="1072"/>
      <c r="RNK1331" s="1072"/>
      <c r="RNL1331" s="1072"/>
      <c r="RNM1331" s="1072"/>
      <c r="RNN1331" s="1072"/>
      <c r="RNO1331" s="1072"/>
      <c r="RNP1331" s="1072"/>
      <c r="RNQ1331" s="1072"/>
      <c r="RNR1331" s="1072"/>
      <c r="RNS1331" s="1072"/>
      <c r="RNT1331" s="1072"/>
      <c r="RNU1331" s="1072"/>
      <c r="RNV1331" s="1072"/>
      <c r="RNW1331" s="1072"/>
      <c r="RNX1331" s="1072"/>
      <c r="RNY1331" s="1072"/>
      <c r="RNZ1331" s="1072"/>
      <c r="ROA1331" s="1072"/>
      <c r="ROB1331" s="1072"/>
      <c r="ROC1331" s="1072"/>
      <c r="ROD1331" s="1072"/>
      <c r="ROE1331" s="1072"/>
      <c r="ROF1331" s="1072"/>
      <c r="ROG1331" s="1072"/>
      <c r="ROH1331" s="1072"/>
      <c r="ROI1331" s="1072"/>
      <c r="ROJ1331" s="1072"/>
      <c r="ROK1331" s="1072"/>
      <c r="ROL1331" s="1072"/>
      <c r="ROM1331" s="1072"/>
      <c r="RON1331" s="1072"/>
      <c r="ROO1331" s="1072"/>
      <c r="ROP1331" s="1072"/>
      <c r="ROQ1331" s="1072"/>
      <c r="ROR1331" s="1072"/>
      <c r="ROS1331" s="1072"/>
      <c r="ROT1331" s="1072"/>
      <c r="ROU1331" s="1072"/>
      <c r="ROV1331" s="1072"/>
      <c r="ROW1331" s="1072"/>
      <c r="ROX1331" s="1072"/>
      <c r="ROY1331" s="1072"/>
      <c r="ROZ1331" s="1072"/>
      <c r="RPA1331" s="1072"/>
      <c r="RPB1331" s="1072"/>
      <c r="RPC1331" s="1072"/>
      <c r="RPD1331" s="1072"/>
      <c r="RPE1331" s="1072"/>
      <c r="RPF1331" s="1072"/>
      <c r="RPG1331" s="1072"/>
      <c r="RPH1331" s="1072"/>
      <c r="RPI1331" s="1072"/>
      <c r="RPJ1331" s="1072"/>
      <c r="RPK1331" s="1072"/>
      <c r="RPL1331" s="1072"/>
      <c r="RPM1331" s="1072"/>
      <c r="RPN1331" s="1072"/>
      <c r="RPO1331" s="1072"/>
      <c r="RPP1331" s="1072"/>
      <c r="RPQ1331" s="1072"/>
      <c r="RPR1331" s="1072"/>
      <c r="RPS1331" s="1072"/>
      <c r="RPT1331" s="1072"/>
      <c r="RPU1331" s="1072"/>
      <c r="RPV1331" s="1072"/>
      <c r="RPW1331" s="1072"/>
      <c r="RPX1331" s="1072"/>
      <c r="RPY1331" s="1072"/>
      <c r="RPZ1331" s="1072"/>
      <c r="RQA1331" s="1072"/>
      <c r="RQB1331" s="1072"/>
      <c r="RQC1331" s="1072"/>
      <c r="RQD1331" s="1072"/>
      <c r="RQE1331" s="1072"/>
      <c r="RQF1331" s="1072"/>
      <c r="RQG1331" s="1072"/>
      <c r="RQH1331" s="1072"/>
      <c r="RQI1331" s="1072"/>
      <c r="RQJ1331" s="1072"/>
      <c r="RQK1331" s="1072"/>
      <c r="RQL1331" s="1072"/>
      <c r="RQM1331" s="1072"/>
      <c r="RQN1331" s="1072"/>
      <c r="RQO1331" s="1072"/>
      <c r="RQP1331" s="1072"/>
      <c r="RQQ1331" s="1072"/>
      <c r="RQR1331" s="1072"/>
      <c r="RQS1331" s="1072"/>
      <c r="RQT1331" s="1072"/>
      <c r="RQU1331" s="1072"/>
      <c r="RQV1331" s="1072"/>
      <c r="RQW1331" s="1072"/>
      <c r="RQX1331" s="1072"/>
      <c r="RQY1331" s="1072"/>
      <c r="RQZ1331" s="1072"/>
      <c r="RRA1331" s="1072"/>
      <c r="RRB1331" s="1072"/>
      <c r="RRC1331" s="1072"/>
      <c r="RRD1331" s="1072"/>
      <c r="RRE1331" s="1072"/>
      <c r="RRF1331" s="1072"/>
      <c r="RRG1331" s="1072"/>
      <c r="RRH1331" s="1072"/>
      <c r="RRI1331" s="1072"/>
      <c r="RRJ1331" s="1072"/>
      <c r="RRK1331" s="1072"/>
      <c r="RRL1331" s="1072"/>
      <c r="RRM1331" s="1072"/>
      <c r="RRN1331" s="1072"/>
      <c r="RRO1331" s="1072"/>
      <c r="RRP1331" s="1072"/>
      <c r="RRQ1331" s="1072"/>
      <c r="RRR1331" s="1072"/>
      <c r="RRS1331" s="1072"/>
      <c r="RRT1331" s="1072"/>
      <c r="RRU1331" s="1072"/>
      <c r="RRV1331" s="1072"/>
      <c r="RRW1331" s="1072"/>
      <c r="RRX1331" s="1072"/>
      <c r="RRY1331" s="1072"/>
      <c r="RRZ1331" s="1072"/>
      <c r="RSA1331" s="1072"/>
      <c r="RSB1331" s="1072"/>
      <c r="RSC1331" s="1072"/>
      <c r="RSD1331" s="1072"/>
      <c r="RSE1331" s="1072"/>
      <c r="RSF1331" s="1072"/>
      <c r="RSG1331" s="1072"/>
      <c r="RSH1331" s="1072"/>
      <c r="RSI1331" s="1072"/>
      <c r="RSJ1331" s="1072"/>
      <c r="RSK1331" s="1072"/>
      <c r="RSL1331" s="1072"/>
      <c r="RSM1331" s="1072"/>
      <c r="RSN1331" s="1072"/>
      <c r="RSO1331" s="1072"/>
      <c r="RSP1331" s="1072"/>
      <c r="RSQ1331" s="1072"/>
      <c r="RSR1331" s="1072"/>
      <c r="RSS1331" s="1072"/>
      <c r="RST1331" s="1072"/>
      <c r="RSU1331" s="1072"/>
      <c r="RSV1331" s="1072"/>
      <c r="RSW1331" s="1072"/>
      <c r="RSX1331" s="1072"/>
      <c r="RSY1331" s="1072"/>
      <c r="RSZ1331" s="1072"/>
      <c r="RTA1331" s="1072"/>
      <c r="RTB1331" s="1072"/>
      <c r="RTC1331" s="1072"/>
      <c r="RTD1331" s="1072"/>
      <c r="RTE1331" s="1072"/>
      <c r="RTF1331" s="1072"/>
      <c r="RTG1331" s="1072"/>
      <c r="RTH1331" s="1072"/>
      <c r="RTI1331" s="1072"/>
      <c r="RTJ1331" s="1072"/>
      <c r="RTK1331" s="1072"/>
      <c r="RTL1331" s="1072"/>
      <c r="RTM1331" s="1072"/>
      <c r="RTN1331" s="1072"/>
      <c r="RTO1331" s="1072"/>
      <c r="RTP1331" s="1072"/>
      <c r="RTQ1331" s="1072"/>
      <c r="RTR1331" s="1072"/>
      <c r="RTS1331" s="1072"/>
      <c r="RTT1331" s="1072"/>
      <c r="RTU1331" s="1072"/>
      <c r="RTV1331" s="1072"/>
      <c r="RTW1331" s="1072"/>
      <c r="RTX1331" s="1072"/>
      <c r="RTY1331" s="1072"/>
      <c r="RTZ1331" s="1072"/>
      <c r="RUA1331" s="1072"/>
      <c r="RUB1331" s="1072"/>
      <c r="RUC1331" s="1072"/>
      <c r="RUD1331" s="1072"/>
      <c r="RUE1331" s="1072"/>
      <c r="RUF1331" s="1072"/>
      <c r="RUG1331" s="1072"/>
      <c r="RUH1331" s="1072"/>
      <c r="RUI1331" s="1072"/>
      <c r="RUJ1331" s="1072"/>
      <c r="RUK1331" s="1072"/>
      <c r="RUL1331" s="1072"/>
      <c r="RUM1331" s="1072"/>
      <c r="RUN1331" s="1072"/>
      <c r="RUO1331" s="1072"/>
      <c r="RUP1331" s="1072"/>
      <c r="RUQ1331" s="1072"/>
      <c r="RUR1331" s="1072"/>
      <c r="RUS1331" s="1072"/>
      <c r="RUT1331" s="1072"/>
      <c r="RUU1331" s="1072"/>
      <c r="RUV1331" s="1072"/>
      <c r="RUW1331" s="1072"/>
      <c r="RUX1331" s="1072"/>
      <c r="RUY1331" s="1072"/>
      <c r="RUZ1331" s="1072"/>
      <c r="RVA1331" s="1072"/>
      <c r="RVB1331" s="1072"/>
      <c r="RVC1331" s="1072"/>
      <c r="RVD1331" s="1072"/>
      <c r="RVE1331" s="1072"/>
      <c r="RVF1331" s="1072"/>
      <c r="RVG1331" s="1072"/>
      <c r="RVH1331" s="1072"/>
      <c r="RVI1331" s="1072"/>
      <c r="RVJ1331" s="1072"/>
      <c r="RVK1331" s="1072"/>
      <c r="RVL1331" s="1072"/>
      <c r="RVM1331" s="1072"/>
      <c r="RVN1331" s="1072"/>
      <c r="RVO1331" s="1072"/>
      <c r="RVP1331" s="1072"/>
      <c r="RVQ1331" s="1072"/>
      <c r="RVR1331" s="1072"/>
      <c r="RVS1331" s="1072"/>
      <c r="RVT1331" s="1072"/>
      <c r="RVU1331" s="1072"/>
      <c r="RVV1331" s="1072"/>
      <c r="RVW1331" s="1072"/>
      <c r="RVX1331" s="1072"/>
      <c r="RVY1331" s="1072"/>
      <c r="RVZ1331" s="1072"/>
      <c r="RWA1331" s="1072"/>
      <c r="RWB1331" s="1072"/>
      <c r="RWC1331" s="1072"/>
      <c r="RWD1331" s="1072"/>
      <c r="RWE1331" s="1072"/>
      <c r="RWF1331" s="1072"/>
      <c r="RWG1331" s="1072"/>
      <c r="RWH1331" s="1072"/>
      <c r="RWI1331" s="1072"/>
      <c r="RWJ1331" s="1072"/>
      <c r="RWK1331" s="1072"/>
      <c r="RWL1331" s="1072"/>
      <c r="RWM1331" s="1072"/>
      <c r="RWN1331" s="1072"/>
      <c r="RWO1331" s="1072"/>
      <c r="RWP1331" s="1072"/>
      <c r="RWQ1331" s="1072"/>
      <c r="RWR1331" s="1072"/>
      <c r="RWS1331" s="1072"/>
      <c r="RWT1331" s="1072"/>
      <c r="RWU1331" s="1072"/>
      <c r="RWV1331" s="1072"/>
      <c r="RWW1331" s="1072"/>
      <c r="RWX1331" s="1072"/>
      <c r="RWY1331" s="1072"/>
      <c r="RWZ1331" s="1072"/>
      <c r="RXA1331" s="1072"/>
      <c r="RXB1331" s="1072"/>
      <c r="RXC1331" s="1072"/>
      <c r="RXD1331" s="1072"/>
      <c r="RXE1331" s="1072"/>
      <c r="RXF1331" s="1072"/>
      <c r="RXG1331" s="1072"/>
      <c r="RXH1331" s="1072"/>
      <c r="RXI1331" s="1072"/>
      <c r="RXJ1331" s="1072"/>
      <c r="RXK1331" s="1072"/>
      <c r="RXL1331" s="1072"/>
      <c r="RXM1331" s="1072"/>
      <c r="RXN1331" s="1072"/>
      <c r="RXO1331" s="1072"/>
      <c r="RXP1331" s="1072"/>
      <c r="RXQ1331" s="1072"/>
      <c r="RXR1331" s="1072"/>
      <c r="RXS1331" s="1072"/>
      <c r="RXT1331" s="1072"/>
      <c r="RXU1331" s="1072"/>
      <c r="RXV1331" s="1072"/>
      <c r="RXW1331" s="1072"/>
      <c r="RXX1331" s="1072"/>
      <c r="RXY1331" s="1072"/>
      <c r="RXZ1331" s="1072"/>
      <c r="RYA1331" s="1072"/>
      <c r="RYB1331" s="1072"/>
      <c r="RYC1331" s="1072"/>
      <c r="RYD1331" s="1072"/>
      <c r="RYE1331" s="1072"/>
      <c r="RYF1331" s="1072"/>
      <c r="RYG1331" s="1072"/>
      <c r="RYH1331" s="1072"/>
      <c r="RYI1331" s="1072"/>
      <c r="RYJ1331" s="1072"/>
      <c r="RYK1331" s="1072"/>
      <c r="RYL1331" s="1072"/>
      <c r="RYM1331" s="1072"/>
      <c r="RYN1331" s="1072"/>
      <c r="RYO1331" s="1072"/>
      <c r="RYP1331" s="1072"/>
      <c r="RYQ1331" s="1072"/>
      <c r="RYR1331" s="1072"/>
      <c r="RYS1331" s="1072"/>
      <c r="RYT1331" s="1072"/>
      <c r="RYU1331" s="1072"/>
      <c r="RYV1331" s="1072"/>
      <c r="RYW1331" s="1072"/>
      <c r="RYX1331" s="1072"/>
      <c r="RYY1331" s="1072"/>
      <c r="RYZ1331" s="1072"/>
      <c r="RZA1331" s="1072"/>
      <c r="RZB1331" s="1072"/>
      <c r="RZC1331" s="1072"/>
      <c r="RZD1331" s="1072"/>
      <c r="RZE1331" s="1072"/>
      <c r="RZF1331" s="1072"/>
      <c r="RZG1331" s="1072"/>
      <c r="RZH1331" s="1072"/>
      <c r="RZI1331" s="1072"/>
      <c r="RZJ1331" s="1072"/>
      <c r="RZK1331" s="1072"/>
      <c r="RZL1331" s="1072"/>
      <c r="RZM1331" s="1072"/>
      <c r="RZN1331" s="1072"/>
      <c r="RZO1331" s="1072"/>
      <c r="RZP1331" s="1072"/>
      <c r="RZQ1331" s="1072"/>
      <c r="RZR1331" s="1072"/>
      <c r="RZS1331" s="1072"/>
      <c r="RZT1331" s="1072"/>
      <c r="RZU1331" s="1072"/>
      <c r="RZV1331" s="1072"/>
      <c r="RZW1331" s="1072"/>
      <c r="RZX1331" s="1072"/>
      <c r="RZY1331" s="1072"/>
      <c r="RZZ1331" s="1072"/>
      <c r="SAA1331" s="1072"/>
      <c r="SAB1331" s="1072"/>
      <c r="SAC1331" s="1072"/>
      <c r="SAD1331" s="1072"/>
      <c r="SAE1331" s="1072"/>
      <c r="SAF1331" s="1072"/>
      <c r="SAG1331" s="1072"/>
      <c r="SAH1331" s="1072"/>
      <c r="SAI1331" s="1072"/>
      <c r="SAJ1331" s="1072"/>
      <c r="SAK1331" s="1072"/>
      <c r="SAL1331" s="1072"/>
      <c r="SAM1331" s="1072"/>
      <c r="SAN1331" s="1072"/>
      <c r="SAO1331" s="1072"/>
      <c r="SAP1331" s="1072"/>
      <c r="SAQ1331" s="1072"/>
      <c r="SAR1331" s="1072"/>
      <c r="SAS1331" s="1072"/>
      <c r="SAT1331" s="1072"/>
      <c r="SAU1331" s="1072"/>
      <c r="SAV1331" s="1072"/>
      <c r="SAW1331" s="1072"/>
      <c r="SAX1331" s="1072"/>
      <c r="SAY1331" s="1072"/>
      <c r="SAZ1331" s="1072"/>
      <c r="SBA1331" s="1072"/>
      <c r="SBB1331" s="1072"/>
      <c r="SBC1331" s="1072"/>
      <c r="SBD1331" s="1072"/>
      <c r="SBE1331" s="1072"/>
      <c r="SBF1331" s="1072"/>
      <c r="SBG1331" s="1072"/>
      <c r="SBH1331" s="1072"/>
      <c r="SBI1331" s="1072"/>
      <c r="SBJ1331" s="1072"/>
      <c r="SBK1331" s="1072"/>
      <c r="SBL1331" s="1072"/>
      <c r="SBM1331" s="1072"/>
      <c r="SBN1331" s="1072"/>
      <c r="SBO1331" s="1072"/>
      <c r="SBP1331" s="1072"/>
      <c r="SBQ1331" s="1072"/>
      <c r="SBR1331" s="1072"/>
      <c r="SBS1331" s="1072"/>
      <c r="SBT1331" s="1072"/>
      <c r="SBU1331" s="1072"/>
      <c r="SBV1331" s="1072"/>
      <c r="SBW1331" s="1072"/>
      <c r="SBX1331" s="1072"/>
      <c r="SBY1331" s="1072"/>
      <c r="SBZ1331" s="1072"/>
      <c r="SCA1331" s="1072"/>
      <c r="SCB1331" s="1072"/>
      <c r="SCC1331" s="1072"/>
      <c r="SCD1331" s="1072"/>
      <c r="SCE1331" s="1072"/>
      <c r="SCF1331" s="1072"/>
      <c r="SCG1331" s="1072"/>
      <c r="SCH1331" s="1072"/>
      <c r="SCI1331" s="1072"/>
      <c r="SCJ1331" s="1072"/>
      <c r="SCK1331" s="1072"/>
      <c r="SCL1331" s="1072"/>
      <c r="SCM1331" s="1072"/>
      <c r="SCN1331" s="1072"/>
      <c r="SCO1331" s="1072"/>
      <c r="SCP1331" s="1072"/>
      <c r="SCQ1331" s="1072"/>
      <c r="SCR1331" s="1072"/>
      <c r="SCS1331" s="1072"/>
      <c r="SCT1331" s="1072"/>
      <c r="SCU1331" s="1072"/>
      <c r="SCV1331" s="1072"/>
      <c r="SCW1331" s="1072"/>
      <c r="SCX1331" s="1072"/>
      <c r="SCY1331" s="1072"/>
      <c r="SCZ1331" s="1072"/>
      <c r="SDA1331" s="1072"/>
      <c r="SDB1331" s="1072"/>
      <c r="SDC1331" s="1072"/>
      <c r="SDD1331" s="1072"/>
      <c r="SDE1331" s="1072"/>
      <c r="SDF1331" s="1072"/>
      <c r="SDG1331" s="1072"/>
      <c r="SDH1331" s="1072"/>
      <c r="SDI1331" s="1072"/>
      <c r="SDJ1331" s="1072"/>
      <c r="SDK1331" s="1072"/>
      <c r="SDL1331" s="1072"/>
      <c r="SDM1331" s="1072"/>
      <c r="SDN1331" s="1072"/>
      <c r="SDO1331" s="1072"/>
      <c r="SDP1331" s="1072"/>
      <c r="SDQ1331" s="1072"/>
      <c r="SDR1331" s="1072"/>
      <c r="SDS1331" s="1072"/>
      <c r="SDT1331" s="1072"/>
      <c r="SDU1331" s="1072"/>
      <c r="SDV1331" s="1072"/>
      <c r="SDW1331" s="1072"/>
      <c r="SDX1331" s="1072"/>
      <c r="SDY1331" s="1072"/>
      <c r="SDZ1331" s="1072"/>
      <c r="SEA1331" s="1072"/>
      <c r="SEB1331" s="1072"/>
      <c r="SEC1331" s="1072"/>
      <c r="SED1331" s="1072"/>
      <c r="SEE1331" s="1072"/>
      <c r="SEF1331" s="1072"/>
      <c r="SEG1331" s="1072"/>
      <c r="SEH1331" s="1072"/>
      <c r="SEI1331" s="1072"/>
      <c r="SEJ1331" s="1072"/>
      <c r="SEK1331" s="1072"/>
      <c r="SEL1331" s="1072"/>
      <c r="SEM1331" s="1072"/>
      <c r="SEN1331" s="1072"/>
      <c r="SEO1331" s="1072"/>
      <c r="SEP1331" s="1072"/>
      <c r="SEQ1331" s="1072"/>
      <c r="SER1331" s="1072"/>
      <c r="SES1331" s="1072"/>
      <c r="SET1331" s="1072"/>
      <c r="SEU1331" s="1072"/>
      <c r="SEV1331" s="1072"/>
      <c r="SEW1331" s="1072"/>
      <c r="SEX1331" s="1072"/>
      <c r="SEY1331" s="1072"/>
      <c r="SEZ1331" s="1072"/>
      <c r="SFA1331" s="1072"/>
      <c r="SFB1331" s="1072"/>
      <c r="SFC1331" s="1072"/>
      <c r="SFD1331" s="1072"/>
      <c r="SFE1331" s="1072"/>
      <c r="SFF1331" s="1072"/>
      <c r="SFG1331" s="1072"/>
      <c r="SFH1331" s="1072"/>
      <c r="SFI1331" s="1072"/>
      <c r="SFJ1331" s="1072"/>
      <c r="SFK1331" s="1072"/>
      <c r="SFL1331" s="1072"/>
      <c r="SFM1331" s="1072"/>
      <c r="SFN1331" s="1072"/>
      <c r="SFO1331" s="1072"/>
      <c r="SFP1331" s="1072"/>
      <c r="SFQ1331" s="1072"/>
      <c r="SFR1331" s="1072"/>
      <c r="SFS1331" s="1072"/>
      <c r="SFT1331" s="1072"/>
      <c r="SFU1331" s="1072"/>
      <c r="SFV1331" s="1072"/>
      <c r="SFW1331" s="1072"/>
      <c r="SFX1331" s="1072"/>
      <c r="SFY1331" s="1072"/>
      <c r="SFZ1331" s="1072"/>
      <c r="SGA1331" s="1072"/>
      <c r="SGB1331" s="1072"/>
      <c r="SGC1331" s="1072"/>
      <c r="SGD1331" s="1072"/>
      <c r="SGE1331" s="1072"/>
      <c r="SGF1331" s="1072"/>
      <c r="SGG1331" s="1072"/>
      <c r="SGH1331" s="1072"/>
      <c r="SGI1331" s="1072"/>
      <c r="SGJ1331" s="1072"/>
      <c r="SGK1331" s="1072"/>
      <c r="SGL1331" s="1072"/>
      <c r="SGM1331" s="1072"/>
      <c r="SGN1331" s="1072"/>
      <c r="SGO1331" s="1072"/>
      <c r="SGP1331" s="1072"/>
      <c r="SGQ1331" s="1072"/>
      <c r="SGR1331" s="1072"/>
      <c r="SGS1331" s="1072"/>
      <c r="SGT1331" s="1072"/>
      <c r="SGU1331" s="1072"/>
      <c r="SGV1331" s="1072"/>
      <c r="SGW1331" s="1072"/>
      <c r="SGX1331" s="1072"/>
      <c r="SGY1331" s="1072"/>
      <c r="SGZ1331" s="1072"/>
      <c r="SHA1331" s="1072"/>
      <c r="SHB1331" s="1072"/>
      <c r="SHC1331" s="1072"/>
      <c r="SHD1331" s="1072"/>
      <c r="SHE1331" s="1072"/>
      <c r="SHF1331" s="1072"/>
      <c r="SHG1331" s="1072"/>
      <c r="SHH1331" s="1072"/>
      <c r="SHI1331" s="1072"/>
      <c r="SHJ1331" s="1072"/>
      <c r="SHK1331" s="1072"/>
      <c r="SHL1331" s="1072"/>
      <c r="SHM1331" s="1072"/>
      <c r="SHN1331" s="1072"/>
      <c r="SHO1331" s="1072"/>
      <c r="SHP1331" s="1072"/>
      <c r="SHQ1331" s="1072"/>
      <c r="SHR1331" s="1072"/>
      <c r="SHS1331" s="1072"/>
      <c r="SHT1331" s="1072"/>
      <c r="SHU1331" s="1072"/>
      <c r="SHV1331" s="1072"/>
      <c r="SHW1331" s="1072"/>
      <c r="SHX1331" s="1072"/>
      <c r="SHY1331" s="1072"/>
      <c r="SHZ1331" s="1072"/>
      <c r="SIA1331" s="1072"/>
      <c r="SIB1331" s="1072"/>
      <c r="SIC1331" s="1072"/>
      <c r="SID1331" s="1072"/>
      <c r="SIE1331" s="1072"/>
      <c r="SIF1331" s="1072"/>
      <c r="SIG1331" s="1072"/>
      <c r="SIH1331" s="1072"/>
      <c r="SII1331" s="1072"/>
      <c r="SIJ1331" s="1072"/>
      <c r="SIK1331" s="1072"/>
      <c r="SIL1331" s="1072"/>
      <c r="SIM1331" s="1072"/>
      <c r="SIN1331" s="1072"/>
      <c r="SIO1331" s="1072"/>
      <c r="SIP1331" s="1072"/>
      <c r="SIQ1331" s="1072"/>
      <c r="SIR1331" s="1072"/>
      <c r="SIS1331" s="1072"/>
      <c r="SIT1331" s="1072"/>
      <c r="SIU1331" s="1072"/>
      <c r="SIV1331" s="1072"/>
      <c r="SIW1331" s="1072"/>
      <c r="SIX1331" s="1072"/>
      <c r="SIY1331" s="1072"/>
      <c r="SIZ1331" s="1072"/>
      <c r="SJA1331" s="1072"/>
      <c r="SJB1331" s="1072"/>
      <c r="SJC1331" s="1072"/>
      <c r="SJD1331" s="1072"/>
      <c r="SJE1331" s="1072"/>
      <c r="SJF1331" s="1072"/>
      <c r="SJG1331" s="1072"/>
      <c r="SJH1331" s="1072"/>
      <c r="SJI1331" s="1072"/>
      <c r="SJJ1331" s="1072"/>
      <c r="SJK1331" s="1072"/>
      <c r="SJL1331" s="1072"/>
      <c r="SJM1331" s="1072"/>
      <c r="SJN1331" s="1072"/>
      <c r="SJO1331" s="1072"/>
      <c r="SJP1331" s="1072"/>
      <c r="SJQ1331" s="1072"/>
      <c r="SJR1331" s="1072"/>
      <c r="SJS1331" s="1072"/>
      <c r="SJT1331" s="1072"/>
      <c r="SJU1331" s="1072"/>
      <c r="SJV1331" s="1072"/>
      <c r="SJW1331" s="1072"/>
      <c r="SJX1331" s="1072"/>
      <c r="SJY1331" s="1072"/>
      <c r="SJZ1331" s="1072"/>
      <c r="SKA1331" s="1072"/>
      <c r="SKB1331" s="1072"/>
      <c r="SKC1331" s="1072"/>
      <c r="SKD1331" s="1072"/>
      <c r="SKE1331" s="1072"/>
      <c r="SKF1331" s="1072"/>
      <c r="SKG1331" s="1072"/>
      <c r="SKH1331" s="1072"/>
      <c r="SKI1331" s="1072"/>
      <c r="SKJ1331" s="1072"/>
      <c r="SKK1331" s="1072"/>
      <c r="SKL1331" s="1072"/>
      <c r="SKM1331" s="1072"/>
      <c r="SKN1331" s="1072"/>
      <c r="SKO1331" s="1072"/>
      <c r="SKP1331" s="1072"/>
      <c r="SKQ1331" s="1072"/>
      <c r="SKR1331" s="1072"/>
      <c r="SKS1331" s="1072"/>
      <c r="SKT1331" s="1072"/>
      <c r="SKU1331" s="1072"/>
      <c r="SKV1331" s="1072"/>
      <c r="SKW1331" s="1072"/>
      <c r="SKX1331" s="1072"/>
      <c r="SKY1331" s="1072"/>
      <c r="SKZ1331" s="1072"/>
      <c r="SLA1331" s="1072"/>
      <c r="SLB1331" s="1072"/>
      <c r="SLC1331" s="1072"/>
      <c r="SLD1331" s="1072"/>
      <c r="SLE1331" s="1072"/>
      <c r="SLF1331" s="1072"/>
      <c r="SLG1331" s="1072"/>
      <c r="SLH1331" s="1072"/>
      <c r="SLI1331" s="1072"/>
      <c r="SLJ1331" s="1072"/>
      <c r="SLK1331" s="1072"/>
      <c r="SLL1331" s="1072"/>
      <c r="SLM1331" s="1072"/>
      <c r="SLN1331" s="1072"/>
      <c r="SLO1331" s="1072"/>
      <c r="SLP1331" s="1072"/>
      <c r="SLQ1331" s="1072"/>
      <c r="SLR1331" s="1072"/>
      <c r="SLS1331" s="1072"/>
      <c r="SLT1331" s="1072"/>
      <c r="SLU1331" s="1072"/>
      <c r="SLV1331" s="1072"/>
      <c r="SLW1331" s="1072"/>
      <c r="SLX1331" s="1072"/>
      <c r="SLY1331" s="1072"/>
      <c r="SLZ1331" s="1072"/>
      <c r="SMA1331" s="1072"/>
      <c r="SMB1331" s="1072"/>
      <c r="SMC1331" s="1072"/>
      <c r="SMD1331" s="1072"/>
      <c r="SME1331" s="1072"/>
      <c r="SMF1331" s="1072"/>
      <c r="SMG1331" s="1072"/>
      <c r="SMH1331" s="1072"/>
      <c r="SMI1331" s="1072"/>
      <c r="SMJ1331" s="1072"/>
      <c r="SMK1331" s="1072"/>
      <c r="SML1331" s="1072"/>
      <c r="SMM1331" s="1072"/>
      <c r="SMN1331" s="1072"/>
      <c r="SMO1331" s="1072"/>
      <c r="SMP1331" s="1072"/>
      <c r="SMQ1331" s="1072"/>
      <c r="SMR1331" s="1072"/>
      <c r="SMS1331" s="1072"/>
      <c r="SMT1331" s="1072"/>
      <c r="SMU1331" s="1072"/>
      <c r="SMV1331" s="1072"/>
      <c r="SMW1331" s="1072"/>
      <c r="SMX1331" s="1072"/>
      <c r="SMY1331" s="1072"/>
      <c r="SMZ1331" s="1072"/>
      <c r="SNA1331" s="1072"/>
      <c r="SNB1331" s="1072"/>
      <c r="SNC1331" s="1072"/>
      <c r="SND1331" s="1072"/>
      <c r="SNE1331" s="1072"/>
      <c r="SNF1331" s="1072"/>
      <c r="SNG1331" s="1072"/>
      <c r="SNH1331" s="1072"/>
      <c r="SNI1331" s="1072"/>
      <c r="SNJ1331" s="1072"/>
      <c r="SNK1331" s="1072"/>
      <c r="SNL1331" s="1072"/>
      <c r="SNM1331" s="1072"/>
      <c r="SNN1331" s="1072"/>
      <c r="SNO1331" s="1072"/>
      <c r="SNP1331" s="1072"/>
      <c r="SNQ1331" s="1072"/>
      <c r="SNR1331" s="1072"/>
      <c r="SNS1331" s="1072"/>
      <c r="SNT1331" s="1072"/>
      <c r="SNU1331" s="1072"/>
      <c r="SNV1331" s="1072"/>
      <c r="SNW1331" s="1072"/>
      <c r="SNX1331" s="1072"/>
      <c r="SNY1331" s="1072"/>
      <c r="SNZ1331" s="1072"/>
      <c r="SOA1331" s="1072"/>
      <c r="SOB1331" s="1072"/>
      <c r="SOC1331" s="1072"/>
      <c r="SOD1331" s="1072"/>
      <c r="SOE1331" s="1072"/>
      <c r="SOF1331" s="1072"/>
      <c r="SOG1331" s="1072"/>
      <c r="SOH1331" s="1072"/>
      <c r="SOI1331" s="1072"/>
      <c r="SOJ1331" s="1072"/>
      <c r="SOK1331" s="1072"/>
      <c r="SOL1331" s="1072"/>
      <c r="SOM1331" s="1072"/>
      <c r="SON1331" s="1072"/>
      <c r="SOO1331" s="1072"/>
      <c r="SOP1331" s="1072"/>
      <c r="SOQ1331" s="1072"/>
      <c r="SOR1331" s="1072"/>
      <c r="SOS1331" s="1072"/>
      <c r="SOT1331" s="1072"/>
      <c r="SOU1331" s="1072"/>
      <c r="SOV1331" s="1072"/>
      <c r="SOW1331" s="1072"/>
      <c r="SOX1331" s="1072"/>
      <c r="SOY1331" s="1072"/>
      <c r="SOZ1331" s="1072"/>
      <c r="SPA1331" s="1072"/>
      <c r="SPB1331" s="1072"/>
      <c r="SPC1331" s="1072"/>
      <c r="SPD1331" s="1072"/>
      <c r="SPE1331" s="1072"/>
      <c r="SPF1331" s="1072"/>
      <c r="SPG1331" s="1072"/>
      <c r="SPH1331" s="1072"/>
      <c r="SPI1331" s="1072"/>
      <c r="SPJ1331" s="1072"/>
      <c r="SPK1331" s="1072"/>
      <c r="SPL1331" s="1072"/>
      <c r="SPM1331" s="1072"/>
      <c r="SPN1331" s="1072"/>
      <c r="SPO1331" s="1072"/>
      <c r="SPP1331" s="1072"/>
      <c r="SPQ1331" s="1072"/>
      <c r="SPR1331" s="1072"/>
      <c r="SPS1331" s="1072"/>
      <c r="SPT1331" s="1072"/>
      <c r="SPU1331" s="1072"/>
      <c r="SPV1331" s="1072"/>
      <c r="SPW1331" s="1072"/>
      <c r="SPX1331" s="1072"/>
      <c r="SPY1331" s="1072"/>
      <c r="SPZ1331" s="1072"/>
      <c r="SQA1331" s="1072"/>
      <c r="SQB1331" s="1072"/>
      <c r="SQC1331" s="1072"/>
      <c r="SQD1331" s="1072"/>
      <c r="SQE1331" s="1072"/>
      <c r="SQF1331" s="1072"/>
      <c r="SQG1331" s="1072"/>
      <c r="SQH1331" s="1072"/>
      <c r="SQI1331" s="1072"/>
      <c r="SQJ1331" s="1072"/>
      <c r="SQK1331" s="1072"/>
      <c r="SQL1331" s="1072"/>
      <c r="SQM1331" s="1072"/>
      <c r="SQN1331" s="1072"/>
      <c r="SQO1331" s="1072"/>
      <c r="SQP1331" s="1072"/>
      <c r="SQQ1331" s="1072"/>
      <c r="SQR1331" s="1072"/>
      <c r="SQS1331" s="1072"/>
      <c r="SQT1331" s="1072"/>
      <c r="SQU1331" s="1072"/>
      <c r="SQV1331" s="1072"/>
      <c r="SQW1331" s="1072"/>
      <c r="SQX1331" s="1072"/>
      <c r="SQY1331" s="1072"/>
      <c r="SQZ1331" s="1072"/>
      <c r="SRA1331" s="1072"/>
      <c r="SRB1331" s="1072"/>
      <c r="SRC1331" s="1072"/>
      <c r="SRD1331" s="1072"/>
      <c r="SRE1331" s="1072"/>
      <c r="SRF1331" s="1072"/>
      <c r="SRG1331" s="1072"/>
      <c r="SRH1331" s="1072"/>
      <c r="SRI1331" s="1072"/>
      <c r="SRJ1331" s="1072"/>
      <c r="SRK1331" s="1072"/>
      <c r="SRL1331" s="1072"/>
      <c r="SRM1331" s="1072"/>
      <c r="SRN1331" s="1072"/>
      <c r="SRO1331" s="1072"/>
      <c r="SRP1331" s="1072"/>
      <c r="SRQ1331" s="1072"/>
      <c r="SRR1331" s="1072"/>
      <c r="SRS1331" s="1072"/>
      <c r="SRT1331" s="1072"/>
      <c r="SRU1331" s="1072"/>
      <c r="SRV1331" s="1072"/>
      <c r="SRW1331" s="1072"/>
      <c r="SRX1331" s="1072"/>
      <c r="SRY1331" s="1072"/>
      <c r="SRZ1331" s="1072"/>
      <c r="SSA1331" s="1072"/>
      <c r="SSB1331" s="1072"/>
      <c r="SSC1331" s="1072"/>
      <c r="SSD1331" s="1072"/>
      <c r="SSE1331" s="1072"/>
      <c r="SSF1331" s="1072"/>
      <c r="SSG1331" s="1072"/>
      <c r="SSH1331" s="1072"/>
      <c r="SSI1331" s="1072"/>
      <c r="SSJ1331" s="1072"/>
      <c r="SSK1331" s="1072"/>
      <c r="SSL1331" s="1072"/>
      <c r="SSM1331" s="1072"/>
      <c r="SSN1331" s="1072"/>
      <c r="SSO1331" s="1072"/>
      <c r="SSP1331" s="1072"/>
      <c r="SSQ1331" s="1072"/>
      <c r="SSR1331" s="1072"/>
      <c r="SSS1331" s="1072"/>
      <c r="SST1331" s="1072"/>
      <c r="SSU1331" s="1072"/>
      <c r="SSV1331" s="1072"/>
      <c r="SSW1331" s="1072"/>
      <c r="SSX1331" s="1072"/>
      <c r="SSY1331" s="1072"/>
      <c r="SSZ1331" s="1072"/>
      <c r="STA1331" s="1072"/>
      <c r="STB1331" s="1072"/>
      <c r="STC1331" s="1072"/>
      <c r="STD1331" s="1072"/>
      <c r="STE1331" s="1072"/>
      <c r="STF1331" s="1072"/>
      <c r="STG1331" s="1072"/>
      <c r="STH1331" s="1072"/>
      <c r="STI1331" s="1072"/>
      <c r="STJ1331" s="1072"/>
      <c r="STK1331" s="1072"/>
      <c r="STL1331" s="1072"/>
      <c r="STM1331" s="1072"/>
      <c r="STN1331" s="1072"/>
      <c r="STO1331" s="1072"/>
      <c r="STP1331" s="1072"/>
      <c r="STQ1331" s="1072"/>
      <c r="STR1331" s="1072"/>
      <c r="STS1331" s="1072"/>
      <c r="STT1331" s="1072"/>
      <c r="STU1331" s="1072"/>
      <c r="STV1331" s="1072"/>
      <c r="STW1331" s="1072"/>
      <c r="STX1331" s="1072"/>
      <c r="STY1331" s="1072"/>
      <c r="STZ1331" s="1072"/>
      <c r="SUA1331" s="1072"/>
      <c r="SUB1331" s="1072"/>
      <c r="SUC1331" s="1072"/>
      <c r="SUD1331" s="1072"/>
      <c r="SUE1331" s="1072"/>
      <c r="SUF1331" s="1072"/>
      <c r="SUG1331" s="1072"/>
      <c r="SUH1331" s="1072"/>
      <c r="SUI1331" s="1072"/>
      <c r="SUJ1331" s="1072"/>
      <c r="SUK1331" s="1072"/>
      <c r="SUL1331" s="1072"/>
      <c r="SUM1331" s="1072"/>
      <c r="SUN1331" s="1072"/>
      <c r="SUO1331" s="1072"/>
      <c r="SUP1331" s="1072"/>
      <c r="SUQ1331" s="1072"/>
      <c r="SUR1331" s="1072"/>
      <c r="SUS1331" s="1072"/>
      <c r="SUT1331" s="1072"/>
      <c r="SUU1331" s="1072"/>
      <c r="SUV1331" s="1072"/>
      <c r="SUW1331" s="1072"/>
      <c r="SUX1331" s="1072"/>
      <c r="SUY1331" s="1072"/>
      <c r="SUZ1331" s="1072"/>
      <c r="SVA1331" s="1072"/>
      <c r="SVB1331" s="1072"/>
      <c r="SVC1331" s="1072"/>
      <c r="SVD1331" s="1072"/>
      <c r="SVE1331" s="1072"/>
      <c r="SVF1331" s="1072"/>
      <c r="SVG1331" s="1072"/>
      <c r="SVH1331" s="1072"/>
      <c r="SVI1331" s="1072"/>
      <c r="SVJ1331" s="1072"/>
      <c r="SVK1331" s="1072"/>
      <c r="SVL1331" s="1072"/>
      <c r="SVM1331" s="1072"/>
      <c r="SVN1331" s="1072"/>
      <c r="SVO1331" s="1072"/>
      <c r="SVP1331" s="1072"/>
      <c r="SVQ1331" s="1072"/>
      <c r="SVR1331" s="1072"/>
      <c r="SVS1331" s="1072"/>
      <c r="SVT1331" s="1072"/>
      <c r="SVU1331" s="1072"/>
      <c r="SVV1331" s="1072"/>
      <c r="SVW1331" s="1072"/>
      <c r="SVX1331" s="1072"/>
      <c r="SVY1331" s="1072"/>
      <c r="SVZ1331" s="1072"/>
      <c r="SWA1331" s="1072"/>
      <c r="SWB1331" s="1072"/>
      <c r="SWC1331" s="1072"/>
      <c r="SWD1331" s="1072"/>
      <c r="SWE1331" s="1072"/>
      <c r="SWF1331" s="1072"/>
      <c r="SWG1331" s="1072"/>
      <c r="SWH1331" s="1072"/>
      <c r="SWI1331" s="1072"/>
      <c r="SWJ1331" s="1072"/>
      <c r="SWK1331" s="1072"/>
      <c r="SWL1331" s="1072"/>
      <c r="SWM1331" s="1072"/>
      <c r="SWN1331" s="1072"/>
      <c r="SWO1331" s="1072"/>
      <c r="SWP1331" s="1072"/>
      <c r="SWQ1331" s="1072"/>
      <c r="SWR1331" s="1072"/>
      <c r="SWS1331" s="1072"/>
      <c r="SWT1331" s="1072"/>
      <c r="SWU1331" s="1072"/>
      <c r="SWV1331" s="1072"/>
      <c r="SWW1331" s="1072"/>
      <c r="SWX1331" s="1072"/>
      <c r="SWY1331" s="1072"/>
      <c r="SWZ1331" s="1072"/>
      <c r="SXA1331" s="1072"/>
      <c r="SXB1331" s="1072"/>
      <c r="SXC1331" s="1072"/>
      <c r="SXD1331" s="1072"/>
      <c r="SXE1331" s="1072"/>
      <c r="SXF1331" s="1072"/>
      <c r="SXG1331" s="1072"/>
      <c r="SXH1331" s="1072"/>
      <c r="SXI1331" s="1072"/>
      <c r="SXJ1331" s="1072"/>
      <c r="SXK1331" s="1072"/>
      <c r="SXL1331" s="1072"/>
      <c r="SXM1331" s="1072"/>
      <c r="SXN1331" s="1072"/>
      <c r="SXO1331" s="1072"/>
      <c r="SXP1331" s="1072"/>
      <c r="SXQ1331" s="1072"/>
      <c r="SXR1331" s="1072"/>
      <c r="SXS1331" s="1072"/>
      <c r="SXT1331" s="1072"/>
      <c r="SXU1331" s="1072"/>
      <c r="SXV1331" s="1072"/>
      <c r="SXW1331" s="1072"/>
      <c r="SXX1331" s="1072"/>
      <c r="SXY1331" s="1072"/>
      <c r="SXZ1331" s="1072"/>
      <c r="SYA1331" s="1072"/>
      <c r="SYB1331" s="1072"/>
      <c r="SYC1331" s="1072"/>
      <c r="SYD1331" s="1072"/>
      <c r="SYE1331" s="1072"/>
      <c r="SYF1331" s="1072"/>
      <c r="SYG1331" s="1072"/>
      <c r="SYH1331" s="1072"/>
      <c r="SYI1331" s="1072"/>
      <c r="SYJ1331" s="1072"/>
      <c r="SYK1331" s="1072"/>
      <c r="SYL1331" s="1072"/>
      <c r="SYM1331" s="1072"/>
      <c r="SYN1331" s="1072"/>
      <c r="SYO1331" s="1072"/>
      <c r="SYP1331" s="1072"/>
      <c r="SYQ1331" s="1072"/>
      <c r="SYR1331" s="1072"/>
      <c r="SYS1331" s="1072"/>
      <c r="SYT1331" s="1072"/>
      <c r="SYU1331" s="1072"/>
      <c r="SYV1331" s="1072"/>
      <c r="SYW1331" s="1072"/>
      <c r="SYX1331" s="1072"/>
      <c r="SYY1331" s="1072"/>
      <c r="SYZ1331" s="1072"/>
      <c r="SZA1331" s="1072"/>
      <c r="SZB1331" s="1072"/>
      <c r="SZC1331" s="1072"/>
      <c r="SZD1331" s="1072"/>
      <c r="SZE1331" s="1072"/>
      <c r="SZF1331" s="1072"/>
      <c r="SZG1331" s="1072"/>
      <c r="SZH1331" s="1072"/>
      <c r="SZI1331" s="1072"/>
      <c r="SZJ1331" s="1072"/>
      <c r="SZK1331" s="1072"/>
      <c r="SZL1331" s="1072"/>
      <c r="SZM1331" s="1072"/>
      <c r="SZN1331" s="1072"/>
      <c r="SZO1331" s="1072"/>
      <c r="SZP1331" s="1072"/>
      <c r="SZQ1331" s="1072"/>
      <c r="SZR1331" s="1072"/>
      <c r="SZS1331" s="1072"/>
      <c r="SZT1331" s="1072"/>
      <c r="SZU1331" s="1072"/>
      <c r="SZV1331" s="1072"/>
      <c r="SZW1331" s="1072"/>
      <c r="SZX1331" s="1072"/>
      <c r="SZY1331" s="1072"/>
      <c r="SZZ1331" s="1072"/>
      <c r="TAA1331" s="1072"/>
      <c r="TAB1331" s="1072"/>
      <c r="TAC1331" s="1072"/>
      <c r="TAD1331" s="1072"/>
      <c r="TAE1331" s="1072"/>
      <c r="TAF1331" s="1072"/>
      <c r="TAG1331" s="1072"/>
      <c r="TAH1331" s="1072"/>
      <c r="TAI1331" s="1072"/>
      <c r="TAJ1331" s="1072"/>
      <c r="TAK1331" s="1072"/>
      <c r="TAL1331" s="1072"/>
      <c r="TAM1331" s="1072"/>
      <c r="TAN1331" s="1072"/>
      <c r="TAO1331" s="1072"/>
      <c r="TAP1331" s="1072"/>
      <c r="TAQ1331" s="1072"/>
      <c r="TAR1331" s="1072"/>
      <c r="TAS1331" s="1072"/>
      <c r="TAT1331" s="1072"/>
      <c r="TAU1331" s="1072"/>
      <c r="TAV1331" s="1072"/>
      <c r="TAW1331" s="1072"/>
      <c r="TAX1331" s="1072"/>
      <c r="TAY1331" s="1072"/>
      <c r="TAZ1331" s="1072"/>
      <c r="TBA1331" s="1072"/>
      <c r="TBB1331" s="1072"/>
      <c r="TBC1331" s="1072"/>
      <c r="TBD1331" s="1072"/>
      <c r="TBE1331" s="1072"/>
      <c r="TBF1331" s="1072"/>
      <c r="TBG1331" s="1072"/>
      <c r="TBH1331" s="1072"/>
      <c r="TBI1331" s="1072"/>
      <c r="TBJ1331" s="1072"/>
      <c r="TBK1331" s="1072"/>
      <c r="TBL1331" s="1072"/>
      <c r="TBM1331" s="1072"/>
      <c r="TBN1331" s="1072"/>
      <c r="TBO1331" s="1072"/>
      <c r="TBP1331" s="1072"/>
      <c r="TBQ1331" s="1072"/>
      <c r="TBR1331" s="1072"/>
      <c r="TBS1331" s="1072"/>
      <c r="TBT1331" s="1072"/>
      <c r="TBU1331" s="1072"/>
      <c r="TBV1331" s="1072"/>
      <c r="TBW1331" s="1072"/>
      <c r="TBX1331" s="1072"/>
      <c r="TBY1331" s="1072"/>
      <c r="TBZ1331" s="1072"/>
      <c r="TCA1331" s="1072"/>
      <c r="TCB1331" s="1072"/>
      <c r="TCC1331" s="1072"/>
      <c r="TCD1331" s="1072"/>
      <c r="TCE1331" s="1072"/>
      <c r="TCF1331" s="1072"/>
      <c r="TCG1331" s="1072"/>
      <c r="TCH1331" s="1072"/>
      <c r="TCI1331" s="1072"/>
      <c r="TCJ1331" s="1072"/>
      <c r="TCK1331" s="1072"/>
      <c r="TCL1331" s="1072"/>
      <c r="TCM1331" s="1072"/>
      <c r="TCN1331" s="1072"/>
      <c r="TCO1331" s="1072"/>
      <c r="TCP1331" s="1072"/>
      <c r="TCQ1331" s="1072"/>
      <c r="TCR1331" s="1072"/>
      <c r="TCS1331" s="1072"/>
      <c r="TCT1331" s="1072"/>
      <c r="TCU1331" s="1072"/>
      <c r="TCV1331" s="1072"/>
      <c r="TCW1331" s="1072"/>
      <c r="TCX1331" s="1072"/>
      <c r="TCY1331" s="1072"/>
      <c r="TCZ1331" s="1072"/>
      <c r="TDA1331" s="1072"/>
      <c r="TDB1331" s="1072"/>
      <c r="TDC1331" s="1072"/>
      <c r="TDD1331" s="1072"/>
      <c r="TDE1331" s="1072"/>
      <c r="TDF1331" s="1072"/>
      <c r="TDG1331" s="1072"/>
      <c r="TDH1331" s="1072"/>
      <c r="TDI1331" s="1072"/>
      <c r="TDJ1331" s="1072"/>
      <c r="TDK1331" s="1072"/>
      <c r="TDL1331" s="1072"/>
      <c r="TDM1331" s="1072"/>
      <c r="TDN1331" s="1072"/>
      <c r="TDO1331" s="1072"/>
      <c r="TDP1331" s="1072"/>
      <c r="TDQ1331" s="1072"/>
      <c r="TDR1331" s="1072"/>
      <c r="TDS1331" s="1072"/>
      <c r="TDT1331" s="1072"/>
      <c r="TDU1331" s="1072"/>
      <c r="TDV1331" s="1072"/>
      <c r="TDW1331" s="1072"/>
      <c r="TDX1331" s="1072"/>
      <c r="TDY1331" s="1072"/>
      <c r="TDZ1331" s="1072"/>
      <c r="TEA1331" s="1072"/>
      <c r="TEB1331" s="1072"/>
      <c r="TEC1331" s="1072"/>
      <c r="TED1331" s="1072"/>
      <c r="TEE1331" s="1072"/>
      <c r="TEF1331" s="1072"/>
      <c r="TEG1331" s="1072"/>
      <c r="TEH1331" s="1072"/>
      <c r="TEI1331" s="1072"/>
      <c r="TEJ1331" s="1072"/>
      <c r="TEK1331" s="1072"/>
      <c r="TEL1331" s="1072"/>
      <c r="TEM1331" s="1072"/>
      <c r="TEN1331" s="1072"/>
      <c r="TEO1331" s="1072"/>
      <c r="TEP1331" s="1072"/>
      <c r="TEQ1331" s="1072"/>
      <c r="TER1331" s="1072"/>
      <c r="TES1331" s="1072"/>
      <c r="TET1331" s="1072"/>
      <c r="TEU1331" s="1072"/>
      <c r="TEV1331" s="1072"/>
      <c r="TEW1331" s="1072"/>
      <c r="TEX1331" s="1072"/>
      <c r="TEY1331" s="1072"/>
      <c r="TEZ1331" s="1072"/>
      <c r="TFA1331" s="1072"/>
      <c r="TFB1331" s="1072"/>
      <c r="TFC1331" s="1072"/>
      <c r="TFD1331" s="1072"/>
      <c r="TFE1331" s="1072"/>
      <c r="TFF1331" s="1072"/>
      <c r="TFG1331" s="1072"/>
      <c r="TFH1331" s="1072"/>
      <c r="TFI1331" s="1072"/>
      <c r="TFJ1331" s="1072"/>
      <c r="TFK1331" s="1072"/>
      <c r="TFL1331" s="1072"/>
      <c r="TFM1331" s="1072"/>
      <c r="TFN1331" s="1072"/>
      <c r="TFO1331" s="1072"/>
      <c r="TFP1331" s="1072"/>
      <c r="TFQ1331" s="1072"/>
      <c r="TFR1331" s="1072"/>
      <c r="TFS1331" s="1072"/>
      <c r="TFT1331" s="1072"/>
      <c r="TFU1331" s="1072"/>
      <c r="TFV1331" s="1072"/>
      <c r="TFW1331" s="1072"/>
      <c r="TFX1331" s="1072"/>
      <c r="TFY1331" s="1072"/>
      <c r="TFZ1331" s="1072"/>
      <c r="TGA1331" s="1072"/>
      <c r="TGB1331" s="1072"/>
      <c r="TGC1331" s="1072"/>
      <c r="TGD1331" s="1072"/>
      <c r="TGE1331" s="1072"/>
      <c r="TGF1331" s="1072"/>
      <c r="TGG1331" s="1072"/>
      <c r="TGH1331" s="1072"/>
      <c r="TGI1331" s="1072"/>
      <c r="TGJ1331" s="1072"/>
      <c r="TGK1331" s="1072"/>
      <c r="TGL1331" s="1072"/>
      <c r="TGM1331" s="1072"/>
      <c r="TGN1331" s="1072"/>
      <c r="TGO1331" s="1072"/>
      <c r="TGP1331" s="1072"/>
      <c r="TGQ1331" s="1072"/>
      <c r="TGR1331" s="1072"/>
      <c r="TGS1331" s="1072"/>
      <c r="TGT1331" s="1072"/>
      <c r="TGU1331" s="1072"/>
      <c r="TGV1331" s="1072"/>
      <c r="TGW1331" s="1072"/>
      <c r="TGX1331" s="1072"/>
      <c r="TGY1331" s="1072"/>
      <c r="TGZ1331" s="1072"/>
      <c r="THA1331" s="1072"/>
      <c r="THB1331" s="1072"/>
      <c r="THC1331" s="1072"/>
      <c r="THD1331" s="1072"/>
      <c r="THE1331" s="1072"/>
      <c r="THF1331" s="1072"/>
      <c r="THG1331" s="1072"/>
      <c r="THH1331" s="1072"/>
      <c r="THI1331" s="1072"/>
      <c r="THJ1331" s="1072"/>
      <c r="THK1331" s="1072"/>
      <c r="THL1331" s="1072"/>
      <c r="THM1331" s="1072"/>
      <c r="THN1331" s="1072"/>
      <c r="THO1331" s="1072"/>
      <c r="THP1331" s="1072"/>
      <c r="THQ1331" s="1072"/>
      <c r="THR1331" s="1072"/>
      <c r="THS1331" s="1072"/>
      <c r="THT1331" s="1072"/>
      <c r="THU1331" s="1072"/>
      <c r="THV1331" s="1072"/>
      <c r="THW1331" s="1072"/>
      <c r="THX1331" s="1072"/>
      <c r="THY1331" s="1072"/>
      <c r="THZ1331" s="1072"/>
      <c r="TIA1331" s="1072"/>
      <c r="TIB1331" s="1072"/>
      <c r="TIC1331" s="1072"/>
      <c r="TID1331" s="1072"/>
      <c r="TIE1331" s="1072"/>
      <c r="TIF1331" s="1072"/>
      <c r="TIG1331" s="1072"/>
      <c r="TIH1331" s="1072"/>
      <c r="TII1331" s="1072"/>
      <c r="TIJ1331" s="1072"/>
      <c r="TIK1331" s="1072"/>
      <c r="TIL1331" s="1072"/>
      <c r="TIM1331" s="1072"/>
      <c r="TIN1331" s="1072"/>
      <c r="TIO1331" s="1072"/>
      <c r="TIP1331" s="1072"/>
      <c r="TIQ1331" s="1072"/>
      <c r="TIR1331" s="1072"/>
      <c r="TIS1331" s="1072"/>
      <c r="TIT1331" s="1072"/>
      <c r="TIU1331" s="1072"/>
      <c r="TIV1331" s="1072"/>
      <c r="TIW1331" s="1072"/>
      <c r="TIX1331" s="1072"/>
      <c r="TIY1331" s="1072"/>
      <c r="TIZ1331" s="1072"/>
      <c r="TJA1331" s="1072"/>
      <c r="TJB1331" s="1072"/>
      <c r="TJC1331" s="1072"/>
      <c r="TJD1331" s="1072"/>
      <c r="TJE1331" s="1072"/>
      <c r="TJF1331" s="1072"/>
      <c r="TJG1331" s="1072"/>
      <c r="TJH1331" s="1072"/>
      <c r="TJI1331" s="1072"/>
      <c r="TJJ1331" s="1072"/>
      <c r="TJK1331" s="1072"/>
      <c r="TJL1331" s="1072"/>
      <c r="TJM1331" s="1072"/>
      <c r="TJN1331" s="1072"/>
      <c r="TJO1331" s="1072"/>
      <c r="TJP1331" s="1072"/>
      <c r="TJQ1331" s="1072"/>
      <c r="TJR1331" s="1072"/>
      <c r="TJS1331" s="1072"/>
      <c r="TJT1331" s="1072"/>
      <c r="TJU1331" s="1072"/>
      <c r="TJV1331" s="1072"/>
      <c r="TJW1331" s="1072"/>
      <c r="TJX1331" s="1072"/>
      <c r="TJY1331" s="1072"/>
      <c r="TJZ1331" s="1072"/>
      <c r="TKA1331" s="1072"/>
      <c r="TKB1331" s="1072"/>
      <c r="TKC1331" s="1072"/>
      <c r="TKD1331" s="1072"/>
      <c r="TKE1331" s="1072"/>
      <c r="TKF1331" s="1072"/>
      <c r="TKG1331" s="1072"/>
      <c r="TKH1331" s="1072"/>
      <c r="TKI1331" s="1072"/>
      <c r="TKJ1331" s="1072"/>
      <c r="TKK1331" s="1072"/>
      <c r="TKL1331" s="1072"/>
      <c r="TKM1331" s="1072"/>
      <c r="TKN1331" s="1072"/>
      <c r="TKO1331" s="1072"/>
      <c r="TKP1331" s="1072"/>
      <c r="TKQ1331" s="1072"/>
      <c r="TKR1331" s="1072"/>
      <c r="TKS1331" s="1072"/>
      <c r="TKT1331" s="1072"/>
      <c r="TKU1331" s="1072"/>
      <c r="TKV1331" s="1072"/>
      <c r="TKW1331" s="1072"/>
      <c r="TKX1331" s="1072"/>
      <c r="TKY1331" s="1072"/>
      <c r="TKZ1331" s="1072"/>
      <c r="TLA1331" s="1072"/>
      <c r="TLB1331" s="1072"/>
      <c r="TLC1331" s="1072"/>
      <c r="TLD1331" s="1072"/>
      <c r="TLE1331" s="1072"/>
      <c r="TLF1331" s="1072"/>
      <c r="TLG1331" s="1072"/>
      <c r="TLH1331" s="1072"/>
      <c r="TLI1331" s="1072"/>
      <c r="TLJ1331" s="1072"/>
      <c r="TLK1331" s="1072"/>
      <c r="TLL1331" s="1072"/>
      <c r="TLM1331" s="1072"/>
      <c r="TLN1331" s="1072"/>
      <c r="TLO1331" s="1072"/>
      <c r="TLP1331" s="1072"/>
      <c r="TLQ1331" s="1072"/>
      <c r="TLR1331" s="1072"/>
      <c r="TLS1331" s="1072"/>
      <c r="TLT1331" s="1072"/>
      <c r="TLU1331" s="1072"/>
      <c r="TLV1331" s="1072"/>
      <c r="TLW1331" s="1072"/>
      <c r="TLX1331" s="1072"/>
      <c r="TLY1331" s="1072"/>
      <c r="TLZ1331" s="1072"/>
      <c r="TMA1331" s="1072"/>
      <c r="TMB1331" s="1072"/>
      <c r="TMC1331" s="1072"/>
      <c r="TMD1331" s="1072"/>
      <c r="TME1331" s="1072"/>
      <c r="TMF1331" s="1072"/>
      <c r="TMG1331" s="1072"/>
      <c r="TMH1331" s="1072"/>
      <c r="TMI1331" s="1072"/>
      <c r="TMJ1331" s="1072"/>
      <c r="TMK1331" s="1072"/>
      <c r="TML1331" s="1072"/>
      <c r="TMM1331" s="1072"/>
      <c r="TMN1331" s="1072"/>
      <c r="TMO1331" s="1072"/>
      <c r="TMP1331" s="1072"/>
      <c r="TMQ1331" s="1072"/>
      <c r="TMR1331" s="1072"/>
      <c r="TMS1331" s="1072"/>
      <c r="TMT1331" s="1072"/>
      <c r="TMU1331" s="1072"/>
      <c r="TMV1331" s="1072"/>
      <c r="TMW1331" s="1072"/>
      <c r="TMX1331" s="1072"/>
      <c r="TMY1331" s="1072"/>
      <c r="TMZ1331" s="1072"/>
      <c r="TNA1331" s="1072"/>
      <c r="TNB1331" s="1072"/>
      <c r="TNC1331" s="1072"/>
      <c r="TND1331" s="1072"/>
      <c r="TNE1331" s="1072"/>
      <c r="TNF1331" s="1072"/>
      <c r="TNG1331" s="1072"/>
      <c r="TNH1331" s="1072"/>
      <c r="TNI1331" s="1072"/>
      <c r="TNJ1331" s="1072"/>
      <c r="TNK1331" s="1072"/>
      <c r="TNL1331" s="1072"/>
      <c r="TNM1331" s="1072"/>
      <c r="TNN1331" s="1072"/>
      <c r="TNO1331" s="1072"/>
      <c r="TNP1331" s="1072"/>
      <c r="TNQ1331" s="1072"/>
      <c r="TNR1331" s="1072"/>
      <c r="TNS1331" s="1072"/>
      <c r="TNT1331" s="1072"/>
      <c r="TNU1331" s="1072"/>
      <c r="TNV1331" s="1072"/>
      <c r="TNW1331" s="1072"/>
      <c r="TNX1331" s="1072"/>
      <c r="TNY1331" s="1072"/>
      <c r="TNZ1331" s="1072"/>
      <c r="TOA1331" s="1072"/>
      <c r="TOB1331" s="1072"/>
      <c r="TOC1331" s="1072"/>
      <c r="TOD1331" s="1072"/>
      <c r="TOE1331" s="1072"/>
      <c r="TOF1331" s="1072"/>
      <c r="TOG1331" s="1072"/>
      <c r="TOH1331" s="1072"/>
      <c r="TOI1331" s="1072"/>
      <c r="TOJ1331" s="1072"/>
      <c r="TOK1331" s="1072"/>
      <c r="TOL1331" s="1072"/>
      <c r="TOM1331" s="1072"/>
      <c r="TON1331" s="1072"/>
      <c r="TOO1331" s="1072"/>
      <c r="TOP1331" s="1072"/>
      <c r="TOQ1331" s="1072"/>
      <c r="TOR1331" s="1072"/>
      <c r="TOS1331" s="1072"/>
      <c r="TOT1331" s="1072"/>
      <c r="TOU1331" s="1072"/>
      <c r="TOV1331" s="1072"/>
      <c r="TOW1331" s="1072"/>
      <c r="TOX1331" s="1072"/>
      <c r="TOY1331" s="1072"/>
      <c r="TOZ1331" s="1072"/>
      <c r="TPA1331" s="1072"/>
      <c r="TPB1331" s="1072"/>
      <c r="TPC1331" s="1072"/>
      <c r="TPD1331" s="1072"/>
      <c r="TPE1331" s="1072"/>
      <c r="TPF1331" s="1072"/>
      <c r="TPG1331" s="1072"/>
      <c r="TPH1331" s="1072"/>
      <c r="TPI1331" s="1072"/>
      <c r="TPJ1331" s="1072"/>
      <c r="TPK1331" s="1072"/>
      <c r="TPL1331" s="1072"/>
      <c r="TPM1331" s="1072"/>
      <c r="TPN1331" s="1072"/>
      <c r="TPO1331" s="1072"/>
      <c r="TPP1331" s="1072"/>
      <c r="TPQ1331" s="1072"/>
      <c r="TPR1331" s="1072"/>
      <c r="TPS1331" s="1072"/>
      <c r="TPT1331" s="1072"/>
      <c r="TPU1331" s="1072"/>
      <c r="TPV1331" s="1072"/>
      <c r="TPW1331" s="1072"/>
      <c r="TPX1331" s="1072"/>
      <c r="TPY1331" s="1072"/>
      <c r="TPZ1331" s="1072"/>
      <c r="TQA1331" s="1072"/>
      <c r="TQB1331" s="1072"/>
      <c r="TQC1331" s="1072"/>
      <c r="TQD1331" s="1072"/>
      <c r="TQE1331" s="1072"/>
      <c r="TQF1331" s="1072"/>
      <c r="TQG1331" s="1072"/>
      <c r="TQH1331" s="1072"/>
      <c r="TQI1331" s="1072"/>
      <c r="TQJ1331" s="1072"/>
      <c r="TQK1331" s="1072"/>
      <c r="TQL1331" s="1072"/>
      <c r="TQM1331" s="1072"/>
      <c r="TQN1331" s="1072"/>
      <c r="TQO1331" s="1072"/>
      <c r="TQP1331" s="1072"/>
      <c r="TQQ1331" s="1072"/>
      <c r="TQR1331" s="1072"/>
      <c r="TQS1331" s="1072"/>
      <c r="TQT1331" s="1072"/>
      <c r="TQU1331" s="1072"/>
      <c r="TQV1331" s="1072"/>
      <c r="TQW1331" s="1072"/>
      <c r="TQX1331" s="1072"/>
      <c r="TQY1331" s="1072"/>
      <c r="TQZ1331" s="1072"/>
      <c r="TRA1331" s="1072"/>
      <c r="TRB1331" s="1072"/>
      <c r="TRC1331" s="1072"/>
      <c r="TRD1331" s="1072"/>
      <c r="TRE1331" s="1072"/>
      <c r="TRF1331" s="1072"/>
      <c r="TRG1331" s="1072"/>
      <c r="TRH1331" s="1072"/>
      <c r="TRI1331" s="1072"/>
      <c r="TRJ1331" s="1072"/>
      <c r="TRK1331" s="1072"/>
      <c r="TRL1331" s="1072"/>
      <c r="TRM1331" s="1072"/>
      <c r="TRN1331" s="1072"/>
      <c r="TRO1331" s="1072"/>
      <c r="TRP1331" s="1072"/>
      <c r="TRQ1331" s="1072"/>
      <c r="TRR1331" s="1072"/>
      <c r="TRS1331" s="1072"/>
      <c r="TRT1331" s="1072"/>
      <c r="TRU1331" s="1072"/>
      <c r="TRV1331" s="1072"/>
      <c r="TRW1331" s="1072"/>
      <c r="TRX1331" s="1072"/>
      <c r="TRY1331" s="1072"/>
      <c r="TRZ1331" s="1072"/>
      <c r="TSA1331" s="1072"/>
      <c r="TSB1331" s="1072"/>
      <c r="TSC1331" s="1072"/>
      <c r="TSD1331" s="1072"/>
      <c r="TSE1331" s="1072"/>
      <c r="TSF1331" s="1072"/>
      <c r="TSG1331" s="1072"/>
      <c r="TSH1331" s="1072"/>
      <c r="TSI1331" s="1072"/>
      <c r="TSJ1331" s="1072"/>
      <c r="TSK1331" s="1072"/>
      <c r="TSL1331" s="1072"/>
      <c r="TSM1331" s="1072"/>
      <c r="TSN1331" s="1072"/>
      <c r="TSO1331" s="1072"/>
      <c r="TSP1331" s="1072"/>
      <c r="TSQ1331" s="1072"/>
      <c r="TSR1331" s="1072"/>
      <c r="TSS1331" s="1072"/>
      <c r="TST1331" s="1072"/>
      <c r="TSU1331" s="1072"/>
      <c r="TSV1331" s="1072"/>
      <c r="TSW1331" s="1072"/>
      <c r="TSX1331" s="1072"/>
      <c r="TSY1331" s="1072"/>
      <c r="TSZ1331" s="1072"/>
      <c r="TTA1331" s="1072"/>
      <c r="TTB1331" s="1072"/>
      <c r="TTC1331" s="1072"/>
      <c r="TTD1331" s="1072"/>
      <c r="TTE1331" s="1072"/>
      <c r="TTF1331" s="1072"/>
      <c r="TTG1331" s="1072"/>
      <c r="TTH1331" s="1072"/>
      <c r="TTI1331" s="1072"/>
      <c r="TTJ1331" s="1072"/>
      <c r="TTK1331" s="1072"/>
      <c r="TTL1331" s="1072"/>
      <c r="TTM1331" s="1072"/>
      <c r="TTN1331" s="1072"/>
      <c r="TTO1331" s="1072"/>
      <c r="TTP1331" s="1072"/>
      <c r="TTQ1331" s="1072"/>
      <c r="TTR1331" s="1072"/>
      <c r="TTS1331" s="1072"/>
      <c r="TTT1331" s="1072"/>
      <c r="TTU1331" s="1072"/>
      <c r="TTV1331" s="1072"/>
      <c r="TTW1331" s="1072"/>
      <c r="TTX1331" s="1072"/>
      <c r="TTY1331" s="1072"/>
      <c r="TTZ1331" s="1072"/>
      <c r="TUA1331" s="1072"/>
      <c r="TUB1331" s="1072"/>
      <c r="TUC1331" s="1072"/>
      <c r="TUD1331" s="1072"/>
      <c r="TUE1331" s="1072"/>
      <c r="TUF1331" s="1072"/>
      <c r="TUG1331" s="1072"/>
      <c r="TUH1331" s="1072"/>
      <c r="TUI1331" s="1072"/>
      <c r="TUJ1331" s="1072"/>
      <c r="TUK1331" s="1072"/>
      <c r="TUL1331" s="1072"/>
      <c r="TUM1331" s="1072"/>
      <c r="TUN1331" s="1072"/>
      <c r="TUO1331" s="1072"/>
      <c r="TUP1331" s="1072"/>
      <c r="TUQ1331" s="1072"/>
      <c r="TUR1331" s="1072"/>
      <c r="TUS1331" s="1072"/>
      <c r="TUT1331" s="1072"/>
      <c r="TUU1331" s="1072"/>
      <c r="TUV1331" s="1072"/>
      <c r="TUW1331" s="1072"/>
      <c r="TUX1331" s="1072"/>
      <c r="TUY1331" s="1072"/>
      <c r="TUZ1331" s="1072"/>
      <c r="TVA1331" s="1072"/>
      <c r="TVB1331" s="1072"/>
      <c r="TVC1331" s="1072"/>
      <c r="TVD1331" s="1072"/>
      <c r="TVE1331" s="1072"/>
      <c r="TVF1331" s="1072"/>
      <c r="TVG1331" s="1072"/>
      <c r="TVH1331" s="1072"/>
      <c r="TVI1331" s="1072"/>
      <c r="TVJ1331" s="1072"/>
      <c r="TVK1331" s="1072"/>
      <c r="TVL1331" s="1072"/>
      <c r="TVM1331" s="1072"/>
      <c r="TVN1331" s="1072"/>
      <c r="TVO1331" s="1072"/>
      <c r="TVP1331" s="1072"/>
      <c r="TVQ1331" s="1072"/>
      <c r="TVR1331" s="1072"/>
      <c r="TVS1331" s="1072"/>
      <c r="TVT1331" s="1072"/>
      <c r="TVU1331" s="1072"/>
      <c r="TVV1331" s="1072"/>
      <c r="TVW1331" s="1072"/>
      <c r="TVX1331" s="1072"/>
      <c r="TVY1331" s="1072"/>
      <c r="TVZ1331" s="1072"/>
      <c r="TWA1331" s="1072"/>
      <c r="TWB1331" s="1072"/>
      <c r="TWC1331" s="1072"/>
      <c r="TWD1331" s="1072"/>
      <c r="TWE1331" s="1072"/>
      <c r="TWF1331" s="1072"/>
      <c r="TWG1331" s="1072"/>
      <c r="TWH1331" s="1072"/>
      <c r="TWI1331" s="1072"/>
      <c r="TWJ1331" s="1072"/>
      <c r="TWK1331" s="1072"/>
      <c r="TWL1331" s="1072"/>
      <c r="TWM1331" s="1072"/>
      <c r="TWN1331" s="1072"/>
      <c r="TWO1331" s="1072"/>
      <c r="TWP1331" s="1072"/>
      <c r="TWQ1331" s="1072"/>
      <c r="TWR1331" s="1072"/>
      <c r="TWS1331" s="1072"/>
      <c r="TWT1331" s="1072"/>
      <c r="TWU1331" s="1072"/>
      <c r="TWV1331" s="1072"/>
      <c r="TWW1331" s="1072"/>
      <c r="TWX1331" s="1072"/>
      <c r="TWY1331" s="1072"/>
      <c r="TWZ1331" s="1072"/>
      <c r="TXA1331" s="1072"/>
      <c r="TXB1331" s="1072"/>
      <c r="TXC1331" s="1072"/>
      <c r="TXD1331" s="1072"/>
      <c r="TXE1331" s="1072"/>
      <c r="TXF1331" s="1072"/>
      <c r="TXG1331" s="1072"/>
      <c r="TXH1331" s="1072"/>
      <c r="TXI1331" s="1072"/>
      <c r="TXJ1331" s="1072"/>
      <c r="TXK1331" s="1072"/>
      <c r="TXL1331" s="1072"/>
      <c r="TXM1331" s="1072"/>
      <c r="TXN1331" s="1072"/>
      <c r="TXO1331" s="1072"/>
      <c r="TXP1331" s="1072"/>
      <c r="TXQ1331" s="1072"/>
      <c r="TXR1331" s="1072"/>
      <c r="TXS1331" s="1072"/>
      <c r="TXT1331" s="1072"/>
      <c r="TXU1331" s="1072"/>
      <c r="TXV1331" s="1072"/>
      <c r="TXW1331" s="1072"/>
      <c r="TXX1331" s="1072"/>
      <c r="TXY1331" s="1072"/>
      <c r="TXZ1331" s="1072"/>
      <c r="TYA1331" s="1072"/>
      <c r="TYB1331" s="1072"/>
      <c r="TYC1331" s="1072"/>
      <c r="TYD1331" s="1072"/>
      <c r="TYE1331" s="1072"/>
      <c r="TYF1331" s="1072"/>
      <c r="TYG1331" s="1072"/>
      <c r="TYH1331" s="1072"/>
      <c r="TYI1331" s="1072"/>
      <c r="TYJ1331" s="1072"/>
      <c r="TYK1331" s="1072"/>
      <c r="TYL1331" s="1072"/>
      <c r="TYM1331" s="1072"/>
      <c r="TYN1331" s="1072"/>
      <c r="TYO1331" s="1072"/>
      <c r="TYP1331" s="1072"/>
      <c r="TYQ1331" s="1072"/>
      <c r="TYR1331" s="1072"/>
      <c r="TYS1331" s="1072"/>
      <c r="TYT1331" s="1072"/>
      <c r="TYU1331" s="1072"/>
      <c r="TYV1331" s="1072"/>
      <c r="TYW1331" s="1072"/>
      <c r="TYX1331" s="1072"/>
      <c r="TYY1331" s="1072"/>
      <c r="TYZ1331" s="1072"/>
      <c r="TZA1331" s="1072"/>
      <c r="TZB1331" s="1072"/>
      <c r="TZC1331" s="1072"/>
      <c r="TZD1331" s="1072"/>
      <c r="TZE1331" s="1072"/>
      <c r="TZF1331" s="1072"/>
      <c r="TZG1331" s="1072"/>
      <c r="TZH1331" s="1072"/>
      <c r="TZI1331" s="1072"/>
      <c r="TZJ1331" s="1072"/>
      <c r="TZK1331" s="1072"/>
      <c r="TZL1331" s="1072"/>
      <c r="TZM1331" s="1072"/>
      <c r="TZN1331" s="1072"/>
      <c r="TZO1331" s="1072"/>
      <c r="TZP1331" s="1072"/>
      <c r="TZQ1331" s="1072"/>
      <c r="TZR1331" s="1072"/>
      <c r="TZS1331" s="1072"/>
      <c r="TZT1331" s="1072"/>
      <c r="TZU1331" s="1072"/>
      <c r="TZV1331" s="1072"/>
      <c r="TZW1331" s="1072"/>
      <c r="TZX1331" s="1072"/>
      <c r="TZY1331" s="1072"/>
      <c r="TZZ1331" s="1072"/>
      <c r="UAA1331" s="1072"/>
      <c r="UAB1331" s="1072"/>
      <c r="UAC1331" s="1072"/>
      <c r="UAD1331" s="1072"/>
      <c r="UAE1331" s="1072"/>
      <c r="UAF1331" s="1072"/>
      <c r="UAG1331" s="1072"/>
      <c r="UAH1331" s="1072"/>
      <c r="UAI1331" s="1072"/>
      <c r="UAJ1331" s="1072"/>
      <c r="UAK1331" s="1072"/>
      <c r="UAL1331" s="1072"/>
      <c r="UAM1331" s="1072"/>
      <c r="UAN1331" s="1072"/>
      <c r="UAO1331" s="1072"/>
      <c r="UAP1331" s="1072"/>
      <c r="UAQ1331" s="1072"/>
      <c r="UAR1331" s="1072"/>
      <c r="UAS1331" s="1072"/>
      <c r="UAT1331" s="1072"/>
      <c r="UAU1331" s="1072"/>
      <c r="UAV1331" s="1072"/>
      <c r="UAW1331" s="1072"/>
      <c r="UAX1331" s="1072"/>
      <c r="UAY1331" s="1072"/>
      <c r="UAZ1331" s="1072"/>
      <c r="UBA1331" s="1072"/>
      <c r="UBB1331" s="1072"/>
      <c r="UBC1331" s="1072"/>
      <c r="UBD1331" s="1072"/>
      <c r="UBE1331" s="1072"/>
      <c r="UBF1331" s="1072"/>
      <c r="UBG1331" s="1072"/>
      <c r="UBH1331" s="1072"/>
      <c r="UBI1331" s="1072"/>
      <c r="UBJ1331" s="1072"/>
      <c r="UBK1331" s="1072"/>
      <c r="UBL1331" s="1072"/>
      <c r="UBM1331" s="1072"/>
      <c r="UBN1331" s="1072"/>
      <c r="UBO1331" s="1072"/>
      <c r="UBP1331" s="1072"/>
      <c r="UBQ1331" s="1072"/>
      <c r="UBR1331" s="1072"/>
      <c r="UBS1331" s="1072"/>
      <c r="UBT1331" s="1072"/>
      <c r="UBU1331" s="1072"/>
      <c r="UBV1331" s="1072"/>
      <c r="UBW1331" s="1072"/>
      <c r="UBX1331" s="1072"/>
      <c r="UBY1331" s="1072"/>
      <c r="UBZ1331" s="1072"/>
      <c r="UCA1331" s="1072"/>
      <c r="UCB1331" s="1072"/>
      <c r="UCC1331" s="1072"/>
      <c r="UCD1331" s="1072"/>
      <c r="UCE1331" s="1072"/>
      <c r="UCF1331" s="1072"/>
      <c r="UCG1331" s="1072"/>
      <c r="UCH1331" s="1072"/>
      <c r="UCI1331" s="1072"/>
      <c r="UCJ1331" s="1072"/>
      <c r="UCK1331" s="1072"/>
      <c r="UCL1331" s="1072"/>
      <c r="UCM1331" s="1072"/>
      <c r="UCN1331" s="1072"/>
      <c r="UCO1331" s="1072"/>
      <c r="UCP1331" s="1072"/>
      <c r="UCQ1331" s="1072"/>
      <c r="UCR1331" s="1072"/>
      <c r="UCS1331" s="1072"/>
      <c r="UCT1331" s="1072"/>
      <c r="UCU1331" s="1072"/>
      <c r="UCV1331" s="1072"/>
      <c r="UCW1331" s="1072"/>
      <c r="UCX1331" s="1072"/>
      <c r="UCY1331" s="1072"/>
      <c r="UCZ1331" s="1072"/>
      <c r="UDA1331" s="1072"/>
      <c r="UDB1331" s="1072"/>
      <c r="UDC1331" s="1072"/>
      <c r="UDD1331" s="1072"/>
      <c r="UDE1331" s="1072"/>
      <c r="UDF1331" s="1072"/>
      <c r="UDG1331" s="1072"/>
      <c r="UDH1331" s="1072"/>
      <c r="UDI1331" s="1072"/>
      <c r="UDJ1331" s="1072"/>
      <c r="UDK1331" s="1072"/>
      <c r="UDL1331" s="1072"/>
      <c r="UDM1331" s="1072"/>
      <c r="UDN1331" s="1072"/>
      <c r="UDO1331" s="1072"/>
      <c r="UDP1331" s="1072"/>
      <c r="UDQ1331" s="1072"/>
      <c r="UDR1331" s="1072"/>
      <c r="UDS1331" s="1072"/>
      <c r="UDT1331" s="1072"/>
      <c r="UDU1331" s="1072"/>
      <c r="UDV1331" s="1072"/>
      <c r="UDW1331" s="1072"/>
      <c r="UDX1331" s="1072"/>
      <c r="UDY1331" s="1072"/>
      <c r="UDZ1331" s="1072"/>
      <c r="UEA1331" s="1072"/>
      <c r="UEB1331" s="1072"/>
      <c r="UEC1331" s="1072"/>
      <c r="UED1331" s="1072"/>
      <c r="UEE1331" s="1072"/>
      <c r="UEF1331" s="1072"/>
      <c r="UEG1331" s="1072"/>
      <c r="UEH1331" s="1072"/>
      <c r="UEI1331" s="1072"/>
      <c r="UEJ1331" s="1072"/>
      <c r="UEK1331" s="1072"/>
      <c r="UEL1331" s="1072"/>
      <c r="UEM1331" s="1072"/>
      <c r="UEN1331" s="1072"/>
      <c r="UEO1331" s="1072"/>
      <c r="UEP1331" s="1072"/>
      <c r="UEQ1331" s="1072"/>
      <c r="UER1331" s="1072"/>
      <c r="UES1331" s="1072"/>
      <c r="UET1331" s="1072"/>
      <c r="UEU1331" s="1072"/>
      <c r="UEV1331" s="1072"/>
      <c r="UEW1331" s="1072"/>
      <c r="UEX1331" s="1072"/>
      <c r="UEY1331" s="1072"/>
      <c r="UEZ1331" s="1072"/>
      <c r="UFA1331" s="1072"/>
      <c r="UFB1331" s="1072"/>
      <c r="UFC1331" s="1072"/>
      <c r="UFD1331" s="1072"/>
      <c r="UFE1331" s="1072"/>
      <c r="UFF1331" s="1072"/>
      <c r="UFG1331" s="1072"/>
      <c r="UFH1331" s="1072"/>
      <c r="UFI1331" s="1072"/>
      <c r="UFJ1331" s="1072"/>
      <c r="UFK1331" s="1072"/>
      <c r="UFL1331" s="1072"/>
      <c r="UFM1331" s="1072"/>
      <c r="UFN1331" s="1072"/>
      <c r="UFO1331" s="1072"/>
      <c r="UFP1331" s="1072"/>
      <c r="UFQ1331" s="1072"/>
      <c r="UFR1331" s="1072"/>
      <c r="UFS1331" s="1072"/>
      <c r="UFT1331" s="1072"/>
      <c r="UFU1331" s="1072"/>
      <c r="UFV1331" s="1072"/>
      <c r="UFW1331" s="1072"/>
      <c r="UFX1331" s="1072"/>
      <c r="UFY1331" s="1072"/>
      <c r="UFZ1331" s="1072"/>
      <c r="UGA1331" s="1072"/>
      <c r="UGB1331" s="1072"/>
      <c r="UGC1331" s="1072"/>
      <c r="UGD1331" s="1072"/>
      <c r="UGE1331" s="1072"/>
      <c r="UGF1331" s="1072"/>
      <c r="UGG1331" s="1072"/>
      <c r="UGH1331" s="1072"/>
      <c r="UGI1331" s="1072"/>
      <c r="UGJ1331" s="1072"/>
      <c r="UGK1331" s="1072"/>
      <c r="UGL1331" s="1072"/>
      <c r="UGM1331" s="1072"/>
      <c r="UGN1331" s="1072"/>
      <c r="UGO1331" s="1072"/>
      <c r="UGP1331" s="1072"/>
      <c r="UGQ1331" s="1072"/>
      <c r="UGR1331" s="1072"/>
      <c r="UGS1331" s="1072"/>
      <c r="UGT1331" s="1072"/>
      <c r="UGU1331" s="1072"/>
      <c r="UGV1331" s="1072"/>
      <c r="UGW1331" s="1072"/>
      <c r="UGX1331" s="1072"/>
      <c r="UGY1331" s="1072"/>
      <c r="UGZ1331" s="1072"/>
      <c r="UHA1331" s="1072"/>
      <c r="UHB1331" s="1072"/>
      <c r="UHC1331" s="1072"/>
      <c r="UHD1331" s="1072"/>
      <c r="UHE1331" s="1072"/>
      <c r="UHF1331" s="1072"/>
      <c r="UHG1331" s="1072"/>
      <c r="UHH1331" s="1072"/>
      <c r="UHI1331" s="1072"/>
      <c r="UHJ1331" s="1072"/>
      <c r="UHK1331" s="1072"/>
      <c r="UHL1331" s="1072"/>
      <c r="UHM1331" s="1072"/>
      <c r="UHN1331" s="1072"/>
      <c r="UHO1331" s="1072"/>
      <c r="UHP1331" s="1072"/>
      <c r="UHQ1331" s="1072"/>
      <c r="UHR1331" s="1072"/>
      <c r="UHS1331" s="1072"/>
      <c r="UHT1331" s="1072"/>
      <c r="UHU1331" s="1072"/>
      <c r="UHV1331" s="1072"/>
      <c r="UHW1331" s="1072"/>
      <c r="UHX1331" s="1072"/>
      <c r="UHY1331" s="1072"/>
      <c r="UHZ1331" s="1072"/>
      <c r="UIA1331" s="1072"/>
      <c r="UIB1331" s="1072"/>
      <c r="UIC1331" s="1072"/>
      <c r="UID1331" s="1072"/>
      <c r="UIE1331" s="1072"/>
      <c r="UIF1331" s="1072"/>
      <c r="UIG1331" s="1072"/>
      <c r="UIH1331" s="1072"/>
      <c r="UII1331" s="1072"/>
      <c r="UIJ1331" s="1072"/>
      <c r="UIK1331" s="1072"/>
      <c r="UIL1331" s="1072"/>
      <c r="UIM1331" s="1072"/>
      <c r="UIN1331" s="1072"/>
      <c r="UIO1331" s="1072"/>
      <c r="UIP1331" s="1072"/>
      <c r="UIQ1331" s="1072"/>
      <c r="UIR1331" s="1072"/>
      <c r="UIS1331" s="1072"/>
      <c r="UIT1331" s="1072"/>
      <c r="UIU1331" s="1072"/>
      <c r="UIV1331" s="1072"/>
      <c r="UIW1331" s="1072"/>
      <c r="UIX1331" s="1072"/>
      <c r="UIY1331" s="1072"/>
      <c r="UIZ1331" s="1072"/>
      <c r="UJA1331" s="1072"/>
      <c r="UJB1331" s="1072"/>
      <c r="UJC1331" s="1072"/>
      <c r="UJD1331" s="1072"/>
      <c r="UJE1331" s="1072"/>
      <c r="UJF1331" s="1072"/>
      <c r="UJG1331" s="1072"/>
      <c r="UJH1331" s="1072"/>
      <c r="UJI1331" s="1072"/>
      <c r="UJJ1331" s="1072"/>
      <c r="UJK1331" s="1072"/>
      <c r="UJL1331" s="1072"/>
      <c r="UJM1331" s="1072"/>
      <c r="UJN1331" s="1072"/>
      <c r="UJO1331" s="1072"/>
      <c r="UJP1331" s="1072"/>
      <c r="UJQ1331" s="1072"/>
      <c r="UJR1331" s="1072"/>
      <c r="UJS1331" s="1072"/>
      <c r="UJT1331" s="1072"/>
      <c r="UJU1331" s="1072"/>
      <c r="UJV1331" s="1072"/>
      <c r="UJW1331" s="1072"/>
      <c r="UJX1331" s="1072"/>
      <c r="UJY1331" s="1072"/>
      <c r="UJZ1331" s="1072"/>
      <c r="UKA1331" s="1072"/>
      <c r="UKB1331" s="1072"/>
      <c r="UKC1331" s="1072"/>
      <c r="UKD1331" s="1072"/>
      <c r="UKE1331" s="1072"/>
      <c r="UKF1331" s="1072"/>
      <c r="UKG1331" s="1072"/>
      <c r="UKH1331" s="1072"/>
      <c r="UKI1331" s="1072"/>
      <c r="UKJ1331" s="1072"/>
      <c r="UKK1331" s="1072"/>
      <c r="UKL1331" s="1072"/>
      <c r="UKM1331" s="1072"/>
      <c r="UKN1331" s="1072"/>
      <c r="UKO1331" s="1072"/>
      <c r="UKP1331" s="1072"/>
      <c r="UKQ1331" s="1072"/>
      <c r="UKR1331" s="1072"/>
      <c r="UKS1331" s="1072"/>
      <c r="UKT1331" s="1072"/>
      <c r="UKU1331" s="1072"/>
      <c r="UKV1331" s="1072"/>
      <c r="UKW1331" s="1072"/>
      <c r="UKX1331" s="1072"/>
      <c r="UKY1331" s="1072"/>
      <c r="UKZ1331" s="1072"/>
      <c r="ULA1331" s="1072"/>
      <c r="ULB1331" s="1072"/>
      <c r="ULC1331" s="1072"/>
      <c r="ULD1331" s="1072"/>
      <c r="ULE1331" s="1072"/>
      <c r="ULF1331" s="1072"/>
      <c r="ULG1331" s="1072"/>
      <c r="ULH1331" s="1072"/>
      <c r="ULI1331" s="1072"/>
      <c r="ULJ1331" s="1072"/>
      <c r="ULK1331" s="1072"/>
      <c r="ULL1331" s="1072"/>
      <c r="ULM1331" s="1072"/>
      <c r="ULN1331" s="1072"/>
      <c r="ULO1331" s="1072"/>
      <c r="ULP1331" s="1072"/>
      <c r="ULQ1331" s="1072"/>
      <c r="ULR1331" s="1072"/>
      <c r="ULS1331" s="1072"/>
      <c r="ULT1331" s="1072"/>
      <c r="ULU1331" s="1072"/>
      <c r="ULV1331" s="1072"/>
      <c r="ULW1331" s="1072"/>
      <c r="ULX1331" s="1072"/>
      <c r="ULY1331" s="1072"/>
      <c r="ULZ1331" s="1072"/>
      <c r="UMA1331" s="1072"/>
      <c r="UMB1331" s="1072"/>
      <c r="UMC1331" s="1072"/>
      <c r="UMD1331" s="1072"/>
      <c r="UME1331" s="1072"/>
      <c r="UMF1331" s="1072"/>
      <c r="UMG1331" s="1072"/>
      <c r="UMH1331" s="1072"/>
      <c r="UMI1331" s="1072"/>
      <c r="UMJ1331" s="1072"/>
      <c r="UMK1331" s="1072"/>
      <c r="UML1331" s="1072"/>
      <c r="UMM1331" s="1072"/>
      <c r="UMN1331" s="1072"/>
      <c r="UMO1331" s="1072"/>
      <c r="UMP1331" s="1072"/>
      <c r="UMQ1331" s="1072"/>
      <c r="UMR1331" s="1072"/>
      <c r="UMS1331" s="1072"/>
      <c r="UMT1331" s="1072"/>
      <c r="UMU1331" s="1072"/>
      <c r="UMV1331" s="1072"/>
      <c r="UMW1331" s="1072"/>
      <c r="UMX1331" s="1072"/>
      <c r="UMY1331" s="1072"/>
      <c r="UMZ1331" s="1072"/>
      <c r="UNA1331" s="1072"/>
      <c r="UNB1331" s="1072"/>
      <c r="UNC1331" s="1072"/>
      <c r="UND1331" s="1072"/>
      <c r="UNE1331" s="1072"/>
      <c r="UNF1331" s="1072"/>
      <c r="UNG1331" s="1072"/>
      <c r="UNH1331" s="1072"/>
      <c r="UNI1331" s="1072"/>
      <c r="UNJ1331" s="1072"/>
      <c r="UNK1331" s="1072"/>
      <c r="UNL1331" s="1072"/>
      <c r="UNM1331" s="1072"/>
      <c r="UNN1331" s="1072"/>
      <c r="UNO1331" s="1072"/>
      <c r="UNP1331" s="1072"/>
      <c r="UNQ1331" s="1072"/>
      <c r="UNR1331" s="1072"/>
      <c r="UNS1331" s="1072"/>
      <c r="UNT1331" s="1072"/>
      <c r="UNU1331" s="1072"/>
      <c r="UNV1331" s="1072"/>
      <c r="UNW1331" s="1072"/>
      <c r="UNX1331" s="1072"/>
      <c r="UNY1331" s="1072"/>
      <c r="UNZ1331" s="1072"/>
      <c r="UOA1331" s="1072"/>
      <c r="UOB1331" s="1072"/>
      <c r="UOC1331" s="1072"/>
      <c r="UOD1331" s="1072"/>
      <c r="UOE1331" s="1072"/>
      <c r="UOF1331" s="1072"/>
      <c r="UOG1331" s="1072"/>
      <c r="UOH1331" s="1072"/>
      <c r="UOI1331" s="1072"/>
      <c r="UOJ1331" s="1072"/>
      <c r="UOK1331" s="1072"/>
      <c r="UOL1331" s="1072"/>
      <c r="UOM1331" s="1072"/>
      <c r="UON1331" s="1072"/>
      <c r="UOO1331" s="1072"/>
      <c r="UOP1331" s="1072"/>
      <c r="UOQ1331" s="1072"/>
      <c r="UOR1331" s="1072"/>
      <c r="UOS1331" s="1072"/>
      <c r="UOT1331" s="1072"/>
      <c r="UOU1331" s="1072"/>
      <c r="UOV1331" s="1072"/>
      <c r="UOW1331" s="1072"/>
      <c r="UOX1331" s="1072"/>
      <c r="UOY1331" s="1072"/>
      <c r="UOZ1331" s="1072"/>
      <c r="UPA1331" s="1072"/>
      <c r="UPB1331" s="1072"/>
      <c r="UPC1331" s="1072"/>
      <c r="UPD1331" s="1072"/>
      <c r="UPE1331" s="1072"/>
      <c r="UPF1331" s="1072"/>
      <c r="UPG1331" s="1072"/>
      <c r="UPH1331" s="1072"/>
      <c r="UPI1331" s="1072"/>
      <c r="UPJ1331" s="1072"/>
      <c r="UPK1331" s="1072"/>
      <c r="UPL1331" s="1072"/>
      <c r="UPM1331" s="1072"/>
      <c r="UPN1331" s="1072"/>
      <c r="UPO1331" s="1072"/>
      <c r="UPP1331" s="1072"/>
      <c r="UPQ1331" s="1072"/>
      <c r="UPR1331" s="1072"/>
      <c r="UPS1331" s="1072"/>
      <c r="UPT1331" s="1072"/>
      <c r="UPU1331" s="1072"/>
      <c r="UPV1331" s="1072"/>
      <c r="UPW1331" s="1072"/>
      <c r="UPX1331" s="1072"/>
      <c r="UPY1331" s="1072"/>
      <c r="UPZ1331" s="1072"/>
      <c r="UQA1331" s="1072"/>
      <c r="UQB1331" s="1072"/>
      <c r="UQC1331" s="1072"/>
      <c r="UQD1331" s="1072"/>
      <c r="UQE1331" s="1072"/>
      <c r="UQF1331" s="1072"/>
      <c r="UQG1331" s="1072"/>
      <c r="UQH1331" s="1072"/>
      <c r="UQI1331" s="1072"/>
      <c r="UQJ1331" s="1072"/>
      <c r="UQK1331" s="1072"/>
      <c r="UQL1331" s="1072"/>
      <c r="UQM1331" s="1072"/>
      <c r="UQN1331" s="1072"/>
      <c r="UQO1331" s="1072"/>
      <c r="UQP1331" s="1072"/>
      <c r="UQQ1331" s="1072"/>
      <c r="UQR1331" s="1072"/>
      <c r="UQS1331" s="1072"/>
      <c r="UQT1331" s="1072"/>
      <c r="UQU1331" s="1072"/>
      <c r="UQV1331" s="1072"/>
      <c r="UQW1331" s="1072"/>
      <c r="UQX1331" s="1072"/>
      <c r="UQY1331" s="1072"/>
      <c r="UQZ1331" s="1072"/>
      <c r="URA1331" s="1072"/>
      <c r="URB1331" s="1072"/>
      <c r="URC1331" s="1072"/>
      <c r="URD1331" s="1072"/>
      <c r="URE1331" s="1072"/>
      <c r="URF1331" s="1072"/>
      <c r="URG1331" s="1072"/>
      <c r="URH1331" s="1072"/>
      <c r="URI1331" s="1072"/>
      <c r="URJ1331" s="1072"/>
      <c r="URK1331" s="1072"/>
      <c r="URL1331" s="1072"/>
      <c r="URM1331" s="1072"/>
      <c r="URN1331" s="1072"/>
      <c r="URO1331" s="1072"/>
      <c r="URP1331" s="1072"/>
      <c r="URQ1331" s="1072"/>
      <c r="URR1331" s="1072"/>
      <c r="URS1331" s="1072"/>
      <c r="URT1331" s="1072"/>
      <c r="URU1331" s="1072"/>
      <c r="URV1331" s="1072"/>
      <c r="URW1331" s="1072"/>
      <c r="URX1331" s="1072"/>
      <c r="URY1331" s="1072"/>
      <c r="URZ1331" s="1072"/>
      <c r="USA1331" s="1072"/>
      <c r="USB1331" s="1072"/>
      <c r="USC1331" s="1072"/>
      <c r="USD1331" s="1072"/>
      <c r="USE1331" s="1072"/>
      <c r="USF1331" s="1072"/>
      <c r="USG1331" s="1072"/>
      <c r="USH1331" s="1072"/>
      <c r="USI1331" s="1072"/>
      <c r="USJ1331" s="1072"/>
      <c r="USK1331" s="1072"/>
      <c r="USL1331" s="1072"/>
      <c r="USM1331" s="1072"/>
      <c r="USN1331" s="1072"/>
      <c r="USO1331" s="1072"/>
      <c r="USP1331" s="1072"/>
      <c r="USQ1331" s="1072"/>
      <c r="USR1331" s="1072"/>
      <c r="USS1331" s="1072"/>
      <c r="UST1331" s="1072"/>
      <c r="USU1331" s="1072"/>
      <c r="USV1331" s="1072"/>
      <c r="USW1331" s="1072"/>
      <c r="USX1331" s="1072"/>
      <c r="USY1331" s="1072"/>
      <c r="USZ1331" s="1072"/>
      <c r="UTA1331" s="1072"/>
      <c r="UTB1331" s="1072"/>
      <c r="UTC1331" s="1072"/>
      <c r="UTD1331" s="1072"/>
      <c r="UTE1331" s="1072"/>
      <c r="UTF1331" s="1072"/>
      <c r="UTG1331" s="1072"/>
      <c r="UTH1331" s="1072"/>
      <c r="UTI1331" s="1072"/>
      <c r="UTJ1331" s="1072"/>
      <c r="UTK1331" s="1072"/>
      <c r="UTL1331" s="1072"/>
      <c r="UTM1331" s="1072"/>
      <c r="UTN1331" s="1072"/>
      <c r="UTO1331" s="1072"/>
      <c r="UTP1331" s="1072"/>
      <c r="UTQ1331" s="1072"/>
      <c r="UTR1331" s="1072"/>
      <c r="UTS1331" s="1072"/>
      <c r="UTT1331" s="1072"/>
      <c r="UTU1331" s="1072"/>
      <c r="UTV1331" s="1072"/>
      <c r="UTW1331" s="1072"/>
      <c r="UTX1331" s="1072"/>
      <c r="UTY1331" s="1072"/>
      <c r="UTZ1331" s="1072"/>
      <c r="UUA1331" s="1072"/>
      <c r="UUB1331" s="1072"/>
      <c r="UUC1331" s="1072"/>
      <c r="UUD1331" s="1072"/>
      <c r="UUE1331" s="1072"/>
      <c r="UUF1331" s="1072"/>
      <c r="UUG1331" s="1072"/>
      <c r="UUH1331" s="1072"/>
      <c r="UUI1331" s="1072"/>
      <c r="UUJ1331" s="1072"/>
      <c r="UUK1331" s="1072"/>
      <c r="UUL1331" s="1072"/>
      <c r="UUM1331" s="1072"/>
      <c r="UUN1331" s="1072"/>
      <c r="UUO1331" s="1072"/>
      <c r="UUP1331" s="1072"/>
      <c r="UUQ1331" s="1072"/>
      <c r="UUR1331" s="1072"/>
      <c r="UUS1331" s="1072"/>
      <c r="UUT1331" s="1072"/>
      <c r="UUU1331" s="1072"/>
      <c r="UUV1331" s="1072"/>
      <c r="UUW1331" s="1072"/>
      <c r="UUX1331" s="1072"/>
      <c r="UUY1331" s="1072"/>
      <c r="UUZ1331" s="1072"/>
      <c r="UVA1331" s="1072"/>
      <c r="UVB1331" s="1072"/>
      <c r="UVC1331" s="1072"/>
      <c r="UVD1331" s="1072"/>
      <c r="UVE1331" s="1072"/>
      <c r="UVF1331" s="1072"/>
      <c r="UVG1331" s="1072"/>
      <c r="UVH1331" s="1072"/>
      <c r="UVI1331" s="1072"/>
      <c r="UVJ1331" s="1072"/>
      <c r="UVK1331" s="1072"/>
      <c r="UVL1331" s="1072"/>
      <c r="UVM1331" s="1072"/>
      <c r="UVN1331" s="1072"/>
      <c r="UVO1331" s="1072"/>
      <c r="UVP1331" s="1072"/>
      <c r="UVQ1331" s="1072"/>
      <c r="UVR1331" s="1072"/>
      <c r="UVS1331" s="1072"/>
      <c r="UVT1331" s="1072"/>
      <c r="UVU1331" s="1072"/>
      <c r="UVV1331" s="1072"/>
      <c r="UVW1331" s="1072"/>
      <c r="UVX1331" s="1072"/>
      <c r="UVY1331" s="1072"/>
      <c r="UVZ1331" s="1072"/>
      <c r="UWA1331" s="1072"/>
      <c r="UWB1331" s="1072"/>
      <c r="UWC1331" s="1072"/>
      <c r="UWD1331" s="1072"/>
      <c r="UWE1331" s="1072"/>
      <c r="UWF1331" s="1072"/>
      <c r="UWG1331" s="1072"/>
      <c r="UWH1331" s="1072"/>
      <c r="UWI1331" s="1072"/>
      <c r="UWJ1331" s="1072"/>
      <c r="UWK1331" s="1072"/>
      <c r="UWL1331" s="1072"/>
      <c r="UWM1331" s="1072"/>
      <c r="UWN1331" s="1072"/>
      <c r="UWO1331" s="1072"/>
      <c r="UWP1331" s="1072"/>
      <c r="UWQ1331" s="1072"/>
      <c r="UWR1331" s="1072"/>
      <c r="UWS1331" s="1072"/>
      <c r="UWT1331" s="1072"/>
      <c r="UWU1331" s="1072"/>
      <c r="UWV1331" s="1072"/>
      <c r="UWW1331" s="1072"/>
      <c r="UWX1331" s="1072"/>
      <c r="UWY1331" s="1072"/>
      <c r="UWZ1331" s="1072"/>
      <c r="UXA1331" s="1072"/>
      <c r="UXB1331" s="1072"/>
      <c r="UXC1331" s="1072"/>
      <c r="UXD1331" s="1072"/>
      <c r="UXE1331" s="1072"/>
      <c r="UXF1331" s="1072"/>
      <c r="UXG1331" s="1072"/>
      <c r="UXH1331" s="1072"/>
      <c r="UXI1331" s="1072"/>
      <c r="UXJ1331" s="1072"/>
      <c r="UXK1331" s="1072"/>
      <c r="UXL1331" s="1072"/>
      <c r="UXM1331" s="1072"/>
      <c r="UXN1331" s="1072"/>
      <c r="UXO1331" s="1072"/>
      <c r="UXP1331" s="1072"/>
      <c r="UXQ1331" s="1072"/>
      <c r="UXR1331" s="1072"/>
      <c r="UXS1331" s="1072"/>
      <c r="UXT1331" s="1072"/>
      <c r="UXU1331" s="1072"/>
      <c r="UXV1331" s="1072"/>
      <c r="UXW1331" s="1072"/>
      <c r="UXX1331" s="1072"/>
      <c r="UXY1331" s="1072"/>
      <c r="UXZ1331" s="1072"/>
      <c r="UYA1331" s="1072"/>
      <c r="UYB1331" s="1072"/>
      <c r="UYC1331" s="1072"/>
      <c r="UYD1331" s="1072"/>
      <c r="UYE1331" s="1072"/>
      <c r="UYF1331" s="1072"/>
      <c r="UYG1331" s="1072"/>
      <c r="UYH1331" s="1072"/>
      <c r="UYI1331" s="1072"/>
      <c r="UYJ1331" s="1072"/>
      <c r="UYK1331" s="1072"/>
      <c r="UYL1331" s="1072"/>
      <c r="UYM1331" s="1072"/>
      <c r="UYN1331" s="1072"/>
      <c r="UYO1331" s="1072"/>
      <c r="UYP1331" s="1072"/>
      <c r="UYQ1331" s="1072"/>
      <c r="UYR1331" s="1072"/>
      <c r="UYS1331" s="1072"/>
      <c r="UYT1331" s="1072"/>
      <c r="UYU1331" s="1072"/>
      <c r="UYV1331" s="1072"/>
      <c r="UYW1331" s="1072"/>
      <c r="UYX1331" s="1072"/>
      <c r="UYY1331" s="1072"/>
      <c r="UYZ1331" s="1072"/>
      <c r="UZA1331" s="1072"/>
      <c r="UZB1331" s="1072"/>
      <c r="UZC1331" s="1072"/>
      <c r="UZD1331" s="1072"/>
      <c r="UZE1331" s="1072"/>
      <c r="UZF1331" s="1072"/>
      <c r="UZG1331" s="1072"/>
      <c r="UZH1331" s="1072"/>
      <c r="UZI1331" s="1072"/>
      <c r="UZJ1331" s="1072"/>
      <c r="UZK1331" s="1072"/>
      <c r="UZL1331" s="1072"/>
      <c r="UZM1331" s="1072"/>
      <c r="UZN1331" s="1072"/>
      <c r="UZO1331" s="1072"/>
      <c r="UZP1331" s="1072"/>
      <c r="UZQ1331" s="1072"/>
      <c r="UZR1331" s="1072"/>
      <c r="UZS1331" s="1072"/>
      <c r="UZT1331" s="1072"/>
      <c r="UZU1331" s="1072"/>
      <c r="UZV1331" s="1072"/>
      <c r="UZW1331" s="1072"/>
      <c r="UZX1331" s="1072"/>
      <c r="UZY1331" s="1072"/>
      <c r="UZZ1331" s="1072"/>
      <c r="VAA1331" s="1072"/>
      <c r="VAB1331" s="1072"/>
      <c r="VAC1331" s="1072"/>
      <c r="VAD1331" s="1072"/>
      <c r="VAE1331" s="1072"/>
      <c r="VAF1331" s="1072"/>
      <c r="VAG1331" s="1072"/>
      <c r="VAH1331" s="1072"/>
      <c r="VAI1331" s="1072"/>
      <c r="VAJ1331" s="1072"/>
      <c r="VAK1331" s="1072"/>
      <c r="VAL1331" s="1072"/>
      <c r="VAM1331" s="1072"/>
      <c r="VAN1331" s="1072"/>
      <c r="VAO1331" s="1072"/>
      <c r="VAP1331" s="1072"/>
      <c r="VAQ1331" s="1072"/>
      <c r="VAR1331" s="1072"/>
      <c r="VAS1331" s="1072"/>
      <c r="VAT1331" s="1072"/>
      <c r="VAU1331" s="1072"/>
      <c r="VAV1331" s="1072"/>
      <c r="VAW1331" s="1072"/>
      <c r="VAX1331" s="1072"/>
      <c r="VAY1331" s="1072"/>
      <c r="VAZ1331" s="1072"/>
      <c r="VBA1331" s="1072"/>
      <c r="VBB1331" s="1072"/>
      <c r="VBC1331" s="1072"/>
      <c r="VBD1331" s="1072"/>
      <c r="VBE1331" s="1072"/>
      <c r="VBF1331" s="1072"/>
      <c r="VBG1331" s="1072"/>
      <c r="VBH1331" s="1072"/>
      <c r="VBI1331" s="1072"/>
      <c r="VBJ1331" s="1072"/>
      <c r="VBK1331" s="1072"/>
      <c r="VBL1331" s="1072"/>
      <c r="VBM1331" s="1072"/>
      <c r="VBN1331" s="1072"/>
      <c r="VBO1331" s="1072"/>
      <c r="VBP1331" s="1072"/>
      <c r="VBQ1331" s="1072"/>
      <c r="VBR1331" s="1072"/>
      <c r="VBS1331" s="1072"/>
      <c r="VBT1331" s="1072"/>
      <c r="VBU1331" s="1072"/>
      <c r="VBV1331" s="1072"/>
      <c r="VBW1331" s="1072"/>
      <c r="VBX1331" s="1072"/>
      <c r="VBY1331" s="1072"/>
      <c r="VBZ1331" s="1072"/>
      <c r="VCA1331" s="1072"/>
      <c r="VCB1331" s="1072"/>
      <c r="VCC1331" s="1072"/>
      <c r="VCD1331" s="1072"/>
      <c r="VCE1331" s="1072"/>
      <c r="VCF1331" s="1072"/>
      <c r="VCG1331" s="1072"/>
      <c r="VCH1331" s="1072"/>
      <c r="VCI1331" s="1072"/>
      <c r="VCJ1331" s="1072"/>
      <c r="VCK1331" s="1072"/>
      <c r="VCL1331" s="1072"/>
      <c r="VCM1331" s="1072"/>
      <c r="VCN1331" s="1072"/>
      <c r="VCO1331" s="1072"/>
      <c r="VCP1331" s="1072"/>
      <c r="VCQ1331" s="1072"/>
      <c r="VCR1331" s="1072"/>
      <c r="VCS1331" s="1072"/>
      <c r="VCT1331" s="1072"/>
      <c r="VCU1331" s="1072"/>
      <c r="VCV1331" s="1072"/>
      <c r="VCW1331" s="1072"/>
      <c r="VCX1331" s="1072"/>
      <c r="VCY1331" s="1072"/>
      <c r="VCZ1331" s="1072"/>
      <c r="VDA1331" s="1072"/>
      <c r="VDB1331" s="1072"/>
      <c r="VDC1331" s="1072"/>
      <c r="VDD1331" s="1072"/>
      <c r="VDE1331" s="1072"/>
      <c r="VDF1331" s="1072"/>
      <c r="VDG1331" s="1072"/>
      <c r="VDH1331" s="1072"/>
      <c r="VDI1331" s="1072"/>
      <c r="VDJ1331" s="1072"/>
      <c r="VDK1331" s="1072"/>
      <c r="VDL1331" s="1072"/>
      <c r="VDM1331" s="1072"/>
      <c r="VDN1331" s="1072"/>
      <c r="VDO1331" s="1072"/>
      <c r="VDP1331" s="1072"/>
      <c r="VDQ1331" s="1072"/>
      <c r="VDR1331" s="1072"/>
      <c r="VDS1331" s="1072"/>
      <c r="VDT1331" s="1072"/>
      <c r="VDU1331" s="1072"/>
      <c r="VDV1331" s="1072"/>
      <c r="VDW1331" s="1072"/>
      <c r="VDX1331" s="1072"/>
      <c r="VDY1331" s="1072"/>
      <c r="VDZ1331" s="1072"/>
      <c r="VEA1331" s="1072"/>
      <c r="VEB1331" s="1072"/>
      <c r="VEC1331" s="1072"/>
      <c r="VED1331" s="1072"/>
      <c r="VEE1331" s="1072"/>
      <c r="VEF1331" s="1072"/>
      <c r="VEG1331" s="1072"/>
      <c r="VEH1331" s="1072"/>
      <c r="VEI1331" s="1072"/>
      <c r="VEJ1331" s="1072"/>
      <c r="VEK1331" s="1072"/>
      <c r="VEL1331" s="1072"/>
      <c r="VEM1331" s="1072"/>
      <c r="VEN1331" s="1072"/>
      <c r="VEO1331" s="1072"/>
      <c r="VEP1331" s="1072"/>
      <c r="VEQ1331" s="1072"/>
      <c r="VER1331" s="1072"/>
      <c r="VES1331" s="1072"/>
      <c r="VET1331" s="1072"/>
      <c r="VEU1331" s="1072"/>
      <c r="VEV1331" s="1072"/>
      <c r="VEW1331" s="1072"/>
      <c r="VEX1331" s="1072"/>
      <c r="VEY1331" s="1072"/>
      <c r="VEZ1331" s="1072"/>
      <c r="VFA1331" s="1072"/>
      <c r="VFB1331" s="1072"/>
      <c r="VFC1331" s="1072"/>
      <c r="VFD1331" s="1072"/>
      <c r="VFE1331" s="1072"/>
      <c r="VFF1331" s="1072"/>
      <c r="VFG1331" s="1072"/>
      <c r="VFH1331" s="1072"/>
      <c r="VFI1331" s="1072"/>
      <c r="VFJ1331" s="1072"/>
      <c r="VFK1331" s="1072"/>
      <c r="VFL1331" s="1072"/>
      <c r="VFM1331" s="1072"/>
      <c r="VFN1331" s="1072"/>
      <c r="VFO1331" s="1072"/>
      <c r="VFP1331" s="1072"/>
      <c r="VFQ1331" s="1072"/>
      <c r="VFR1331" s="1072"/>
      <c r="VFS1331" s="1072"/>
      <c r="VFT1331" s="1072"/>
      <c r="VFU1331" s="1072"/>
      <c r="VFV1331" s="1072"/>
      <c r="VFW1331" s="1072"/>
      <c r="VFX1331" s="1072"/>
      <c r="VFY1331" s="1072"/>
      <c r="VFZ1331" s="1072"/>
      <c r="VGA1331" s="1072"/>
      <c r="VGB1331" s="1072"/>
      <c r="VGC1331" s="1072"/>
      <c r="VGD1331" s="1072"/>
      <c r="VGE1331" s="1072"/>
      <c r="VGF1331" s="1072"/>
      <c r="VGG1331" s="1072"/>
      <c r="VGH1331" s="1072"/>
      <c r="VGI1331" s="1072"/>
      <c r="VGJ1331" s="1072"/>
      <c r="VGK1331" s="1072"/>
      <c r="VGL1331" s="1072"/>
      <c r="VGM1331" s="1072"/>
      <c r="VGN1331" s="1072"/>
      <c r="VGO1331" s="1072"/>
      <c r="VGP1331" s="1072"/>
      <c r="VGQ1331" s="1072"/>
      <c r="VGR1331" s="1072"/>
      <c r="VGS1331" s="1072"/>
      <c r="VGT1331" s="1072"/>
      <c r="VGU1331" s="1072"/>
      <c r="VGV1331" s="1072"/>
      <c r="VGW1331" s="1072"/>
      <c r="VGX1331" s="1072"/>
      <c r="VGY1331" s="1072"/>
      <c r="VGZ1331" s="1072"/>
      <c r="VHA1331" s="1072"/>
      <c r="VHB1331" s="1072"/>
      <c r="VHC1331" s="1072"/>
      <c r="VHD1331" s="1072"/>
      <c r="VHE1331" s="1072"/>
      <c r="VHF1331" s="1072"/>
      <c r="VHG1331" s="1072"/>
      <c r="VHH1331" s="1072"/>
      <c r="VHI1331" s="1072"/>
      <c r="VHJ1331" s="1072"/>
      <c r="VHK1331" s="1072"/>
      <c r="VHL1331" s="1072"/>
      <c r="VHM1331" s="1072"/>
      <c r="VHN1331" s="1072"/>
      <c r="VHO1331" s="1072"/>
      <c r="VHP1331" s="1072"/>
      <c r="VHQ1331" s="1072"/>
      <c r="VHR1331" s="1072"/>
      <c r="VHS1331" s="1072"/>
      <c r="VHT1331" s="1072"/>
      <c r="VHU1331" s="1072"/>
      <c r="VHV1331" s="1072"/>
      <c r="VHW1331" s="1072"/>
      <c r="VHX1331" s="1072"/>
      <c r="VHY1331" s="1072"/>
      <c r="VHZ1331" s="1072"/>
      <c r="VIA1331" s="1072"/>
      <c r="VIB1331" s="1072"/>
      <c r="VIC1331" s="1072"/>
      <c r="VID1331" s="1072"/>
      <c r="VIE1331" s="1072"/>
      <c r="VIF1331" s="1072"/>
      <c r="VIG1331" s="1072"/>
      <c r="VIH1331" s="1072"/>
      <c r="VII1331" s="1072"/>
      <c r="VIJ1331" s="1072"/>
      <c r="VIK1331" s="1072"/>
      <c r="VIL1331" s="1072"/>
      <c r="VIM1331" s="1072"/>
      <c r="VIN1331" s="1072"/>
      <c r="VIO1331" s="1072"/>
      <c r="VIP1331" s="1072"/>
      <c r="VIQ1331" s="1072"/>
      <c r="VIR1331" s="1072"/>
      <c r="VIS1331" s="1072"/>
      <c r="VIT1331" s="1072"/>
      <c r="VIU1331" s="1072"/>
      <c r="VIV1331" s="1072"/>
      <c r="VIW1331" s="1072"/>
      <c r="VIX1331" s="1072"/>
      <c r="VIY1331" s="1072"/>
      <c r="VIZ1331" s="1072"/>
      <c r="VJA1331" s="1072"/>
      <c r="VJB1331" s="1072"/>
      <c r="VJC1331" s="1072"/>
      <c r="VJD1331" s="1072"/>
      <c r="VJE1331" s="1072"/>
      <c r="VJF1331" s="1072"/>
      <c r="VJG1331" s="1072"/>
      <c r="VJH1331" s="1072"/>
      <c r="VJI1331" s="1072"/>
      <c r="VJJ1331" s="1072"/>
      <c r="VJK1331" s="1072"/>
      <c r="VJL1331" s="1072"/>
      <c r="VJM1331" s="1072"/>
      <c r="VJN1331" s="1072"/>
      <c r="VJO1331" s="1072"/>
      <c r="VJP1331" s="1072"/>
      <c r="VJQ1331" s="1072"/>
      <c r="VJR1331" s="1072"/>
      <c r="VJS1331" s="1072"/>
      <c r="VJT1331" s="1072"/>
      <c r="VJU1331" s="1072"/>
      <c r="VJV1331" s="1072"/>
      <c r="VJW1331" s="1072"/>
      <c r="VJX1331" s="1072"/>
      <c r="VJY1331" s="1072"/>
      <c r="VJZ1331" s="1072"/>
      <c r="VKA1331" s="1072"/>
      <c r="VKB1331" s="1072"/>
      <c r="VKC1331" s="1072"/>
      <c r="VKD1331" s="1072"/>
      <c r="VKE1331" s="1072"/>
      <c r="VKF1331" s="1072"/>
      <c r="VKG1331" s="1072"/>
      <c r="VKH1331" s="1072"/>
      <c r="VKI1331" s="1072"/>
      <c r="VKJ1331" s="1072"/>
      <c r="VKK1331" s="1072"/>
      <c r="VKL1331" s="1072"/>
      <c r="VKM1331" s="1072"/>
      <c r="VKN1331" s="1072"/>
      <c r="VKO1331" s="1072"/>
      <c r="VKP1331" s="1072"/>
      <c r="VKQ1331" s="1072"/>
      <c r="VKR1331" s="1072"/>
      <c r="VKS1331" s="1072"/>
      <c r="VKT1331" s="1072"/>
      <c r="VKU1331" s="1072"/>
      <c r="VKV1331" s="1072"/>
      <c r="VKW1331" s="1072"/>
      <c r="VKX1331" s="1072"/>
      <c r="VKY1331" s="1072"/>
      <c r="VKZ1331" s="1072"/>
      <c r="VLA1331" s="1072"/>
      <c r="VLB1331" s="1072"/>
      <c r="VLC1331" s="1072"/>
      <c r="VLD1331" s="1072"/>
      <c r="VLE1331" s="1072"/>
      <c r="VLF1331" s="1072"/>
      <c r="VLG1331" s="1072"/>
      <c r="VLH1331" s="1072"/>
      <c r="VLI1331" s="1072"/>
      <c r="VLJ1331" s="1072"/>
      <c r="VLK1331" s="1072"/>
      <c r="VLL1331" s="1072"/>
      <c r="VLM1331" s="1072"/>
      <c r="VLN1331" s="1072"/>
      <c r="VLO1331" s="1072"/>
      <c r="VLP1331" s="1072"/>
      <c r="VLQ1331" s="1072"/>
      <c r="VLR1331" s="1072"/>
      <c r="VLS1331" s="1072"/>
      <c r="VLT1331" s="1072"/>
      <c r="VLU1331" s="1072"/>
      <c r="VLV1331" s="1072"/>
      <c r="VLW1331" s="1072"/>
      <c r="VLX1331" s="1072"/>
      <c r="VLY1331" s="1072"/>
      <c r="VLZ1331" s="1072"/>
      <c r="VMA1331" s="1072"/>
      <c r="VMB1331" s="1072"/>
      <c r="VMC1331" s="1072"/>
      <c r="VMD1331" s="1072"/>
      <c r="VME1331" s="1072"/>
      <c r="VMF1331" s="1072"/>
      <c r="VMG1331" s="1072"/>
      <c r="VMH1331" s="1072"/>
      <c r="VMI1331" s="1072"/>
      <c r="VMJ1331" s="1072"/>
      <c r="VMK1331" s="1072"/>
      <c r="VML1331" s="1072"/>
      <c r="VMM1331" s="1072"/>
      <c r="VMN1331" s="1072"/>
      <c r="VMO1331" s="1072"/>
      <c r="VMP1331" s="1072"/>
      <c r="VMQ1331" s="1072"/>
      <c r="VMR1331" s="1072"/>
      <c r="VMS1331" s="1072"/>
      <c r="VMT1331" s="1072"/>
      <c r="VMU1331" s="1072"/>
      <c r="VMV1331" s="1072"/>
      <c r="VMW1331" s="1072"/>
      <c r="VMX1331" s="1072"/>
      <c r="VMY1331" s="1072"/>
      <c r="VMZ1331" s="1072"/>
      <c r="VNA1331" s="1072"/>
      <c r="VNB1331" s="1072"/>
      <c r="VNC1331" s="1072"/>
      <c r="VND1331" s="1072"/>
      <c r="VNE1331" s="1072"/>
      <c r="VNF1331" s="1072"/>
      <c r="VNG1331" s="1072"/>
      <c r="VNH1331" s="1072"/>
      <c r="VNI1331" s="1072"/>
      <c r="VNJ1331" s="1072"/>
      <c r="VNK1331" s="1072"/>
      <c r="VNL1331" s="1072"/>
      <c r="VNM1331" s="1072"/>
      <c r="VNN1331" s="1072"/>
      <c r="VNO1331" s="1072"/>
      <c r="VNP1331" s="1072"/>
      <c r="VNQ1331" s="1072"/>
      <c r="VNR1331" s="1072"/>
      <c r="VNS1331" s="1072"/>
      <c r="VNT1331" s="1072"/>
      <c r="VNU1331" s="1072"/>
      <c r="VNV1331" s="1072"/>
      <c r="VNW1331" s="1072"/>
      <c r="VNX1331" s="1072"/>
      <c r="VNY1331" s="1072"/>
      <c r="VNZ1331" s="1072"/>
      <c r="VOA1331" s="1072"/>
      <c r="VOB1331" s="1072"/>
      <c r="VOC1331" s="1072"/>
      <c r="VOD1331" s="1072"/>
      <c r="VOE1331" s="1072"/>
      <c r="VOF1331" s="1072"/>
      <c r="VOG1331" s="1072"/>
      <c r="VOH1331" s="1072"/>
      <c r="VOI1331" s="1072"/>
      <c r="VOJ1331" s="1072"/>
      <c r="VOK1331" s="1072"/>
      <c r="VOL1331" s="1072"/>
      <c r="VOM1331" s="1072"/>
      <c r="VON1331" s="1072"/>
      <c r="VOO1331" s="1072"/>
      <c r="VOP1331" s="1072"/>
      <c r="VOQ1331" s="1072"/>
      <c r="VOR1331" s="1072"/>
      <c r="VOS1331" s="1072"/>
      <c r="VOT1331" s="1072"/>
      <c r="VOU1331" s="1072"/>
      <c r="VOV1331" s="1072"/>
      <c r="VOW1331" s="1072"/>
      <c r="VOX1331" s="1072"/>
      <c r="VOY1331" s="1072"/>
      <c r="VOZ1331" s="1072"/>
      <c r="VPA1331" s="1072"/>
      <c r="VPB1331" s="1072"/>
      <c r="VPC1331" s="1072"/>
      <c r="VPD1331" s="1072"/>
      <c r="VPE1331" s="1072"/>
      <c r="VPF1331" s="1072"/>
      <c r="VPG1331" s="1072"/>
      <c r="VPH1331" s="1072"/>
      <c r="VPI1331" s="1072"/>
      <c r="VPJ1331" s="1072"/>
      <c r="VPK1331" s="1072"/>
      <c r="VPL1331" s="1072"/>
      <c r="VPM1331" s="1072"/>
      <c r="VPN1331" s="1072"/>
      <c r="VPO1331" s="1072"/>
      <c r="VPP1331" s="1072"/>
      <c r="VPQ1331" s="1072"/>
      <c r="VPR1331" s="1072"/>
      <c r="VPS1331" s="1072"/>
      <c r="VPT1331" s="1072"/>
      <c r="VPU1331" s="1072"/>
      <c r="VPV1331" s="1072"/>
      <c r="VPW1331" s="1072"/>
      <c r="VPX1331" s="1072"/>
      <c r="VPY1331" s="1072"/>
      <c r="VPZ1331" s="1072"/>
      <c r="VQA1331" s="1072"/>
      <c r="VQB1331" s="1072"/>
      <c r="VQC1331" s="1072"/>
      <c r="VQD1331" s="1072"/>
      <c r="VQE1331" s="1072"/>
      <c r="VQF1331" s="1072"/>
      <c r="VQG1331" s="1072"/>
      <c r="VQH1331" s="1072"/>
      <c r="VQI1331" s="1072"/>
      <c r="VQJ1331" s="1072"/>
      <c r="VQK1331" s="1072"/>
      <c r="VQL1331" s="1072"/>
      <c r="VQM1331" s="1072"/>
      <c r="VQN1331" s="1072"/>
      <c r="VQO1331" s="1072"/>
      <c r="VQP1331" s="1072"/>
      <c r="VQQ1331" s="1072"/>
      <c r="VQR1331" s="1072"/>
      <c r="VQS1331" s="1072"/>
      <c r="VQT1331" s="1072"/>
      <c r="VQU1331" s="1072"/>
      <c r="VQV1331" s="1072"/>
      <c r="VQW1331" s="1072"/>
      <c r="VQX1331" s="1072"/>
      <c r="VQY1331" s="1072"/>
      <c r="VQZ1331" s="1072"/>
      <c r="VRA1331" s="1072"/>
      <c r="VRB1331" s="1072"/>
      <c r="VRC1331" s="1072"/>
      <c r="VRD1331" s="1072"/>
      <c r="VRE1331" s="1072"/>
      <c r="VRF1331" s="1072"/>
      <c r="VRG1331" s="1072"/>
      <c r="VRH1331" s="1072"/>
      <c r="VRI1331" s="1072"/>
      <c r="VRJ1331" s="1072"/>
      <c r="VRK1331" s="1072"/>
      <c r="VRL1331" s="1072"/>
      <c r="VRM1331" s="1072"/>
      <c r="VRN1331" s="1072"/>
      <c r="VRO1331" s="1072"/>
      <c r="VRP1331" s="1072"/>
      <c r="VRQ1331" s="1072"/>
      <c r="VRR1331" s="1072"/>
      <c r="VRS1331" s="1072"/>
      <c r="VRT1331" s="1072"/>
      <c r="VRU1331" s="1072"/>
      <c r="VRV1331" s="1072"/>
      <c r="VRW1331" s="1072"/>
      <c r="VRX1331" s="1072"/>
      <c r="VRY1331" s="1072"/>
      <c r="VRZ1331" s="1072"/>
      <c r="VSA1331" s="1072"/>
      <c r="VSB1331" s="1072"/>
      <c r="VSC1331" s="1072"/>
      <c r="VSD1331" s="1072"/>
      <c r="VSE1331" s="1072"/>
      <c r="VSF1331" s="1072"/>
      <c r="VSG1331" s="1072"/>
      <c r="VSH1331" s="1072"/>
      <c r="VSI1331" s="1072"/>
      <c r="VSJ1331" s="1072"/>
      <c r="VSK1331" s="1072"/>
      <c r="VSL1331" s="1072"/>
      <c r="VSM1331" s="1072"/>
      <c r="VSN1331" s="1072"/>
      <c r="VSO1331" s="1072"/>
      <c r="VSP1331" s="1072"/>
      <c r="VSQ1331" s="1072"/>
      <c r="VSR1331" s="1072"/>
      <c r="VSS1331" s="1072"/>
      <c r="VST1331" s="1072"/>
      <c r="VSU1331" s="1072"/>
      <c r="VSV1331" s="1072"/>
      <c r="VSW1331" s="1072"/>
      <c r="VSX1331" s="1072"/>
      <c r="VSY1331" s="1072"/>
      <c r="VSZ1331" s="1072"/>
      <c r="VTA1331" s="1072"/>
      <c r="VTB1331" s="1072"/>
      <c r="VTC1331" s="1072"/>
      <c r="VTD1331" s="1072"/>
      <c r="VTE1331" s="1072"/>
      <c r="VTF1331" s="1072"/>
      <c r="VTG1331" s="1072"/>
      <c r="VTH1331" s="1072"/>
      <c r="VTI1331" s="1072"/>
      <c r="VTJ1331" s="1072"/>
      <c r="VTK1331" s="1072"/>
      <c r="VTL1331" s="1072"/>
      <c r="VTM1331" s="1072"/>
      <c r="VTN1331" s="1072"/>
      <c r="VTO1331" s="1072"/>
      <c r="VTP1331" s="1072"/>
      <c r="VTQ1331" s="1072"/>
      <c r="VTR1331" s="1072"/>
      <c r="VTS1331" s="1072"/>
      <c r="VTT1331" s="1072"/>
      <c r="VTU1331" s="1072"/>
      <c r="VTV1331" s="1072"/>
      <c r="VTW1331" s="1072"/>
      <c r="VTX1331" s="1072"/>
      <c r="VTY1331" s="1072"/>
      <c r="VTZ1331" s="1072"/>
      <c r="VUA1331" s="1072"/>
      <c r="VUB1331" s="1072"/>
      <c r="VUC1331" s="1072"/>
      <c r="VUD1331" s="1072"/>
      <c r="VUE1331" s="1072"/>
      <c r="VUF1331" s="1072"/>
      <c r="VUG1331" s="1072"/>
      <c r="VUH1331" s="1072"/>
      <c r="VUI1331" s="1072"/>
      <c r="VUJ1331" s="1072"/>
      <c r="VUK1331" s="1072"/>
      <c r="VUL1331" s="1072"/>
      <c r="VUM1331" s="1072"/>
      <c r="VUN1331" s="1072"/>
      <c r="VUO1331" s="1072"/>
      <c r="VUP1331" s="1072"/>
      <c r="VUQ1331" s="1072"/>
      <c r="VUR1331" s="1072"/>
      <c r="VUS1331" s="1072"/>
      <c r="VUT1331" s="1072"/>
      <c r="VUU1331" s="1072"/>
      <c r="VUV1331" s="1072"/>
      <c r="VUW1331" s="1072"/>
      <c r="VUX1331" s="1072"/>
      <c r="VUY1331" s="1072"/>
      <c r="VUZ1331" s="1072"/>
      <c r="VVA1331" s="1072"/>
      <c r="VVB1331" s="1072"/>
      <c r="VVC1331" s="1072"/>
      <c r="VVD1331" s="1072"/>
      <c r="VVE1331" s="1072"/>
      <c r="VVF1331" s="1072"/>
      <c r="VVG1331" s="1072"/>
      <c r="VVH1331" s="1072"/>
      <c r="VVI1331" s="1072"/>
      <c r="VVJ1331" s="1072"/>
      <c r="VVK1331" s="1072"/>
      <c r="VVL1331" s="1072"/>
      <c r="VVM1331" s="1072"/>
      <c r="VVN1331" s="1072"/>
      <c r="VVO1331" s="1072"/>
      <c r="VVP1331" s="1072"/>
      <c r="VVQ1331" s="1072"/>
      <c r="VVR1331" s="1072"/>
      <c r="VVS1331" s="1072"/>
      <c r="VVT1331" s="1072"/>
      <c r="VVU1331" s="1072"/>
      <c r="VVV1331" s="1072"/>
      <c r="VVW1331" s="1072"/>
      <c r="VVX1331" s="1072"/>
      <c r="VVY1331" s="1072"/>
      <c r="VVZ1331" s="1072"/>
      <c r="VWA1331" s="1072"/>
      <c r="VWB1331" s="1072"/>
      <c r="VWC1331" s="1072"/>
      <c r="VWD1331" s="1072"/>
      <c r="VWE1331" s="1072"/>
      <c r="VWF1331" s="1072"/>
      <c r="VWG1331" s="1072"/>
      <c r="VWH1331" s="1072"/>
      <c r="VWI1331" s="1072"/>
      <c r="VWJ1331" s="1072"/>
      <c r="VWK1331" s="1072"/>
      <c r="VWL1331" s="1072"/>
      <c r="VWM1331" s="1072"/>
      <c r="VWN1331" s="1072"/>
      <c r="VWO1331" s="1072"/>
      <c r="VWP1331" s="1072"/>
      <c r="VWQ1331" s="1072"/>
      <c r="VWR1331" s="1072"/>
      <c r="VWS1331" s="1072"/>
      <c r="VWT1331" s="1072"/>
      <c r="VWU1331" s="1072"/>
      <c r="VWV1331" s="1072"/>
      <c r="VWW1331" s="1072"/>
      <c r="VWX1331" s="1072"/>
      <c r="VWY1331" s="1072"/>
      <c r="VWZ1331" s="1072"/>
      <c r="VXA1331" s="1072"/>
      <c r="VXB1331" s="1072"/>
      <c r="VXC1331" s="1072"/>
      <c r="VXD1331" s="1072"/>
      <c r="VXE1331" s="1072"/>
      <c r="VXF1331" s="1072"/>
      <c r="VXG1331" s="1072"/>
      <c r="VXH1331" s="1072"/>
      <c r="VXI1331" s="1072"/>
      <c r="VXJ1331" s="1072"/>
      <c r="VXK1331" s="1072"/>
      <c r="VXL1331" s="1072"/>
      <c r="VXM1331" s="1072"/>
      <c r="VXN1331" s="1072"/>
      <c r="VXO1331" s="1072"/>
      <c r="VXP1331" s="1072"/>
      <c r="VXQ1331" s="1072"/>
      <c r="VXR1331" s="1072"/>
      <c r="VXS1331" s="1072"/>
      <c r="VXT1331" s="1072"/>
      <c r="VXU1331" s="1072"/>
      <c r="VXV1331" s="1072"/>
      <c r="VXW1331" s="1072"/>
      <c r="VXX1331" s="1072"/>
      <c r="VXY1331" s="1072"/>
      <c r="VXZ1331" s="1072"/>
      <c r="VYA1331" s="1072"/>
      <c r="VYB1331" s="1072"/>
      <c r="VYC1331" s="1072"/>
      <c r="VYD1331" s="1072"/>
      <c r="VYE1331" s="1072"/>
      <c r="VYF1331" s="1072"/>
      <c r="VYG1331" s="1072"/>
      <c r="VYH1331" s="1072"/>
      <c r="VYI1331" s="1072"/>
      <c r="VYJ1331" s="1072"/>
      <c r="VYK1331" s="1072"/>
      <c r="VYL1331" s="1072"/>
      <c r="VYM1331" s="1072"/>
      <c r="VYN1331" s="1072"/>
      <c r="VYO1331" s="1072"/>
      <c r="VYP1331" s="1072"/>
      <c r="VYQ1331" s="1072"/>
      <c r="VYR1331" s="1072"/>
      <c r="VYS1331" s="1072"/>
      <c r="VYT1331" s="1072"/>
      <c r="VYU1331" s="1072"/>
      <c r="VYV1331" s="1072"/>
      <c r="VYW1331" s="1072"/>
      <c r="VYX1331" s="1072"/>
      <c r="VYY1331" s="1072"/>
      <c r="VYZ1331" s="1072"/>
      <c r="VZA1331" s="1072"/>
      <c r="VZB1331" s="1072"/>
      <c r="VZC1331" s="1072"/>
      <c r="VZD1331" s="1072"/>
      <c r="VZE1331" s="1072"/>
      <c r="VZF1331" s="1072"/>
      <c r="VZG1331" s="1072"/>
      <c r="VZH1331" s="1072"/>
      <c r="VZI1331" s="1072"/>
      <c r="VZJ1331" s="1072"/>
      <c r="VZK1331" s="1072"/>
      <c r="VZL1331" s="1072"/>
      <c r="VZM1331" s="1072"/>
      <c r="VZN1331" s="1072"/>
      <c r="VZO1331" s="1072"/>
      <c r="VZP1331" s="1072"/>
      <c r="VZQ1331" s="1072"/>
      <c r="VZR1331" s="1072"/>
      <c r="VZS1331" s="1072"/>
      <c r="VZT1331" s="1072"/>
      <c r="VZU1331" s="1072"/>
      <c r="VZV1331" s="1072"/>
      <c r="VZW1331" s="1072"/>
      <c r="VZX1331" s="1072"/>
      <c r="VZY1331" s="1072"/>
      <c r="VZZ1331" s="1072"/>
      <c r="WAA1331" s="1072"/>
      <c r="WAB1331" s="1072"/>
      <c r="WAC1331" s="1072"/>
      <c r="WAD1331" s="1072"/>
      <c r="WAE1331" s="1072"/>
      <c r="WAF1331" s="1072"/>
      <c r="WAG1331" s="1072"/>
      <c r="WAH1331" s="1072"/>
      <c r="WAI1331" s="1072"/>
      <c r="WAJ1331" s="1072"/>
      <c r="WAK1331" s="1072"/>
      <c r="WAL1331" s="1072"/>
      <c r="WAM1331" s="1072"/>
      <c r="WAN1331" s="1072"/>
      <c r="WAO1331" s="1072"/>
      <c r="WAP1331" s="1072"/>
      <c r="WAQ1331" s="1072"/>
      <c r="WAR1331" s="1072"/>
      <c r="WAS1331" s="1072"/>
      <c r="WAT1331" s="1072"/>
      <c r="WAU1331" s="1072"/>
      <c r="WAV1331" s="1072"/>
      <c r="WAW1331" s="1072"/>
      <c r="WAX1331" s="1072"/>
      <c r="WAY1331" s="1072"/>
      <c r="WAZ1331" s="1072"/>
      <c r="WBA1331" s="1072"/>
      <c r="WBB1331" s="1072"/>
      <c r="WBC1331" s="1072"/>
      <c r="WBD1331" s="1072"/>
      <c r="WBE1331" s="1072"/>
      <c r="WBF1331" s="1072"/>
      <c r="WBG1331" s="1072"/>
      <c r="WBH1331" s="1072"/>
      <c r="WBI1331" s="1072"/>
      <c r="WBJ1331" s="1072"/>
      <c r="WBK1331" s="1072"/>
      <c r="WBL1331" s="1072"/>
      <c r="WBM1331" s="1072"/>
      <c r="WBN1331" s="1072"/>
      <c r="WBO1331" s="1072"/>
      <c r="WBP1331" s="1072"/>
      <c r="WBQ1331" s="1072"/>
      <c r="WBR1331" s="1072"/>
      <c r="WBS1331" s="1072"/>
      <c r="WBT1331" s="1072"/>
      <c r="WBU1331" s="1072"/>
      <c r="WBV1331" s="1072"/>
      <c r="WBW1331" s="1072"/>
      <c r="WBX1331" s="1072"/>
      <c r="WBY1331" s="1072"/>
      <c r="WBZ1331" s="1072"/>
      <c r="WCA1331" s="1072"/>
      <c r="WCB1331" s="1072"/>
      <c r="WCC1331" s="1072"/>
      <c r="WCD1331" s="1072"/>
      <c r="WCE1331" s="1072"/>
      <c r="WCF1331" s="1072"/>
      <c r="WCG1331" s="1072"/>
      <c r="WCH1331" s="1072"/>
      <c r="WCI1331" s="1072"/>
      <c r="WCJ1331" s="1072"/>
      <c r="WCK1331" s="1072"/>
      <c r="WCL1331" s="1072"/>
      <c r="WCM1331" s="1072"/>
      <c r="WCN1331" s="1072"/>
      <c r="WCO1331" s="1072"/>
      <c r="WCP1331" s="1072"/>
      <c r="WCQ1331" s="1072"/>
      <c r="WCR1331" s="1072"/>
      <c r="WCS1331" s="1072"/>
      <c r="WCT1331" s="1072"/>
      <c r="WCU1331" s="1072"/>
      <c r="WCV1331" s="1072"/>
      <c r="WCW1331" s="1072"/>
      <c r="WCX1331" s="1072"/>
      <c r="WCY1331" s="1072"/>
      <c r="WCZ1331" s="1072"/>
      <c r="WDA1331" s="1072"/>
      <c r="WDB1331" s="1072"/>
      <c r="WDC1331" s="1072"/>
      <c r="WDD1331" s="1072"/>
      <c r="WDE1331" s="1072"/>
      <c r="WDF1331" s="1072"/>
      <c r="WDG1331" s="1072"/>
      <c r="WDH1331" s="1072"/>
      <c r="WDI1331" s="1072"/>
      <c r="WDJ1331" s="1072"/>
      <c r="WDK1331" s="1072"/>
      <c r="WDL1331" s="1072"/>
      <c r="WDM1331" s="1072"/>
      <c r="WDN1331" s="1072"/>
      <c r="WDO1331" s="1072"/>
      <c r="WDP1331" s="1072"/>
      <c r="WDQ1331" s="1072"/>
      <c r="WDR1331" s="1072"/>
      <c r="WDS1331" s="1072"/>
      <c r="WDT1331" s="1072"/>
      <c r="WDU1331" s="1072"/>
      <c r="WDV1331" s="1072"/>
      <c r="WDW1331" s="1072"/>
      <c r="WDX1331" s="1072"/>
      <c r="WDY1331" s="1072"/>
      <c r="WDZ1331" s="1072"/>
      <c r="WEA1331" s="1072"/>
      <c r="WEB1331" s="1072"/>
      <c r="WEC1331" s="1072"/>
      <c r="WED1331" s="1072"/>
      <c r="WEE1331" s="1072"/>
      <c r="WEF1331" s="1072"/>
      <c r="WEG1331" s="1072"/>
      <c r="WEH1331" s="1072"/>
      <c r="WEI1331" s="1072"/>
      <c r="WEJ1331" s="1072"/>
      <c r="WEK1331" s="1072"/>
      <c r="WEL1331" s="1072"/>
      <c r="WEM1331" s="1072"/>
      <c r="WEN1331" s="1072"/>
      <c r="WEO1331" s="1072"/>
      <c r="WEP1331" s="1072"/>
      <c r="WEQ1331" s="1072"/>
      <c r="WER1331" s="1072"/>
      <c r="WES1331" s="1072"/>
      <c r="WET1331" s="1072"/>
      <c r="WEU1331" s="1072"/>
      <c r="WEV1331" s="1072"/>
      <c r="WEW1331" s="1072"/>
      <c r="WEX1331" s="1072"/>
      <c r="WEY1331" s="1072"/>
      <c r="WEZ1331" s="1072"/>
      <c r="WFA1331" s="1072"/>
      <c r="WFB1331" s="1072"/>
      <c r="WFC1331" s="1072"/>
      <c r="WFD1331" s="1072"/>
      <c r="WFE1331" s="1072"/>
      <c r="WFF1331" s="1072"/>
      <c r="WFG1331" s="1072"/>
      <c r="WFH1331" s="1072"/>
      <c r="WFI1331" s="1072"/>
      <c r="WFJ1331" s="1072"/>
      <c r="WFK1331" s="1072"/>
      <c r="WFL1331" s="1072"/>
      <c r="WFM1331" s="1072"/>
      <c r="WFN1331" s="1072"/>
      <c r="WFO1331" s="1072"/>
      <c r="WFP1331" s="1072"/>
      <c r="WFQ1331" s="1072"/>
      <c r="WFR1331" s="1072"/>
      <c r="WFS1331" s="1072"/>
      <c r="WFT1331" s="1072"/>
      <c r="WFU1331" s="1072"/>
      <c r="WFV1331" s="1072"/>
      <c r="WFW1331" s="1072"/>
      <c r="WFX1331" s="1072"/>
      <c r="WFY1331" s="1072"/>
      <c r="WFZ1331" s="1072"/>
      <c r="WGA1331" s="1072"/>
      <c r="WGB1331" s="1072"/>
      <c r="WGC1331" s="1072"/>
      <c r="WGD1331" s="1072"/>
      <c r="WGE1331" s="1072"/>
      <c r="WGF1331" s="1072"/>
      <c r="WGG1331" s="1072"/>
      <c r="WGH1331" s="1072"/>
      <c r="WGI1331" s="1072"/>
      <c r="WGJ1331" s="1072"/>
      <c r="WGK1331" s="1072"/>
      <c r="WGL1331" s="1072"/>
      <c r="WGM1331" s="1072"/>
      <c r="WGN1331" s="1072"/>
      <c r="WGO1331" s="1072"/>
      <c r="WGP1331" s="1072"/>
      <c r="WGQ1331" s="1072"/>
      <c r="WGR1331" s="1072"/>
      <c r="WGS1331" s="1072"/>
      <c r="WGT1331" s="1072"/>
      <c r="WGU1331" s="1072"/>
      <c r="WGV1331" s="1072"/>
      <c r="WGW1331" s="1072"/>
      <c r="WGX1331" s="1072"/>
      <c r="WGY1331" s="1072"/>
      <c r="WGZ1331" s="1072"/>
      <c r="WHA1331" s="1072"/>
      <c r="WHB1331" s="1072"/>
      <c r="WHC1331" s="1072"/>
      <c r="WHD1331" s="1072"/>
      <c r="WHE1331" s="1072"/>
      <c r="WHF1331" s="1072"/>
      <c r="WHG1331" s="1072"/>
      <c r="WHH1331" s="1072"/>
      <c r="WHI1331" s="1072"/>
      <c r="WHJ1331" s="1072"/>
      <c r="WHK1331" s="1072"/>
      <c r="WHL1331" s="1072"/>
      <c r="WHM1331" s="1072"/>
      <c r="WHN1331" s="1072"/>
      <c r="WHO1331" s="1072"/>
      <c r="WHP1331" s="1072"/>
      <c r="WHQ1331" s="1072"/>
      <c r="WHR1331" s="1072"/>
      <c r="WHS1331" s="1072"/>
      <c r="WHT1331" s="1072"/>
      <c r="WHU1331" s="1072"/>
      <c r="WHV1331" s="1072"/>
      <c r="WHW1331" s="1072"/>
      <c r="WHX1331" s="1072"/>
      <c r="WHY1331" s="1072"/>
      <c r="WHZ1331" s="1072"/>
      <c r="WIA1331" s="1072"/>
      <c r="WIB1331" s="1072"/>
      <c r="WIC1331" s="1072"/>
      <c r="WID1331" s="1072"/>
      <c r="WIE1331" s="1072"/>
      <c r="WIF1331" s="1072"/>
      <c r="WIG1331" s="1072"/>
      <c r="WIH1331" s="1072"/>
      <c r="WII1331" s="1072"/>
      <c r="WIJ1331" s="1072"/>
      <c r="WIK1331" s="1072"/>
      <c r="WIL1331" s="1072"/>
      <c r="WIM1331" s="1072"/>
      <c r="WIN1331" s="1072"/>
      <c r="WIO1331" s="1072"/>
      <c r="WIP1331" s="1072"/>
      <c r="WIQ1331" s="1072"/>
      <c r="WIR1331" s="1072"/>
      <c r="WIS1331" s="1072"/>
      <c r="WIT1331" s="1072"/>
      <c r="WIU1331" s="1072"/>
      <c r="WIV1331" s="1072"/>
      <c r="WIW1331" s="1072"/>
      <c r="WIX1331" s="1072"/>
      <c r="WIY1331" s="1072"/>
      <c r="WIZ1331" s="1072"/>
      <c r="WJA1331" s="1072"/>
      <c r="WJB1331" s="1072"/>
      <c r="WJC1331" s="1072"/>
      <c r="WJD1331" s="1072"/>
      <c r="WJE1331" s="1072"/>
      <c r="WJF1331" s="1072"/>
      <c r="WJG1331" s="1072"/>
      <c r="WJH1331" s="1072"/>
      <c r="WJI1331" s="1072"/>
      <c r="WJJ1331" s="1072"/>
      <c r="WJK1331" s="1072"/>
      <c r="WJL1331" s="1072"/>
      <c r="WJM1331" s="1072"/>
      <c r="WJN1331" s="1072"/>
      <c r="WJO1331" s="1072"/>
      <c r="WJP1331" s="1072"/>
      <c r="WJQ1331" s="1072"/>
      <c r="WJR1331" s="1072"/>
      <c r="WJS1331" s="1072"/>
      <c r="WJT1331" s="1072"/>
      <c r="WJU1331" s="1072"/>
      <c r="WJV1331" s="1072"/>
      <c r="WJW1331" s="1072"/>
      <c r="WJX1331" s="1072"/>
      <c r="WJY1331" s="1072"/>
      <c r="WJZ1331" s="1072"/>
      <c r="WKA1331" s="1072"/>
      <c r="WKB1331" s="1072"/>
      <c r="WKC1331" s="1072"/>
      <c r="WKD1331" s="1072"/>
      <c r="WKE1331" s="1072"/>
      <c r="WKF1331" s="1072"/>
      <c r="WKG1331" s="1072"/>
      <c r="WKH1331" s="1072"/>
      <c r="WKI1331" s="1072"/>
      <c r="WKJ1331" s="1072"/>
      <c r="WKK1331" s="1072"/>
      <c r="WKL1331" s="1072"/>
      <c r="WKM1331" s="1072"/>
      <c r="WKN1331" s="1072"/>
      <c r="WKO1331" s="1072"/>
      <c r="WKP1331" s="1072"/>
      <c r="WKQ1331" s="1072"/>
      <c r="WKR1331" s="1072"/>
      <c r="WKS1331" s="1072"/>
      <c r="WKT1331" s="1072"/>
      <c r="WKU1331" s="1072"/>
      <c r="WKV1331" s="1072"/>
      <c r="WKW1331" s="1072"/>
      <c r="WKX1331" s="1072"/>
      <c r="WKY1331" s="1072"/>
      <c r="WKZ1331" s="1072"/>
      <c r="WLA1331" s="1072"/>
      <c r="WLB1331" s="1072"/>
      <c r="WLC1331" s="1072"/>
      <c r="WLD1331" s="1072"/>
      <c r="WLE1331" s="1072"/>
      <c r="WLF1331" s="1072"/>
      <c r="WLG1331" s="1072"/>
      <c r="WLH1331" s="1072"/>
      <c r="WLI1331" s="1072"/>
      <c r="WLJ1331" s="1072"/>
      <c r="WLK1331" s="1072"/>
      <c r="WLL1331" s="1072"/>
      <c r="WLM1331" s="1072"/>
      <c r="WLN1331" s="1072"/>
      <c r="WLO1331" s="1072"/>
      <c r="WLP1331" s="1072"/>
      <c r="WLQ1331" s="1072"/>
      <c r="WLR1331" s="1072"/>
      <c r="WLS1331" s="1072"/>
      <c r="WLT1331" s="1072"/>
      <c r="WLU1331" s="1072"/>
      <c r="WLV1331" s="1072"/>
      <c r="WLW1331" s="1072"/>
      <c r="WLX1331" s="1072"/>
      <c r="WLY1331" s="1072"/>
      <c r="WLZ1331" s="1072"/>
      <c r="WMA1331" s="1072"/>
      <c r="WMB1331" s="1072"/>
      <c r="WMC1331" s="1072"/>
      <c r="WMD1331" s="1072"/>
      <c r="WME1331" s="1072"/>
      <c r="WMF1331" s="1072"/>
      <c r="WMG1331" s="1072"/>
      <c r="WMH1331" s="1072"/>
      <c r="WMI1331" s="1072"/>
      <c r="WMJ1331" s="1072"/>
      <c r="WMK1331" s="1072"/>
      <c r="WML1331" s="1072"/>
      <c r="WMM1331" s="1072"/>
      <c r="WMN1331" s="1072"/>
      <c r="WMO1331" s="1072"/>
      <c r="WMP1331" s="1072"/>
      <c r="WMQ1331" s="1072"/>
      <c r="WMR1331" s="1072"/>
      <c r="WMS1331" s="1072"/>
      <c r="WMT1331" s="1072"/>
      <c r="WMU1331" s="1072"/>
      <c r="WMV1331" s="1072"/>
      <c r="WMW1331" s="1072"/>
      <c r="WMX1331" s="1072"/>
      <c r="WMY1331" s="1072"/>
      <c r="WMZ1331" s="1072"/>
      <c r="WNA1331" s="1072"/>
      <c r="WNB1331" s="1072"/>
      <c r="WNC1331" s="1072"/>
      <c r="WND1331" s="1072"/>
      <c r="WNE1331" s="1072"/>
      <c r="WNF1331" s="1072"/>
      <c r="WNG1331" s="1072"/>
      <c r="WNH1331" s="1072"/>
      <c r="WNI1331" s="1072"/>
      <c r="WNJ1331" s="1072"/>
      <c r="WNK1331" s="1072"/>
      <c r="WNL1331" s="1072"/>
      <c r="WNM1331" s="1072"/>
      <c r="WNN1331" s="1072"/>
      <c r="WNO1331" s="1072"/>
      <c r="WNP1331" s="1072"/>
      <c r="WNQ1331" s="1072"/>
      <c r="WNR1331" s="1072"/>
      <c r="WNS1331" s="1072"/>
      <c r="WNT1331" s="1072"/>
      <c r="WNU1331" s="1072"/>
      <c r="WNV1331" s="1072"/>
      <c r="WNW1331" s="1072"/>
      <c r="WNX1331" s="1072"/>
      <c r="WNY1331" s="1072"/>
      <c r="WNZ1331" s="1072"/>
      <c r="WOA1331" s="1072"/>
      <c r="WOB1331" s="1072"/>
      <c r="WOC1331" s="1072"/>
      <c r="WOD1331" s="1072"/>
      <c r="WOE1331" s="1072"/>
      <c r="WOF1331" s="1072"/>
      <c r="WOG1331" s="1072"/>
      <c r="WOH1331" s="1072"/>
      <c r="WOI1331" s="1072"/>
      <c r="WOJ1331" s="1072"/>
      <c r="WOK1331" s="1072"/>
      <c r="WOL1331" s="1072"/>
      <c r="WOM1331" s="1072"/>
      <c r="WON1331" s="1072"/>
      <c r="WOO1331" s="1072"/>
      <c r="WOP1331" s="1072"/>
      <c r="WOQ1331" s="1072"/>
      <c r="WOR1331" s="1072"/>
      <c r="WOS1331" s="1072"/>
      <c r="WOT1331" s="1072"/>
      <c r="WOU1331" s="1072"/>
      <c r="WOV1331" s="1072"/>
      <c r="WOW1331" s="1072"/>
      <c r="WOX1331" s="1072"/>
      <c r="WOY1331" s="1072"/>
      <c r="WOZ1331" s="1072"/>
      <c r="WPA1331" s="1072"/>
      <c r="WPB1331" s="1072"/>
      <c r="WPC1331" s="1072"/>
      <c r="WPD1331" s="1072"/>
      <c r="WPE1331" s="1072"/>
      <c r="WPF1331" s="1072"/>
      <c r="WPG1331" s="1072"/>
      <c r="WPH1331" s="1072"/>
      <c r="WPI1331" s="1072"/>
      <c r="WPJ1331" s="1072"/>
      <c r="WPK1331" s="1072"/>
      <c r="WPL1331" s="1072"/>
      <c r="WPM1331" s="1072"/>
      <c r="WPN1331" s="1072"/>
      <c r="WPO1331" s="1072"/>
      <c r="WPP1331" s="1072"/>
      <c r="WPQ1331" s="1072"/>
      <c r="WPR1331" s="1072"/>
      <c r="WPS1331" s="1072"/>
      <c r="WPT1331" s="1072"/>
      <c r="WPU1331" s="1072"/>
      <c r="WPV1331" s="1072"/>
      <c r="WPW1331" s="1072"/>
      <c r="WPX1331" s="1072"/>
      <c r="WPY1331" s="1072"/>
      <c r="WPZ1331" s="1072"/>
      <c r="WQA1331" s="1072"/>
      <c r="WQB1331" s="1072"/>
      <c r="WQC1331" s="1072"/>
      <c r="WQD1331" s="1072"/>
      <c r="WQE1331" s="1072"/>
      <c r="WQF1331" s="1072"/>
      <c r="WQG1331" s="1072"/>
      <c r="WQH1331" s="1072"/>
      <c r="WQI1331" s="1072"/>
      <c r="WQJ1331" s="1072"/>
      <c r="WQK1331" s="1072"/>
      <c r="WQL1331" s="1072"/>
      <c r="WQM1331" s="1072"/>
      <c r="WQN1331" s="1072"/>
      <c r="WQO1331" s="1072"/>
      <c r="WQP1331" s="1072"/>
      <c r="WQQ1331" s="1072"/>
      <c r="WQR1331" s="1072"/>
      <c r="WQS1331" s="1072"/>
      <c r="WQT1331" s="1072"/>
      <c r="WQU1331" s="1072"/>
      <c r="WQV1331" s="1072"/>
      <c r="WQW1331" s="1072"/>
      <c r="WQX1331" s="1072"/>
      <c r="WQY1331" s="1072"/>
      <c r="WQZ1331" s="1072"/>
      <c r="WRA1331" s="1072"/>
      <c r="WRB1331" s="1072"/>
      <c r="WRC1331" s="1072"/>
      <c r="WRD1331" s="1072"/>
      <c r="WRE1331" s="1072"/>
      <c r="WRF1331" s="1072"/>
      <c r="WRG1331" s="1072"/>
      <c r="WRH1331" s="1072"/>
      <c r="WRI1331" s="1072"/>
      <c r="WRJ1331" s="1072"/>
      <c r="WRK1331" s="1072"/>
      <c r="WRL1331" s="1072"/>
      <c r="WRM1331" s="1072"/>
      <c r="WRN1331" s="1072"/>
      <c r="WRO1331" s="1072"/>
      <c r="WRP1331" s="1072"/>
      <c r="WRQ1331" s="1072"/>
      <c r="WRR1331" s="1072"/>
      <c r="WRS1331" s="1072"/>
      <c r="WRT1331" s="1072"/>
      <c r="WRU1331" s="1072"/>
      <c r="WRV1331" s="1072"/>
      <c r="WRW1331" s="1072"/>
      <c r="WRX1331" s="1072"/>
      <c r="WRY1331" s="1072"/>
      <c r="WRZ1331" s="1072"/>
      <c r="WSA1331" s="1072"/>
      <c r="WSB1331" s="1072"/>
      <c r="WSC1331" s="1072"/>
      <c r="WSD1331" s="1072"/>
      <c r="WSE1331" s="1072"/>
      <c r="WSF1331" s="1072"/>
      <c r="WSG1331" s="1072"/>
      <c r="WSH1331" s="1072"/>
      <c r="WSI1331" s="1072"/>
      <c r="WSJ1331" s="1072"/>
      <c r="WSK1331" s="1072"/>
      <c r="WSL1331" s="1072"/>
      <c r="WSM1331" s="1072"/>
      <c r="WSN1331" s="1072"/>
      <c r="WSO1331" s="1072"/>
      <c r="WSP1331" s="1072"/>
      <c r="WSQ1331" s="1072"/>
      <c r="WSR1331" s="1072"/>
      <c r="WSS1331" s="1072"/>
      <c r="WST1331" s="1072"/>
      <c r="WSU1331" s="1072"/>
      <c r="WSV1331" s="1072"/>
      <c r="WSW1331" s="1072"/>
      <c r="WSX1331" s="1072"/>
      <c r="WSY1331" s="1072"/>
      <c r="WSZ1331" s="1072"/>
      <c r="WTA1331" s="1072"/>
      <c r="WTB1331" s="1072"/>
      <c r="WTC1331" s="1072"/>
      <c r="WTD1331" s="1072"/>
      <c r="WTE1331" s="1072"/>
      <c r="WTF1331" s="1072"/>
      <c r="WTG1331" s="1072"/>
      <c r="WTH1331" s="1072"/>
      <c r="WTI1331" s="1072"/>
      <c r="WTJ1331" s="1072"/>
      <c r="WTK1331" s="1072"/>
      <c r="WTL1331" s="1072"/>
      <c r="WTM1331" s="1072"/>
      <c r="WTN1331" s="1072"/>
      <c r="WTO1331" s="1072"/>
      <c r="WTP1331" s="1072"/>
      <c r="WTQ1331" s="1072"/>
      <c r="WTR1331" s="1072"/>
      <c r="WTS1331" s="1072"/>
      <c r="WTT1331" s="1072"/>
      <c r="WTU1331" s="1072"/>
      <c r="WTV1331" s="1072"/>
      <c r="WTW1331" s="1072"/>
      <c r="WTX1331" s="1072"/>
      <c r="WTY1331" s="1072"/>
      <c r="WTZ1331" s="1072"/>
      <c r="WUA1331" s="1072"/>
      <c r="WUB1331" s="1072"/>
      <c r="WUC1331" s="1072"/>
      <c r="WUD1331" s="1072"/>
      <c r="WUE1331" s="1072"/>
      <c r="WUF1331" s="1072"/>
      <c r="WUG1331" s="1072"/>
      <c r="WUH1331" s="1072"/>
      <c r="WUI1331" s="1072"/>
      <c r="WUJ1331" s="1072"/>
      <c r="WUK1331" s="1072"/>
      <c r="WUL1331" s="1072"/>
      <c r="WUM1331" s="1072"/>
      <c r="WUN1331" s="1072"/>
      <c r="WUO1331" s="1072"/>
      <c r="WUP1331" s="1072"/>
      <c r="WUQ1331" s="1072"/>
      <c r="WUR1331" s="1072"/>
      <c r="WUS1331" s="1072"/>
      <c r="WUT1331" s="1072"/>
      <c r="WUU1331" s="1072"/>
      <c r="WUV1331" s="1072"/>
      <c r="WUW1331" s="1072"/>
      <c r="WUX1331" s="1072"/>
      <c r="WUY1331" s="1072"/>
      <c r="WUZ1331" s="1072"/>
      <c r="WVA1331" s="1072"/>
      <c r="WVB1331" s="1072"/>
      <c r="WVC1331" s="1072"/>
      <c r="WVD1331" s="1072"/>
      <c r="WVE1331" s="1072"/>
      <c r="WVF1331" s="1072"/>
      <c r="WVG1331" s="1072"/>
      <c r="WVH1331" s="1072"/>
      <c r="WVI1331" s="1072"/>
      <c r="WVJ1331" s="1072"/>
      <c r="WVK1331" s="1072"/>
      <c r="WVL1331" s="1072"/>
      <c r="WVM1331" s="1072"/>
      <c r="WVN1331" s="1072"/>
      <c r="WVO1331" s="1072"/>
      <c r="WVP1331" s="1072"/>
      <c r="WVQ1331" s="1072"/>
      <c r="WVR1331" s="1072"/>
      <c r="WVS1331" s="1072"/>
      <c r="WVT1331" s="1072"/>
      <c r="WVU1331" s="1072"/>
      <c r="WVV1331" s="1072"/>
      <c r="WVW1331" s="1072"/>
      <c r="WVX1331" s="1072"/>
      <c r="WVY1331" s="1072"/>
      <c r="WVZ1331" s="1072"/>
      <c r="WWA1331" s="1072"/>
      <c r="WWB1331" s="1072"/>
      <c r="WWC1331" s="1072"/>
      <c r="WWD1331" s="1072"/>
      <c r="WWE1331" s="1072"/>
      <c r="WWF1331" s="1072"/>
      <c r="WWG1331" s="1072"/>
      <c r="WWH1331" s="1072"/>
      <c r="WWI1331" s="1072"/>
      <c r="WWJ1331" s="1072"/>
      <c r="WWK1331" s="1072"/>
      <c r="WWL1331" s="1072"/>
      <c r="WWM1331" s="1072"/>
      <c r="WWN1331" s="1072"/>
      <c r="WWO1331" s="1072"/>
      <c r="WWP1331" s="1072"/>
      <c r="WWQ1331" s="1072"/>
      <c r="WWR1331" s="1072"/>
      <c r="WWS1331" s="1072"/>
      <c r="WWT1331" s="1072"/>
      <c r="WWU1331" s="1072"/>
      <c r="WWV1331" s="1072"/>
      <c r="WWW1331" s="1072"/>
      <c r="WWX1331" s="1072"/>
      <c r="WWY1331" s="1072"/>
      <c r="WWZ1331" s="1072"/>
      <c r="WXA1331" s="1072"/>
      <c r="WXB1331" s="1072"/>
      <c r="WXC1331" s="1072"/>
      <c r="WXD1331" s="1072"/>
      <c r="WXE1331" s="1072"/>
      <c r="WXF1331" s="1072"/>
      <c r="WXG1331" s="1072"/>
      <c r="WXH1331" s="1072"/>
      <c r="WXI1331" s="1072"/>
      <c r="WXJ1331" s="1072"/>
      <c r="WXK1331" s="1072"/>
      <c r="WXL1331" s="1072"/>
      <c r="WXM1331" s="1072"/>
      <c r="WXN1331" s="1072"/>
      <c r="WXO1331" s="1072"/>
      <c r="WXP1331" s="1072"/>
      <c r="WXQ1331" s="1072"/>
      <c r="WXR1331" s="1072"/>
      <c r="WXS1331" s="1072"/>
      <c r="WXT1331" s="1072"/>
      <c r="WXU1331" s="1072"/>
      <c r="WXV1331" s="1072"/>
      <c r="WXW1331" s="1072"/>
      <c r="WXX1331" s="1072"/>
      <c r="WXY1331" s="1072"/>
      <c r="WXZ1331" s="1072"/>
      <c r="WYA1331" s="1072"/>
      <c r="WYB1331" s="1072"/>
      <c r="WYC1331" s="1072"/>
      <c r="WYD1331" s="1072"/>
      <c r="WYE1331" s="1072"/>
      <c r="WYF1331" s="1072"/>
      <c r="WYG1331" s="1072"/>
      <c r="WYH1331" s="1072"/>
      <c r="WYI1331" s="1072"/>
      <c r="WYJ1331" s="1072"/>
      <c r="WYK1331" s="1072"/>
      <c r="WYL1331" s="1072"/>
      <c r="WYM1331" s="1072"/>
      <c r="WYN1331" s="1072"/>
      <c r="WYO1331" s="1072"/>
      <c r="WYP1331" s="1072"/>
      <c r="WYQ1331" s="1072"/>
      <c r="WYR1331" s="1072"/>
      <c r="WYS1331" s="1072"/>
      <c r="WYT1331" s="1072"/>
      <c r="WYU1331" s="1072"/>
      <c r="WYV1331" s="1072"/>
      <c r="WYW1331" s="1072"/>
      <c r="WYX1331" s="1072"/>
      <c r="WYY1331" s="1072"/>
      <c r="WYZ1331" s="1072"/>
      <c r="WZA1331" s="1072"/>
      <c r="WZB1331" s="1072"/>
      <c r="WZC1331" s="1072"/>
      <c r="WZD1331" s="1072"/>
      <c r="WZE1331" s="1072"/>
      <c r="WZF1331" s="1072"/>
      <c r="WZG1331" s="1072"/>
      <c r="WZH1331" s="1072"/>
      <c r="WZI1331" s="1072"/>
      <c r="WZJ1331" s="1072"/>
      <c r="WZK1331" s="1072"/>
      <c r="WZL1331" s="1072"/>
      <c r="WZM1331" s="1072"/>
      <c r="WZN1331" s="1072"/>
      <c r="WZO1331" s="1072"/>
      <c r="WZP1331" s="1072"/>
      <c r="WZQ1331" s="1072"/>
      <c r="WZR1331" s="1072"/>
      <c r="WZS1331" s="1072"/>
      <c r="WZT1331" s="1072"/>
      <c r="WZU1331" s="1072"/>
      <c r="WZV1331" s="1072"/>
      <c r="WZW1331" s="1072"/>
      <c r="WZX1331" s="1072"/>
      <c r="WZY1331" s="1072"/>
      <c r="WZZ1331" s="1072"/>
      <c r="XAA1331" s="1072"/>
      <c r="XAB1331" s="1072"/>
      <c r="XAC1331" s="1072"/>
      <c r="XAD1331" s="1072"/>
      <c r="XAE1331" s="1072"/>
      <c r="XAF1331" s="1072"/>
      <c r="XAG1331" s="1072"/>
      <c r="XAH1331" s="1072"/>
      <c r="XAI1331" s="1072"/>
      <c r="XAJ1331" s="1072"/>
      <c r="XAK1331" s="1072"/>
      <c r="XAL1331" s="1072"/>
      <c r="XAM1331" s="1072"/>
      <c r="XAN1331" s="1072"/>
      <c r="XAO1331" s="1072"/>
      <c r="XAP1331" s="1072"/>
      <c r="XAQ1331" s="1072"/>
      <c r="XAR1331" s="1072"/>
      <c r="XAS1331" s="1072"/>
      <c r="XAT1331" s="1072"/>
      <c r="XAU1331" s="1072"/>
      <c r="XAV1331" s="1072"/>
      <c r="XAW1331" s="1072"/>
      <c r="XAX1331" s="1072"/>
      <c r="XAY1331" s="1072"/>
      <c r="XAZ1331" s="1072"/>
      <c r="XBA1331" s="1072"/>
      <c r="XBB1331" s="1072"/>
      <c r="XBC1331" s="1072"/>
      <c r="XBD1331" s="1072"/>
      <c r="XBE1331" s="1072"/>
      <c r="XBF1331" s="1072"/>
      <c r="XBG1331" s="1072"/>
      <c r="XBH1331" s="1072"/>
      <c r="XBI1331" s="1072"/>
      <c r="XBJ1331" s="1072"/>
      <c r="XBK1331" s="1072"/>
      <c r="XBL1331" s="1072"/>
      <c r="XBM1331" s="1072"/>
      <c r="XBN1331" s="1072"/>
      <c r="XBO1331" s="1072"/>
      <c r="XBP1331" s="1072"/>
      <c r="XBQ1331" s="1072"/>
      <c r="XBR1331" s="1072"/>
      <c r="XBS1331" s="1072"/>
      <c r="XBT1331" s="1072"/>
      <c r="XBU1331" s="1072"/>
      <c r="XBV1331" s="1072"/>
      <c r="XBW1331" s="1072"/>
      <c r="XBX1331" s="1072"/>
      <c r="XBY1331" s="1072"/>
      <c r="XBZ1331" s="1072"/>
      <c r="XCA1331" s="1072"/>
      <c r="XCB1331" s="1072"/>
      <c r="XCC1331" s="1072"/>
      <c r="XCD1331" s="1072"/>
      <c r="XCE1331" s="1072"/>
      <c r="XCF1331" s="1072"/>
      <c r="XCG1331" s="1072"/>
      <c r="XCH1331" s="1072"/>
      <c r="XCI1331" s="1072"/>
      <c r="XCJ1331" s="1072"/>
      <c r="XCK1331" s="1072"/>
      <c r="XCL1331" s="1072"/>
      <c r="XCM1331" s="1072"/>
      <c r="XCN1331" s="1072"/>
      <c r="XCO1331" s="1072"/>
      <c r="XCP1331" s="1072"/>
      <c r="XCQ1331" s="1072"/>
      <c r="XCR1331" s="1072"/>
      <c r="XCS1331" s="1072"/>
      <c r="XCT1331" s="1072"/>
      <c r="XCU1331" s="1072"/>
      <c r="XCV1331" s="1072"/>
      <c r="XCW1331" s="1072"/>
      <c r="XCX1331" s="1072"/>
      <c r="XCY1331" s="1072"/>
      <c r="XCZ1331" s="1072"/>
      <c r="XDA1331" s="1072"/>
      <c r="XDB1331" s="1072"/>
      <c r="XDC1331" s="1072"/>
      <c r="XDD1331" s="1072"/>
      <c r="XDE1331" s="1072"/>
      <c r="XDF1331" s="1072"/>
      <c r="XDG1331" s="1072"/>
      <c r="XDH1331" s="1072"/>
      <c r="XDI1331" s="1072"/>
      <c r="XDJ1331" s="1072"/>
      <c r="XDK1331" s="1072"/>
      <c r="XDL1331" s="1072"/>
      <c r="XDM1331" s="1072"/>
      <c r="XDN1331" s="1072"/>
      <c r="XDO1331" s="1072"/>
      <c r="XDP1331" s="1072"/>
      <c r="XDQ1331" s="1072"/>
      <c r="XDR1331" s="1072"/>
      <c r="XDS1331" s="1072"/>
      <c r="XDT1331" s="1072"/>
      <c r="XDU1331" s="1072"/>
      <c r="XDV1331" s="1072"/>
      <c r="XDW1331" s="1072"/>
      <c r="XDX1331" s="1072"/>
      <c r="XDY1331" s="1072"/>
      <c r="XDZ1331" s="1072"/>
      <c r="XEA1331" s="1072"/>
      <c r="XEB1331" s="1072"/>
      <c r="XEC1331" s="1072"/>
      <c r="XED1331" s="1072"/>
      <c r="XEE1331" s="1072"/>
      <c r="XEF1331" s="1072"/>
      <c r="XEG1331" s="1072"/>
      <c r="XEH1331" s="1072"/>
      <c r="XEI1331" s="1072"/>
      <c r="XEJ1331" s="1072"/>
      <c r="XEK1331" s="1072"/>
      <c r="XEL1331" s="1072"/>
      <c r="XEM1331" s="1072"/>
      <c r="XEN1331" s="1072"/>
      <c r="XEO1331" s="1072"/>
      <c r="XEP1331" s="1072"/>
      <c r="XEQ1331" s="1072"/>
      <c r="XER1331" s="1072"/>
      <c r="XES1331" s="1072"/>
      <c r="XET1331" s="1072"/>
      <c r="XEU1331" s="1072"/>
      <c r="XEV1331" s="1072"/>
      <c r="XEW1331" s="1072"/>
      <c r="XEX1331" s="1072"/>
      <c r="XEY1331" s="1072"/>
    </row>
    <row r="1332" spans="1:16379"/>
    <row r="1333" spans="1:16379"/>
    <row r="1334" spans="1:16379"/>
    <row r="1335" spans="1:16379"/>
    <row r="1336" spans="1:16379"/>
    <row r="1337" spans="1:16379"/>
    <row r="1338" spans="1:16379"/>
    <row r="1339" spans="1:16379"/>
    <row r="1340" spans="1:16379"/>
    <row r="1341" spans="1:16379"/>
    <row r="1342" spans="1:16379"/>
    <row r="1343" spans="1:16379"/>
    <row r="1344" spans="1:16379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3AC5-3FAC-4BE6-8C45-3B3C62B96393}">
  <sheetPr>
    <tabColor theme="9" tint="0.59999389629810485"/>
  </sheetPr>
  <dimension ref="B1:AO102"/>
  <sheetViews>
    <sheetView zoomScale="80" zoomScaleNormal="80" workbookViewId="0">
      <pane ySplit="6" topLeftCell="A14" activePane="bottomLeft" state="frozen"/>
      <selection pane="bottomLeft" activeCell="Z86" sqref="Z86:AD86"/>
    </sheetView>
  </sheetViews>
  <sheetFormatPr defaultColWidth="0" defaultRowHeight="13" outlineLevelRow="1" outlineLevelCol="1"/>
  <cols>
    <col min="1" max="1" width="1.453125" style="3" customWidth="1"/>
    <col min="2" max="2" width="6.54296875" style="3" customWidth="1"/>
    <col min="3" max="3" width="20.26953125" style="3" bestFit="1" customWidth="1"/>
    <col min="4" max="5" width="11.81640625" style="3" customWidth="1"/>
    <col min="6" max="6" width="13" style="3" bestFit="1" customWidth="1"/>
    <col min="7" max="7" width="7.7265625" style="3" customWidth="1"/>
    <col min="8" max="8" width="11.81640625" style="3" customWidth="1"/>
    <col min="9" max="9" width="10.7265625" style="3" customWidth="1"/>
    <col min="10" max="17" width="11.81640625" style="3" customWidth="1" outlineLevel="1"/>
    <col min="18" max="18" width="5.81640625" style="3" customWidth="1"/>
    <col min="19" max="21" width="11.81640625" style="3" customWidth="1"/>
    <col min="22" max="40" width="11.54296875" style="23" bestFit="1" customWidth="1"/>
    <col min="41" max="41" width="3.26953125" style="3" customWidth="1"/>
    <col min="42" max="16384" width="0" style="3" hidden="1"/>
  </cols>
  <sheetData>
    <row r="1" spans="2:41" ht="9" customHeight="1"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2:41">
      <c r="B2" s="5"/>
      <c r="C2" s="5"/>
      <c r="D2" s="5"/>
      <c r="E2" s="5"/>
      <c r="F2" s="5"/>
      <c r="G2" s="5"/>
      <c r="H2" s="5" t="s">
        <v>752</v>
      </c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">
        <v>120</v>
      </c>
      <c r="U2" s="10">
        <f>'Misc. Items'!I2</f>
        <v>42005</v>
      </c>
      <c r="V2" s="10">
        <f>'Misc. Items'!J2</f>
        <v>42370</v>
      </c>
      <c r="W2" s="10">
        <f>'Misc. Items'!K2</f>
        <v>42736</v>
      </c>
      <c r="X2" s="10">
        <f>'Misc. Items'!L2</f>
        <v>43101</v>
      </c>
      <c r="Y2" s="10">
        <f>'Misc. Items'!M2</f>
        <v>43466</v>
      </c>
      <c r="Z2" s="10">
        <f>'Misc. Items'!N2</f>
        <v>43831</v>
      </c>
      <c r="AA2" s="10">
        <f>'Misc. Items'!O2</f>
        <v>44197</v>
      </c>
      <c r="AB2" s="10">
        <f>'Misc. Items'!P2</f>
        <v>44562</v>
      </c>
      <c r="AC2" s="10">
        <f>'Misc. Items'!Q2</f>
        <v>44927</v>
      </c>
      <c r="AD2" s="10">
        <f>'Misc. Items'!R2</f>
        <v>45292</v>
      </c>
      <c r="AE2" s="10">
        <f>'Misc. Items'!S2</f>
        <v>45658</v>
      </c>
      <c r="AF2" s="10">
        <f>'Misc. Items'!T2</f>
        <v>46023</v>
      </c>
      <c r="AG2" s="10">
        <f>'Misc. Items'!U2</f>
        <v>46388</v>
      </c>
      <c r="AH2" s="10">
        <f>'Misc. Items'!V2</f>
        <v>46753</v>
      </c>
      <c r="AI2" s="10">
        <f>'Misc. Items'!W2</f>
        <v>47119</v>
      </c>
      <c r="AJ2" s="10">
        <f>'Misc. Items'!X2</f>
        <v>47484</v>
      </c>
      <c r="AK2" s="10">
        <f>'Misc. Items'!Y2</f>
        <v>47849</v>
      </c>
      <c r="AL2" s="10">
        <f>'Misc. Items'!Z2</f>
        <v>48214</v>
      </c>
      <c r="AM2" s="10">
        <f>'Misc. Items'!AA2</f>
        <v>48580</v>
      </c>
      <c r="AN2" s="10">
        <f>'Misc. Items'!AB2</f>
        <v>48945</v>
      </c>
    </row>
    <row r="3" spans="2:41">
      <c r="B3" s="5"/>
      <c r="C3" s="215" t="s">
        <v>121</v>
      </c>
      <c r="D3" s="5"/>
      <c r="E3" s="5"/>
      <c r="F3" s="5"/>
      <c r="G3" s="5"/>
      <c r="H3" s="177" t="s">
        <v>162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">
        <v>122</v>
      </c>
      <c r="U3" s="10">
        <f>'Misc. Items'!I3</f>
        <v>42369</v>
      </c>
      <c r="V3" s="10">
        <f>'Misc. Items'!J3</f>
        <v>42735</v>
      </c>
      <c r="W3" s="10">
        <f>'Misc. Items'!K3</f>
        <v>43100</v>
      </c>
      <c r="X3" s="10">
        <f>'Misc. Items'!L3</f>
        <v>43465</v>
      </c>
      <c r="Y3" s="10">
        <f>'Misc. Items'!M3</f>
        <v>43830</v>
      </c>
      <c r="Z3" s="10">
        <f>'Misc. Items'!N3</f>
        <v>44196</v>
      </c>
      <c r="AA3" s="10">
        <f>'Misc. Items'!O3</f>
        <v>44561</v>
      </c>
      <c r="AB3" s="10">
        <f>'Misc. Items'!P3</f>
        <v>44926</v>
      </c>
      <c r="AC3" s="10">
        <f>'Misc. Items'!Q3</f>
        <v>45291</v>
      </c>
      <c r="AD3" s="10">
        <f>'Misc. Items'!R3</f>
        <v>45657</v>
      </c>
      <c r="AE3" s="10">
        <f>'Misc. Items'!S3</f>
        <v>46022</v>
      </c>
      <c r="AF3" s="10">
        <f>'Misc. Items'!T3</f>
        <v>46387</v>
      </c>
      <c r="AG3" s="10">
        <f>'Misc. Items'!U3</f>
        <v>46752</v>
      </c>
      <c r="AH3" s="10">
        <f>'Misc. Items'!V3</f>
        <v>47118</v>
      </c>
      <c r="AI3" s="10">
        <f>'Misc. Items'!W3</f>
        <v>47483</v>
      </c>
      <c r="AJ3" s="10">
        <f>'Misc. Items'!X3</f>
        <v>47848</v>
      </c>
      <c r="AK3" s="10">
        <f>'Misc. Items'!Y3</f>
        <v>48213</v>
      </c>
      <c r="AL3" s="10">
        <f>'Misc. Items'!Z3</f>
        <v>48579</v>
      </c>
      <c r="AM3" s="10">
        <f>'Misc. Items'!AA3</f>
        <v>48944</v>
      </c>
      <c r="AN3" s="10">
        <f>'Misc. Items'!AB3</f>
        <v>49309</v>
      </c>
    </row>
    <row r="4" spans="2:41">
      <c r="B4" s="5"/>
      <c r="C4" s="1540" t="s">
        <v>123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">
        <v>124</v>
      </c>
      <c r="U4" s="11">
        <f>'Misc. Items'!I4</f>
        <v>2015</v>
      </c>
      <c r="V4" s="11">
        <f>'Misc. Items'!J4</f>
        <v>2016</v>
      </c>
      <c r="W4" s="11">
        <f>'Misc. Items'!K4</f>
        <v>2017</v>
      </c>
      <c r="X4" s="11">
        <f>'Misc. Items'!L4</f>
        <v>2018</v>
      </c>
      <c r="Y4" s="11">
        <f>'Misc. Items'!M4</f>
        <v>2019</v>
      </c>
      <c r="Z4" s="11">
        <f>'Misc. Items'!N4</f>
        <v>2020</v>
      </c>
      <c r="AA4" s="11">
        <f>'Misc. Items'!O4</f>
        <v>2021</v>
      </c>
      <c r="AB4" s="11">
        <f>'Misc. Items'!P4</f>
        <v>2022</v>
      </c>
      <c r="AC4" s="11">
        <f>'Misc. Items'!Q4</f>
        <v>2023</v>
      </c>
      <c r="AD4" s="11">
        <f>'Misc. Items'!R4</f>
        <v>2024</v>
      </c>
      <c r="AE4" s="11">
        <f>'Misc. Items'!S4</f>
        <v>2025</v>
      </c>
      <c r="AF4" s="11">
        <f>'Misc. Items'!T4</f>
        <v>2026</v>
      </c>
      <c r="AG4" s="11">
        <f>'Misc. Items'!U4</f>
        <v>2027</v>
      </c>
      <c r="AH4" s="11">
        <f>'Misc. Items'!V4</f>
        <v>2028</v>
      </c>
      <c r="AI4" s="11">
        <f>'Misc. Items'!W4</f>
        <v>2029</v>
      </c>
      <c r="AJ4" s="11">
        <f>'Misc. Items'!X4</f>
        <v>2030</v>
      </c>
      <c r="AK4" s="11">
        <f>'Misc. Items'!Y4</f>
        <v>2031</v>
      </c>
      <c r="AL4" s="11">
        <f>'Misc. Items'!Z4</f>
        <v>2032</v>
      </c>
      <c r="AM4" s="11">
        <f>'Misc. Items'!AA4</f>
        <v>2033</v>
      </c>
      <c r="AN4" s="11">
        <f>'Misc. Items'!AB4</f>
        <v>2034</v>
      </c>
    </row>
    <row r="5" spans="2:41">
      <c r="B5" s="5"/>
      <c r="C5" s="5" t="s">
        <v>35</v>
      </c>
      <c r="D5" s="5"/>
      <c r="E5" s="5"/>
      <c r="F5" s="5"/>
      <c r="G5" s="5"/>
      <c r="H5" s="4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125</v>
      </c>
      <c r="U5" s="11">
        <f>'Misc. Items'!I5</f>
        <v>1</v>
      </c>
      <c r="V5" s="11">
        <f>'Misc. Items'!J5</f>
        <v>2</v>
      </c>
      <c r="W5" s="11">
        <f>'Misc. Items'!K5</f>
        <v>3</v>
      </c>
      <c r="X5" s="11">
        <f>'Misc. Items'!L5</f>
        <v>4</v>
      </c>
      <c r="Y5" s="11">
        <f>'Misc. Items'!M5</f>
        <v>5</v>
      </c>
      <c r="Z5" s="11">
        <f>'Misc. Items'!N5</f>
        <v>6</v>
      </c>
      <c r="AA5" s="11">
        <f>'Misc. Items'!O5</f>
        <v>7</v>
      </c>
      <c r="AB5" s="11">
        <f>'Misc. Items'!P5</f>
        <v>8</v>
      </c>
      <c r="AC5" s="11">
        <f>'Misc. Items'!Q5</f>
        <v>9</v>
      </c>
      <c r="AD5" s="11">
        <f>'Misc. Items'!R5</f>
        <v>10</v>
      </c>
      <c r="AE5" s="11">
        <f>'Misc. Items'!S5</f>
        <v>11</v>
      </c>
      <c r="AF5" s="11">
        <f>'Misc. Items'!T5</f>
        <v>12</v>
      </c>
      <c r="AG5" s="11">
        <f>'Misc. Items'!U5</f>
        <v>13</v>
      </c>
      <c r="AH5" s="11">
        <f>'Misc. Items'!V5</f>
        <v>14</v>
      </c>
      <c r="AI5" s="11">
        <f>'Misc. Items'!W5</f>
        <v>15</v>
      </c>
      <c r="AJ5" s="11">
        <f>'Misc. Items'!X5</f>
        <v>16</v>
      </c>
      <c r="AK5" s="11">
        <f>'Misc. Items'!Y5</f>
        <v>17</v>
      </c>
      <c r="AL5" s="11">
        <f>'Misc. Items'!Z5</f>
        <v>18</v>
      </c>
      <c r="AM5" s="11">
        <f>'Misc. Items'!AA5</f>
        <v>19</v>
      </c>
      <c r="AN5" s="11">
        <f>'Misc. Items'!AB5</f>
        <v>20</v>
      </c>
    </row>
    <row r="6" spans="2:41">
      <c r="B6" s="5"/>
      <c r="C6" s="5" t="s">
        <v>753</v>
      </c>
      <c r="D6" s="5"/>
      <c r="E6" s="5" t="s">
        <v>10</v>
      </c>
      <c r="F6" s="5" t="s">
        <v>754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">
        <v>126</v>
      </c>
      <c r="U6" s="11" t="str">
        <f>'Misc. Items'!I6</f>
        <v>RP2</v>
      </c>
      <c r="V6" s="11" t="str">
        <f>'Misc. Items'!J6</f>
        <v>RP2</v>
      </c>
      <c r="W6" s="11" t="str">
        <f>'Misc. Items'!K6</f>
        <v>RP2</v>
      </c>
      <c r="X6" s="11" t="str">
        <f>'Misc. Items'!L6</f>
        <v>RP2</v>
      </c>
      <c r="Y6" s="11" t="str">
        <f>'Misc. Items'!M6</f>
        <v>RP2</v>
      </c>
      <c r="Z6" s="11" t="str">
        <f>'Misc. Items'!N6</f>
        <v>RP3</v>
      </c>
      <c r="AA6" s="11" t="str">
        <f>'Misc. Items'!O6</f>
        <v>RP3</v>
      </c>
      <c r="AB6" s="11" t="str">
        <f>'Misc. Items'!P6</f>
        <v>RP3</v>
      </c>
      <c r="AC6" s="11" t="str">
        <f>'Misc. Items'!Q6</f>
        <v>RP3</v>
      </c>
      <c r="AD6" s="11" t="str">
        <f>'Misc. Items'!R6</f>
        <v>RP3</v>
      </c>
      <c r="AE6" s="11" t="str">
        <f>'Misc. Items'!S6</f>
        <v>RP4</v>
      </c>
      <c r="AF6" s="11" t="str">
        <f>'Misc. Items'!T6</f>
        <v>RP4</v>
      </c>
      <c r="AG6" s="11" t="str">
        <f>'Misc. Items'!U6</f>
        <v>RP4</v>
      </c>
      <c r="AH6" s="11" t="str">
        <f>'Misc. Items'!V6</f>
        <v>RP4</v>
      </c>
      <c r="AI6" s="11" t="str">
        <f>'Misc. Items'!W6</f>
        <v>RP4</v>
      </c>
      <c r="AJ6" s="11" t="str">
        <f>'Misc. Items'!X6</f>
        <v>RP5</v>
      </c>
      <c r="AK6" s="11" t="str">
        <f>'Misc. Items'!Y6</f>
        <v>RP5</v>
      </c>
      <c r="AL6" s="11" t="str">
        <f>'Misc. Items'!Z6</f>
        <v>RP5</v>
      </c>
      <c r="AM6" s="11" t="str">
        <f>'Misc. Items'!AA6</f>
        <v>RP5</v>
      </c>
      <c r="AN6" s="11" t="str">
        <f>'Misc. Items'!AB6</f>
        <v>RP5</v>
      </c>
    </row>
    <row r="7" spans="2:41">
      <c r="U7" s="157" t="str">
        <f>RIGHT(U6,1)</f>
        <v>2</v>
      </c>
      <c r="V7" s="157" t="str">
        <f t="shared" ref="V7:AN7" si="0">RIGHT(V6,1)</f>
        <v>2</v>
      </c>
      <c r="W7" s="157" t="str">
        <f t="shared" si="0"/>
        <v>2</v>
      </c>
      <c r="X7" s="157" t="str">
        <f t="shared" si="0"/>
        <v>2</v>
      </c>
      <c r="Y7" s="157" t="str">
        <f t="shared" si="0"/>
        <v>2</v>
      </c>
      <c r="Z7" s="157" t="str">
        <f t="shared" si="0"/>
        <v>3</v>
      </c>
      <c r="AA7" s="157" t="str">
        <f t="shared" si="0"/>
        <v>3</v>
      </c>
      <c r="AB7" s="157" t="str">
        <f t="shared" si="0"/>
        <v>3</v>
      </c>
      <c r="AC7" s="157" t="str">
        <f t="shared" si="0"/>
        <v>3</v>
      </c>
      <c r="AD7" s="157" t="str">
        <f t="shared" si="0"/>
        <v>3</v>
      </c>
      <c r="AE7" s="157" t="str">
        <f t="shared" si="0"/>
        <v>4</v>
      </c>
      <c r="AF7" s="157" t="str">
        <f t="shared" si="0"/>
        <v>4</v>
      </c>
      <c r="AG7" s="157" t="str">
        <f t="shared" si="0"/>
        <v>4</v>
      </c>
      <c r="AH7" s="157" t="str">
        <f t="shared" si="0"/>
        <v>4</v>
      </c>
      <c r="AI7" s="157" t="str">
        <f t="shared" si="0"/>
        <v>4</v>
      </c>
      <c r="AJ7" s="157" t="str">
        <f t="shared" si="0"/>
        <v>5</v>
      </c>
      <c r="AK7" s="157" t="str">
        <f t="shared" si="0"/>
        <v>5</v>
      </c>
      <c r="AL7" s="157" t="str">
        <f t="shared" si="0"/>
        <v>5</v>
      </c>
      <c r="AM7" s="157" t="str">
        <f t="shared" si="0"/>
        <v>5</v>
      </c>
      <c r="AN7" s="157" t="str">
        <f t="shared" si="0"/>
        <v>5</v>
      </c>
    </row>
    <row r="9" spans="2:41">
      <c r="B9" s="5" t="s">
        <v>755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2:41" ht="13.5" thickBot="1"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</row>
    <row r="11" spans="2:41" ht="13.5" thickBot="1">
      <c r="C11" s="17" t="s">
        <v>756</v>
      </c>
      <c r="E11" s="17"/>
      <c r="F11" s="174" t="s">
        <v>757</v>
      </c>
      <c r="G11" s="8"/>
      <c r="H11" s="32" t="s">
        <v>752</v>
      </c>
      <c r="I11" s="8"/>
      <c r="J11" s="157" t="s">
        <v>758</v>
      </c>
      <c r="K11" s="157" t="s">
        <v>759</v>
      </c>
      <c r="L11" s="157" t="s">
        <v>760</v>
      </c>
      <c r="M11" s="157" t="s">
        <v>761</v>
      </c>
      <c r="N11" s="157" t="s">
        <v>757</v>
      </c>
      <c r="O11" s="157" t="s">
        <v>762</v>
      </c>
      <c r="P11" s="157" t="s">
        <v>763</v>
      </c>
      <c r="Q11" s="157" t="s">
        <v>763</v>
      </c>
      <c r="R11" s="157"/>
      <c r="S11" s="17" t="s">
        <v>764</v>
      </c>
      <c r="T11" s="8"/>
      <c r="U11" s="17" t="s">
        <v>765</v>
      </c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</row>
    <row r="12" spans="2:41" ht="13.5" thickBot="1"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2:41" ht="13.5" outlineLevel="1" thickBot="1">
      <c r="C13" s="17" t="s">
        <v>753</v>
      </c>
      <c r="E13" s="17" t="s">
        <v>766</v>
      </c>
      <c r="F13" s="17" t="s">
        <v>767</v>
      </c>
      <c r="S13" s="175">
        <v>2021</v>
      </c>
      <c r="T13" s="155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2:41" outlineLevel="1"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39"/>
    </row>
    <row r="15" spans="2:41" outlineLevel="1">
      <c r="C15" s="3" t="s">
        <v>768</v>
      </c>
      <c r="E15" s="3" t="s">
        <v>43</v>
      </c>
      <c r="F15" s="1212">
        <f>INDEX($J15:$Q15,,MATCH($F$11,$J$11:$Q$11,0))</f>
        <v>-0.01</v>
      </c>
      <c r="I15" s="33"/>
      <c r="J15" s="180">
        <v>-2.5999999999999999E-3</v>
      </c>
      <c r="K15" s="181">
        <v>-2.5999999999999999E-3</v>
      </c>
      <c r="L15" s="181">
        <v>-0.01</v>
      </c>
      <c r="M15" s="181">
        <v>-0.01</v>
      </c>
      <c r="N15" s="181">
        <v>-0.01</v>
      </c>
      <c r="O15" s="230">
        <v>-1.2303133896629397E-2</v>
      </c>
      <c r="P15" s="230"/>
      <c r="Q15" s="182"/>
      <c r="R15" s="33"/>
      <c r="S15" s="1212">
        <f t="shared" ref="S15:S26" si="1">INDEX($U$36:$AN$64,MATCH(C15,$C$36:$C$64,0),MATCH($S$13,$U$4:$AM$4,0))</f>
        <v>5.8400000000000674E-3</v>
      </c>
      <c r="T15" s="33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</row>
    <row r="16" spans="2:41" outlineLevel="1">
      <c r="C16" s="3" t="s">
        <v>769</v>
      </c>
      <c r="E16" s="3" t="s">
        <v>43</v>
      </c>
      <c r="F16" s="159">
        <f t="shared" ref="F16:F21" si="2">INDEX($J16:$Q16,,MATCH($F$11,$J$11:$Q$11,0))</f>
        <v>0.125</v>
      </c>
      <c r="I16" s="34"/>
      <c r="J16" s="183">
        <v>0.125</v>
      </c>
      <c r="K16" s="184">
        <v>0.125</v>
      </c>
      <c r="L16" s="184">
        <v>0.125</v>
      </c>
      <c r="M16" s="184">
        <v>0.125</v>
      </c>
      <c r="N16" s="184">
        <v>0.125</v>
      </c>
      <c r="O16" s="184">
        <v>0.125</v>
      </c>
      <c r="P16" s="231"/>
      <c r="Q16" s="185"/>
      <c r="R16" s="33"/>
      <c r="S16" s="159">
        <f t="shared" si="1"/>
        <v>0.125</v>
      </c>
      <c r="T16" s="34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</row>
    <row r="17" spans="2:40" outlineLevel="1">
      <c r="C17" s="3" t="s">
        <v>770</v>
      </c>
      <c r="E17" s="3" t="s">
        <v>43</v>
      </c>
      <c r="F17" s="159">
        <f t="shared" si="2"/>
        <v>1</v>
      </c>
      <c r="I17" s="34"/>
      <c r="J17" s="183">
        <v>0.10385891713068766</v>
      </c>
      <c r="K17" s="184">
        <v>0.1111111111111111</v>
      </c>
      <c r="L17" s="184">
        <v>1</v>
      </c>
      <c r="M17" s="184">
        <v>1</v>
      </c>
      <c r="N17" s="184">
        <v>1</v>
      </c>
      <c r="O17" s="184">
        <v>1</v>
      </c>
      <c r="P17" s="231"/>
      <c r="Q17" s="185"/>
      <c r="R17" s="33"/>
      <c r="S17" s="159">
        <f t="shared" si="1"/>
        <v>1</v>
      </c>
      <c r="T17" s="34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</row>
    <row r="18" spans="2:40" outlineLevel="1">
      <c r="C18" s="3" t="s">
        <v>771</v>
      </c>
      <c r="E18" s="3" t="s">
        <v>43</v>
      </c>
      <c r="F18" s="159">
        <f t="shared" si="2"/>
        <v>0.5</v>
      </c>
      <c r="G18" s="218"/>
      <c r="I18" s="34"/>
      <c r="J18" s="186">
        <v>9.4E-2</v>
      </c>
      <c r="K18" s="187">
        <v>0.1</v>
      </c>
      <c r="L18" s="187">
        <v>0.5</v>
      </c>
      <c r="M18" s="187">
        <v>0.5</v>
      </c>
      <c r="N18" s="187">
        <v>0.5</v>
      </c>
      <c r="O18" s="187">
        <v>0.5</v>
      </c>
      <c r="P18" s="232"/>
      <c r="Q18" s="188"/>
      <c r="R18" s="33"/>
      <c r="S18" s="159">
        <f t="shared" si="1"/>
        <v>0.5</v>
      </c>
      <c r="T18" s="34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</row>
    <row r="19" spans="2:40" outlineLevel="1">
      <c r="C19" s="3" t="s">
        <v>772</v>
      </c>
      <c r="E19" s="3" t="s">
        <v>64</v>
      </c>
      <c r="F19" s="160">
        <f>INDEX($J19:$Q19,,MATCH($F$11,$J$11:$Q$11,0))</f>
        <v>0.68</v>
      </c>
      <c r="I19" s="35"/>
      <c r="J19" s="189">
        <v>1.34</v>
      </c>
      <c r="K19" s="190">
        <v>1.34</v>
      </c>
      <c r="L19" s="190">
        <v>0.65</v>
      </c>
      <c r="M19" s="190">
        <v>0.7</v>
      </c>
      <c r="N19" s="237">
        <v>0.68</v>
      </c>
      <c r="O19" s="233">
        <v>0.5</v>
      </c>
      <c r="P19" s="233"/>
      <c r="Q19" s="191"/>
      <c r="R19" s="33"/>
      <c r="S19" s="160">
        <f t="shared" si="1"/>
        <v>0.68</v>
      </c>
      <c r="T19" s="35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</row>
    <row r="20" spans="2:40" outlineLevel="1">
      <c r="C20" s="3" t="s">
        <v>773</v>
      </c>
      <c r="E20" s="3" t="s">
        <v>64</v>
      </c>
      <c r="F20" s="161">
        <f>F19*((1+(1-F16)*F17))</f>
        <v>1.2750000000000001</v>
      </c>
      <c r="I20" s="35"/>
      <c r="J20" s="170">
        <v>0</v>
      </c>
      <c r="K20" s="171">
        <v>0</v>
      </c>
      <c r="L20" s="171"/>
      <c r="M20" s="171"/>
      <c r="N20" s="171"/>
      <c r="O20" s="234"/>
      <c r="P20" s="234"/>
      <c r="Q20" s="172"/>
      <c r="R20" s="33"/>
      <c r="S20" s="160">
        <f t="shared" si="1"/>
        <v>1.2750000000000001</v>
      </c>
      <c r="T20" s="35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</row>
    <row r="21" spans="2:40" outlineLevel="1">
      <c r="C21" s="3" t="s">
        <v>774</v>
      </c>
      <c r="E21" s="3" t="s">
        <v>43</v>
      </c>
      <c r="F21" s="159">
        <f t="shared" si="2"/>
        <v>7.4700000000000003E-2</v>
      </c>
      <c r="I21" s="34"/>
      <c r="J21" s="186">
        <v>4.82E-2</v>
      </c>
      <c r="K21" s="187">
        <v>4.82E-2</v>
      </c>
      <c r="L21" s="187">
        <f>6.4%-L15</f>
        <v>7.3999999999999996E-2</v>
      </c>
      <c r="M21" s="187">
        <f>6.8%-M15</f>
        <v>7.8E-2</v>
      </c>
      <c r="N21" s="236">
        <v>7.4700000000000003E-2</v>
      </c>
      <c r="O21" s="232">
        <v>7.7499999999999999E-2</v>
      </c>
      <c r="P21" s="232"/>
      <c r="Q21" s="188"/>
      <c r="R21" s="33"/>
      <c r="S21" s="159">
        <f t="shared" si="1"/>
        <v>7.4700000000000003E-2</v>
      </c>
      <c r="T21" s="34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</row>
    <row r="22" spans="2:40" outlineLevel="1">
      <c r="C22" s="3" t="s">
        <v>775</v>
      </c>
      <c r="E22" s="3" t="s">
        <v>43</v>
      </c>
      <c r="F22" s="162">
        <f>F15+F20*F21</f>
        <v>8.5242500000000013E-2</v>
      </c>
      <c r="I22" s="34"/>
      <c r="J22" s="165">
        <v>0</v>
      </c>
      <c r="K22" s="166">
        <v>0</v>
      </c>
      <c r="L22" s="166"/>
      <c r="M22" s="166"/>
      <c r="N22" s="166"/>
      <c r="O22" s="166"/>
      <c r="P22" s="166"/>
      <c r="Q22" s="167"/>
      <c r="R22" s="33"/>
      <c r="S22" s="159">
        <f t="shared" si="1"/>
        <v>0.10108250000000008</v>
      </c>
      <c r="T22" s="34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</row>
    <row r="23" spans="2:40" outlineLevel="1">
      <c r="C23" s="3" t="s">
        <v>776</v>
      </c>
      <c r="E23" s="3" t="s">
        <v>43</v>
      </c>
      <c r="F23" s="162">
        <f>F22*(1/(1-F16))</f>
        <v>9.7420000000000007E-2</v>
      </c>
      <c r="I23" s="34"/>
      <c r="J23" s="165">
        <v>0</v>
      </c>
      <c r="K23" s="166">
        <v>0</v>
      </c>
      <c r="L23" s="166"/>
      <c r="M23" s="166"/>
      <c r="N23" s="166"/>
      <c r="O23" s="166"/>
      <c r="P23" s="166"/>
      <c r="Q23" s="167"/>
      <c r="R23" s="33"/>
      <c r="S23" s="159">
        <f t="shared" si="1"/>
        <v>0.11552285714285722</v>
      </c>
      <c r="T23" s="34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</row>
    <row r="24" spans="2:40" outlineLevel="1">
      <c r="C24" s="3" t="s">
        <v>777</v>
      </c>
      <c r="E24" s="3" t="s">
        <v>43</v>
      </c>
      <c r="F24" s="159">
        <f>INDEX($J24:$Q24,,MATCH($F$11,$J$11:$Q$11,0))</f>
        <v>2.5676476397393788E-3</v>
      </c>
      <c r="I24" s="34"/>
      <c r="J24" s="186">
        <v>1.3886929977200162E-2</v>
      </c>
      <c r="K24" s="187">
        <v>2.5000000000000001E-2</v>
      </c>
      <c r="L24" s="187">
        <f>(1.0152/1.0126)-1</f>
        <v>2.5676476397393788E-3</v>
      </c>
      <c r="M24" s="187">
        <f>(1.0152/1.0126)-1</f>
        <v>2.5676476397393788E-3</v>
      </c>
      <c r="N24" s="187">
        <f>(1.0152/1.0126)-1</f>
        <v>2.5676476397393788E-3</v>
      </c>
      <c r="O24" s="232">
        <v>1.180966469428002E-3</v>
      </c>
      <c r="P24" s="232"/>
      <c r="Q24" s="188" t="str">
        <f>IFERROR(INDEX(#REF!,MATCH($C24,#REF!,0),MATCH(Q$11,#REF!,0)),"")</f>
        <v/>
      </c>
      <c r="R24" s="33"/>
      <c r="S24" s="159">
        <f t="shared" si="1"/>
        <v>1.8608730001975271E-2</v>
      </c>
      <c r="T24" s="34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</row>
    <row r="25" spans="2:40" outlineLevel="1">
      <c r="C25" s="3" t="s">
        <v>778</v>
      </c>
      <c r="F25" s="159">
        <f>INDEX($J25:$Q25,,MATCH($F$11,$J$11:$Q$11,0))</f>
        <v>0</v>
      </c>
      <c r="I25" s="34"/>
      <c r="J25" s="186"/>
      <c r="K25" s="187"/>
      <c r="L25" s="187"/>
      <c r="M25" s="187"/>
      <c r="N25" s="187"/>
      <c r="O25" s="232">
        <v>5.0000000000000001E-3</v>
      </c>
      <c r="P25" s="232"/>
      <c r="Q25" s="188"/>
      <c r="R25" s="33"/>
      <c r="S25" s="159">
        <f t="shared" si="1"/>
        <v>0</v>
      </c>
      <c r="T25" s="34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</row>
    <row r="26" spans="2:40" outlineLevel="1">
      <c r="C26" s="3" t="s">
        <v>96</v>
      </c>
      <c r="E26" s="3" t="s">
        <v>43</v>
      </c>
      <c r="F26" s="163">
        <f>(F18*F24)+((1-F18)*F23)+F25</f>
        <v>4.9993823819869693E-2</v>
      </c>
      <c r="I26" s="34"/>
      <c r="J26" s="168"/>
      <c r="K26" s="1054"/>
      <c r="L26" s="1054"/>
      <c r="M26" s="1054"/>
      <c r="N26" s="1054"/>
      <c r="O26" s="1054"/>
      <c r="P26" s="1054"/>
      <c r="Q26" s="1055"/>
      <c r="R26" s="33"/>
      <c r="S26" s="164">
        <f t="shared" si="1"/>
        <v>6.7065793572416238E-2</v>
      </c>
      <c r="T26" s="34"/>
      <c r="U26" s="244">
        <v>0.1069</v>
      </c>
      <c r="V26" s="244">
        <v>0.1081</v>
      </c>
      <c r="W26" s="244">
        <v>0.11039996924791944</v>
      </c>
      <c r="X26" s="244">
        <v>0.1138</v>
      </c>
      <c r="Y26" s="244">
        <v>0.11380063439238729</v>
      </c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</row>
    <row r="27" spans="2:40" outlineLevel="1">
      <c r="U27" s="39" t="s">
        <v>779</v>
      </c>
      <c r="V27" s="39" t="s">
        <v>779</v>
      </c>
      <c r="W27" s="39" t="s">
        <v>779</v>
      </c>
      <c r="X27" s="39" t="s">
        <v>779</v>
      </c>
      <c r="Y27" s="39" t="s">
        <v>779</v>
      </c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2:40" outlineLevel="1">
      <c r="F28" s="158" t="s">
        <v>780</v>
      </c>
      <c r="V28" s="3"/>
      <c r="W28" s="3"/>
      <c r="X28" s="3"/>
      <c r="Y28" s="3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2:40">
      <c r="V29" s="3"/>
      <c r="W29" s="3"/>
      <c r="X29" s="3"/>
      <c r="Y29" s="3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</row>
    <row r="30" spans="2:40">
      <c r="B30" s="5" t="s">
        <v>781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31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2:40"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</row>
    <row r="32" spans="2:40" ht="13.5" thickBot="1">
      <c r="C32" s="6" t="s">
        <v>112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</row>
    <row r="33" spans="3:40">
      <c r="C33" s="3" t="s">
        <v>146</v>
      </c>
      <c r="E33" s="3" t="s">
        <v>43</v>
      </c>
      <c r="U33" s="238">
        <f>'Misc. Items'!I29</f>
        <v>0</v>
      </c>
      <c r="V33" s="238">
        <f>'Misc. Items'!J29</f>
        <v>-2E-3</v>
      </c>
      <c r="W33" s="238">
        <f>'Misc. Items'!K29</f>
        <v>3.0000000000000001E-3</v>
      </c>
      <c r="X33" s="238">
        <f>'Misc. Items'!L29</f>
        <v>7.0000000000000001E-3</v>
      </c>
      <c r="Y33" s="238">
        <f>'Misc. Items'!M29</f>
        <v>8.9999999999999993E-3</v>
      </c>
      <c r="Z33" s="153">
        <f>'Misc. Items'!N29</f>
        <v>-5.0000000000000001E-3</v>
      </c>
      <c r="AA33" s="153">
        <f>'Misc. Items'!O29</f>
        <v>1.6E-2</v>
      </c>
      <c r="AB33" s="153">
        <f>'Misc. Items'!P29</f>
        <v>1.9E-2</v>
      </c>
      <c r="AC33" s="153">
        <f>'Misc. Items'!Q29</f>
        <v>0.02</v>
      </c>
      <c r="AD33" s="153">
        <f>'Misc. Items'!R29</f>
        <v>0.02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</row>
    <row r="34" spans="3:40"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</row>
    <row r="35" spans="3:40" ht="13.5" thickBot="1">
      <c r="C35" s="6" t="s">
        <v>768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</row>
    <row r="36" spans="3:40">
      <c r="C36" s="3" t="s">
        <v>768</v>
      </c>
      <c r="E36" s="3" t="s">
        <v>43</v>
      </c>
      <c r="U36" s="238">
        <f t="shared" ref="U36:AD36" si="3">(((1+INDEX($J$15:$Q$26,MATCH($C36,$C$15:$C$26,0),MATCH($F$11,$J$11:$Q$11,0)))*(1+U33)-1))*(U$15="")+U$15</f>
        <v>-1.0000000000000009E-2</v>
      </c>
      <c r="V36" s="238">
        <f t="shared" si="3"/>
        <v>-1.1979999999999991E-2</v>
      </c>
      <c r="W36" s="238">
        <f t="shared" si="3"/>
        <v>-7.0300000000000917E-3</v>
      </c>
      <c r="X36" s="238">
        <f t="shared" si="3"/>
        <v>-3.0700000000001282E-3</v>
      </c>
      <c r="Y36" s="238">
        <f t="shared" si="3"/>
        <v>-1.0900000000001464E-3</v>
      </c>
      <c r="Z36" s="153">
        <f t="shared" si="3"/>
        <v>-1.4950000000000019E-2</v>
      </c>
      <c r="AA36" s="153">
        <f t="shared" si="3"/>
        <v>5.8400000000000674E-3</v>
      </c>
      <c r="AB36" s="153">
        <f t="shared" si="3"/>
        <v>8.8099999999999845E-3</v>
      </c>
      <c r="AC36" s="153">
        <f t="shared" si="3"/>
        <v>9.8000000000000309E-3</v>
      </c>
      <c r="AD36" s="153">
        <f t="shared" si="3"/>
        <v>9.8000000000000309E-3</v>
      </c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</row>
    <row r="37" spans="3:40">
      <c r="U37" s="239"/>
      <c r="V37" s="239"/>
      <c r="W37" s="239"/>
      <c r="X37" s="239"/>
      <c r="Y37" s="239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</row>
    <row r="38" spans="3:40" ht="13.5" thickBot="1">
      <c r="C38" s="6" t="s">
        <v>782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240"/>
      <c r="V38" s="240"/>
      <c r="W38" s="240"/>
      <c r="X38" s="240"/>
      <c r="Y38" s="240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</row>
    <row r="39" spans="3:40">
      <c r="C39" s="3" t="s">
        <v>769</v>
      </c>
      <c r="E39" s="3" t="s">
        <v>43</v>
      </c>
      <c r="U39" s="241">
        <f t="shared" ref="U39:AD39" si="4">(INDEX($J$15:$Q$26,MATCH($C39,$C$15:$C$26,0),MATCH($F$11,$J$11:$Q$11,0))*(U$16=""))+U$16</f>
        <v>0.125</v>
      </c>
      <c r="V39" s="241">
        <f t="shared" si="4"/>
        <v>0.125</v>
      </c>
      <c r="W39" s="241">
        <f t="shared" si="4"/>
        <v>0.125</v>
      </c>
      <c r="X39" s="241">
        <f t="shared" si="4"/>
        <v>0.125</v>
      </c>
      <c r="Y39" s="241">
        <f t="shared" si="4"/>
        <v>0.125</v>
      </c>
      <c r="Z39" s="13">
        <f t="shared" si="4"/>
        <v>0.125</v>
      </c>
      <c r="AA39" s="13">
        <f t="shared" si="4"/>
        <v>0.125</v>
      </c>
      <c r="AB39" s="13">
        <f t="shared" si="4"/>
        <v>0.125</v>
      </c>
      <c r="AC39" s="13">
        <f t="shared" si="4"/>
        <v>0.125</v>
      </c>
      <c r="AD39" s="13">
        <f t="shared" si="4"/>
        <v>0.125</v>
      </c>
      <c r="AE39" s="13"/>
      <c r="AF39" s="13"/>
      <c r="AG39" s="13"/>
      <c r="AH39" s="13"/>
      <c r="AI39" s="13"/>
      <c r="AJ39" s="13"/>
      <c r="AK39" s="13"/>
      <c r="AL39" s="13"/>
      <c r="AM39" s="13"/>
      <c r="AN39" s="13"/>
    </row>
    <row r="40" spans="3:40">
      <c r="U40" s="239"/>
      <c r="V40" s="239"/>
      <c r="W40" s="239"/>
      <c r="X40" s="239"/>
      <c r="Y40" s="239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</row>
    <row r="41" spans="3:40" ht="13.5" thickBot="1">
      <c r="C41" s="6" t="s">
        <v>783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240"/>
      <c r="V41" s="240"/>
      <c r="W41" s="240"/>
      <c r="X41" s="240"/>
      <c r="Y41" s="240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</row>
    <row r="42" spans="3:40">
      <c r="C42" s="3" t="s">
        <v>770</v>
      </c>
      <c r="E42" s="3" t="s">
        <v>43</v>
      </c>
      <c r="U42" s="241">
        <f t="shared" ref="U42:AD43" si="5">(INDEX($J$15:$Q$26,MATCH($C42,$C$15:$C$26,0),MATCH($F$11,$J$11:$Q$11,0))*(U$17=""))+U$17</f>
        <v>1</v>
      </c>
      <c r="V42" s="241">
        <f t="shared" si="5"/>
        <v>1</v>
      </c>
      <c r="W42" s="241">
        <f t="shared" si="5"/>
        <v>1</v>
      </c>
      <c r="X42" s="241">
        <f t="shared" si="5"/>
        <v>1</v>
      </c>
      <c r="Y42" s="241">
        <f t="shared" si="5"/>
        <v>1</v>
      </c>
      <c r="Z42" s="13">
        <f t="shared" si="5"/>
        <v>1</v>
      </c>
      <c r="AA42" s="13">
        <f t="shared" si="5"/>
        <v>1</v>
      </c>
      <c r="AB42" s="13">
        <f t="shared" si="5"/>
        <v>1</v>
      </c>
      <c r="AC42" s="13">
        <f t="shared" si="5"/>
        <v>1</v>
      </c>
      <c r="AD42" s="13">
        <f t="shared" si="5"/>
        <v>1</v>
      </c>
      <c r="AE42" s="13"/>
      <c r="AF42" s="13"/>
      <c r="AG42" s="13"/>
      <c r="AH42" s="13"/>
      <c r="AI42" s="13"/>
      <c r="AJ42" s="13"/>
      <c r="AK42" s="13"/>
      <c r="AL42" s="13"/>
      <c r="AM42" s="13"/>
      <c r="AN42" s="13"/>
    </row>
    <row r="43" spans="3:40">
      <c r="C43" s="3" t="s">
        <v>771</v>
      </c>
      <c r="E43" s="3" t="s">
        <v>43</v>
      </c>
      <c r="U43" s="241">
        <f t="shared" si="5"/>
        <v>0.5</v>
      </c>
      <c r="V43" s="241">
        <f t="shared" si="5"/>
        <v>0.5</v>
      </c>
      <c r="W43" s="241">
        <f t="shared" si="5"/>
        <v>0.5</v>
      </c>
      <c r="X43" s="241">
        <f t="shared" si="5"/>
        <v>0.5</v>
      </c>
      <c r="Y43" s="241">
        <f t="shared" si="5"/>
        <v>0.5</v>
      </c>
      <c r="Z43" s="13">
        <f t="shared" si="5"/>
        <v>0.5</v>
      </c>
      <c r="AA43" s="13">
        <f t="shared" si="5"/>
        <v>0.5</v>
      </c>
      <c r="AB43" s="13">
        <f t="shared" si="5"/>
        <v>0.5</v>
      </c>
      <c r="AC43" s="13">
        <f t="shared" si="5"/>
        <v>0.5</v>
      </c>
      <c r="AD43" s="13">
        <f t="shared" si="5"/>
        <v>0.5</v>
      </c>
      <c r="AE43" s="13"/>
      <c r="AF43" s="13"/>
      <c r="AG43" s="13"/>
      <c r="AH43" s="13"/>
      <c r="AI43" s="13"/>
      <c r="AJ43" s="13"/>
      <c r="AK43" s="13"/>
      <c r="AL43" s="13"/>
      <c r="AM43" s="13"/>
      <c r="AN43" s="13"/>
    </row>
    <row r="44" spans="3:40">
      <c r="U44" s="239"/>
      <c r="V44" s="239"/>
      <c r="W44" s="239"/>
      <c r="X44" s="239"/>
      <c r="Y44" s="239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</row>
    <row r="45" spans="3:40" ht="13.5" thickBot="1">
      <c r="C45" s="6" t="s">
        <v>784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240"/>
      <c r="V45" s="240"/>
      <c r="W45" s="240"/>
      <c r="X45" s="240"/>
      <c r="Y45" s="240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</row>
    <row r="46" spans="3:40">
      <c r="C46" s="3" t="s">
        <v>772</v>
      </c>
      <c r="E46" s="3" t="s">
        <v>64</v>
      </c>
      <c r="U46" s="242">
        <f t="shared" ref="U46:AD46" si="6">(INDEX($J$15:$Q$26,MATCH($C46,$C$15:$C$26,0),MATCH($F$11,$J$11:$Q$11,0))*(U$19=""))+U$19</f>
        <v>0.68</v>
      </c>
      <c r="V46" s="242">
        <f t="shared" si="6"/>
        <v>0.68</v>
      </c>
      <c r="W46" s="242">
        <f t="shared" si="6"/>
        <v>0.68</v>
      </c>
      <c r="X46" s="242">
        <f t="shared" si="6"/>
        <v>0.68</v>
      </c>
      <c r="Y46" s="242">
        <f t="shared" si="6"/>
        <v>0.68</v>
      </c>
      <c r="Z46" s="16">
        <f t="shared" si="6"/>
        <v>0.68</v>
      </c>
      <c r="AA46" s="16">
        <f t="shared" si="6"/>
        <v>0.68</v>
      </c>
      <c r="AB46" s="16">
        <f t="shared" si="6"/>
        <v>0.68</v>
      </c>
      <c r="AC46" s="16">
        <f t="shared" si="6"/>
        <v>0.68</v>
      </c>
      <c r="AD46" s="16">
        <f t="shared" si="6"/>
        <v>0.68</v>
      </c>
      <c r="AE46" s="16"/>
      <c r="AF46" s="16"/>
      <c r="AG46" s="16"/>
      <c r="AH46" s="16"/>
      <c r="AI46" s="16"/>
      <c r="AJ46" s="16"/>
      <c r="AK46" s="16"/>
      <c r="AL46" s="16"/>
      <c r="AM46" s="16"/>
      <c r="AN46" s="16"/>
    </row>
    <row r="47" spans="3:40">
      <c r="C47" s="3" t="s">
        <v>773</v>
      </c>
      <c r="E47" s="3" t="s">
        <v>64</v>
      </c>
      <c r="U47" s="242">
        <f t="shared" ref="U47:AD47" si="7">(U$46*(1+(1-U$39)*U42))*(U$20="")+U20</f>
        <v>1.2750000000000001</v>
      </c>
      <c r="V47" s="242">
        <f t="shared" si="7"/>
        <v>1.2750000000000001</v>
      </c>
      <c r="W47" s="242">
        <f t="shared" si="7"/>
        <v>1.2750000000000001</v>
      </c>
      <c r="X47" s="242">
        <f t="shared" si="7"/>
        <v>1.2750000000000001</v>
      </c>
      <c r="Y47" s="242">
        <f t="shared" si="7"/>
        <v>1.2750000000000001</v>
      </c>
      <c r="Z47" s="16">
        <f t="shared" si="7"/>
        <v>1.2750000000000001</v>
      </c>
      <c r="AA47" s="16">
        <f t="shared" si="7"/>
        <v>1.2750000000000001</v>
      </c>
      <c r="AB47" s="16">
        <f t="shared" si="7"/>
        <v>1.2750000000000001</v>
      </c>
      <c r="AC47" s="16">
        <f t="shared" si="7"/>
        <v>1.2750000000000001</v>
      </c>
      <c r="AD47" s="16">
        <f t="shared" si="7"/>
        <v>1.2750000000000001</v>
      </c>
      <c r="AE47" s="16"/>
      <c r="AF47" s="16"/>
      <c r="AG47" s="16"/>
      <c r="AH47" s="16"/>
      <c r="AI47" s="16"/>
      <c r="AJ47" s="16"/>
      <c r="AK47" s="16"/>
      <c r="AL47" s="16"/>
      <c r="AM47" s="16"/>
      <c r="AN47" s="16"/>
    </row>
    <row r="48" spans="3:40">
      <c r="U48" s="239"/>
      <c r="V48" s="239"/>
      <c r="W48" s="239"/>
      <c r="X48" s="239"/>
      <c r="Y48" s="239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</row>
    <row r="49" spans="3:40" ht="13.5" thickBot="1">
      <c r="C49" s="6" t="s">
        <v>785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240"/>
      <c r="V49" s="240"/>
      <c r="W49" s="240"/>
      <c r="X49" s="240"/>
      <c r="Y49" s="240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</row>
    <row r="50" spans="3:40">
      <c r="C50" s="3" t="s">
        <v>774</v>
      </c>
      <c r="E50" s="3" t="s">
        <v>43</v>
      </c>
      <c r="U50" s="241">
        <f t="shared" ref="U50:AD50" si="8">(INDEX($J$15:$Q$26,MATCH($C50,$C$15:$C$26,0),MATCH($F$11,$J$11:$Q$11,0))*(U$20=""))+U$20</f>
        <v>7.4700000000000003E-2</v>
      </c>
      <c r="V50" s="241">
        <f t="shared" si="8"/>
        <v>7.4700000000000003E-2</v>
      </c>
      <c r="W50" s="241">
        <f t="shared" si="8"/>
        <v>7.4700000000000003E-2</v>
      </c>
      <c r="X50" s="241">
        <f t="shared" si="8"/>
        <v>7.4700000000000003E-2</v>
      </c>
      <c r="Y50" s="241">
        <f t="shared" si="8"/>
        <v>7.4700000000000003E-2</v>
      </c>
      <c r="Z50" s="13">
        <f t="shared" si="8"/>
        <v>7.4700000000000003E-2</v>
      </c>
      <c r="AA50" s="13">
        <f t="shared" si="8"/>
        <v>7.4700000000000003E-2</v>
      </c>
      <c r="AB50" s="13">
        <f t="shared" si="8"/>
        <v>7.4700000000000003E-2</v>
      </c>
      <c r="AC50" s="13">
        <f t="shared" si="8"/>
        <v>7.4700000000000003E-2</v>
      </c>
      <c r="AD50" s="13">
        <f t="shared" si="8"/>
        <v>7.4700000000000003E-2</v>
      </c>
      <c r="AE50" s="13"/>
      <c r="AF50" s="13"/>
      <c r="AG50" s="13"/>
      <c r="AH50" s="13"/>
      <c r="AI50" s="13"/>
      <c r="AJ50" s="13"/>
      <c r="AK50" s="13"/>
      <c r="AL50" s="13"/>
      <c r="AM50" s="13"/>
      <c r="AN50" s="13"/>
    </row>
    <row r="51" spans="3:40">
      <c r="U51" s="239"/>
      <c r="V51" s="239"/>
      <c r="W51" s="239"/>
      <c r="X51" s="239"/>
      <c r="Y51" s="239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</row>
    <row r="52" spans="3:40" ht="13.5" thickBot="1">
      <c r="C52" s="6" t="s">
        <v>786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240"/>
      <c r="V52" s="240"/>
      <c r="W52" s="240"/>
      <c r="X52" s="240"/>
      <c r="Y52" s="240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</row>
    <row r="53" spans="3:40">
      <c r="C53" s="3" t="s">
        <v>775</v>
      </c>
      <c r="E53" s="3" t="s">
        <v>43</v>
      </c>
      <c r="U53" s="243">
        <f t="shared" ref="U53:AD53" si="9">((U36+U47*U50)*(U$22=""))+U$22</f>
        <v>8.5242499999999999E-2</v>
      </c>
      <c r="V53" s="243">
        <f t="shared" si="9"/>
        <v>8.3262500000000017E-2</v>
      </c>
      <c r="W53" s="243">
        <f t="shared" si="9"/>
        <v>8.8212499999999916E-2</v>
      </c>
      <c r="X53" s="243">
        <f t="shared" si="9"/>
        <v>9.217249999999988E-2</v>
      </c>
      <c r="Y53" s="243">
        <f t="shared" si="9"/>
        <v>9.4152499999999861E-2</v>
      </c>
      <c r="Z53" s="15">
        <f>((Z36+Z47*Z50)*(Z$22=""))+Z$22</f>
        <v>8.0292499999999989E-2</v>
      </c>
      <c r="AA53" s="15">
        <f t="shared" si="9"/>
        <v>0.10108250000000008</v>
      </c>
      <c r="AB53" s="15">
        <f t="shared" si="9"/>
        <v>0.10405249999999999</v>
      </c>
      <c r="AC53" s="15">
        <f t="shared" si="9"/>
        <v>0.10504250000000004</v>
      </c>
      <c r="AD53" s="15">
        <f t="shared" si="9"/>
        <v>0.10504250000000004</v>
      </c>
      <c r="AE53" s="15"/>
      <c r="AF53" s="15"/>
      <c r="AG53" s="15"/>
      <c r="AH53" s="15"/>
      <c r="AI53" s="15"/>
      <c r="AJ53" s="15"/>
      <c r="AK53" s="15"/>
      <c r="AL53" s="15"/>
      <c r="AM53" s="15"/>
      <c r="AN53" s="15"/>
    </row>
    <row r="54" spans="3:40">
      <c r="C54" s="3" t="s">
        <v>776</v>
      </c>
      <c r="E54" s="3" t="s">
        <v>43</v>
      </c>
      <c r="U54" s="243">
        <f t="shared" ref="U54:AD54" si="10">((U53*(1/(1-U39)))*(U$23=""))+U$23</f>
        <v>9.7419999999999993E-2</v>
      </c>
      <c r="V54" s="243">
        <f t="shared" si="10"/>
        <v>9.5157142857142871E-2</v>
      </c>
      <c r="W54" s="243">
        <f t="shared" si="10"/>
        <v>0.10081428571428561</v>
      </c>
      <c r="X54" s="243">
        <f t="shared" si="10"/>
        <v>0.10533999999999985</v>
      </c>
      <c r="Y54" s="243">
        <f t="shared" si="10"/>
        <v>0.10760285714285697</v>
      </c>
      <c r="Z54" s="15">
        <f>((Z53*(1/(1-Z39)))*(Z$23=""))+Z$23</f>
        <v>9.1762857142857118E-2</v>
      </c>
      <c r="AA54" s="15">
        <f t="shared" si="10"/>
        <v>0.11552285714285722</v>
      </c>
      <c r="AB54" s="15">
        <f t="shared" si="10"/>
        <v>0.11891714285714285</v>
      </c>
      <c r="AC54" s="15">
        <f t="shared" si="10"/>
        <v>0.12004857142857146</v>
      </c>
      <c r="AD54" s="15">
        <f t="shared" si="10"/>
        <v>0.12004857142857146</v>
      </c>
      <c r="AE54" s="15"/>
      <c r="AF54" s="15"/>
      <c r="AG54" s="15"/>
      <c r="AH54" s="15"/>
      <c r="AI54" s="15"/>
      <c r="AJ54" s="15"/>
      <c r="AK54" s="15"/>
      <c r="AL54" s="15"/>
      <c r="AM54" s="15"/>
      <c r="AN54" s="15"/>
    </row>
    <row r="55" spans="3:40">
      <c r="U55" s="239"/>
      <c r="V55" s="239"/>
      <c r="W55" s="239"/>
      <c r="X55" s="239"/>
      <c r="Y55" s="239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</row>
    <row r="56" spans="3:40" ht="13.5" thickBot="1">
      <c r="C56" s="6" t="s">
        <v>787</v>
      </c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240"/>
      <c r="V56" s="240"/>
      <c r="W56" s="240"/>
      <c r="X56" s="240"/>
      <c r="Y56" s="240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</row>
    <row r="57" spans="3:40">
      <c r="C57" s="3" t="s">
        <v>777</v>
      </c>
      <c r="E57" s="3" t="s">
        <v>43</v>
      </c>
      <c r="U57" s="238">
        <f>(((1+INDEX($J$15:$Q$26,MATCH($C57,$C$15:$C$26,0),MATCH($F$11,$J$11:$Q$11,0)))*(1+U33))-1)*(U$24="")+U$24</f>
        <v>2.5676476397393788E-3</v>
      </c>
      <c r="V57" s="238">
        <f t="shared" ref="V57:AD57" si="11">(((1+INDEX($J$15:$Q$26,MATCH($C57,$C$15:$C$26,0),MATCH($F$11,$J$11:$Q$11,0)))*(1+V33))-1)*(V$24="")+V$24</f>
        <v>5.6251234445992004E-4</v>
      </c>
      <c r="W57" s="238">
        <f t="shared" si="11"/>
        <v>5.575350582658567E-3</v>
      </c>
      <c r="X57" s="238">
        <f t="shared" si="11"/>
        <v>9.5856211732174845E-3</v>
      </c>
      <c r="Y57" s="238">
        <f t="shared" si="11"/>
        <v>1.1590756468496943E-2</v>
      </c>
      <c r="Z57" s="153">
        <f>(((1+INDEX($J$15:$Q$26,MATCH($C57,$C$15:$C$26,0),MATCH($F$11,$J$11:$Q$11,0)))*(1+Z33))-1)*(Z$24="")+Z$24</f>
        <v>-2.4451905984592681E-3</v>
      </c>
      <c r="AA57" s="153">
        <f t="shared" si="11"/>
        <v>1.8608730001975271E-2</v>
      </c>
      <c r="AB57" s="153">
        <f t="shared" si="11"/>
        <v>2.1616432944894237E-2</v>
      </c>
      <c r="AC57" s="153">
        <f t="shared" si="11"/>
        <v>2.2619000592534189E-2</v>
      </c>
      <c r="AD57" s="153">
        <f t="shared" si="11"/>
        <v>2.2619000592534189E-2</v>
      </c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3:40">
      <c r="U58" s="239"/>
      <c r="V58" s="239"/>
      <c r="W58" s="239"/>
      <c r="X58" s="239"/>
      <c r="Y58" s="239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</row>
    <row r="59" spans="3:40" ht="13.5" thickBot="1">
      <c r="C59" s="6" t="s">
        <v>98</v>
      </c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7"/>
      <c r="AF59" s="7"/>
      <c r="AG59" s="7"/>
      <c r="AH59" s="7"/>
      <c r="AI59" s="7"/>
      <c r="AJ59" s="7"/>
      <c r="AK59" s="7"/>
      <c r="AL59" s="7"/>
      <c r="AM59" s="7"/>
      <c r="AN59" s="7"/>
    </row>
    <row r="60" spans="3:40">
      <c r="C60" s="18" t="s">
        <v>788</v>
      </c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828">
        <v>0</v>
      </c>
      <c r="AA60" s="828">
        <v>0</v>
      </c>
      <c r="AB60" s="828">
        <v>1</v>
      </c>
      <c r="AC60" s="828">
        <v>1</v>
      </c>
      <c r="AD60" s="828">
        <v>1</v>
      </c>
      <c r="AE60" s="18"/>
      <c r="AF60" s="18"/>
      <c r="AG60" s="18"/>
      <c r="AH60" s="18"/>
      <c r="AI60" s="18"/>
      <c r="AJ60" s="18"/>
      <c r="AK60" s="18"/>
      <c r="AL60" s="18"/>
      <c r="AM60" s="18"/>
      <c r="AN60" s="18"/>
    </row>
    <row r="61" spans="3:40">
      <c r="C61" s="3" t="s">
        <v>778</v>
      </c>
      <c r="E61" s="3" t="s">
        <v>43</v>
      </c>
      <c r="U61" s="239"/>
      <c r="V61" s="239"/>
      <c r="W61" s="239"/>
      <c r="X61" s="239"/>
      <c r="Y61" s="239"/>
      <c r="Z61" s="830">
        <f>((INDEX($J$15:$Q$26,MATCH($C61,$C$15:$C$26,0),MATCH($F$11,$J$11:$Q$11,0))*(Z$25=""))+Z$25)*Z60</f>
        <v>0</v>
      </c>
      <c r="AA61" s="830">
        <f t="shared" ref="AA61:AD61" si="12">((INDEX($J$15:$Q$26,MATCH($C61,$C$15:$C$26,0),MATCH($F$11,$J$11:$Q$11,0))*(AA$25=""))+AA$25)*AA60</f>
        <v>0</v>
      </c>
      <c r="AB61" s="830">
        <f t="shared" si="12"/>
        <v>0</v>
      </c>
      <c r="AC61" s="830">
        <f t="shared" si="12"/>
        <v>0</v>
      </c>
      <c r="AD61" s="830">
        <f t="shared" si="12"/>
        <v>0</v>
      </c>
      <c r="AE61" s="3"/>
      <c r="AF61" s="3"/>
      <c r="AG61" s="3"/>
      <c r="AH61" s="3"/>
      <c r="AI61" s="3"/>
      <c r="AJ61" s="3"/>
      <c r="AK61" s="3"/>
      <c r="AL61" s="3"/>
      <c r="AM61" s="3"/>
      <c r="AN61" s="3"/>
    </row>
    <row r="62" spans="3:40">
      <c r="U62" s="239"/>
      <c r="V62" s="239"/>
      <c r="W62" s="239"/>
      <c r="X62" s="239"/>
      <c r="Y62" s="239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</row>
    <row r="63" spans="3:40" ht="13.5" thickBot="1">
      <c r="C63" s="6" t="s">
        <v>789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240"/>
      <c r="V63" s="240"/>
      <c r="W63" s="240"/>
      <c r="X63" s="240"/>
      <c r="Y63" s="240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</row>
    <row r="64" spans="3:40">
      <c r="C64" s="3" t="s">
        <v>96</v>
      </c>
      <c r="E64" s="3" t="s">
        <v>43</v>
      </c>
      <c r="U64" s="241">
        <f t="shared" ref="U64:AC64" si="13">(U61+(U43*U57+U54*(1-U43))*(U$26=""))+U$26</f>
        <v>0.1069</v>
      </c>
      <c r="V64" s="241">
        <f t="shared" si="13"/>
        <v>0.1081</v>
      </c>
      <c r="W64" s="241">
        <f t="shared" si="13"/>
        <v>0.11039996924791944</v>
      </c>
      <c r="X64" s="241">
        <f t="shared" si="13"/>
        <v>0.1138</v>
      </c>
      <c r="Y64" s="241">
        <f t="shared" si="13"/>
        <v>0.11380063439238729</v>
      </c>
      <c r="Z64" s="13">
        <f t="shared" si="13"/>
        <v>4.4658833272198925E-2</v>
      </c>
      <c r="AA64" s="13">
        <f t="shared" si="13"/>
        <v>6.7065793572416238E-2</v>
      </c>
      <c r="AB64" s="13">
        <f t="shared" si="13"/>
        <v>7.0266787901018535E-2</v>
      </c>
      <c r="AC64" s="13">
        <f t="shared" si="13"/>
        <v>7.1333786010552819E-2</v>
      </c>
      <c r="AD64" s="13">
        <f>(AD61+(AD43*AD57+AD54*(1-AD43))*(AD$26=""))+AD$26</f>
        <v>7.1333786010552819E-2</v>
      </c>
      <c r="AE64" s="13"/>
      <c r="AF64" s="13"/>
      <c r="AG64" s="13"/>
      <c r="AH64" s="13"/>
      <c r="AI64" s="13"/>
      <c r="AJ64" s="13"/>
      <c r="AK64" s="13"/>
      <c r="AL64" s="13"/>
      <c r="AM64" s="13"/>
      <c r="AN64" s="13"/>
    </row>
    <row r="65" spans="2:40"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</row>
    <row r="66" spans="2:40">
      <c r="B66" s="5" t="s">
        <v>32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2:40"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</row>
    <row r="68" spans="2:40" ht="13.5" thickBot="1">
      <c r="C68" s="6" t="s">
        <v>790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</row>
    <row r="69" spans="2:40"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</row>
    <row r="70" spans="2:40">
      <c r="C70" s="17" t="s">
        <v>791</v>
      </c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</row>
    <row r="71" spans="2:40"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</row>
    <row r="72" spans="2:40">
      <c r="C72" s="3" t="s">
        <v>792</v>
      </c>
      <c r="E72" s="3" t="s">
        <v>29</v>
      </c>
      <c r="U72" s="210">
        <f>'ANSP Capex'!BA1002</f>
        <v>0</v>
      </c>
      <c r="V72" s="210">
        <f>'ANSP Capex'!BB1002</f>
        <v>0</v>
      </c>
      <c r="W72" s="210">
        <f>'ANSP Capex'!BC1002</f>
        <v>0</v>
      </c>
      <c r="X72" s="210">
        <f>'ANSP Capex'!BD1002</f>
        <v>0</v>
      </c>
      <c r="Y72" s="210">
        <f>'ANSP Capex'!BE1002</f>
        <v>0</v>
      </c>
      <c r="Z72" s="210">
        <f>'ANSP Capex'!BF1002</f>
        <v>21952.367545015462</v>
      </c>
      <c r="AA72" s="210">
        <f>'ANSP Capex'!BG1002</f>
        <v>32235.652181969577</v>
      </c>
      <c r="AB72" s="210">
        <f>'ANSP Capex'!BH1002</f>
        <v>41849.312824096785</v>
      </c>
      <c r="AC72" s="210">
        <f>'ANSP Capex'!BI1002</f>
        <v>53157.552561372286</v>
      </c>
      <c r="AD72" s="210">
        <f>'ANSP Capex'!BJ1002</f>
        <v>55421.351938583066</v>
      </c>
      <c r="AE72" s="3"/>
      <c r="AF72" s="3"/>
      <c r="AG72" s="3"/>
      <c r="AH72" s="3"/>
      <c r="AI72" s="3"/>
      <c r="AJ72" s="3"/>
      <c r="AK72" s="3"/>
      <c r="AL72" s="3"/>
      <c r="AM72" s="3"/>
      <c r="AN72" s="3"/>
    </row>
    <row r="73" spans="2:40">
      <c r="C73" s="3" t="s">
        <v>24</v>
      </c>
      <c r="E73" s="3" t="s">
        <v>29</v>
      </c>
      <c r="U73" s="210">
        <f>'ANSP Capex'!BA1319</f>
        <v>0</v>
      </c>
      <c r="V73" s="210">
        <f>'ANSP Capex'!BB1319</f>
        <v>0</v>
      </c>
      <c r="W73" s="210">
        <f>'ANSP Capex'!BC1319</f>
        <v>0</v>
      </c>
      <c r="X73" s="210">
        <f>'ANSP Capex'!BD1319</f>
        <v>0</v>
      </c>
      <c r="Y73" s="210">
        <f>'ANSP Capex'!BE1319</f>
        <v>0</v>
      </c>
      <c r="Z73" s="210">
        <f>'ANSP Capex'!BF1319</f>
        <v>10170.741769304574</v>
      </c>
      <c r="AA73" s="210">
        <f>'ANSP Capex'!BG1319</f>
        <v>30161.839100006637</v>
      </c>
      <c r="AB73" s="210">
        <f>'ANSP Capex'!BH1319</f>
        <v>58054.088350224505</v>
      </c>
      <c r="AC73" s="210">
        <f>'ANSP Capex'!BI1319</f>
        <v>64310.35456590588</v>
      </c>
      <c r="AD73" s="210">
        <f>'ANSP Capex'!BJ1319</f>
        <v>64769.346828307564</v>
      </c>
      <c r="AE73" s="3"/>
      <c r="AF73" s="3"/>
      <c r="AG73" s="3"/>
      <c r="AH73" s="3"/>
      <c r="AI73" s="3"/>
      <c r="AJ73" s="3"/>
      <c r="AK73" s="3"/>
      <c r="AL73" s="3"/>
      <c r="AM73" s="3"/>
      <c r="AN73" s="3"/>
    </row>
    <row r="74" spans="2:40">
      <c r="C74" s="17" t="s">
        <v>12</v>
      </c>
      <c r="D74" s="17"/>
      <c r="E74" s="17" t="s">
        <v>29</v>
      </c>
      <c r="U74" s="1170">
        <f>SUM(U72:U73)</f>
        <v>0</v>
      </c>
      <c r="V74" s="1170">
        <f t="shared" ref="V74:AD74" si="14">SUM(V72:V73)</f>
        <v>0</v>
      </c>
      <c r="W74" s="1170">
        <f t="shared" si="14"/>
        <v>0</v>
      </c>
      <c r="X74" s="1170">
        <f t="shared" si="14"/>
        <v>0</v>
      </c>
      <c r="Y74" s="1170">
        <f t="shared" si="14"/>
        <v>0</v>
      </c>
      <c r="Z74" s="1170">
        <f t="shared" si="14"/>
        <v>32123.109314320034</v>
      </c>
      <c r="AA74" s="1170">
        <f t="shared" si="14"/>
        <v>62397.49128197621</v>
      </c>
      <c r="AB74" s="1170">
        <f t="shared" si="14"/>
        <v>99903.40117432129</v>
      </c>
      <c r="AC74" s="1170">
        <f t="shared" si="14"/>
        <v>117467.90712727816</v>
      </c>
      <c r="AD74" s="1170">
        <f t="shared" si="14"/>
        <v>120190.69876689062</v>
      </c>
      <c r="AE74" s="3"/>
      <c r="AF74" s="3"/>
      <c r="AG74" s="3"/>
      <c r="AH74" s="3"/>
      <c r="AI74" s="3"/>
      <c r="AJ74" s="3"/>
      <c r="AK74" s="3"/>
      <c r="AL74" s="3"/>
      <c r="AM74" s="3"/>
      <c r="AN74" s="3"/>
    </row>
    <row r="75" spans="2:40">
      <c r="U75" s="1170"/>
      <c r="V75" s="1170"/>
      <c r="W75" s="1170"/>
      <c r="X75" s="1170"/>
      <c r="Y75" s="1170"/>
      <c r="Z75" s="1170"/>
      <c r="AA75" s="1170"/>
      <c r="AB75" s="1170"/>
      <c r="AC75" s="1170"/>
      <c r="AD75" s="1170"/>
      <c r="AE75" s="3"/>
      <c r="AF75" s="3"/>
      <c r="AG75" s="3"/>
      <c r="AH75" s="3"/>
      <c r="AI75" s="3"/>
      <c r="AJ75" s="3"/>
      <c r="AK75" s="3"/>
      <c r="AL75" s="3"/>
      <c r="AM75" s="3"/>
      <c r="AN75" s="3"/>
    </row>
    <row r="76" spans="2:40">
      <c r="C76" s="17" t="s">
        <v>185</v>
      </c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</row>
    <row r="77" spans="2:40"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</row>
    <row r="78" spans="2:40">
      <c r="C78" s="3" t="s">
        <v>792</v>
      </c>
      <c r="E78" s="3" t="s">
        <v>29</v>
      </c>
      <c r="U78" s="210">
        <f>'ANSP Capex'!BA1008</f>
        <v>0</v>
      </c>
      <c r="V78" s="210">
        <f>'ANSP Capex'!BB1008</f>
        <v>0</v>
      </c>
      <c r="W78" s="210">
        <f>'ANSP Capex'!BC1008</f>
        <v>0</v>
      </c>
      <c r="X78" s="210">
        <f>'ANSP Capex'!BD1008</f>
        <v>0</v>
      </c>
      <c r="Y78" s="210">
        <f>'ANSP Capex'!BE1008</f>
        <v>0</v>
      </c>
      <c r="Z78" s="210">
        <f>'ANSP Capex'!BF1008</f>
        <v>489.84097759895837</v>
      </c>
      <c r="AA78" s="210">
        <f>'ANSP Capex'!BG1008</f>
        <v>813.62077172916656</v>
      </c>
      <c r="AB78" s="210">
        <f>'ANSP Capex'!BH1008</f>
        <v>744.68967503124986</v>
      </c>
      <c r="AC78" s="210">
        <f>'ANSP Capex'!BI1008</f>
        <v>710.37000528715953</v>
      </c>
      <c r="AD78" s="210">
        <f>'ANSP Capex'!BJ1008</f>
        <v>500.02817656320099</v>
      </c>
      <c r="AE78" s="3"/>
      <c r="AF78" s="3"/>
      <c r="AG78" s="3"/>
      <c r="AH78" s="3"/>
      <c r="AI78" s="3"/>
      <c r="AJ78" s="3"/>
      <c r="AK78" s="3"/>
      <c r="AL78" s="3"/>
      <c r="AM78" s="3"/>
      <c r="AN78" s="3"/>
    </row>
    <row r="79" spans="2:40">
      <c r="C79" s="3" t="s">
        <v>24</v>
      </c>
      <c r="E79" s="3" t="s">
        <v>29</v>
      </c>
      <c r="U79" s="210">
        <f>'ANSP Capex'!BA1325</f>
        <v>0</v>
      </c>
      <c r="V79" s="210">
        <f>'ANSP Capex'!BB1325</f>
        <v>0</v>
      </c>
      <c r="W79" s="210">
        <f>'ANSP Capex'!BC1325</f>
        <v>0</v>
      </c>
      <c r="X79" s="210">
        <f>'ANSP Capex'!BD1325</f>
        <v>0</v>
      </c>
      <c r="Y79" s="210">
        <f>'ANSP Capex'!BE1325</f>
        <v>0</v>
      </c>
      <c r="Z79" s="210">
        <f>'ANSP Capex'!BF1325</f>
        <v>128.52237419270833</v>
      </c>
      <c r="AA79" s="210">
        <f>'ANSP Capex'!BG1325</f>
        <v>322.51728272058585</v>
      </c>
      <c r="AB79" s="210">
        <f>'ANSP Capex'!BH1325</f>
        <v>535.98180905178822</v>
      </c>
      <c r="AC79" s="210">
        <f>'ANSP Capex'!BI1325</f>
        <v>601.63432269442239</v>
      </c>
      <c r="AD79" s="210">
        <f>'ANSP Capex'!BJ1325</f>
        <v>666.26459710222775</v>
      </c>
      <c r="AE79" s="3"/>
      <c r="AF79" s="3"/>
      <c r="AG79" s="3"/>
      <c r="AH79" s="3"/>
      <c r="AI79" s="3"/>
      <c r="AJ79" s="3"/>
      <c r="AK79" s="3"/>
      <c r="AL79" s="3"/>
      <c r="AM79" s="3"/>
      <c r="AN79" s="3"/>
    </row>
    <row r="80" spans="2:40">
      <c r="C80" s="17" t="s">
        <v>12</v>
      </c>
      <c r="D80" s="17"/>
      <c r="E80" s="17" t="s">
        <v>29</v>
      </c>
      <c r="U80" s="1170">
        <f>SUM(U78:U79)</f>
        <v>0</v>
      </c>
      <c r="V80" s="1170">
        <f t="shared" ref="V80" si="15">SUM(V78:V79)</f>
        <v>0</v>
      </c>
      <c r="W80" s="1170">
        <f t="shared" ref="W80" si="16">SUM(W78:W79)</f>
        <v>0</v>
      </c>
      <c r="X80" s="1170">
        <f t="shared" ref="X80" si="17">SUM(X78:X79)</f>
        <v>0</v>
      </c>
      <c r="Y80" s="1170">
        <f t="shared" ref="Y80" si="18">SUM(Y78:Y79)</f>
        <v>0</v>
      </c>
      <c r="Z80" s="1170">
        <f t="shared" ref="Z80" si="19">SUM(Z78:Z79)</f>
        <v>618.36335179166667</v>
      </c>
      <c r="AA80" s="1170">
        <f t="shared" ref="AA80" si="20">SUM(AA78:AA79)</f>
        <v>1136.1380544497524</v>
      </c>
      <c r="AB80" s="1170">
        <f t="shared" ref="AB80" si="21">SUM(AB78:AB79)</f>
        <v>1280.6714840830382</v>
      </c>
      <c r="AC80" s="1170">
        <f t="shared" ref="AC80" si="22">SUM(AC78:AC79)</f>
        <v>1312.0043279815818</v>
      </c>
      <c r="AD80" s="1170">
        <f t="shared" ref="AD80" si="23">SUM(AD78:AD79)</f>
        <v>1166.2927736654287</v>
      </c>
      <c r="AE80" s="3"/>
      <c r="AF80" s="3"/>
      <c r="AG80" s="3"/>
      <c r="AH80" s="3"/>
      <c r="AI80" s="3"/>
      <c r="AJ80" s="3"/>
      <c r="AK80" s="3"/>
      <c r="AL80" s="3"/>
      <c r="AM80" s="3"/>
      <c r="AN80" s="3"/>
    </row>
    <row r="81" spans="2:40"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</row>
    <row r="82" spans="2:40" ht="13.5" thickBot="1">
      <c r="C82" s="6" t="s">
        <v>32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</row>
    <row r="83" spans="2:40"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</row>
    <row r="84" spans="2:40">
      <c r="C84" s="3" t="s">
        <v>792</v>
      </c>
      <c r="E84" s="3" t="s">
        <v>29</v>
      </c>
      <c r="U84" s="210">
        <f t="shared" ref="U84:Y84" si="24">(U$64*U72)+U78</f>
        <v>0</v>
      </c>
      <c r="V84" s="210">
        <f t="shared" si="24"/>
        <v>0</v>
      </c>
      <c r="W84" s="210">
        <f t="shared" si="24"/>
        <v>0</v>
      </c>
      <c r="X84" s="210">
        <f t="shared" si="24"/>
        <v>0</v>
      </c>
      <c r="Y84" s="210">
        <f t="shared" si="24"/>
        <v>0</v>
      </c>
      <c r="Z84" s="210">
        <f>(Z$64*Z72)+Z78</f>
        <v>1470.2080997218347</v>
      </c>
      <c r="AA84" s="210">
        <f t="shared" ref="AA84:AD84" si="25">(AA$64*AA72)+AA78</f>
        <v>2975.5303666373475</v>
      </c>
      <c r="AB84" s="210">
        <f t="shared" si="25"/>
        <v>3685.3064630454337</v>
      </c>
      <c r="AC84" s="210">
        <f t="shared" si="25"/>
        <v>4502.2994845448038</v>
      </c>
      <c r="AD84" s="210">
        <f t="shared" si="25"/>
        <v>4453.4430361656223</v>
      </c>
      <c r="AE84" s="26"/>
      <c r="AF84" s="26"/>
      <c r="AG84" s="26"/>
      <c r="AH84" s="26"/>
      <c r="AI84" s="26"/>
      <c r="AJ84" s="26"/>
      <c r="AK84" s="26"/>
      <c r="AL84" s="26"/>
      <c r="AM84" s="26"/>
      <c r="AN84" s="26"/>
    </row>
    <row r="85" spans="2:40">
      <c r="C85" s="3" t="s">
        <v>24</v>
      </c>
      <c r="E85" s="3" t="s">
        <v>29</v>
      </c>
      <c r="U85" s="210">
        <f t="shared" ref="U85:AD85" si="26">(U$64*U73)+U79</f>
        <v>0</v>
      </c>
      <c r="V85" s="210">
        <f t="shared" si="26"/>
        <v>0</v>
      </c>
      <c r="W85" s="210">
        <f t="shared" si="26"/>
        <v>0</v>
      </c>
      <c r="X85" s="210">
        <f t="shared" si="26"/>
        <v>0</v>
      </c>
      <c r="Y85" s="210">
        <f t="shared" si="26"/>
        <v>0</v>
      </c>
      <c r="Z85" s="210">
        <f t="shared" si="26"/>
        <v>582.73583512267078</v>
      </c>
      <c r="AA85" s="210">
        <f t="shared" si="26"/>
        <v>2345.3449575660634</v>
      </c>
      <c r="AB85" s="210">
        <f>(AB$64*AB73)+AB79</f>
        <v>4615.256121944004</v>
      </c>
      <c r="AC85" s="210">
        <f t="shared" si="26"/>
        <v>5189.1353935615316</v>
      </c>
      <c r="AD85" s="210">
        <f t="shared" si="26"/>
        <v>5286.5073237959969</v>
      </c>
      <c r="AE85" s="26"/>
      <c r="AF85" s="26"/>
      <c r="AG85" s="26"/>
      <c r="AH85" s="26"/>
      <c r="AI85" s="26"/>
      <c r="AJ85" s="26"/>
      <c r="AK85" s="26"/>
      <c r="AL85" s="26"/>
      <c r="AM85" s="26"/>
      <c r="AN85" s="26"/>
    </row>
    <row r="86" spans="2:40">
      <c r="C86" s="17" t="s">
        <v>12</v>
      </c>
      <c r="D86" s="17"/>
      <c r="E86" s="17" t="s">
        <v>29</v>
      </c>
      <c r="U86" s="1171">
        <f>SUM(U84:U85)</f>
        <v>0</v>
      </c>
      <c r="V86" s="1171">
        <f t="shared" ref="V86" si="27">SUM(V84:V85)</f>
        <v>0</v>
      </c>
      <c r="W86" s="1171">
        <f t="shared" ref="W86" si="28">SUM(W84:W85)</f>
        <v>0</v>
      </c>
      <c r="X86" s="1171">
        <f t="shared" ref="X86" si="29">SUM(X84:X85)</f>
        <v>0</v>
      </c>
      <c r="Y86" s="1171">
        <f t="shared" ref="Y86" si="30">SUM(Y84:Y85)</f>
        <v>0</v>
      </c>
      <c r="Z86" s="1171">
        <f t="shared" ref="Z86" si="31">SUM(Z84:Z85)</f>
        <v>2052.9439348445057</v>
      </c>
      <c r="AA86" s="1171">
        <f t="shared" ref="AA86" si="32">SUM(AA84:AA85)</f>
        <v>5320.8753242034109</v>
      </c>
      <c r="AB86" s="1171">
        <f>SUM(AB84:AB85)</f>
        <v>8300.5625849894386</v>
      </c>
      <c r="AC86" s="1171">
        <f t="shared" ref="AC86" si="33">SUM(AC84:AC85)</f>
        <v>9691.4348781063345</v>
      </c>
      <c r="AD86" s="1171">
        <f t="shared" ref="AD86" si="34">SUM(AD84:AD85)</f>
        <v>9739.9503599616182</v>
      </c>
      <c r="AE86" s="3"/>
      <c r="AF86" s="3"/>
      <c r="AG86" s="3"/>
      <c r="AH86" s="3"/>
      <c r="AI86" s="3"/>
      <c r="AJ86" s="3"/>
      <c r="AK86" s="3"/>
      <c r="AL86" s="3"/>
      <c r="AM86" s="3"/>
      <c r="AN86" s="3"/>
    </row>
    <row r="87" spans="2:40"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</row>
    <row r="88" spans="2:40">
      <c r="B88" s="5" t="s">
        <v>60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2:40"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</row>
    <row r="91" spans="2:40">
      <c r="H91" s="235"/>
      <c r="I91" s="235"/>
      <c r="J91" s="235"/>
    </row>
    <row r="92" spans="2:40">
      <c r="J92" s="235"/>
      <c r="K92" s="235"/>
      <c r="AA92" s="147"/>
    </row>
    <row r="93" spans="2:40">
      <c r="G93" s="235"/>
      <c r="H93" s="235"/>
      <c r="I93" s="235"/>
      <c r="AA93" s="1175"/>
      <c r="AB93" s="1175"/>
      <c r="AC93" s="1175"/>
      <c r="AD93" s="1175"/>
    </row>
    <row r="94" spans="2:40">
      <c r="G94" s="235"/>
      <c r="H94" s="235"/>
      <c r="I94" s="235"/>
      <c r="J94" s="218"/>
      <c r="K94" s="235"/>
      <c r="L94" s="235"/>
      <c r="M94" s="218"/>
      <c r="AA94" s="1197"/>
      <c r="AB94" s="1175"/>
      <c r="AC94" s="1175"/>
      <c r="AD94" s="1175"/>
    </row>
    <row r="95" spans="2:40">
      <c r="I95" s="235"/>
      <c r="J95" s="235"/>
      <c r="K95" s="235"/>
      <c r="L95" s="235"/>
      <c r="M95" s="235"/>
    </row>
    <row r="96" spans="2:40">
      <c r="G96" s="235"/>
      <c r="I96" s="218"/>
      <c r="J96" s="235"/>
      <c r="K96" s="235"/>
      <c r="L96" s="218"/>
      <c r="M96" s="235"/>
    </row>
    <row r="97" spans="7:15">
      <c r="G97" s="235"/>
      <c r="H97" s="235"/>
      <c r="I97" s="235"/>
      <c r="J97" s="235"/>
      <c r="K97" s="235"/>
      <c r="L97" s="235"/>
      <c r="M97" s="235"/>
    </row>
    <row r="98" spans="7:15">
      <c r="I98" s="218"/>
      <c r="J98" s="235"/>
      <c r="K98" s="235"/>
    </row>
    <row r="99" spans="7:15">
      <c r="H99" s="218"/>
      <c r="I99" s="235"/>
      <c r="J99" s="218"/>
      <c r="K99" s="235"/>
      <c r="L99" s="235"/>
      <c r="M99" s="218"/>
      <c r="O99" s="193"/>
    </row>
    <row r="100" spans="7:15">
      <c r="H100" s="218"/>
      <c r="I100" s="235"/>
      <c r="J100" s="235"/>
      <c r="K100" s="235"/>
      <c r="L100" s="235"/>
      <c r="M100" s="235"/>
      <c r="O100" s="235"/>
    </row>
    <row r="101" spans="7:15">
      <c r="I101" s="218"/>
      <c r="J101" s="235"/>
      <c r="K101" s="235"/>
      <c r="L101" s="218"/>
      <c r="M101" s="235"/>
    </row>
    <row r="102" spans="7:15">
      <c r="I102" s="235"/>
      <c r="J102" s="235"/>
      <c r="K102" s="235"/>
      <c r="L102" s="235"/>
      <c r="M102" s="235"/>
      <c r="O102" s="193"/>
    </row>
  </sheetData>
  <dataValidations count="1">
    <dataValidation type="list" allowBlank="1" showInputMessage="1" showErrorMessage="1" sqref="F11" xr:uid="{CB0FF6EA-A60D-4EEC-B374-87F9B4E8D32D}">
      <formula1>$J$11:$Q$11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6ED4B78-1171-4704-9502-EE57EF7414F6}">
          <x14:formula1>
            <xm:f>'Misc. Items'!$I$4:$AB$4</xm:f>
          </x14:formula1>
          <xm:sqref>S13:T13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4b15aa5-5e98-496d-a4bf-a5d585fc9f9e">
      <UserInfo>
        <DisplayName>Mael Kotto  Ekambi</DisplayName>
        <AccountId>217</AccountId>
        <AccountType/>
      </UserInfo>
      <UserInfo>
        <DisplayName>Luke Manning</DisplayName>
        <AccountId>13</AccountId>
        <AccountType/>
      </UserInfo>
      <UserInfo>
        <DisplayName>Sinead Kearns</DisplayName>
        <AccountId>251</AccountId>
        <AccountType/>
      </UserInfo>
      <UserInfo>
        <DisplayName>David Mahon</DisplayName>
        <AccountId>351</AccountId>
        <AccountType/>
      </UserInfo>
      <UserInfo>
        <DisplayName>Adrian Corcoran</DisplayName>
        <AccountId>69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ECB30F0477C449972F76FD9CB294A2" ma:contentTypeVersion="12" ma:contentTypeDescription="Create a new document." ma:contentTypeScope="" ma:versionID="eddb87f600b0efb8f53e6f0309fd6e8f">
  <xsd:schema xmlns:xsd="http://www.w3.org/2001/XMLSchema" xmlns:xs="http://www.w3.org/2001/XMLSchema" xmlns:p="http://schemas.microsoft.com/office/2006/metadata/properties" xmlns:ns2="e82ee7ac-4e06-42c1-9f27-6483cc1a96b9" xmlns:ns3="44b15aa5-5e98-496d-a4bf-a5d585fc9f9e" targetNamespace="http://schemas.microsoft.com/office/2006/metadata/properties" ma:root="true" ma:fieldsID="16f14871aed6d03b414cb186db88afc8" ns2:_="" ns3:_="">
    <xsd:import namespace="e82ee7ac-4e06-42c1-9f27-6483cc1a96b9"/>
    <xsd:import namespace="44b15aa5-5e98-496d-a4bf-a5d585fc9f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2ee7ac-4e06-42c1-9f27-6483cc1a96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15aa5-5e98-496d-a4bf-a5d585fc9f9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C9ABBF-7549-4038-82EC-E0E1EE4603EA}">
  <ds:schemaRefs>
    <ds:schemaRef ds:uri="http://purl.org/dc/terms/"/>
    <ds:schemaRef ds:uri="http://schemas.microsoft.com/office/infopath/2007/PartnerControls"/>
    <ds:schemaRef ds:uri="e82ee7ac-4e06-42c1-9f27-6483cc1a96b9"/>
    <ds:schemaRef ds:uri="http://purl.org/dc/elements/1.1/"/>
    <ds:schemaRef ds:uri="44b15aa5-5e98-496d-a4bf-a5d585fc9f9e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C9A97AA-1ABC-4190-8539-621ECAF72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2ee7ac-4e06-42c1-9f27-6483cc1a96b9"/>
    <ds:schemaRef ds:uri="44b15aa5-5e98-496d-a4bf-a5d585fc9f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8DA651-CD2A-433E-9725-A3AEB55AE2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40</vt:i4>
      </vt:variant>
      <vt:variant>
        <vt:lpstr>Named Ranges</vt:lpstr>
      </vt:variant>
      <vt:variant>
        <vt:i4>17</vt:i4>
      </vt:variant>
    </vt:vector>
  </HeadingPairs>
  <TitlesOfParts>
    <vt:vector size="57" baseType="lpstr">
      <vt:lpstr>Summary&gt;&gt;</vt:lpstr>
      <vt:lpstr>Total Costs &amp; Profitability</vt:lpstr>
      <vt:lpstr>Cost Comparison</vt:lpstr>
      <vt:lpstr>DUC &amp; UR</vt:lpstr>
      <vt:lpstr>Misc. Items</vt:lpstr>
      <vt:lpstr>ANSP&gt;&gt;</vt:lpstr>
      <vt:lpstr>ANSP Capex</vt:lpstr>
      <vt:lpstr>ANSP Capex (CAR)</vt:lpstr>
      <vt:lpstr>ANSP WACC</vt:lpstr>
      <vt:lpstr>ANSP WACC (CAR)</vt:lpstr>
      <vt:lpstr>ANSP Opex</vt:lpstr>
      <vt:lpstr>ANSP Opex (CAR-10% SUs)</vt:lpstr>
      <vt:lpstr>ANSP Opex (CAR)</vt:lpstr>
      <vt:lpstr>ANSP Opex (CAR+10% SUs)</vt:lpstr>
      <vt:lpstr>ANSP ERT</vt:lpstr>
      <vt:lpstr>ANSP TRM</vt:lpstr>
      <vt:lpstr>MET&gt;&gt;</vt:lpstr>
      <vt:lpstr>MET Capex</vt:lpstr>
      <vt:lpstr>Met Opex</vt:lpstr>
      <vt:lpstr>MET ERT</vt:lpstr>
      <vt:lpstr>MET TRM</vt:lpstr>
      <vt:lpstr>Supervision&gt;&gt;</vt:lpstr>
      <vt:lpstr>Supervision Capex </vt:lpstr>
      <vt:lpstr>Supervision Opex</vt:lpstr>
      <vt:lpstr>Supervision ERT</vt:lpstr>
      <vt:lpstr>Supervision TRM</vt:lpstr>
      <vt:lpstr>Total DC&gt;&gt;</vt:lpstr>
      <vt:lpstr>ERT DC</vt:lpstr>
      <vt:lpstr>TRM DC</vt:lpstr>
      <vt:lpstr>UR&gt;&gt;</vt:lpstr>
      <vt:lpstr>UR Control</vt:lpstr>
      <vt:lpstr>T3</vt:lpstr>
      <vt:lpstr>ERT ANSP</vt:lpstr>
      <vt:lpstr>TRM ANSP</vt:lpstr>
      <vt:lpstr>ERT MET</vt:lpstr>
      <vt:lpstr>TRM MET</vt:lpstr>
      <vt:lpstr>ERT Supervision</vt:lpstr>
      <vt:lpstr>TRM Supervision</vt:lpstr>
      <vt:lpstr>ERT UR</vt:lpstr>
      <vt:lpstr>TRM UR</vt:lpstr>
      <vt:lpstr>'ANSP ERT'!Print_Area</vt:lpstr>
      <vt:lpstr>'ANSP TRM'!Print_Area</vt:lpstr>
      <vt:lpstr>'ERT ANSP'!Print_Area</vt:lpstr>
      <vt:lpstr>'ERT DC'!Print_Area</vt:lpstr>
      <vt:lpstr>'ERT MET'!Print_Area</vt:lpstr>
      <vt:lpstr>'ERT Supervision'!Print_Area</vt:lpstr>
      <vt:lpstr>'ERT UR'!Print_Area</vt:lpstr>
      <vt:lpstr>'MET ERT'!Print_Area</vt:lpstr>
      <vt:lpstr>'MET TRM'!Print_Area</vt:lpstr>
      <vt:lpstr>'Supervision ERT'!Print_Area</vt:lpstr>
      <vt:lpstr>'Supervision TRM'!Print_Area</vt:lpstr>
      <vt:lpstr>'T3'!Print_Area</vt:lpstr>
      <vt:lpstr>'TRM ANSP'!Print_Area</vt:lpstr>
      <vt:lpstr>'TRM DC'!Print_Area</vt:lpstr>
      <vt:lpstr>'TRM MET'!Print_Area</vt:lpstr>
      <vt:lpstr>'TRM Supervision'!Print_Area</vt:lpstr>
      <vt:lpstr>'TRM UR'!Print_Area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Luke Manning</cp:lastModifiedBy>
  <cp:revision/>
  <dcterms:created xsi:type="dcterms:W3CDTF">2015-06-05T18:17:20Z</dcterms:created>
  <dcterms:modified xsi:type="dcterms:W3CDTF">2021-07-30T11:52:01Z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0x010100EFECB30F0477C449972F76FD9CB294A2</vt:lpwstr>
  </property>
</Properties>
</file>